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4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6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7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8.xml" ContentType="application/vnd.openxmlformats-officedocument.drawing+xml"/>
  <Override PartName="/xl/charts/chart54.xml" ContentType="application/vnd.openxmlformats-officedocument.drawingml.chart+xml"/>
  <Override PartName="/xl/drawings/drawing9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10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drawings/drawing11.xml" ContentType="application/vnd.openxmlformats-officedocument.drawing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sktop\ciclo_kalina_tercero\.claude\worktrees\barrido-final\datos\"/>
    </mc:Choice>
  </mc:AlternateContent>
  <xr:revisionPtr revIDLastSave="0" documentId="13_ncr:1_{1142FA2C-33B4-48D9-AC9D-B3D88E1A6F8A}" xr6:coauthVersionLast="47" xr6:coauthVersionMax="47" xr10:uidLastSave="{00000000-0000-0000-0000-000000000000}"/>
  <bookViews>
    <workbookView xWindow="-108" yWindow="-108" windowWidth="23256" windowHeight="12456" firstSheet="5" activeTab="9" xr2:uid="{00000000-000D-0000-FFFF-FFFF00000000}"/>
  </bookViews>
  <sheets>
    <sheet name="LEEME" sheetId="1" r:id="rId1"/>
    <sheet name="Tablero" sheetId="2" r:id="rId2"/>
    <sheet name="Indice" sheetId="3" r:id="rId3"/>
    <sheet name="Punto_profesor" sheetId="4" r:id="rId4"/>
    <sheet name="G01_resumen_casos" sheetId="5" r:id="rId5"/>
    <sheet name="G02_que_se_movio" sheetId="6" r:id="rId6"/>
    <sheet name="G03_rangos_KALINA" sheetId="7" r:id="rId7"/>
    <sheet name="G04_datos_profesor" sheetId="8" r:id="rId8"/>
    <sheet name="G05_bloqueos" sheetId="9" r:id="rId9"/>
    <sheet name="M01_00_condiciones" sheetId="10" r:id="rId10"/>
    <sheet name="M01_01_conteo" sheetId="11" r:id="rId11"/>
    <sheet name="M01_02_comparacion" sheetId="12" r:id="rId12"/>
    <sheet name="M02-N1_00_condiciones" sheetId="13" r:id="rId13"/>
    <sheet name="M02-N1_01_conteo" sheetId="14" r:id="rId14"/>
    <sheet name="M02-N1_02_resumen" sheetId="15" r:id="rId15"/>
    <sheet name="M02-N2_00_condiciones" sheetId="16" r:id="rId16"/>
    <sheet name="M02-N2_01_conteo" sheetId="17" r:id="rId17"/>
    <sheet name="M02-N2_02_resumen" sheetId="18" r:id="rId18"/>
    <sheet name="M02R_00_condiciones" sheetId="19" r:id="rId19"/>
    <sheet name="M02R_01_conteo" sheetId="20" r:id="rId20"/>
    <sheet name="M02R_02_resumen" sheetId="21" r:id="rId21"/>
    <sheet name="M02S_00_condiciones" sheetId="22" r:id="rId22"/>
    <sheet name="M02S_01_conteo" sheetId="23" r:id="rId23"/>
    <sheet name="M02S_02_resumen" sheetId="24" r:id="rId24"/>
    <sheet name="M03_00_condiciones" sheetId="25" r:id="rId25"/>
    <sheet name="M03_01_conteo" sheetId="26" r:id="rId26"/>
    <sheet name="M03_02_ranking_delta" sheetId="27" r:id="rId27"/>
    <sheet name="M04_00_condiciones" sheetId="28" r:id="rId28"/>
    <sheet name="M04_01_conteo" sheetId="29" r:id="rId29"/>
    <sheet name="M04_02_separacion" sheetId="30" r:id="rId30"/>
    <sheet name="M04_03_prcc" sheetId="31" r:id="rId31"/>
    <sheet name="M04_04_rangos_presion" sheetId="32" r:id="rId32"/>
    <sheet name="M04_05_ventana_palta" sheetId="33" r:id="rId33"/>
    <sheet name="M04_06_ventana_tf" sheetId="34" r:id="rId34"/>
    <sheet name="M04_07_ventana_ts" sheetId="35" r:id="rId35"/>
    <sheet name="M04b_00_condiciones" sheetId="36" r:id="rId36"/>
    <sheet name="M04b_01_conteo" sheetId="37" r:id="rId37"/>
    <sheet name="M04c_00_condiciones" sheetId="38" r:id="rId38"/>
    <sheet name="M04c_01_conteo" sheetId="39" r:id="rId39"/>
    <sheet name="M04c_02_techo" sheetId="40" r:id="rId40"/>
    <sheet name="M04c_03_techo_palta" sheetId="41" r:id="rId41"/>
    <sheet name="M05_00_condiciones" sheetId="42" r:id="rId42"/>
    <sheet name="M05_01_conteo" sheetId="43" r:id="rId43"/>
    <sheet name="M05_02_resumen" sheetId="44" r:id="rId44"/>
    <sheet name="M05_03_rangos" sheetId="45" r:id="rId45"/>
    <sheet name="M05c_00_condiciones" sheetId="46" r:id="rId46"/>
    <sheet name="M05c_01_conteo" sheetId="47" r:id="rId47"/>
    <sheet name="M05c_02_frontera" sheetId="48" r:id="rId48"/>
    <sheet name="M06_00_condiciones" sheetId="49" r:id="rId49"/>
    <sheet name="M06_01_conteo" sheetId="50" r:id="rId50"/>
    <sheet name="M06_02_comparacion" sheetId="51" r:id="rId51"/>
    <sheet name="M06_03_subenfriamiento" sheetId="52" r:id="rId52"/>
    <sheet name="M07_00_condiciones" sheetId="53" r:id="rId53"/>
    <sheet name="M07_01_conteo" sheetId="54" r:id="rId54"/>
    <sheet name="M07_02_optimos" sheetId="55" r:id="rId55"/>
    <sheet name="M09_00_condiciones" sheetId="56" r:id="rId56"/>
    <sheet name="M09_01_conteo" sheetId="57" r:id="rId57"/>
    <sheet name="M09_02_escalera" sheetId="58" r:id="rId58"/>
    <sheet name="M09_03_motor_real" sheetId="59" r:id="rId59"/>
    <sheet name="M10_00_condiciones" sheetId="60" r:id="rId60"/>
    <sheet name="M10_01_conteo" sheetId="61" r:id="rId61"/>
    <sheet name="M10_02_catalogo" sheetId="62" r:id="rId62"/>
    <sheet name="M10_03_ofat" sheetId="63" r:id="rId63"/>
    <sheet name="M10b_00_condiciones" sheetId="64" r:id="rId64"/>
    <sheet name="M10b_01_conteo" sheetId="65" r:id="rId65"/>
    <sheet name="M10b_02_xb_bajo" sheetId="66" r:id="rId66"/>
    <sheet name="G_graficos" sheetId="67" r:id="rId67"/>
    <sheet name="M02_graficos" sheetId="68" r:id="rId68"/>
    <sheet name="M02R_graficos" sheetId="69" r:id="rId69"/>
    <sheet name="M02S_graficos" sheetId="70" r:id="rId70"/>
    <sheet name="M03_graficos" sheetId="71" r:id="rId71"/>
    <sheet name="M04_graficos" sheetId="72" r:id="rId72"/>
    <sheet name="M04c_graficos" sheetId="73" r:id="rId73"/>
    <sheet name="M05_graficos" sheetId="74" r:id="rId74"/>
    <sheet name="M06_M07_M09_graficos" sheetId="75" r:id="rId75"/>
    <sheet name="M10_graficos" sheetId="76" r:id="rId76"/>
    <sheet name="X_M08_anecdotico" sheetId="77" r:id="rId77"/>
    <sheet name="Datos" sheetId="78" r:id="rId78"/>
    <sheet name="Condiciones" sheetId="79" r:id="rId79"/>
    <sheet name="Bloques" sheetId="80" r:id="rId80"/>
    <sheet name="Aux_tablero" sheetId="81" state="hidden" r:id="rId81"/>
    <sheet name="Aux_puntos" sheetId="82" state="hidden" r:id="rId82"/>
    <sheet name="Figuras_matplotlib_ref" sheetId="83" r:id="rId83"/>
    <sheet name="Aux_graficos" sheetId="84" state="hidden" r:id="rId84"/>
  </sheets>
  <definedNames>
    <definedName name="_xlnm._FilterDatabase" localSheetId="79" hidden="1">Bloques!$A$1:$G$52</definedName>
    <definedName name="_xlnm._FilterDatabase" localSheetId="78" hidden="1">Condiciones!$A$1:$M$768</definedName>
    <definedName name="_xlnm._FilterDatabase" localSheetId="77" hidden="1">Datos!$A$1:$AB$4582</definedName>
    <definedName name="_xlnm._FilterDatabase" localSheetId="4" hidden="1">G01_resumen_casos!$A$7:$L$23</definedName>
    <definedName name="_xlnm._FilterDatabase" localSheetId="5" hidden="1">G02_que_se_movio!$A$7:$N$65</definedName>
    <definedName name="_xlnm._FilterDatabase" localSheetId="6" hidden="1">G03_rangos_KALINA!$A$7:$H$41</definedName>
    <definedName name="_xlnm._FilterDatabase" localSheetId="7" hidden="1">G04_datos_profesor!$A$7:$D$18</definedName>
    <definedName name="_xlnm._FilterDatabase" localSheetId="8" hidden="1">G05_bloqueos!$A$7:$J$23</definedName>
    <definedName name="_xlnm._FilterDatabase" localSheetId="9" hidden="1">M01_00_condiciones!$A$8:$G$60</definedName>
    <definedName name="_xlnm._FilterDatabase" localSheetId="10" hidden="1">M01_01_conteo!$A$8:$K$12</definedName>
    <definedName name="_xlnm._FilterDatabase" localSheetId="11" hidden="1">M01_02_comparacion!$A$8:$J$49</definedName>
    <definedName name="_xlnm._FilterDatabase" localSheetId="12" hidden="1">'M02-N1_00_condiciones'!$A$8:$H$21</definedName>
    <definedName name="_xlnm._FilterDatabase" localSheetId="13" hidden="1">'M02-N1_01_conteo'!$A$8:$K$9</definedName>
    <definedName name="_xlnm._FilterDatabase" localSheetId="14" hidden="1">'M02-N1_02_resumen'!$A$8:$M$18</definedName>
    <definedName name="_xlnm._FilterDatabase" localSheetId="15" hidden="1">'M02-N2_00_condiciones'!$A$12:$G$38</definedName>
    <definedName name="_xlnm._FilterDatabase" localSheetId="16" hidden="1">'M02-N2_01_conteo'!$A$12:$K$14</definedName>
    <definedName name="_xlnm._FilterDatabase" localSheetId="17" hidden="1">'M02-N2_02_resumen'!$A$12:$M$24</definedName>
    <definedName name="_xlnm._FilterDatabase" localSheetId="18" hidden="1">M02R_00_condiciones!$A$18:$G$70</definedName>
    <definedName name="_xlnm._FilterDatabase" localSheetId="19" hidden="1">M02R_01_conteo!$A$18:$K$22</definedName>
    <definedName name="_xlnm._FilterDatabase" localSheetId="20" hidden="1">M02R_02_resumen!$A$18:$O$39</definedName>
    <definedName name="_xlnm._FilterDatabase" localSheetId="21" hidden="1">M02S_00_condiciones!$A$18:$G$70</definedName>
    <definedName name="_xlnm._FilterDatabase" localSheetId="22" hidden="1">M02S_01_conteo!$A$18:$K$22</definedName>
    <definedName name="_xlnm._FilterDatabase" localSheetId="23" hidden="1">M02S_02_resumen!$A$18:$M$38</definedName>
    <definedName name="_xlnm._FilterDatabase" localSheetId="24" hidden="1">M03_00_condiciones!$A$8:$H$21</definedName>
    <definedName name="_xlnm._FilterDatabase" localSheetId="25" hidden="1">M03_01_conteo!$A$8:$K$9</definedName>
    <definedName name="_xlnm._FilterDatabase" localSheetId="26" hidden="1">M03_02_ranking_delta!$A$8:$J$18</definedName>
    <definedName name="_xlnm._FilterDatabase" localSheetId="27" hidden="1">M04_00_condiciones!$A$8:$G$21</definedName>
    <definedName name="_xlnm._FilterDatabase" localSheetId="28" hidden="1">M04_01_conteo!$A$8:$K$9</definedName>
    <definedName name="_xlnm._FilterDatabase" localSheetId="29" hidden="1">M04_02_separacion!$A$8:$K$60</definedName>
    <definedName name="_xlnm._FilterDatabase" localSheetId="30" hidden="1">M04_03_prcc!$A$8:$H$48</definedName>
    <definedName name="_xlnm._FilterDatabase" localSheetId="31" hidden="1">M04_04_rangos_presion!$A$8:$J$16</definedName>
    <definedName name="_xlnm._FilterDatabase" localSheetId="32" hidden="1">M04_05_ventana_palta!$A$8:$M$14</definedName>
    <definedName name="_xlnm._FilterDatabase" localSheetId="33" hidden="1">M04_06_ventana_tf!$A$8:$M$14</definedName>
    <definedName name="_xlnm._FilterDatabase" localSheetId="34" hidden="1">M04_07_ventana_ts!$A$8:$M$12</definedName>
    <definedName name="_xlnm._FilterDatabase" localSheetId="35" hidden="1">M04b_00_condiciones!$A$8:$G$21</definedName>
    <definedName name="_xlnm._FilterDatabase" localSheetId="36" hidden="1">M04b_01_conteo!$A$8:$K$9</definedName>
    <definedName name="_xlnm._FilterDatabase" localSheetId="37" hidden="1">M04c_00_condiciones!$A$8:$G$21</definedName>
    <definedName name="_xlnm._FilterDatabase" localSheetId="38" hidden="1">M04c_01_conteo!$A$8:$K$9</definedName>
    <definedName name="_xlnm._FilterDatabase" localSheetId="39" hidden="1">M04c_02_techo!$A$8:$H$20</definedName>
    <definedName name="_xlnm._FilterDatabase" localSheetId="40" hidden="1">M04c_03_techo_palta!$A$8:$G$14</definedName>
    <definedName name="_xlnm._FilterDatabase" localSheetId="41" hidden="1">M05_00_condiciones!$A$21:$G$86</definedName>
    <definedName name="_xlnm._FilterDatabase" localSheetId="42" hidden="1">M05_01_conteo!$A$21:$K$26</definedName>
    <definedName name="_xlnm._FilterDatabase" localSheetId="43" hidden="1">M05_02_resumen!$A$21:$S$26</definedName>
    <definedName name="_xlnm._FilterDatabase" localSheetId="44" hidden="1">M05_03_rangos!$A$21:$K$79</definedName>
    <definedName name="_xlnm._FilterDatabase" localSheetId="45" hidden="1">M05c_00_condiciones!$A$8:$G$21</definedName>
    <definedName name="_xlnm._FilterDatabase" localSheetId="46" hidden="1">M05c_01_conteo!$A$8:$K$9</definedName>
    <definedName name="_xlnm._FilterDatabase" localSheetId="47" hidden="1">M05c_02_frontera!$A$8:$G$23</definedName>
    <definedName name="_xlnm._FilterDatabase" localSheetId="48" hidden="1">M06_00_condiciones!$A$7:$G$46</definedName>
    <definedName name="_xlnm._FilterDatabase" localSheetId="49" hidden="1">M06_01_conteo!$A$7:$K$10</definedName>
    <definedName name="_xlnm._FilterDatabase" localSheetId="50" hidden="1">M06_02_comparacion!$A$7:$O$19</definedName>
    <definedName name="_xlnm._FilterDatabase" localSheetId="51" hidden="1">M06_03_subenfriamiento!$A$7:$N$23</definedName>
    <definedName name="_xlnm._FilterDatabase" localSheetId="52" hidden="1">M07_00_condiciones!$A$21:$G$86</definedName>
    <definedName name="_xlnm._FilterDatabase" localSheetId="53" hidden="1">M07_01_conteo!$A$21:$K$26</definedName>
    <definedName name="_xlnm._FilterDatabase" localSheetId="54" hidden="1">M07_02_optimos!$A$21:$V$26</definedName>
    <definedName name="_xlnm._FilterDatabase" localSheetId="55" hidden="1">M09_00_condiciones!$A$27:$G$287</definedName>
    <definedName name="_xlnm._FilterDatabase" localSheetId="56" hidden="1">M09_01_conteo!$A$27:$K$47</definedName>
    <definedName name="_xlnm._FilterDatabase" localSheetId="57" hidden="1">M09_02_escalera!$A$25:$K$43</definedName>
    <definedName name="_xlnm._FilterDatabase" localSheetId="58" hidden="1">M09_03_motor_real!$A$7:$W$10</definedName>
    <definedName name="_xlnm._FilterDatabase" localSheetId="59" hidden="1">M10_00_condiciones!$A$15:$H$54</definedName>
    <definedName name="_xlnm._FilterDatabase" localSheetId="60" hidden="1">M10_01_conteo!$A$15:$K$18</definedName>
    <definedName name="_xlnm._FilterDatabase" localSheetId="61" hidden="1">M10_02_catalogo!$A$8:$K$24</definedName>
    <definedName name="_xlnm._FilterDatabase" localSheetId="62" hidden="1">M10_03_ofat!$A$8:$H$18</definedName>
    <definedName name="_xlnm._FilterDatabase" localSheetId="63" hidden="1">M10b_00_condiciones!$A$12:$H$38</definedName>
    <definedName name="_xlnm._FilterDatabase" localSheetId="64" hidden="1">M10b_01_conteo!$A$12:$K$14</definedName>
    <definedName name="_xlnm._FilterDatabase" localSheetId="65" hidden="1">M10b_02_xb_bajo!$A$8:$D$17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904" i="2" l="1"/>
  <c r="AI904" i="2"/>
  <c r="AH904" i="2"/>
  <c r="AG904" i="2"/>
  <c r="AF904" i="2"/>
  <c r="AE904" i="2"/>
  <c r="AD904" i="2"/>
  <c r="AC904" i="2"/>
  <c r="AJ903" i="2"/>
  <c r="AI903" i="2"/>
  <c r="AH903" i="2"/>
  <c r="AG903" i="2"/>
  <c r="AF903" i="2"/>
  <c r="AE903" i="2"/>
  <c r="AD903" i="2"/>
  <c r="AC903" i="2"/>
  <c r="AJ902" i="2"/>
  <c r="AI902" i="2"/>
  <c r="AH902" i="2"/>
  <c r="AG902" i="2"/>
  <c r="AF902" i="2"/>
  <c r="AE902" i="2"/>
  <c r="AD902" i="2"/>
  <c r="AC902" i="2"/>
  <c r="AJ901" i="2"/>
  <c r="AI901" i="2"/>
  <c r="AH901" i="2"/>
  <c r="AG901" i="2"/>
  <c r="AF901" i="2"/>
  <c r="AE901" i="2"/>
  <c r="AD901" i="2"/>
  <c r="AC901" i="2"/>
  <c r="AJ900" i="2"/>
  <c r="AI900" i="2"/>
  <c r="AH900" i="2"/>
  <c r="AG900" i="2"/>
  <c r="AF900" i="2"/>
  <c r="AE900" i="2"/>
  <c r="AD900" i="2"/>
  <c r="AC900" i="2"/>
  <c r="AJ899" i="2"/>
  <c r="AI899" i="2"/>
  <c r="AH899" i="2"/>
  <c r="AG899" i="2"/>
  <c r="AF899" i="2"/>
  <c r="AE899" i="2"/>
  <c r="AD899" i="2"/>
  <c r="AC899" i="2"/>
  <c r="AJ898" i="2"/>
  <c r="AI898" i="2"/>
  <c r="AH898" i="2"/>
  <c r="AG898" i="2"/>
  <c r="AF898" i="2"/>
  <c r="AE898" i="2"/>
  <c r="AD898" i="2"/>
  <c r="AC898" i="2"/>
  <c r="AJ897" i="2"/>
  <c r="AI897" i="2"/>
  <c r="AH897" i="2"/>
  <c r="AG897" i="2"/>
  <c r="AF897" i="2"/>
  <c r="AE897" i="2"/>
  <c r="AD897" i="2"/>
  <c r="AC897" i="2"/>
  <c r="AJ896" i="2"/>
  <c r="AI896" i="2"/>
  <c r="AH896" i="2"/>
  <c r="AG896" i="2"/>
  <c r="AF896" i="2"/>
  <c r="AE896" i="2"/>
  <c r="AD896" i="2"/>
  <c r="AC896" i="2"/>
  <c r="AJ895" i="2"/>
  <c r="AI895" i="2"/>
  <c r="AH895" i="2"/>
  <c r="AG895" i="2"/>
  <c r="AF895" i="2"/>
  <c r="AE895" i="2"/>
  <c r="AD895" i="2"/>
  <c r="AC895" i="2"/>
  <c r="AJ894" i="2"/>
  <c r="AI894" i="2"/>
  <c r="AH894" i="2"/>
  <c r="AG894" i="2"/>
  <c r="AF894" i="2"/>
  <c r="AE894" i="2"/>
  <c r="AD894" i="2"/>
  <c r="AC894" i="2"/>
  <c r="AJ893" i="2"/>
  <c r="AI893" i="2"/>
  <c r="AH893" i="2"/>
  <c r="AG893" i="2"/>
  <c r="AF893" i="2"/>
  <c r="AE893" i="2"/>
  <c r="AD893" i="2"/>
  <c r="AC893" i="2"/>
  <c r="AJ892" i="2"/>
  <c r="AI892" i="2"/>
  <c r="AH892" i="2"/>
  <c r="AG892" i="2"/>
  <c r="AF892" i="2"/>
  <c r="AE892" i="2"/>
  <c r="AD892" i="2"/>
  <c r="AC892" i="2"/>
  <c r="AJ891" i="2"/>
  <c r="AI891" i="2"/>
  <c r="AH891" i="2"/>
  <c r="AG891" i="2"/>
  <c r="AF891" i="2"/>
  <c r="AE891" i="2"/>
  <c r="AD891" i="2"/>
  <c r="AC891" i="2"/>
  <c r="AJ890" i="2"/>
  <c r="AI890" i="2"/>
  <c r="AH890" i="2"/>
  <c r="AG890" i="2"/>
  <c r="AF890" i="2"/>
  <c r="AE890" i="2"/>
  <c r="AD890" i="2"/>
  <c r="AC890" i="2"/>
  <c r="AJ889" i="2"/>
  <c r="AI889" i="2"/>
  <c r="AH889" i="2"/>
  <c r="AG889" i="2"/>
  <c r="AF889" i="2"/>
  <c r="AE889" i="2"/>
  <c r="AD889" i="2"/>
  <c r="AC889" i="2"/>
  <c r="AJ888" i="2"/>
  <c r="AI888" i="2"/>
  <c r="AH888" i="2"/>
  <c r="AG888" i="2"/>
  <c r="AF888" i="2"/>
  <c r="AE888" i="2"/>
  <c r="AD888" i="2"/>
  <c r="AC888" i="2"/>
  <c r="AJ887" i="2"/>
  <c r="AI887" i="2"/>
  <c r="AH887" i="2"/>
  <c r="AG887" i="2"/>
  <c r="AF887" i="2"/>
  <c r="AE887" i="2"/>
  <c r="AD887" i="2"/>
  <c r="AC887" i="2"/>
  <c r="AJ886" i="2"/>
  <c r="AI886" i="2"/>
  <c r="AH886" i="2"/>
  <c r="AG886" i="2"/>
  <c r="AF886" i="2"/>
  <c r="AE886" i="2"/>
  <c r="AD886" i="2"/>
  <c r="AC886" i="2"/>
  <c r="AJ885" i="2"/>
  <c r="AI885" i="2"/>
  <c r="AH885" i="2"/>
  <c r="AG885" i="2"/>
  <c r="AF885" i="2"/>
  <c r="AE885" i="2"/>
  <c r="AD885" i="2"/>
  <c r="AC885" i="2"/>
  <c r="AJ884" i="2"/>
  <c r="AI884" i="2"/>
  <c r="AH884" i="2"/>
  <c r="AG884" i="2"/>
  <c r="AF884" i="2"/>
  <c r="AE884" i="2"/>
  <c r="AD884" i="2"/>
  <c r="AC884" i="2"/>
  <c r="AJ883" i="2"/>
  <c r="AI883" i="2"/>
  <c r="AH883" i="2"/>
  <c r="AG883" i="2"/>
  <c r="AF883" i="2"/>
  <c r="AE883" i="2"/>
  <c r="AD883" i="2"/>
  <c r="AC883" i="2"/>
  <c r="AJ882" i="2"/>
  <c r="AI882" i="2"/>
  <c r="AH882" i="2"/>
  <c r="AG882" i="2"/>
  <c r="AF882" i="2"/>
  <c r="AE882" i="2"/>
  <c r="AD882" i="2"/>
  <c r="AC882" i="2"/>
  <c r="AJ881" i="2"/>
  <c r="AI881" i="2"/>
  <c r="AH881" i="2"/>
  <c r="AG881" i="2"/>
  <c r="AF881" i="2"/>
  <c r="AE881" i="2"/>
  <c r="AD881" i="2"/>
  <c r="AC881" i="2"/>
  <c r="AJ880" i="2"/>
  <c r="AI880" i="2"/>
  <c r="AH880" i="2"/>
  <c r="AG880" i="2"/>
  <c r="AF880" i="2"/>
  <c r="AE880" i="2"/>
  <c r="AD880" i="2"/>
  <c r="AC880" i="2"/>
  <c r="AJ879" i="2"/>
  <c r="AI879" i="2"/>
  <c r="AH879" i="2"/>
  <c r="AG879" i="2"/>
  <c r="AF879" i="2"/>
  <c r="AE879" i="2"/>
  <c r="AD879" i="2"/>
  <c r="AC879" i="2"/>
  <c r="AJ878" i="2"/>
  <c r="AI878" i="2"/>
  <c r="AH878" i="2"/>
  <c r="AG878" i="2"/>
  <c r="AF878" i="2"/>
  <c r="AE878" i="2"/>
  <c r="AD878" i="2"/>
  <c r="AC878" i="2"/>
  <c r="AJ877" i="2"/>
  <c r="AI877" i="2"/>
  <c r="AH877" i="2"/>
  <c r="AG877" i="2"/>
  <c r="AF877" i="2"/>
  <c r="AE877" i="2"/>
  <c r="AD877" i="2"/>
  <c r="AC877" i="2"/>
  <c r="AJ876" i="2"/>
  <c r="AI876" i="2"/>
  <c r="AH876" i="2"/>
  <c r="AG876" i="2"/>
  <c r="AF876" i="2"/>
  <c r="AE876" i="2"/>
  <c r="AD876" i="2"/>
  <c r="AC876" i="2"/>
  <c r="AJ875" i="2"/>
  <c r="AI875" i="2"/>
  <c r="AH875" i="2"/>
  <c r="AG875" i="2"/>
  <c r="AF875" i="2"/>
  <c r="AE875" i="2"/>
  <c r="AD875" i="2"/>
  <c r="AC875" i="2"/>
  <c r="AJ874" i="2"/>
  <c r="AI874" i="2"/>
  <c r="AH874" i="2"/>
  <c r="AG874" i="2"/>
  <c r="AF874" i="2"/>
  <c r="AE874" i="2"/>
  <c r="AD874" i="2"/>
  <c r="AC874" i="2"/>
  <c r="AJ873" i="2"/>
  <c r="AI873" i="2"/>
  <c r="AH873" i="2"/>
  <c r="AG873" i="2"/>
  <c r="AF873" i="2"/>
  <c r="AE873" i="2"/>
  <c r="AD873" i="2"/>
  <c r="AC873" i="2"/>
  <c r="AJ872" i="2"/>
  <c r="AI872" i="2"/>
  <c r="AH872" i="2"/>
  <c r="AG872" i="2"/>
  <c r="AF872" i="2"/>
  <c r="AE872" i="2"/>
  <c r="AD872" i="2"/>
  <c r="AC872" i="2"/>
  <c r="AJ871" i="2"/>
  <c r="AI871" i="2"/>
  <c r="AH871" i="2"/>
  <c r="AG871" i="2"/>
  <c r="AF871" i="2"/>
  <c r="AE871" i="2"/>
  <c r="AD871" i="2"/>
  <c r="AC871" i="2"/>
  <c r="AJ870" i="2"/>
  <c r="AI870" i="2"/>
  <c r="AH870" i="2"/>
  <c r="AG870" i="2"/>
  <c r="AF870" i="2"/>
  <c r="AE870" i="2"/>
  <c r="AD870" i="2"/>
  <c r="AC870" i="2"/>
  <c r="AJ869" i="2"/>
  <c r="AI869" i="2"/>
  <c r="AH869" i="2"/>
  <c r="AG869" i="2"/>
  <c r="AF869" i="2"/>
  <c r="AE869" i="2"/>
  <c r="AD869" i="2"/>
  <c r="AC869" i="2"/>
  <c r="AJ868" i="2"/>
  <c r="AI868" i="2"/>
  <c r="AH868" i="2"/>
  <c r="AG868" i="2"/>
  <c r="AF868" i="2"/>
  <c r="AE868" i="2"/>
  <c r="AD868" i="2"/>
  <c r="AC868" i="2"/>
  <c r="AJ867" i="2"/>
  <c r="AI867" i="2"/>
  <c r="AH867" i="2"/>
  <c r="AG867" i="2"/>
  <c r="AF867" i="2"/>
  <c r="AE867" i="2"/>
  <c r="AD867" i="2"/>
  <c r="AC867" i="2"/>
  <c r="AJ866" i="2"/>
  <c r="AI866" i="2"/>
  <c r="AH866" i="2"/>
  <c r="AG866" i="2"/>
  <c r="AF866" i="2"/>
  <c r="AE866" i="2"/>
  <c r="AD866" i="2"/>
  <c r="AC866" i="2"/>
  <c r="AJ865" i="2"/>
  <c r="AI865" i="2"/>
  <c r="AH865" i="2"/>
  <c r="AG865" i="2"/>
  <c r="AF865" i="2"/>
  <c r="AE865" i="2"/>
  <c r="AD865" i="2"/>
  <c r="AC865" i="2"/>
  <c r="AJ864" i="2"/>
  <c r="AI864" i="2"/>
  <c r="AH864" i="2"/>
  <c r="AG864" i="2"/>
  <c r="AF864" i="2"/>
  <c r="AE864" i="2"/>
  <c r="AD864" i="2"/>
  <c r="AC864" i="2"/>
  <c r="AJ863" i="2"/>
  <c r="AI863" i="2"/>
  <c r="AH863" i="2"/>
  <c r="AG863" i="2"/>
  <c r="AF863" i="2"/>
  <c r="AE863" i="2"/>
  <c r="AD863" i="2"/>
  <c r="AC863" i="2"/>
  <c r="AJ862" i="2"/>
  <c r="AI862" i="2"/>
  <c r="AH862" i="2"/>
  <c r="AG862" i="2"/>
  <c r="AF862" i="2"/>
  <c r="AE862" i="2"/>
  <c r="AD862" i="2"/>
  <c r="AC862" i="2"/>
  <c r="AJ861" i="2"/>
  <c r="AI861" i="2"/>
  <c r="AH861" i="2"/>
  <c r="AG861" i="2"/>
  <c r="AF861" i="2"/>
  <c r="AE861" i="2"/>
  <c r="AD861" i="2"/>
  <c r="AC861" i="2"/>
  <c r="AJ860" i="2"/>
  <c r="AI860" i="2"/>
  <c r="AH860" i="2"/>
  <c r="AG860" i="2"/>
  <c r="AF860" i="2"/>
  <c r="AE860" i="2"/>
  <c r="AD860" i="2"/>
  <c r="AC860" i="2"/>
  <c r="AJ859" i="2"/>
  <c r="AI859" i="2"/>
  <c r="AH859" i="2"/>
  <c r="AG859" i="2"/>
  <c r="AF859" i="2"/>
  <c r="AE859" i="2"/>
  <c r="AD859" i="2"/>
  <c r="AC859" i="2"/>
  <c r="AJ858" i="2"/>
  <c r="AI858" i="2"/>
  <c r="AH858" i="2"/>
  <c r="AG858" i="2"/>
  <c r="AF858" i="2"/>
  <c r="AE858" i="2"/>
  <c r="AD858" i="2"/>
  <c r="AC858" i="2"/>
  <c r="AJ857" i="2"/>
  <c r="AI857" i="2"/>
  <c r="AH857" i="2"/>
  <c r="AG857" i="2"/>
  <c r="AF857" i="2"/>
  <c r="AE857" i="2"/>
  <c r="AD857" i="2"/>
  <c r="AC857" i="2"/>
  <c r="AJ856" i="2"/>
  <c r="AI856" i="2"/>
  <c r="AH856" i="2"/>
  <c r="AG856" i="2"/>
  <c r="AF856" i="2"/>
  <c r="AE856" i="2"/>
  <c r="AD856" i="2"/>
  <c r="AC856" i="2"/>
  <c r="AJ855" i="2"/>
  <c r="AI855" i="2"/>
  <c r="AH855" i="2"/>
  <c r="AG855" i="2"/>
  <c r="AF855" i="2"/>
  <c r="AE855" i="2"/>
  <c r="AD855" i="2"/>
  <c r="AC855" i="2"/>
  <c r="AJ854" i="2"/>
  <c r="AI854" i="2"/>
  <c r="AH854" i="2"/>
  <c r="AG854" i="2"/>
  <c r="AF854" i="2"/>
  <c r="AE854" i="2"/>
  <c r="AD854" i="2"/>
  <c r="AC854" i="2"/>
  <c r="AJ853" i="2"/>
  <c r="AI853" i="2"/>
  <c r="AH853" i="2"/>
  <c r="AG853" i="2"/>
  <c r="AF853" i="2"/>
  <c r="AE853" i="2"/>
  <c r="AD853" i="2"/>
  <c r="AC853" i="2"/>
  <c r="AJ852" i="2"/>
  <c r="AI852" i="2"/>
  <c r="AH852" i="2"/>
  <c r="AG852" i="2"/>
  <c r="AF852" i="2"/>
  <c r="AE852" i="2"/>
  <c r="AD852" i="2"/>
  <c r="AC852" i="2"/>
  <c r="AJ851" i="2"/>
  <c r="AI851" i="2"/>
  <c r="AH851" i="2"/>
  <c r="AG851" i="2"/>
  <c r="AF851" i="2"/>
  <c r="AE851" i="2"/>
  <c r="AD851" i="2"/>
  <c r="AC851" i="2"/>
  <c r="AJ850" i="2"/>
  <c r="AI850" i="2"/>
  <c r="AH850" i="2"/>
  <c r="AG850" i="2"/>
  <c r="AF850" i="2"/>
  <c r="AE850" i="2"/>
  <c r="AD850" i="2"/>
  <c r="AC850" i="2"/>
  <c r="AJ849" i="2"/>
  <c r="AI849" i="2"/>
  <c r="AH849" i="2"/>
  <c r="AG849" i="2"/>
  <c r="AF849" i="2"/>
  <c r="AE849" i="2"/>
  <c r="AD849" i="2"/>
  <c r="AC849" i="2"/>
  <c r="AJ848" i="2"/>
  <c r="AI848" i="2"/>
  <c r="AH848" i="2"/>
  <c r="AG848" i="2"/>
  <c r="AF848" i="2"/>
  <c r="AE848" i="2"/>
  <c r="AD848" i="2"/>
  <c r="AC848" i="2"/>
  <c r="AJ847" i="2"/>
  <c r="AI847" i="2"/>
  <c r="AH847" i="2"/>
  <c r="AG847" i="2"/>
  <c r="AF847" i="2"/>
  <c r="AE847" i="2"/>
  <c r="AD847" i="2"/>
  <c r="AC847" i="2"/>
  <c r="AJ846" i="2"/>
  <c r="AI846" i="2"/>
  <c r="AH846" i="2"/>
  <c r="AG846" i="2"/>
  <c r="AF846" i="2"/>
  <c r="AE846" i="2"/>
  <c r="AD846" i="2"/>
  <c r="AC846" i="2"/>
  <c r="AJ845" i="2"/>
  <c r="AI845" i="2"/>
  <c r="AH845" i="2"/>
  <c r="AG845" i="2"/>
  <c r="AF845" i="2"/>
  <c r="AE845" i="2"/>
  <c r="AD845" i="2"/>
  <c r="AC845" i="2"/>
  <c r="AJ844" i="2"/>
  <c r="AI844" i="2"/>
  <c r="AH844" i="2"/>
  <c r="AG844" i="2"/>
  <c r="AF844" i="2"/>
  <c r="AE844" i="2"/>
  <c r="AD844" i="2"/>
  <c r="AC844" i="2"/>
  <c r="AJ843" i="2"/>
  <c r="AI843" i="2"/>
  <c r="AH843" i="2"/>
  <c r="AG843" i="2"/>
  <c r="AF843" i="2"/>
  <c r="AE843" i="2"/>
  <c r="AD843" i="2"/>
  <c r="AC843" i="2"/>
  <c r="AJ842" i="2"/>
  <c r="AI842" i="2"/>
  <c r="AH842" i="2"/>
  <c r="AG842" i="2"/>
  <c r="AF842" i="2"/>
  <c r="AE842" i="2"/>
  <c r="AD842" i="2"/>
  <c r="AC842" i="2"/>
  <c r="AJ841" i="2"/>
  <c r="AI841" i="2"/>
  <c r="AH841" i="2"/>
  <c r="AG841" i="2"/>
  <c r="AF841" i="2"/>
  <c r="AE841" i="2"/>
  <c r="AD841" i="2"/>
  <c r="AC841" i="2"/>
  <c r="AJ840" i="2"/>
  <c r="AI840" i="2"/>
  <c r="AH840" i="2"/>
  <c r="AG840" i="2"/>
  <c r="AF840" i="2"/>
  <c r="AE840" i="2"/>
  <c r="AD840" i="2"/>
  <c r="AC840" i="2"/>
  <c r="AJ839" i="2"/>
  <c r="AI839" i="2"/>
  <c r="AH839" i="2"/>
  <c r="AG839" i="2"/>
  <c r="AF839" i="2"/>
  <c r="AE839" i="2"/>
  <c r="AD839" i="2"/>
  <c r="AC839" i="2"/>
  <c r="AJ838" i="2"/>
  <c r="AI838" i="2"/>
  <c r="AH838" i="2"/>
  <c r="AG838" i="2"/>
  <c r="AF838" i="2"/>
  <c r="AE838" i="2"/>
  <c r="AD838" i="2"/>
  <c r="AC838" i="2"/>
  <c r="AJ837" i="2"/>
  <c r="AI837" i="2"/>
  <c r="AH837" i="2"/>
  <c r="AG837" i="2"/>
  <c r="AF837" i="2"/>
  <c r="AE837" i="2"/>
  <c r="AD837" i="2"/>
  <c r="AC837" i="2"/>
  <c r="AJ836" i="2"/>
  <c r="AI836" i="2"/>
  <c r="AH836" i="2"/>
  <c r="AG836" i="2"/>
  <c r="AF836" i="2"/>
  <c r="AE836" i="2"/>
  <c r="AD836" i="2"/>
  <c r="AC836" i="2"/>
  <c r="AJ835" i="2"/>
  <c r="AI835" i="2"/>
  <c r="AH835" i="2"/>
  <c r="AG835" i="2"/>
  <c r="AF835" i="2"/>
  <c r="AE835" i="2"/>
  <c r="AD835" i="2"/>
  <c r="AC835" i="2"/>
  <c r="AJ834" i="2"/>
  <c r="AI834" i="2"/>
  <c r="AH834" i="2"/>
  <c r="AG834" i="2"/>
  <c r="AF834" i="2"/>
  <c r="AE834" i="2"/>
  <c r="AD834" i="2"/>
  <c r="AC834" i="2"/>
  <c r="AJ833" i="2"/>
  <c r="AI833" i="2"/>
  <c r="AH833" i="2"/>
  <c r="AG833" i="2"/>
  <c r="AF833" i="2"/>
  <c r="AE833" i="2"/>
  <c r="AD833" i="2"/>
  <c r="AC833" i="2"/>
  <c r="AJ832" i="2"/>
  <c r="AI832" i="2"/>
  <c r="AH832" i="2"/>
  <c r="AG832" i="2"/>
  <c r="AF832" i="2"/>
  <c r="AE832" i="2"/>
  <c r="AD832" i="2"/>
  <c r="AC832" i="2"/>
  <c r="AJ831" i="2"/>
  <c r="AI831" i="2"/>
  <c r="AH831" i="2"/>
  <c r="AG831" i="2"/>
  <c r="AF831" i="2"/>
  <c r="AE831" i="2"/>
  <c r="AD831" i="2"/>
  <c r="AC831" i="2"/>
  <c r="AJ830" i="2"/>
  <c r="AI830" i="2"/>
  <c r="AH830" i="2"/>
  <c r="AG830" i="2"/>
  <c r="AF830" i="2"/>
  <c r="AE830" i="2"/>
  <c r="AD830" i="2"/>
  <c r="AC830" i="2"/>
  <c r="AJ829" i="2"/>
  <c r="AI829" i="2"/>
  <c r="AH829" i="2"/>
  <c r="AG829" i="2"/>
  <c r="AF829" i="2"/>
  <c r="AE829" i="2"/>
  <c r="AD829" i="2"/>
  <c r="AC829" i="2"/>
  <c r="AJ828" i="2"/>
  <c r="AI828" i="2"/>
  <c r="AH828" i="2"/>
  <c r="AG828" i="2"/>
  <c r="AF828" i="2"/>
  <c r="AE828" i="2"/>
  <c r="AD828" i="2"/>
  <c r="AC828" i="2"/>
  <c r="AJ827" i="2"/>
  <c r="AI827" i="2"/>
  <c r="AH827" i="2"/>
  <c r="AG827" i="2"/>
  <c r="AF827" i="2"/>
  <c r="AE827" i="2"/>
  <c r="AD827" i="2"/>
  <c r="AC827" i="2"/>
  <c r="AJ826" i="2"/>
  <c r="AI826" i="2"/>
  <c r="AH826" i="2"/>
  <c r="AG826" i="2"/>
  <c r="AF826" i="2"/>
  <c r="AE826" i="2"/>
  <c r="AD826" i="2"/>
  <c r="AC826" i="2"/>
  <c r="AJ825" i="2"/>
  <c r="AI825" i="2"/>
  <c r="AH825" i="2"/>
  <c r="AG825" i="2"/>
  <c r="AF825" i="2"/>
  <c r="AE825" i="2"/>
  <c r="AD825" i="2"/>
  <c r="AC825" i="2"/>
  <c r="AJ824" i="2"/>
  <c r="AI824" i="2"/>
  <c r="AH824" i="2"/>
  <c r="AG824" i="2"/>
  <c r="AF824" i="2"/>
  <c r="AE824" i="2"/>
  <c r="AD824" i="2"/>
  <c r="AC824" i="2"/>
  <c r="AJ823" i="2"/>
  <c r="AI823" i="2"/>
  <c r="AH823" i="2"/>
  <c r="AG823" i="2"/>
  <c r="AF823" i="2"/>
  <c r="AE823" i="2"/>
  <c r="AD823" i="2"/>
  <c r="AC823" i="2"/>
  <c r="AJ822" i="2"/>
  <c r="AI822" i="2"/>
  <c r="AH822" i="2"/>
  <c r="AG822" i="2"/>
  <c r="AF822" i="2"/>
  <c r="AE822" i="2"/>
  <c r="AD822" i="2"/>
  <c r="AC822" i="2"/>
  <c r="AJ821" i="2"/>
  <c r="AI821" i="2"/>
  <c r="AH821" i="2"/>
  <c r="AG821" i="2"/>
  <c r="AF821" i="2"/>
  <c r="AE821" i="2"/>
  <c r="AD821" i="2"/>
  <c r="AC821" i="2"/>
  <c r="AJ820" i="2"/>
  <c r="AI820" i="2"/>
  <c r="AH820" i="2"/>
  <c r="AG820" i="2"/>
  <c r="AF820" i="2"/>
  <c r="AE820" i="2"/>
  <c r="AD820" i="2"/>
  <c r="AC820" i="2"/>
  <c r="AJ819" i="2"/>
  <c r="AI819" i="2"/>
  <c r="AH819" i="2"/>
  <c r="AG819" i="2"/>
  <c r="AF819" i="2"/>
  <c r="AE819" i="2"/>
  <c r="AD819" i="2"/>
  <c r="AC819" i="2"/>
  <c r="AJ818" i="2"/>
  <c r="AI818" i="2"/>
  <c r="AH818" i="2"/>
  <c r="AG818" i="2"/>
  <c r="AF818" i="2"/>
  <c r="AE818" i="2"/>
  <c r="AD818" i="2"/>
  <c r="AC818" i="2"/>
  <c r="AJ817" i="2"/>
  <c r="AI817" i="2"/>
  <c r="AH817" i="2"/>
  <c r="AG817" i="2"/>
  <c r="AF817" i="2"/>
  <c r="AE817" i="2"/>
  <c r="AD817" i="2"/>
  <c r="AC817" i="2"/>
  <c r="AJ816" i="2"/>
  <c r="AI816" i="2"/>
  <c r="AH816" i="2"/>
  <c r="AG816" i="2"/>
  <c r="AF816" i="2"/>
  <c r="AE816" i="2"/>
  <c r="AD816" i="2"/>
  <c r="AC816" i="2"/>
  <c r="AJ815" i="2"/>
  <c r="AI815" i="2"/>
  <c r="AH815" i="2"/>
  <c r="AG815" i="2"/>
  <c r="AF815" i="2"/>
  <c r="AE815" i="2"/>
  <c r="AD815" i="2"/>
  <c r="AC815" i="2"/>
  <c r="AJ814" i="2"/>
  <c r="AI814" i="2"/>
  <c r="AH814" i="2"/>
  <c r="AG814" i="2"/>
  <c r="AF814" i="2"/>
  <c r="AE814" i="2"/>
  <c r="AD814" i="2"/>
  <c r="AC814" i="2"/>
  <c r="AJ813" i="2"/>
  <c r="AI813" i="2"/>
  <c r="AH813" i="2"/>
  <c r="AG813" i="2"/>
  <c r="AF813" i="2"/>
  <c r="AE813" i="2"/>
  <c r="AD813" i="2"/>
  <c r="AC813" i="2"/>
  <c r="AJ812" i="2"/>
  <c r="AI812" i="2"/>
  <c r="AH812" i="2"/>
  <c r="AG812" i="2"/>
  <c r="AF812" i="2"/>
  <c r="AE812" i="2"/>
  <c r="AD812" i="2"/>
  <c r="AC812" i="2"/>
  <c r="AJ811" i="2"/>
  <c r="AI811" i="2"/>
  <c r="AH811" i="2"/>
  <c r="AG811" i="2"/>
  <c r="AF811" i="2"/>
  <c r="AE811" i="2"/>
  <c r="AD811" i="2"/>
  <c r="AC811" i="2"/>
  <c r="AJ810" i="2"/>
  <c r="AI810" i="2"/>
  <c r="AH810" i="2"/>
  <c r="AG810" i="2"/>
  <c r="AF810" i="2"/>
  <c r="AE810" i="2"/>
  <c r="AD810" i="2"/>
  <c r="AC810" i="2"/>
  <c r="AJ809" i="2"/>
  <c r="AI809" i="2"/>
  <c r="AH809" i="2"/>
  <c r="AG809" i="2"/>
  <c r="AF809" i="2"/>
  <c r="AE809" i="2"/>
  <c r="AD809" i="2"/>
  <c r="AC809" i="2"/>
  <c r="AJ808" i="2"/>
  <c r="AI808" i="2"/>
  <c r="AH808" i="2"/>
  <c r="AG808" i="2"/>
  <c r="AF808" i="2"/>
  <c r="AE808" i="2"/>
  <c r="AD808" i="2"/>
  <c r="AC808" i="2"/>
  <c r="AJ807" i="2"/>
  <c r="AI807" i="2"/>
  <c r="AH807" i="2"/>
  <c r="AG807" i="2"/>
  <c r="AF807" i="2"/>
  <c r="AE807" i="2"/>
  <c r="AD807" i="2"/>
  <c r="AC807" i="2"/>
  <c r="AJ806" i="2"/>
  <c r="AI806" i="2"/>
  <c r="AH806" i="2"/>
  <c r="AG806" i="2"/>
  <c r="AF806" i="2"/>
  <c r="AE806" i="2"/>
  <c r="AD806" i="2"/>
  <c r="AC806" i="2"/>
  <c r="AJ805" i="2"/>
  <c r="AI805" i="2"/>
  <c r="AH805" i="2"/>
  <c r="AG805" i="2"/>
  <c r="AF805" i="2"/>
  <c r="AE805" i="2"/>
  <c r="AD805" i="2"/>
  <c r="AC805" i="2"/>
  <c r="AJ804" i="2"/>
  <c r="AI804" i="2"/>
  <c r="AH804" i="2"/>
  <c r="AG804" i="2"/>
  <c r="AF804" i="2"/>
  <c r="AE804" i="2"/>
  <c r="AD804" i="2"/>
  <c r="AC804" i="2"/>
  <c r="AJ803" i="2"/>
  <c r="AI803" i="2"/>
  <c r="AH803" i="2"/>
  <c r="AG803" i="2"/>
  <c r="AF803" i="2"/>
  <c r="AE803" i="2"/>
  <c r="AD803" i="2"/>
  <c r="AC803" i="2"/>
  <c r="AJ802" i="2"/>
  <c r="AI802" i="2"/>
  <c r="AH802" i="2"/>
  <c r="AG802" i="2"/>
  <c r="AF802" i="2"/>
  <c r="AE802" i="2"/>
  <c r="AD802" i="2"/>
  <c r="AC802" i="2"/>
  <c r="AJ801" i="2"/>
  <c r="AI801" i="2"/>
  <c r="AH801" i="2"/>
  <c r="AG801" i="2"/>
  <c r="AF801" i="2"/>
  <c r="AE801" i="2"/>
  <c r="AD801" i="2"/>
  <c r="AC801" i="2"/>
  <c r="AJ800" i="2"/>
  <c r="AI800" i="2"/>
  <c r="AH800" i="2"/>
  <c r="AG800" i="2"/>
  <c r="AF800" i="2"/>
  <c r="AE800" i="2"/>
  <c r="AD800" i="2"/>
  <c r="AC800" i="2"/>
  <c r="AJ799" i="2"/>
  <c r="AI799" i="2"/>
  <c r="AH799" i="2"/>
  <c r="AG799" i="2"/>
  <c r="AF799" i="2"/>
  <c r="AE799" i="2"/>
  <c r="AD799" i="2"/>
  <c r="AC799" i="2"/>
  <c r="AJ798" i="2"/>
  <c r="AI798" i="2"/>
  <c r="AH798" i="2"/>
  <c r="AG798" i="2"/>
  <c r="AF798" i="2"/>
  <c r="AE798" i="2"/>
  <c r="AD798" i="2"/>
  <c r="AC798" i="2"/>
  <c r="AJ797" i="2"/>
  <c r="AI797" i="2"/>
  <c r="AH797" i="2"/>
  <c r="AG797" i="2"/>
  <c r="AF797" i="2"/>
  <c r="AE797" i="2"/>
  <c r="AD797" i="2"/>
  <c r="AC797" i="2"/>
  <c r="AJ796" i="2"/>
  <c r="AI796" i="2"/>
  <c r="AH796" i="2"/>
  <c r="AG796" i="2"/>
  <c r="AF796" i="2"/>
  <c r="AE796" i="2"/>
  <c r="AD796" i="2"/>
  <c r="AC796" i="2"/>
  <c r="AJ795" i="2"/>
  <c r="AI795" i="2"/>
  <c r="AH795" i="2"/>
  <c r="AG795" i="2"/>
  <c r="AF795" i="2"/>
  <c r="AE795" i="2"/>
  <c r="AD795" i="2"/>
  <c r="AC795" i="2"/>
  <c r="AJ794" i="2"/>
  <c r="AI794" i="2"/>
  <c r="AH794" i="2"/>
  <c r="AG794" i="2"/>
  <c r="AF794" i="2"/>
  <c r="AE794" i="2"/>
  <c r="AD794" i="2"/>
  <c r="AC794" i="2"/>
  <c r="AJ793" i="2"/>
  <c r="AI793" i="2"/>
  <c r="AH793" i="2"/>
  <c r="AG793" i="2"/>
  <c r="AF793" i="2"/>
  <c r="AE793" i="2"/>
  <c r="AD793" i="2"/>
  <c r="AC793" i="2"/>
  <c r="AJ792" i="2"/>
  <c r="AI792" i="2"/>
  <c r="AH792" i="2"/>
  <c r="AG792" i="2"/>
  <c r="AF792" i="2"/>
  <c r="AE792" i="2"/>
  <c r="AD792" i="2"/>
  <c r="AC792" i="2"/>
  <c r="AJ791" i="2"/>
  <c r="AI791" i="2"/>
  <c r="AH791" i="2"/>
  <c r="AG791" i="2"/>
  <c r="AF791" i="2"/>
  <c r="AE791" i="2"/>
  <c r="AD791" i="2"/>
  <c r="AC791" i="2"/>
  <c r="AJ790" i="2"/>
  <c r="AI790" i="2"/>
  <c r="AH790" i="2"/>
  <c r="AG790" i="2"/>
  <c r="AF790" i="2"/>
  <c r="AE790" i="2"/>
  <c r="AD790" i="2"/>
  <c r="AC790" i="2"/>
  <c r="AJ789" i="2"/>
  <c r="AI789" i="2"/>
  <c r="AH789" i="2"/>
  <c r="AG789" i="2"/>
  <c r="AF789" i="2"/>
  <c r="AE789" i="2"/>
  <c r="AD789" i="2"/>
  <c r="AC789" i="2"/>
  <c r="AJ788" i="2"/>
  <c r="AI788" i="2"/>
  <c r="AH788" i="2"/>
  <c r="AG788" i="2"/>
  <c r="AF788" i="2"/>
  <c r="AE788" i="2"/>
  <c r="AD788" i="2"/>
  <c r="AC788" i="2"/>
  <c r="AJ787" i="2"/>
  <c r="AI787" i="2"/>
  <c r="AH787" i="2"/>
  <c r="AG787" i="2"/>
  <c r="AF787" i="2"/>
  <c r="AE787" i="2"/>
  <c r="AD787" i="2"/>
  <c r="AC787" i="2"/>
  <c r="AJ786" i="2"/>
  <c r="AI786" i="2"/>
  <c r="AH786" i="2"/>
  <c r="AG786" i="2"/>
  <c r="AF786" i="2"/>
  <c r="AE786" i="2"/>
  <c r="AD786" i="2"/>
  <c r="AC786" i="2"/>
  <c r="AJ785" i="2"/>
  <c r="AI785" i="2"/>
  <c r="AH785" i="2"/>
  <c r="AG785" i="2"/>
  <c r="AF785" i="2"/>
  <c r="AE785" i="2"/>
  <c r="AD785" i="2"/>
  <c r="AC785" i="2"/>
  <c r="AJ784" i="2"/>
  <c r="AI784" i="2"/>
  <c r="AH784" i="2"/>
  <c r="AG784" i="2"/>
  <c r="AF784" i="2"/>
  <c r="AE784" i="2"/>
  <c r="AD784" i="2"/>
  <c r="AC784" i="2"/>
  <c r="AJ783" i="2"/>
  <c r="AI783" i="2"/>
  <c r="AH783" i="2"/>
  <c r="AG783" i="2"/>
  <c r="AF783" i="2"/>
  <c r="AE783" i="2"/>
  <c r="AD783" i="2"/>
  <c r="AC783" i="2"/>
  <c r="AJ782" i="2"/>
  <c r="AI782" i="2"/>
  <c r="AH782" i="2"/>
  <c r="AG782" i="2"/>
  <c r="AF782" i="2"/>
  <c r="AE782" i="2"/>
  <c r="AD782" i="2"/>
  <c r="AC782" i="2"/>
  <c r="AJ781" i="2"/>
  <c r="AI781" i="2"/>
  <c r="AH781" i="2"/>
  <c r="AG781" i="2"/>
  <c r="AF781" i="2"/>
  <c r="AE781" i="2"/>
  <c r="AD781" i="2"/>
  <c r="AC781" i="2"/>
  <c r="AJ780" i="2"/>
  <c r="AI780" i="2"/>
  <c r="AH780" i="2"/>
  <c r="AG780" i="2"/>
  <c r="AF780" i="2"/>
  <c r="AE780" i="2"/>
  <c r="AD780" i="2"/>
  <c r="AC780" i="2"/>
  <c r="AJ779" i="2"/>
  <c r="AI779" i="2"/>
  <c r="AH779" i="2"/>
  <c r="AG779" i="2"/>
  <c r="AF779" i="2"/>
  <c r="AE779" i="2"/>
  <c r="AD779" i="2"/>
  <c r="AC779" i="2"/>
  <c r="AJ778" i="2"/>
  <c r="AI778" i="2"/>
  <c r="AH778" i="2"/>
  <c r="AG778" i="2"/>
  <c r="AF778" i="2"/>
  <c r="AE778" i="2"/>
  <c r="AD778" i="2"/>
  <c r="AC778" i="2"/>
  <c r="AJ777" i="2"/>
  <c r="AI777" i="2"/>
  <c r="AH777" i="2"/>
  <c r="AG777" i="2"/>
  <c r="AF777" i="2"/>
  <c r="AE777" i="2"/>
  <c r="AD777" i="2"/>
  <c r="AC777" i="2"/>
  <c r="AJ776" i="2"/>
  <c r="AI776" i="2"/>
  <c r="AH776" i="2"/>
  <c r="AG776" i="2"/>
  <c r="AF776" i="2"/>
  <c r="AE776" i="2"/>
  <c r="AD776" i="2"/>
  <c r="AC776" i="2"/>
  <c r="AJ775" i="2"/>
  <c r="AI775" i="2"/>
  <c r="AH775" i="2"/>
  <c r="AG775" i="2"/>
  <c r="AF775" i="2"/>
  <c r="AE775" i="2"/>
  <c r="AD775" i="2"/>
  <c r="AC775" i="2"/>
  <c r="AJ774" i="2"/>
  <c r="AI774" i="2"/>
  <c r="AH774" i="2"/>
  <c r="AG774" i="2"/>
  <c r="AF774" i="2"/>
  <c r="AE774" i="2"/>
  <c r="AD774" i="2"/>
  <c r="AC774" i="2"/>
  <c r="AJ773" i="2"/>
  <c r="AI773" i="2"/>
  <c r="AH773" i="2"/>
  <c r="AG773" i="2"/>
  <c r="AF773" i="2"/>
  <c r="AE773" i="2"/>
  <c r="AD773" i="2"/>
  <c r="AC773" i="2"/>
  <c r="AJ772" i="2"/>
  <c r="AI772" i="2"/>
  <c r="AH772" i="2"/>
  <c r="AG772" i="2"/>
  <c r="AF772" i="2"/>
  <c r="AE772" i="2"/>
  <c r="AD772" i="2"/>
  <c r="AC772" i="2"/>
  <c r="AJ771" i="2"/>
  <c r="AI771" i="2"/>
  <c r="AH771" i="2"/>
  <c r="AG771" i="2"/>
  <c r="AF771" i="2"/>
  <c r="AE771" i="2"/>
  <c r="AD771" i="2"/>
  <c r="AC771" i="2"/>
  <c r="AJ770" i="2"/>
  <c r="AI770" i="2"/>
  <c r="AH770" i="2"/>
  <c r="AG770" i="2"/>
  <c r="AF770" i="2"/>
  <c r="AE770" i="2"/>
  <c r="AD770" i="2"/>
  <c r="AC770" i="2"/>
  <c r="AJ769" i="2"/>
  <c r="AI769" i="2"/>
  <c r="AH769" i="2"/>
  <c r="AG769" i="2"/>
  <c r="AF769" i="2"/>
  <c r="AE769" i="2"/>
  <c r="AD769" i="2"/>
  <c r="AC769" i="2"/>
  <c r="AJ768" i="2"/>
  <c r="AI768" i="2"/>
  <c r="AH768" i="2"/>
  <c r="AG768" i="2"/>
  <c r="AF768" i="2"/>
  <c r="AE768" i="2"/>
  <c r="AD768" i="2"/>
  <c r="AC768" i="2"/>
  <c r="AJ767" i="2"/>
  <c r="AI767" i="2"/>
  <c r="AH767" i="2"/>
  <c r="AG767" i="2"/>
  <c r="AF767" i="2"/>
  <c r="AE767" i="2"/>
  <c r="AD767" i="2"/>
  <c r="AC767" i="2"/>
  <c r="AJ766" i="2"/>
  <c r="AI766" i="2"/>
  <c r="AH766" i="2"/>
  <c r="AG766" i="2"/>
  <c r="AF766" i="2"/>
  <c r="AE766" i="2"/>
  <c r="AD766" i="2"/>
  <c r="AC766" i="2"/>
  <c r="AJ765" i="2"/>
  <c r="AI765" i="2"/>
  <c r="AH765" i="2"/>
  <c r="AG765" i="2"/>
  <c r="AF765" i="2"/>
  <c r="AE765" i="2"/>
  <c r="AD765" i="2"/>
  <c r="AC765" i="2"/>
  <c r="AJ764" i="2"/>
  <c r="AI764" i="2"/>
  <c r="AH764" i="2"/>
  <c r="AG764" i="2"/>
  <c r="AF764" i="2"/>
  <c r="AE764" i="2"/>
  <c r="AD764" i="2"/>
  <c r="AC764" i="2"/>
  <c r="AJ763" i="2"/>
  <c r="AI763" i="2"/>
  <c r="AH763" i="2"/>
  <c r="AG763" i="2"/>
  <c r="AF763" i="2"/>
  <c r="AE763" i="2"/>
  <c r="AD763" i="2"/>
  <c r="AC763" i="2"/>
  <c r="AJ762" i="2"/>
  <c r="AI762" i="2"/>
  <c r="AH762" i="2"/>
  <c r="AG762" i="2"/>
  <c r="AF762" i="2"/>
  <c r="AE762" i="2"/>
  <c r="AD762" i="2"/>
  <c r="AC762" i="2"/>
  <c r="AJ761" i="2"/>
  <c r="AI761" i="2"/>
  <c r="AH761" i="2"/>
  <c r="AG761" i="2"/>
  <c r="AF761" i="2"/>
  <c r="AE761" i="2"/>
  <c r="AD761" i="2"/>
  <c r="AC761" i="2"/>
  <c r="AJ760" i="2"/>
  <c r="AI760" i="2"/>
  <c r="AH760" i="2"/>
  <c r="AG760" i="2"/>
  <c r="AF760" i="2"/>
  <c r="AE760" i="2"/>
  <c r="AD760" i="2"/>
  <c r="AC760" i="2"/>
  <c r="AJ759" i="2"/>
  <c r="AI759" i="2"/>
  <c r="AH759" i="2"/>
  <c r="AG759" i="2"/>
  <c r="AF759" i="2"/>
  <c r="AE759" i="2"/>
  <c r="AD759" i="2"/>
  <c r="AC759" i="2"/>
  <c r="AJ758" i="2"/>
  <c r="AI758" i="2"/>
  <c r="AH758" i="2"/>
  <c r="AG758" i="2"/>
  <c r="AF758" i="2"/>
  <c r="AE758" i="2"/>
  <c r="AD758" i="2"/>
  <c r="AC758" i="2"/>
  <c r="AJ757" i="2"/>
  <c r="AI757" i="2"/>
  <c r="AH757" i="2"/>
  <c r="AG757" i="2"/>
  <c r="AF757" i="2"/>
  <c r="AE757" i="2"/>
  <c r="AD757" i="2"/>
  <c r="AC757" i="2"/>
  <c r="AJ756" i="2"/>
  <c r="AI756" i="2"/>
  <c r="AH756" i="2"/>
  <c r="AG756" i="2"/>
  <c r="AF756" i="2"/>
  <c r="AE756" i="2"/>
  <c r="AD756" i="2"/>
  <c r="AC756" i="2"/>
  <c r="AJ755" i="2"/>
  <c r="AI755" i="2"/>
  <c r="AH755" i="2"/>
  <c r="AG755" i="2"/>
  <c r="AF755" i="2"/>
  <c r="AE755" i="2"/>
  <c r="AD755" i="2"/>
  <c r="AC755" i="2"/>
  <c r="AJ754" i="2"/>
  <c r="AI754" i="2"/>
  <c r="AH754" i="2"/>
  <c r="AG754" i="2"/>
  <c r="AF754" i="2"/>
  <c r="AE754" i="2"/>
  <c r="AD754" i="2"/>
  <c r="AC754" i="2"/>
  <c r="AJ753" i="2"/>
  <c r="AI753" i="2"/>
  <c r="AH753" i="2"/>
  <c r="AG753" i="2"/>
  <c r="AF753" i="2"/>
  <c r="AE753" i="2"/>
  <c r="AD753" i="2"/>
  <c r="AC753" i="2"/>
  <c r="AJ752" i="2"/>
  <c r="AI752" i="2"/>
  <c r="AH752" i="2"/>
  <c r="AG752" i="2"/>
  <c r="AF752" i="2"/>
  <c r="AE752" i="2"/>
  <c r="AD752" i="2"/>
  <c r="AC752" i="2"/>
  <c r="AJ751" i="2"/>
  <c r="AI751" i="2"/>
  <c r="AH751" i="2"/>
  <c r="AG751" i="2"/>
  <c r="AF751" i="2"/>
  <c r="AE751" i="2"/>
  <c r="AD751" i="2"/>
  <c r="AC751" i="2"/>
  <c r="AJ750" i="2"/>
  <c r="AI750" i="2"/>
  <c r="AH750" i="2"/>
  <c r="AG750" i="2"/>
  <c r="AF750" i="2"/>
  <c r="AE750" i="2"/>
  <c r="AD750" i="2"/>
  <c r="AC750" i="2"/>
  <c r="AJ749" i="2"/>
  <c r="AI749" i="2"/>
  <c r="AH749" i="2"/>
  <c r="AG749" i="2"/>
  <c r="AF749" i="2"/>
  <c r="AE749" i="2"/>
  <c r="AD749" i="2"/>
  <c r="AC749" i="2"/>
  <c r="AJ748" i="2"/>
  <c r="AI748" i="2"/>
  <c r="AH748" i="2"/>
  <c r="AG748" i="2"/>
  <c r="AF748" i="2"/>
  <c r="AE748" i="2"/>
  <c r="AD748" i="2"/>
  <c r="AC748" i="2"/>
  <c r="AJ747" i="2"/>
  <c r="AI747" i="2"/>
  <c r="AH747" i="2"/>
  <c r="AG747" i="2"/>
  <c r="AF747" i="2"/>
  <c r="AE747" i="2"/>
  <c r="AD747" i="2"/>
  <c r="AC747" i="2"/>
  <c r="AJ746" i="2"/>
  <c r="AI746" i="2"/>
  <c r="AH746" i="2"/>
  <c r="AG746" i="2"/>
  <c r="AF746" i="2"/>
  <c r="AE746" i="2"/>
  <c r="AD746" i="2"/>
  <c r="AC746" i="2"/>
  <c r="AJ745" i="2"/>
  <c r="AI745" i="2"/>
  <c r="AH745" i="2"/>
  <c r="AG745" i="2"/>
  <c r="AF745" i="2"/>
  <c r="AE745" i="2"/>
  <c r="AD745" i="2"/>
  <c r="AC745" i="2"/>
  <c r="AJ744" i="2"/>
  <c r="AI744" i="2"/>
  <c r="AH744" i="2"/>
  <c r="AG744" i="2"/>
  <c r="AF744" i="2"/>
  <c r="AE744" i="2"/>
  <c r="AD744" i="2"/>
  <c r="AC744" i="2"/>
  <c r="AJ743" i="2"/>
  <c r="AI743" i="2"/>
  <c r="AH743" i="2"/>
  <c r="AG743" i="2"/>
  <c r="AF743" i="2"/>
  <c r="AE743" i="2"/>
  <c r="AD743" i="2"/>
  <c r="AC743" i="2"/>
  <c r="AJ742" i="2"/>
  <c r="AI742" i="2"/>
  <c r="AH742" i="2"/>
  <c r="AG742" i="2"/>
  <c r="AF742" i="2"/>
  <c r="AE742" i="2"/>
  <c r="AD742" i="2"/>
  <c r="AC742" i="2"/>
  <c r="AJ741" i="2"/>
  <c r="AI741" i="2"/>
  <c r="AH741" i="2"/>
  <c r="AG741" i="2"/>
  <c r="AF741" i="2"/>
  <c r="AE741" i="2"/>
  <c r="AD741" i="2"/>
  <c r="AC741" i="2"/>
  <c r="AJ740" i="2"/>
  <c r="AI740" i="2"/>
  <c r="AH740" i="2"/>
  <c r="AG740" i="2"/>
  <c r="AF740" i="2"/>
  <c r="AE740" i="2"/>
  <c r="AD740" i="2"/>
  <c r="AC740" i="2"/>
  <c r="AJ739" i="2"/>
  <c r="AI739" i="2"/>
  <c r="AH739" i="2"/>
  <c r="AG739" i="2"/>
  <c r="AF739" i="2"/>
  <c r="AE739" i="2"/>
  <c r="AD739" i="2"/>
  <c r="AC739" i="2"/>
  <c r="AJ738" i="2"/>
  <c r="AI738" i="2"/>
  <c r="AH738" i="2"/>
  <c r="AG738" i="2"/>
  <c r="AF738" i="2"/>
  <c r="AE738" i="2"/>
  <c r="AD738" i="2"/>
  <c r="AC738" i="2"/>
  <c r="AJ737" i="2"/>
  <c r="AI737" i="2"/>
  <c r="AH737" i="2"/>
  <c r="AG737" i="2"/>
  <c r="AF737" i="2"/>
  <c r="AE737" i="2"/>
  <c r="AD737" i="2"/>
  <c r="AC737" i="2"/>
  <c r="AJ736" i="2"/>
  <c r="AI736" i="2"/>
  <c r="AH736" i="2"/>
  <c r="AG736" i="2"/>
  <c r="AF736" i="2"/>
  <c r="AE736" i="2"/>
  <c r="AD736" i="2"/>
  <c r="AC736" i="2"/>
  <c r="AJ735" i="2"/>
  <c r="AI735" i="2"/>
  <c r="AH735" i="2"/>
  <c r="AG735" i="2"/>
  <c r="AF735" i="2"/>
  <c r="AE735" i="2"/>
  <c r="AD735" i="2"/>
  <c r="AC735" i="2"/>
  <c r="AJ734" i="2"/>
  <c r="AI734" i="2"/>
  <c r="AH734" i="2"/>
  <c r="AG734" i="2"/>
  <c r="AF734" i="2"/>
  <c r="AE734" i="2"/>
  <c r="AD734" i="2"/>
  <c r="AC734" i="2"/>
  <c r="AJ733" i="2"/>
  <c r="AI733" i="2"/>
  <c r="AH733" i="2"/>
  <c r="AG733" i="2"/>
  <c r="AF733" i="2"/>
  <c r="AE733" i="2"/>
  <c r="AD733" i="2"/>
  <c r="AC733" i="2"/>
  <c r="AJ732" i="2"/>
  <c r="AI732" i="2"/>
  <c r="AH732" i="2"/>
  <c r="AG732" i="2"/>
  <c r="AF732" i="2"/>
  <c r="AE732" i="2"/>
  <c r="AD732" i="2"/>
  <c r="AC732" i="2"/>
  <c r="AJ731" i="2"/>
  <c r="AI731" i="2"/>
  <c r="AH731" i="2"/>
  <c r="AG731" i="2"/>
  <c r="AF731" i="2"/>
  <c r="AE731" i="2"/>
  <c r="AD731" i="2"/>
  <c r="AC731" i="2"/>
  <c r="AJ730" i="2"/>
  <c r="AI730" i="2"/>
  <c r="AH730" i="2"/>
  <c r="AG730" i="2"/>
  <c r="AF730" i="2"/>
  <c r="AE730" i="2"/>
  <c r="AD730" i="2"/>
  <c r="AC730" i="2"/>
  <c r="AJ729" i="2"/>
  <c r="AI729" i="2"/>
  <c r="AH729" i="2"/>
  <c r="AG729" i="2"/>
  <c r="AF729" i="2"/>
  <c r="AE729" i="2"/>
  <c r="AD729" i="2"/>
  <c r="AC729" i="2"/>
  <c r="AJ728" i="2"/>
  <c r="AI728" i="2"/>
  <c r="AH728" i="2"/>
  <c r="AG728" i="2"/>
  <c r="AF728" i="2"/>
  <c r="AE728" i="2"/>
  <c r="AD728" i="2"/>
  <c r="AC728" i="2"/>
  <c r="AJ727" i="2"/>
  <c r="AI727" i="2"/>
  <c r="AH727" i="2"/>
  <c r="AG727" i="2"/>
  <c r="AF727" i="2"/>
  <c r="AE727" i="2"/>
  <c r="AD727" i="2"/>
  <c r="AC727" i="2"/>
  <c r="AJ726" i="2"/>
  <c r="AI726" i="2"/>
  <c r="AH726" i="2"/>
  <c r="AG726" i="2"/>
  <c r="AF726" i="2"/>
  <c r="AE726" i="2"/>
  <c r="AD726" i="2"/>
  <c r="AC726" i="2"/>
  <c r="AJ725" i="2"/>
  <c r="AI725" i="2"/>
  <c r="AH725" i="2"/>
  <c r="AG725" i="2"/>
  <c r="AF725" i="2"/>
  <c r="AE725" i="2"/>
  <c r="AD725" i="2"/>
  <c r="AC725" i="2"/>
  <c r="AJ724" i="2"/>
  <c r="AI724" i="2"/>
  <c r="AH724" i="2"/>
  <c r="AG724" i="2"/>
  <c r="AF724" i="2"/>
  <c r="AE724" i="2"/>
  <c r="AD724" i="2"/>
  <c r="AC724" i="2"/>
  <c r="AJ723" i="2"/>
  <c r="AI723" i="2"/>
  <c r="AH723" i="2"/>
  <c r="AG723" i="2"/>
  <c r="AF723" i="2"/>
  <c r="AE723" i="2"/>
  <c r="AD723" i="2"/>
  <c r="AC723" i="2"/>
  <c r="AJ722" i="2"/>
  <c r="AI722" i="2"/>
  <c r="AH722" i="2"/>
  <c r="AG722" i="2"/>
  <c r="AF722" i="2"/>
  <c r="AE722" i="2"/>
  <c r="AD722" i="2"/>
  <c r="AC722" i="2"/>
  <c r="AJ721" i="2"/>
  <c r="AI721" i="2"/>
  <c r="AH721" i="2"/>
  <c r="AG721" i="2"/>
  <c r="AF721" i="2"/>
  <c r="AE721" i="2"/>
  <c r="AD721" i="2"/>
  <c r="AC721" i="2"/>
  <c r="AJ720" i="2"/>
  <c r="AI720" i="2"/>
  <c r="AH720" i="2"/>
  <c r="AG720" i="2"/>
  <c r="AF720" i="2"/>
  <c r="AE720" i="2"/>
  <c r="AD720" i="2"/>
  <c r="AC720" i="2"/>
  <c r="AJ719" i="2"/>
  <c r="AI719" i="2"/>
  <c r="AH719" i="2"/>
  <c r="AG719" i="2"/>
  <c r="AF719" i="2"/>
  <c r="AE719" i="2"/>
  <c r="AD719" i="2"/>
  <c r="AC719" i="2"/>
  <c r="AJ718" i="2"/>
  <c r="AI718" i="2"/>
  <c r="AH718" i="2"/>
  <c r="AG718" i="2"/>
  <c r="AF718" i="2"/>
  <c r="AE718" i="2"/>
  <c r="AD718" i="2"/>
  <c r="AC718" i="2"/>
  <c r="AJ717" i="2"/>
  <c r="AI717" i="2"/>
  <c r="AH717" i="2"/>
  <c r="AG717" i="2"/>
  <c r="AF717" i="2"/>
  <c r="AE717" i="2"/>
  <c r="AD717" i="2"/>
  <c r="AC717" i="2"/>
  <c r="AJ716" i="2"/>
  <c r="AI716" i="2"/>
  <c r="AH716" i="2"/>
  <c r="AG716" i="2"/>
  <c r="AF716" i="2"/>
  <c r="AE716" i="2"/>
  <c r="AD716" i="2"/>
  <c r="AC716" i="2"/>
  <c r="AJ715" i="2"/>
  <c r="AI715" i="2"/>
  <c r="AH715" i="2"/>
  <c r="AG715" i="2"/>
  <c r="AF715" i="2"/>
  <c r="AE715" i="2"/>
  <c r="AD715" i="2"/>
  <c r="AC715" i="2"/>
  <c r="AJ714" i="2"/>
  <c r="AI714" i="2"/>
  <c r="AH714" i="2"/>
  <c r="AG714" i="2"/>
  <c r="AF714" i="2"/>
  <c r="AE714" i="2"/>
  <c r="AD714" i="2"/>
  <c r="AC714" i="2"/>
  <c r="AJ713" i="2"/>
  <c r="AI713" i="2"/>
  <c r="AH713" i="2"/>
  <c r="AG713" i="2"/>
  <c r="AF713" i="2"/>
  <c r="AE713" i="2"/>
  <c r="AD713" i="2"/>
  <c r="AC713" i="2"/>
  <c r="AJ712" i="2"/>
  <c r="AI712" i="2"/>
  <c r="AH712" i="2"/>
  <c r="AG712" i="2"/>
  <c r="AF712" i="2"/>
  <c r="AE712" i="2"/>
  <c r="AD712" i="2"/>
  <c r="AC712" i="2"/>
  <c r="AJ711" i="2"/>
  <c r="AI711" i="2"/>
  <c r="AH711" i="2"/>
  <c r="AG711" i="2"/>
  <c r="AF711" i="2"/>
  <c r="AE711" i="2"/>
  <c r="AD711" i="2"/>
  <c r="AC711" i="2"/>
  <c r="AJ710" i="2"/>
  <c r="AI710" i="2"/>
  <c r="AH710" i="2"/>
  <c r="AG710" i="2"/>
  <c r="AF710" i="2"/>
  <c r="AE710" i="2"/>
  <c r="AD710" i="2"/>
  <c r="AC710" i="2"/>
  <c r="AJ709" i="2"/>
  <c r="AI709" i="2"/>
  <c r="AH709" i="2"/>
  <c r="AG709" i="2"/>
  <c r="AF709" i="2"/>
  <c r="AE709" i="2"/>
  <c r="AD709" i="2"/>
  <c r="AC709" i="2"/>
  <c r="AJ708" i="2"/>
  <c r="AI708" i="2"/>
  <c r="AH708" i="2"/>
  <c r="AG708" i="2"/>
  <c r="AF708" i="2"/>
  <c r="AE708" i="2"/>
  <c r="AD708" i="2"/>
  <c r="AC708" i="2"/>
  <c r="AJ707" i="2"/>
  <c r="AI707" i="2"/>
  <c r="AH707" i="2"/>
  <c r="AG707" i="2"/>
  <c r="AF707" i="2"/>
  <c r="AE707" i="2"/>
  <c r="AD707" i="2"/>
  <c r="AC707" i="2"/>
  <c r="AJ706" i="2"/>
  <c r="AI706" i="2"/>
  <c r="AH706" i="2"/>
  <c r="AG706" i="2"/>
  <c r="AF706" i="2"/>
  <c r="AE706" i="2"/>
  <c r="AD706" i="2"/>
  <c r="AC706" i="2"/>
  <c r="AJ705" i="2"/>
  <c r="AI705" i="2"/>
  <c r="AH705" i="2"/>
  <c r="AG705" i="2"/>
  <c r="AF705" i="2"/>
  <c r="AE705" i="2"/>
  <c r="AD705" i="2"/>
  <c r="AC705" i="2"/>
  <c r="AJ704" i="2"/>
  <c r="AI704" i="2"/>
  <c r="AH704" i="2"/>
  <c r="AG704" i="2"/>
  <c r="AF704" i="2"/>
  <c r="AE704" i="2"/>
  <c r="AD704" i="2"/>
  <c r="AC704" i="2"/>
  <c r="AJ703" i="2"/>
  <c r="AI703" i="2"/>
  <c r="AH703" i="2"/>
  <c r="AG703" i="2"/>
  <c r="AF703" i="2"/>
  <c r="AE703" i="2"/>
  <c r="AD703" i="2"/>
  <c r="AC703" i="2"/>
  <c r="AJ702" i="2"/>
  <c r="AI702" i="2"/>
  <c r="AH702" i="2"/>
  <c r="AG702" i="2"/>
  <c r="AF702" i="2"/>
  <c r="AE702" i="2"/>
  <c r="AD702" i="2"/>
  <c r="AC702" i="2"/>
  <c r="AJ701" i="2"/>
  <c r="AI701" i="2"/>
  <c r="AH701" i="2"/>
  <c r="AG701" i="2"/>
  <c r="AF701" i="2"/>
  <c r="AE701" i="2"/>
  <c r="AD701" i="2"/>
  <c r="AC701" i="2"/>
  <c r="AJ700" i="2"/>
  <c r="AI700" i="2"/>
  <c r="AH700" i="2"/>
  <c r="AG700" i="2"/>
  <c r="AF700" i="2"/>
  <c r="AE700" i="2"/>
  <c r="AD700" i="2"/>
  <c r="AC700" i="2"/>
  <c r="AJ699" i="2"/>
  <c r="AI699" i="2"/>
  <c r="AH699" i="2"/>
  <c r="AG699" i="2"/>
  <c r="AF699" i="2"/>
  <c r="AE699" i="2"/>
  <c r="AD699" i="2"/>
  <c r="AC699" i="2"/>
  <c r="AJ698" i="2"/>
  <c r="AI698" i="2"/>
  <c r="AH698" i="2"/>
  <c r="AG698" i="2"/>
  <c r="AF698" i="2"/>
  <c r="AE698" i="2"/>
  <c r="AD698" i="2"/>
  <c r="AC698" i="2"/>
  <c r="AJ697" i="2"/>
  <c r="AI697" i="2"/>
  <c r="AH697" i="2"/>
  <c r="AG697" i="2"/>
  <c r="AF697" i="2"/>
  <c r="AE697" i="2"/>
  <c r="AD697" i="2"/>
  <c r="AC697" i="2"/>
  <c r="AJ696" i="2"/>
  <c r="AI696" i="2"/>
  <c r="AH696" i="2"/>
  <c r="AG696" i="2"/>
  <c r="AF696" i="2"/>
  <c r="AE696" i="2"/>
  <c r="AD696" i="2"/>
  <c r="AC696" i="2"/>
  <c r="AJ695" i="2"/>
  <c r="AI695" i="2"/>
  <c r="AH695" i="2"/>
  <c r="AG695" i="2"/>
  <c r="AF695" i="2"/>
  <c r="AE695" i="2"/>
  <c r="AD695" i="2"/>
  <c r="AC695" i="2"/>
  <c r="AJ694" i="2"/>
  <c r="AI694" i="2"/>
  <c r="AH694" i="2"/>
  <c r="AG694" i="2"/>
  <c r="AF694" i="2"/>
  <c r="AE694" i="2"/>
  <c r="AD694" i="2"/>
  <c r="AC694" i="2"/>
  <c r="AJ693" i="2"/>
  <c r="AI693" i="2"/>
  <c r="AH693" i="2"/>
  <c r="AG693" i="2"/>
  <c r="AF693" i="2"/>
  <c r="AE693" i="2"/>
  <c r="AD693" i="2"/>
  <c r="AC693" i="2"/>
  <c r="AJ692" i="2"/>
  <c r="AI692" i="2"/>
  <c r="AH692" i="2"/>
  <c r="AG692" i="2"/>
  <c r="AF692" i="2"/>
  <c r="AE692" i="2"/>
  <c r="AD692" i="2"/>
  <c r="AC692" i="2"/>
  <c r="AJ691" i="2"/>
  <c r="AI691" i="2"/>
  <c r="AH691" i="2"/>
  <c r="AG691" i="2"/>
  <c r="AF691" i="2"/>
  <c r="AE691" i="2"/>
  <c r="AD691" i="2"/>
  <c r="AC691" i="2"/>
  <c r="AJ690" i="2"/>
  <c r="AI690" i="2"/>
  <c r="AH690" i="2"/>
  <c r="AG690" i="2"/>
  <c r="AF690" i="2"/>
  <c r="AE690" i="2"/>
  <c r="AD690" i="2"/>
  <c r="AC690" i="2"/>
  <c r="AJ689" i="2"/>
  <c r="AI689" i="2"/>
  <c r="AH689" i="2"/>
  <c r="AG689" i="2"/>
  <c r="AF689" i="2"/>
  <c r="AE689" i="2"/>
  <c r="AD689" i="2"/>
  <c r="AC689" i="2"/>
  <c r="AJ688" i="2"/>
  <c r="AI688" i="2"/>
  <c r="AH688" i="2"/>
  <c r="AG688" i="2"/>
  <c r="AF688" i="2"/>
  <c r="AE688" i="2"/>
  <c r="AD688" i="2"/>
  <c r="AC688" i="2"/>
  <c r="AJ687" i="2"/>
  <c r="AI687" i="2"/>
  <c r="AH687" i="2"/>
  <c r="AG687" i="2"/>
  <c r="AF687" i="2"/>
  <c r="AE687" i="2"/>
  <c r="AD687" i="2"/>
  <c r="AC687" i="2"/>
  <c r="AJ686" i="2"/>
  <c r="AI686" i="2"/>
  <c r="AH686" i="2"/>
  <c r="AG686" i="2"/>
  <c r="AF686" i="2"/>
  <c r="AE686" i="2"/>
  <c r="AD686" i="2"/>
  <c r="AC686" i="2"/>
  <c r="AJ685" i="2"/>
  <c r="AI685" i="2"/>
  <c r="AH685" i="2"/>
  <c r="AG685" i="2"/>
  <c r="AF685" i="2"/>
  <c r="AE685" i="2"/>
  <c r="AD685" i="2"/>
  <c r="AC685" i="2"/>
  <c r="AJ684" i="2"/>
  <c r="AI684" i="2"/>
  <c r="AH684" i="2"/>
  <c r="AG684" i="2"/>
  <c r="AF684" i="2"/>
  <c r="AE684" i="2"/>
  <c r="AD684" i="2"/>
  <c r="AC684" i="2"/>
  <c r="AJ683" i="2"/>
  <c r="AI683" i="2"/>
  <c r="AH683" i="2"/>
  <c r="AG683" i="2"/>
  <c r="AF683" i="2"/>
  <c r="AE683" i="2"/>
  <c r="AD683" i="2"/>
  <c r="AC683" i="2"/>
  <c r="AJ682" i="2"/>
  <c r="AI682" i="2"/>
  <c r="AH682" i="2"/>
  <c r="AG682" i="2"/>
  <c r="AF682" i="2"/>
  <c r="AE682" i="2"/>
  <c r="AD682" i="2"/>
  <c r="AC682" i="2"/>
  <c r="AJ681" i="2"/>
  <c r="AI681" i="2"/>
  <c r="AH681" i="2"/>
  <c r="AG681" i="2"/>
  <c r="AF681" i="2"/>
  <c r="AE681" i="2"/>
  <c r="AD681" i="2"/>
  <c r="AC681" i="2"/>
  <c r="AJ680" i="2"/>
  <c r="AI680" i="2"/>
  <c r="AH680" i="2"/>
  <c r="AG680" i="2"/>
  <c r="AF680" i="2"/>
  <c r="AE680" i="2"/>
  <c r="AD680" i="2"/>
  <c r="AC680" i="2"/>
  <c r="AJ679" i="2"/>
  <c r="AI679" i="2"/>
  <c r="AH679" i="2"/>
  <c r="AG679" i="2"/>
  <c r="AF679" i="2"/>
  <c r="AE679" i="2"/>
  <c r="AD679" i="2"/>
  <c r="AC679" i="2"/>
  <c r="AJ678" i="2"/>
  <c r="AI678" i="2"/>
  <c r="AH678" i="2"/>
  <c r="AG678" i="2"/>
  <c r="AF678" i="2"/>
  <c r="AE678" i="2"/>
  <c r="AD678" i="2"/>
  <c r="AC678" i="2"/>
  <c r="AJ677" i="2"/>
  <c r="AI677" i="2"/>
  <c r="AH677" i="2"/>
  <c r="AG677" i="2"/>
  <c r="AF677" i="2"/>
  <c r="AE677" i="2"/>
  <c r="AD677" i="2"/>
  <c r="AC677" i="2"/>
  <c r="AJ676" i="2"/>
  <c r="AI676" i="2"/>
  <c r="AH676" i="2"/>
  <c r="AG676" i="2"/>
  <c r="AF676" i="2"/>
  <c r="AE676" i="2"/>
  <c r="AD676" i="2"/>
  <c r="AC676" i="2"/>
  <c r="AJ675" i="2"/>
  <c r="AI675" i="2"/>
  <c r="AH675" i="2"/>
  <c r="AG675" i="2"/>
  <c r="AF675" i="2"/>
  <c r="AE675" i="2"/>
  <c r="AD675" i="2"/>
  <c r="AC675" i="2"/>
  <c r="AJ674" i="2"/>
  <c r="AI674" i="2"/>
  <c r="AH674" i="2"/>
  <c r="AG674" i="2"/>
  <c r="AF674" i="2"/>
  <c r="AE674" i="2"/>
  <c r="AD674" i="2"/>
  <c r="AC674" i="2"/>
  <c r="AJ673" i="2"/>
  <c r="AI673" i="2"/>
  <c r="AH673" i="2"/>
  <c r="AG673" i="2"/>
  <c r="AF673" i="2"/>
  <c r="AE673" i="2"/>
  <c r="AD673" i="2"/>
  <c r="AC673" i="2"/>
  <c r="AJ672" i="2"/>
  <c r="AI672" i="2"/>
  <c r="AH672" i="2"/>
  <c r="AG672" i="2"/>
  <c r="AF672" i="2"/>
  <c r="AE672" i="2"/>
  <c r="AD672" i="2"/>
  <c r="AC672" i="2"/>
  <c r="AJ671" i="2"/>
  <c r="AI671" i="2"/>
  <c r="AH671" i="2"/>
  <c r="AG671" i="2"/>
  <c r="AF671" i="2"/>
  <c r="AE671" i="2"/>
  <c r="AD671" i="2"/>
  <c r="AC671" i="2"/>
  <c r="AJ670" i="2"/>
  <c r="AI670" i="2"/>
  <c r="AH670" i="2"/>
  <c r="AG670" i="2"/>
  <c r="AF670" i="2"/>
  <c r="AE670" i="2"/>
  <c r="AD670" i="2"/>
  <c r="AC670" i="2"/>
  <c r="AJ669" i="2"/>
  <c r="AI669" i="2"/>
  <c r="AH669" i="2"/>
  <c r="AG669" i="2"/>
  <c r="AF669" i="2"/>
  <c r="AE669" i="2"/>
  <c r="AD669" i="2"/>
  <c r="AC669" i="2"/>
  <c r="AJ668" i="2"/>
  <c r="AI668" i="2"/>
  <c r="AH668" i="2"/>
  <c r="AG668" i="2"/>
  <c r="AF668" i="2"/>
  <c r="AE668" i="2"/>
  <c r="AD668" i="2"/>
  <c r="AC668" i="2"/>
  <c r="AJ667" i="2"/>
  <c r="AI667" i="2"/>
  <c r="AH667" i="2"/>
  <c r="AG667" i="2"/>
  <c r="AF667" i="2"/>
  <c r="AE667" i="2"/>
  <c r="AD667" i="2"/>
  <c r="AC667" i="2"/>
  <c r="AJ666" i="2"/>
  <c r="AI666" i="2"/>
  <c r="AH666" i="2"/>
  <c r="AG666" i="2"/>
  <c r="AF666" i="2"/>
  <c r="AE666" i="2"/>
  <c r="AD666" i="2"/>
  <c r="AC666" i="2"/>
  <c r="AJ665" i="2"/>
  <c r="AI665" i="2"/>
  <c r="AH665" i="2"/>
  <c r="AG665" i="2"/>
  <c r="AF665" i="2"/>
  <c r="AE665" i="2"/>
  <c r="AD665" i="2"/>
  <c r="AC665" i="2"/>
  <c r="AJ664" i="2"/>
  <c r="AI664" i="2"/>
  <c r="AH664" i="2"/>
  <c r="AG664" i="2"/>
  <c r="AF664" i="2"/>
  <c r="AE664" i="2"/>
  <c r="AD664" i="2"/>
  <c r="AC664" i="2"/>
  <c r="AJ663" i="2"/>
  <c r="AI663" i="2"/>
  <c r="AH663" i="2"/>
  <c r="AG663" i="2"/>
  <c r="AF663" i="2"/>
  <c r="AE663" i="2"/>
  <c r="AD663" i="2"/>
  <c r="AC663" i="2"/>
  <c r="AJ662" i="2"/>
  <c r="AI662" i="2"/>
  <c r="AH662" i="2"/>
  <c r="AG662" i="2"/>
  <c r="AF662" i="2"/>
  <c r="AE662" i="2"/>
  <c r="AD662" i="2"/>
  <c r="AC662" i="2"/>
  <c r="AJ661" i="2"/>
  <c r="AI661" i="2"/>
  <c r="AH661" i="2"/>
  <c r="AG661" i="2"/>
  <c r="AF661" i="2"/>
  <c r="AE661" i="2"/>
  <c r="AD661" i="2"/>
  <c r="AC661" i="2"/>
  <c r="AJ660" i="2"/>
  <c r="AI660" i="2"/>
  <c r="AH660" i="2"/>
  <c r="AG660" i="2"/>
  <c r="AF660" i="2"/>
  <c r="AE660" i="2"/>
  <c r="AD660" i="2"/>
  <c r="AC660" i="2"/>
  <c r="AJ659" i="2"/>
  <c r="AI659" i="2"/>
  <c r="AH659" i="2"/>
  <c r="AG659" i="2"/>
  <c r="AF659" i="2"/>
  <c r="AE659" i="2"/>
  <c r="AD659" i="2"/>
  <c r="AC659" i="2"/>
  <c r="AJ658" i="2"/>
  <c r="AI658" i="2"/>
  <c r="AH658" i="2"/>
  <c r="AG658" i="2"/>
  <c r="AF658" i="2"/>
  <c r="AE658" i="2"/>
  <c r="AD658" i="2"/>
  <c r="AC658" i="2"/>
  <c r="AJ657" i="2"/>
  <c r="AI657" i="2"/>
  <c r="AH657" i="2"/>
  <c r="AG657" i="2"/>
  <c r="AF657" i="2"/>
  <c r="AE657" i="2"/>
  <c r="AD657" i="2"/>
  <c r="AC657" i="2"/>
  <c r="AJ656" i="2"/>
  <c r="AI656" i="2"/>
  <c r="AH656" i="2"/>
  <c r="AG656" i="2"/>
  <c r="AF656" i="2"/>
  <c r="AE656" i="2"/>
  <c r="AD656" i="2"/>
  <c r="AC656" i="2"/>
  <c r="AJ655" i="2"/>
  <c r="AI655" i="2"/>
  <c r="AH655" i="2"/>
  <c r="AG655" i="2"/>
  <c r="AF655" i="2"/>
  <c r="AE655" i="2"/>
  <c r="AD655" i="2"/>
  <c r="AC655" i="2"/>
  <c r="AJ654" i="2"/>
  <c r="AI654" i="2"/>
  <c r="AH654" i="2"/>
  <c r="AG654" i="2"/>
  <c r="AF654" i="2"/>
  <c r="AE654" i="2"/>
  <c r="AD654" i="2"/>
  <c r="AC654" i="2"/>
  <c r="AJ653" i="2"/>
  <c r="AI653" i="2"/>
  <c r="AH653" i="2"/>
  <c r="AG653" i="2"/>
  <c r="AF653" i="2"/>
  <c r="AE653" i="2"/>
  <c r="AD653" i="2"/>
  <c r="AC653" i="2"/>
  <c r="AJ652" i="2"/>
  <c r="AI652" i="2"/>
  <c r="AH652" i="2"/>
  <c r="AG652" i="2"/>
  <c r="AF652" i="2"/>
  <c r="AE652" i="2"/>
  <c r="AD652" i="2"/>
  <c r="AC652" i="2"/>
  <c r="AJ651" i="2"/>
  <c r="AI651" i="2"/>
  <c r="AH651" i="2"/>
  <c r="AG651" i="2"/>
  <c r="AF651" i="2"/>
  <c r="AE651" i="2"/>
  <c r="AD651" i="2"/>
  <c r="AC651" i="2"/>
  <c r="AJ650" i="2"/>
  <c r="AI650" i="2"/>
  <c r="AH650" i="2"/>
  <c r="AG650" i="2"/>
  <c r="AF650" i="2"/>
  <c r="AE650" i="2"/>
  <c r="AD650" i="2"/>
  <c r="AC650" i="2"/>
  <c r="AJ649" i="2"/>
  <c r="AI649" i="2"/>
  <c r="AH649" i="2"/>
  <c r="AG649" i="2"/>
  <c r="AF649" i="2"/>
  <c r="AE649" i="2"/>
  <c r="AD649" i="2"/>
  <c r="AC649" i="2"/>
  <c r="AJ648" i="2"/>
  <c r="AI648" i="2"/>
  <c r="AH648" i="2"/>
  <c r="AG648" i="2"/>
  <c r="AF648" i="2"/>
  <c r="AE648" i="2"/>
  <c r="AD648" i="2"/>
  <c r="AC648" i="2"/>
  <c r="AJ647" i="2"/>
  <c r="AI647" i="2"/>
  <c r="AH647" i="2"/>
  <c r="AG647" i="2"/>
  <c r="AF647" i="2"/>
  <c r="AE647" i="2"/>
  <c r="AD647" i="2"/>
  <c r="AC647" i="2"/>
  <c r="AJ646" i="2"/>
  <c r="AI646" i="2"/>
  <c r="AH646" i="2"/>
  <c r="AG646" i="2"/>
  <c r="AF646" i="2"/>
  <c r="AE646" i="2"/>
  <c r="AD646" i="2"/>
  <c r="AC646" i="2"/>
  <c r="AJ645" i="2"/>
  <c r="AI645" i="2"/>
  <c r="AH645" i="2"/>
  <c r="AG645" i="2"/>
  <c r="AF645" i="2"/>
  <c r="AE645" i="2"/>
  <c r="AD645" i="2"/>
  <c r="AC645" i="2"/>
  <c r="AJ644" i="2"/>
  <c r="AI644" i="2"/>
  <c r="AH644" i="2"/>
  <c r="AG644" i="2"/>
  <c r="AF644" i="2"/>
  <c r="AE644" i="2"/>
  <c r="AD644" i="2"/>
  <c r="AC644" i="2"/>
  <c r="AJ643" i="2"/>
  <c r="AI643" i="2"/>
  <c r="AH643" i="2"/>
  <c r="AG643" i="2"/>
  <c r="AF643" i="2"/>
  <c r="AE643" i="2"/>
  <c r="AD643" i="2"/>
  <c r="AC643" i="2"/>
  <c r="AJ642" i="2"/>
  <c r="AI642" i="2"/>
  <c r="AH642" i="2"/>
  <c r="AG642" i="2"/>
  <c r="AF642" i="2"/>
  <c r="AE642" i="2"/>
  <c r="AD642" i="2"/>
  <c r="AC642" i="2"/>
  <c r="AJ641" i="2"/>
  <c r="AI641" i="2"/>
  <c r="AH641" i="2"/>
  <c r="AG641" i="2"/>
  <c r="AF641" i="2"/>
  <c r="AE641" i="2"/>
  <c r="AD641" i="2"/>
  <c r="AC641" i="2"/>
  <c r="AJ640" i="2"/>
  <c r="AI640" i="2"/>
  <c r="AH640" i="2"/>
  <c r="AG640" i="2"/>
  <c r="AF640" i="2"/>
  <c r="AE640" i="2"/>
  <c r="AD640" i="2"/>
  <c r="AC640" i="2"/>
  <c r="AJ639" i="2"/>
  <c r="AI639" i="2"/>
  <c r="AH639" i="2"/>
  <c r="AG639" i="2"/>
  <c r="AF639" i="2"/>
  <c r="AE639" i="2"/>
  <c r="AD639" i="2"/>
  <c r="AC639" i="2"/>
  <c r="AJ638" i="2"/>
  <c r="AI638" i="2"/>
  <c r="AH638" i="2"/>
  <c r="AG638" i="2"/>
  <c r="AF638" i="2"/>
  <c r="AE638" i="2"/>
  <c r="AD638" i="2"/>
  <c r="AC638" i="2"/>
  <c r="AJ637" i="2"/>
  <c r="AI637" i="2"/>
  <c r="AH637" i="2"/>
  <c r="AG637" i="2"/>
  <c r="AF637" i="2"/>
  <c r="AE637" i="2"/>
  <c r="AD637" i="2"/>
  <c r="AC637" i="2"/>
  <c r="AJ636" i="2"/>
  <c r="AI636" i="2"/>
  <c r="AH636" i="2"/>
  <c r="AG636" i="2"/>
  <c r="AF636" i="2"/>
  <c r="AE636" i="2"/>
  <c r="AD636" i="2"/>
  <c r="AC636" i="2"/>
  <c r="AJ635" i="2"/>
  <c r="AI635" i="2"/>
  <c r="AH635" i="2"/>
  <c r="AG635" i="2"/>
  <c r="AF635" i="2"/>
  <c r="AE635" i="2"/>
  <c r="AD635" i="2"/>
  <c r="AC635" i="2"/>
  <c r="AJ634" i="2"/>
  <c r="AI634" i="2"/>
  <c r="AH634" i="2"/>
  <c r="AG634" i="2"/>
  <c r="AF634" i="2"/>
  <c r="AE634" i="2"/>
  <c r="AD634" i="2"/>
  <c r="AC634" i="2"/>
  <c r="AJ633" i="2"/>
  <c r="AI633" i="2"/>
  <c r="AH633" i="2"/>
  <c r="AG633" i="2"/>
  <c r="AF633" i="2"/>
  <c r="AE633" i="2"/>
  <c r="AD633" i="2"/>
  <c r="AC633" i="2"/>
  <c r="AJ632" i="2"/>
  <c r="AI632" i="2"/>
  <c r="AH632" i="2"/>
  <c r="AG632" i="2"/>
  <c r="AF632" i="2"/>
  <c r="AE632" i="2"/>
  <c r="AD632" i="2"/>
  <c r="AC632" i="2"/>
  <c r="AJ631" i="2"/>
  <c r="AI631" i="2"/>
  <c r="AH631" i="2"/>
  <c r="AG631" i="2"/>
  <c r="AF631" i="2"/>
  <c r="AE631" i="2"/>
  <c r="AD631" i="2"/>
  <c r="AC631" i="2"/>
  <c r="AJ630" i="2"/>
  <c r="AI630" i="2"/>
  <c r="AH630" i="2"/>
  <c r="AG630" i="2"/>
  <c r="AF630" i="2"/>
  <c r="AE630" i="2"/>
  <c r="AD630" i="2"/>
  <c r="AC630" i="2"/>
  <c r="AJ629" i="2"/>
  <c r="AI629" i="2"/>
  <c r="AH629" i="2"/>
  <c r="AG629" i="2"/>
  <c r="AF629" i="2"/>
  <c r="AE629" i="2"/>
  <c r="AD629" i="2"/>
  <c r="AC629" i="2"/>
  <c r="AJ628" i="2"/>
  <c r="AI628" i="2"/>
  <c r="AH628" i="2"/>
  <c r="AG628" i="2"/>
  <c r="AF628" i="2"/>
  <c r="AE628" i="2"/>
  <c r="AD628" i="2"/>
  <c r="AC628" i="2"/>
  <c r="AJ627" i="2"/>
  <c r="AI627" i="2"/>
  <c r="AH627" i="2"/>
  <c r="AG627" i="2"/>
  <c r="AF627" i="2"/>
  <c r="AE627" i="2"/>
  <c r="AD627" i="2"/>
  <c r="AC627" i="2"/>
  <c r="AJ626" i="2"/>
  <c r="AI626" i="2"/>
  <c r="AH626" i="2"/>
  <c r="AG626" i="2"/>
  <c r="AF626" i="2"/>
  <c r="AE626" i="2"/>
  <c r="AD626" i="2"/>
  <c r="AC626" i="2"/>
  <c r="AJ625" i="2"/>
  <c r="AI625" i="2"/>
  <c r="AH625" i="2"/>
  <c r="AG625" i="2"/>
  <c r="AF625" i="2"/>
  <c r="AE625" i="2"/>
  <c r="AD625" i="2"/>
  <c r="AC625" i="2"/>
  <c r="AJ624" i="2"/>
  <c r="AI624" i="2"/>
  <c r="AH624" i="2"/>
  <c r="AG624" i="2"/>
  <c r="AF624" i="2"/>
  <c r="AE624" i="2"/>
  <c r="AD624" i="2"/>
  <c r="AC624" i="2"/>
  <c r="AJ623" i="2"/>
  <c r="AI623" i="2"/>
  <c r="AH623" i="2"/>
  <c r="AG623" i="2"/>
  <c r="AF623" i="2"/>
  <c r="AE623" i="2"/>
  <c r="AD623" i="2"/>
  <c r="AC623" i="2"/>
  <c r="AJ622" i="2"/>
  <c r="AI622" i="2"/>
  <c r="AH622" i="2"/>
  <c r="AG622" i="2"/>
  <c r="AF622" i="2"/>
  <c r="AE622" i="2"/>
  <c r="AD622" i="2"/>
  <c r="AC622" i="2"/>
  <c r="AJ621" i="2"/>
  <c r="AI621" i="2"/>
  <c r="AH621" i="2"/>
  <c r="AG621" i="2"/>
  <c r="AF621" i="2"/>
  <c r="AE621" i="2"/>
  <c r="AD621" i="2"/>
  <c r="AC621" i="2"/>
  <c r="AJ620" i="2"/>
  <c r="AI620" i="2"/>
  <c r="AH620" i="2"/>
  <c r="AG620" i="2"/>
  <c r="AF620" i="2"/>
  <c r="AE620" i="2"/>
  <c r="AD620" i="2"/>
  <c r="AC620" i="2"/>
  <c r="AJ619" i="2"/>
  <c r="AI619" i="2"/>
  <c r="AH619" i="2"/>
  <c r="AG619" i="2"/>
  <c r="AF619" i="2"/>
  <c r="AE619" i="2"/>
  <c r="AD619" i="2"/>
  <c r="AC619" i="2"/>
  <c r="AJ618" i="2"/>
  <c r="AI618" i="2"/>
  <c r="AH618" i="2"/>
  <c r="AG618" i="2"/>
  <c r="AF618" i="2"/>
  <c r="AE618" i="2"/>
  <c r="AD618" i="2"/>
  <c r="AC618" i="2"/>
  <c r="AJ617" i="2"/>
  <c r="AI617" i="2"/>
  <c r="AH617" i="2"/>
  <c r="AG617" i="2"/>
  <c r="AF617" i="2"/>
  <c r="AE617" i="2"/>
  <c r="AD617" i="2"/>
  <c r="AC617" i="2"/>
  <c r="AJ616" i="2"/>
  <c r="AI616" i="2"/>
  <c r="AH616" i="2"/>
  <c r="AG616" i="2"/>
  <c r="AF616" i="2"/>
  <c r="AE616" i="2"/>
  <c r="AD616" i="2"/>
  <c r="AC616" i="2"/>
  <c r="AJ615" i="2"/>
  <c r="AI615" i="2"/>
  <c r="AH615" i="2"/>
  <c r="AG615" i="2"/>
  <c r="AF615" i="2"/>
  <c r="AE615" i="2"/>
  <c r="AD615" i="2"/>
  <c r="AC615" i="2"/>
  <c r="AJ614" i="2"/>
  <c r="AI614" i="2"/>
  <c r="AH614" i="2"/>
  <c r="AG614" i="2"/>
  <c r="AF614" i="2"/>
  <c r="AE614" i="2"/>
  <c r="AD614" i="2"/>
  <c r="AC614" i="2"/>
  <c r="AJ613" i="2"/>
  <c r="AI613" i="2"/>
  <c r="AH613" i="2"/>
  <c r="AG613" i="2"/>
  <c r="AF613" i="2"/>
  <c r="AE613" i="2"/>
  <c r="AD613" i="2"/>
  <c r="AC613" i="2"/>
  <c r="AJ612" i="2"/>
  <c r="AI612" i="2"/>
  <c r="AH612" i="2"/>
  <c r="AG612" i="2"/>
  <c r="AF612" i="2"/>
  <c r="AE612" i="2"/>
  <c r="AD612" i="2"/>
  <c r="AC612" i="2"/>
  <c r="AJ611" i="2"/>
  <c r="AI611" i="2"/>
  <c r="AH611" i="2"/>
  <c r="AG611" i="2"/>
  <c r="AF611" i="2"/>
  <c r="AE611" i="2"/>
  <c r="AD611" i="2"/>
  <c r="AC611" i="2"/>
  <c r="AJ610" i="2"/>
  <c r="AI610" i="2"/>
  <c r="AH610" i="2"/>
  <c r="AG610" i="2"/>
  <c r="AF610" i="2"/>
  <c r="AE610" i="2"/>
  <c r="AD610" i="2"/>
  <c r="AC610" i="2"/>
  <c r="AJ609" i="2"/>
  <c r="AI609" i="2"/>
  <c r="AH609" i="2"/>
  <c r="AG609" i="2"/>
  <c r="AF609" i="2"/>
  <c r="AE609" i="2"/>
  <c r="AD609" i="2"/>
  <c r="AC609" i="2"/>
  <c r="AJ608" i="2"/>
  <c r="AI608" i="2"/>
  <c r="AH608" i="2"/>
  <c r="AG608" i="2"/>
  <c r="AF608" i="2"/>
  <c r="AE608" i="2"/>
  <c r="AD608" i="2"/>
  <c r="AC608" i="2"/>
  <c r="AJ607" i="2"/>
  <c r="AI607" i="2"/>
  <c r="AH607" i="2"/>
  <c r="AG607" i="2"/>
  <c r="AF607" i="2"/>
  <c r="AE607" i="2"/>
  <c r="AD607" i="2"/>
  <c r="AC607" i="2"/>
  <c r="AJ606" i="2"/>
  <c r="AI606" i="2"/>
  <c r="AH606" i="2"/>
  <c r="AG606" i="2"/>
  <c r="AF606" i="2"/>
  <c r="AE606" i="2"/>
  <c r="AD606" i="2"/>
  <c r="AC606" i="2"/>
  <c r="AJ605" i="2"/>
  <c r="AI605" i="2"/>
  <c r="AH605" i="2"/>
  <c r="AG605" i="2"/>
  <c r="AF605" i="2"/>
  <c r="AE605" i="2"/>
  <c r="AD605" i="2"/>
  <c r="AC605" i="2"/>
  <c r="AJ604" i="2"/>
  <c r="AI604" i="2"/>
  <c r="AH604" i="2"/>
  <c r="AG604" i="2"/>
  <c r="AF604" i="2"/>
  <c r="AE604" i="2"/>
  <c r="AD604" i="2"/>
  <c r="AC604" i="2"/>
  <c r="AJ603" i="2"/>
  <c r="AI603" i="2"/>
  <c r="AH603" i="2"/>
  <c r="AG603" i="2"/>
  <c r="AF603" i="2"/>
  <c r="AE603" i="2"/>
  <c r="AD603" i="2"/>
  <c r="AC603" i="2"/>
  <c r="AJ602" i="2"/>
  <c r="AI602" i="2"/>
  <c r="AH602" i="2"/>
  <c r="AG602" i="2"/>
  <c r="AF602" i="2"/>
  <c r="AE602" i="2"/>
  <c r="AD602" i="2"/>
  <c r="AC602" i="2"/>
  <c r="AJ601" i="2"/>
  <c r="AI601" i="2"/>
  <c r="AH601" i="2"/>
  <c r="AG601" i="2"/>
  <c r="AF601" i="2"/>
  <c r="AE601" i="2"/>
  <c r="AD601" i="2"/>
  <c r="AC601" i="2"/>
  <c r="AJ600" i="2"/>
  <c r="AI600" i="2"/>
  <c r="AH600" i="2"/>
  <c r="AG600" i="2"/>
  <c r="AF600" i="2"/>
  <c r="AE600" i="2"/>
  <c r="AD600" i="2"/>
  <c r="AC600" i="2"/>
  <c r="AJ599" i="2"/>
  <c r="AI599" i="2"/>
  <c r="AH599" i="2"/>
  <c r="AG599" i="2"/>
  <c r="AF599" i="2"/>
  <c r="AE599" i="2"/>
  <c r="AD599" i="2"/>
  <c r="AC599" i="2"/>
  <c r="AJ598" i="2"/>
  <c r="AI598" i="2"/>
  <c r="AH598" i="2"/>
  <c r="AG598" i="2"/>
  <c r="AF598" i="2"/>
  <c r="AE598" i="2"/>
  <c r="AD598" i="2"/>
  <c r="AC598" i="2"/>
  <c r="AJ597" i="2"/>
  <c r="AI597" i="2"/>
  <c r="AH597" i="2"/>
  <c r="AG597" i="2"/>
  <c r="AF597" i="2"/>
  <c r="AE597" i="2"/>
  <c r="AD597" i="2"/>
  <c r="AC597" i="2"/>
  <c r="AJ596" i="2"/>
  <c r="AI596" i="2"/>
  <c r="AH596" i="2"/>
  <c r="AG596" i="2"/>
  <c r="AF596" i="2"/>
  <c r="AE596" i="2"/>
  <c r="AD596" i="2"/>
  <c r="AC596" i="2"/>
  <c r="AJ595" i="2"/>
  <c r="AI595" i="2"/>
  <c r="AH595" i="2"/>
  <c r="AG595" i="2"/>
  <c r="AF595" i="2"/>
  <c r="AE595" i="2"/>
  <c r="AD595" i="2"/>
  <c r="AC595" i="2"/>
  <c r="AJ594" i="2"/>
  <c r="AI594" i="2"/>
  <c r="AH594" i="2"/>
  <c r="AG594" i="2"/>
  <c r="AF594" i="2"/>
  <c r="AE594" i="2"/>
  <c r="AD594" i="2"/>
  <c r="AC594" i="2"/>
  <c r="AJ593" i="2"/>
  <c r="AI593" i="2"/>
  <c r="AH593" i="2"/>
  <c r="AG593" i="2"/>
  <c r="AF593" i="2"/>
  <c r="AE593" i="2"/>
  <c r="AD593" i="2"/>
  <c r="AC593" i="2"/>
  <c r="AJ592" i="2"/>
  <c r="AI592" i="2"/>
  <c r="AH592" i="2"/>
  <c r="AG592" i="2"/>
  <c r="AF592" i="2"/>
  <c r="AE592" i="2"/>
  <c r="AD592" i="2"/>
  <c r="AC592" i="2"/>
  <c r="AJ591" i="2"/>
  <c r="AI591" i="2"/>
  <c r="AH591" i="2"/>
  <c r="AG591" i="2"/>
  <c r="AF591" i="2"/>
  <c r="AE591" i="2"/>
  <c r="AD591" i="2"/>
  <c r="AC591" i="2"/>
  <c r="AJ590" i="2"/>
  <c r="AI590" i="2"/>
  <c r="AH590" i="2"/>
  <c r="AG590" i="2"/>
  <c r="AF590" i="2"/>
  <c r="AE590" i="2"/>
  <c r="AD590" i="2"/>
  <c r="AC590" i="2"/>
  <c r="AJ589" i="2"/>
  <c r="AI589" i="2"/>
  <c r="AH589" i="2"/>
  <c r="AG589" i="2"/>
  <c r="AF589" i="2"/>
  <c r="AE589" i="2"/>
  <c r="AD589" i="2"/>
  <c r="AC589" i="2"/>
  <c r="AJ588" i="2"/>
  <c r="AI588" i="2"/>
  <c r="AH588" i="2"/>
  <c r="AG588" i="2"/>
  <c r="AF588" i="2"/>
  <c r="AE588" i="2"/>
  <c r="AD588" i="2"/>
  <c r="AC588" i="2"/>
  <c r="AJ587" i="2"/>
  <c r="AI587" i="2"/>
  <c r="AH587" i="2"/>
  <c r="AG587" i="2"/>
  <c r="AF587" i="2"/>
  <c r="AE587" i="2"/>
  <c r="AD587" i="2"/>
  <c r="AC587" i="2"/>
  <c r="AJ586" i="2"/>
  <c r="AI586" i="2"/>
  <c r="AH586" i="2"/>
  <c r="AG586" i="2"/>
  <c r="AF586" i="2"/>
  <c r="AE586" i="2"/>
  <c r="AD586" i="2"/>
  <c r="AC586" i="2"/>
  <c r="AJ585" i="2"/>
  <c r="AI585" i="2"/>
  <c r="AH585" i="2"/>
  <c r="AG585" i="2"/>
  <c r="AF585" i="2"/>
  <c r="AE585" i="2"/>
  <c r="AD585" i="2"/>
  <c r="AC585" i="2"/>
  <c r="AJ584" i="2"/>
  <c r="AI584" i="2"/>
  <c r="AH584" i="2"/>
  <c r="AG584" i="2"/>
  <c r="AF584" i="2"/>
  <c r="AE584" i="2"/>
  <c r="AD584" i="2"/>
  <c r="AC584" i="2"/>
  <c r="AJ583" i="2"/>
  <c r="AI583" i="2"/>
  <c r="AH583" i="2"/>
  <c r="AG583" i="2"/>
  <c r="AF583" i="2"/>
  <c r="AE583" i="2"/>
  <c r="AD583" i="2"/>
  <c r="AC583" i="2"/>
  <c r="AJ582" i="2"/>
  <c r="AI582" i="2"/>
  <c r="AH582" i="2"/>
  <c r="AG582" i="2"/>
  <c r="AF582" i="2"/>
  <c r="AE582" i="2"/>
  <c r="AD582" i="2"/>
  <c r="AC582" i="2"/>
  <c r="AJ581" i="2"/>
  <c r="AI581" i="2"/>
  <c r="AH581" i="2"/>
  <c r="AG581" i="2"/>
  <c r="AF581" i="2"/>
  <c r="AE581" i="2"/>
  <c r="AD581" i="2"/>
  <c r="AC581" i="2"/>
  <c r="AJ580" i="2"/>
  <c r="AI580" i="2"/>
  <c r="AH580" i="2"/>
  <c r="AG580" i="2"/>
  <c r="AF580" i="2"/>
  <c r="AE580" i="2"/>
  <c r="AD580" i="2"/>
  <c r="AC580" i="2"/>
  <c r="AJ579" i="2"/>
  <c r="AI579" i="2"/>
  <c r="AH579" i="2"/>
  <c r="AG579" i="2"/>
  <c r="AF579" i="2"/>
  <c r="AE579" i="2"/>
  <c r="AD579" i="2"/>
  <c r="AC579" i="2"/>
  <c r="AJ578" i="2"/>
  <c r="AI578" i="2"/>
  <c r="AH578" i="2"/>
  <c r="AG578" i="2"/>
  <c r="AF578" i="2"/>
  <c r="AE578" i="2"/>
  <c r="AD578" i="2"/>
  <c r="AC578" i="2"/>
  <c r="AJ577" i="2"/>
  <c r="AI577" i="2"/>
  <c r="AH577" i="2"/>
  <c r="AG577" i="2"/>
  <c r="AF577" i="2"/>
  <c r="AE577" i="2"/>
  <c r="AD577" i="2"/>
  <c r="AC577" i="2"/>
  <c r="AJ576" i="2"/>
  <c r="AI576" i="2"/>
  <c r="AH576" i="2"/>
  <c r="AG576" i="2"/>
  <c r="AF576" i="2"/>
  <c r="AE576" i="2"/>
  <c r="AD576" i="2"/>
  <c r="AC576" i="2"/>
  <c r="AJ575" i="2"/>
  <c r="AI575" i="2"/>
  <c r="AH575" i="2"/>
  <c r="AG575" i="2"/>
  <c r="AF575" i="2"/>
  <c r="AE575" i="2"/>
  <c r="AD575" i="2"/>
  <c r="AC575" i="2"/>
  <c r="AJ574" i="2"/>
  <c r="AI574" i="2"/>
  <c r="AH574" i="2"/>
  <c r="AG574" i="2"/>
  <c r="AF574" i="2"/>
  <c r="AE574" i="2"/>
  <c r="AD574" i="2"/>
  <c r="AC574" i="2"/>
  <c r="AJ573" i="2"/>
  <c r="AI573" i="2"/>
  <c r="AH573" i="2"/>
  <c r="AG573" i="2"/>
  <c r="AF573" i="2"/>
  <c r="AE573" i="2"/>
  <c r="AD573" i="2"/>
  <c r="AC573" i="2"/>
  <c r="AJ572" i="2"/>
  <c r="AI572" i="2"/>
  <c r="AH572" i="2"/>
  <c r="AG572" i="2"/>
  <c r="AF572" i="2"/>
  <c r="AE572" i="2"/>
  <c r="AD572" i="2"/>
  <c r="AC572" i="2"/>
  <c r="AJ571" i="2"/>
  <c r="AI571" i="2"/>
  <c r="AH571" i="2"/>
  <c r="AG571" i="2"/>
  <c r="AF571" i="2"/>
  <c r="AE571" i="2"/>
  <c r="AD571" i="2"/>
  <c r="AC571" i="2"/>
  <c r="AJ570" i="2"/>
  <c r="AI570" i="2"/>
  <c r="AH570" i="2"/>
  <c r="AG570" i="2"/>
  <c r="AF570" i="2"/>
  <c r="AE570" i="2"/>
  <c r="AD570" i="2"/>
  <c r="AC570" i="2"/>
  <c r="AJ569" i="2"/>
  <c r="AI569" i="2"/>
  <c r="AH569" i="2"/>
  <c r="AG569" i="2"/>
  <c r="AF569" i="2"/>
  <c r="AE569" i="2"/>
  <c r="AD569" i="2"/>
  <c r="AC569" i="2"/>
  <c r="AJ568" i="2"/>
  <c r="AI568" i="2"/>
  <c r="AH568" i="2"/>
  <c r="AG568" i="2"/>
  <c r="AF568" i="2"/>
  <c r="AE568" i="2"/>
  <c r="AD568" i="2"/>
  <c r="AC568" i="2"/>
  <c r="AJ567" i="2"/>
  <c r="AI567" i="2"/>
  <c r="AH567" i="2"/>
  <c r="AG567" i="2"/>
  <c r="AF567" i="2"/>
  <c r="AE567" i="2"/>
  <c r="AD567" i="2"/>
  <c r="AC567" i="2"/>
  <c r="AJ566" i="2"/>
  <c r="AI566" i="2"/>
  <c r="AH566" i="2"/>
  <c r="AG566" i="2"/>
  <c r="AF566" i="2"/>
  <c r="AE566" i="2"/>
  <c r="AD566" i="2"/>
  <c r="AC566" i="2"/>
  <c r="AJ565" i="2"/>
  <c r="AI565" i="2"/>
  <c r="AH565" i="2"/>
  <c r="AG565" i="2"/>
  <c r="AF565" i="2"/>
  <c r="AE565" i="2"/>
  <c r="AD565" i="2"/>
  <c r="AC565" i="2"/>
  <c r="AJ564" i="2"/>
  <c r="AI564" i="2"/>
  <c r="AH564" i="2"/>
  <c r="AG564" i="2"/>
  <c r="AF564" i="2"/>
  <c r="AE564" i="2"/>
  <c r="AD564" i="2"/>
  <c r="AC564" i="2"/>
  <c r="AJ563" i="2"/>
  <c r="AI563" i="2"/>
  <c r="AH563" i="2"/>
  <c r="AG563" i="2"/>
  <c r="AF563" i="2"/>
  <c r="AE563" i="2"/>
  <c r="AD563" i="2"/>
  <c r="AC563" i="2"/>
  <c r="AJ562" i="2"/>
  <c r="AI562" i="2"/>
  <c r="AH562" i="2"/>
  <c r="AG562" i="2"/>
  <c r="AF562" i="2"/>
  <c r="AE562" i="2"/>
  <c r="AD562" i="2"/>
  <c r="AC562" i="2"/>
  <c r="AJ561" i="2"/>
  <c r="AI561" i="2"/>
  <c r="AH561" i="2"/>
  <c r="AG561" i="2"/>
  <c r="AF561" i="2"/>
  <c r="AE561" i="2"/>
  <c r="AD561" i="2"/>
  <c r="AC561" i="2"/>
  <c r="AJ560" i="2"/>
  <c r="AI560" i="2"/>
  <c r="AH560" i="2"/>
  <c r="AG560" i="2"/>
  <c r="AF560" i="2"/>
  <c r="AE560" i="2"/>
  <c r="AD560" i="2"/>
  <c r="AC560" i="2"/>
  <c r="AJ559" i="2"/>
  <c r="AI559" i="2"/>
  <c r="AH559" i="2"/>
  <c r="AG559" i="2"/>
  <c r="AF559" i="2"/>
  <c r="AE559" i="2"/>
  <c r="AD559" i="2"/>
  <c r="AC559" i="2"/>
  <c r="AJ558" i="2"/>
  <c r="AI558" i="2"/>
  <c r="AH558" i="2"/>
  <c r="AG558" i="2"/>
  <c r="AF558" i="2"/>
  <c r="AE558" i="2"/>
  <c r="AD558" i="2"/>
  <c r="AC558" i="2"/>
  <c r="AJ557" i="2"/>
  <c r="AI557" i="2"/>
  <c r="AH557" i="2"/>
  <c r="AG557" i="2"/>
  <c r="AF557" i="2"/>
  <c r="AE557" i="2"/>
  <c r="AD557" i="2"/>
  <c r="AC557" i="2"/>
  <c r="AJ556" i="2"/>
  <c r="AI556" i="2"/>
  <c r="AH556" i="2"/>
  <c r="AG556" i="2"/>
  <c r="AF556" i="2"/>
  <c r="AE556" i="2"/>
  <c r="AD556" i="2"/>
  <c r="AC556" i="2"/>
  <c r="AJ555" i="2"/>
  <c r="AI555" i="2"/>
  <c r="AH555" i="2"/>
  <c r="AG555" i="2"/>
  <c r="AF555" i="2"/>
  <c r="AE555" i="2"/>
  <c r="AD555" i="2"/>
  <c r="AC555" i="2"/>
  <c r="AJ554" i="2"/>
  <c r="AI554" i="2"/>
  <c r="AH554" i="2"/>
  <c r="AG554" i="2"/>
  <c r="AF554" i="2"/>
  <c r="AE554" i="2"/>
  <c r="AD554" i="2"/>
  <c r="AC554" i="2"/>
  <c r="AJ553" i="2"/>
  <c r="AI553" i="2"/>
  <c r="AH553" i="2"/>
  <c r="AG553" i="2"/>
  <c r="AF553" i="2"/>
  <c r="AE553" i="2"/>
  <c r="AD553" i="2"/>
  <c r="AC553" i="2"/>
  <c r="AJ552" i="2"/>
  <c r="AI552" i="2"/>
  <c r="AH552" i="2"/>
  <c r="AG552" i="2"/>
  <c r="AF552" i="2"/>
  <c r="AE552" i="2"/>
  <c r="AD552" i="2"/>
  <c r="AC552" i="2"/>
  <c r="AJ551" i="2"/>
  <c r="AI551" i="2"/>
  <c r="AH551" i="2"/>
  <c r="AG551" i="2"/>
  <c r="AF551" i="2"/>
  <c r="AE551" i="2"/>
  <c r="AD551" i="2"/>
  <c r="AC551" i="2"/>
  <c r="AJ550" i="2"/>
  <c r="AI550" i="2"/>
  <c r="AH550" i="2"/>
  <c r="AG550" i="2"/>
  <c r="AF550" i="2"/>
  <c r="AE550" i="2"/>
  <c r="AD550" i="2"/>
  <c r="AC550" i="2"/>
  <c r="AJ549" i="2"/>
  <c r="AI549" i="2"/>
  <c r="AH549" i="2"/>
  <c r="AG549" i="2"/>
  <c r="AF549" i="2"/>
  <c r="AE549" i="2"/>
  <c r="AD549" i="2"/>
  <c r="AC549" i="2"/>
  <c r="AJ548" i="2"/>
  <c r="AI548" i="2"/>
  <c r="AH548" i="2"/>
  <c r="AG548" i="2"/>
  <c r="AF548" i="2"/>
  <c r="AE548" i="2"/>
  <c r="AD548" i="2"/>
  <c r="AC548" i="2"/>
  <c r="AJ547" i="2"/>
  <c r="AI547" i="2"/>
  <c r="AH547" i="2"/>
  <c r="AG547" i="2"/>
  <c r="AF547" i="2"/>
  <c r="AE547" i="2"/>
  <c r="AD547" i="2"/>
  <c r="AC547" i="2"/>
  <c r="AJ546" i="2"/>
  <c r="AI546" i="2"/>
  <c r="AH546" i="2"/>
  <c r="AG546" i="2"/>
  <c r="AF546" i="2"/>
  <c r="AE546" i="2"/>
  <c r="AD546" i="2"/>
  <c r="AC546" i="2"/>
  <c r="AJ545" i="2"/>
  <c r="AI545" i="2"/>
  <c r="AH545" i="2"/>
  <c r="AG545" i="2"/>
  <c r="AF545" i="2"/>
  <c r="AE545" i="2"/>
  <c r="AD545" i="2"/>
  <c r="AC545" i="2"/>
  <c r="AJ544" i="2"/>
  <c r="AI544" i="2"/>
  <c r="AH544" i="2"/>
  <c r="AG544" i="2"/>
  <c r="AF544" i="2"/>
  <c r="AE544" i="2"/>
  <c r="AD544" i="2"/>
  <c r="AC544" i="2"/>
  <c r="AJ543" i="2"/>
  <c r="AI543" i="2"/>
  <c r="AH543" i="2"/>
  <c r="AG543" i="2"/>
  <c r="AF543" i="2"/>
  <c r="AE543" i="2"/>
  <c r="AD543" i="2"/>
  <c r="AC543" i="2"/>
  <c r="AJ542" i="2"/>
  <c r="AI542" i="2"/>
  <c r="AH542" i="2"/>
  <c r="AG542" i="2"/>
  <c r="AF542" i="2"/>
  <c r="AE542" i="2"/>
  <c r="AD542" i="2"/>
  <c r="AC542" i="2"/>
  <c r="AJ541" i="2"/>
  <c r="AI541" i="2"/>
  <c r="AH541" i="2"/>
  <c r="AG541" i="2"/>
  <c r="AF541" i="2"/>
  <c r="AE541" i="2"/>
  <c r="AD541" i="2"/>
  <c r="AC541" i="2"/>
  <c r="AJ540" i="2"/>
  <c r="AI540" i="2"/>
  <c r="AH540" i="2"/>
  <c r="AG540" i="2"/>
  <c r="AF540" i="2"/>
  <c r="AE540" i="2"/>
  <c r="AD540" i="2"/>
  <c r="AC540" i="2"/>
  <c r="AJ539" i="2"/>
  <c r="AI539" i="2"/>
  <c r="AH539" i="2"/>
  <c r="AG539" i="2"/>
  <c r="AF539" i="2"/>
  <c r="AE539" i="2"/>
  <c r="AD539" i="2"/>
  <c r="AC539" i="2"/>
  <c r="AJ538" i="2"/>
  <c r="AI538" i="2"/>
  <c r="AH538" i="2"/>
  <c r="AG538" i="2"/>
  <c r="AF538" i="2"/>
  <c r="AE538" i="2"/>
  <c r="AD538" i="2"/>
  <c r="AC538" i="2"/>
  <c r="AJ537" i="2"/>
  <c r="AI537" i="2"/>
  <c r="AH537" i="2"/>
  <c r="AG537" i="2"/>
  <c r="AF537" i="2"/>
  <c r="AE537" i="2"/>
  <c r="AD537" i="2"/>
  <c r="AC537" i="2"/>
  <c r="AJ536" i="2"/>
  <c r="AI536" i="2"/>
  <c r="AH536" i="2"/>
  <c r="AG536" i="2"/>
  <c r="AF536" i="2"/>
  <c r="AE536" i="2"/>
  <c r="AD536" i="2"/>
  <c r="AC536" i="2"/>
  <c r="AJ535" i="2"/>
  <c r="AI535" i="2"/>
  <c r="AH535" i="2"/>
  <c r="AG535" i="2"/>
  <c r="AF535" i="2"/>
  <c r="AE535" i="2"/>
  <c r="AD535" i="2"/>
  <c r="AC535" i="2"/>
  <c r="AJ534" i="2"/>
  <c r="AI534" i="2"/>
  <c r="AH534" i="2"/>
  <c r="AG534" i="2"/>
  <c r="AF534" i="2"/>
  <c r="AE534" i="2"/>
  <c r="AD534" i="2"/>
  <c r="AC534" i="2"/>
  <c r="AJ533" i="2"/>
  <c r="AI533" i="2"/>
  <c r="AH533" i="2"/>
  <c r="AG533" i="2"/>
  <c r="AF533" i="2"/>
  <c r="AE533" i="2"/>
  <c r="AD533" i="2"/>
  <c r="AC533" i="2"/>
  <c r="AJ532" i="2"/>
  <c r="AI532" i="2"/>
  <c r="AH532" i="2"/>
  <c r="AG532" i="2"/>
  <c r="AF532" i="2"/>
  <c r="AE532" i="2"/>
  <c r="AD532" i="2"/>
  <c r="AC532" i="2"/>
  <c r="AJ531" i="2"/>
  <c r="AI531" i="2"/>
  <c r="AH531" i="2"/>
  <c r="AG531" i="2"/>
  <c r="AF531" i="2"/>
  <c r="AE531" i="2"/>
  <c r="AD531" i="2"/>
  <c r="AC531" i="2"/>
  <c r="AJ530" i="2"/>
  <c r="AI530" i="2"/>
  <c r="AH530" i="2"/>
  <c r="AG530" i="2"/>
  <c r="AF530" i="2"/>
  <c r="AE530" i="2"/>
  <c r="AD530" i="2"/>
  <c r="AC530" i="2"/>
  <c r="AJ529" i="2"/>
  <c r="AI529" i="2"/>
  <c r="AH529" i="2"/>
  <c r="AG529" i="2"/>
  <c r="AF529" i="2"/>
  <c r="AE529" i="2"/>
  <c r="AD529" i="2"/>
  <c r="AC529" i="2"/>
  <c r="AJ528" i="2"/>
  <c r="AI528" i="2"/>
  <c r="AH528" i="2"/>
  <c r="AG528" i="2"/>
  <c r="AF528" i="2"/>
  <c r="AE528" i="2"/>
  <c r="AD528" i="2"/>
  <c r="AC528" i="2"/>
  <c r="AJ527" i="2"/>
  <c r="AI527" i="2"/>
  <c r="AH527" i="2"/>
  <c r="AG527" i="2"/>
  <c r="AF527" i="2"/>
  <c r="AE527" i="2"/>
  <c r="AD527" i="2"/>
  <c r="AC527" i="2"/>
  <c r="AJ526" i="2"/>
  <c r="AI526" i="2"/>
  <c r="AH526" i="2"/>
  <c r="AG526" i="2"/>
  <c r="AF526" i="2"/>
  <c r="AE526" i="2"/>
  <c r="AD526" i="2"/>
  <c r="AC526" i="2"/>
  <c r="AJ525" i="2"/>
  <c r="AI525" i="2"/>
  <c r="AH525" i="2"/>
  <c r="AG525" i="2"/>
  <c r="AF525" i="2"/>
  <c r="AE525" i="2"/>
  <c r="AD525" i="2"/>
  <c r="AC525" i="2"/>
  <c r="AJ524" i="2"/>
  <c r="AI524" i="2"/>
  <c r="AH524" i="2"/>
  <c r="AG524" i="2"/>
  <c r="AF524" i="2"/>
  <c r="AE524" i="2"/>
  <c r="AD524" i="2"/>
  <c r="AC524" i="2"/>
  <c r="AJ523" i="2"/>
  <c r="AI523" i="2"/>
  <c r="AH523" i="2"/>
  <c r="AG523" i="2"/>
  <c r="AF523" i="2"/>
  <c r="AE523" i="2"/>
  <c r="AD523" i="2"/>
  <c r="AC523" i="2"/>
  <c r="AJ522" i="2"/>
  <c r="AI522" i="2"/>
  <c r="AH522" i="2"/>
  <c r="AG522" i="2"/>
  <c r="AF522" i="2"/>
  <c r="AE522" i="2"/>
  <c r="AD522" i="2"/>
  <c r="AC522" i="2"/>
  <c r="AJ521" i="2"/>
  <c r="AI521" i="2"/>
  <c r="AH521" i="2"/>
  <c r="AG521" i="2"/>
  <c r="AF521" i="2"/>
  <c r="AE521" i="2"/>
  <c r="AD521" i="2"/>
  <c r="AC521" i="2"/>
  <c r="AJ520" i="2"/>
  <c r="AI520" i="2"/>
  <c r="AH520" i="2"/>
  <c r="AG520" i="2"/>
  <c r="AF520" i="2"/>
  <c r="AE520" i="2"/>
  <c r="AD520" i="2"/>
  <c r="AC520" i="2"/>
  <c r="AJ519" i="2"/>
  <c r="AI519" i="2"/>
  <c r="AH519" i="2"/>
  <c r="AG519" i="2"/>
  <c r="AF519" i="2"/>
  <c r="AE519" i="2"/>
  <c r="AD519" i="2"/>
  <c r="AC519" i="2"/>
  <c r="AJ518" i="2"/>
  <c r="AI518" i="2"/>
  <c r="AH518" i="2"/>
  <c r="AG518" i="2"/>
  <c r="AF518" i="2"/>
  <c r="AE518" i="2"/>
  <c r="AD518" i="2"/>
  <c r="AC518" i="2"/>
  <c r="AJ517" i="2"/>
  <c r="AI517" i="2"/>
  <c r="AH517" i="2"/>
  <c r="AG517" i="2"/>
  <c r="AF517" i="2"/>
  <c r="AE517" i="2"/>
  <c r="AD517" i="2"/>
  <c r="AC517" i="2"/>
  <c r="AJ516" i="2"/>
  <c r="AI516" i="2"/>
  <c r="AH516" i="2"/>
  <c r="AG516" i="2"/>
  <c r="AF516" i="2"/>
  <c r="AE516" i="2"/>
  <c r="AD516" i="2"/>
  <c r="AC516" i="2"/>
  <c r="AJ515" i="2"/>
  <c r="AI515" i="2"/>
  <c r="AH515" i="2"/>
  <c r="AG515" i="2"/>
  <c r="AF515" i="2"/>
  <c r="AE515" i="2"/>
  <c r="AD515" i="2"/>
  <c r="AC515" i="2"/>
  <c r="AJ514" i="2"/>
  <c r="AI514" i="2"/>
  <c r="AH514" i="2"/>
  <c r="AG514" i="2"/>
  <c r="AF514" i="2"/>
  <c r="AE514" i="2"/>
  <c r="AD514" i="2"/>
  <c r="AC514" i="2"/>
  <c r="AJ513" i="2"/>
  <c r="AI513" i="2"/>
  <c r="AH513" i="2"/>
  <c r="AG513" i="2"/>
  <c r="AF513" i="2"/>
  <c r="AE513" i="2"/>
  <c r="AD513" i="2"/>
  <c r="AC513" i="2"/>
  <c r="AJ512" i="2"/>
  <c r="AI512" i="2"/>
  <c r="AH512" i="2"/>
  <c r="AG512" i="2"/>
  <c r="AF512" i="2"/>
  <c r="AE512" i="2"/>
  <c r="AD512" i="2"/>
  <c r="AC512" i="2"/>
  <c r="AJ511" i="2"/>
  <c r="AI511" i="2"/>
  <c r="AH511" i="2"/>
  <c r="AG511" i="2"/>
  <c r="AF511" i="2"/>
  <c r="AE511" i="2"/>
  <c r="AD511" i="2"/>
  <c r="AC511" i="2"/>
  <c r="AJ510" i="2"/>
  <c r="AI510" i="2"/>
  <c r="AH510" i="2"/>
  <c r="AG510" i="2"/>
  <c r="AF510" i="2"/>
  <c r="AE510" i="2"/>
  <c r="AD510" i="2"/>
  <c r="AC510" i="2"/>
  <c r="AJ509" i="2"/>
  <c r="AI509" i="2"/>
  <c r="AH509" i="2"/>
  <c r="AG509" i="2"/>
  <c r="AF509" i="2"/>
  <c r="AE509" i="2"/>
  <c r="AD509" i="2"/>
  <c r="AC509" i="2"/>
  <c r="AJ508" i="2"/>
  <c r="AI508" i="2"/>
  <c r="AH508" i="2"/>
  <c r="AG508" i="2"/>
  <c r="AF508" i="2"/>
  <c r="AE508" i="2"/>
  <c r="AD508" i="2"/>
  <c r="AC508" i="2"/>
  <c r="AJ507" i="2"/>
  <c r="AI507" i="2"/>
  <c r="AH507" i="2"/>
  <c r="AG507" i="2"/>
  <c r="AF507" i="2"/>
  <c r="AE507" i="2"/>
  <c r="AD507" i="2"/>
  <c r="AC507" i="2"/>
  <c r="AJ506" i="2"/>
  <c r="AI506" i="2"/>
  <c r="AH506" i="2"/>
  <c r="AG506" i="2"/>
  <c r="AF506" i="2"/>
  <c r="AE506" i="2"/>
  <c r="AD506" i="2"/>
  <c r="AC506" i="2"/>
  <c r="AJ505" i="2"/>
  <c r="AI505" i="2"/>
  <c r="AH505" i="2"/>
  <c r="AG505" i="2"/>
  <c r="AF505" i="2"/>
  <c r="AE505" i="2"/>
  <c r="AD505" i="2"/>
  <c r="AC505" i="2"/>
  <c r="AJ504" i="2"/>
  <c r="AI504" i="2"/>
  <c r="AH504" i="2"/>
  <c r="AG504" i="2"/>
  <c r="AF504" i="2"/>
  <c r="AE504" i="2"/>
  <c r="AD504" i="2"/>
  <c r="AC504" i="2"/>
  <c r="AJ503" i="2"/>
  <c r="AI503" i="2"/>
  <c r="AH503" i="2"/>
  <c r="AG503" i="2"/>
  <c r="AF503" i="2"/>
  <c r="AE503" i="2"/>
  <c r="AD503" i="2"/>
  <c r="AC503" i="2"/>
  <c r="AJ502" i="2"/>
  <c r="AI502" i="2"/>
  <c r="AH502" i="2"/>
  <c r="AG502" i="2"/>
  <c r="AF502" i="2"/>
  <c r="AE502" i="2"/>
  <c r="AD502" i="2"/>
  <c r="AC502" i="2"/>
  <c r="AJ501" i="2"/>
  <c r="AI501" i="2"/>
  <c r="AH501" i="2"/>
  <c r="AG501" i="2"/>
  <c r="AF501" i="2"/>
  <c r="AE501" i="2"/>
  <c r="AD501" i="2"/>
  <c r="AC501" i="2"/>
  <c r="AJ500" i="2"/>
  <c r="AI500" i="2"/>
  <c r="AH500" i="2"/>
  <c r="AG500" i="2"/>
  <c r="AF500" i="2"/>
  <c r="AE500" i="2"/>
  <c r="AD500" i="2"/>
  <c r="AC500" i="2"/>
  <c r="AJ499" i="2"/>
  <c r="AI499" i="2"/>
  <c r="AH499" i="2"/>
  <c r="AG499" i="2"/>
  <c r="AF499" i="2"/>
  <c r="AE499" i="2"/>
  <c r="AD499" i="2"/>
  <c r="AC499" i="2"/>
  <c r="AJ498" i="2"/>
  <c r="AI498" i="2"/>
  <c r="AH498" i="2"/>
  <c r="AG498" i="2"/>
  <c r="AF498" i="2"/>
  <c r="AE498" i="2"/>
  <c r="AD498" i="2"/>
  <c r="AC498" i="2"/>
  <c r="AJ497" i="2"/>
  <c r="AI497" i="2"/>
  <c r="AH497" i="2"/>
  <c r="AG497" i="2"/>
  <c r="AF497" i="2"/>
  <c r="AE497" i="2"/>
  <c r="AD497" i="2"/>
  <c r="AC497" i="2"/>
  <c r="AJ496" i="2"/>
  <c r="AI496" i="2"/>
  <c r="AH496" i="2"/>
  <c r="AG496" i="2"/>
  <c r="AF496" i="2"/>
  <c r="AE496" i="2"/>
  <c r="AD496" i="2"/>
  <c r="AC496" i="2"/>
  <c r="AJ495" i="2"/>
  <c r="AI495" i="2"/>
  <c r="AH495" i="2"/>
  <c r="AG495" i="2"/>
  <c r="AF495" i="2"/>
  <c r="AE495" i="2"/>
  <c r="AD495" i="2"/>
  <c r="AC495" i="2"/>
  <c r="AJ494" i="2"/>
  <c r="AI494" i="2"/>
  <c r="AH494" i="2"/>
  <c r="AG494" i="2"/>
  <c r="AF494" i="2"/>
  <c r="AE494" i="2"/>
  <c r="AD494" i="2"/>
  <c r="AC494" i="2"/>
  <c r="AJ493" i="2"/>
  <c r="AI493" i="2"/>
  <c r="AH493" i="2"/>
  <c r="AG493" i="2"/>
  <c r="AF493" i="2"/>
  <c r="AE493" i="2"/>
  <c r="AD493" i="2"/>
  <c r="AC493" i="2"/>
  <c r="AJ492" i="2"/>
  <c r="AI492" i="2"/>
  <c r="AH492" i="2"/>
  <c r="AG492" i="2"/>
  <c r="AF492" i="2"/>
  <c r="AE492" i="2"/>
  <c r="AD492" i="2"/>
  <c r="AC492" i="2"/>
  <c r="AJ491" i="2"/>
  <c r="AI491" i="2"/>
  <c r="AH491" i="2"/>
  <c r="AG491" i="2"/>
  <c r="AF491" i="2"/>
  <c r="AE491" i="2"/>
  <c r="AD491" i="2"/>
  <c r="AC491" i="2"/>
  <c r="AJ490" i="2"/>
  <c r="AI490" i="2"/>
  <c r="AH490" i="2"/>
  <c r="AG490" i="2"/>
  <c r="AF490" i="2"/>
  <c r="AE490" i="2"/>
  <c r="AD490" i="2"/>
  <c r="AC490" i="2"/>
  <c r="AJ489" i="2"/>
  <c r="AI489" i="2"/>
  <c r="AH489" i="2"/>
  <c r="AG489" i="2"/>
  <c r="AF489" i="2"/>
  <c r="AE489" i="2"/>
  <c r="AD489" i="2"/>
  <c r="AC489" i="2"/>
  <c r="AJ488" i="2"/>
  <c r="AI488" i="2"/>
  <c r="AH488" i="2"/>
  <c r="AG488" i="2"/>
  <c r="AF488" i="2"/>
  <c r="AE488" i="2"/>
  <c r="AD488" i="2"/>
  <c r="AC488" i="2"/>
  <c r="AJ487" i="2"/>
  <c r="AI487" i="2"/>
  <c r="AH487" i="2"/>
  <c r="AG487" i="2"/>
  <c r="AF487" i="2"/>
  <c r="AE487" i="2"/>
  <c r="AD487" i="2"/>
  <c r="AC487" i="2"/>
  <c r="AJ486" i="2"/>
  <c r="AI486" i="2"/>
  <c r="AH486" i="2"/>
  <c r="AG486" i="2"/>
  <c r="AF486" i="2"/>
  <c r="AE486" i="2"/>
  <c r="AD486" i="2"/>
  <c r="AC486" i="2"/>
  <c r="AJ485" i="2"/>
  <c r="AI485" i="2"/>
  <c r="AH485" i="2"/>
  <c r="AG485" i="2"/>
  <c r="AF485" i="2"/>
  <c r="AE485" i="2"/>
  <c r="AD485" i="2"/>
  <c r="AC485" i="2"/>
  <c r="AJ484" i="2"/>
  <c r="AI484" i="2"/>
  <c r="AH484" i="2"/>
  <c r="AG484" i="2"/>
  <c r="AF484" i="2"/>
  <c r="AE484" i="2"/>
  <c r="AD484" i="2"/>
  <c r="AC484" i="2"/>
  <c r="AJ483" i="2"/>
  <c r="AI483" i="2"/>
  <c r="AH483" i="2"/>
  <c r="AG483" i="2"/>
  <c r="AF483" i="2"/>
  <c r="AE483" i="2"/>
  <c r="AD483" i="2"/>
  <c r="AC483" i="2"/>
  <c r="AJ482" i="2"/>
  <c r="AI482" i="2"/>
  <c r="AH482" i="2"/>
  <c r="AG482" i="2"/>
  <c r="AF482" i="2"/>
  <c r="AE482" i="2"/>
  <c r="AD482" i="2"/>
  <c r="AC482" i="2"/>
  <c r="AJ481" i="2"/>
  <c r="AI481" i="2"/>
  <c r="AH481" i="2"/>
  <c r="AG481" i="2"/>
  <c r="AF481" i="2"/>
  <c r="AE481" i="2"/>
  <c r="AD481" i="2"/>
  <c r="AC481" i="2"/>
  <c r="AJ480" i="2"/>
  <c r="AI480" i="2"/>
  <c r="AH480" i="2"/>
  <c r="AG480" i="2"/>
  <c r="AF480" i="2"/>
  <c r="AE480" i="2"/>
  <c r="AD480" i="2"/>
  <c r="AC480" i="2"/>
  <c r="AJ479" i="2"/>
  <c r="AI479" i="2"/>
  <c r="AH479" i="2"/>
  <c r="AG479" i="2"/>
  <c r="AF479" i="2"/>
  <c r="AE479" i="2"/>
  <c r="AD479" i="2"/>
  <c r="AC479" i="2"/>
  <c r="AJ478" i="2"/>
  <c r="AI478" i="2"/>
  <c r="AH478" i="2"/>
  <c r="AG478" i="2"/>
  <c r="AF478" i="2"/>
  <c r="AE478" i="2"/>
  <c r="AD478" i="2"/>
  <c r="AC478" i="2"/>
  <c r="AJ477" i="2"/>
  <c r="AI477" i="2"/>
  <c r="AH477" i="2"/>
  <c r="AG477" i="2"/>
  <c r="AF477" i="2"/>
  <c r="AE477" i="2"/>
  <c r="AD477" i="2"/>
  <c r="AC477" i="2"/>
  <c r="AJ476" i="2"/>
  <c r="AI476" i="2"/>
  <c r="AH476" i="2"/>
  <c r="AG476" i="2"/>
  <c r="AF476" i="2"/>
  <c r="AE476" i="2"/>
  <c r="AD476" i="2"/>
  <c r="AC476" i="2"/>
  <c r="AJ475" i="2"/>
  <c r="AI475" i="2"/>
  <c r="AH475" i="2"/>
  <c r="AG475" i="2"/>
  <c r="AF475" i="2"/>
  <c r="AE475" i="2"/>
  <c r="AD475" i="2"/>
  <c r="AC475" i="2"/>
  <c r="AJ474" i="2"/>
  <c r="AI474" i="2"/>
  <c r="AH474" i="2"/>
  <c r="AG474" i="2"/>
  <c r="AF474" i="2"/>
  <c r="AE474" i="2"/>
  <c r="AD474" i="2"/>
  <c r="AC474" i="2"/>
  <c r="AJ473" i="2"/>
  <c r="AI473" i="2"/>
  <c r="AH473" i="2"/>
  <c r="AG473" i="2"/>
  <c r="AF473" i="2"/>
  <c r="AE473" i="2"/>
  <c r="AD473" i="2"/>
  <c r="AC473" i="2"/>
  <c r="AJ472" i="2"/>
  <c r="AI472" i="2"/>
  <c r="AH472" i="2"/>
  <c r="AG472" i="2"/>
  <c r="AF472" i="2"/>
  <c r="AE472" i="2"/>
  <c r="AD472" i="2"/>
  <c r="AC472" i="2"/>
  <c r="AJ471" i="2"/>
  <c r="AI471" i="2"/>
  <c r="AH471" i="2"/>
  <c r="AG471" i="2"/>
  <c r="AF471" i="2"/>
  <c r="AE471" i="2"/>
  <c r="AD471" i="2"/>
  <c r="AC471" i="2"/>
  <c r="AJ470" i="2"/>
  <c r="AI470" i="2"/>
  <c r="AH470" i="2"/>
  <c r="AG470" i="2"/>
  <c r="AF470" i="2"/>
  <c r="AE470" i="2"/>
  <c r="AD470" i="2"/>
  <c r="AC470" i="2"/>
  <c r="AJ469" i="2"/>
  <c r="AI469" i="2"/>
  <c r="AH469" i="2"/>
  <c r="AG469" i="2"/>
  <c r="AF469" i="2"/>
  <c r="AE469" i="2"/>
  <c r="AD469" i="2"/>
  <c r="AC469" i="2"/>
  <c r="AJ468" i="2"/>
  <c r="AI468" i="2"/>
  <c r="AH468" i="2"/>
  <c r="AG468" i="2"/>
  <c r="AF468" i="2"/>
  <c r="AE468" i="2"/>
  <c r="AD468" i="2"/>
  <c r="AC468" i="2"/>
  <c r="AJ467" i="2"/>
  <c r="AI467" i="2"/>
  <c r="AH467" i="2"/>
  <c r="AG467" i="2"/>
  <c r="AF467" i="2"/>
  <c r="AE467" i="2"/>
  <c r="AD467" i="2"/>
  <c r="AC467" i="2"/>
  <c r="AJ466" i="2"/>
  <c r="AI466" i="2"/>
  <c r="AH466" i="2"/>
  <c r="AG466" i="2"/>
  <c r="AF466" i="2"/>
  <c r="AE466" i="2"/>
  <c r="AD466" i="2"/>
  <c r="AC466" i="2"/>
  <c r="AJ465" i="2"/>
  <c r="AI465" i="2"/>
  <c r="AH465" i="2"/>
  <c r="AG465" i="2"/>
  <c r="AF465" i="2"/>
  <c r="AE465" i="2"/>
  <c r="AD465" i="2"/>
  <c r="AC465" i="2"/>
  <c r="AJ464" i="2"/>
  <c r="AI464" i="2"/>
  <c r="AH464" i="2"/>
  <c r="AG464" i="2"/>
  <c r="AF464" i="2"/>
  <c r="AE464" i="2"/>
  <c r="AD464" i="2"/>
  <c r="AC464" i="2"/>
  <c r="AJ463" i="2"/>
  <c r="AI463" i="2"/>
  <c r="AH463" i="2"/>
  <c r="AG463" i="2"/>
  <c r="AF463" i="2"/>
  <c r="AE463" i="2"/>
  <c r="AD463" i="2"/>
  <c r="AC463" i="2"/>
  <c r="AJ462" i="2"/>
  <c r="AI462" i="2"/>
  <c r="AH462" i="2"/>
  <c r="AG462" i="2"/>
  <c r="AF462" i="2"/>
  <c r="AE462" i="2"/>
  <c r="AD462" i="2"/>
  <c r="AC462" i="2"/>
  <c r="AJ461" i="2"/>
  <c r="AI461" i="2"/>
  <c r="AH461" i="2"/>
  <c r="AG461" i="2"/>
  <c r="AF461" i="2"/>
  <c r="AE461" i="2"/>
  <c r="AD461" i="2"/>
  <c r="AC461" i="2"/>
  <c r="AJ460" i="2"/>
  <c r="AI460" i="2"/>
  <c r="AH460" i="2"/>
  <c r="AG460" i="2"/>
  <c r="AF460" i="2"/>
  <c r="AE460" i="2"/>
  <c r="AD460" i="2"/>
  <c r="AC460" i="2"/>
  <c r="AJ459" i="2"/>
  <c r="AI459" i="2"/>
  <c r="AH459" i="2"/>
  <c r="AG459" i="2"/>
  <c r="AF459" i="2"/>
  <c r="AE459" i="2"/>
  <c r="AD459" i="2"/>
  <c r="AC459" i="2"/>
  <c r="AJ458" i="2"/>
  <c r="AI458" i="2"/>
  <c r="AH458" i="2"/>
  <c r="AG458" i="2"/>
  <c r="AF458" i="2"/>
  <c r="AE458" i="2"/>
  <c r="AD458" i="2"/>
  <c r="AC458" i="2"/>
  <c r="AJ457" i="2"/>
  <c r="AI457" i="2"/>
  <c r="AH457" i="2"/>
  <c r="AG457" i="2"/>
  <c r="AF457" i="2"/>
  <c r="AE457" i="2"/>
  <c r="AD457" i="2"/>
  <c r="AC457" i="2"/>
  <c r="AJ456" i="2"/>
  <c r="AI456" i="2"/>
  <c r="AH456" i="2"/>
  <c r="AG456" i="2"/>
  <c r="AF456" i="2"/>
  <c r="AE456" i="2"/>
  <c r="AD456" i="2"/>
  <c r="AC456" i="2"/>
  <c r="AJ455" i="2"/>
  <c r="AI455" i="2"/>
  <c r="AH455" i="2"/>
  <c r="AG455" i="2"/>
  <c r="AF455" i="2"/>
  <c r="AE455" i="2"/>
  <c r="AD455" i="2"/>
  <c r="AC455" i="2"/>
  <c r="AJ454" i="2"/>
  <c r="AI454" i="2"/>
  <c r="AH454" i="2"/>
  <c r="AG454" i="2"/>
  <c r="AF454" i="2"/>
  <c r="AE454" i="2"/>
  <c r="AD454" i="2"/>
  <c r="AC454" i="2"/>
  <c r="AJ453" i="2"/>
  <c r="AI453" i="2"/>
  <c r="AH453" i="2"/>
  <c r="AG453" i="2"/>
  <c r="AF453" i="2"/>
  <c r="AE453" i="2"/>
  <c r="AD453" i="2"/>
  <c r="AC453" i="2"/>
  <c r="AJ452" i="2"/>
  <c r="AI452" i="2"/>
  <c r="AH452" i="2"/>
  <c r="AG452" i="2"/>
  <c r="AF452" i="2"/>
  <c r="AE452" i="2"/>
  <c r="AD452" i="2"/>
  <c r="AC452" i="2"/>
  <c r="AJ451" i="2"/>
  <c r="AI451" i="2"/>
  <c r="AH451" i="2"/>
  <c r="AG451" i="2"/>
  <c r="AF451" i="2"/>
  <c r="AE451" i="2"/>
  <c r="AD451" i="2"/>
  <c r="AC451" i="2"/>
  <c r="AJ450" i="2"/>
  <c r="AI450" i="2"/>
  <c r="AH450" i="2"/>
  <c r="AG450" i="2"/>
  <c r="AF450" i="2"/>
  <c r="AE450" i="2"/>
  <c r="AD450" i="2"/>
  <c r="AC450" i="2"/>
  <c r="AJ449" i="2"/>
  <c r="AI449" i="2"/>
  <c r="AH449" i="2"/>
  <c r="AG449" i="2"/>
  <c r="AF449" i="2"/>
  <c r="AE449" i="2"/>
  <c r="AD449" i="2"/>
  <c r="AC449" i="2"/>
  <c r="AJ448" i="2"/>
  <c r="AI448" i="2"/>
  <c r="AH448" i="2"/>
  <c r="AG448" i="2"/>
  <c r="AF448" i="2"/>
  <c r="AE448" i="2"/>
  <c r="AD448" i="2"/>
  <c r="AC448" i="2"/>
  <c r="AJ447" i="2"/>
  <c r="AI447" i="2"/>
  <c r="AH447" i="2"/>
  <c r="AG447" i="2"/>
  <c r="AF447" i="2"/>
  <c r="AE447" i="2"/>
  <c r="AD447" i="2"/>
  <c r="AC447" i="2"/>
  <c r="AJ446" i="2"/>
  <c r="AI446" i="2"/>
  <c r="AH446" i="2"/>
  <c r="AG446" i="2"/>
  <c r="AF446" i="2"/>
  <c r="AE446" i="2"/>
  <c r="AD446" i="2"/>
  <c r="AC446" i="2"/>
  <c r="AJ445" i="2"/>
  <c r="AI445" i="2"/>
  <c r="AH445" i="2"/>
  <c r="AG445" i="2"/>
  <c r="AF445" i="2"/>
  <c r="AE445" i="2"/>
  <c r="AD445" i="2"/>
  <c r="AC445" i="2"/>
  <c r="AJ444" i="2"/>
  <c r="AI444" i="2"/>
  <c r="AH444" i="2"/>
  <c r="AG444" i="2"/>
  <c r="AF444" i="2"/>
  <c r="AE444" i="2"/>
  <c r="AD444" i="2"/>
  <c r="AC444" i="2"/>
  <c r="AJ443" i="2"/>
  <c r="AI443" i="2"/>
  <c r="AH443" i="2"/>
  <c r="AG443" i="2"/>
  <c r="AF443" i="2"/>
  <c r="AE443" i="2"/>
  <c r="AD443" i="2"/>
  <c r="AC443" i="2"/>
  <c r="AJ442" i="2"/>
  <c r="AI442" i="2"/>
  <c r="AH442" i="2"/>
  <c r="AG442" i="2"/>
  <c r="AF442" i="2"/>
  <c r="AE442" i="2"/>
  <c r="AD442" i="2"/>
  <c r="AC442" i="2"/>
  <c r="AJ441" i="2"/>
  <c r="AI441" i="2"/>
  <c r="AH441" i="2"/>
  <c r="AG441" i="2"/>
  <c r="AF441" i="2"/>
  <c r="AE441" i="2"/>
  <c r="AD441" i="2"/>
  <c r="AC441" i="2"/>
  <c r="AJ440" i="2"/>
  <c r="AI440" i="2"/>
  <c r="AH440" i="2"/>
  <c r="AG440" i="2"/>
  <c r="AF440" i="2"/>
  <c r="AE440" i="2"/>
  <c r="AD440" i="2"/>
  <c r="AC440" i="2"/>
  <c r="AJ439" i="2"/>
  <c r="AI439" i="2"/>
  <c r="AH439" i="2"/>
  <c r="AG439" i="2"/>
  <c r="AF439" i="2"/>
  <c r="AE439" i="2"/>
  <c r="AD439" i="2"/>
  <c r="AC439" i="2"/>
  <c r="AJ438" i="2"/>
  <c r="AI438" i="2"/>
  <c r="AH438" i="2"/>
  <c r="AG438" i="2"/>
  <c r="AF438" i="2"/>
  <c r="AE438" i="2"/>
  <c r="AD438" i="2"/>
  <c r="AC438" i="2"/>
  <c r="AJ437" i="2"/>
  <c r="AI437" i="2"/>
  <c r="AH437" i="2"/>
  <c r="AG437" i="2"/>
  <c r="AF437" i="2"/>
  <c r="AE437" i="2"/>
  <c r="AD437" i="2"/>
  <c r="AC437" i="2"/>
  <c r="AJ436" i="2"/>
  <c r="AI436" i="2"/>
  <c r="AH436" i="2"/>
  <c r="AG436" i="2"/>
  <c r="AF436" i="2"/>
  <c r="AE436" i="2"/>
  <c r="AD436" i="2"/>
  <c r="AC436" i="2"/>
  <c r="AJ435" i="2"/>
  <c r="AI435" i="2"/>
  <c r="AH435" i="2"/>
  <c r="AG435" i="2"/>
  <c r="AF435" i="2"/>
  <c r="AE435" i="2"/>
  <c r="AD435" i="2"/>
  <c r="AC435" i="2"/>
  <c r="AJ434" i="2"/>
  <c r="AI434" i="2"/>
  <c r="AH434" i="2"/>
  <c r="AG434" i="2"/>
  <c r="AF434" i="2"/>
  <c r="AE434" i="2"/>
  <c r="AD434" i="2"/>
  <c r="AC434" i="2"/>
  <c r="AJ433" i="2"/>
  <c r="AI433" i="2"/>
  <c r="AH433" i="2"/>
  <c r="AG433" i="2"/>
  <c r="AF433" i="2"/>
  <c r="AE433" i="2"/>
  <c r="AD433" i="2"/>
  <c r="AC433" i="2"/>
  <c r="AJ432" i="2"/>
  <c r="AI432" i="2"/>
  <c r="AH432" i="2"/>
  <c r="AG432" i="2"/>
  <c r="AF432" i="2"/>
  <c r="AE432" i="2"/>
  <c r="AD432" i="2"/>
  <c r="AC432" i="2"/>
  <c r="AJ431" i="2"/>
  <c r="AI431" i="2"/>
  <c r="AH431" i="2"/>
  <c r="AG431" i="2"/>
  <c r="AF431" i="2"/>
  <c r="AE431" i="2"/>
  <c r="AD431" i="2"/>
  <c r="AC431" i="2"/>
  <c r="AJ430" i="2"/>
  <c r="AI430" i="2"/>
  <c r="AH430" i="2"/>
  <c r="AG430" i="2"/>
  <c r="AF430" i="2"/>
  <c r="AE430" i="2"/>
  <c r="AD430" i="2"/>
  <c r="AC430" i="2"/>
  <c r="AJ429" i="2"/>
  <c r="AI429" i="2"/>
  <c r="AH429" i="2"/>
  <c r="AG429" i="2"/>
  <c r="AF429" i="2"/>
  <c r="AE429" i="2"/>
  <c r="AD429" i="2"/>
  <c r="AC429" i="2"/>
  <c r="AJ428" i="2"/>
  <c r="AI428" i="2"/>
  <c r="AH428" i="2"/>
  <c r="AG428" i="2"/>
  <c r="AF428" i="2"/>
  <c r="AE428" i="2"/>
  <c r="AD428" i="2"/>
  <c r="AC428" i="2"/>
  <c r="AJ427" i="2"/>
  <c r="AI427" i="2"/>
  <c r="AH427" i="2"/>
  <c r="AG427" i="2"/>
  <c r="AF427" i="2"/>
  <c r="AE427" i="2"/>
  <c r="AD427" i="2"/>
  <c r="AC427" i="2"/>
  <c r="AJ426" i="2"/>
  <c r="AI426" i="2"/>
  <c r="AH426" i="2"/>
  <c r="AG426" i="2"/>
  <c r="AF426" i="2"/>
  <c r="AE426" i="2"/>
  <c r="AD426" i="2"/>
  <c r="AC426" i="2"/>
  <c r="AJ425" i="2"/>
  <c r="AI425" i="2"/>
  <c r="AH425" i="2"/>
  <c r="AG425" i="2"/>
  <c r="AF425" i="2"/>
  <c r="AE425" i="2"/>
  <c r="AD425" i="2"/>
  <c r="AC425" i="2"/>
  <c r="AJ424" i="2"/>
  <c r="AI424" i="2"/>
  <c r="AH424" i="2"/>
  <c r="AG424" i="2"/>
  <c r="AF424" i="2"/>
  <c r="AE424" i="2"/>
  <c r="AD424" i="2"/>
  <c r="AC424" i="2"/>
  <c r="AJ423" i="2"/>
  <c r="AI423" i="2"/>
  <c r="AH423" i="2"/>
  <c r="AG423" i="2"/>
  <c r="AF423" i="2"/>
  <c r="AE423" i="2"/>
  <c r="AD423" i="2"/>
  <c r="AC423" i="2"/>
  <c r="AJ422" i="2"/>
  <c r="AI422" i="2"/>
  <c r="AH422" i="2"/>
  <c r="AG422" i="2"/>
  <c r="AF422" i="2"/>
  <c r="AE422" i="2"/>
  <c r="AD422" i="2"/>
  <c r="AC422" i="2"/>
  <c r="AJ421" i="2"/>
  <c r="AI421" i="2"/>
  <c r="AH421" i="2"/>
  <c r="AG421" i="2"/>
  <c r="AF421" i="2"/>
  <c r="AE421" i="2"/>
  <c r="AD421" i="2"/>
  <c r="AC421" i="2"/>
  <c r="AJ420" i="2"/>
  <c r="AI420" i="2"/>
  <c r="AH420" i="2"/>
  <c r="AG420" i="2"/>
  <c r="AF420" i="2"/>
  <c r="AE420" i="2"/>
  <c r="AD420" i="2"/>
  <c r="AC420" i="2"/>
  <c r="AJ419" i="2"/>
  <c r="AI419" i="2"/>
  <c r="AH419" i="2"/>
  <c r="AG419" i="2"/>
  <c r="AF419" i="2"/>
  <c r="AE419" i="2"/>
  <c r="AD419" i="2"/>
  <c r="AC419" i="2"/>
  <c r="AJ418" i="2"/>
  <c r="AI418" i="2"/>
  <c r="AH418" i="2"/>
  <c r="AG418" i="2"/>
  <c r="AF418" i="2"/>
  <c r="AE418" i="2"/>
  <c r="AD418" i="2"/>
  <c r="AC418" i="2"/>
  <c r="AJ417" i="2"/>
  <c r="AI417" i="2"/>
  <c r="AH417" i="2"/>
  <c r="AG417" i="2"/>
  <c r="AF417" i="2"/>
  <c r="AE417" i="2"/>
  <c r="AD417" i="2"/>
  <c r="AC417" i="2"/>
  <c r="AJ416" i="2"/>
  <c r="AI416" i="2"/>
  <c r="AH416" i="2"/>
  <c r="AG416" i="2"/>
  <c r="AF416" i="2"/>
  <c r="AE416" i="2"/>
  <c r="AD416" i="2"/>
  <c r="AC416" i="2"/>
  <c r="AJ415" i="2"/>
  <c r="AI415" i="2"/>
  <c r="AH415" i="2"/>
  <c r="AG415" i="2"/>
  <c r="AF415" i="2"/>
  <c r="AE415" i="2"/>
  <c r="AD415" i="2"/>
  <c r="AC415" i="2"/>
  <c r="AJ414" i="2"/>
  <c r="AI414" i="2"/>
  <c r="AH414" i="2"/>
  <c r="AG414" i="2"/>
  <c r="AF414" i="2"/>
  <c r="AE414" i="2"/>
  <c r="AD414" i="2"/>
  <c r="AC414" i="2"/>
  <c r="AJ413" i="2"/>
  <c r="AI413" i="2"/>
  <c r="AH413" i="2"/>
  <c r="AG413" i="2"/>
  <c r="AF413" i="2"/>
  <c r="AE413" i="2"/>
  <c r="AD413" i="2"/>
  <c r="AC413" i="2"/>
  <c r="AJ412" i="2"/>
  <c r="AI412" i="2"/>
  <c r="AH412" i="2"/>
  <c r="AG412" i="2"/>
  <c r="AF412" i="2"/>
  <c r="AE412" i="2"/>
  <c r="AD412" i="2"/>
  <c r="AC412" i="2"/>
  <c r="AJ411" i="2"/>
  <c r="AI411" i="2"/>
  <c r="AH411" i="2"/>
  <c r="AG411" i="2"/>
  <c r="AF411" i="2"/>
  <c r="AE411" i="2"/>
  <c r="AD411" i="2"/>
  <c r="AC411" i="2"/>
  <c r="AJ410" i="2"/>
  <c r="AI410" i="2"/>
  <c r="AH410" i="2"/>
  <c r="AG410" i="2"/>
  <c r="AF410" i="2"/>
  <c r="AE410" i="2"/>
  <c r="AD410" i="2"/>
  <c r="AC410" i="2"/>
  <c r="AJ409" i="2"/>
  <c r="AI409" i="2"/>
  <c r="AH409" i="2"/>
  <c r="AG409" i="2"/>
  <c r="AF409" i="2"/>
  <c r="AE409" i="2"/>
  <c r="AD409" i="2"/>
  <c r="AC409" i="2"/>
  <c r="AJ408" i="2"/>
  <c r="AI408" i="2"/>
  <c r="AH408" i="2"/>
  <c r="AG408" i="2"/>
  <c r="AF408" i="2"/>
  <c r="AE408" i="2"/>
  <c r="AD408" i="2"/>
  <c r="AC408" i="2"/>
  <c r="AJ407" i="2"/>
  <c r="AI407" i="2"/>
  <c r="AH407" i="2"/>
  <c r="AG407" i="2"/>
  <c r="AF407" i="2"/>
  <c r="AE407" i="2"/>
  <c r="AD407" i="2"/>
  <c r="AC407" i="2"/>
  <c r="AJ406" i="2"/>
  <c r="AI406" i="2"/>
  <c r="AH406" i="2"/>
  <c r="AG406" i="2"/>
  <c r="AF406" i="2"/>
  <c r="AE406" i="2"/>
  <c r="AD406" i="2"/>
  <c r="AC406" i="2"/>
  <c r="AJ405" i="2"/>
  <c r="AI405" i="2"/>
  <c r="AH405" i="2"/>
  <c r="AG405" i="2"/>
  <c r="AF405" i="2"/>
  <c r="AE405" i="2"/>
  <c r="AD405" i="2"/>
  <c r="AC405" i="2"/>
  <c r="AJ404" i="2"/>
  <c r="AI404" i="2"/>
  <c r="AH404" i="2"/>
  <c r="AG404" i="2"/>
  <c r="AF404" i="2"/>
  <c r="AE404" i="2"/>
  <c r="AD404" i="2"/>
  <c r="AC404" i="2"/>
  <c r="AJ403" i="2"/>
  <c r="AI403" i="2"/>
  <c r="AH403" i="2"/>
  <c r="AG403" i="2"/>
  <c r="AF403" i="2"/>
  <c r="AE403" i="2"/>
  <c r="AD403" i="2"/>
  <c r="AC403" i="2"/>
  <c r="AJ402" i="2"/>
  <c r="AI402" i="2"/>
  <c r="AH402" i="2"/>
  <c r="AG402" i="2"/>
  <c r="AF402" i="2"/>
  <c r="AE402" i="2"/>
  <c r="AD402" i="2"/>
  <c r="AC402" i="2"/>
  <c r="AJ401" i="2"/>
  <c r="AI401" i="2"/>
  <c r="AH401" i="2"/>
  <c r="AG401" i="2"/>
  <c r="AF401" i="2"/>
  <c r="AE401" i="2"/>
  <c r="AD401" i="2"/>
  <c r="AC401" i="2"/>
  <c r="AJ400" i="2"/>
  <c r="AI400" i="2"/>
  <c r="AH400" i="2"/>
  <c r="AG400" i="2"/>
  <c r="AF400" i="2"/>
  <c r="AE400" i="2"/>
  <c r="AD400" i="2"/>
  <c r="AC400" i="2"/>
  <c r="AJ399" i="2"/>
  <c r="AI399" i="2"/>
  <c r="AH399" i="2"/>
  <c r="AG399" i="2"/>
  <c r="AF399" i="2"/>
  <c r="AE399" i="2"/>
  <c r="AD399" i="2"/>
  <c r="AC399" i="2"/>
  <c r="AJ398" i="2"/>
  <c r="AI398" i="2"/>
  <c r="AH398" i="2"/>
  <c r="AG398" i="2"/>
  <c r="AF398" i="2"/>
  <c r="AE398" i="2"/>
  <c r="AD398" i="2"/>
  <c r="AC398" i="2"/>
  <c r="AJ397" i="2"/>
  <c r="AI397" i="2"/>
  <c r="AH397" i="2"/>
  <c r="AG397" i="2"/>
  <c r="AF397" i="2"/>
  <c r="AE397" i="2"/>
  <c r="AD397" i="2"/>
  <c r="AC397" i="2"/>
  <c r="AJ396" i="2"/>
  <c r="AI396" i="2"/>
  <c r="AH396" i="2"/>
  <c r="AG396" i="2"/>
  <c r="AF396" i="2"/>
  <c r="AE396" i="2"/>
  <c r="AD396" i="2"/>
  <c r="AC396" i="2"/>
  <c r="AJ395" i="2"/>
  <c r="AI395" i="2"/>
  <c r="AH395" i="2"/>
  <c r="AG395" i="2"/>
  <c r="AF395" i="2"/>
  <c r="AE395" i="2"/>
  <c r="AD395" i="2"/>
  <c r="AC395" i="2"/>
  <c r="AJ394" i="2"/>
  <c r="AI394" i="2"/>
  <c r="AH394" i="2"/>
  <c r="AG394" i="2"/>
  <c r="AF394" i="2"/>
  <c r="AE394" i="2"/>
  <c r="AD394" i="2"/>
  <c r="AC394" i="2"/>
  <c r="AJ393" i="2"/>
  <c r="AI393" i="2"/>
  <c r="AH393" i="2"/>
  <c r="AG393" i="2"/>
  <c r="AF393" i="2"/>
  <c r="AE393" i="2"/>
  <c r="AD393" i="2"/>
  <c r="AC393" i="2"/>
  <c r="AJ392" i="2"/>
  <c r="AI392" i="2"/>
  <c r="AH392" i="2"/>
  <c r="AG392" i="2"/>
  <c r="AF392" i="2"/>
  <c r="AE392" i="2"/>
  <c r="AD392" i="2"/>
  <c r="AC392" i="2"/>
  <c r="AJ391" i="2"/>
  <c r="AI391" i="2"/>
  <c r="AH391" i="2"/>
  <c r="AG391" i="2"/>
  <c r="AF391" i="2"/>
  <c r="AE391" i="2"/>
  <c r="AD391" i="2"/>
  <c r="AC391" i="2"/>
  <c r="AJ390" i="2"/>
  <c r="AI390" i="2"/>
  <c r="AH390" i="2"/>
  <c r="AG390" i="2"/>
  <c r="AF390" i="2"/>
  <c r="AE390" i="2"/>
  <c r="AD390" i="2"/>
  <c r="AC390" i="2"/>
  <c r="AJ389" i="2"/>
  <c r="AI389" i="2"/>
  <c r="AH389" i="2"/>
  <c r="AG389" i="2"/>
  <c r="AF389" i="2"/>
  <c r="AE389" i="2"/>
  <c r="AD389" i="2"/>
  <c r="AC389" i="2"/>
  <c r="AJ388" i="2"/>
  <c r="AI388" i="2"/>
  <c r="AH388" i="2"/>
  <c r="AG388" i="2"/>
  <c r="AF388" i="2"/>
  <c r="AE388" i="2"/>
  <c r="AD388" i="2"/>
  <c r="AC388" i="2"/>
  <c r="AJ387" i="2"/>
  <c r="AI387" i="2"/>
  <c r="AH387" i="2"/>
  <c r="AG387" i="2"/>
  <c r="AF387" i="2"/>
  <c r="AE387" i="2"/>
  <c r="AD387" i="2"/>
  <c r="AC387" i="2"/>
  <c r="AJ386" i="2"/>
  <c r="AI386" i="2"/>
  <c r="AH386" i="2"/>
  <c r="AG386" i="2"/>
  <c r="AF386" i="2"/>
  <c r="AE386" i="2"/>
  <c r="AD386" i="2"/>
  <c r="AC386" i="2"/>
  <c r="AJ385" i="2"/>
  <c r="AI385" i="2"/>
  <c r="AH385" i="2"/>
  <c r="AG385" i="2"/>
  <c r="AF385" i="2"/>
  <c r="AE385" i="2"/>
  <c r="AD385" i="2"/>
  <c r="AC385" i="2"/>
  <c r="AJ384" i="2"/>
  <c r="AI384" i="2"/>
  <c r="AH384" i="2"/>
  <c r="AG384" i="2"/>
  <c r="AF384" i="2"/>
  <c r="AE384" i="2"/>
  <c r="AD384" i="2"/>
  <c r="AC384" i="2"/>
  <c r="AJ383" i="2"/>
  <c r="AI383" i="2"/>
  <c r="AH383" i="2"/>
  <c r="AG383" i="2"/>
  <c r="AF383" i="2"/>
  <c r="AE383" i="2"/>
  <c r="AD383" i="2"/>
  <c r="AC383" i="2"/>
  <c r="AJ382" i="2"/>
  <c r="AI382" i="2"/>
  <c r="AH382" i="2"/>
  <c r="AG382" i="2"/>
  <c r="AF382" i="2"/>
  <c r="AE382" i="2"/>
  <c r="AD382" i="2"/>
  <c r="AC382" i="2"/>
  <c r="AJ381" i="2"/>
  <c r="AI381" i="2"/>
  <c r="AH381" i="2"/>
  <c r="AG381" i="2"/>
  <c r="AF381" i="2"/>
  <c r="AE381" i="2"/>
  <c r="AD381" i="2"/>
  <c r="AC381" i="2"/>
  <c r="AJ380" i="2"/>
  <c r="AI380" i="2"/>
  <c r="AH380" i="2"/>
  <c r="AG380" i="2"/>
  <c r="AF380" i="2"/>
  <c r="AE380" i="2"/>
  <c r="AD380" i="2"/>
  <c r="AC380" i="2"/>
  <c r="AJ379" i="2"/>
  <c r="AI379" i="2"/>
  <c r="AH379" i="2"/>
  <c r="AG379" i="2"/>
  <c r="AF379" i="2"/>
  <c r="AE379" i="2"/>
  <c r="AD379" i="2"/>
  <c r="AC379" i="2"/>
  <c r="AJ378" i="2"/>
  <c r="AI378" i="2"/>
  <c r="AH378" i="2"/>
  <c r="AG378" i="2"/>
  <c r="AF378" i="2"/>
  <c r="AE378" i="2"/>
  <c r="AD378" i="2"/>
  <c r="AC378" i="2"/>
  <c r="AJ377" i="2"/>
  <c r="AI377" i="2"/>
  <c r="AH377" i="2"/>
  <c r="AG377" i="2"/>
  <c r="AF377" i="2"/>
  <c r="AE377" i="2"/>
  <c r="AD377" i="2"/>
  <c r="AC377" i="2"/>
  <c r="AJ376" i="2"/>
  <c r="AI376" i="2"/>
  <c r="AH376" i="2"/>
  <c r="AG376" i="2"/>
  <c r="AF376" i="2"/>
  <c r="AE376" i="2"/>
  <c r="AD376" i="2"/>
  <c r="AC376" i="2"/>
  <c r="AJ375" i="2"/>
  <c r="AI375" i="2"/>
  <c r="AH375" i="2"/>
  <c r="AG375" i="2"/>
  <c r="AF375" i="2"/>
  <c r="AE375" i="2"/>
  <c r="AD375" i="2"/>
  <c r="AC375" i="2"/>
  <c r="AJ374" i="2"/>
  <c r="AI374" i="2"/>
  <c r="AH374" i="2"/>
  <c r="AG374" i="2"/>
  <c r="AF374" i="2"/>
  <c r="AE374" i="2"/>
  <c r="AD374" i="2"/>
  <c r="AC374" i="2"/>
  <c r="AJ373" i="2"/>
  <c r="AI373" i="2"/>
  <c r="AH373" i="2"/>
  <c r="AG373" i="2"/>
  <c r="AF373" i="2"/>
  <c r="AE373" i="2"/>
  <c r="AD373" i="2"/>
  <c r="AC373" i="2"/>
  <c r="AJ372" i="2"/>
  <c r="AI372" i="2"/>
  <c r="AH372" i="2"/>
  <c r="AG372" i="2"/>
  <c r="AF372" i="2"/>
  <c r="AE372" i="2"/>
  <c r="AD372" i="2"/>
  <c r="AC372" i="2"/>
  <c r="AJ371" i="2"/>
  <c r="AI371" i="2"/>
  <c r="AH371" i="2"/>
  <c r="AG371" i="2"/>
  <c r="AF371" i="2"/>
  <c r="AE371" i="2"/>
  <c r="AD371" i="2"/>
  <c r="AC371" i="2"/>
  <c r="AJ370" i="2"/>
  <c r="AI370" i="2"/>
  <c r="AH370" i="2"/>
  <c r="AG370" i="2"/>
  <c r="AF370" i="2"/>
  <c r="AE370" i="2"/>
  <c r="AD370" i="2"/>
  <c r="AC370" i="2"/>
  <c r="AJ369" i="2"/>
  <c r="AI369" i="2"/>
  <c r="AH369" i="2"/>
  <c r="AG369" i="2"/>
  <c r="AF369" i="2"/>
  <c r="AE369" i="2"/>
  <c r="AD369" i="2"/>
  <c r="AC369" i="2"/>
  <c r="AJ368" i="2"/>
  <c r="AI368" i="2"/>
  <c r="AH368" i="2"/>
  <c r="AG368" i="2"/>
  <c r="AF368" i="2"/>
  <c r="AE368" i="2"/>
  <c r="AD368" i="2"/>
  <c r="AC368" i="2"/>
  <c r="AJ367" i="2"/>
  <c r="AI367" i="2"/>
  <c r="AH367" i="2"/>
  <c r="AG367" i="2"/>
  <c r="AF367" i="2"/>
  <c r="AE367" i="2"/>
  <c r="AD367" i="2"/>
  <c r="AC367" i="2"/>
  <c r="AJ366" i="2"/>
  <c r="AI366" i="2"/>
  <c r="AH366" i="2"/>
  <c r="AG366" i="2"/>
  <c r="AF366" i="2"/>
  <c r="AE366" i="2"/>
  <c r="AD366" i="2"/>
  <c r="AC366" i="2"/>
  <c r="AJ365" i="2"/>
  <c r="AI365" i="2"/>
  <c r="AH365" i="2"/>
  <c r="AG365" i="2"/>
  <c r="AF365" i="2"/>
  <c r="AE365" i="2"/>
  <c r="AD365" i="2"/>
  <c r="AC365" i="2"/>
  <c r="AJ364" i="2"/>
  <c r="AI364" i="2"/>
  <c r="AH364" i="2"/>
  <c r="AG364" i="2"/>
  <c r="AF364" i="2"/>
  <c r="AE364" i="2"/>
  <c r="AD364" i="2"/>
  <c r="AC364" i="2"/>
  <c r="AJ363" i="2"/>
  <c r="AI363" i="2"/>
  <c r="AH363" i="2"/>
  <c r="AG363" i="2"/>
  <c r="AF363" i="2"/>
  <c r="AE363" i="2"/>
  <c r="AD363" i="2"/>
  <c r="AC363" i="2"/>
  <c r="AJ362" i="2"/>
  <c r="AI362" i="2"/>
  <c r="AH362" i="2"/>
  <c r="AG362" i="2"/>
  <c r="AF362" i="2"/>
  <c r="AE362" i="2"/>
  <c r="AD362" i="2"/>
  <c r="AC362" i="2"/>
  <c r="AJ361" i="2"/>
  <c r="AI361" i="2"/>
  <c r="AH361" i="2"/>
  <c r="AG361" i="2"/>
  <c r="AF361" i="2"/>
  <c r="AE361" i="2"/>
  <c r="AD361" i="2"/>
  <c r="AC361" i="2"/>
  <c r="AJ360" i="2"/>
  <c r="AI360" i="2"/>
  <c r="AH360" i="2"/>
  <c r="AG360" i="2"/>
  <c r="AF360" i="2"/>
  <c r="AE360" i="2"/>
  <c r="AD360" i="2"/>
  <c r="AC360" i="2"/>
  <c r="AJ359" i="2"/>
  <c r="AI359" i="2"/>
  <c r="AH359" i="2"/>
  <c r="AG359" i="2"/>
  <c r="AF359" i="2"/>
  <c r="AE359" i="2"/>
  <c r="AD359" i="2"/>
  <c r="AC359" i="2"/>
  <c r="AJ358" i="2"/>
  <c r="AI358" i="2"/>
  <c r="AH358" i="2"/>
  <c r="AG358" i="2"/>
  <c r="AF358" i="2"/>
  <c r="AE358" i="2"/>
  <c r="AD358" i="2"/>
  <c r="AC358" i="2"/>
  <c r="AJ357" i="2"/>
  <c r="AI357" i="2"/>
  <c r="AH357" i="2"/>
  <c r="AG357" i="2"/>
  <c r="AF357" i="2"/>
  <c r="AE357" i="2"/>
  <c r="AD357" i="2"/>
  <c r="AC357" i="2"/>
  <c r="AJ356" i="2"/>
  <c r="AI356" i="2"/>
  <c r="AH356" i="2"/>
  <c r="AG356" i="2"/>
  <c r="AF356" i="2"/>
  <c r="AE356" i="2"/>
  <c r="AD356" i="2"/>
  <c r="AC356" i="2"/>
  <c r="AJ355" i="2"/>
  <c r="AI355" i="2"/>
  <c r="AH355" i="2"/>
  <c r="AG355" i="2"/>
  <c r="AF355" i="2"/>
  <c r="AE355" i="2"/>
  <c r="AD355" i="2"/>
  <c r="AC355" i="2"/>
  <c r="AJ354" i="2"/>
  <c r="AI354" i="2"/>
  <c r="AH354" i="2"/>
  <c r="AG354" i="2"/>
  <c r="AF354" i="2"/>
  <c r="AE354" i="2"/>
  <c r="AD354" i="2"/>
  <c r="AC354" i="2"/>
  <c r="AJ353" i="2"/>
  <c r="AI353" i="2"/>
  <c r="AH353" i="2"/>
  <c r="AG353" i="2"/>
  <c r="AF353" i="2"/>
  <c r="AE353" i="2"/>
  <c r="AD353" i="2"/>
  <c r="AC353" i="2"/>
  <c r="AJ352" i="2"/>
  <c r="AI352" i="2"/>
  <c r="AH352" i="2"/>
  <c r="AG352" i="2"/>
  <c r="AF352" i="2"/>
  <c r="AE352" i="2"/>
  <c r="AD352" i="2"/>
  <c r="AC352" i="2"/>
  <c r="AJ351" i="2"/>
  <c r="AI351" i="2"/>
  <c r="AH351" i="2"/>
  <c r="AG351" i="2"/>
  <c r="AF351" i="2"/>
  <c r="AE351" i="2"/>
  <c r="AD351" i="2"/>
  <c r="AC351" i="2"/>
  <c r="AJ350" i="2"/>
  <c r="AI350" i="2"/>
  <c r="AH350" i="2"/>
  <c r="AG350" i="2"/>
  <c r="AF350" i="2"/>
  <c r="AE350" i="2"/>
  <c r="AD350" i="2"/>
  <c r="AC350" i="2"/>
  <c r="AJ349" i="2"/>
  <c r="AI349" i="2"/>
  <c r="AH349" i="2"/>
  <c r="AG349" i="2"/>
  <c r="AF349" i="2"/>
  <c r="AE349" i="2"/>
  <c r="AD349" i="2"/>
  <c r="AC349" i="2"/>
  <c r="AJ348" i="2"/>
  <c r="AI348" i="2"/>
  <c r="AH348" i="2"/>
  <c r="AG348" i="2"/>
  <c r="AF348" i="2"/>
  <c r="AE348" i="2"/>
  <c r="AD348" i="2"/>
  <c r="AC348" i="2"/>
  <c r="AJ347" i="2"/>
  <c r="AI347" i="2"/>
  <c r="AH347" i="2"/>
  <c r="AG347" i="2"/>
  <c r="AF347" i="2"/>
  <c r="AE347" i="2"/>
  <c r="AD347" i="2"/>
  <c r="AC347" i="2"/>
  <c r="AJ346" i="2"/>
  <c r="AI346" i="2"/>
  <c r="AH346" i="2"/>
  <c r="AG346" i="2"/>
  <c r="AF346" i="2"/>
  <c r="AE346" i="2"/>
  <c r="AD346" i="2"/>
  <c r="AC346" i="2"/>
  <c r="AJ345" i="2"/>
  <c r="AI345" i="2"/>
  <c r="AH345" i="2"/>
  <c r="AG345" i="2"/>
  <c r="AF345" i="2"/>
  <c r="AE345" i="2"/>
  <c r="AD345" i="2"/>
  <c r="AC345" i="2"/>
  <c r="AJ344" i="2"/>
  <c r="AI344" i="2"/>
  <c r="AH344" i="2"/>
  <c r="AG344" i="2"/>
  <c r="AF344" i="2"/>
  <c r="AE344" i="2"/>
  <c r="AD344" i="2"/>
  <c r="AC344" i="2"/>
  <c r="AJ343" i="2"/>
  <c r="AI343" i="2"/>
  <c r="AH343" i="2"/>
  <c r="AG343" i="2"/>
  <c r="AF343" i="2"/>
  <c r="AE343" i="2"/>
  <c r="AD343" i="2"/>
  <c r="AC343" i="2"/>
  <c r="AJ342" i="2"/>
  <c r="AI342" i="2"/>
  <c r="AH342" i="2"/>
  <c r="AG342" i="2"/>
  <c r="AF342" i="2"/>
  <c r="AE342" i="2"/>
  <c r="AD342" i="2"/>
  <c r="AC342" i="2"/>
  <c r="AJ341" i="2"/>
  <c r="AI341" i="2"/>
  <c r="AH341" i="2"/>
  <c r="AG341" i="2"/>
  <c r="AF341" i="2"/>
  <c r="AE341" i="2"/>
  <c r="AD341" i="2"/>
  <c r="AC341" i="2"/>
  <c r="AJ340" i="2"/>
  <c r="AI340" i="2"/>
  <c r="AH340" i="2"/>
  <c r="AG340" i="2"/>
  <c r="AF340" i="2"/>
  <c r="AE340" i="2"/>
  <c r="AD340" i="2"/>
  <c r="AC340" i="2"/>
  <c r="AJ339" i="2"/>
  <c r="AI339" i="2"/>
  <c r="AH339" i="2"/>
  <c r="AG339" i="2"/>
  <c r="AF339" i="2"/>
  <c r="AE339" i="2"/>
  <c r="AD339" i="2"/>
  <c r="AC339" i="2"/>
  <c r="AJ338" i="2"/>
  <c r="AI338" i="2"/>
  <c r="AH338" i="2"/>
  <c r="AG338" i="2"/>
  <c r="AF338" i="2"/>
  <c r="AE338" i="2"/>
  <c r="AD338" i="2"/>
  <c r="AC338" i="2"/>
  <c r="AJ337" i="2"/>
  <c r="AI337" i="2"/>
  <c r="AH337" i="2"/>
  <c r="AG337" i="2"/>
  <c r="AF337" i="2"/>
  <c r="AE337" i="2"/>
  <c r="AD337" i="2"/>
  <c r="AC337" i="2"/>
  <c r="AJ336" i="2"/>
  <c r="AI336" i="2"/>
  <c r="AH336" i="2"/>
  <c r="AG336" i="2"/>
  <c r="AF336" i="2"/>
  <c r="AE336" i="2"/>
  <c r="AD336" i="2"/>
  <c r="AC336" i="2"/>
  <c r="AJ335" i="2"/>
  <c r="AI335" i="2"/>
  <c r="AH335" i="2"/>
  <c r="AG335" i="2"/>
  <c r="AF335" i="2"/>
  <c r="AE335" i="2"/>
  <c r="AD335" i="2"/>
  <c r="AC335" i="2"/>
  <c r="AJ334" i="2"/>
  <c r="AI334" i="2"/>
  <c r="AH334" i="2"/>
  <c r="AG334" i="2"/>
  <c r="AF334" i="2"/>
  <c r="AE334" i="2"/>
  <c r="AD334" i="2"/>
  <c r="AC334" i="2"/>
  <c r="AJ333" i="2"/>
  <c r="AI333" i="2"/>
  <c r="AH333" i="2"/>
  <c r="AG333" i="2"/>
  <c r="AF333" i="2"/>
  <c r="AE333" i="2"/>
  <c r="AD333" i="2"/>
  <c r="AC333" i="2"/>
  <c r="AJ332" i="2"/>
  <c r="AI332" i="2"/>
  <c r="AH332" i="2"/>
  <c r="AG332" i="2"/>
  <c r="AF332" i="2"/>
  <c r="AE332" i="2"/>
  <c r="AD332" i="2"/>
  <c r="AC332" i="2"/>
  <c r="AJ331" i="2"/>
  <c r="AI331" i="2"/>
  <c r="AH331" i="2"/>
  <c r="AG331" i="2"/>
  <c r="AF331" i="2"/>
  <c r="AE331" i="2"/>
  <c r="AD331" i="2"/>
  <c r="AC331" i="2"/>
  <c r="AJ330" i="2"/>
  <c r="AI330" i="2"/>
  <c r="AH330" i="2"/>
  <c r="AG330" i="2"/>
  <c r="AF330" i="2"/>
  <c r="AE330" i="2"/>
  <c r="AD330" i="2"/>
  <c r="AC330" i="2"/>
  <c r="AJ329" i="2"/>
  <c r="AI329" i="2"/>
  <c r="AH329" i="2"/>
  <c r="AG329" i="2"/>
  <c r="AF329" i="2"/>
  <c r="AE329" i="2"/>
  <c r="AD329" i="2"/>
  <c r="AC329" i="2"/>
  <c r="AJ328" i="2"/>
  <c r="AI328" i="2"/>
  <c r="AH328" i="2"/>
  <c r="AG328" i="2"/>
  <c r="AF328" i="2"/>
  <c r="AE328" i="2"/>
  <c r="AD328" i="2"/>
  <c r="AC328" i="2"/>
  <c r="AJ327" i="2"/>
  <c r="AI327" i="2"/>
  <c r="AH327" i="2"/>
  <c r="AG327" i="2"/>
  <c r="AF327" i="2"/>
  <c r="AE327" i="2"/>
  <c r="AD327" i="2"/>
  <c r="AC327" i="2"/>
  <c r="AJ326" i="2"/>
  <c r="AI326" i="2"/>
  <c r="AH326" i="2"/>
  <c r="AG326" i="2"/>
  <c r="AF326" i="2"/>
  <c r="AE326" i="2"/>
  <c r="AD326" i="2"/>
  <c r="AC326" i="2"/>
  <c r="AJ325" i="2"/>
  <c r="AI325" i="2"/>
  <c r="AH325" i="2"/>
  <c r="AG325" i="2"/>
  <c r="AF325" i="2"/>
  <c r="AE325" i="2"/>
  <c r="AD325" i="2"/>
  <c r="AC325" i="2"/>
  <c r="AJ324" i="2"/>
  <c r="AI324" i="2"/>
  <c r="AH324" i="2"/>
  <c r="AG324" i="2"/>
  <c r="AF324" i="2"/>
  <c r="AE324" i="2"/>
  <c r="AD324" i="2"/>
  <c r="AC324" i="2"/>
  <c r="AJ323" i="2"/>
  <c r="AI323" i="2"/>
  <c r="AH323" i="2"/>
  <c r="AG323" i="2"/>
  <c r="AF323" i="2"/>
  <c r="AE323" i="2"/>
  <c r="AD323" i="2"/>
  <c r="AC323" i="2"/>
  <c r="AJ322" i="2"/>
  <c r="AI322" i="2"/>
  <c r="AH322" i="2"/>
  <c r="AG322" i="2"/>
  <c r="AF322" i="2"/>
  <c r="AE322" i="2"/>
  <c r="AD322" i="2"/>
  <c r="AC322" i="2"/>
  <c r="AJ321" i="2"/>
  <c r="AI321" i="2"/>
  <c r="AH321" i="2"/>
  <c r="AG321" i="2"/>
  <c r="AF321" i="2"/>
  <c r="AE321" i="2"/>
  <c r="AD321" i="2"/>
  <c r="AC321" i="2"/>
  <c r="AJ320" i="2"/>
  <c r="AI320" i="2"/>
  <c r="AH320" i="2"/>
  <c r="AG320" i="2"/>
  <c r="AF320" i="2"/>
  <c r="AE320" i="2"/>
  <c r="AD320" i="2"/>
  <c r="AC320" i="2"/>
  <c r="AJ319" i="2"/>
  <c r="AI319" i="2"/>
  <c r="AH319" i="2"/>
  <c r="AG319" i="2"/>
  <c r="AF319" i="2"/>
  <c r="AE319" i="2"/>
  <c r="AD319" i="2"/>
  <c r="AC319" i="2"/>
  <c r="AJ318" i="2"/>
  <c r="AI318" i="2"/>
  <c r="AH318" i="2"/>
  <c r="AG318" i="2"/>
  <c r="AF318" i="2"/>
  <c r="AE318" i="2"/>
  <c r="AD318" i="2"/>
  <c r="AC318" i="2"/>
  <c r="AJ317" i="2"/>
  <c r="AI317" i="2"/>
  <c r="AH317" i="2"/>
  <c r="AG317" i="2"/>
  <c r="AF317" i="2"/>
  <c r="AE317" i="2"/>
  <c r="AD317" i="2"/>
  <c r="AC317" i="2"/>
  <c r="AJ316" i="2"/>
  <c r="AI316" i="2"/>
  <c r="AH316" i="2"/>
  <c r="AG316" i="2"/>
  <c r="AF316" i="2"/>
  <c r="AE316" i="2"/>
  <c r="AD316" i="2"/>
  <c r="AC316" i="2"/>
  <c r="AJ315" i="2"/>
  <c r="AI315" i="2"/>
  <c r="AH315" i="2"/>
  <c r="AG315" i="2"/>
  <c r="AF315" i="2"/>
  <c r="AE315" i="2"/>
  <c r="AD315" i="2"/>
  <c r="AC315" i="2"/>
  <c r="AJ314" i="2"/>
  <c r="AI314" i="2"/>
  <c r="AH314" i="2"/>
  <c r="AG314" i="2"/>
  <c r="AF314" i="2"/>
  <c r="AE314" i="2"/>
  <c r="AD314" i="2"/>
  <c r="AC314" i="2"/>
  <c r="AJ313" i="2"/>
  <c r="AI313" i="2"/>
  <c r="AH313" i="2"/>
  <c r="AG313" i="2"/>
  <c r="AF313" i="2"/>
  <c r="AE313" i="2"/>
  <c r="AD313" i="2"/>
  <c r="AC313" i="2"/>
  <c r="AJ312" i="2"/>
  <c r="AI312" i="2"/>
  <c r="AH312" i="2"/>
  <c r="AG312" i="2"/>
  <c r="AF312" i="2"/>
  <c r="AE312" i="2"/>
  <c r="AD312" i="2"/>
  <c r="AC312" i="2"/>
  <c r="AJ311" i="2"/>
  <c r="AI311" i="2"/>
  <c r="AH311" i="2"/>
  <c r="AG311" i="2"/>
  <c r="AF311" i="2"/>
  <c r="AE311" i="2"/>
  <c r="AD311" i="2"/>
  <c r="AC311" i="2"/>
  <c r="AJ310" i="2"/>
  <c r="AI310" i="2"/>
  <c r="AH310" i="2"/>
  <c r="AG310" i="2"/>
  <c r="AF310" i="2"/>
  <c r="AE310" i="2"/>
  <c r="AD310" i="2"/>
  <c r="AC310" i="2"/>
  <c r="AJ309" i="2"/>
  <c r="AI309" i="2"/>
  <c r="AH309" i="2"/>
  <c r="AG309" i="2"/>
  <c r="AF309" i="2"/>
  <c r="AE309" i="2"/>
  <c r="AD309" i="2"/>
  <c r="AC309" i="2"/>
  <c r="AJ308" i="2"/>
  <c r="AI308" i="2"/>
  <c r="AH308" i="2"/>
  <c r="AG308" i="2"/>
  <c r="AF308" i="2"/>
  <c r="AE308" i="2"/>
  <c r="AD308" i="2"/>
  <c r="AC308" i="2"/>
  <c r="AJ307" i="2"/>
  <c r="AI307" i="2"/>
  <c r="AH307" i="2"/>
  <c r="AG307" i="2"/>
  <c r="AF307" i="2"/>
  <c r="AE307" i="2"/>
  <c r="AD307" i="2"/>
  <c r="AC307" i="2"/>
  <c r="AJ306" i="2"/>
  <c r="AI306" i="2"/>
  <c r="AH306" i="2"/>
  <c r="AG306" i="2"/>
  <c r="AF306" i="2"/>
  <c r="AE306" i="2"/>
  <c r="AD306" i="2"/>
  <c r="AC306" i="2"/>
  <c r="AJ305" i="2"/>
  <c r="AI305" i="2"/>
  <c r="AH305" i="2"/>
  <c r="AG305" i="2"/>
  <c r="AF305" i="2"/>
  <c r="AE305" i="2"/>
  <c r="AD305" i="2"/>
  <c r="AC305" i="2"/>
  <c r="AJ304" i="2"/>
  <c r="AI304" i="2"/>
  <c r="AH304" i="2"/>
  <c r="AG304" i="2"/>
  <c r="AF304" i="2"/>
  <c r="AE304" i="2"/>
  <c r="AD304" i="2"/>
  <c r="AC304" i="2"/>
  <c r="AJ303" i="2"/>
  <c r="AI303" i="2"/>
  <c r="AH303" i="2"/>
  <c r="AG303" i="2"/>
  <c r="AF303" i="2"/>
  <c r="AE303" i="2"/>
  <c r="AD303" i="2"/>
  <c r="AC303" i="2"/>
  <c r="AJ302" i="2"/>
  <c r="AI302" i="2"/>
  <c r="AH302" i="2"/>
  <c r="AG302" i="2"/>
  <c r="AF302" i="2"/>
  <c r="AE302" i="2"/>
  <c r="AD302" i="2"/>
  <c r="AC302" i="2"/>
  <c r="AJ301" i="2"/>
  <c r="AI301" i="2"/>
  <c r="AH301" i="2"/>
  <c r="AG301" i="2"/>
  <c r="AF301" i="2"/>
  <c r="AE301" i="2"/>
  <c r="AD301" i="2"/>
  <c r="AC301" i="2"/>
  <c r="AJ300" i="2"/>
  <c r="AI300" i="2"/>
  <c r="AH300" i="2"/>
  <c r="AG300" i="2"/>
  <c r="AF300" i="2"/>
  <c r="AE300" i="2"/>
  <c r="AD300" i="2"/>
  <c r="AC300" i="2"/>
  <c r="AJ299" i="2"/>
  <c r="AI299" i="2"/>
  <c r="AH299" i="2"/>
  <c r="AG299" i="2"/>
  <c r="AF299" i="2"/>
  <c r="AE299" i="2"/>
  <c r="AD299" i="2"/>
  <c r="AC299" i="2"/>
  <c r="AJ298" i="2"/>
  <c r="AI298" i="2"/>
  <c r="AH298" i="2"/>
  <c r="AG298" i="2"/>
  <c r="AF298" i="2"/>
  <c r="AE298" i="2"/>
  <c r="AD298" i="2"/>
  <c r="AC298" i="2"/>
  <c r="AJ297" i="2"/>
  <c r="AI297" i="2"/>
  <c r="AH297" i="2"/>
  <c r="AG297" i="2"/>
  <c r="AF297" i="2"/>
  <c r="AE297" i="2"/>
  <c r="AD297" i="2"/>
  <c r="AC297" i="2"/>
  <c r="AJ296" i="2"/>
  <c r="AI296" i="2"/>
  <c r="AH296" i="2"/>
  <c r="AG296" i="2"/>
  <c r="AF296" i="2"/>
  <c r="AE296" i="2"/>
  <c r="AD296" i="2"/>
  <c r="AC296" i="2"/>
  <c r="AJ295" i="2"/>
  <c r="AI295" i="2"/>
  <c r="AH295" i="2"/>
  <c r="AG295" i="2"/>
  <c r="AF295" i="2"/>
  <c r="AE295" i="2"/>
  <c r="AD295" i="2"/>
  <c r="AC295" i="2"/>
  <c r="AJ294" i="2"/>
  <c r="AI294" i="2"/>
  <c r="AH294" i="2"/>
  <c r="AG294" i="2"/>
  <c r="AF294" i="2"/>
  <c r="AE294" i="2"/>
  <c r="AD294" i="2"/>
  <c r="AC294" i="2"/>
  <c r="AJ293" i="2"/>
  <c r="AI293" i="2"/>
  <c r="AH293" i="2"/>
  <c r="AG293" i="2"/>
  <c r="AF293" i="2"/>
  <c r="AE293" i="2"/>
  <c r="AD293" i="2"/>
  <c r="AC293" i="2"/>
  <c r="AJ292" i="2"/>
  <c r="AI292" i="2"/>
  <c r="AH292" i="2"/>
  <c r="AG292" i="2"/>
  <c r="AF292" i="2"/>
  <c r="AE292" i="2"/>
  <c r="AD292" i="2"/>
  <c r="AC292" i="2"/>
  <c r="AJ291" i="2"/>
  <c r="AI291" i="2"/>
  <c r="AH291" i="2"/>
  <c r="AG291" i="2"/>
  <c r="AF291" i="2"/>
  <c r="AE291" i="2"/>
  <c r="AD291" i="2"/>
  <c r="AC291" i="2"/>
  <c r="AJ290" i="2"/>
  <c r="AI290" i="2"/>
  <c r="AH290" i="2"/>
  <c r="AG290" i="2"/>
  <c r="AF290" i="2"/>
  <c r="AE290" i="2"/>
  <c r="AD290" i="2"/>
  <c r="AC290" i="2"/>
  <c r="AJ289" i="2"/>
  <c r="AI289" i="2"/>
  <c r="AH289" i="2"/>
  <c r="AG289" i="2"/>
  <c r="AF289" i="2"/>
  <c r="AE289" i="2"/>
  <c r="AD289" i="2"/>
  <c r="AC289" i="2"/>
  <c r="AJ288" i="2"/>
  <c r="AI288" i="2"/>
  <c r="AH288" i="2"/>
  <c r="AG288" i="2"/>
  <c r="AF288" i="2"/>
  <c r="AE288" i="2"/>
  <c r="AD288" i="2"/>
  <c r="AC288" i="2"/>
  <c r="AJ287" i="2"/>
  <c r="AI287" i="2"/>
  <c r="AH287" i="2"/>
  <c r="AG287" i="2"/>
  <c r="AF287" i="2"/>
  <c r="AE287" i="2"/>
  <c r="AD287" i="2"/>
  <c r="AC287" i="2"/>
  <c r="AJ286" i="2"/>
  <c r="AI286" i="2"/>
  <c r="AH286" i="2"/>
  <c r="AG286" i="2"/>
  <c r="AF286" i="2"/>
  <c r="AE286" i="2"/>
  <c r="AD286" i="2"/>
  <c r="AC286" i="2"/>
  <c r="AJ285" i="2"/>
  <c r="AI285" i="2"/>
  <c r="AH285" i="2"/>
  <c r="AG285" i="2"/>
  <c r="AF285" i="2"/>
  <c r="AE285" i="2"/>
  <c r="AD285" i="2"/>
  <c r="AC285" i="2"/>
  <c r="AJ284" i="2"/>
  <c r="AI284" i="2"/>
  <c r="AH284" i="2"/>
  <c r="AG284" i="2"/>
  <c r="AF284" i="2"/>
  <c r="AE284" i="2"/>
  <c r="AD284" i="2"/>
  <c r="AC284" i="2"/>
  <c r="AJ283" i="2"/>
  <c r="AI283" i="2"/>
  <c r="AH283" i="2"/>
  <c r="AG283" i="2"/>
  <c r="AF283" i="2"/>
  <c r="AE283" i="2"/>
  <c r="AD283" i="2"/>
  <c r="AC283" i="2"/>
  <c r="AJ282" i="2"/>
  <c r="AI282" i="2"/>
  <c r="AH282" i="2"/>
  <c r="AG282" i="2"/>
  <c r="AF282" i="2"/>
  <c r="AE282" i="2"/>
  <c r="AD282" i="2"/>
  <c r="AC282" i="2"/>
  <c r="AJ281" i="2"/>
  <c r="AI281" i="2"/>
  <c r="AH281" i="2"/>
  <c r="AG281" i="2"/>
  <c r="AF281" i="2"/>
  <c r="AE281" i="2"/>
  <c r="AD281" i="2"/>
  <c r="AC281" i="2"/>
  <c r="AJ280" i="2"/>
  <c r="AI280" i="2"/>
  <c r="AH280" i="2"/>
  <c r="AG280" i="2"/>
  <c r="AF280" i="2"/>
  <c r="AE280" i="2"/>
  <c r="AD280" i="2"/>
  <c r="AC280" i="2"/>
  <c r="AJ279" i="2"/>
  <c r="AI279" i="2"/>
  <c r="AH279" i="2"/>
  <c r="AG279" i="2"/>
  <c r="AF279" i="2"/>
  <c r="AE279" i="2"/>
  <c r="AD279" i="2"/>
  <c r="AC279" i="2"/>
  <c r="AJ278" i="2"/>
  <c r="AI278" i="2"/>
  <c r="AH278" i="2"/>
  <c r="AG278" i="2"/>
  <c r="AF278" i="2"/>
  <c r="AE278" i="2"/>
  <c r="AD278" i="2"/>
  <c r="AC278" i="2"/>
  <c r="AJ277" i="2"/>
  <c r="AI277" i="2"/>
  <c r="AH277" i="2"/>
  <c r="AG277" i="2"/>
  <c r="AF277" i="2"/>
  <c r="AE277" i="2"/>
  <c r="AD277" i="2"/>
  <c r="AC277" i="2"/>
  <c r="AJ276" i="2"/>
  <c r="AI276" i="2"/>
  <c r="AH276" i="2"/>
  <c r="AG276" i="2"/>
  <c r="AF276" i="2"/>
  <c r="AE276" i="2"/>
  <c r="AD276" i="2"/>
  <c r="AC276" i="2"/>
  <c r="AJ275" i="2"/>
  <c r="AI275" i="2"/>
  <c r="AH275" i="2"/>
  <c r="AG275" i="2"/>
  <c r="AF275" i="2"/>
  <c r="AE275" i="2"/>
  <c r="AD275" i="2"/>
  <c r="AC275" i="2"/>
  <c r="AJ274" i="2"/>
  <c r="AI274" i="2"/>
  <c r="AH274" i="2"/>
  <c r="AG274" i="2"/>
  <c r="AF274" i="2"/>
  <c r="AE274" i="2"/>
  <c r="AD274" i="2"/>
  <c r="AC274" i="2"/>
  <c r="AJ273" i="2"/>
  <c r="AI273" i="2"/>
  <c r="AH273" i="2"/>
  <c r="AG273" i="2"/>
  <c r="AF273" i="2"/>
  <c r="AE273" i="2"/>
  <c r="AD273" i="2"/>
  <c r="AC273" i="2"/>
  <c r="AJ272" i="2"/>
  <c r="AI272" i="2"/>
  <c r="AH272" i="2"/>
  <c r="AG272" i="2"/>
  <c r="AF272" i="2"/>
  <c r="AE272" i="2"/>
  <c r="AD272" i="2"/>
  <c r="AC272" i="2"/>
  <c r="AJ271" i="2"/>
  <c r="AI271" i="2"/>
  <c r="AH271" i="2"/>
  <c r="AG271" i="2"/>
  <c r="AF271" i="2"/>
  <c r="AE271" i="2"/>
  <c r="AD271" i="2"/>
  <c r="AC271" i="2"/>
  <c r="AJ270" i="2"/>
  <c r="AI270" i="2"/>
  <c r="AH270" i="2"/>
  <c r="AG270" i="2"/>
  <c r="AF270" i="2"/>
  <c r="AE270" i="2"/>
  <c r="AD270" i="2"/>
  <c r="AC270" i="2"/>
  <c r="AJ269" i="2"/>
  <c r="AI269" i="2"/>
  <c r="AH269" i="2"/>
  <c r="AG269" i="2"/>
  <c r="AF269" i="2"/>
  <c r="AE269" i="2"/>
  <c r="AD269" i="2"/>
  <c r="AC269" i="2"/>
  <c r="AJ268" i="2"/>
  <c r="AI268" i="2"/>
  <c r="AH268" i="2"/>
  <c r="AG268" i="2"/>
  <c r="AF268" i="2"/>
  <c r="AE268" i="2"/>
  <c r="AD268" i="2"/>
  <c r="AC268" i="2"/>
  <c r="AJ267" i="2"/>
  <c r="AI267" i="2"/>
  <c r="AH267" i="2"/>
  <c r="AG267" i="2"/>
  <c r="AF267" i="2"/>
  <c r="AE267" i="2"/>
  <c r="AD267" i="2"/>
  <c r="AC267" i="2"/>
  <c r="AJ266" i="2"/>
  <c r="AI266" i="2"/>
  <c r="AH266" i="2"/>
  <c r="AG266" i="2"/>
  <c r="AF266" i="2"/>
  <c r="AE266" i="2"/>
  <c r="AD266" i="2"/>
  <c r="AC266" i="2"/>
  <c r="AJ265" i="2"/>
  <c r="AI265" i="2"/>
  <c r="AH265" i="2"/>
  <c r="AG265" i="2"/>
  <c r="AF265" i="2"/>
  <c r="AE265" i="2"/>
  <c r="AD265" i="2"/>
  <c r="AC265" i="2"/>
  <c r="AJ264" i="2"/>
  <c r="AI264" i="2"/>
  <c r="AH264" i="2"/>
  <c r="AG264" i="2"/>
  <c r="AF264" i="2"/>
  <c r="AE264" i="2"/>
  <c r="AD264" i="2"/>
  <c r="AC264" i="2"/>
  <c r="AJ263" i="2"/>
  <c r="AI263" i="2"/>
  <c r="AH263" i="2"/>
  <c r="AG263" i="2"/>
  <c r="AF263" i="2"/>
  <c r="AE263" i="2"/>
  <c r="AD263" i="2"/>
  <c r="AC263" i="2"/>
  <c r="AJ262" i="2"/>
  <c r="AI262" i="2"/>
  <c r="AH262" i="2"/>
  <c r="AG262" i="2"/>
  <c r="AF262" i="2"/>
  <c r="AE262" i="2"/>
  <c r="AD262" i="2"/>
  <c r="AC262" i="2"/>
  <c r="AJ261" i="2"/>
  <c r="AI261" i="2"/>
  <c r="AH261" i="2"/>
  <c r="AG261" i="2"/>
  <c r="AF261" i="2"/>
  <c r="AE261" i="2"/>
  <c r="AD261" i="2"/>
  <c r="AC261" i="2"/>
  <c r="AJ260" i="2"/>
  <c r="AI260" i="2"/>
  <c r="AH260" i="2"/>
  <c r="AG260" i="2"/>
  <c r="AF260" i="2"/>
  <c r="AE260" i="2"/>
  <c r="AD260" i="2"/>
  <c r="AC260" i="2"/>
  <c r="AJ259" i="2"/>
  <c r="AI259" i="2"/>
  <c r="AH259" i="2"/>
  <c r="AG259" i="2"/>
  <c r="AF259" i="2"/>
  <c r="AE259" i="2"/>
  <c r="AD259" i="2"/>
  <c r="AC259" i="2"/>
  <c r="AJ258" i="2"/>
  <c r="AI258" i="2"/>
  <c r="AH258" i="2"/>
  <c r="AG258" i="2"/>
  <c r="AF258" i="2"/>
  <c r="AE258" i="2"/>
  <c r="AD258" i="2"/>
  <c r="AC258" i="2"/>
  <c r="AJ257" i="2"/>
  <c r="AI257" i="2"/>
  <c r="AH257" i="2"/>
  <c r="AG257" i="2"/>
  <c r="AF257" i="2"/>
  <c r="AE257" i="2"/>
  <c r="AD257" i="2"/>
  <c r="AC257" i="2"/>
  <c r="AJ256" i="2"/>
  <c r="AI256" i="2"/>
  <c r="AH256" i="2"/>
  <c r="AG256" i="2"/>
  <c r="AF256" i="2"/>
  <c r="AE256" i="2"/>
  <c r="AD256" i="2"/>
  <c r="AC256" i="2"/>
  <c r="AJ255" i="2"/>
  <c r="AI255" i="2"/>
  <c r="AH255" i="2"/>
  <c r="AG255" i="2"/>
  <c r="AF255" i="2"/>
  <c r="AE255" i="2"/>
  <c r="AD255" i="2"/>
  <c r="AC255" i="2"/>
  <c r="AJ254" i="2"/>
  <c r="AI254" i="2"/>
  <c r="AH254" i="2"/>
  <c r="AG254" i="2"/>
  <c r="AF254" i="2"/>
  <c r="AE254" i="2"/>
  <c r="AD254" i="2"/>
  <c r="AC254" i="2"/>
  <c r="AJ253" i="2"/>
  <c r="AI253" i="2"/>
  <c r="AH253" i="2"/>
  <c r="AG253" i="2"/>
  <c r="AF253" i="2"/>
  <c r="AE253" i="2"/>
  <c r="AD253" i="2"/>
  <c r="AC253" i="2"/>
  <c r="AJ252" i="2"/>
  <c r="AI252" i="2"/>
  <c r="AH252" i="2"/>
  <c r="AG252" i="2"/>
  <c r="AF252" i="2"/>
  <c r="AE252" i="2"/>
  <c r="AD252" i="2"/>
  <c r="AC252" i="2"/>
  <c r="AJ251" i="2"/>
  <c r="AI251" i="2"/>
  <c r="AH251" i="2"/>
  <c r="AG251" i="2"/>
  <c r="AF251" i="2"/>
  <c r="AE251" i="2"/>
  <c r="AD251" i="2"/>
  <c r="AC251" i="2"/>
  <c r="AJ250" i="2"/>
  <c r="AI250" i="2"/>
  <c r="AH250" i="2"/>
  <c r="AG250" i="2"/>
  <c r="AF250" i="2"/>
  <c r="AE250" i="2"/>
  <c r="AD250" i="2"/>
  <c r="AC250" i="2"/>
  <c r="AJ249" i="2"/>
  <c r="AI249" i="2"/>
  <c r="AH249" i="2"/>
  <c r="AG249" i="2"/>
  <c r="AF249" i="2"/>
  <c r="AE249" i="2"/>
  <c r="AD249" i="2"/>
  <c r="AC249" i="2"/>
  <c r="AJ248" i="2"/>
  <c r="AI248" i="2"/>
  <c r="AH248" i="2"/>
  <c r="AG248" i="2"/>
  <c r="AF248" i="2"/>
  <c r="AE248" i="2"/>
  <c r="AD248" i="2"/>
  <c r="AC248" i="2"/>
  <c r="AJ247" i="2"/>
  <c r="AI247" i="2"/>
  <c r="AH247" i="2"/>
  <c r="AG247" i="2"/>
  <c r="AF247" i="2"/>
  <c r="AE247" i="2"/>
  <c r="AD247" i="2"/>
  <c r="AC247" i="2"/>
  <c r="AJ246" i="2"/>
  <c r="AI246" i="2"/>
  <c r="AH246" i="2"/>
  <c r="AG246" i="2"/>
  <c r="AF246" i="2"/>
  <c r="AE246" i="2"/>
  <c r="AD246" i="2"/>
  <c r="AC246" i="2"/>
  <c r="AJ245" i="2"/>
  <c r="AI245" i="2"/>
  <c r="AH245" i="2"/>
  <c r="AG245" i="2"/>
  <c r="AF245" i="2"/>
  <c r="AE245" i="2"/>
  <c r="AD245" i="2"/>
  <c r="AC245" i="2"/>
  <c r="AJ244" i="2"/>
  <c r="AI244" i="2"/>
  <c r="AH244" i="2"/>
  <c r="AG244" i="2"/>
  <c r="AF244" i="2"/>
  <c r="AE244" i="2"/>
  <c r="AD244" i="2"/>
  <c r="AC244" i="2"/>
  <c r="AJ243" i="2"/>
  <c r="AI243" i="2"/>
  <c r="AH243" i="2"/>
  <c r="AG243" i="2"/>
  <c r="AF243" i="2"/>
  <c r="AE243" i="2"/>
  <c r="AD243" i="2"/>
  <c r="AC243" i="2"/>
  <c r="AJ242" i="2"/>
  <c r="AI242" i="2"/>
  <c r="AH242" i="2"/>
  <c r="AG242" i="2"/>
  <c r="AF242" i="2"/>
  <c r="AE242" i="2"/>
  <c r="AD242" i="2"/>
  <c r="AC242" i="2"/>
  <c r="AJ241" i="2"/>
  <c r="AI241" i="2"/>
  <c r="AH241" i="2"/>
  <c r="AG241" i="2"/>
  <c r="AF241" i="2"/>
  <c r="AE241" i="2"/>
  <c r="AD241" i="2"/>
  <c r="AC241" i="2"/>
  <c r="AJ240" i="2"/>
  <c r="AI240" i="2"/>
  <c r="AH240" i="2"/>
  <c r="AG240" i="2"/>
  <c r="AF240" i="2"/>
  <c r="AE240" i="2"/>
  <c r="AD240" i="2"/>
  <c r="AC240" i="2"/>
  <c r="AJ239" i="2"/>
  <c r="AI239" i="2"/>
  <c r="AH239" i="2"/>
  <c r="AG239" i="2"/>
  <c r="AF239" i="2"/>
  <c r="AE239" i="2"/>
  <c r="AD239" i="2"/>
  <c r="AC239" i="2"/>
  <c r="AJ238" i="2"/>
  <c r="AI238" i="2"/>
  <c r="AH238" i="2"/>
  <c r="AG238" i="2"/>
  <c r="AF238" i="2"/>
  <c r="AE238" i="2"/>
  <c r="AD238" i="2"/>
  <c r="AC238" i="2"/>
  <c r="AJ237" i="2"/>
  <c r="AI237" i="2"/>
  <c r="AH237" i="2"/>
  <c r="AG237" i="2"/>
  <c r="AF237" i="2"/>
  <c r="AE237" i="2"/>
  <c r="AD237" i="2"/>
  <c r="AC237" i="2"/>
  <c r="AJ236" i="2"/>
  <c r="AI236" i="2"/>
  <c r="AH236" i="2"/>
  <c r="AG236" i="2"/>
  <c r="AF236" i="2"/>
  <c r="AE236" i="2"/>
  <c r="AD236" i="2"/>
  <c r="AC236" i="2"/>
  <c r="AJ235" i="2"/>
  <c r="AI235" i="2"/>
  <c r="AH235" i="2"/>
  <c r="AG235" i="2"/>
  <c r="AF235" i="2"/>
  <c r="AE235" i="2"/>
  <c r="AD235" i="2"/>
  <c r="AC235" i="2"/>
  <c r="AJ234" i="2"/>
  <c r="AI234" i="2"/>
  <c r="AH234" i="2"/>
  <c r="AG234" i="2"/>
  <c r="AF234" i="2"/>
  <c r="AE234" i="2"/>
  <c r="AD234" i="2"/>
  <c r="AC234" i="2"/>
  <c r="AJ233" i="2"/>
  <c r="AI233" i="2"/>
  <c r="AH233" i="2"/>
  <c r="AG233" i="2"/>
  <c r="AF233" i="2"/>
  <c r="AE233" i="2"/>
  <c r="AD233" i="2"/>
  <c r="AC233" i="2"/>
  <c r="AJ232" i="2"/>
  <c r="AI232" i="2"/>
  <c r="AH232" i="2"/>
  <c r="AG232" i="2"/>
  <c r="AF232" i="2"/>
  <c r="AE232" i="2"/>
  <c r="AD232" i="2"/>
  <c r="AC232" i="2"/>
  <c r="AJ231" i="2"/>
  <c r="AI231" i="2"/>
  <c r="AH231" i="2"/>
  <c r="AG231" i="2"/>
  <c r="AF231" i="2"/>
  <c r="AE231" i="2"/>
  <c r="AD231" i="2"/>
  <c r="AC231" i="2"/>
  <c r="AJ230" i="2"/>
  <c r="AI230" i="2"/>
  <c r="AH230" i="2"/>
  <c r="AG230" i="2"/>
  <c r="AF230" i="2"/>
  <c r="AE230" i="2"/>
  <c r="AD230" i="2"/>
  <c r="AC230" i="2"/>
  <c r="AJ229" i="2"/>
  <c r="AI229" i="2"/>
  <c r="AH229" i="2"/>
  <c r="AG229" i="2"/>
  <c r="AF229" i="2"/>
  <c r="AE229" i="2"/>
  <c r="AD229" i="2"/>
  <c r="AC229" i="2"/>
  <c r="AJ228" i="2"/>
  <c r="AI228" i="2"/>
  <c r="AH228" i="2"/>
  <c r="AG228" i="2"/>
  <c r="AF228" i="2"/>
  <c r="AE228" i="2"/>
  <c r="AD228" i="2"/>
  <c r="AC228" i="2"/>
  <c r="AJ227" i="2"/>
  <c r="AI227" i="2"/>
  <c r="AH227" i="2"/>
  <c r="AG227" i="2"/>
  <c r="AF227" i="2"/>
  <c r="AE227" i="2"/>
  <c r="AD227" i="2"/>
  <c r="AC227" i="2"/>
  <c r="AJ226" i="2"/>
  <c r="AI226" i="2"/>
  <c r="AH226" i="2"/>
  <c r="AG226" i="2"/>
  <c r="AF226" i="2"/>
  <c r="AE226" i="2"/>
  <c r="AD226" i="2"/>
  <c r="AC226" i="2"/>
  <c r="AJ225" i="2"/>
  <c r="AI225" i="2"/>
  <c r="AH225" i="2"/>
  <c r="AG225" i="2"/>
  <c r="AF225" i="2"/>
  <c r="AE225" i="2"/>
  <c r="AD225" i="2"/>
  <c r="AC225" i="2"/>
  <c r="AJ224" i="2"/>
  <c r="AI224" i="2"/>
  <c r="AH224" i="2"/>
  <c r="AG224" i="2"/>
  <c r="AF224" i="2"/>
  <c r="AE224" i="2"/>
  <c r="AD224" i="2"/>
  <c r="AC224" i="2"/>
  <c r="AJ223" i="2"/>
  <c r="AI223" i="2"/>
  <c r="AH223" i="2"/>
  <c r="AG223" i="2"/>
  <c r="AF223" i="2"/>
  <c r="AE223" i="2"/>
  <c r="AD223" i="2"/>
  <c r="AC223" i="2"/>
  <c r="AJ222" i="2"/>
  <c r="AI222" i="2"/>
  <c r="AH222" i="2"/>
  <c r="AG222" i="2"/>
  <c r="AF222" i="2"/>
  <c r="AE222" i="2"/>
  <c r="AD222" i="2"/>
  <c r="AC222" i="2"/>
  <c r="AJ221" i="2"/>
  <c r="AI221" i="2"/>
  <c r="AH221" i="2"/>
  <c r="AG221" i="2"/>
  <c r="AF221" i="2"/>
  <c r="AE221" i="2"/>
  <c r="AD221" i="2"/>
  <c r="AC221" i="2"/>
  <c r="AJ220" i="2"/>
  <c r="AI220" i="2"/>
  <c r="AH220" i="2"/>
  <c r="AG220" i="2"/>
  <c r="AF220" i="2"/>
  <c r="AE220" i="2"/>
  <c r="AD220" i="2"/>
  <c r="AC220" i="2"/>
  <c r="AJ219" i="2"/>
  <c r="AI219" i="2"/>
  <c r="AH219" i="2"/>
  <c r="AG219" i="2"/>
  <c r="AF219" i="2"/>
  <c r="AE219" i="2"/>
  <c r="AD219" i="2"/>
  <c r="AC219" i="2"/>
  <c r="AJ218" i="2"/>
  <c r="AI218" i="2"/>
  <c r="AH218" i="2"/>
  <c r="AG218" i="2"/>
  <c r="AF218" i="2"/>
  <c r="AE218" i="2"/>
  <c r="AD218" i="2"/>
  <c r="AC218" i="2"/>
  <c r="AJ217" i="2"/>
  <c r="AI217" i="2"/>
  <c r="AH217" i="2"/>
  <c r="AG217" i="2"/>
  <c r="AF217" i="2"/>
  <c r="AE217" i="2"/>
  <c r="AD217" i="2"/>
  <c r="AC217" i="2"/>
  <c r="AJ216" i="2"/>
  <c r="AI216" i="2"/>
  <c r="AH216" i="2"/>
  <c r="AG216" i="2"/>
  <c r="AF216" i="2"/>
  <c r="AE216" i="2"/>
  <c r="AD216" i="2"/>
  <c r="AC216" i="2"/>
  <c r="AJ215" i="2"/>
  <c r="AI215" i="2"/>
  <c r="AH215" i="2"/>
  <c r="AG215" i="2"/>
  <c r="AF215" i="2"/>
  <c r="AE215" i="2"/>
  <c r="AD215" i="2"/>
  <c r="AC215" i="2"/>
  <c r="AJ214" i="2"/>
  <c r="AI214" i="2"/>
  <c r="AH214" i="2"/>
  <c r="AG214" i="2"/>
  <c r="AF214" i="2"/>
  <c r="AE214" i="2"/>
  <c r="AD214" i="2"/>
  <c r="AC214" i="2"/>
  <c r="AJ213" i="2"/>
  <c r="AI213" i="2"/>
  <c r="AH213" i="2"/>
  <c r="AG213" i="2"/>
  <c r="AF213" i="2"/>
  <c r="AE213" i="2"/>
  <c r="AD213" i="2"/>
  <c r="AC213" i="2"/>
  <c r="AJ212" i="2"/>
  <c r="AI212" i="2"/>
  <c r="AH212" i="2"/>
  <c r="AG212" i="2"/>
  <c r="AF212" i="2"/>
  <c r="AE212" i="2"/>
  <c r="AD212" i="2"/>
  <c r="AC212" i="2"/>
  <c r="AJ211" i="2"/>
  <c r="AI211" i="2"/>
  <c r="AH211" i="2"/>
  <c r="AG211" i="2"/>
  <c r="AF211" i="2"/>
  <c r="AE211" i="2"/>
  <c r="AD211" i="2"/>
  <c r="AC211" i="2"/>
  <c r="AJ210" i="2"/>
  <c r="AI210" i="2"/>
  <c r="AH210" i="2"/>
  <c r="AG210" i="2"/>
  <c r="AF210" i="2"/>
  <c r="AE210" i="2"/>
  <c r="AD210" i="2"/>
  <c r="AC210" i="2"/>
  <c r="AJ209" i="2"/>
  <c r="AI209" i="2"/>
  <c r="AH209" i="2"/>
  <c r="AG209" i="2"/>
  <c r="AF209" i="2"/>
  <c r="AE209" i="2"/>
  <c r="AD209" i="2"/>
  <c r="AC209" i="2"/>
  <c r="AJ208" i="2"/>
  <c r="AI208" i="2"/>
  <c r="AH208" i="2"/>
  <c r="AG208" i="2"/>
  <c r="AF208" i="2"/>
  <c r="AE208" i="2"/>
  <c r="AD208" i="2"/>
  <c r="AC208" i="2"/>
  <c r="AJ207" i="2"/>
  <c r="AI207" i="2"/>
  <c r="AH207" i="2"/>
  <c r="AG207" i="2"/>
  <c r="AF207" i="2"/>
  <c r="AE207" i="2"/>
  <c r="AD207" i="2"/>
  <c r="AC207" i="2"/>
  <c r="AJ206" i="2"/>
  <c r="AI206" i="2"/>
  <c r="AH206" i="2"/>
  <c r="AG206" i="2"/>
  <c r="AF206" i="2"/>
  <c r="AE206" i="2"/>
  <c r="AD206" i="2"/>
  <c r="AC206" i="2"/>
  <c r="AJ205" i="2"/>
  <c r="AI205" i="2"/>
  <c r="AH205" i="2"/>
  <c r="AG205" i="2"/>
  <c r="AF205" i="2"/>
  <c r="AE205" i="2"/>
  <c r="AD205" i="2"/>
  <c r="AC205" i="2"/>
  <c r="AJ204" i="2"/>
  <c r="AI204" i="2"/>
  <c r="AH204" i="2"/>
  <c r="AG204" i="2"/>
  <c r="AF204" i="2"/>
  <c r="AE204" i="2"/>
  <c r="AD204" i="2"/>
  <c r="AC204" i="2"/>
  <c r="AJ203" i="2"/>
  <c r="AI203" i="2"/>
  <c r="AH203" i="2"/>
  <c r="AG203" i="2"/>
  <c r="AF203" i="2"/>
  <c r="AE203" i="2"/>
  <c r="AD203" i="2"/>
  <c r="AC203" i="2"/>
  <c r="AJ202" i="2"/>
  <c r="AI202" i="2"/>
  <c r="AH202" i="2"/>
  <c r="AG202" i="2"/>
  <c r="AF202" i="2"/>
  <c r="AE202" i="2"/>
  <c r="AD202" i="2"/>
  <c r="AC202" i="2"/>
  <c r="AJ201" i="2"/>
  <c r="AI201" i="2"/>
  <c r="AH201" i="2"/>
  <c r="AG201" i="2"/>
  <c r="AF201" i="2"/>
  <c r="AE201" i="2"/>
  <c r="AD201" i="2"/>
  <c r="AC201" i="2"/>
  <c r="AJ200" i="2"/>
  <c r="AI200" i="2"/>
  <c r="AH200" i="2"/>
  <c r="AG200" i="2"/>
  <c r="AF200" i="2"/>
  <c r="AE200" i="2"/>
  <c r="AD200" i="2"/>
  <c r="AC200" i="2"/>
  <c r="AJ199" i="2"/>
  <c r="AI199" i="2"/>
  <c r="AH199" i="2"/>
  <c r="AG199" i="2"/>
  <c r="AF199" i="2"/>
  <c r="AE199" i="2"/>
  <c r="AD199" i="2"/>
  <c r="AC199" i="2"/>
  <c r="AJ198" i="2"/>
  <c r="AI198" i="2"/>
  <c r="AH198" i="2"/>
  <c r="AG198" i="2"/>
  <c r="AF198" i="2"/>
  <c r="AE198" i="2"/>
  <c r="AD198" i="2"/>
  <c r="AC198" i="2"/>
  <c r="AJ197" i="2"/>
  <c r="AI197" i="2"/>
  <c r="AH197" i="2"/>
  <c r="AG197" i="2"/>
  <c r="AF197" i="2"/>
  <c r="AE197" i="2"/>
  <c r="AD197" i="2"/>
  <c r="AC197" i="2"/>
  <c r="AJ196" i="2"/>
  <c r="AI196" i="2"/>
  <c r="AH196" i="2"/>
  <c r="AG196" i="2"/>
  <c r="AF196" i="2"/>
  <c r="AE196" i="2"/>
  <c r="AD196" i="2"/>
  <c r="AC196" i="2"/>
  <c r="AJ195" i="2"/>
  <c r="AI195" i="2"/>
  <c r="AH195" i="2"/>
  <c r="AG195" i="2"/>
  <c r="AF195" i="2"/>
  <c r="AE195" i="2"/>
  <c r="AD195" i="2"/>
  <c r="AC195" i="2"/>
  <c r="AJ194" i="2"/>
  <c r="AI194" i="2"/>
  <c r="AH194" i="2"/>
  <c r="AG194" i="2"/>
  <c r="AF194" i="2"/>
  <c r="AE194" i="2"/>
  <c r="AD194" i="2"/>
  <c r="AC194" i="2"/>
  <c r="AJ193" i="2"/>
  <c r="AI193" i="2"/>
  <c r="AH193" i="2"/>
  <c r="AG193" i="2"/>
  <c r="AF193" i="2"/>
  <c r="AE193" i="2"/>
  <c r="AD193" i="2"/>
  <c r="AC193" i="2"/>
  <c r="AJ192" i="2"/>
  <c r="AI192" i="2"/>
  <c r="AH192" i="2"/>
  <c r="AG192" i="2"/>
  <c r="AF192" i="2"/>
  <c r="AE192" i="2"/>
  <c r="AD192" i="2"/>
  <c r="AC192" i="2"/>
  <c r="AJ191" i="2"/>
  <c r="AI191" i="2"/>
  <c r="AH191" i="2"/>
  <c r="AG191" i="2"/>
  <c r="AF191" i="2"/>
  <c r="AE191" i="2"/>
  <c r="AD191" i="2"/>
  <c r="AC191" i="2"/>
  <c r="AJ190" i="2"/>
  <c r="AI190" i="2"/>
  <c r="AH190" i="2"/>
  <c r="AG190" i="2"/>
  <c r="AF190" i="2"/>
  <c r="AE190" i="2"/>
  <c r="AD190" i="2"/>
  <c r="AC190" i="2"/>
  <c r="AJ189" i="2"/>
  <c r="AI189" i="2"/>
  <c r="AH189" i="2"/>
  <c r="AG189" i="2"/>
  <c r="AF189" i="2"/>
  <c r="AE189" i="2"/>
  <c r="AD189" i="2"/>
  <c r="AC189" i="2"/>
  <c r="AJ188" i="2"/>
  <c r="AI188" i="2"/>
  <c r="AH188" i="2"/>
  <c r="AG188" i="2"/>
  <c r="AF188" i="2"/>
  <c r="AE188" i="2"/>
  <c r="AD188" i="2"/>
  <c r="AC188" i="2"/>
  <c r="AJ187" i="2"/>
  <c r="AI187" i="2"/>
  <c r="AH187" i="2"/>
  <c r="AG187" i="2"/>
  <c r="AF187" i="2"/>
  <c r="AE187" i="2"/>
  <c r="AD187" i="2"/>
  <c r="AC187" i="2"/>
  <c r="AJ186" i="2"/>
  <c r="AI186" i="2"/>
  <c r="AH186" i="2"/>
  <c r="AG186" i="2"/>
  <c r="AF186" i="2"/>
  <c r="AE186" i="2"/>
  <c r="AD186" i="2"/>
  <c r="AC186" i="2"/>
  <c r="AJ185" i="2"/>
  <c r="AI185" i="2"/>
  <c r="AH185" i="2"/>
  <c r="AG185" i="2"/>
  <c r="AF185" i="2"/>
  <c r="AE185" i="2"/>
  <c r="AD185" i="2"/>
  <c r="AC185" i="2"/>
  <c r="AJ184" i="2"/>
  <c r="AI184" i="2"/>
  <c r="AH184" i="2"/>
  <c r="AG184" i="2"/>
  <c r="AF184" i="2"/>
  <c r="AE184" i="2"/>
  <c r="AD184" i="2"/>
  <c r="AC184" i="2"/>
  <c r="AJ183" i="2"/>
  <c r="AI183" i="2"/>
  <c r="AH183" i="2"/>
  <c r="AG183" i="2"/>
  <c r="AF183" i="2"/>
  <c r="AE183" i="2"/>
  <c r="AD183" i="2"/>
  <c r="AC183" i="2"/>
  <c r="AJ182" i="2"/>
  <c r="AI182" i="2"/>
  <c r="AH182" i="2"/>
  <c r="AG182" i="2"/>
  <c r="AF182" i="2"/>
  <c r="AE182" i="2"/>
  <c r="AD182" i="2"/>
  <c r="AC182" i="2"/>
  <c r="AJ181" i="2"/>
  <c r="AI181" i="2"/>
  <c r="AH181" i="2"/>
  <c r="AG181" i="2"/>
  <c r="AF181" i="2"/>
  <c r="AE181" i="2"/>
  <c r="AD181" i="2"/>
  <c r="AC181" i="2"/>
  <c r="AJ180" i="2"/>
  <c r="AI180" i="2"/>
  <c r="AH180" i="2"/>
  <c r="AG180" i="2"/>
  <c r="AF180" i="2"/>
  <c r="AE180" i="2"/>
  <c r="AD180" i="2"/>
  <c r="AC180" i="2"/>
  <c r="AJ179" i="2"/>
  <c r="AI179" i="2"/>
  <c r="AH179" i="2"/>
  <c r="AG179" i="2"/>
  <c r="AF179" i="2"/>
  <c r="AE179" i="2"/>
  <c r="AD179" i="2"/>
  <c r="AC179" i="2"/>
  <c r="AJ178" i="2"/>
  <c r="AI178" i="2"/>
  <c r="AH178" i="2"/>
  <c r="AG178" i="2"/>
  <c r="AF178" i="2"/>
  <c r="AE178" i="2"/>
  <c r="AD178" i="2"/>
  <c r="AC178" i="2"/>
  <c r="AJ177" i="2"/>
  <c r="AI177" i="2"/>
  <c r="AH177" i="2"/>
  <c r="AG177" i="2"/>
  <c r="AF177" i="2"/>
  <c r="AE177" i="2"/>
  <c r="AD177" i="2"/>
  <c r="AC177" i="2"/>
  <c r="AJ176" i="2"/>
  <c r="AI176" i="2"/>
  <c r="AH176" i="2"/>
  <c r="AG176" i="2"/>
  <c r="AF176" i="2"/>
  <c r="AE176" i="2"/>
  <c r="AD176" i="2"/>
  <c r="AC176" i="2"/>
  <c r="AJ175" i="2"/>
  <c r="AI175" i="2"/>
  <c r="AH175" i="2"/>
  <c r="AG175" i="2"/>
  <c r="AF175" i="2"/>
  <c r="AE175" i="2"/>
  <c r="AD175" i="2"/>
  <c r="AC175" i="2"/>
  <c r="AJ174" i="2"/>
  <c r="AI174" i="2"/>
  <c r="AH174" i="2"/>
  <c r="AG174" i="2"/>
  <c r="AF174" i="2"/>
  <c r="AE174" i="2"/>
  <c r="AD174" i="2"/>
  <c r="AC174" i="2"/>
  <c r="AJ173" i="2"/>
  <c r="AI173" i="2"/>
  <c r="AH173" i="2"/>
  <c r="AG173" i="2"/>
  <c r="AF173" i="2"/>
  <c r="AE173" i="2"/>
  <c r="AD173" i="2"/>
  <c r="AC173" i="2"/>
  <c r="AJ172" i="2"/>
  <c r="AI172" i="2"/>
  <c r="AH172" i="2"/>
  <c r="AG172" i="2"/>
  <c r="AF172" i="2"/>
  <c r="AE172" i="2"/>
  <c r="AD172" i="2"/>
  <c r="AC172" i="2"/>
  <c r="AJ171" i="2"/>
  <c r="AI171" i="2"/>
  <c r="AH171" i="2"/>
  <c r="AG171" i="2"/>
  <c r="AF171" i="2"/>
  <c r="AE171" i="2"/>
  <c r="AD171" i="2"/>
  <c r="AC171" i="2"/>
  <c r="AJ170" i="2"/>
  <c r="AI170" i="2"/>
  <c r="AH170" i="2"/>
  <c r="AG170" i="2"/>
  <c r="AF170" i="2"/>
  <c r="AE170" i="2"/>
  <c r="AD170" i="2"/>
  <c r="AC170" i="2"/>
  <c r="AJ169" i="2"/>
  <c r="AI169" i="2"/>
  <c r="AH169" i="2"/>
  <c r="AG169" i="2"/>
  <c r="AF169" i="2"/>
  <c r="AE169" i="2"/>
  <c r="AD169" i="2"/>
  <c r="AC169" i="2"/>
  <c r="AJ168" i="2"/>
  <c r="AI168" i="2"/>
  <c r="AH168" i="2"/>
  <c r="AG168" i="2"/>
  <c r="AF168" i="2"/>
  <c r="AE168" i="2"/>
  <c r="AD168" i="2"/>
  <c r="AC168" i="2"/>
  <c r="AJ167" i="2"/>
  <c r="AI167" i="2"/>
  <c r="AH167" i="2"/>
  <c r="AG167" i="2"/>
  <c r="AF167" i="2"/>
  <c r="AE167" i="2"/>
  <c r="AD167" i="2"/>
  <c r="AC167" i="2"/>
  <c r="AJ166" i="2"/>
  <c r="AI166" i="2"/>
  <c r="AH166" i="2"/>
  <c r="AG166" i="2"/>
  <c r="AF166" i="2"/>
  <c r="AE166" i="2"/>
  <c r="AD166" i="2"/>
  <c r="AC166" i="2"/>
  <c r="AJ165" i="2"/>
  <c r="AI165" i="2"/>
  <c r="AH165" i="2"/>
  <c r="AG165" i="2"/>
  <c r="AF165" i="2"/>
  <c r="AE165" i="2"/>
  <c r="AD165" i="2"/>
  <c r="AC165" i="2"/>
  <c r="AJ164" i="2"/>
  <c r="AI164" i="2"/>
  <c r="AH164" i="2"/>
  <c r="AG164" i="2"/>
  <c r="AF164" i="2"/>
  <c r="AE164" i="2"/>
  <c r="AD164" i="2"/>
  <c r="AC164" i="2"/>
  <c r="AJ163" i="2"/>
  <c r="AI163" i="2"/>
  <c r="AH163" i="2"/>
  <c r="AG163" i="2"/>
  <c r="AF163" i="2"/>
  <c r="AE163" i="2"/>
  <c r="AD163" i="2"/>
  <c r="AC163" i="2"/>
  <c r="AJ162" i="2"/>
  <c r="AI162" i="2"/>
  <c r="AH162" i="2"/>
  <c r="AG162" i="2"/>
  <c r="AF162" i="2"/>
  <c r="AE162" i="2"/>
  <c r="AD162" i="2"/>
  <c r="AC162" i="2"/>
  <c r="AJ161" i="2"/>
  <c r="AI161" i="2"/>
  <c r="AH161" i="2"/>
  <c r="AG161" i="2"/>
  <c r="AF161" i="2"/>
  <c r="AE161" i="2"/>
  <c r="AD161" i="2"/>
  <c r="AC161" i="2"/>
  <c r="AJ160" i="2"/>
  <c r="AI160" i="2"/>
  <c r="AH160" i="2"/>
  <c r="AG160" i="2"/>
  <c r="AF160" i="2"/>
  <c r="AE160" i="2"/>
  <c r="AD160" i="2"/>
  <c r="AC160" i="2"/>
  <c r="AJ159" i="2"/>
  <c r="AI159" i="2"/>
  <c r="AH159" i="2"/>
  <c r="AG159" i="2"/>
  <c r="AF159" i="2"/>
  <c r="AE159" i="2"/>
  <c r="AD159" i="2"/>
  <c r="AC159" i="2"/>
  <c r="AJ158" i="2"/>
  <c r="AI158" i="2"/>
  <c r="AH158" i="2"/>
  <c r="AG158" i="2"/>
  <c r="AF158" i="2"/>
  <c r="AE158" i="2"/>
  <c r="AD158" i="2"/>
  <c r="AC158" i="2"/>
  <c r="AJ157" i="2"/>
  <c r="AI157" i="2"/>
  <c r="AH157" i="2"/>
  <c r="AG157" i="2"/>
  <c r="AF157" i="2"/>
  <c r="AE157" i="2"/>
  <c r="AD157" i="2"/>
  <c r="AC157" i="2"/>
  <c r="AJ156" i="2"/>
  <c r="AI156" i="2"/>
  <c r="AH156" i="2"/>
  <c r="AG156" i="2"/>
  <c r="AF156" i="2"/>
  <c r="AE156" i="2"/>
  <c r="AD156" i="2"/>
  <c r="AC156" i="2"/>
  <c r="AJ155" i="2"/>
  <c r="AI155" i="2"/>
  <c r="AH155" i="2"/>
  <c r="AG155" i="2"/>
  <c r="AF155" i="2"/>
  <c r="AE155" i="2"/>
  <c r="AD155" i="2"/>
  <c r="AC155" i="2"/>
  <c r="AJ154" i="2"/>
  <c r="AI154" i="2"/>
  <c r="AH154" i="2"/>
  <c r="AG154" i="2"/>
  <c r="AF154" i="2"/>
  <c r="AE154" i="2"/>
  <c r="AD154" i="2"/>
  <c r="AC154" i="2"/>
  <c r="AJ153" i="2"/>
  <c r="AI153" i="2"/>
  <c r="AH153" i="2"/>
  <c r="AG153" i="2"/>
  <c r="AF153" i="2"/>
  <c r="AE153" i="2"/>
  <c r="AD153" i="2"/>
  <c r="AC153" i="2"/>
  <c r="AJ152" i="2"/>
  <c r="AI152" i="2"/>
  <c r="AH152" i="2"/>
  <c r="AG152" i="2"/>
  <c r="AF152" i="2"/>
  <c r="AE152" i="2"/>
  <c r="AD152" i="2"/>
  <c r="AC152" i="2"/>
  <c r="AJ151" i="2"/>
  <c r="AI151" i="2"/>
  <c r="AH151" i="2"/>
  <c r="AG151" i="2"/>
  <c r="AF151" i="2"/>
  <c r="AE151" i="2"/>
  <c r="AD151" i="2"/>
  <c r="AC151" i="2"/>
  <c r="AJ150" i="2"/>
  <c r="AI150" i="2"/>
  <c r="AH150" i="2"/>
  <c r="AG150" i="2"/>
  <c r="AF150" i="2"/>
  <c r="AE150" i="2"/>
  <c r="AD150" i="2"/>
  <c r="AC150" i="2"/>
  <c r="AJ149" i="2"/>
  <c r="AI149" i="2"/>
  <c r="AH149" i="2"/>
  <c r="AG149" i="2"/>
  <c r="AF149" i="2"/>
  <c r="AE149" i="2"/>
  <c r="AD149" i="2"/>
  <c r="AC149" i="2"/>
  <c r="AJ148" i="2"/>
  <c r="AI148" i="2"/>
  <c r="AH148" i="2"/>
  <c r="AG148" i="2"/>
  <c r="AF148" i="2"/>
  <c r="AE148" i="2"/>
  <c r="AD148" i="2"/>
  <c r="AC148" i="2"/>
  <c r="AJ147" i="2"/>
  <c r="AI147" i="2"/>
  <c r="AH147" i="2"/>
  <c r="AG147" i="2"/>
  <c r="AF147" i="2"/>
  <c r="AE147" i="2"/>
  <c r="AD147" i="2"/>
  <c r="AC147" i="2"/>
  <c r="AJ146" i="2"/>
  <c r="AI146" i="2"/>
  <c r="AH146" i="2"/>
  <c r="AG146" i="2"/>
  <c r="AF146" i="2"/>
  <c r="AE146" i="2"/>
  <c r="AD146" i="2"/>
  <c r="AC146" i="2"/>
  <c r="AJ145" i="2"/>
  <c r="AI145" i="2"/>
  <c r="AH145" i="2"/>
  <c r="AG145" i="2"/>
  <c r="AF145" i="2"/>
  <c r="AE145" i="2"/>
  <c r="AD145" i="2"/>
  <c r="AC145" i="2"/>
  <c r="AJ144" i="2"/>
  <c r="AI144" i="2"/>
  <c r="AH144" i="2"/>
  <c r="AG144" i="2"/>
  <c r="AF144" i="2"/>
  <c r="AE144" i="2"/>
  <c r="AD144" i="2"/>
  <c r="AC144" i="2"/>
  <c r="AJ143" i="2"/>
  <c r="AI143" i="2"/>
  <c r="AH143" i="2"/>
  <c r="AG143" i="2"/>
  <c r="AF143" i="2"/>
  <c r="AE143" i="2"/>
  <c r="AD143" i="2"/>
  <c r="AC143" i="2"/>
  <c r="AJ142" i="2"/>
  <c r="AI142" i="2"/>
  <c r="AH142" i="2"/>
  <c r="AG142" i="2"/>
  <c r="AF142" i="2"/>
  <c r="AE142" i="2"/>
  <c r="AD142" i="2"/>
  <c r="AC142" i="2"/>
  <c r="AJ141" i="2"/>
  <c r="AI141" i="2"/>
  <c r="AH141" i="2"/>
  <c r="AG141" i="2"/>
  <c r="AF141" i="2"/>
  <c r="AE141" i="2"/>
  <c r="AD141" i="2"/>
  <c r="AC141" i="2"/>
  <c r="AJ140" i="2"/>
  <c r="AI140" i="2"/>
  <c r="AH140" i="2"/>
  <c r="AG140" i="2"/>
  <c r="AF140" i="2"/>
  <c r="AE140" i="2"/>
  <c r="AD140" i="2"/>
  <c r="AC140" i="2"/>
  <c r="AJ139" i="2"/>
  <c r="AI139" i="2"/>
  <c r="AH139" i="2"/>
  <c r="AG139" i="2"/>
  <c r="AF139" i="2"/>
  <c r="AE139" i="2"/>
  <c r="AD139" i="2"/>
  <c r="AC139" i="2"/>
  <c r="AJ138" i="2"/>
  <c r="AI138" i="2"/>
  <c r="AH138" i="2"/>
  <c r="AG138" i="2"/>
  <c r="AF138" i="2"/>
  <c r="AE138" i="2"/>
  <c r="AD138" i="2"/>
  <c r="AC138" i="2"/>
  <c r="AJ137" i="2"/>
  <c r="AI137" i="2"/>
  <c r="AH137" i="2"/>
  <c r="AG137" i="2"/>
  <c r="AF137" i="2"/>
  <c r="AE137" i="2"/>
  <c r="AD137" i="2"/>
  <c r="AC137" i="2"/>
  <c r="AJ136" i="2"/>
  <c r="AI136" i="2"/>
  <c r="AH136" i="2"/>
  <c r="AG136" i="2"/>
  <c r="AF136" i="2"/>
  <c r="AE136" i="2"/>
  <c r="AD136" i="2"/>
  <c r="AC136" i="2"/>
  <c r="AJ135" i="2"/>
  <c r="AI135" i="2"/>
  <c r="AH135" i="2"/>
  <c r="AG135" i="2"/>
  <c r="AF135" i="2"/>
  <c r="AE135" i="2"/>
  <c r="AD135" i="2"/>
  <c r="AC135" i="2"/>
  <c r="AJ134" i="2"/>
  <c r="AI134" i="2"/>
  <c r="AH134" i="2"/>
  <c r="AG134" i="2"/>
  <c r="AF134" i="2"/>
  <c r="AE134" i="2"/>
  <c r="AD134" i="2"/>
  <c r="AC134" i="2"/>
  <c r="AJ133" i="2"/>
  <c r="AI133" i="2"/>
  <c r="AH133" i="2"/>
  <c r="AG133" i="2"/>
  <c r="AF133" i="2"/>
  <c r="AE133" i="2"/>
  <c r="AD133" i="2"/>
  <c r="AC133" i="2"/>
  <c r="AJ132" i="2"/>
  <c r="AI132" i="2"/>
  <c r="AH132" i="2"/>
  <c r="AG132" i="2"/>
  <c r="AF132" i="2"/>
  <c r="AE132" i="2"/>
  <c r="AD132" i="2"/>
  <c r="AC132" i="2"/>
  <c r="AJ131" i="2"/>
  <c r="AI131" i="2"/>
  <c r="AH131" i="2"/>
  <c r="AG131" i="2"/>
  <c r="AF131" i="2"/>
  <c r="AE131" i="2"/>
  <c r="AD131" i="2"/>
  <c r="AC131" i="2"/>
  <c r="AJ130" i="2"/>
  <c r="AI130" i="2"/>
  <c r="AH130" i="2"/>
  <c r="AG130" i="2"/>
  <c r="AF130" i="2"/>
  <c r="AE130" i="2"/>
  <c r="AD130" i="2"/>
  <c r="AC130" i="2"/>
  <c r="AJ129" i="2"/>
  <c r="AI129" i="2"/>
  <c r="AH129" i="2"/>
  <c r="AG129" i="2"/>
  <c r="AF129" i="2"/>
  <c r="AE129" i="2"/>
  <c r="AD129" i="2"/>
  <c r="AC129" i="2"/>
  <c r="AJ128" i="2"/>
  <c r="AI128" i="2"/>
  <c r="AH128" i="2"/>
  <c r="AG128" i="2"/>
  <c r="AF128" i="2"/>
  <c r="AE128" i="2"/>
  <c r="AD128" i="2"/>
  <c r="AC128" i="2"/>
  <c r="AJ127" i="2"/>
  <c r="AI127" i="2"/>
  <c r="AH127" i="2"/>
  <c r="AG127" i="2"/>
  <c r="AF127" i="2"/>
  <c r="AE127" i="2"/>
  <c r="AD127" i="2"/>
  <c r="AC127" i="2"/>
  <c r="AJ126" i="2"/>
  <c r="AI126" i="2"/>
  <c r="AH126" i="2"/>
  <c r="AG126" i="2"/>
  <c r="AF126" i="2"/>
  <c r="AE126" i="2"/>
  <c r="AD126" i="2"/>
  <c r="AC126" i="2"/>
  <c r="AJ125" i="2"/>
  <c r="AI125" i="2"/>
  <c r="AH125" i="2"/>
  <c r="AG125" i="2"/>
  <c r="AF125" i="2"/>
  <c r="AE125" i="2"/>
  <c r="AD125" i="2"/>
  <c r="AC125" i="2"/>
  <c r="AJ124" i="2"/>
  <c r="AI124" i="2"/>
  <c r="AH124" i="2"/>
  <c r="AG124" i="2"/>
  <c r="AF124" i="2"/>
  <c r="AE124" i="2"/>
  <c r="AD124" i="2"/>
  <c r="AC124" i="2"/>
  <c r="AJ123" i="2"/>
  <c r="AI123" i="2"/>
  <c r="AH123" i="2"/>
  <c r="AG123" i="2"/>
  <c r="AF123" i="2"/>
  <c r="AE123" i="2"/>
  <c r="AD123" i="2"/>
  <c r="AC123" i="2"/>
  <c r="AJ122" i="2"/>
  <c r="AI122" i="2"/>
  <c r="AH122" i="2"/>
  <c r="AG122" i="2"/>
  <c r="AF122" i="2"/>
  <c r="AE122" i="2"/>
  <c r="AD122" i="2"/>
  <c r="AC122" i="2"/>
  <c r="AJ121" i="2"/>
  <c r="AI121" i="2"/>
  <c r="AH121" i="2"/>
  <c r="AG121" i="2"/>
  <c r="AF121" i="2"/>
  <c r="AE121" i="2"/>
  <c r="AD121" i="2"/>
  <c r="AC121" i="2"/>
  <c r="AJ120" i="2"/>
  <c r="AI120" i="2"/>
  <c r="AH120" i="2"/>
  <c r="AG120" i="2"/>
  <c r="AF120" i="2"/>
  <c r="AE120" i="2"/>
  <c r="AD120" i="2"/>
  <c r="AC120" i="2"/>
  <c r="AJ119" i="2"/>
  <c r="AI119" i="2"/>
  <c r="AH119" i="2"/>
  <c r="AG119" i="2"/>
  <c r="AF119" i="2"/>
  <c r="AE119" i="2"/>
  <c r="AD119" i="2"/>
  <c r="AC119" i="2"/>
  <c r="AJ118" i="2"/>
  <c r="AI118" i="2"/>
  <c r="AH118" i="2"/>
  <c r="AG118" i="2"/>
  <c r="AF118" i="2"/>
  <c r="AE118" i="2"/>
  <c r="AD118" i="2"/>
  <c r="AC118" i="2"/>
  <c r="AJ117" i="2"/>
  <c r="AI117" i="2"/>
  <c r="AH117" i="2"/>
  <c r="AG117" i="2"/>
  <c r="AF117" i="2"/>
  <c r="AE117" i="2"/>
  <c r="AD117" i="2"/>
  <c r="AC117" i="2"/>
  <c r="AJ116" i="2"/>
  <c r="AI116" i="2"/>
  <c r="AH116" i="2"/>
  <c r="AG116" i="2"/>
  <c r="AF116" i="2"/>
  <c r="AE116" i="2"/>
  <c r="AD116" i="2"/>
  <c r="AC116" i="2"/>
  <c r="AJ115" i="2"/>
  <c r="AI115" i="2"/>
  <c r="AH115" i="2"/>
  <c r="AG115" i="2"/>
  <c r="AF115" i="2"/>
  <c r="AE115" i="2"/>
  <c r="AD115" i="2"/>
  <c r="AC115" i="2"/>
  <c r="AJ114" i="2"/>
  <c r="AI114" i="2"/>
  <c r="AH114" i="2"/>
  <c r="AG114" i="2"/>
  <c r="AF114" i="2"/>
  <c r="AE114" i="2"/>
  <c r="AD114" i="2"/>
  <c r="AC114" i="2"/>
  <c r="AJ113" i="2"/>
  <c r="AI113" i="2"/>
  <c r="AH113" i="2"/>
  <c r="AG113" i="2"/>
  <c r="AF113" i="2"/>
  <c r="AE113" i="2"/>
  <c r="AD113" i="2"/>
  <c r="AC113" i="2"/>
  <c r="AJ112" i="2"/>
  <c r="AI112" i="2"/>
  <c r="AH112" i="2"/>
  <c r="AG112" i="2"/>
  <c r="AF112" i="2"/>
  <c r="AE112" i="2"/>
  <c r="AD112" i="2"/>
  <c r="AC112" i="2"/>
  <c r="AJ111" i="2"/>
  <c r="AI111" i="2"/>
  <c r="AH111" i="2"/>
  <c r="AG111" i="2"/>
  <c r="AF111" i="2"/>
  <c r="AE111" i="2"/>
  <c r="AD111" i="2"/>
  <c r="AC111" i="2"/>
  <c r="AJ110" i="2"/>
  <c r="AI110" i="2"/>
  <c r="AH110" i="2"/>
  <c r="AG110" i="2"/>
  <c r="AF110" i="2"/>
  <c r="AE110" i="2"/>
  <c r="AD110" i="2"/>
  <c r="AC110" i="2"/>
  <c r="AJ109" i="2"/>
  <c r="AI109" i="2"/>
  <c r="AH109" i="2"/>
  <c r="AG109" i="2"/>
  <c r="AF109" i="2"/>
  <c r="AE109" i="2"/>
  <c r="AD109" i="2"/>
  <c r="AC109" i="2"/>
  <c r="AJ108" i="2"/>
  <c r="AI108" i="2"/>
  <c r="AH108" i="2"/>
  <c r="AG108" i="2"/>
  <c r="AF108" i="2"/>
  <c r="AE108" i="2"/>
  <c r="AD108" i="2"/>
  <c r="AC108" i="2"/>
  <c r="AJ107" i="2"/>
  <c r="AI107" i="2"/>
  <c r="AH107" i="2"/>
  <c r="AG107" i="2"/>
  <c r="AF107" i="2"/>
  <c r="AE107" i="2"/>
  <c r="AD107" i="2"/>
  <c r="AC107" i="2"/>
  <c r="AJ106" i="2"/>
  <c r="AI106" i="2"/>
  <c r="AH106" i="2"/>
  <c r="AG106" i="2"/>
  <c r="AF106" i="2"/>
  <c r="AE106" i="2"/>
  <c r="AD106" i="2"/>
  <c r="AC106" i="2"/>
  <c r="AJ105" i="2"/>
  <c r="AI105" i="2"/>
  <c r="AH105" i="2"/>
  <c r="AG105" i="2"/>
  <c r="AF105" i="2"/>
  <c r="AE105" i="2"/>
  <c r="AD105" i="2"/>
  <c r="AC105" i="2"/>
  <c r="AJ104" i="2"/>
  <c r="AI104" i="2"/>
  <c r="AH104" i="2"/>
  <c r="AG104" i="2"/>
  <c r="AF104" i="2"/>
  <c r="AE104" i="2"/>
  <c r="AD104" i="2"/>
  <c r="AC104" i="2"/>
  <c r="AJ103" i="2"/>
  <c r="AI103" i="2"/>
  <c r="AH103" i="2"/>
  <c r="AG103" i="2"/>
  <c r="AF103" i="2"/>
  <c r="AE103" i="2"/>
  <c r="AD103" i="2"/>
  <c r="AC103" i="2"/>
  <c r="AJ102" i="2"/>
  <c r="AI102" i="2"/>
  <c r="AH102" i="2"/>
  <c r="AG102" i="2"/>
  <c r="AF102" i="2"/>
  <c r="AE102" i="2"/>
  <c r="AD102" i="2"/>
  <c r="AC102" i="2"/>
  <c r="AJ101" i="2"/>
  <c r="AI101" i="2"/>
  <c r="AH101" i="2"/>
  <c r="AG101" i="2"/>
  <c r="AF101" i="2"/>
  <c r="AE101" i="2"/>
  <c r="AD101" i="2"/>
  <c r="AC101" i="2"/>
  <c r="AJ100" i="2"/>
  <c r="AI100" i="2"/>
  <c r="AH100" i="2"/>
  <c r="AG100" i="2"/>
  <c r="AF100" i="2"/>
  <c r="AE100" i="2"/>
  <c r="AD100" i="2"/>
  <c r="AC100" i="2"/>
  <c r="AJ99" i="2"/>
  <c r="AI99" i="2"/>
  <c r="AH99" i="2"/>
  <c r="AG99" i="2"/>
  <c r="AF99" i="2"/>
  <c r="AE99" i="2"/>
  <c r="AD99" i="2"/>
  <c r="AC99" i="2"/>
  <c r="AJ98" i="2"/>
  <c r="AI98" i="2"/>
  <c r="AH98" i="2"/>
  <c r="AG98" i="2"/>
  <c r="AF98" i="2"/>
  <c r="AE98" i="2"/>
  <c r="AD98" i="2"/>
  <c r="AC98" i="2"/>
  <c r="AJ97" i="2"/>
  <c r="AI97" i="2"/>
  <c r="AH97" i="2"/>
  <c r="AG97" i="2"/>
  <c r="AF97" i="2"/>
  <c r="AE97" i="2"/>
  <c r="AD97" i="2"/>
  <c r="AC97" i="2"/>
  <c r="AJ96" i="2"/>
  <c r="AI96" i="2"/>
  <c r="AH96" i="2"/>
  <c r="AG96" i="2"/>
  <c r="AF96" i="2"/>
  <c r="AE96" i="2"/>
  <c r="AD96" i="2"/>
  <c r="AC96" i="2"/>
  <c r="AJ95" i="2"/>
  <c r="AI95" i="2"/>
  <c r="AH95" i="2"/>
  <c r="AG95" i="2"/>
  <c r="AF95" i="2"/>
  <c r="AE95" i="2"/>
  <c r="AD95" i="2"/>
  <c r="AC95" i="2"/>
  <c r="AJ94" i="2"/>
  <c r="AI94" i="2"/>
  <c r="AH94" i="2"/>
  <c r="AG94" i="2"/>
  <c r="AF94" i="2"/>
  <c r="AE94" i="2"/>
  <c r="AD94" i="2"/>
  <c r="AC94" i="2"/>
  <c r="AJ93" i="2"/>
  <c r="AI93" i="2"/>
  <c r="AH93" i="2"/>
  <c r="AG93" i="2"/>
  <c r="AF93" i="2"/>
  <c r="AE93" i="2"/>
  <c r="AD93" i="2"/>
  <c r="AC93" i="2"/>
  <c r="AJ92" i="2"/>
  <c r="AI92" i="2"/>
  <c r="AH92" i="2"/>
  <c r="AG92" i="2"/>
  <c r="AF92" i="2"/>
  <c r="AE92" i="2"/>
  <c r="AD92" i="2"/>
  <c r="AC92" i="2"/>
  <c r="AJ91" i="2"/>
  <c r="AI91" i="2"/>
  <c r="AH91" i="2"/>
  <c r="AG91" i="2"/>
  <c r="AF91" i="2"/>
  <c r="AE91" i="2"/>
  <c r="AD91" i="2"/>
  <c r="AC91" i="2"/>
  <c r="AJ90" i="2"/>
  <c r="AI90" i="2"/>
  <c r="AH90" i="2"/>
  <c r="AG90" i="2"/>
  <c r="AF90" i="2"/>
  <c r="AE90" i="2"/>
  <c r="AD90" i="2"/>
  <c r="AC90" i="2"/>
  <c r="AJ89" i="2"/>
  <c r="AI89" i="2"/>
  <c r="AH89" i="2"/>
  <c r="AG89" i="2"/>
  <c r="AF89" i="2"/>
  <c r="AE89" i="2"/>
  <c r="AD89" i="2"/>
  <c r="AC89" i="2"/>
  <c r="AJ88" i="2"/>
  <c r="AI88" i="2"/>
  <c r="AH88" i="2"/>
  <c r="AG88" i="2"/>
  <c r="AF88" i="2"/>
  <c r="AE88" i="2"/>
  <c r="AD88" i="2"/>
  <c r="AC88" i="2"/>
  <c r="AJ87" i="2"/>
  <c r="AI87" i="2"/>
  <c r="AH87" i="2"/>
  <c r="AG87" i="2"/>
  <c r="AF87" i="2"/>
  <c r="AE87" i="2"/>
  <c r="AD87" i="2"/>
  <c r="AC87" i="2"/>
  <c r="AJ86" i="2"/>
  <c r="AI86" i="2"/>
  <c r="AH86" i="2"/>
  <c r="AG86" i="2"/>
  <c r="AF86" i="2"/>
  <c r="AE86" i="2"/>
  <c r="AD86" i="2"/>
  <c r="AC86" i="2"/>
  <c r="AJ85" i="2"/>
  <c r="AI85" i="2"/>
  <c r="AH85" i="2"/>
  <c r="AG85" i="2"/>
  <c r="AF85" i="2"/>
  <c r="AE85" i="2"/>
  <c r="AD85" i="2"/>
  <c r="AC85" i="2"/>
  <c r="AJ84" i="2"/>
  <c r="AI84" i="2"/>
  <c r="AH84" i="2"/>
  <c r="AG84" i="2"/>
  <c r="AF84" i="2"/>
  <c r="AE84" i="2"/>
  <c r="AD84" i="2"/>
  <c r="AC84" i="2"/>
  <c r="AJ83" i="2"/>
  <c r="AI83" i="2"/>
  <c r="AH83" i="2"/>
  <c r="AG83" i="2"/>
  <c r="AF83" i="2"/>
  <c r="AE83" i="2"/>
  <c r="AD83" i="2"/>
  <c r="AC83" i="2"/>
  <c r="AJ82" i="2"/>
  <c r="AI82" i="2"/>
  <c r="AH82" i="2"/>
  <c r="AG82" i="2"/>
  <c r="AF82" i="2"/>
  <c r="AE82" i="2"/>
  <c r="AD82" i="2"/>
  <c r="AC82" i="2"/>
  <c r="AJ81" i="2"/>
  <c r="AI81" i="2"/>
  <c r="AH81" i="2"/>
  <c r="AG81" i="2"/>
  <c r="AF81" i="2"/>
  <c r="AE81" i="2"/>
  <c r="AD81" i="2"/>
  <c r="AC81" i="2"/>
  <c r="AJ80" i="2"/>
  <c r="AI80" i="2"/>
  <c r="AH80" i="2"/>
  <c r="AG80" i="2"/>
  <c r="AF80" i="2"/>
  <c r="AE80" i="2"/>
  <c r="AD80" i="2"/>
  <c r="AC80" i="2"/>
  <c r="AJ79" i="2"/>
  <c r="AI79" i="2"/>
  <c r="AH79" i="2"/>
  <c r="AG79" i="2"/>
  <c r="AF79" i="2"/>
  <c r="AE79" i="2"/>
  <c r="AD79" i="2"/>
  <c r="AC79" i="2"/>
  <c r="AJ78" i="2"/>
  <c r="AI78" i="2"/>
  <c r="AH78" i="2"/>
  <c r="AG78" i="2"/>
  <c r="AF78" i="2"/>
  <c r="AE78" i="2"/>
  <c r="AD78" i="2"/>
  <c r="AC78" i="2"/>
  <c r="AJ77" i="2"/>
  <c r="AI77" i="2"/>
  <c r="AH77" i="2"/>
  <c r="AG77" i="2"/>
  <c r="AF77" i="2"/>
  <c r="AE77" i="2"/>
  <c r="AD77" i="2"/>
  <c r="AC77" i="2"/>
  <c r="AJ76" i="2"/>
  <c r="AI76" i="2"/>
  <c r="AH76" i="2"/>
  <c r="AG76" i="2"/>
  <c r="AF76" i="2"/>
  <c r="AE76" i="2"/>
  <c r="AD76" i="2"/>
  <c r="AC76" i="2"/>
  <c r="AJ75" i="2"/>
  <c r="AI75" i="2"/>
  <c r="AH75" i="2"/>
  <c r="AG75" i="2"/>
  <c r="AF75" i="2"/>
  <c r="AE75" i="2"/>
  <c r="AD75" i="2"/>
  <c r="AC75" i="2"/>
  <c r="AJ74" i="2"/>
  <c r="AI74" i="2"/>
  <c r="AH74" i="2"/>
  <c r="AG74" i="2"/>
  <c r="AF74" i="2"/>
  <c r="AE74" i="2"/>
  <c r="AD74" i="2"/>
  <c r="AC74" i="2"/>
  <c r="AJ73" i="2"/>
  <c r="AI73" i="2"/>
  <c r="AH73" i="2"/>
  <c r="AG73" i="2"/>
  <c r="AF73" i="2"/>
  <c r="AE73" i="2"/>
  <c r="AD73" i="2"/>
  <c r="AC73" i="2"/>
  <c r="AJ72" i="2"/>
  <c r="AI72" i="2"/>
  <c r="AH72" i="2"/>
  <c r="AG72" i="2"/>
  <c r="AF72" i="2"/>
  <c r="AE72" i="2"/>
  <c r="AD72" i="2"/>
  <c r="AC72" i="2"/>
  <c r="AJ71" i="2"/>
  <c r="AI71" i="2"/>
  <c r="AH71" i="2"/>
  <c r="AG71" i="2"/>
  <c r="AF71" i="2"/>
  <c r="AE71" i="2"/>
  <c r="AD71" i="2"/>
  <c r="AC71" i="2"/>
  <c r="AJ70" i="2"/>
  <c r="AI70" i="2"/>
  <c r="AH70" i="2"/>
  <c r="AG70" i="2"/>
  <c r="AF70" i="2"/>
  <c r="AE70" i="2"/>
  <c r="AD70" i="2"/>
  <c r="AC70" i="2"/>
  <c r="AJ69" i="2"/>
  <c r="AI69" i="2"/>
  <c r="AH69" i="2"/>
  <c r="AG69" i="2"/>
  <c r="AF69" i="2"/>
  <c r="AE69" i="2"/>
  <c r="AD69" i="2"/>
  <c r="AC69" i="2"/>
  <c r="AJ68" i="2"/>
  <c r="AI68" i="2"/>
  <c r="AH68" i="2"/>
  <c r="AG68" i="2"/>
  <c r="AF68" i="2"/>
  <c r="AE68" i="2"/>
  <c r="AD68" i="2"/>
  <c r="AC68" i="2"/>
  <c r="AJ67" i="2"/>
  <c r="AI67" i="2"/>
  <c r="AH67" i="2"/>
  <c r="AG67" i="2"/>
  <c r="AF67" i="2"/>
  <c r="AE67" i="2"/>
  <c r="AD67" i="2"/>
  <c r="AC67" i="2"/>
  <c r="AJ66" i="2"/>
  <c r="AI66" i="2"/>
  <c r="AH66" i="2"/>
  <c r="AG66" i="2"/>
  <c r="AF66" i="2"/>
  <c r="AE66" i="2"/>
  <c r="AD66" i="2"/>
  <c r="AC66" i="2"/>
  <c r="AJ65" i="2"/>
  <c r="AI65" i="2"/>
  <c r="AH65" i="2"/>
  <c r="AG65" i="2"/>
  <c r="AF65" i="2"/>
  <c r="AE65" i="2"/>
  <c r="AD65" i="2"/>
  <c r="AC65" i="2"/>
  <c r="AJ64" i="2"/>
  <c r="AI64" i="2"/>
  <c r="AH64" i="2"/>
  <c r="AG64" i="2"/>
  <c r="AF64" i="2"/>
  <c r="AE64" i="2"/>
  <c r="AD64" i="2"/>
  <c r="AC64" i="2"/>
  <c r="AJ63" i="2"/>
  <c r="AI63" i="2"/>
  <c r="AH63" i="2"/>
  <c r="AG63" i="2"/>
  <c r="AF63" i="2"/>
  <c r="AE63" i="2"/>
  <c r="AD63" i="2"/>
  <c r="AC63" i="2"/>
  <c r="AJ62" i="2"/>
  <c r="AI62" i="2"/>
  <c r="AH62" i="2"/>
  <c r="AG62" i="2"/>
  <c r="AF62" i="2"/>
  <c r="AE62" i="2"/>
  <c r="AD62" i="2"/>
  <c r="AC62" i="2"/>
  <c r="AJ61" i="2"/>
  <c r="AI61" i="2"/>
  <c r="AH61" i="2"/>
  <c r="AG61" i="2"/>
  <c r="AF61" i="2"/>
  <c r="AE61" i="2"/>
  <c r="AD61" i="2"/>
  <c r="AC61" i="2"/>
  <c r="AJ60" i="2"/>
  <c r="AI60" i="2"/>
  <c r="AH60" i="2"/>
  <c r="AG60" i="2"/>
  <c r="AF60" i="2"/>
  <c r="AE60" i="2"/>
  <c r="AD60" i="2"/>
  <c r="AC60" i="2"/>
  <c r="AJ59" i="2"/>
  <c r="AI59" i="2"/>
  <c r="AH59" i="2"/>
  <c r="AG59" i="2"/>
  <c r="AF59" i="2"/>
  <c r="AE59" i="2"/>
  <c r="AD59" i="2"/>
  <c r="AC59" i="2"/>
  <c r="AJ58" i="2"/>
  <c r="AI58" i="2"/>
  <c r="AH58" i="2"/>
  <c r="AG58" i="2"/>
  <c r="AF58" i="2"/>
  <c r="AE58" i="2"/>
  <c r="AD58" i="2"/>
  <c r="AC58" i="2"/>
  <c r="AJ57" i="2"/>
  <c r="AI57" i="2"/>
  <c r="AH57" i="2"/>
  <c r="AG57" i="2"/>
  <c r="AF57" i="2"/>
  <c r="AE57" i="2"/>
  <c r="AD57" i="2"/>
  <c r="AC57" i="2"/>
  <c r="AJ56" i="2"/>
  <c r="AI56" i="2"/>
  <c r="AH56" i="2"/>
  <c r="AG56" i="2"/>
  <c r="AF56" i="2"/>
  <c r="AE56" i="2"/>
  <c r="AD56" i="2"/>
  <c r="AC56" i="2"/>
  <c r="AJ55" i="2"/>
  <c r="AI55" i="2"/>
  <c r="AH55" i="2"/>
  <c r="AG55" i="2"/>
  <c r="AF55" i="2"/>
  <c r="AE55" i="2"/>
  <c r="AD55" i="2"/>
  <c r="AC55" i="2"/>
  <c r="AJ54" i="2"/>
  <c r="AI54" i="2"/>
  <c r="AH54" i="2"/>
  <c r="AG54" i="2"/>
  <c r="AF54" i="2"/>
  <c r="AE54" i="2"/>
  <c r="AD54" i="2"/>
  <c r="AC54" i="2"/>
  <c r="AJ53" i="2"/>
  <c r="AI53" i="2"/>
  <c r="AH53" i="2"/>
  <c r="AG53" i="2"/>
  <c r="AF53" i="2"/>
  <c r="AE53" i="2"/>
  <c r="AD53" i="2"/>
  <c r="AC53" i="2"/>
  <c r="AJ52" i="2"/>
  <c r="AI52" i="2"/>
  <c r="AH52" i="2"/>
  <c r="AG52" i="2"/>
  <c r="AF52" i="2"/>
  <c r="AE52" i="2"/>
  <c r="AD52" i="2"/>
  <c r="AC52" i="2"/>
  <c r="AJ51" i="2"/>
  <c r="AI51" i="2"/>
  <c r="AH51" i="2"/>
  <c r="AG51" i="2"/>
  <c r="AF51" i="2"/>
  <c r="AE51" i="2"/>
  <c r="AD51" i="2"/>
  <c r="AC51" i="2"/>
  <c r="AJ50" i="2"/>
  <c r="AI50" i="2"/>
  <c r="AH50" i="2"/>
  <c r="AG50" i="2"/>
  <c r="AF50" i="2"/>
  <c r="AE50" i="2"/>
  <c r="AD50" i="2"/>
  <c r="AC50" i="2"/>
  <c r="AJ49" i="2"/>
  <c r="AI49" i="2"/>
  <c r="AH49" i="2"/>
  <c r="AG49" i="2"/>
  <c r="AF49" i="2"/>
  <c r="AE49" i="2"/>
  <c r="AD49" i="2"/>
  <c r="AC49" i="2"/>
  <c r="AJ48" i="2"/>
  <c r="AI48" i="2"/>
  <c r="AH48" i="2"/>
  <c r="AG48" i="2"/>
  <c r="AF48" i="2"/>
  <c r="AE48" i="2"/>
  <c r="AD48" i="2"/>
  <c r="AC48" i="2"/>
  <c r="AJ47" i="2"/>
  <c r="AI47" i="2"/>
  <c r="AH47" i="2"/>
  <c r="AG47" i="2"/>
  <c r="AF47" i="2"/>
  <c r="AE47" i="2"/>
  <c r="AD47" i="2"/>
  <c r="AC47" i="2"/>
  <c r="AJ46" i="2"/>
  <c r="AI46" i="2"/>
  <c r="AH46" i="2"/>
  <c r="AG46" i="2"/>
  <c r="AF46" i="2"/>
  <c r="AE46" i="2"/>
  <c r="AD46" i="2"/>
  <c r="AC46" i="2"/>
  <c r="AJ45" i="2"/>
  <c r="AI45" i="2"/>
  <c r="AH45" i="2"/>
  <c r="AG45" i="2"/>
  <c r="AF45" i="2"/>
  <c r="AE45" i="2"/>
  <c r="AD45" i="2"/>
  <c r="AC45" i="2"/>
  <c r="AJ44" i="2"/>
  <c r="AI44" i="2"/>
  <c r="AH44" i="2"/>
  <c r="AG44" i="2"/>
  <c r="AF44" i="2"/>
  <c r="AE44" i="2"/>
  <c r="AD44" i="2"/>
  <c r="AC44" i="2"/>
  <c r="AJ43" i="2"/>
  <c r="AI43" i="2"/>
  <c r="AH43" i="2"/>
  <c r="AG43" i="2"/>
  <c r="AF43" i="2"/>
  <c r="AE43" i="2"/>
  <c r="AD43" i="2"/>
  <c r="AC43" i="2"/>
  <c r="AJ42" i="2"/>
  <c r="AI42" i="2"/>
  <c r="AH42" i="2"/>
  <c r="AG42" i="2"/>
  <c r="AF42" i="2"/>
  <c r="AE42" i="2"/>
  <c r="AD42" i="2"/>
  <c r="AC42" i="2"/>
  <c r="AJ41" i="2"/>
  <c r="AI41" i="2"/>
  <c r="AH41" i="2"/>
  <c r="AG41" i="2"/>
  <c r="AF41" i="2"/>
  <c r="AE41" i="2"/>
  <c r="AD41" i="2"/>
  <c r="AC41" i="2"/>
  <c r="AJ40" i="2"/>
  <c r="AI40" i="2"/>
  <c r="AH40" i="2"/>
  <c r="AG40" i="2"/>
  <c r="AF40" i="2"/>
  <c r="AE40" i="2"/>
  <c r="AD40" i="2"/>
  <c r="AC40" i="2"/>
  <c r="AJ39" i="2"/>
  <c r="AI39" i="2"/>
  <c r="AH39" i="2"/>
  <c r="AG39" i="2"/>
  <c r="AF39" i="2"/>
  <c r="AE39" i="2"/>
  <c r="AD39" i="2"/>
  <c r="AC39" i="2"/>
  <c r="AJ38" i="2"/>
  <c r="AI38" i="2"/>
  <c r="AH38" i="2"/>
  <c r="AG38" i="2"/>
  <c r="AF38" i="2"/>
  <c r="AE38" i="2"/>
  <c r="AD38" i="2"/>
  <c r="AC38" i="2"/>
  <c r="AJ37" i="2"/>
  <c r="AI37" i="2"/>
  <c r="AH37" i="2"/>
  <c r="AG37" i="2"/>
  <c r="AF37" i="2"/>
  <c r="AE37" i="2"/>
  <c r="AD37" i="2"/>
  <c r="AC37" i="2"/>
  <c r="AJ36" i="2"/>
  <c r="AI36" i="2"/>
  <c r="AH36" i="2"/>
  <c r="AG36" i="2"/>
  <c r="AF36" i="2"/>
  <c r="AE36" i="2"/>
  <c r="AD36" i="2"/>
  <c r="AC36" i="2"/>
  <c r="AJ35" i="2"/>
  <c r="AI35" i="2"/>
  <c r="AH35" i="2"/>
  <c r="AG35" i="2"/>
  <c r="AF35" i="2"/>
  <c r="AE35" i="2"/>
  <c r="AD35" i="2"/>
  <c r="AC35" i="2"/>
  <c r="AJ34" i="2"/>
  <c r="AI34" i="2"/>
  <c r="AH34" i="2"/>
  <c r="AG34" i="2"/>
  <c r="AF34" i="2"/>
  <c r="AE34" i="2"/>
  <c r="AD34" i="2"/>
  <c r="AC34" i="2"/>
  <c r="AJ33" i="2"/>
  <c r="AI33" i="2"/>
  <c r="AH33" i="2"/>
  <c r="AG33" i="2"/>
  <c r="AF33" i="2"/>
  <c r="AE33" i="2"/>
  <c r="AD33" i="2"/>
  <c r="AC33" i="2"/>
  <c r="AJ32" i="2"/>
  <c r="AI32" i="2"/>
  <c r="AH32" i="2"/>
  <c r="AG32" i="2"/>
  <c r="AF32" i="2"/>
  <c r="AE32" i="2"/>
  <c r="AD32" i="2"/>
  <c r="AC32" i="2"/>
  <c r="AJ31" i="2"/>
  <c r="AI31" i="2"/>
  <c r="AH31" i="2"/>
  <c r="AG31" i="2"/>
  <c r="AF31" i="2"/>
  <c r="AE31" i="2"/>
  <c r="AD31" i="2"/>
  <c r="AC31" i="2"/>
  <c r="AJ30" i="2"/>
  <c r="AI30" i="2"/>
  <c r="AH30" i="2"/>
  <c r="AG30" i="2"/>
  <c r="AF30" i="2"/>
  <c r="AE30" i="2"/>
  <c r="AD30" i="2"/>
  <c r="AC30" i="2"/>
  <c r="AJ29" i="2"/>
  <c r="AI29" i="2"/>
  <c r="AH29" i="2"/>
  <c r="AG29" i="2"/>
  <c r="AF29" i="2"/>
  <c r="AE29" i="2"/>
  <c r="AD29" i="2"/>
  <c r="AC29" i="2"/>
  <c r="AJ28" i="2"/>
  <c r="AI28" i="2"/>
  <c r="AH28" i="2"/>
  <c r="AG28" i="2"/>
  <c r="AF28" i="2"/>
  <c r="AE28" i="2"/>
  <c r="AD28" i="2"/>
  <c r="AC28" i="2"/>
  <c r="AJ27" i="2"/>
  <c r="AI27" i="2"/>
  <c r="AH27" i="2"/>
  <c r="AG27" i="2"/>
  <c r="AF27" i="2"/>
  <c r="AE27" i="2"/>
  <c r="AD27" i="2"/>
  <c r="AC27" i="2"/>
  <c r="AJ26" i="2"/>
  <c r="AI26" i="2"/>
  <c r="AH26" i="2"/>
  <c r="AG26" i="2"/>
  <c r="AF26" i="2"/>
  <c r="AE26" i="2"/>
  <c r="AD26" i="2"/>
  <c r="AC26" i="2"/>
  <c r="AJ25" i="2"/>
  <c r="AI25" i="2"/>
  <c r="AH25" i="2"/>
  <c r="AG25" i="2"/>
  <c r="AF25" i="2"/>
  <c r="AE25" i="2"/>
  <c r="AD25" i="2"/>
  <c r="AC25" i="2"/>
  <c r="AJ24" i="2"/>
  <c r="AI24" i="2"/>
  <c r="AH24" i="2"/>
  <c r="AG24" i="2"/>
  <c r="AF24" i="2"/>
  <c r="AE24" i="2"/>
  <c r="AD24" i="2"/>
  <c r="AC24" i="2"/>
  <c r="AJ23" i="2"/>
  <c r="AI23" i="2"/>
  <c r="AH23" i="2"/>
  <c r="AG23" i="2"/>
  <c r="AF23" i="2"/>
  <c r="AE23" i="2"/>
  <c r="AD23" i="2"/>
  <c r="AC23" i="2"/>
  <c r="A23" i="2"/>
  <c r="AJ22" i="2"/>
  <c r="AI22" i="2"/>
  <c r="AH22" i="2"/>
  <c r="AG22" i="2"/>
  <c r="AF22" i="2"/>
  <c r="AE22" i="2"/>
  <c r="AD22" i="2"/>
  <c r="AC22" i="2"/>
  <c r="AJ21" i="2"/>
  <c r="AI21" i="2"/>
  <c r="AH21" i="2"/>
  <c r="AG21" i="2"/>
  <c r="AF21" i="2"/>
  <c r="AE21" i="2"/>
  <c r="AD21" i="2"/>
  <c r="AC21" i="2"/>
  <c r="AJ20" i="2"/>
  <c r="AI20" i="2"/>
  <c r="AH20" i="2"/>
  <c r="AG20" i="2"/>
  <c r="AF20" i="2"/>
  <c r="AE20" i="2"/>
  <c r="AD20" i="2"/>
  <c r="AC20" i="2"/>
  <c r="B20" i="2"/>
  <c r="AJ19" i="2"/>
  <c r="AI19" i="2"/>
  <c r="AH19" i="2"/>
  <c r="AG19" i="2"/>
  <c r="AF19" i="2"/>
  <c r="AE19" i="2"/>
  <c r="AD19" i="2"/>
  <c r="AC19" i="2"/>
  <c r="B19" i="2"/>
  <c r="AJ18" i="2"/>
  <c r="AI18" i="2"/>
  <c r="AH18" i="2"/>
  <c r="AG18" i="2"/>
  <c r="AF18" i="2"/>
  <c r="AE18" i="2"/>
  <c r="AD18" i="2"/>
  <c r="AC18" i="2"/>
  <c r="B18" i="2"/>
  <c r="AJ17" i="2"/>
  <c r="AI17" i="2"/>
  <c r="AH17" i="2"/>
  <c r="AG17" i="2"/>
  <c r="AF17" i="2"/>
  <c r="AE17" i="2"/>
  <c r="AD17" i="2"/>
  <c r="AC17" i="2"/>
  <c r="B17" i="2"/>
  <c r="AJ16" i="2"/>
  <c r="AI16" i="2"/>
  <c r="AH16" i="2"/>
  <c r="AG16" i="2"/>
  <c r="AF16" i="2"/>
  <c r="AE16" i="2"/>
  <c r="AD16" i="2"/>
  <c r="AC16" i="2"/>
  <c r="B16" i="2"/>
  <c r="AJ15" i="2"/>
  <c r="AI15" i="2"/>
  <c r="AH15" i="2"/>
  <c r="AG15" i="2"/>
  <c r="AF15" i="2"/>
  <c r="AE15" i="2"/>
  <c r="AD15" i="2"/>
  <c r="AC15" i="2"/>
  <c r="AA15" i="2"/>
  <c r="B15" i="2"/>
  <c r="AJ14" i="2"/>
  <c r="AI14" i="2"/>
  <c r="AH14" i="2"/>
  <c r="AG14" i="2"/>
  <c r="AF14" i="2"/>
  <c r="AE14" i="2"/>
  <c r="AD14" i="2"/>
  <c r="AC14" i="2"/>
  <c r="AA14" i="2"/>
  <c r="B14" i="2"/>
  <c r="AJ13" i="2"/>
  <c r="AI13" i="2"/>
  <c r="AH13" i="2"/>
  <c r="AG13" i="2"/>
  <c r="AF13" i="2"/>
  <c r="AE13" i="2"/>
  <c r="AD13" i="2"/>
  <c r="AC13" i="2"/>
  <c r="AA13" i="2"/>
  <c r="B13" i="2"/>
  <c r="AJ12" i="2"/>
  <c r="AI12" i="2"/>
  <c r="AH12" i="2"/>
  <c r="AG12" i="2"/>
  <c r="AF12" i="2"/>
  <c r="AE12" i="2"/>
  <c r="AD12" i="2"/>
  <c r="AC12" i="2"/>
  <c r="AA12" i="2"/>
  <c r="B12" i="2"/>
  <c r="AJ11" i="2"/>
  <c r="AI11" i="2"/>
  <c r="AH11" i="2"/>
  <c r="AG11" i="2"/>
  <c r="AF11" i="2"/>
  <c r="AE11" i="2"/>
  <c r="AD11" i="2"/>
  <c r="AC11" i="2"/>
  <c r="B11" i="2"/>
  <c r="AJ10" i="2"/>
  <c r="AI10" i="2"/>
  <c r="AH10" i="2"/>
  <c r="AG10" i="2"/>
  <c r="AF10" i="2"/>
  <c r="AE10" i="2"/>
  <c r="AD10" i="2"/>
  <c r="AC10" i="2"/>
  <c r="B10" i="2"/>
  <c r="AJ9" i="2"/>
  <c r="AI9" i="2"/>
  <c r="AH9" i="2"/>
  <c r="AG9" i="2"/>
  <c r="AF9" i="2"/>
  <c r="AE9" i="2"/>
  <c r="AD9" i="2"/>
  <c r="AC9" i="2"/>
  <c r="AA9" i="2"/>
  <c r="B9" i="2"/>
  <c r="AJ8" i="2"/>
  <c r="AI8" i="2"/>
  <c r="AH8" i="2"/>
  <c r="AG8" i="2"/>
  <c r="AF8" i="2"/>
  <c r="AE8" i="2"/>
  <c r="AD8" i="2"/>
  <c r="AC8" i="2"/>
  <c r="AA8" i="2"/>
  <c r="B8" i="2"/>
  <c r="AJ7" i="2"/>
  <c r="AI7" i="2"/>
  <c r="AH7" i="2"/>
  <c r="AG7" i="2"/>
  <c r="AF7" i="2"/>
  <c r="AE7" i="2"/>
  <c r="AD7" i="2"/>
  <c r="AC7" i="2"/>
  <c r="AA7" i="2"/>
  <c r="AJ6" i="2"/>
  <c r="AI6" i="2"/>
  <c r="AH6" i="2"/>
  <c r="AG6" i="2"/>
  <c r="AF6" i="2"/>
  <c r="AE6" i="2"/>
  <c r="AD6" i="2"/>
  <c r="AC6" i="2"/>
  <c r="AA6" i="2"/>
  <c r="AJ5" i="2"/>
  <c r="AI5" i="2"/>
  <c r="AH5" i="2"/>
  <c r="AG5" i="2"/>
  <c r="AF5" i="2"/>
  <c r="AE5" i="2"/>
  <c r="AD5" i="2"/>
  <c r="AC5" i="2"/>
  <c r="AA5" i="2"/>
  <c r="L5" i="2"/>
  <c r="I5" i="2"/>
  <c r="H5" i="2"/>
  <c r="G5" i="2"/>
  <c r="F5" i="2"/>
  <c r="E5" i="2"/>
  <c r="D5" i="2"/>
  <c r="L4" i="2"/>
  <c r="C2" i="2"/>
</calcChain>
</file>

<file path=xl/sharedStrings.xml><?xml version="1.0" encoding="utf-8"?>
<sst xmlns="http://schemas.openxmlformats.org/spreadsheetml/2006/main" count="51447" uniqueCount="7691">
  <si>
    <t>Ciclo Kalina KCS-11 — resultados de la campaña final de barridos (M1–M10b)</t>
  </si>
  <si>
    <t>Para qué es este libro: presentar las tablas y figuras del análisis, organizadas por bloque.</t>
  </si>
  <si>
    <t>Un bloque reúne puntos con las MISMAS variables fijas en los MISMOS valores: solo se comparan puntos de un mismo bloque.</t>
  </si>
  <si>
    <t>Cómo leer cada hoja: las primeras filas dicen qué caso es, el punto base, los datos fijos y barridos (bloque por bloque si hay varios), el filtro y la fuente; la tabla empieza después de una fila en blanco (con filtros); las notas van al final.</t>
  </si>
  <si>
    <t>Hoja Tablero: elija un bloque en la celda B2 y se actualizan las cifras, las condiciones y los gráficos.</t>
  </si>
  <si>
    <t>Hojas *_graficos: gráficos nativos de Excel de cada caso (pase el cursor para ver los valores); cada uno lleva arriba su ID y título y abajo su pie con los datos fijos.</t>
  </si>
  <si>
    <t>Hoja Figuras_matplotlib_ref (al final): las 30 figuras de Matplotlib, solo como referencia.</t>
  </si>
  <si>
    <t>Glosario:</t>
  </si>
  <si>
    <t>• PP (punto del profesor): Los datos del enunciado: P_alta 3000 kPa, P_baja 400 kPa, x_b 0.50, T_fuente 623.15 K, T_sumidero 300.03 K, η_t 0.85, η_p 0.75, ε_HRVG 0.85, ε_reg 0.75, ε_cond 0.80. Con ellos el ciclo no converge.</t>
  </si>
  <si>
    <t>• A* (punto ancla): El punto del profesor con solo dos cambios: T_fuente = 403 K y P_baja = 563.64 kPa. Es KALINA con η = 8.48 %. Se eligió en M2 como el cambio intermedio que vuelve funcional el ciclo, y M3 estudia la sensibilidad a su alrededor.</t>
  </si>
  <si>
    <t>• Punto genuino: Punto cuya clase es KALINA, CORREGIBLE o INVIABLE: el modelo lo resolvió de verdad.</t>
  </si>
  <si>
    <t>• N2 (falso convergido): El solver dice que convergió, pero el clasificador lo marca NO_CONVERGIO: es una solución espuria y no cuenta como convergido.</t>
  </si>
  <si>
    <t>• KALINA confiable: Punto KALINA dentro del rango validado del modelo de propiedades (IAPWS G4-01) y con todas sus η y ε en [0.40, 0.95].</t>
  </si>
  <si>
    <t>• Fuera de rango: Punto con estados fuera del rango validado del modelo de propiedades (por ejemplo, líquido por encima de 420 K); su η se toma con cautela.</t>
  </si>
  <si>
    <t>• O1: Criterio de título (calidad del vapor) a la salida de la turbina.</t>
  </si>
  <si>
    <t>• O2: Criterio de cavitación: el líquido debe llegar subenfriado a la bomba.</t>
  </si>
  <si>
    <t>• O3: Criterio de trabajo neto: el ciclo debe producir trabajo (W_net &gt; 0).</t>
  </si>
  <si>
    <t>• O5: Criterio del separador: debe recibir una mezcla de dos fases.</t>
  </si>
  <si>
    <t>• Piso de O2: Temperatura con la que se evalúa la cavitación. 300.03 K fija en M1–M3; desde M2S es igual a la T_sumidero de cada punto.</t>
  </si>
  <si>
    <t>• Banda de η: Incertidumbre del modelo de propiedades: ±0.4–0.7 puntos porcentuales; diferencias menores no son concluyentes.</t>
  </si>
  <si>
    <t>• Bloque: Conjunto de puntos con las mismas variables fijas y los mismos valores; solo se comparan puntos de un mismo bloque.</t>
  </si>
  <si>
    <t>Colores de clase:</t>
  </si>
  <si>
    <t>KALINA: cumple todos los criterios</t>
  </si>
  <si>
    <t>CORREGIBLE: falla un criterio operativo (casi siempre O2)</t>
  </si>
  <si>
    <t>INVIABLE: falla un criterio estructural (O3, O5…)</t>
  </si>
  <si>
    <t>NO_CONVERGIO: el modelo no encontró un ciclo</t>
  </si>
  <si>
    <t>N2: falso convergido (no cuenta)</t>
  </si>
  <si>
    <t>Tablero de resultados — elija un bloque en B2</t>
  </si>
  <si>
    <t>Bloque:</t>
  </si>
  <si>
    <t>B01</t>
  </si>
  <si>
    <t>Corridas</t>
  </si>
  <si>
    <t>Genuinas</t>
  </si>
  <si>
    <t>KALINA</t>
  </si>
  <si>
    <t>KALINA confiables</t>
  </si>
  <si>
    <t>η máx. KALINA [%]</t>
  </si>
  <si>
    <t>Criterio que más bloquea</t>
  </si>
  <si>
    <t>Eje X:</t>
  </si>
  <si>
    <t>xK</t>
  </si>
  <si>
    <t>yK</t>
  </si>
  <si>
    <t>xC</t>
  </si>
  <si>
    <t>yC</t>
  </si>
  <si>
    <t>xI</t>
  </si>
  <si>
    <t>yI</t>
  </si>
  <si>
    <t>xN</t>
  </si>
  <si>
    <t>yN</t>
  </si>
  <si>
    <t>Eje Y:</t>
  </si>
  <si>
    <t>Corregible</t>
  </si>
  <si>
    <t>Condiciones de este bloque</t>
  </si>
  <si>
    <t>Inviable</t>
  </si>
  <si>
    <t>Temperatura de la fuente, T_fuente [K]</t>
  </si>
  <si>
    <t>No convergió</t>
  </si>
  <si>
    <t>Temperatura del sumidero, T_sumidero [K]</t>
  </si>
  <si>
    <t>Falso convergido (N2)</t>
  </si>
  <si>
    <t>Presión de alta, P_alta [kPa]</t>
  </si>
  <si>
    <t>Presión de baja, P_baja [kPa]</t>
  </si>
  <si>
    <t>Fracción de amoníaco de la mezcla base, x_b [–]</t>
  </si>
  <si>
    <t>O1 título</t>
  </si>
  <si>
    <t>Flujo másico base, m_b [kg/s]</t>
  </si>
  <si>
    <t>O2 cavitación</t>
  </si>
  <si>
    <t>Eficiencia isentrópica de la turbina, η_t [–]</t>
  </si>
  <si>
    <t>O3 trabajo neto</t>
  </si>
  <si>
    <t>Eficiencia isentrópica de la bomba, η_p [–]</t>
  </si>
  <si>
    <t>O5 separador</t>
  </si>
  <si>
    <t>Efectividad del generador de vapor, ε_HRVG [–]</t>
  </si>
  <si>
    <t>Efectividad del regenerador, ε_reg [–]</t>
  </si>
  <si>
    <t>Efectividad del condensador, ε_cond [–]</t>
  </si>
  <si>
    <t>Piso de O2 (T de diseño de la bomba) [K]</t>
  </si>
  <si>
    <t>motor</t>
  </si>
  <si>
    <t>Pie del bloque:</t>
  </si>
  <si>
    <t>Hoja</t>
  </si>
  <si>
    <t>Caso</t>
  </si>
  <si>
    <t>Bloque(s)</t>
  </si>
  <si>
    <t>Qué muestra</t>
  </si>
  <si>
    <t>Punto_profesor</t>
  </si>
  <si>
    <t>—</t>
  </si>
  <si>
    <t>Datos del profesor y punto ancla A*</t>
  </si>
  <si>
    <t>G01_resumen_casos</t>
  </si>
  <si>
    <t>síntesis</t>
  </si>
  <si>
    <t>uno por fila</t>
  </si>
  <si>
    <t>Resumen de casos</t>
  </si>
  <si>
    <t>G02_que_se_movio</t>
  </si>
  <si>
    <t>Qué se movió en cada barrido</t>
  </si>
  <si>
    <t>G03_rangos_KALINA</t>
  </si>
  <si>
    <t>Rangos KALINA comparados</t>
  </si>
  <si>
    <t>G04_datos_profesor</t>
  </si>
  <si>
    <t>Datos del profesor conservables</t>
  </si>
  <si>
    <t>G05_bloqueos</t>
  </si>
  <si>
    <t>Criterios de bloqueo por caso</t>
  </si>
  <si>
    <t>M01_00_condiciones</t>
  </si>
  <si>
    <t>KF-M01</t>
  </si>
  <si>
    <t>Condiciones del caso M01</t>
  </si>
  <si>
    <t>M01_01_conteo</t>
  </si>
  <si>
    <t>Corridas por subcaso del caso M01</t>
  </si>
  <si>
    <t>M01_02_comparacion</t>
  </si>
  <si>
    <t>Comparación antes y después de la F1</t>
  </si>
  <si>
    <t>M02-N1_00_condiciones</t>
  </si>
  <si>
    <t>KF-M02-N1</t>
  </si>
  <si>
    <t>B02</t>
  </si>
  <si>
    <t>Condiciones del caso M02-N1</t>
  </si>
  <si>
    <t>M02-N1_01_conteo</t>
  </si>
  <si>
    <t>Corridas por subcaso del caso M02-N1</t>
  </si>
  <si>
    <t>M02-N1_02_resumen</t>
  </si>
  <si>
    <t>Distancia al punto del profesor moviendo una variable a la vez</t>
  </si>
  <si>
    <t>M02-N2_00_condiciones</t>
  </si>
  <si>
    <t>KF-M02-N2</t>
  </si>
  <si>
    <t>B03-A, B03-B</t>
  </si>
  <si>
    <t>Condiciones del caso M02-N2</t>
  </si>
  <si>
    <t>M02-N2_01_conteo</t>
  </si>
  <si>
    <t>Corridas por subcaso del caso M02-N2</t>
  </si>
  <si>
    <t>M02-N2_02_resumen</t>
  </si>
  <si>
    <t>Resumen de la malla de dos cambios</t>
  </si>
  <si>
    <t>M02R_00_condiciones</t>
  </si>
  <si>
    <t>KF-M02R</t>
  </si>
  <si>
    <t>B04-n1, B04-n2a, B04-n2b, B04-n3</t>
  </si>
  <si>
    <t>Condiciones del caso M02R</t>
  </si>
  <si>
    <t>M02R_01_conteo</t>
  </si>
  <si>
    <t>Corridas por subcaso del caso M02R</t>
  </si>
  <si>
    <t>M02R_02_resumen</t>
  </si>
  <si>
    <t>Malla con η y ε en [0.40, 0.95]</t>
  </si>
  <si>
    <t>M02S_00_condiciones</t>
  </si>
  <si>
    <t>KF-M02S</t>
  </si>
  <si>
    <t>B05-B1, B05-B2, B05-B3, B05-B4</t>
  </si>
  <si>
    <t>Condiciones del caso M02S</t>
  </si>
  <si>
    <t>M02S_01_conteo</t>
  </si>
  <si>
    <t>Corridas por subcaso del caso M02S</t>
  </si>
  <si>
    <t>M02S_02_resumen</t>
  </si>
  <si>
    <t>Malla T_sumidero x P_baja por base</t>
  </si>
  <si>
    <t>M03_00_condiciones</t>
  </si>
  <si>
    <t>KF-M03</t>
  </si>
  <si>
    <t>B06</t>
  </si>
  <si>
    <t>Condiciones del caso M03</t>
  </si>
  <si>
    <t>M03_01_conteo</t>
  </si>
  <si>
    <t>Corridas por subcaso del caso M03</t>
  </si>
  <si>
    <t>M03_02_ranking_delta</t>
  </si>
  <si>
    <t>Influencia y margen por variable (Δη y O2)</t>
  </si>
  <si>
    <t>M04_00_condiciones</t>
  </si>
  <si>
    <t>KF-M04</t>
  </si>
  <si>
    <t>B07</t>
  </si>
  <si>
    <t>Condiciones del caso M04</t>
  </si>
  <si>
    <t>M04_01_conteo</t>
  </si>
  <si>
    <t>Corridas por subcaso del caso M04</t>
  </si>
  <si>
    <t>M04_02_separacion</t>
  </si>
  <si>
    <t>KF-M04 + KF-M04b</t>
  </si>
  <si>
    <t>Separación KALINA / no KALINA (RSA y KS)</t>
  </si>
  <si>
    <t>M04_03_prcc</t>
  </si>
  <si>
    <t>Influencia de cada variable sobre η (PRCC)</t>
  </si>
  <si>
    <t>M04_04_rangos_presion</t>
  </si>
  <si>
    <t>Rangos de presión de los KALINA</t>
  </si>
  <si>
    <t>M04_05_ventana_palta</t>
  </si>
  <si>
    <t>Ventana KALINA por franjas de P_alta</t>
  </si>
  <si>
    <t>M04_06_ventana_tf</t>
  </si>
  <si>
    <t>Ventana KALINA por franjas de T_fuente</t>
  </si>
  <si>
    <t>M04_07_ventana_ts</t>
  </si>
  <si>
    <t>Ventana KALINA por franjas de T_sumidero</t>
  </si>
  <si>
    <t>M04b_00_condiciones</t>
  </si>
  <si>
    <t>KF-M04b</t>
  </si>
  <si>
    <t>Condiciones del caso M04b</t>
  </si>
  <si>
    <t>M04b_01_conteo</t>
  </si>
  <si>
    <t>Corridas por subcaso del caso M04b</t>
  </si>
  <si>
    <t>M04c_00_condiciones</t>
  </si>
  <si>
    <t>KF-M04c</t>
  </si>
  <si>
    <t>B08</t>
  </si>
  <si>
    <t>Condiciones del caso M04c</t>
  </si>
  <si>
    <t>M04c_01_conteo</t>
  </si>
  <si>
    <t>Corridas por subcaso del caso M04c</t>
  </si>
  <si>
    <t>M04c_02_techo</t>
  </si>
  <si>
    <t>Techo de P_baja antes de cortar KALINA</t>
  </si>
  <si>
    <t>M04c_03_techo_palta</t>
  </si>
  <si>
    <t>Techo de P_baja por franja de P_alta</t>
  </si>
  <si>
    <t>M05_00_condiciones</t>
  </si>
  <si>
    <t>KF-M05</t>
  </si>
  <si>
    <t>B09-1, B09-2, B09-3, B09-4, B09-5</t>
  </si>
  <si>
    <t>Condiciones del caso M05</t>
  </si>
  <si>
    <t>M05_01_conteo</t>
  </si>
  <si>
    <t>Corridas por subcaso del caso M05</t>
  </si>
  <si>
    <t>M05_02_resumen</t>
  </si>
  <si>
    <t>Resumen por escenario de conservación</t>
  </si>
  <si>
    <t>M05_03_rangos</t>
  </si>
  <si>
    <t>Rangos por escenario (KALINA contra no KALINA)</t>
  </si>
  <si>
    <t>M05c_00_condiciones</t>
  </si>
  <si>
    <t>KF-M05c</t>
  </si>
  <si>
    <t>B10</t>
  </si>
  <si>
    <t>Condiciones del caso M05c</t>
  </si>
  <si>
    <t>M05c_01_conteo</t>
  </si>
  <si>
    <t>Corridas por subcaso del caso M05c</t>
  </si>
  <si>
    <t>M05c_02_frontera</t>
  </si>
  <si>
    <t>Frontera KALINA con las presiones del profesor</t>
  </si>
  <si>
    <t>M06_00_condiciones</t>
  </si>
  <si>
    <t>KF-M06</t>
  </si>
  <si>
    <t>B12</t>
  </si>
  <si>
    <t>Condiciones del caso M06</t>
  </si>
  <si>
    <t>M06_01_conteo</t>
  </si>
  <si>
    <t>Corridas por subcaso del caso M06</t>
  </si>
  <si>
    <t>M06_02_comparacion</t>
  </si>
  <si>
    <t>Paridad teqp contra el motor real</t>
  </si>
  <si>
    <t>M06_03_subenfriamiento</t>
  </si>
  <si>
    <t>Costo del subenfriamiento</t>
  </si>
  <si>
    <t>M07_00_condiciones</t>
  </si>
  <si>
    <t>KF-M07</t>
  </si>
  <si>
    <t>B11-A1, B11-A2, B11-A3, B11-A4, B11-A5</t>
  </si>
  <si>
    <t>Condiciones del caso M07</t>
  </si>
  <si>
    <t>M07_01_conteo</t>
  </si>
  <si>
    <t>Corridas por subcaso del caso M07</t>
  </si>
  <si>
    <t>M07_02_optimos</t>
  </si>
  <si>
    <t>Óptimos de η por arranque</t>
  </si>
  <si>
    <t>M09_00_condiciones</t>
  </si>
  <si>
    <t>KF-M09</t>
  </si>
  <si>
    <t>B13-TF, B13-EF, B13-PA, B13-PB, B13-TS, B13-XB, B13-XB_TF, B13-XB_EF, B13-XB_PA, B13-XB_PB, B13-XB_TS, B13-XB_PA_TF, B13-XB_PA_EF, B13-XB_PA_PB, B13-XB_PA_TS, B13-XB_PA_EF_TF, B13-XB_PA_EF_PB, B13-XB_PA_EF_TS, B13-HUS, B12</t>
  </si>
  <si>
    <t>Condiciones del caso M09</t>
  </si>
  <si>
    <t>M09_01_conteo</t>
  </si>
  <si>
    <t>Corridas por subcaso del caso M09</t>
  </si>
  <si>
    <t>M09_02_escalera</t>
  </si>
  <si>
    <t>B13-TF, B13-EF, B13-PA, B13-PB, B13-TS, B13-XB, B13-XB_TF, B13-XB_EF, B13-XB_PA, B13-XB_PB, B13-XB_TS, B13-XB_PA_TF, B13-XB_PA_EF, B13-XB_PA_PB, B13-XB_PA_TS, B13-XB_PA_EF_TF, B13-XB_PA_EF_PB, B13-XB_PA_EF_TS</t>
  </si>
  <si>
    <t>Escalera de conservación de datos del profesor</t>
  </si>
  <si>
    <t>M09_03_motor_real</t>
  </si>
  <si>
    <t>Verificación teqp contra el motor real</t>
  </si>
  <si>
    <t>M10_00_condiciones</t>
  </si>
  <si>
    <t>KF-M10</t>
  </si>
  <si>
    <t>B14-F3, B14-OFAT, B14-MALLA</t>
  </si>
  <si>
    <t>Condiciones del caso M10</t>
  </si>
  <si>
    <t>M10_01_conteo</t>
  </si>
  <si>
    <t>Corridas por subcaso del caso M10</t>
  </si>
  <si>
    <t>M10_02_catalogo</t>
  </si>
  <si>
    <t>B14-F3</t>
  </si>
  <si>
    <t>Catálogo Húsavík (reproducción de la Fase 3)</t>
  </si>
  <si>
    <t>M10_03_ofat</t>
  </si>
  <si>
    <t>B14-OFAT</t>
  </si>
  <si>
    <t>Rangos KALINA por variable (Húsavík OFAT)</t>
  </si>
  <si>
    <t>M10b_00_condiciones</t>
  </si>
  <si>
    <t>KF-M10b</t>
  </si>
  <si>
    <t>B14-OFATb, B14-MALLA</t>
  </si>
  <si>
    <t>Condiciones del caso M10b</t>
  </si>
  <si>
    <t>M10b_01_conteo</t>
  </si>
  <si>
    <t>Corridas por subcaso del caso M10b</t>
  </si>
  <si>
    <t>M10b_02_xb_bajo</t>
  </si>
  <si>
    <t>B14-MALLA</t>
  </si>
  <si>
    <t>Frontera KALINA al variar x_b (Húsavík, x_b bajo)</t>
  </si>
  <si>
    <t>G_graficos</t>
  </si>
  <si>
    <t>los de cada figura</t>
  </si>
  <si>
    <t>Gráficos nativos de Excel: FIG-G01</t>
  </si>
  <si>
    <t>M02_graficos</t>
  </si>
  <si>
    <t>KF-M02-N1, KF-M02-N2</t>
  </si>
  <si>
    <t>Gráficos nativos de Excel: FIG-M02-01, -02a, -02b</t>
  </si>
  <si>
    <t>M02R_graficos</t>
  </si>
  <si>
    <t>Gráficos nativos de Excel: FIG-M02R-n1 … n3</t>
  </si>
  <si>
    <t>M02S_graficos</t>
  </si>
  <si>
    <t>Gráficos nativos de Excel: FIG-M02S-01</t>
  </si>
  <si>
    <t>M03_graficos</t>
  </si>
  <si>
    <t>Gráficos nativos de Excel: FIG-M03-01 … -04</t>
  </si>
  <si>
    <t>M04_graficos</t>
  </si>
  <si>
    <t>Gráficos nativos de Excel: FIG-M04-01 … -04</t>
  </si>
  <si>
    <t>M04c_graficos</t>
  </si>
  <si>
    <t>Gráficos nativos de Excel: FIG-M04c-01</t>
  </si>
  <si>
    <t>M05_graficos</t>
  </si>
  <si>
    <t>KF-M05, KF-M05c</t>
  </si>
  <si>
    <t>Gráficos nativos de Excel: FIG-M05-S1 … S5, FIG-M05c-01</t>
  </si>
  <si>
    <t>M06_M07_M09_graficos</t>
  </si>
  <si>
    <t>KF-M06, KF-M07, KF-M09</t>
  </si>
  <si>
    <t>Gráficos nativos de Excel: FIG-M06-01, FIG-M07-01, FIG-M09-01</t>
  </si>
  <si>
    <t>M10_graficos</t>
  </si>
  <si>
    <t>KF-M10, KF-M10b</t>
  </si>
  <si>
    <t>Gráficos nativos de Excel: FIG-M10-01, -02 y M10b-OFAT</t>
  </si>
  <si>
    <t>Figuras_matplotlib_ref</t>
  </si>
  <si>
    <t>todos</t>
  </si>
  <si>
    <t>las 30 figuras de Matplotlib, de referencia</t>
  </si>
  <si>
    <t>Dato</t>
  </si>
  <si>
    <t>Unidad</t>
  </si>
  <si>
    <t>Punto del profesor (PP)</t>
  </si>
  <si>
    <t>Punto ancla A*</t>
  </si>
  <si>
    <t>P_alta</t>
  </si>
  <si>
    <t>kPa</t>
  </si>
  <si>
    <t>P_baja</t>
  </si>
  <si>
    <t>x_b</t>
  </si>
  <si>
    <t>–</t>
  </si>
  <si>
    <t>T_fuente</t>
  </si>
  <si>
    <t>K</t>
  </si>
  <si>
    <t>T_sumidero</t>
  </si>
  <si>
    <t>η_t</t>
  </si>
  <si>
    <t>η_p</t>
  </si>
  <si>
    <t>ε_HRVG</t>
  </si>
  <si>
    <t>ε_reg</t>
  </si>
  <si>
    <t>ε_cond</t>
  </si>
  <si>
    <t>m_b</t>
  </si>
  <si>
    <t>kg/s</t>
  </si>
  <si>
    <t>A* = PP con solo dos cambios (T_fuente y P_baja). Es KALINA, η = 8.48 %. PP no converge (M1).</t>
  </si>
  <si>
    <t>TAB-G01 · Resumen de casos</t>
  </si>
  <si>
    <t>Caso(s): todos (síntesis) · Bloque(s): uno por fila</t>
  </si>
  <si>
    <t>Punto base: el de cada fila (columna 'Punto base' o 'Datos fijos')</t>
  </si>
  <si>
    <t>Tabla de síntesis: cada fila es un caso con sus propios datos fijos.</t>
  </si>
  <si>
    <t>Filtro: todos los puntos (sin KF-M08) · Fuente: todos_los_puntos.csv</t>
  </si>
  <si>
    <t>ID</t>
  </si>
  <si>
    <t>Nombre</t>
  </si>
  <si>
    <t>Familia</t>
  </si>
  <si>
    <t>Punto base</t>
  </si>
  <si>
    <t>Diseño</t>
  </si>
  <si>
    <t>Falsos convergidos (N2)</t>
  </si>
  <si>
    <t>Reproducción del caso del profesor</t>
  </si>
  <si>
    <t>R</t>
  </si>
  <si>
    <t>PP</t>
  </si>
  <si>
    <t>una variable a la vez sobre PP</t>
  </si>
  <si>
    <t>Un solo cambio sobre el profesor</t>
  </si>
  <si>
    <t>F</t>
  </si>
  <si>
    <t>malla 10 + bisección</t>
  </si>
  <si>
    <t>O2 (15 de 15)</t>
  </si>
  <si>
    <t>Dos cambios sobre el profesor</t>
  </si>
  <si>
    <t>malla 2D + bisección</t>
  </si>
  <si>
    <t>O2 (106 de 106)</t>
  </si>
  <si>
    <t>M2 con η y ε en [0.40, 0.95]</t>
  </si>
  <si>
    <t>mallas + bisección</t>
  </si>
  <si>
    <t>O2 (134 de 134)</t>
  </si>
  <si>
    <t>Sumidero frío con P_baja libre</t>
  </si>
  <si>
    <t>4 bases</t>
  </si>
  <si>
    <t>O2 (116 de 116)</t>
  </si>
  <si>
    <t>Sensibilidad local alrededor de A*</t>
  </si>
  <si>
    <t>L</t>
  </si>
  <si>
    <t>A*</t>
  </si>
  <si>
    <t>OAT 15 + A* ± 1 %</t>
  </si>
  <si>
    <t>O2 (61 de 62)</t>
  </si>
  <si>
    <t>Sensibilidad global, LHS 300</t>
  </si>
  <si>
    <t>G</t>
  </si>
  <si>
    <t>caja</t>
  </si>
  <si>
    <t>LHS</t>
  </si>
  <si>
    <t>O2 (187 de 190)</t>
  </si>
  <si>
    <t>Sensibilidad global, LHS 200 (unión 500)</t>
  </si>
  <si>
    <t>O2 (137 de 141)</t>
  </si>
  <si>
    <t>Techo de P_baja (1500–2500 kPa)</t>
  </si>
  <si>
    <t>O2 (44 de 45)</t>
  </si>
  <si>
    <t>Escenarios de conservación del profesor</t>
  </si>
  <si>
    <t>C</t>
  </si>
  <si>
    <t>PP parcial</t>
  </si>
  <si>
    <t>LHS por escenario</t>
  </si>
  <si>
    <t>O2 (362 de 362)</t>
  </si>
  <si>
    <t>Franja KALINA con las presiones del profesor</t>
  </si>
  <si>
    <t>PP con PA y PB</t>
  </si>
  <si>
    <t>malla 11×5×3</t>
  </si>
  <si>
    <t>O2 (30 de 45)</t>
  </si>
  <si>
    <t>Verificación con el motor real</t>
  </si>
  <si>
    <t>V</t>
  </si>
  <si>
    <t>puntos clave</t>
  </si>
  <si>
    <t>puntos de control</t>
  </si>
  <si>
    <t>O2 (9 de 9)</t>
  </si>
  <si>
    <t>Máxima η dentro de KALINA</t>
  </si>
  <si>
    <t>O</t>
  </si>
  <si>
    <t>5 arranques</t>
  </si>
  <si>
    <t>búsqueda por patrones</t>
  </si>
  <si>
    <t>O2 (114 de 130)</t>
  </si>
  <si>
    <t>Escalera de conservación del profesor</t>
  </si>
  <si>
    <t>B13-* (20 conjuntos)</t>
  </si>
  <si>
    <t>selección hacia adelante + LHS</t>
  </si>
  <si>
    <t>O2 (613 de 625)</t>
  </si>
  <si>
    <t>Húsavík revisitado</t>
  </si>
  <si>
    <t>H</t>
  </si>
  <si>
    <t>ancla de Húsavík</t>
  </si>
  <si>
    <t>recorrida + OFAT + malla</t>
  </si>
  <si>
    <t>O2 (56 de 56)</t>
  </si>
  <si>
    <t>Húsavík con x_b bajo</t>
  </si>
  <si>
    <t>OFAT + malla</t>
  </si>
  <si>
    <t>Notas: n = 16 filas en la tabla. † = fuera del rango confiable (IAPWS G4-01); ‡ = falso convergido (N2). Familias: R reproducibilidad, F factibilidad, L local, G global, C conservación, O optimización, V verificación, H Húsavík.</t>
  </si>
  <si>
    <t>TAB-G02 · Qué se movió en cada barrido</t>
  </si>
  <si>
    <t>Filtro: todos los subcasos (sin KF-M08) · Fuente: casos_x_variables.csv</t>
  </si>
  <si>
    <t>Subcaso</t>
  </si>
  <si>
    <t>KF-M01-P_alta</t>
  </si>
  <si>
    <t>fijo: profesor</t>
  </si>
  <si>
    <t>barrido: 2000 – 4000</t>
  </si>
  <si>
    <t>fijo: teqp</t>
  </si>
  <si>
    <t>KF-M01-base</t>
  </si>
  <si>
    <t>barrido: 2 valores</t>
  </si>
  <si>
    <t>KF-M01-x_b</t>
  </si>
  <si>
    <t>barrido: 0.4 – 0.7</t>
  </si>
  <si>
    <t>KF-M01-T_amb</t>
  </si>
  <si>
    <t>barrido: 297.95 – 303.55</t>
  </si>
  <si>
    <t>barrido: 340 – 623.15</t>
  </si>
  <si>
    <t>barrido: 283.15 – 303.55</t>
  </si>
  <si>
    <t>barrido: 1000 – 10000</t>
  </si>
  <si>
    <t>barrido: 150 – 1500</t>
  </si>
  <si>
    <t>barrido: 0.3 – 0.9</t>
  </si>
  <si>
    <t>barrido: 0.75 – 0.9</t>
  </si>
  <si>
    <t>barrido: 0.65 – 0.85</t>
  </si>
  <si>
    <t>barrido: 0.75 – 0.85</t>
  </si>
  <si>
    <t>KF-M02-N2-A</t>
  </si>
  <si>
    <t>barrido: 400 – 2000</t>
  </si>
  <si>
    <t>barrido: 0.75 – 0.81</t>
  </si>
  <si>
    <t>KF-M02-N2-B</t>
  </si>
  <si>
    <t>barrido: 380 – 560</t>
  </si>
  <si>
    <t>KF-M02R-n1</t>
  </si>
  <si>
    <t>barrido: 0.4 – 0.95</t>
  </si>
  <si>
    <t>KF-M02R-n2a</t>
  </si>
  <si>
    <t>barrido: 0.4 – 0.8</t>
  </si>
  <si>
    <t>KF-M02R-n2b</t>
  </si>
  <si>
    <t>KF-M02R-n3</t>
  </si>
  <si>
    <t>barrido: 403 – 560</t>
  </si>
  <si>
    <t>barrido: 0.85 – 0.95</t>
  </si>
  <si>
    <t>KF-M02S-B1</t>
  </si>
  <si>
    <t>fijo: 403</t>
  </si>
  <si>
    <t>barrido: 278.15 – 300.033</t>
  </si>
  <si>
    <t>KF-M02S-B2</t>
  </si>
  <si>
    <t>fijo: 420</t>
  </si>
  <si>
    <t>KF-M02S-B3</t>
  </si>
  <si>
    <t>fijo: 0.4</t>
  </si>
  <si>
    <t>KF-M02S-B4</t>
  </si>
  <si>
    <t>barrido: 380.23 – 499.941</t>
  </si>
  <si>
    <t>barrido: 278.192 – 303.54</t>
  </si>
  <si>
    <t>barrido: 2005.4 – 4991.23</t>
  </si>
  <si>
    <t>barrido: 302.949 – 1498</t>
  </si>
  <si>
    <t>barrido: 0.50017 – 0.849984</t>
  </si>
  <si>
    <t>barrido: 0.750411 – 0.919501</t>
  </si>
  <si>
    <t>barrido: 0.6504 – 0.899194</t>
  </si>
  <si>
    <t>barrido: 0.600039 – 0.949047</t>
  </si>
  <si>
    <t>barrido: 0.600973 – 0.949965</t>
  </si>
  <si>
    <t>barrido: 0.700136 – 0.949409</t>
  </si>
  <si>
    <t>barrido: 380.294 – 499.533</t>
  </si>
  <si>
    <t>barrido: 278.183 – 303.47</t>
  </si>
  <si>
    <t>barrido: 2009.95 – 4986.56</t>
  </si>
  <si>
    <t>barrido: 304.741 – 1497.19</t>
  </si>
  <si>
    <t>barrido: 0.500115 – 0.848795</t>
  </si>
  <si>
    <t>barrido: 0.750358 – 0.919688</t>
  </si>
  <si>
    <t>barrido: 0.65092 – 0.898858</t>
  </si>
  <si>
    <t>barrido: 0.600605 – 0.948339</t>
  </si>
  <si>
    <t>barrido: 0.601672 – 0.949157</t>
  </si>
  <si>
    <t>barrido: 0.700518 – 0.949213</t>
  </si>
  <si>
    <t>barrido: 380.746 – 499.827</t>
  </si>
  <si>
    <t>barrido: 278.278 – 303.41</t>
  </si>
  <si>
    <t>barrido: 2015.69 – 4995.76</t>
  </si>
  <si>
    <t>barrido: 1501.26 – 2494.53</t>
  </si>
  <si>
    <t>barrido: 0.502301 – 0.849527</t>
  </si>
  <si>
    <t>barrido: 0.751027 – 0.919188</t>
  </si>
  <si>
    <t>barrido: 0.651194 – 0.89988</t>
  </si>
  <si>
    <t>barrido: 0.600893 – 0.948455</t>
  </si>
  <si>
    <t>barrido: 0.600382 – 0.947696</t>
  </si>
  <si>
    <t>barrido: 0.700042 – 0.949665</t>
  </si>
  <si>
    <t>KF-M05-1</t>
  </si>
  <si>
    <t>barrido: 2000.11 – 4986.58</t>
  </si>
  <si>
    <t>barrido: 202.14 – 1989.72</t>
  </si>
  <si>
    <t>barrido: 0.501239 – 0.84895</t>
  </si>
  <si>
    <t>barrido: 0.400616 – 0.947454</t>
  </si>
  <si>
    <t>barrido: 0.404302 – 0.94919</t>
  </si>
  <si>
    <t>barrido: 0.40441 – 0.949187</t>
  </si>
  <si>
    <t>barrido: 0.40384 – 0.947903</t>
  </si>
  <si>
    <t>barrido: 0.400868 – 0.945788</t>
  </si>
  <si>
    <t>KF-M05-2</t>
  </si>
  <si>
    <t>barrido: 381.609 – 621.774</t>
  </si>
  <si>
    <t>barrido: 278.262 – 303.479</t>
  </si>
  <si>
    <t>barrido: 0.500843 – 0.847315</t>
  </si>
  <si>
    <t>barrido: 0.402676 – 0.948584</t>
  </si>
  <si>
    <t>barrido: 0.401033 – 0.947097</t>
  </si>
  <si>
    <t>barrido: 0.402168 – 0.947551</t>
  </si>
  <si>
    <t>barrido: 0.402278 – 0.946602</t>
  </si>
  <si>
    <t>barrido: 0.402092 – 0.947396</t>
  </si>
  <si>
    <t>KF-M05-3</t>
  </si>
  <si>
    <t>barrido: 380.234 – 622.401</t>
  </si>
  <si>
    <t>barrido: 0.500235 – 0.849316</t>
  </si>
  <si>
    <t>barrido: 0.40006 – 0.947691</t>
  </si>
  <si>
    <t>barrido: 0.403602 – 0.945484</t>
  </si>
  <si>
    <t>barrido: 0.400156 – 0.948884</t>
  </si>
  <si>
    <t>barrido: 0.402159 – 0.948596</t>
  </si>
  <si>
    <t>barrido: 0.404237 – 0.946851</t>
  </si>
  <si>
    <t>KF-M05-4</t>
  </si>
  <si>
    <t>barrido: 211.417 – 1985.57</t>
  </si>
  <si>
    <t>barrido: 0.502261 – 0.847941</t>
  </si>
  <si>
    <t>barrido: 0.403251 – 0.945781</t>
  </si>
  <si>
    <t>barrido: 0.400375 – 0.946613</t>
  </si>
  <si>
    <t>barrido: 0.40425 – 0.949578</t>
  </si>
  <si>
    <t>barrido: 0.400942 – 0.946597</t>
  </si>
  <si>
    <t>barrido: 0.402166 – 0.94675</t>
  </si>
  <si>
    <t>KF-M05-5</t>
  </si>
  <si>
    <t>barrido: 278.281 – 303.358</t>
  </si>
  <si>
    <t>barrido: 2023 – 4997.47</t>
  </si>
  <si>
    <t>barrido: 206.126 – 1999.26</t>
  </si>
  <si>
    <t>barrido: 0.403299 – 0.949946</t>
  </si>
  <si>
    <t>barrido: 0.403485 – 0.947603</t>
  </si>
  <si>
    <t>barrido: 0.404141 – 0.948736</t>
  </si>
  <si>
    <t>barrido: 0.402646 – 0.94725</t>
  </si>
  <si>
    <t>barrido: 0.401266 – 0.948251</t>
  </si>
  <si>
    <t>barrido: 385 – 410</t>
  </si>
  <si>
    <t>KF-M07-A1</t>
  </si>
  <si>
    <t>barrido: 424.097 – 448.097</t>
  </si>
  <si>
    <t>barrido: 278.15 – 281.638</t>
  </si>
  <si>
    <t>barrido: 3181.82 – 4681.82</t>
  </si>
  <si>
    <t>barrido: 588.34 – 1028.34</t>
  </si>
  <si>
    <t>barrido: 0.599749 – 0.704749</t>
  </si>
  <si>
    <t>barrido: 0.863483 – 0.95</t>
  </si>
  <si>
    <t>barrido: 0.691081 – 0.801081</t>
  </si>
  <si>
    <t>barrido: 0.622731 – 0.732731</t>
  </si>
  <si>
    <t>barrido: 0.88653 – 0.95</t>
  </si>
  <si>
    <t>barrido: 0.786826 – 0.896826</t>
  </si>
  <si>
    <t>KF-M07-A2</t>
  </si>
  <si>
    <t>barrido: 408 – 432</t>
  </si>
  <si>
    <t>barrido: 278.15 – 280.69</t>
  </si>
  <si>
    <t>barrido: 2700 – 3300</t>
  </si>
  <si>
    <t>barrido: 300 – 613.75</t>
  </si>
  <si>
    <t>barrido: 0.5 – 0.535</t>
  </si>
  <si>
    <t>barrido: 0.795 – 0.95</t>
  </si>
  <si>
    <t>barrido: 0.695 – 0.805</t>
  </si>
  <si>
    <t>barrido: 0.795 – 0.905</t>
  </si>
  <si>
    <t>barrido: 0.695 – 0.95</t>
  </si>
  <si>
    <t>barrido: 0.745 – 0.855</t>
  </si>
  <si>
    <t>KF-M07-A3</t>
  </si>
  <si>
    <t>barrido: 3605.95 – 5000</t>
  </si>
  <si>
    <t>barrido: 1139.56 – 1579.56</t>
  </si>
  <si>
    <t>barrido: 0.794478 – 0.85</t>
  </si>
  <si>
    <t>barrido: 0.781056 – 0.95</t>
  </si>
  <si>
    <t>barrido: 0.782534 – 0.892534</t>
  </si>
  <si>
    <t>barrido: 0.441366 – 0.551366</t>
  </si>
  <si>
    <t>barrido: 0.861678 – 0.95</t>
  </si>
  <si>
    <t>barrido: 0.890788 – 0.95</t>
  </si>
  <si>
    <t>KF-M07-A4</t>
  </si>
  <si>
    <t>barrido: 391 – 427</t>
  </si>
  <si>
    <t>barrido: 0.695 – 0.86</t>
  </si>
  <si>
    <t>barrido: 0.895 – 0.95</t>
  </si>
  <si>
    <t>KF-M07-A5</t>
  </si>
  <si>
    <t>barrido: 300.041 – 303.55</t>
  </si>
  <si>
    <t>barrido: 4508.34 – 5000</t>
  </si>
  <si>
    <t>barrido: 802.274 – 1462.27</t>
  </si>
  <si>
    <t>barrido: 0.867492 – 0.95</t>
  </si>
  <si>
    <t>barrido: 0.521066 – 0.631066</t>
  </si>
  <si>
    <t>barrido: 0.4 – 0.517302</t>
  </si>
  <si>
    <t>barrido: 0.4 – 0.685115</t>
  </si>
  <si>
    <t>barrido: 0.823416 – 0.933416</t>
  </si>
  <si>
    <t>KF-M06-VER</t>
  </si>
  <si>
    <t>barrido: 390 – 623.15</t>
  </si>
  <si>
    <t>barrido: 278.15 – 302.581</t>
  </si>
  <si>
    <t>barrido: 3000 – 5000</t>
  </si>
  <si>
    <t>barrido: 393.75 – 2494.53</t>
  </si>
  <si>
    <t>barrido: 0.5 – 0.85</t>
  </si>
  <si>
    <t>barrido: 0.78075 – 0.95</t>
  </si>
  <si>
    <t>barrido: 0.576066 – 0.871783</t>
  </si>
  <si>
    <t>barrido: 0.685115 – 0.95</t>
  </si>
  <si>
    <t>barrido: 0.8 – 0.95</t>
  </si>
  <si>
    <t>KF-M06-PISO</t>
  </si>
  <si>
    <t>fijo: 303.55</t>
  </si>
  <si>
    <t>KF-M06-SUB</t>
  </si>
  <si>
    <t>barrido: 393.75 – 2500</t>
  </si>
  <si>
    <t>KF-M09-R0-TF</t>
  </si>
  <si>
    <t>barrido: 278.344 – 303.376</t>
  </si>
  <si>
    <t>barrido: 2028.57 – 4974.75</t>
  </si>
  <si>
    <t>barrido: 310.761 – 1986.56</t>
  </si>
  <si>
    <t>barrido: 0.503397 – 0.849888</t>
  </si>
  <si>
    <t>barrido: 0.402288 – 0.949109</t>
  </si>
  <si>
    <t>barrido: 0.400204 – 0.94989</t>
  </si>
  <si>
    <t>barrido: 0.402751 – 0.945231</t>
  </si>
  <si>
    <t>barrido: 0.400958 – 0.948253</t>
  </si>
  <si>
    <t>barrido: 0.400592 – 0.949047</t>
  </si>
  <si>
    <t>KF-M09-R0-EF</t>
  </si>
  <si>
    <t>barrido: 380.438 – 519.56</t>
  </si>
  <si>
    <t>barrido: 278.188 – 303.528</t>
  </si>
  <si>
    <t>barrido: 2000.1 – 4999.52</t>
  </si>
  <si>
    <t>barrido: 310.675 – 1987</t>
  </si>
  <si>
    <t>barrido: 0.502398 – 0.847662</t>
  </si>
  <si>
    <t>KF-M09-R0-PA</t>
  </si>
  <si>
    <t>barrido: 380.828 – 519.225</t>
  </si>
  <si>
    <t>barrido: 278.18 – 303.381</t>
  </si>
  <si>
    <t>barrido: 302.713 – 1996.13</t>
  </si>
  <si>
    <t>barrido: 0.500418 – 0.847315</t>
  </si>
  <si>
    <t>barrido: 0.400005 – 0.94581</t>
  </si>
  <si>
    <t>barrido: 0.400638 – 0.945013</t>
  </si>
  <si>
    <t>barrido: 0.404197 – 0.949495</t>
  </si>
  <si>
    <t>barrido: 0.400361 – 0.947758</t>
  </si>
  <si>
    <t>barrido: 0.401597 – 0.945166</t>
  </si>
  <si>
    <t>KF-M09-R0-PB</t>
  </si>
  <si>
    <t>barrido: 380.174 – 519.32</t>
  </si>
  <si>
    <t>barrido: 278.201 – 303.38</t>
  </si>
  <si>
    <t>barrido: 2021.51 – 4978.35</t>
  </si>
  <si>
    <t>barrido: 0.501974 – 0.84661</t>
  </si>
  <si>
    <t>barrido: 0.405301 – 0.946598</t>
  </si>
  <si>
    <t>barrido: 0.404692 – 0.949946</t>
  </si>
  <si>
    <t>barrido: 0.401138 – 0.947534</t>
  </si>
  <si>
    <t>barrido: 0.401253 – 0.945947</t>
  </si>
  <si>
    <t>barrido: 0.402164 – 0.944624</t>
  </si>
  <si>
    <t>KF-M09-R0-TS</t>
  </si>
  <si>
    <t>barrido: 380.151 – 519.053</t>
  </si>
  <si>
    <t>barrido: 2007.35 – 4982.75</t>
  </si>
  <si>
    <t>barrido: 306.34 – 1990.7</t>
  </si>
  <si>
    <t>barrido: 0.50254 – 0.847062</t>
  </si>
  <si>
    <t>barrido: 0.405475 – 0.945276</t>
  </si>
  <si>
    <t>barrido: 0.400228 – 0.944989</t>
  </si>
  <si>
    <t>barrido: 0.403663 – 0.947828</t>
  </si>
  <si>
    <t>barrido: 0.402938 – 0.948362</t>
  </si>
  <si>
    <t>barrido: 0.400499 – 0.946093</t>
  </si>
  <si>
    <t>KF-M09-R0-XB</t>
  </si>
  <si>
    <t>barrido: 380.962 – 519.59</t>
  </si>
  <si>
    <t>barrido: 278.161 – 303.421</t>
  </si>
  <si>
    <t>barrido: 2022.35 – 4977.25</t>
  </si>
  <si>
    <t>barrido: 316.784 – 1998.76</t>
  </si>
  <si>
    <t>barrido: 0.401545 – 0.949561</t>
  </si>
  <si>
    <t>barrido: 0.401724 – 0.945897</t>
  </si>
  <si>
    <t>barrido: 0.401599 – 0.949613</t>
  </si>
  <si>
    <t>barrido: 0.402429 – 0.944798</t>
  </si>
  <si>
    <t>barrido: 0.403976 – 0.947693</t>
  </si>
  <si>
    <t>KF-M09-R1-XB_TF</t>
  </si>
  <si>
    <t>barrido: 278.848 – 302.949</t>
  </si>
  <si>
    <t>barrido: 2053.48 – 4944.13</t>
  </si>
  <si>
    <t>barrido: 340.403 – 1956.57</t>
  </si>
  <si>
    <t>barrido: 0.40522 – 0.947004</t>
  </si>
  <si>
    <t>barrido: 0.41022 – 0.939823</t>
  </si>
  <si>
    <t>barrido: 0.413797 – 0.935431</t>
  </si>
  <si>
    <t>barrido: 0.400784 – 0.939213</t>
  </si>
  <si>
    <t>barrido: 0.405791 – 0.944173</t>
  </si>
  <si>
    <t>KF-M09-R1-XB_EF</t>
  </si>
  <si>
    <t>barrido: 384.037 – 517.014</t>
  </si>
  <si>
    <t>barrido: 278.55 – 303.53</t>
  </si>
  <si>
    <t>barrido: 2057.91 – 4961.27</t>
  </si>
  <si>
    <t>barrido: 330.145 – 1943.5</t>
  </si>
  <si>
    <t>KF-M09-R1-XB_PA</t>
  </si>
  <si>
    <t>barrido: 382.6 – 518.065</t>
  </si>
  <si>
    <t>barrido: 278.393 – 302.731</t>
  </si>
  <si>
    <t>barrido: 342.086 – 1989.51</t>
  </si>
  <si>
    <t>barrido: 0.410945 – 0.935766</t>
  </si>
  <si>
    <t>barrido: 0.416423 – 0.946515</t>
  </si>
  <si>
    <t>barrido: 0.403456 – 0.945563</t>
  </si>
  <si>
    <t>barrido: 0.415539 – 0.933999</t>
  </si>
  <si>
    <t>barrido: 0.414188 – 0.945692</t>
  </si>
  <si>
    <t>KF-M09-R1-XB_PB</t>
  </si>
  <si>
    <t>barrido: 383.998 – 516.488</t>
  </si>
  <si>
    <t>barrido: 278.739 – 303.442</t>
  </si>
  <si>
    <t>barrido: 2074.92 – 4986.77</t>
  </si>
  <si>
    <t>barrido: 0.40304 – 0.948479</t>
  </si>
  <si>
    <t>barrido: 0.417836 – 0.947774</t>
  </si>
  <si>
    <t>barrido: 0.404429 – 0.942632</t>
  </si>
  <si>
    <t>barrido: 0.404476 – 0.940524</t>
  </si>
  <si>
    <t>barrido: 0.417173 – 0.942729</t>
  </si>
  <si>
    <t>KF-M09-R1-XB_TS</t>
  </si>
  <si>
    <t>barrido: 383.808 – 519.796</t>
  </si>
  <si>
    <t>barrido: 2083.43 – 4923.78</t>
  </si>
  <si>
    <t>barrido: 312.409 – 1972.61</t>
  </si>
  <si>
    <t>barrido: 0.401911 – 0.933327</t>
  </si>
  <si>
    <t>barrido: 0.413781 – 0.941285</t>
  </si>
  <si>
    <t>barrido: 0.417369 – 0.949934</t>
  </si>
  <si>
    <t>barrido: 0.412106 – 0.93198</t>
  </si>
  <si>
    <t>barrido: 0.414827 – 0.935609</t>
  </si>
  <si>
    <t>KF-M09-R2-XB_PA_TF</t>
  </si>
  <si>
    <t>barrido: 278.604 – 303.079</t>
  </si>
  <si>
    <t>barrido: 311.166 – 1974.73</t>
  </si>
  <si>
    <t>barrido: 0.405029 – 0.943342</t>
  </si>
  <si>
    <t>barrido: 0.407698 – 0.93892</t>
  </si>
  <si>
    <t>barrido: 0.40971 – 0.933939</t>
  </si>
  <si>
    <t>barrido: 0.409906 – 0.946414</t>
  </si>
  <si>
    <t>barrido: 0.410205 – 0.946098</t>
  </si>
  <si>
    <t>KF-M09-R2-XB_PA_EF</t>
  </si>
  <si>
    <t>barrido: 381.654 – 516.651</t>
  </si>
  <si>
    <t>barrido: 278.406 – 303.235</t>
  </si>
  <si>
    <t>barrido: 306.726 – 1963.08</t>
  </si>
  <si>
    <t>KF-M09-R2-XB_PA_PB</t>
  </si>
  <si>
    <t>barrido: 380.09 – 515.817</t>
  </si>
  <si>
    <t>barrido: 278.219 – 303.196</t>
  </si>
  <si>
    <t>barrido: 0.408142 – 0.949959</t>
  </si>
  <si>
    <t>barrido: 0.41112 – 0.94217</t>
  </si>
  <si>
    <t>barrido: 0.411196 – 0.936541</t>
  </si>
  <si>
    <t>barrido: 0.410692 – 0.939779</t>
  </si>
  <si>
    <t>barrido: 0.413089 – 0.948063</t>
  </si>
  <si>
    <t>KF-M09-R2-XB_PA_TS</t>
  </si>
  <si>
    <t>barrido: 383.95 – 517.819</t>
  </si>
  <si>
    <t>barrido: 338.076 – 1944.95</t>
  </si>
  <si>
    <t>barrido: 0.407797 – 0.93532</t>
  </si>
  <si>
    <t>barrido: 0.415917 – 0.941828</t>
  </si>
  <si>
    <t>barrido: 0.408675 – 0.948227</t>
  </si>
  <si>
    <t>barrido: 0.407654 – 0.936582</t>
  </si>
  <si>
    <t>barrido: 0.415951 – 0.937789</t>
  </si>
  <si>
    <t>KF-M09-R3-XB_PA_EF_TF</t>
  </si>
  <si>
    <t>barrido: 278.669 – 303.443</t>
  </si>
  <si>
    <t>barrido: 317.027 – 1948.29</t>
  </si>
  <si>
    <t>KF-M09-R3-XB_PA_EF_PB</t>
  </si>
  <si>
    <t>barrido: 384.24 – 519.842</t>
  </si>
  <si>
    <t>barrido: 278.206 – 303.384</t>
  </si>
  <si>
    <t>KF-M09-R3-XB_PA_EF_TS</t>
  </si>
  <si>
    <t>barrido: 381.62 – 516.043</t>
  </si>
  <si>
    <t>barrido: 333.586 – 1956.25</t>
  </si>
  <si>
    <t>KF-M09-HUS</t>
  </si>
  <si>
    <t>fijo: 394.15</t>
  </si>
  <si>
    <t>fijo: 278.15</t>
  </si>
  <si>
    <t>fijo: 3300</t>
  </si>
  <si>
    <t>barrido: 500 – 1000</t>
  </si>
  <si>
    <t>fijo: 0.82</t>
  </si>
  <si>
    <t>fijo: 0.9</t>
  </si>
  <si>
    <t>fijo: 0.8</t>
  </si>
  <si>
    <t>fijo: 0.95</t>
  </si>
  <si>
    <t>barrido: 278.15 – 283.15</t>
  </si>
  <si>
    <t>KF-M09-REAL</t>
  </si>
  <si>
    <t>barrido: 394.15 – 415</t>
  </si>
  <si>
    <t>barrido: 3000 – 3300</t>
  </si>
  <si>
    <t>barrido: 400 – 690</t>
  </si>
  <si>
    <t>barrido: 0.5 – 0.82</t>
  </si>
  <si>
    <t>barrido: 0.75 – 0.805</t>
  </si>
  <si>
    <t>barrido: 0.75 – 0.95</t>
  </si>
  <si>
    <t>barrido: 283.15 – 300.033</t>
  </si>
  <si>
    <t>fijo: real</t>
  </si>
  <si>
    <t>KF-M10-F3</t>
  </si>
  <si>
    <t>barrido: 3300 – 3500</t>
  </si>
  <si>
    <t>barrido: 670 – 1500</t>
  </si>
  <si>
    <t>barrido: 0.78 – 0.833333</t>
  </si>
  <si>
    <t>barrido: 0.85 – 0.98</t>
  </si>
  <si>
    <t>barrido: 0.95 – 0.99</t>
  </si>
  <si>
    <t>KF-M10-OFAT</t>
  </si>
  <si>
    <t>barrido: 380 – 430</t>
  </si>
  <si>
    <t>barrido: 273.15 – 293.15</t>
  </si>
  <si>
    <t>barrido: 2500 – 4000</t>
  </si>
  <si>
    <t>barrido: 500 – 1200</t>
  </si>
  <si>
    <t>barrido: 0.6 – 0.95</t>
  </si>
  <si>
    <t>barrido: 0.6 – 0.9</t>
  </si>
  <si>
    <t>barrido: 0.7 – 0.95</t>
  </si>
  <si>
    <t>fijo: 283.15</t>
  </si>
  <si>
    <t>KF-M10-MALLA</t>
  </si>
  <si>
    <t>barrido: 0.7 – 0.91</t>
  </si>
  <si>
    <t>KF-M10b-OFAT</t>
  </si>
  <si>
    <t>fijo: 690</t>
  </si>
  <si>
    <t>barrido: 0.3 – 0.7</t>
  </si>
  <si>
    <t>KF-M10b-MALLA</t>
  </si>
  <si>
    <t>barrido: 200 – 700</t>
  </si>
  <si>
    <t>Notas: n = 58 filas en la tabla. † = fuera del rango confiable (IAPWS G4-01); ‡ = falso convergido (N2). fijo: profesor = igual al dato del profesor; fijo: &lt;valor&gt; = fijo en otro valor; barrido: a – b = barrida en ese rango; vacío = sin dato en la fuente.</t>
  </si>
  <si>
    <t>TAB-G03 · Rangos KALINA comparados</t>
  </si>
  <si>
    <t>Filtro: solo KALINA confiables · Fuente: todos_los_puntos.csv</t>
  </si>
  <si>
    <t>Bloque</t>
  </si>
  <si>
    <t>Datos fijos</t>
  </si>
  <si>
    <t>Variable</t>
  </si>
  <si>
    <t>n KALINA confiables</t>
  </si>
  <si>
    <t>p5</t>
  </si>
  <si>
    <t>Mediana</t>
  </si>
  <si>
    <t>p95</t>
  </si>
  <si>
    <t>Datos fijos: m_b = 1 kg/s; motor de propiedades = teqp.</t>
  </si>
  <si>
    <t>Diferencia de presiones, ΔP [kPa]</t>
  </si>
  <si>
    <t>Razón de presiones, r_P [–]</t>
  </si>
  <si>
    <t>KF-M05 escenario S1</t>
  </si>
  <si>
    <t>B09-1</t>
  </si>
  <si>
    <t>Datos fijos: T_fuente = 623.15 K; T_sumidero = 300.03 K; m_b = 1 kg/s; piso de O2 = 300.03 K; motor de propiedades = teqp.</t>
  </si>
  <si>
    <t>KF-M05 escenario S2</t>
  </si>
  <si>
    <t>B09-2</t>
  </si>
  <si>
    <t>Datos fijos: P_alta = 3000 kPa; P_baja = 400 kPa; m_b = 1 kg/s; motor de propiedades = teqp.</t>
  </si>
  <si>
    <t>— (sin KALINA confiables)</t>
  </si>
  <si>
    <t>KF-M05 escenario S3</t>
  </si>
  <si>
    <t>B09-3</t>
  </si>
  <si>
    <t>Datos fijos: T_sumidero = 300.03 K; P_alta = 3000 kPa; P_baja = 400 kPa; m_b = 1 kg/s; piso de O2 = 300.03 K; motor de propiedades = teqp.</t>
  </si>
  <si>
    <t>KF-M05 escenario S4</t>
  </si>
  <si>
    <t>B09-4</t>
  </si>
  <si>
    <t>Datos fijos: T_fuente = 623.15 K; T_sumidero = 300.03 K; P_alta = 3000 kPa; m_b = 1 kg/s; piso de O2 = 300.03 K; motor de propiedades = teqp.</t>
  </si>
  <si>
    <t>KF-M05 escenario S5</t>
  </si>
  <si>
    <t>B09-5</t>
  </si>
  <si>
    <t>Datos fijos: T_fuente = 623.15 K; x_b = 0.5; m_b = 1 kg/s; motor de propiedades = teqp.</t>
  </si>
  <si>
    <t>Datos fijos: P_alta = 3000 kPa; P_baja = 400 kPa; x_b = 0.5; m_b = 1 kg/s; η_t = 0.85; η_p = 0.75; ε_HRVG = 0.85; ε_reg = 0.75; motor de propiedades = teqp.</t>
  </si>
  <si>
    <t>KF-M09 conjunto final XB+PA+EF+PB</t>
  </si>
  <si>
    <t>B13-XB_PA_EF_PB</t>
  </si>
  <si>
    <t>Datos fijos: P_alta = 3000 kPa; P_baja = 400 kPa; x_b = 0.5; m_b = 1 kg/s; η_t = 0.85; η_p = 0.75; ε_HRVG = 0.85; ε_reg = 0.75; ε_cond = 0.8; motor de propiedades = teqp.</t>
  </si>
  <si>
    <t>KF-M10 + KF-M10b malla</t>
  </si>
  <si>
    <t>Datos fijos: T_fuente = 394.15 K; T_sumidero = 278.15 K; P_alta = 3300 kPa; m_b = 1 kg/s; η_t = 0.9; η_p = 0.8; ε_HRVG = 0.85; ε_reg = 0.75; ε_cond = 0.95; piso de O2 = 283.15 K; motor de propiedades = teqp.</t>
  </si>
  <si>
    <t>Notas: n = 34 filas en la tabla. † = fuera del rango confiable (IAPWS G4-01); ‡ = falso convergido (N2). Cada caso tiene datos fijos distintos: comparar rangos entre filas, no puntos. Percentiles con numpy (método lineal).</t>
  </si>
  <si>
    <t>TAB-G04 · Datos del profesor conservables</t>
  </si>
  <si>
    <t>Filtro: conclusiones validadas por A4 · Fuente: fichas KF-M05c y KF-M09; validación A4</t>
  </si>
  <si>
    <t>Valor del profesor</t>
  </si>
  <si>
    <t>¿Se conserva con KALINA?</t>
  </si>
  <si>
    <t>Respaldo</t>
  </si>
  <si>
    <t>3000 kPa</t>
  </si>
  <si>
    <t>sí</t>
  </si>
  <si>
    <t>M9 (XB+PA+EF+PB), M5c</t>
  </si>
  <si>
    <t>400 kPa</t>
  </si>
  <si>
    <t>M9; con su clima de 300 K exige ε_cond ≥ 0.875 (M5c)</t>
  </si>
  <si>
    <t>0.50</t>
  </si>
  <si>
    <t>M9 (η hasta 10.6 %); con el ancla de Húsavík queda al límite, η &lt; 1.3 % (M10b)</t>
  </si>
  <si>
    <t>0.85</t>
  </si>
  <si>
    <t>M9 (grupo EF)</t>
  </si>
  <si>
    <t>0.75</t>
  </si>
  <si>
    <t>0.80</t>
  </si>
  <si>
    <t>sí, si el sitio es más frío (≤ ~293 K)</t>
  </si>
  <si>
    <t>M9; con 300 K hace falta ≥ 0.875 (M5c)</t>
  </si>
  <si>
    <t>300.03 K</t>
  </si>
  <si>
    <t>con condiciones: o se baja a 280–293 K, o se sube ε_cond</t>
  </si>
  <si>
    <t>M9, M5c</t>
  </si>
  <si>
    <t>623.15 K</t>
  </si>
  <si>
    <t>no (bloqueo estructural)</t>
  </si>
  <si>
    <t>M1, M2, M9 (0 confiables con TF)</t>
  </si>
  <si>
    <t>1 kg/s</t>
  </si>
  <si>
    <t>sí (base de cálculo)</t>
  </si>
  <si>
    <t>todas</t>
  </si>
  <si>
    <t xml:space="preserve">Notas: n = 11 filas en la tabla. † = fuera del rango confiable (IAPWS G4-01); ‡ = falso convergido (N2). </t>
  </si>
  <si>
    <t>TAB-G05 · Criterios de bloqueo por caso</t>
  </si>
  <si>
    <t>Filtro: genuinos que no son KALINA · Fuente: todos_los_puntos.csv</t>
  </si>
  <si>
    <t>Genuinos no KALINA</t>
  </si>
  <si>
    <t>O1 (n)</t>
  </si>
  <si>
    <t>O1 [%]</t>
  </si>
  <si>
    <t>O2 (n)</t>
  </si>
  <si>
    <t>O2 [%]</t>
  </si>
  <si>
    <t>O3 (n)</t>
  </si>
  <si>
    <t>O3 [%]</t>
  </si>
  <si>
    <t>O5 (n)</t>
  </si>
  <si>
    <t>O5 [%]</t>
  </si>
  <si>
    <t>Notas: n = 16 filas en la tabla. † = fuera del rango confiable (IAPWS G4-01); ‡ = falso convergido (N2). Un punto puede violar varios criterios: los % no suman 100. O1 título, O2 cavitación, O3 trabajo neto, O5 separador.</t>
  </si>
  <si>
    <t>TAB-M01-00 · Condiciones del caso M01</t>
  </si>
  <si>
    <t>Caso(s): KF-M01 · Bloque(s): B01</t>
  </si>
  <si>
    <t>Punto base: PP = punto del profesor (los 11 datos del enunciado; ver GLOSARIO)</t>
  </si>
  <si>
    <t>Datos fijos: T_fuente = 623.15 K; P_baja = 400 kPa; m_b = 1 kg/s; η_t = 0.85; η_p = 0.75; ε_HRVG = 0.85; ε_reg = 0.75; ε_cond = 0.8.</t>
  </si>
  <si>
    <t>Datos barridos: T_sumidero [297.95–303.55] K (23 valores); P_alta [2000–4000] kPa (9 valores); x_b [0.4–0.7] (7 valores); motor de propiedades (2 valores).</t>
  </si>
  <si>
    <t>Filtro: condiciones_por_subcaso (cada subcaso y variable) · Fuente: analisis_final/00_inventario/condiciones_por_subcaso.csv</t>
  </si>
  <si>
    <t>Estado</t>
  </si>
  <si>
    <t>Valor o rango</t>
  </si>
  <si>
    <t>n valores</t>
  </si>
  <si>
    <t>¿Igual al profesor?</t>
  </si>
  <si>
    <t>Fija</t>
  </si>
  <si>
    <t>623.15</t>
  </si>
  <si>
    <t>300.032917</t>
  </si>
  <si>
    <t>Barrida</t>
  </si>
  <si>
    <t>2000 – 4000</t>
  </si>
  <si>
    <t>400.0</t>
  </si>
  <si>
    <t>0.5</t>
  </si>
  <si>
    <t>1.0</t>
  </si>
  <si>
    <t>0.8</t>
  </si>
  <si>
    <t>Sin dato</t>
  </si>
  <si>
    <t>motor de propiedades</t>
  </si>
  <si>
    <t>teqp</t>
  </si>
  <si>
    <t>3000.0</t>
  </si>
  <si>
    <t xml:space="preserve"> – </t>
  </si>
  <si>
    <t>0.400 – 0.700</t>
  </si>
  <si>
    <t>297.9 – 303.6</t>
  </si>
  <si>
    <t xml:space="preserve">Notas: n = 52 filas en la tabla. † = fuera del rango confiable (IAPWS G4-01); ‡ = falso convergido (N2). </t>
  </si>
  <si>
    <t>TAB-M01-01 · Corridas por subcaso del caso M01</t>
  </si>
  <si>
    <t>Filtro: conteo_por_subcaso · Fuente: analisis_final/00_inventario/conteo_por_subcaso.csv</t>
  </si>
  <si>
    <t>Omitidos</t>
  </si>
  <si>
    <t>Genuinos</t>
  </si>
  <si>
    <t>Corregibles</t>
  </si>
  <si>
    <t>Inviables</t>
  </si>
  <si>
    <t>No convergidos</t>
  </si>
  <si>
    <t>Fuera de rango</t>
  </si>
  <si>
    <t xml:space="preserve">Notas: n = 4 filas en la tabla. † = fuera del rango confiable (IAPWS G4-01); ‡ = falso convergido (N2). </t>
  </si>
  <si>
    <t>TAB-M01-02 · Comparación antes y después de la F1</t>
  </si>
  <si>
    <t>Filtro: sin filtro (comparación punto a punto) · Fuente: resultados/2026-10-06_final_M1/m1_comparacion.csv</t>
  </si>
  <si>
    <t>Grupo</t>
  </si>
  <si>
    <t>Valor</t>
  </si>
  <si>
    <t>Clase (antes)</t>
  </si>
  <si>
    <t>Clase (ahora)</t>
  </si>
  <si>
    <t>Misma clase</t>
  </si>
  <si>
    <t>η (antes) [%]</t>
  </si>
  <si>
    <t>η (ahora) [%]</t>
  </si>
  <si>
    <t>Δη [pp]</t>
  </si>
  <si>
    <t>Mensaje (antes)</t>
  </si>
  <si>
    <t>Mensaje (ahora)</t>
  </si>
  <si>
    <t>base</t>
  </si>
  <si>
    <t>NO_CONVERGIO</t>
  </si>
  <si>
    <t>presupuesto de tiempo agotado: 1 evaluaciones de F en 316.5 s (presupuesto 300 s</t>
  </si>
  <si>
    <t>equilibrio_liquido_vapor(P=2000.0 kPa, T=623.0000091226806 K): no existe equilib</t>
  </si>
  <si>
    <t>extremos [301.0329, 307.1500] K sin cambio de signo de F (F(lo)=76.814, F(hi)=71</t>
  </si>
  <si>
    <t>equilibrio_liquido_vapor(P=2250.0 kPa, T=623.0000058142358 K): no existe equilib</t>
  </si>
  <si>
    <t>extremos [301.0329, 317.1500] K sin cambio de signo de F (F(lo)=79.155, F(hi)=65</t>
  </si>
  <si>
    <t>equilibrio_liquido_vapor(P=2500.0 kPa, T=623.0000024147047 K): no existe equilib</t>
  </si>
  <si>
    <t>extremos [301.0329, 327.1500] K sin cambio de signo de F (F(lo)=81.794, F(hi)=59</t>
  </si>
  <si>
    <t>equilibrio_liquido_vapor(P=2750.0 kPa, T=622.9999988927121 K): no existe equilib</t>
  </si>
  <si>
    <t>extremos [301.0329, 337.1500] K sin cambio de signo de F (F(lo)=84.509, F(hi)=52</t>
  </si>
  <si>
    <t>equilibrio_liquido_vapor(P=3000.0 kPa, T=622.9999953066318 K): no existe equilib</t>
  </si>
  <si>
    <t>extremos [301.0329, 347.1500] K sin cambio de signo de F (F(lo)=87.376, F(hi)=45</t>
  </si>
  <si>
    <t>equilibrio_liquido_vapor(P=3250.0 kPa, T=622.9999916547947 K): no existe equilib</t>
  </si>
  <si>
    <t>extremos [301.0329, 352.1500] K sin cambio de signo de F (F(lo)=90.346, F(hi)=43</t>
  </si>
  <si>
    <t>equilibrio_liquido_vapor(P=3500.0 kPa, T=622.9999884354551 K): no existe equilib</t>
  </si>
  <si>
    <t>extremos [301.0329, 362.1500] K sin cambio de signo de F (F(lo)=93.153, F(hi)=36</t>
  </si>
  <si>
    <t>equilibrio_liquido_vapor(P=3750.0 kPa, T=622.9999846467892 K): no existe equilib</t>
  </si>
  <si>
    <t>extremos [301.0329, 367.1500] K sin cambio de signo de F (F(lo)=93.01, F(hi)=33.</t>
  </si>
  <si>
    <t>equilibrio_liquido_vapor(P=4000.0 kPa, T=622.9999807869 K): no existe equilibrio</t>
  </si>
  <si>
    <t>extremos [301.0329, 372.1500] K sin cambio de signo de F (F(lo)=92.621, F(hi)=30</t>
  </si>
  <si>
    <t>equilibrio_liquido_vapor(P=3000.0 kPa, T=622.999986634595 K): no existe equilibr</t>
  </si>
  <si>
    <t>extremos [306.0329, 387.1500] K sin cambio de signo de F (F(lo)=92.575, F(hi)=21</t>
  </si>
  <si>
    <t>equilibrio_liquido_vapor(P=3000.0 kPa, T=622.9999908239907 K): no existe equilib</t>
  </si>
  <si>
    <t>extremos [301.0329, 367.1500] K sin cambio de signo de F (F(lo)=94.732, F(hi)=33</t>
  </si>
  <si>
    <t>equilibrio_liquido_vapor(P=3000.0 kPa, T=622.9999995938454 K): no existe equilib</t>
  </si>
  <si>
    <t>extremos [301.0329, 322.1500] K sin cambio de signo de F (F(lo)=85.287, F(hi)=66</t>
  </si>
  <si>
    <t>T_from_Ph(P, h, x): el motor teqp no cubre el estado pedido (ver TASK_CONTEXT 20</t>
  </si>
  <si>
    <t>sin dos extremos evaluables en el rango físico de T1 (repliegues_lo=64, repliegu</t>
  </si>
  <si>
    <t>T_amb</t>
  </si>
  <si>
    <t>extremos [300.4000, 347.1500] K sin cambio de signo de F (F(lo)=87.835, F(hi)=45</t>
  </si>
  <si>
    <t>extremos [300.2000, 347.1500] K sin cambio de signo de F (F(lo)=87.98, F(hi)=45.</t>
  </si>
  <si>
    <t>extremos [300.1000, 347.1500] K sin cambio de signo de F (F(lo)=88.053, F(hi)=45</t>
  </si>
  <si>
    <t>extremos [299.9500, 347.1500] K sin cambio de signo de F (F(lo)=88.162, F(hi)=45</t>
  </si>
  <si>
    <t>extremos [299.9000, 347.1500] K sin cambio de signo de F (F(lo)=88.198, F(hi)=45</t>
  </si>
  <si>
    <t>extremos [299.7000, 347.1500] K sin cambio de signo de F (F(lo)=88.343, F(hi)=45</t>
  </si>
  <si>
    <t>extremos [299.5000, 347.1500] K sin cambio de signo de F (F(lo)=88.489, F(hi)=45</t>
  </si>
  <si>
    <t>extremos [299.3000, 347.1500] K sin cambio de signo de F (F(lo)=88.634, F(hi)=45</t>
  </si>
  <si>
    <t>extremos [299.2000, 347.1500] K sin cambio de signo de F (F(lo)=88.707, F(hi)=45</t>
  </si>
  <si>
    <t>extremos [299.0000, 347.1500] K sin cambio de signo de F (F(lo)=88.853, F(hi)=45</t>
  </si>
  <si>
    <t>extremos [298.9500, 347.1500] K sin cambio de signo de F (F(lo)=88.889, F(hi)=45</t>
  </si>
  <si>
    <t>extremos [299.6500, 347.1500] K sin cambio de signo de F (F(lo)=88.38, F(hi)=45.</t>
  </si>
  <si>
    <t>extremos [301.4850, 347.1500] K sin cambio de signo de F (F(lo)=87.048, F(hi)=45</t>
  </si>
  <si>
    <t>extremos [302.5500, 347.1500] K sin cambio de signo de F (F(lo)=86.277, F(hi)=46</t>
  </si>
  <si>
    <t>extremos [303.4000, 347.1500] K sin cambio de signo de F (F(lo)=85.664, F(hi)=46</t>
  </si>
  <si>
    <t>extremos [304.1000, 347.1500] K sin cambio de signo de F (F(lo)=85.193, F(hi)=46</t>
  </si>
  <si>
    <t>extremos [304.5500, 347.1500] K sin cambio de signo de F (F(lo)=84.9, F(hi)=46.9</t>
  </si>
  <si>
    <t>extremos [303.9000, 347.1500] K sin cambio de signo de F (F(lo)=85.323, F(hi)=46</t>
  </si>
  <si>
    <t>extremos [303.2500, 347.1500] K sin cambio de signo de F (F(lo)=85.772, F(hi)=46</t>
  </si>
  <si>
    <t>extremos [302.6550, 347.1500] K sin cambio de signo de F (F(lo)=86.202, F(hi)=46</t>
  </si>
  <si>
    <t>extremos [301.9000, 347.1500] K sin cambio de signo de F (F(lo)=86.748, F(hi)=46</t>
  </si>
  <si>
    <t>extremos [300.8000, 347.1500] K sin cambio de signo de F (F(lo)=87.545, F(hi)=45</t>
  </si>
  <si>
    <t>extremos [300.1500, 347.1500] K sin cambio de signo de F (F(lo)=88.016, F(hi)=45</t>
  </si>
  <si>
    <t xml:space="preserve">Notas: n = 41 filas en la tabla. † = fuera del rango confiable (IAPWS G4-01); ‡ = falso convergido (N2). </t>
  </si>
  <si>
    <t>TAB-M02-N1-00 · Condiciones del caso M02-N1</t>
  </si>
  <si>
    <t>Caso(s): KF-M02-N1 · Bloque(s): B02</t>
  </si>
  <si>
    <t>Punto base: PP = punto del profesor; se mueve una variable a la vez</t>
  </si>
  <si>
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</si>
  <si>
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</si>
  <si>
    <t>Valor en el punto base</t>
  </si>
  <si>
    <t>Una a la vez</t>
  </si>
  <si>
    <t>340.0 – 623.1</t>
  </si>
  <si>
    <t>283.1 – 303.6</t>
  </si>
  <si>
    <t>1000 – 10000</t>
  </si>
  <si>
    <t>150.0 – 1500</t>
  </si>
  <si>
    <t>0.300 – 0.900</t>
  </si>
  <si>
    <t>0.750 – 0.900</t>
  </si>
  <si>
    <t>0.650 – 0.850</t>
  </si>
  <si>
    <t>0.750 – 0.850</t>
  </si>
  <si>
    <t xml:space="preserve">Notas: n = 13 filas en la tabla. † = fuera del rango confiable (IAPWS G4-01); ‡ = falso convergido (N2). </t>
  </si>
  <si>
    <t>TAB-M02-N1-01 · Corridas por subcaso del caso M02-N1</t>
  </si>
  <si>
    <t xml:space="preserve">Notas: n = 1 filas en la tabla. † = fuera del rango confiable (IAPWS G4-01); ‡ = falso convergido (N2). </t>
  </si>
  <si>
    <t>TAB-M02-N1-02 · Distancia al punto del profesor moviendo una variable a la vez</t>
  </si>
  <si>
    <t>Filtro: todos los puntos del barrido OAT · Fuente: resultados/2026-10-06_final_M2/m2n1_resumen.csv</t>
  </si>
  <si>
    <t>Tipo</t>
  </si>
  <si>
    <t>Convergen</t>
  </si>
  <si>
    <t>Valor convergido más cercano al PP</t>
  </si>
  <si>
    <t>Valor KALINA más cercano al PP</t>
  </si>
  <si>
    <t>d normalizado</t>
  </si>
  <si>
    <t>D mínimo</t>
  </si>
  <si>
    <t>Valor de D mínimo</t>
  </si>
  <si>
    <t>Criterios bloqueantes frecuentes</t>
  </si>
  <si>
    <t>diseño</t>
  </si>
  <si>
    <t>C3(26) · N2(13) · O1(13) · O2(13) · O5(13) · C1(13)</t>
  </si>
  <si>
    <t>O1(2) · O2(2) · O5(2) · C3(2) · N2(1) · C1(1)</t>
  </si>
  <si>
    <t>O1(9) · O2(9) · C3(4) · N2(2) · O5(2) · C1(2)</t>
  </si>
  <si>
    <t>sitio</t>
  </si>
  <si>
    <t>C3(10) · O2(9) · O5(6) · N2(5) · C1(5) · O1(5) · S6(3) · O3(3)</t>
  </si>
  <si>
    <t xml:space="preserve">Notas: n = 10 filas en la tabla. † = fuera del rango confiable (IAPWS G4-01); ‡ = falso convergido (N2). </t>
  </si>
  <si>
    <t>TAB-M02-N2-00 · Condiciones del caso M02-N2</t>
  </si>
  <si>
    <t>Caso(s): KF-M02-N2 · Bloque(s): B03-A, B03-B</t>
  </si>
  <si>
    <t>Punto base: PP = punto del profesor salvo el par movido</t>
  </si>
  <si>
    <t>Bloque B03-A (KF-M02-N2-A):</t>
  </si>
  <si>
    <t>Datos fijos: T_fuente = 623.15 K; T_sumidero = 300.03 K; P_alta = 3000 kPa; x_b = 0.5; m_b = 1 kg/s; η_t = 0.85; η_p = 0.75; ε_reg = 0.75; ε_cond = 0.8; motor de propiedades = teqp.</t>
  </si>
  <si>
    <t>Datos barridos: P_baja [400–2000] kPa (12 valores); ε_HRVG [0.75–0.81] (3 valores).</t>
  </si>
  <si>
    <t>Bloque B03-B (KF-M02-N2-B):</t>
  </si>
  <si>
    <t>Datos fijos: T_sumidero = 300.03 K; P_alta = 3000 kPa; x_b = 0.5; m_b = 1 kg/s; η_t = 0.85; η_p = 0.75; ε_HRVG = 0.85; ε_reg = 0.75; ε_cond = 0.8; motor de propiedades = teqp.</t>
  </si>
  <si>
    <t>Datos barridos: T_fuente [380–560] K (9 valores); P_baja [400–2000] kPa (32 valores).</t>
  </si>
  <si>
    <t>400.0 – 2000</t>
  </si>
  <si>
    <t>0.750 – 0.810</t>
  </si>
  <si>
    <t>380.0 – 560.0</t>
  </si>
  <si>
    <t xml:space="preserve">Notas: n = 26 filas en la tabla. † = fuera del rango confiable (IAPWS G4-01); ‡ = falso convergido (N2). </t>
  </si>
  <si>
    <t>TAB-M02-N2-01 · Corridas por subcaso del caso M02-N2</t>
  </si>
  <si>
    <t xml:space="preserve">Notas: n = 2 filas en la tabla. † = fuera del rango confiable (IAPWS G4-01); ‡ = falso convergido (N2). </t>
  </si>
  <si>
    <t>TAB-M02-N2-02 · Resumen de la malla de dos cambios</t>
  </si>
  <si>
    <t>Filtro: todos los puntos de la malla · Fuente: resultados/2026-10-06_final_M2/m2n2_resumen.csv</t>
  </si>
  <si>
    <t>Ruta</t>
  </si>
  <si>
    <t>Variable 1</t>
  </si>
  <si>
    <t>Valor 1</t>
  </si>
  <si>
    <t>P_baja mínima KALINA [kPa]</t>
  </si>
  <si>
    <t>η mínima KALINA [%]</t>
  </si>
  <si>
    <t>Fuera de rango en la mínima KALINA</t>
  </si>
  <si>
    <t>P_baja mínima con O2 [kPa]</t>
  </si>
  <si>
    <t>P_baja del mejor D [kPa]</t>
  </si>
  <si>
    <t>A</t>
  </si>
  <si>
    <t>O2(12) · O1(1)</t>
  </si>
  <si>
    <t>B</t>
  </si>
  <si>
    <t>no</t>
  </si>
  <si>
    <t>O2(3)</t>
  </si>
  <si>
    <t>O2(4)</t>
  </si>
  <si>
    <t>O2(5)</t>
  </si>
  <si>
    <t>O2(10)</t>
  </si>
  <si>
    <t>O2(12)</t>
  </si>
  <si>
    <t xml:space="preserve">Notas: n = 12 filas en la tabla. † = fuera del rango confiable (IAPWS G4-01); ‡ = falso convergido (N2). </t>
  </si>
  <si>
    <t>TAB-M02R-00 · Condiciones del caso M02R</t>
  </si>
  <si>
    <t>Caso(s): KF-M02R · Bloque(s): B04-n1, B04-n2a, B04-n2b, B04-n3</t>
  </si>
  <si>
    <t>Punto base: PP = punto del profesor con η/ε dentro de [0.40, 0.95]</t>
  </si>
  <si>
    <t>Bloque B04-n1 (KF-M02R-n1):</t>
  </si>
  <si>
    <t>Datos fijos: T_fuente = 623.15 K; T_sumidero = 300.03 K; P_alta = 3000 kPa; P_baja = 400 kPa; x_b = 0.5; m_b = 1 kg/s; motor de propiedades = teqp.</t>
  </si>
  <si>
    <t>Datos barridos: η_t [0.4–0.95] (12 valores); η_p [0.4–0.95] (12 valores); ε_HRVG [0.4–0.95] (32 valores); ε_reg [0.4–0.95] (12 valores); ε_cond [0.4–0.95] (12 valores).</t>
  </si>
  <si>
    <t>Bloque B04-n2a (KF-M02R-n2a):</t>
  </si>
  <si>
    <t>Datos fijos: T_fuente = 623.15 K; T_sumidero = 300.03 K; P_alta = 3000 kPa; P_baja = 400 kPa; x_b = 0.5; m_b = 1 kg/s; η_t = 0.85; η_p = 0.75; ε_reg = 0.75; motor de propiedades = teqp.</t>
  </si>
  <si>
    <t>Datos barridos: ε_HRVG [0.4–0.8] (5 valores); ε_cond [0.4–0.95] (12 valores).</t>
  </si>
  <si>
    <t>Bloque B04-n2b (KF-M02R-n2b):</t>
  </si>
  <si>
    <t>Datos barridos: P_baja [400–2000] kPa (20 valores); ε_HRVG [0.4–0.7] (4 valores).</t>
  </si>
  <si>
    <t>Bloque B04-n3 (KF-M02R-n3):</t>
  </si>
  <si>
    <t>Datos fijos: T_sumidero = 300.03 K; P_alta = 3000 kPa; P_baja = 400 kPa; x_b = 0.5; m_b = 1 kg/s; η_t = 0.85; η_p = 0.75; ε_HRVG = 0.85; ε_reg = 0.75; motor de propiedades = teqp.</t>
  </si>
  <si>
    <t>Datos barridos: T_fuente [403–560] K (7 valores); ε_cond [0.85–0.95] (3 valores).</t>
  </si>
  <si>
    <t>0.400 – 0.950</t>
  </si>
  <si>
    <t>0.400 – 0.800</t>
  </si>
  <si>
    <t>403.0 – 560.0</t>
  </si>
  <si>
    <t>0.850 – 0.950</t>
  </si>
  <si>
    <t>TAB-M02R-01 · Corridas por subcaso del caso M02R</t>
  </si>
  <si>
    <t>TAB-M02R-02 · Malla con η y ε en [0.40, 0.95]</t>
  </si>
  <si>
    <t>Filtro: todos los puntos de la malla · Fuente: resultados/2026-10-06_final_M2R/m2r_resumen.csv</t>
  </si>
  <si>
    <t>Parte</t>
  </si>
  <si>
    <t>Variable 2</t>
  </si>
  <si>
    <t>d menor</t>
  </si>
  <si>
    <t>Valor 1 del d menor</t>
  </si>
  <si>
    <t>Valor 2 del d menor</t>
  </si>
  <si>
    <t>η en el d menor [%]</t>
  </si>
  <si>
    <t>η mayor [%]</t>
  </si>
  <si>
    <t>Valor 1 de la η mayor</t>
  </si>
  <si>
    <t>Valor 2 de la η mayor</t>
  </si>
  <si>
    <t>Bloqueantes</t>
  </si>
  <si>
    <t>n1</t>
  </si>
  <si>
    <t>O2(24) · O1(4)</t>
  </si>
  <si>
    <t>n2a</t>
  </si>
  <si>
    <t>O2(11)</t>
  </si>
  <si>
    <t>O2(9) · O1(3)</t>
  </si>
  <si>
    <t>O1(4) · O2(4)</t>
  </si>
  <si>
    <t>n2b</t>
  </si>
  <si>
    <t>O2(8)</t>
  </si>
  <si>
    <t>O2(9)</t>
  </si>
  <si>
    <t>n3</t>
  </si>
  <si>
    <t>O2(2)</t>
  </si>
  <si>
    <t>O2(3) · S3(1)</t>
  </si>
  <si>
    <t>O2(3) · O1(2)</t>
  </si>
  <si>
    <t>O1(3) · O2(3)</t>
  </si>
  <si>
    <t xml:space="preserve">Notas: n = 21 filas en la tabla. † = fuera del rango confiable (IAPWS G4-01); ‡ = falso convergido (N2). </t>
  </si>
  <si>
    <t>TAB-M02S-00 · Condiciones del caso M02S</t>
  </si>
  <si>
    <t>Caso(s): KF-M02S · Bloque(s): B05-B1, B05-B2, B05-B3, B05-B4</t>
  </si>
  <si>
    <t>Punto base: B1 a B4 = cuatro bases distintas (una por subcaso)</t>
  </si>
  <si>
    <t>Bloque B05-B1 (KF-M02S-B1):</t>
  </si>
  <si>
    <t>Datos fijos: T_fuente = 403 K; P_alta = 3000 kPa; x_b = 0.5; m_b = 1 kg/s; η_t = 0.85; η_p = 0.75; ε_HRVG = 0.85; ε_reg = 0.75; ε_cond = 0.8; motor de propiedades = teqp.</t>
  </si>
  <si>
    <t>Datos barridos: T_sumidero [278.15–300.03] K (5 valores); P_baja [150–1500] kPa (28 valores); piso de O2 [278.15–300.03] K (5 valores).</t>
  </si>
  <si>
    <t>Bloque B05-B2 (KF-M02S-B2):</t>
  </si>
  <si>
    <t>Datos fijos: T_fuente = 420 K; P_alta = 3000 kPa; x_b = 0.5; m_b = 1 kg/s; η_t = 0.85; η_p = 0.75; ε_HRVG = 0.85; ε_reg = 0.75; ε_cond = 0.8; motor de propiedades = teqp.</t>
  </si>
  <si>
    <t>Bloque B05-B3 (KF-M02S-B3):</t>
  </si>
  <si>
    <t>Datos fijos: T_fuente = 623.15 K; P_alta = 3000 kPa; x_b = 0.5; m_b = 1 kg/s; η_t = 0.85; η_p = 0.75; ε_HRVG = 0.4; ε_reg = 0.75; ε_cond = 0.8; motor de propiedades = teqp.</t>
  </si>
  <si>
    <t>Datos barridos: T_sumidero [278.15–300.03] K (5 valores); P_baja [150–1500] kPa (30 valores); piso de O2 [278.15–300.03] K (5 valores).</t>
  </si>
  <si>
    <t>Bloque B05-B4 (KF-M02S-B4):</t>
  </si>
  <si>
    <t>Datos fijos: T_fuente = 623.15 K; P_alta = 3000 kPa; x_b = 0.5; m_b = 1 kg/s; η_t = 0.85; η_p = 0.75; ε_HRVG = 0.85; ε_reg = 0.75; ε_cond = 0.8; motor de propiedades = teqp.</t>
  </si>
  <si>
    <t>Datos barridos: T_sumidero [278.15–300.03] K (5 valores); P_baja [150–1500] kPa (10 valores); piso de O2 [278.15–300.03] K (5 valores).</t>
  </si>
  <si>
    <t>403.0</t>
  </si>
  <si>
    <t>278.1 – 300.0</t>
  </si>
  <si>
    <t>420.0</t>
  </si>
  <si>
    <t>0.4</t>
  </si>
  <si>
    <t>TAB-M02S-01 · Corridas por subcaso del caso M02S</t>
  </si>
  <si>
    <t>TAB-M02S-02 · Malla T_sumidero x P_baja por base</t>
  </si>
  <si>
    <t>Filtro: todos los puntos de la malla · Fuente: resultados/2026-10-06_final_M2S/m2s_resumen.csv</t>
  </si>
  <si>
    <t>Base</t>
  </si>
  <si>
    <t>B verificado en la mínima KALINA</t>
  </si>
  <si>
    <t>η máxima KALINA [%]</t>
  </si>
  <si>
    <t>P_baja en la η máxima KALINA [kPa]</t>
  </si>
  <si>
    <t>Bloqueantes (genuinos)</t>
  </si>
  <si>
    <t>Códigos de bloqueo</t>
  </si>
  <si>
    <t>B1</t>
  </si>
  <si>
    <t>CORREGIBLE(7)</t>
  </si>
  <si>
    <t>O2(7)</t>
  </si>
  <si>
    <t>CORREGIBLE(6)</t>
  </si>
  <si>
    <t>O2(6)</t>
  </si>
  <si>
    <t>CORREGIBLE(2) · INVIABLE(1)</t>
  </si>
  <si>
    <t>O2(3) · O3(1)</t>
  </si>
  <si>
    <t>CORREGIBLE(8) · INVIABLE(1)</t>
  </si>
  <si>
    <t>O2(9) · O3(1)</t>
  </si>
  <si>
    <t>B2</t>
  </si>
  <si>
    <t>O2(6) · O1(1)</t>
  </si>
  <si>
    <t>CORREGIBLE(3)</t>
  </si>
  <si>
    <t>O2(3) · O1(1)</t>
  </si>
  <si>
    <t>CORREGIBLE(5)</t>
  </si>
  <si>
    <t>O2(5) · O1(1)</t>
  </si>
  <si>
    <t>CORREGIBLE(9) · INVIABLE(1)</t>
  </si>
  <si>
    <t>O2(10) · O1(1) · O3(1)</t>
  </si>
  <si>
    <t>B3</t>
  </si>
  <si>
    <t>CORREGIBLE(11)</t>
  </si>
  <si>
    <t>O2(11) · O1(1)</t>
  </si>
  <si>
    <t>O2(11) · O1(2)</t>
  </si>
  <si>
    <t>CORREGIBLE(8)</t>
  </si>
  <si>
    <t>O2(8) · O1(2)</t>
  </si>
  <si>
    <t>CORREGIBLE(14)</t>
  </si>
  <si>
    <t>O2(14) · O1(2)</t>
  </si>
  <si>
    <t>B4</t>
  </si>
  <si>
    <t xml:space="preserve">Notas: n = 20 filas en la tabla. † = fuera del rango confiable (IAPWS G4-01); ‡ = falso convergido (N2). </t>
  </si>
  <si>
    <t>TAB-M03-00 · Condiciones del caso M03</t>
  </si>
  <si>
    <t>Caso(s): KF-M03 · Bloque(s): B06</t>
  </si>
  <si>
    <t>Punto base: A* = punto del profesor con T_fuente = 403 K y P_baja = 563.64 kPa</t>
  </si>
  <si>
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</si>
  <si>
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</si>
  <si>
    <t>TAB-M03-01 · Corridas por subcaso del caso M03</t>
  </si>
  <si>
    <t>TAB-M03-02 · Influencia y margen por variable (Δη y O2)</t>
  </si>
  <si>
    <t>Filtro: puntos genuinos con W_net &gt; 0 de la malla B06 · Fuente: canónico + m3_resumen.csv + m3_cruces.csv</t>
  </si>
  <si>
    <t>Rango explorado</t>
  </si>
  <si>
    <t>Valor en A*</t>
  </si>
  <si>
    <t>Elasticidad E en A*</t>
  </si>
  <si>
    <t>Δη (genuinos) [pp]</t>
  </si>
  <si>
    <t>η máx. KALINA en la malla [%]</t>
  </si>
  <si>
    <t>Valor de esa η máx.</t>
  </si>
  <si>
    <t>Zona KALINA</t>
  </si>
  <si>
    <t>Criterios que bloquean</t>
  </si>
  <si>
    <t>Distancia a la frontera de O2 [–]</t>
  </si>
  <si>
    <t>400.7 – 400.7</t>
  </si>
  <si>
    <t>0.471 – 0.471</t>
  </si>
  <si>
    <t>O2(9) · O3(3)</t>
  </si>
  <si>
    <t>283.1 – 299.2</t>
  </si>
  <si>
    <t>3571 – 3571</t>
  </si>
  <si>
    <t>0.675 – 0.950</t>
  </si>
  <si>
    <t>0.754 – 0.950</t>
  </si>
  <si>
    <t>0.400 – 0.832</t>
  </si>
  <si>
    <t>632.1 – 1500</t>
  </si>
  <si>
    <t>O2(5) · O3(1)</t>
  </si>
  <si>
    <t>0.832 – 0.950</t>
  </si>
  <si>
    <t>ninguno</t>
  </si>
  <si>
    <t>Notas: n = 10 filas en la tabla. † = fuera del rango confiable (IAPWS G4-01); ‡ = falso convergido (N2). Ordenado por |E| de mayor a menor. η máx. KALINA: solo los 15 puntos de la malla (sin A* ni sus vecinos ±1 %), como en la nota del director de REPORTE_M3 §11.</t>
  </si>
  <si>
    <t>TAB-M04-00 · Condiciones del caso M04</t>
  </si>
  <si>
    <t>Caso(s): KF-M04 · Bloque(s): B07</t>
  </si>
  <si>
    <t>Punto base: caja M4 = las 10 variables barridas dentro de su caja (ver TAB-M04-00)</t>
  </si>
  <si>
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</si>
  <si>
    <t>380.2 – 499.9</t>
  </si>
  <si>
    <t>278.2 – 303.5</t>
  </si>
  <si>
    <t>2005 – 4991</t>
  </si>
  <si>
    <t>302.9 – 1498</t>
  </si>
  <si>
    <t>0.500 – 0.850</t>
  </si>
  <si>
    <t>0.750 – 0.920</t>
  </si>
  <si>
    <t>0.650 – 0.899</t>
  </si>
  <si>
    <t>0.600 – 0.949</t>
  </si>
  <si>
    <t>0.601 – 0.950</t>
  </si>
  <si>
    <t>0.700 – 0.949</t>
  </si>
  <si>
    <t>TAB-M04-01 · Corridas por subcaso del caso M04</t>
  </si>
  <si>
    <t>TAB-M04-02 · Separación KALINA / no KALINA (RSA y KS)</t>
  </si>
  <si>
    <t>Caso(s): KF-M04 + KF-M04b · Bloque(s): B07</t>
  </si>
  <si>
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</si>
  <si>
    <t>Filtro: todos los puntos de la caja M4 · Fuente: resultados/2026-10-07_final_M4b/m4b_rsa.csv</t>
  </si>
  <si>
    <t>Separación</t>
  </si>
  <si>
    <t>n en B (KALINA)</t>
  </si>
  <si>
    <t>n en B̄ (no KALINA)</t>
  </si>
  <si>
    <t>n excluidos</t>
  </si>
  <si>
    <t>KS</t>
  </si>
  <si>
    <t>Valor p</t>
  </si>
  <si>
    <t>IC inferior</t>
  </si>
  <si>
    <t>IC superior</t>
  </si>
  <si>
    <t>Rango favorable, p05</t>
  </si>
  <si>
    <t>Rango favorable, p95</t>
  </si>
  <si>
    <t>dP</t>
  </si>
  <si>
    <t>rP</t>
  </si>
  <si>
    <t>dT_fs</t>
  </si>
  <si>
    <t>converge</t>
  </si>
  <si>
    <t>cumple_O2</t>
  </si>
  <si>
    <t>cumple_O1</t>
  </si>
  <si>
    <t>TAB-M04-03 · Influencia de cada variable sobre η (PRCC)</t>
  </si>
  <si>
    <t>Filtro: todos los puntos de la caja M4 · Fuente: resultados/2026-10-07_final_M4b/m4b_prcc.csv</t>
  </si>
  <si>
    <t>Salida</t>
  </si>
  <si>
    <t>N</t>
  </si>
  <si>
    <t>PRCC</t>
  </si>
  <si>
    <t>t de Student</t>
  </si>
  <si>
    <t>eta</t>
  </si>
  <si>
    <t>m_O1</t>
  </si>
  <si>
    <t>m_O2</t>
  </si>
  <si>
    <t>m_O5</t>
  </si>
  <si>
    <t xml:space="preserve">Notas: n = 40 filas en la tabla. † = fuera del rango confiable (IAPWS G4-01); ‡ = falso convergido (N2). </t>
  </si>
  <si>
    <t>TAB-M04-04 · Rangos de presión de los KALINA</t>
  </si>
  <si>
    <t>Filtro: todos los KALINA (121, incluidos los fuera de rango) contra los genuinos no KALINA (331) · Fuente: resultados/2026-10-07_final_M4b/m4b_rangos_presiones.csv</t>
  </si>
  <si>
    <t>Mínimo</t>
  </si>
  <si>
    <t>Percentil 5</t>
  </si>
  <si>
    <t>Percentil 95</t>
  </si>
  <si>
    <t>Máximo</t>
  </si>
  <si>
    <t>no_KALINA_genuino</t>
  </si>
  <si>
    <t xml:space="preserve">Notas: n = 8 filas en la tabla. † = fuera del rango confiable (IAPWS G4-01); ‡ = falso convergido (N2). </t>
  </si>
  <si>
    <t>TAB-M04-05 · Ventana KALINA por franjas de P_alta</t>
  </si>
  <si>
    <t>Filtro: puntos genuinos de la caja M4 · Fuente: resultados/2026-10-07_final_M4b/m4b_ventana_por_palta.csv</t>
  </si>
  <si>
    <t>Franja</t>
  </si>
  <si>
    <t>Límite inferior</t>
  </si>
  <si>
    <t>Límite superior</t>
  </si>
  <si>
    <t>KALINA [%]</t>
  </si>
  <si>
    <t>P_baja mínima [kPa]</t>
  </si>
  <si>
    <t>P_baja máxima [kPa]</t>
  </si>
  <si>
    <t>ΔP mínima [kPa]</t>
  </si>
  <si>
    <t>ΔP máxima [kPa]</t>
  </si>
  <si>
    <t>r_P mínima [–]</t>
  </si>
  <si>
    <t>r_P máxima [–]</t>
  </si>
  <si>
    <t xml:space="preserve">Notas: n = 6 filas en la tabla. † = fuera del rango confiable (IAPWS G4-01); ‡ = falso convergido (N2). </t>
  </si>
  <si>
    <t>TAB-M04-06 · Ventana KALINA por franjas de T_fuente</t>
  </si>
  <si>
    <t>Filtro: puntos genuinos de la caja M4 · Fuente: resultados/2026-10-07_final_M4b/m4b_ventana_por_tfuente.csv</t>
  </si>
  <si>
    <t>TAB-M04-07 · Ventana KALINA por franjas de T_sumidero</t>
  </si>
  <si>
    <t>Filtro: puntos genuinos de la caja M4 · Fuente: resultados/2026-10-07_final_M4b/m4b_ventana_por_tsumidero.csv</t>
  </si>
  <si>
    <t>TAB-M04b-00 · Condiciones del caso M04b</t>
  </si>
  <si>
    <t>Caso(s): KF-M04b · Bloque(s): B07</t>
  </si>
  <si>
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</si>
  <si>
    <t>380.3 – 499.5</t>
  </si>
  <si>
    <t>2010 – 4987</t>
  </si>
  <si>
    <t>304.7 – 1497</t>
  </si>
  <si>
    <t>0.500 – 0.849</t>
  </si>
  <si>
    <t>0.651 – 0.899</t>
  </si>
  <si>
    <t>0.601 – 0.948</t>
  </si>
  <si>
    <t>0.602 – 0.949</t>
  </si>
  <si>
    <t>0.701 – 0.949</t>
  </si>
  <si>
    <t>TAB-M04b-01 · Corridas por subcaso del caso M04b</t>
  </si>
  <si>
    <t>TAB-M04c-00 · Condiciones del caso M04c</t>
  </si>
  <si>
    <t>Caso(s): KF-M04c · Bloque(s): B08</t>
  </si>
  <si>
    <t>Punto base: caja M4 con P_baja dentro de 1500 a 2500 kPa</t>
  </si>
  <si>
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</si>
  <si>
    <t>380.7 – 499.8</t>
  </si>
  <si>
    <t>278.3 – 303.4</t>
  </si>
  <si>
    <t>2016 – 4996</t>
  </si>
  <si>
    <t>1501 – 2495</t>
  </si>
  <si>
    <t>0.502 – 0.850</t>
  </si>
  <si>
    <t>0.751 – 0.919</t>
  </si>
  <si>
    <t>0.651 – 0.900</t>
  </si>
  <si>
    <t>0.600 – 0.948</t>
  </si>
  <si>
    <t>0.700 – 0.950</t>
  </si>
  <si>
    <t>TAB-M04c-01 · Corridas por subcaso del caso M04c</t>
  </si>
  <si>
    <t>TAB-M04c-02 · Techo de P_baja antes de cortar KALINA</t>
  </si>
  <si>
    <t>Filtro: todos los puntos del barrido de P_baja · Fuente: resultados/2026-10-07_final_M4c/m4c_techo.csv</t>
  </si>
  <si>
    <t>Fuente</t>
  </si>
  <si>
    <t>P_baja máxima KALINA [kPa]</t>
  </si>
  <si>
    <t>M4+M4b</t>
  </si>
  <si>
    <t>1300–1400</t>
  </si>
  <si>
    <t>1400–1500</t>
  </si>
  <si>
    <t>M4c</t>
  </si>
  <si>
    <t>1500–1600</t>
  </si>
  <si>
    <t>1600–1700</t>
  </si>
  <si>
    <t>1700–1800</t>
  </si>
  <si>
    <t>1800–1900</t>
  </si>
  <si>
    <t>1900–2000</t>
  </si>
  <si>
    <t>2000–2100</t>
  </si>
  <si>
    <t>2100–2200</t>
  </si>
  <si>
    <t>2200–2300</t>
  </si>
  <si>
    <t>2300–2400</t>
  </si>
  <si>
    <t>2400–2500</t>
  </si>
  <si>
    <t>TAB-M04c-03 · Techo de P_baja por franja de P_alta</t>
  </si>
  <si>
    <t>Filtro: todos los puntos del barrido de P_baja · Fuente: resultados/2026-10-07_final_M4c/m4c_techo_por_palta.csv</t>
  </si>
  <si>
    <t>2000–2500</t>
  </si>
  <si>
    <t>2500–3000</t>
  </si>
  <si>
    <t>3000–3500</t>
  </si>
  <si>
    <t>3500–4000</t>
  </si>
  <si>
    <t>4000–4500</t>
  </si>
  <si>
    <t>4500–5000</t>
  </si>
  <si>
    <t>TAB-M05-00 · Condiciones del caso M05</t>
  </si>
  <si>
    <t>Caso(s): KF-M05 · Bloque(s): B09-1, B09-2, B09-3, B09-4, B09-5</t>
  </si>
  <si>
    <t>Punto base: PP parcial según escenario S1 a S5</t>
  </si>
  <si>
    <t>Bloque B09-1 (KF-M05-1):</t>
  </si>
  <si>
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</si>
  <si>
    <t>Bloque B09-2 (KF-M05-2):</t>
  </si>
  <si>
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</si>
  <si>
    <t>Bloque B09-3 (KF-M05-3):</t>
  </si>
  <si>
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</si>
  <si>
    <t>Bloque B09-4 (KF-M05-4):</t>
  </si>
  <si>
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</si>
  <si>
    <t>Bloque B09-5 (KF-M05-5):</t>
  </si>
  <si>
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</si>
  <si>
    <t>2000 – 4987</t>
  </si>
  <si>
    <t>202.1 – 1990</t>
  </si>
  <si>
    <t>0.501 – 0.849</t>
  </si>
  <si>
    <t>0.401 – 0.947</t>
  </si>
  <si>
    <t>0.404 – 0.949</t>
  </si>
  <si>
    <t>0.404 – 0.948</t>
  </si>
  <si>
    <t>0.401 – 0.946</t>
  </si>
  <si>
    <t>381.6 – 621.8</t>
  </si>
  <si>
    <t>278.3 – 303.5</t>
  </si>
  <si>
    <t>0.501 – 0.847</t>
  </si>
  <si>
    <t>0.403 – 0.949</t>
  </si>
  <si>
    <t>0.402 – 0.948</t>
  </si>
  <si>
    <t>0.402 – 0.947</t>
  </si>
  <si>
    <t>380.2 – 622.4</t>
  </si>
  <si>
    <t>0.400 – 0.948</t>
  </si>
  <si>
    <t>0.404 – 0.945</t>
  </si>
  <si>
    <t>0.400 – 0.949</t>
  </si>
  <si>
    <t>0.402 – 0.949</t>
  </si>
  <si>
    <t>0.404 – 0.947</t>
  </si>
  <si>
    <t>211.4 – 1986</t>
  </si>
  <si>
    <t>0.502 – 0.848</t>
  </si>
  <si>
    <t>0.403 – 0.946</t>
  </si>
  <si>
    <t>0.400 – 0.947</t>
  </si>
  <si>
    <t>0.404 – 0.950</t>
  </si>
  <si>
    <t>2023 – 4997</t>
  </si>
  <si>
    <t>206.1 – 1999</t>
  </si>
  <si>
    <t>0.403 – 0.950</t>
  </si>
  <si>
    <t>0.403 – 0.948</t>
  </si>
  <si>
    <t>0.403 – 0.947</t>
  </si>
  <si>
    <t>0.401 – 0.948</t>
  </si>
  <si>
    <t xml:space="preserve">Notas: n = 65 filas en la tabla. † = fuera del rango confiable (IAPWS G4-01); ‡ = falso convergido (N2). </t>
  </si>
  <si>
    <t>TAB-M05-01 · Corridas por subcaso del caso M05</t>
  </si>
  <si>
    <t xml:space="preserve">Notas: n = 5 filas en la tabla. † = fuera del rango confiable (IAPWS G4-01); ‡ = falso convergido (N2). </t>
  </si>
  <si>
    <t>TAB-M05-02 · Resumen por escenario de conservación</t>
  </si>
  <si>
    <t>Filtro: todos los puntos de los escenarios S1 a S5 · Fuente: resultados/2026-10-07_final_M5/m5_resumen.csv</t>
  </si>
  <si>
    <t>Escenario</t>
  </si>
  <si>
    <t>Evaluados</t>
  </si>
  <si>
    <t>Factible</t>
  </si>
  <si>
    <t>Criterio bloqueante</t>
  </si>
  <si>
    <t>Veces que bloquea</t>
  </si>
  <si>
    <t>Identificador del D mínimo</t>
  </si>
  <si>
    <t>Identificador del más cercano</t>
  </si>
  <si>
    <t>d del más cercano</t>
  </si>
  <si>
    <t>η del más cercano [%]</t>
  </si>
  <si>
    <t>Identificador de la η máxima</t>
  </si>
  <si>
    <t>η máxima [%]</t>
  </si>
  <si>
    <t>Tiempo total [s]</t>
  </si>
  <si>
    <t>O2</t>
  </si>
  <si>
    <t>TAB-M05-03 · Rangos por escenario (KALINA contra no KALINA)</t>
  </si>
  <si>
    <t>Filtro: puntos genuinos de los escenarios · Fuente: resultados/2026-10-07_final_M5/m5_rangos.csv</t>
  </si>
  <si>
    <t>no_KALINA</t>
  </si>
  <si>
    <t xml:space="preserve">Notas: n = 58 filas en la tabla. † = fuera del rango confiable (IAPWS G4-01); ‡ = falso convergido (N2). </t>
  </si>
  <si>
    <t>TAB-M05c-00 · Condiciones del caso M05c</t>
  </si>
  <si>
    <t>Caso(s): KF-M05c · Bloque(s): B10</t>
  </si>
  <si>
    <t>Punto base: PP = punto del profesor con P_alta y P_baja fijas</t>
  </si>
  <si>
    <t>Datos barridos: T_fuente [385–410] K (11 valores); T_sumidero [278.15–300.03] K (3 valores); ε_cond [0.85–0.95] (5 valores); piso de O2 [278.15–300.03] K (3 valores).</t>
  </si>
  <si>
    <t>385.0 – 410.0</t>
  </si>
  <si>
    <t>TAB-M05c-01 · Corridas por subcaso del caso M05c</t>
  </si>
  <si>
    <t>TAB-M05c-02 · Frontera KALINA con las presiones del profesor</t>
  </si>
  <si>
    <t>Filtro: todos los puntos del barrido · Fuente: resultados/2026-10-07_final_M5c/m5c_frontera.csv</t>
  </si>
  <si>
    <t>T_fuente mínima [K]</t>
  </si>
  <si>
    <t>T_fuente máxima [K]</t>
  </si>
  <si>
    <t>η en T_fuente mínima [%]</t>
  </si>
  <si>
    <t>η en T_fuente máxima [%]</t>
  </si>
  <si>
    <t xml:space="preserve">Notas: n = 15 filas en la tabla. † = fuera del rango confiable (IAPWS G4-01); ‡ = falso convergido (N2). </t>
  </si>
  <si>
    <t>TAB-M06-00 · Condiciones del caso M06</t>
  </si>
  <si>
    <t>Caso(s): KF-M06 · Bloque(s): B12</t>
  </si>
  <si>
    <t>Punto base: puntos clave del ciclo con teqp y con el motor real</t>
  </si>
  <si>
    <t>Puntos de control: cada punto conserva los datos de su caso de origen (ver la columna de origen); no hay datos fijos ni barridos comunes.</t>
  </si>
  <si>
    <t>390.0 – 623.1</t>
  </si>
  <si>
    <t>278.1 – 302.6</t>
  </si>
  <si>
    <t>3000 – 5000</t>
  </si>
  <si>
    <t>393.8 – 2495</t>
  </si>
  <si>
    <t>0.781 – 0.950</t>
  </si>
  <si>
    <t>0.576 – 0.872</t>
  </si>
  <si>
    <t>0.685 – 0.950</t>
  </si>
  <si>
    <t>0.800 – 0.950</t>
  </si>
  <si>
    <t>303.55</t>
  </si>
  <si>
    <t>393.8 – 2500</t>
  </si>
  <si>
    <t xml:space="preserve">Notas: n = 39 filas en la tabla. † = fuera del rango confiable (IAPWS G4-01); ‡ = falso convergido (N2). </t>
  </si>
  <si>
    <t>TAB-M06-01 · Corridas por subcaso del caso M06</t>
  </si>
  <si>
    <t xml:space="preserve">Notas: n = 3 filas en la tabla. † = fuera del rango confiable (IAPWS G4-01); ‡ = falso convergido (N2). </t>
  </si>
  <si>
    <t>TAB-M06-02 · Paridad teqp contra el motor real</t>
  </si>
  <si>
    <t>Filtro: puntos emparejados teqp y motor real · Fuente: resultados/2026-10-08_final_M6/m6_comparacion.csv</t>
  </si>
  <si>
    <t>Identificador</t>
  </si>
  <si>
    <t>Origen</t>
  </si>
  <si>
    <t>Clase con teqp</t>
  </si>
  <si>
    <t>Clase con el motor real</t>
  </si>
  <si>
    <t>Coincide la clase</t>
  </si>
  <si>
    <t>η con teqp [%]</t>
  </si>
  <si>
    <t>η con el motor real [%]</t>
  </si>
  <si>
    <t>Dentro de la banda</t>
  </si>
  <si>
    <t>Margen O1 con teqp [–]</t>
  </si>
  <si>
    <t>Margen O1 con el motor real [–]</t>
  </si>
  <si>
    <t>Margen O2 con teqp [K]</t>
  </si>
  <si>
    <t>Margen O2 con el motor real [K]</t>
  </si>
  <si>
    <t>B verificado</t>
  </si>
  <si>
    <t>P01</t>
  </si>
  <si>
    <t>Ancla A*</t>
  </si>
  <si>
    <t>P02</t>
  </si>
  <si>
    <t>M2, mayor η</t>
  </si>
  <si>
    <t>P03</t>
  </si>
  <si>
    <t>M5c, presiones del profesor, techo</t>
  </si>
  <si>
    <t>P04</t>
  </si>
  <si>
    <t>M5c, presiones del profesor, ε_cond mínima</t>
  </si>
  <si>
    <t>P05</t>
  </si>
  <si>
    <t>M7, óptimo A1</t>
  </si>
  <si>
    <t>P06</t>
  </si>
  <si>
    <t>M7, óptimo A2</t>
  </si>
  <si>
    <t>P07</t>
  </si>
  <si>
    <t>M7, óptimo A3</t>
  </si>
  <si>
    <t>P08</t>
  </si>
  <si>
    <t>M7, óptimo A4</t>
  </si>
  <si>
    <t>P09</t>
  </si>
  <si>
    <t>M7, óptimo A5</t>
  </si>
  <si>
    <t>P10</t>
  </si>
  <si>
    <t>M4b, top 1</t>
  </si>
  <si>
    <t>P11</t>
  </si>
  <si>
    <t>M4c, mayor P_baja KALINA</t>
  </si>
  <si>
    <t>P12</t>
  </si>
  <si>
    <t>M2R, fuente del profesor</t>
  </si>
  <si>
    <t>TAB-M06-03 · Costo del subenfriamiento</t>
  </si>
  <si>
    <t>Filtro: puntos con el subenfriamiento aplicado · Fuente: resultados/2026-10-08_final_M6/m6_subenfriamiento.csv</t>
  </si>
  <si>
    <t>Subenfriamiento, ΔT_sub [K]</t>
  </si>
  <si>
    <t>Alcanzable</t>
  </si>
  <si>
    <t>P_baja original [kPa]</t>
  </si>
  <si>
    <t>P_baja requerida [kPa]</t>
  </si>
  <si>
    <t>ΔP_baja [kPa]</t>
  </si>
  <si>
    <t>η original [%]</t>
  </si>
  <si>
    <t>η requerida [%]</t>
  </si>
  <si>
    <t>Razón de presiones requerida, r_P [–]</t>
  </si>
  <si>
    <t>Margen O1 requerido [–]</t>
  </si>
  <si>
    <t>Iteraciones</t>
  </si>
  <si>
    <t>Nota</t>
  </si>
  <si>
    <t>hueco NO_CONVERGIO en 1231.3 kPa, 1244.5 kPa, 1247.8 kPa</t>
  </si>
  <si>
    <t xml:space="preserve">Notas: n = 16 filas en la tabla. † = fuera del rango confiable (IAPWS G4-01); ‡ = falso convergido (N2). </t>
  </si>
  <si>
    <t>TAB-M07-00 · Condiciones del caso M07</t>
  </si>
  <si>
    <t>Caso(s): KF-M07 · Bloque(s): B11-A1, B11-A2, B11-A3, B11-A4, B11-A5</t>
  </si>
  <si>
    <t>Punto base: cada arranque (A1–A5) parte de un punto distinto y conserva datos distintos del profesor</t>
  </si>
  <si>
    <t>Bloque B11-A1 (KF-M07-A1):</t>
  </si>
  <si>
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</si>
  <si>
    <t>Bloque B11-A2 (KF-M07-A2):</t>
  </si>
  <si>
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</si>
  <si>
    <t>Bloque B11-A3 (KF-M07-A3):</t>
  </si>
  <si>
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</si>
  <si>
    <t>Bloque B11-A4 (KF-M07-A4):</t>
  </si>
  <si>
    <t>Datos barridos: T_fuente [391–427] K (4 valores); x_b [0.5–0.535] (2 valores); η_t [0.795–0.95] (5 valores); η_p [0.695–0.86] (4 valores); ε_HRVG [0.795–0.95] (4 valores); ε_reg [0.695–0.95] (7 valores); ε_cond [0.895–0.95] (2 valores).</t>
  </si>
  <si>
    <t>Bloque B11-A5 (KF-M07-A5):</t>
  </si>
  <si>
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</si>
  <si>
    <t>424.1 – 448.1</t>
  </si>
  <si>
    <t>278.1 – 281.6</t>
  </si>
  <si>
    <t>3182 – 4682</t>
  </si>
  <si>
    <t>588.3 – 1028</t>
  </si>
  <si>
    <t>0.600 – 0.705</t>
  </si>
  <si>
    <t>0.863 – 0.950</t>
  </si>
  <si>
    <t>0.691 – 0.801</t>
  </si>
  <si>
    <t>0.623 – 0.733</t>
  </si>
  <si>
    <t>0.887 – 0.950</t>
  </si>
  <si>
    <t>0.787 – 0.897</t>
  </si>
  <si>
    <t>408.0 – 432.0</t>
  </si>
  <si>
    <t>278.1 – 280.7</t>
  </si>
  <si>
    <t>2700 – 3300</t>
  </si>
  <si>
    <t>300.0 – 613.8</t>
  </si>
  <si>
    <t>0.500 – 0.535</t>
  </si>
  <si>
    <t>0.795 – 0.950</t>
  </si>
  <si>
    <t>0.695 – 0.805</t>
  </si>
  <si>
    <t>0.795 – 0.905</t>
  </si>
  <si>
    <t>0.695 – 0.950</t>
  </si>
  <si>
    <t>0.745 – 0.855</t>
  </si>
  <si>
    <t>3606 – 5000</t>
  </si>
  <si>
    <t>1140 – 1580</t>
  </si>
  <si>
    <t>0.794 – 0.850</t>
  </si>
  <si>
    <t>0.783 – 0.893</t>
  </si>
  <si>
    <t>0.441 – 0.551</t>
  </si>
  <si>
    <t>0.862 – 0.950</t>
  </si>
  <si>
    <t>0.891 – 0.950</t>
  </si>
  <si>
    <t>391.0 – 427.0</t>
  </si>
  <si>
    <t>0.695 – 0.860</t>
  </si>
  <si>
    <t>0.895 – 0.950</t>
  </si>
  <si>
    <t>300.0 – 303.6</t>
  </si>
  <si>
    <t>4508 – 5000</t>
  </si>
  <si>
    <t>802.3 – 1462</t>
  </si>
  <si>
    <t>0.867 – 0.950</t>
  </si>
  <si>
    <t>0.521 – 0.631</t>
  </si>
  <si>
    <t>0.400 – 0.517</t>
  </si>
  <si>
    <t>0.400 – 0.685</t>
  </si>
  <si>
    <t>0.823 – 0.933</t>
  </si>
  <si>
    <t>TAB-M07-01 · Corridas por subcaso del caso M07</t>
  </si>
  <si>
    <t>TAB-M07-02 · Óptimos de η por arranque</t>
  </si>
  <si>
    <t>Filtro: mejores KALINA de cada arranque · Fuente: resultados/2026-10-07_final_M7/m7_optimos.csv</t>
  </si>
  <si>
    <t>Arranque</t>
  </si>
  <si>
    <t>Clase del ciclo</t>
  </si>
  <si>
    <t>Índice de cercanía D [–]</t>
  </si>
  <si>
    <t>Eficiencia térmica del ciclo, η [%]</t>
  </si>
  <si>
    <t>Trabajo neto, W_net [kW] (m_b = 1 kg/s)</t>
  </si>
  <si>
    <t>Margen O1 [–]</t>
  </si>
  <si>
    <t>Margen O2 [K]</t>
  </si>
  <si>
    <t>Margen O5 [–]</t>
  </si>
  <si>
    <t>Evaluaciones</t>
  </si>
  <si>
    <t>A1</t>
  </si>
  <si>
    <t>A2</t>
  </si>
  <si>
    <t>A3</t>
  </si>
  <si>
    <t>A4</t>
  </si>
  <si>
    <t>A5</t>
  </si>
  <si>
    <t>TAB-M09-00 · Condiciones del caso M09</t>
  </si>
  <si>
    <t>Caso(s): KF-M09 · Bloque(s): B13-TF, B13-EF, B13-PA, B13-PB, B13-TS, B13-XB, B13-XB_TF, B13-XB_EF, B13-XB_PA, B13-XB_PB, B13-XB_TS, B13-XB_PA_TF, B13-XB_PA_EF, B13-XB_PA_PB, B13-XB_PA_TS, B13-XB_PA_EF_TF, B13-XB_PA_EF_PB, B13-XB_PA_EF_TS, B13-HUS, B12</t>
  </si>
  <si>
    <t>Punto base: PP parcial según el conjunto de datos conservado</t>
  </si>
  <si>
    <t>Bloque B13-TF: Datos fijos: T_fuente = 623.15 K; m_b = 1 kg/s; motor de propiedades = teqp.</t>
  </si>
  <si>
    <t>Bloque B13-EF: Datos fijos: m_b = 1 kg/s; η_t = 0.85; η_p = 0.75; ε_HRVG = 0.85; ε_reg = 0.75; ε_cond = 0.8; motor de propiedades = teqp.</t>
  </si>
  <si>
    <t>Bloque B13-PA: Datos fijos: P_alta = 3000 kPa; m_b = 1 kg/s; motor de propiedades = teqp.</t>
  </si>
  <si>
    <t>Bloque B13-PB: Datos fijos: P_baja = 400 kPa; m_b = 1 kg/s; motor de propiedades = teqp.</t>
  </si>
  <si>
    <t>Bloque B13-TS: Datos fijos: T_sumidero = 300.03 K; m_b = 1 kg/s; piso de O2 = 300.03 K; motor de propiedades = teqp.</t>
  </si>
  <si>
    <t>Bloque B13-XB: Datos fijos: x_b = 0.5; m_b = 1 kg/s; motor de propiedades = teqp.</t>
  </si>
  <si>
    <t>Bloque B13-XB_TF: Datos fijos: T_fuente = 623.15 K; x_b = 0.5; m_b = 1 kg/s; motor de propiedades = teqp.</t>
  </si>
  <si>
    <t>Bloque B13-XB_EF: Datos fijos: x_b = 0.5; m_b = 1 kg/s; η_t = 0.85; η_p = 0.75; ε_HRVG = 0.85; ε_reg = 0.75; ε_cond = 0.8; motor de propiedades = teqp.</t>
  </si>
  <si>
    <t>Bloque B13-XB_PA: Datos fijos: P_alta = 3000 kPa; x_b = 0.5; m_b = 1 kg/s; motor de propiedades = teqp.</t>
  </si>
  <si>
    <t>Bloque B13-XB_PB: Datos fijos: P_baja = 400 kPa; x_b = 0.5; m_b = 1 kg/s; motor de propiedades = teqp.</t>
  </si>
  <si>
    <t>Bloque B13-XB_TS: Datos fijos: T_sumidero = 300.03 K; x_b = 0.5; m_b = 1 kg/s; piso de O2 = 300.03 K; motor de propiedades = teqp.</t>
  </si>
  <si>
    <t>Bloque B13-XB_PA_TF: Datos fijos: T_fuente = 623.15 K; P_alta = 3000 kPa; x_b = 0.5; m_b = 1 kg/s; motor de propiedades = teqp.</t>
  </si>
  <si>
    <t>Bloque B13-XB_PA_EF: Datos fijos: P_alta = 3000 kPa; x_b = 0.5; m_b = 1 kg/s; η_t = 0.85; η_p = 0.75; ε_HRVG = 0.85; ε_reg = 0.75; ε_cond = 0.8; motor de propiedades = teqp.</t>
  </si>
  <si>
    <t>Bloque B13-XB_PA_PB: Datos fijos: P_alta = 3000 kPa; P_baja = 400 kPa; x_b = 0.5; m_b = 1 kg/s; motor de propiedades = teqp.</t>
  </si>
  <si>
    <t>Bloque B13-XB_PA_TS: Datos fijos: T_sumidero = 300.03 K; P_alta = 3000 kPa; x_b = 0.5; m_b = 1 kg/s; piso de O2 = 300.03 K; motor de propiedades = teqp.</t>
  </si>
  <si>
    <t>Bloque B13-XB_PA_EF_TF: Datos fijos: T_fuente = 623.15 K; P_alta = 3000 kPa; x_b = 0.5; m_b = 1 kg/s; η_t = 0.85; η_p = 0.75; ε_HRVG = 0.85; ε_reg = 0.75; ε_cond = 0.8; motor de propiedades = teqp.</t>
  </si>
  <si>
    <t>Bloque B13-XB_PA_EF_PB: Datos fijos: P_alta = 3000 kPa; P_baja = 400 kPa; x_b = 0.5; m_b = 1 kg/s; η_t = 0.85; η_p = 0.75; ε_HRVG = 0.85; ε_reg = 0.75; ε_cond = 0.8; motor de propiedades = teqp.</t>
  </si>
  <si>
    <t>Bloque B13-XB_PA_EF_TS: Datos fijos: T_sumidero = 300.03 K; P_alta = 3000 kPa; x_b = 0.5; m_b = 1 kg/s; η_t = 0.85; η_p = 0.75; ε_HRVG = 0.85; ε_reg = 0.75; ε_cond = 0.8; piso de O2 = 300.03 K; motor de propiedades = teqp.</t>
  </si>
  <si>
    <t>Bloque B13-HUS: Datos fijos: T_fuente = 394.15 K; T_sumidero = 278.15 K; P_alta = 3300 kPa; x_b = 0.82; m_b = 1 kg/s; η_t = 0.9; η_p = 0.8; ε_HRVG = 0.85; ε_reg = 0.75; ε_cond = 0.95; motor de propiedades = teqp.</t>
  </si>
  <si>
    <t>Bloque B12: Datos fijos: m_b = 1 kg/s; motor de propiedades = real.</t>
  </si>
  <si>
    <t>Datos barridos en cada bloque: las variables que no están fijas, dentro de la caja del caso (rangos exactos en la tabla de condiciones del caso).</t>
  </si>
  <si>
    <t>2029 – 4975</t>
  </si>
  <si>
    <t>310.8 – 1987</t>
  </si>
  <si>
    <t>0.503 – 0.850</t>
  </si>
  <si>
    <t>0.403 – 0.945</t>
  </si>
  <si>
    <t>0.401 – 0.949</t>
  </si>
  <si>
    <t>380.4 – 519.6</t>
  </si>
  <si>
    <t>2000 – 5000</t>
  </si>
  <si>
    <t>310.7 – 1987</t>
  </si>
  <si>
    <t>380.8 – 519.2</t>
  </si>
  <si>
    <t>278.2 – 303.4</t>
  </si>
  <si>
    <t>302.7 – 1996</t>
  </si>
  <si>
    <t>0.500 – 0.847</t>
  </si>
  <si>
    <t>0.400 – 0.946</t>
  </si>
  <si>
    <t>0.401 – 0.945</t>
  </si>
  <si>
    <t>0.402 – 0.945</t>
  </si>
  <si>
    <t>380.2 – 519.3</t>
  </si>
  <si>
    <t>2022 – 4978</t>
  </si>
  <si>
    <t>0.502 – 0.847</t>
  </si>
  <si>
    <t>0.405 – 0.947</t>
  </si>
  <si>
    <t>0.405 – 0.950</t>
  </si>
  <si>
    <t>380.2 – 519.1</t>
  </si>
  <si>
    <t>2007 – 4983</t>
  </si>
  <si>
    <t>306.3 – 1991</t>
  </si>
  <si>
    <t>0.503 – 0.847</t>
  </si>
  <si>
    <t>0.405 – 0.945</t>
  </si>
  <si>
    <t>0.400 – 0.945</t>
  </si>
  <si>
    <t>381.0 – 519.6</t>
  </si>
  <si>
    <t>2022 – 4977</t>
  </si>
  <si>
    <t>316.8 – 1999</t>
  </si>
  <si>
    <t>0.402 – 0.950</t>
  </si>
  <si>
    <t>0.402 – 0.946</t>
  </si>
  <si>
    <t>278.8 – 302.9</t>
  </si>
  <si>
    <t>2053 – 4944</t>
  </si>
  <si>
    <t>340.4 – 1957</t>
  </si>
  <si>
    <t>0.410 – 0.940</t>
  </si>
  <si>
    <t>0.414 – 0.935</t>
  </si>
  <si>
    <t>0.401 – 0.939</t>
  </si>
  <si>
    <t>0.406 – 0.944</t>
  </si>
  <si>
    <t>384.0 – 517.0</t>
  </si>
  <si>
    <t>278.5 – 303.5</t>
  </si>
  <si>
    <t>2058 – 4961</t>
  </si>
  <si>
    <t>330.1 – 1944</t>
  </si>
  <si>
    <t>382.6 – 518.1</t>
  </si>
  <si>
    <t>278.4 – 302.7</t>
  </si>
  <si>
    <t>342.1 – 1990</t>
  </si>
  <si>
    <t>0.411 – 0.936</t>
  </si>
  <si>
    <t>0.416 – 0.947</t>
  </si>
  <si>
    <t>0.416 – 0.934</t>
  </si>
  <si>
    <t>0.414 – 0.946</t>
  </si>
  <si>
    <t>384.0 – 516.5</t>
  </si>
  <si>
    <t>278.7 – 303.4</t>
  </si>
  <si>
    <t>2075 – 4987</t>
  </si>
  <si>
    <t>0.418 – 0.948</t>
  </si>
  <si>
    <t>0.404 – 0.943</t>
  </si>
  <si>
    <t>0.404 – 0.941</t>
  </si>
  <si>
    <t>0.417 – 0.943</t>
  </si>
  <si>
    <t>383.8 – 519.8</t>
  </si>
  <si>
    <t>2083 – 4924</t>
  </si>
  <si>
    <t>312.4 – 1973</t>
  </si>
  <si>
    <t>0.402 – 0.933</t>
  </si>
  <si>
    <t>0.414 – 0.941</t>
  </si>
  <si>
    <t>0.417 – 0.950</t>
  </si>
  <si>
    <t>0.412 – 0.932</t>
  </si>
  <si>
    <t>0.415 – 0.936</t>
  </si>
  <si>
    <t>278.6 – 303.1</t>
  </si>
  <si>
    <t>311.2 – 1975</t>
  </si>
  <si>
    <t>0.405 – 0.943</t>
  </si>
  <si>
    <t>0.408 – 0.939</t>
  </si>
  <si>
    <t>0.410 – 0.934</t>
  </si>
  <si>
    <t>0.410 – 0.946</t>
  </si>
  <si>
    <t>381.7 – 516.7</t>
  </si>
  <si>
    <t>278.4 – 303.2</t>
  </si>
  <si>
    <t>306.7 – 1963</t>
  </si>
  <si>
    <t>380.1 – 515.8</t>
  </si>
  <si>
    <t>278.2 – 303.2</t>
  </si>
  <si>
    <t>0.408 – 0.950</t>
  </si>
  <si>
    <t>0.411 – 0.942</t>
  </si>
  <si>
    <t>0.411 – 0.937</t>
  </si>
  <si>
    <t>0.411 – 0.940</t>
  </si>
  <si>
    <t>0.413 – 0.948</t>
  </si>
  <si>
    <t>383.9 – 517.8</t>
  </si>
  <si>
    <t>338.1 – 1945</t>
  </si>
  <si>
    <t>0.408 – 0.935</t>
  </si>
  <si>
    <t>0.416 – 0.942</t>
  </si>
  <si>
    <t>0.409 – 0.948</t>
  </si>
  <si>
    <t>0.408 – 0.937</t>
  </si>
  <si>
    <t>0.416 – 0.938</t>
  </si>
  <si>
    <t>317.0 – 1948</t>
  </si>
  <si>
    <t>384.2 – 519.8</t>
  </si>
  <si>
    <t>381.6 – 516.0</t>
  </si>
  <si>
    <t>333.6 – 1956</t>
  </si>
  <si>
    <t>394.15</t>
  </si>
  <si>
    <t>278.15</t>
  </si>
  <si>
    <t>3300.0</t>
  </si>
  <si>
    <t>500.0 – 1000</t>
  </si>
  <si>
    <t>0.82</t>
  </si>
  <si>
    <t>0.9</t>
  </si>
  <si>
    <t>0.95</t>
  </si>
  <si>
    <t>278.1 – 283.1</t>
  </si>
  <si>
    <t>394.1 – 415.0</t>
  </si>
  <si>
    <t>3000 – 3300</t>
  </si>
  <si>
    <t>400.0 – 690.0</t>
  </si>
  <si>
    <t>0.500 – 0.820</t>
  </si>
  <si>
    <t>0.750 – 0.805</t>
  </si>
  <si>
    <t>0.750 – 0.950</t>
  </si>
  <si>
    <t>283.1 – 300.0</t>
  </si>
  <si>
    <t>real</t>
  </si>
  <si>
    <t xml:space="preserve">Notas: n = 260 filas en la tabla. † = fuera del rango confiable (IAPWS G4-01); ‡ = falso convergido (N2). </t>
  </si>
  <si>
    <t>TAB-M09-01 · Corridas por subcaso del caso M09</t>
  </si>
  <si>
    <t>TAB-M09-02 · Escalera de conservación de datos del profesor</t>
  </si>
  <si>
    <t>Caso(s): KF-M09 · Bloque(s): B13-TF, B13-EF, B13-PA, B13-PB, B13-TS, B13-XB, B13-XB_TF, B13-XB_EF, B13-XB_PA, B13-XB_PB, B13-XB_TS, B13-XB_PA_TF, B13-XB_PA_EF, B13-XB_PA_PB, B13-XB_PA_TS, B13-XB_PA_EF_TF, B13-XB_PA_EF_PB, B13-XB_PA_EF_TS</t>
  </si>
  <si>
    <t>Filtro: todas las rondas de la escalera · Fuente: resultados/2026-10-08_final_M9/m9_escalera.csv</t>
  </si>
  <si>
    <t>Ronda</t>
  </si>
  <si>
    <t>Datos conservados</t>
  </si>
  <si>
    <t>Datos del profesor conservados</t>
  </si>
  <si>
    <t>Evaluadas</t>
  </si>
  <si>
    <t>Criterio más roto</t>
  </si>
  <si>
    <t>Elegido</t>
  </si>
  <si>
    <t>KALINA por búsqueda</t>
  </si>
  <si>
    <t>TF</t>
  </si>
  <si>
    <t>O2:53</t>
  </si>
  <si>
    <t>EF</t>
  </si>
  <si>
    <t>O2:75</t>
  </si>
  <si>
    <t>PA</t>
  </si>
  <si>
    <t>O2:69</t>
  </si>
  <si>
    <t>PB</t>
  </si>
  <si>
    <t>O2:84</t>
  </si>
  <si>
    <t>TS</t>
  </si>
  <si>
    <t>O2:68</t>
  </si>
  <si>
    <t>XB</t>
  </si>
  <si>
    <t>O2:51</t>
  </si>
  <si>
    <t>XB+TF</t>
  </si>
  <si>
    <t>O2:18</t>
  </si>
  <si>
    <t>XB+EF</t>
  </si>
  <si>
    <t>O2:15</t>
  </si>
  <si>
    <t>XB+PA</t>
  </si>
  <si>
    <t>O2:17</t>
  </si>
  <si>
    <t>XB+PB</t>
  </si>
  <si>
    <t>O2:23</t>
  </si>
  <si>
    <t>XB+TS</t>
  </si>
  <si>
    <t>O2:16</t>
  </si>
  <si>
    <t>XB+PA+TF</t>
  </si>
  <si>
    <t>XB+PA+EF</t>
  </si>
  <si>
    <t>O2:14</t>
  </si>
  <si>
    <t>XB+PA+PB</t>
  </si>
  <si>
    <t>O2:26</t>
  </si>
  <si>
    <t>XB+PA+TS</t>
  </si>
  <si>
    <t>O2:19</t>
  </si>
  <si>
    <t>XB+PA+EF+TF</t>
  </si>
  <si>
    <t>XB+PA+EF+PB</t>
  </si>
  <si>
    <t>O2:22</t>
  </si>
  <si>
    <t>XB+PA+EF+TS</t>
  </si>
  <si>
    <t>O2:21</t>
  </si>
  <si>
    <t xml:space="preserve">Notas: n = 18 filas en la tabla. † = fuera del rango confiable (IAPWS G4-01); ‡ = falso convergido (N2). </t>
  </si>
  <si>
    <t>TAB-M09-03 · Verificación teqp contra el motor real</t>
  </si>
  <si>
    <t>Caso(s): KF-M09 · Bloque(s): B12</t>
  </si>
  <si>
    <t>Filtro: puntos emparejados teqp y motor real · Fuente: resultados/2026-10-08_final_M9/m9_motor_real.csv</t>
  </si>
  <si>
    <t>Tiempo [s]</t>
  </si>
  <si>
    <t>Mensaje</t>
  </si>
  <si>
    <t>KALINA: régimen Kalina genuino y admisible, sin fallas.</t>
  </si>
  <si>
    <t>Óptimo A4 de M7</t>
  </si>
  <si>
    <t>HUS</t>
  </si>
  <si>
    <t>Base de Húsavík</t>
  </si>
  <si>
    <t>TAB-M10-00 · Condiciones del caso M10</t>
  </si>
  <si>
    <t>Caso(s): KF-M10 · Bloque(s): B14-F3, B14-OFAT, B14-MALLA</t>
  </si>
  <si>
    <t>Punto base: ancla de Húsavík (P_alta 3300 kPa, P_baja 690 kPa, T_fuente 394.15 K, T_sumidero 278.15 K); F3 conserva los datos de septiembre</t>
  </si>
  <si>
    <t>Bloque B14-F3 (KF-M10-F3):</t>
  </si>
  <si>
    <t>Datos fijos: T_fuente = 394.15 K; T_sumidero = 278.15 K; m_b = 1 kg/s; η_p = 0.8; ε_HRVG = 0.85; motor de propiedades = teqp.</t>
  </si>
  <si>
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</si>
  <si>
    <t>Bloque B14-OFAT (KF-M10-OFAT):</t>
  </si>
  <si>
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</si>
  <si>
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</si>
  <si>
    <t>Bloque B14-MALLA (KF-M10-MALLA):</t>
  </si>
  <si>
    <t>Datos barridos: P_baja [500–1200] kPa (8 valores); x_b [0.7–0.91] (8 valores).</t>
  </si>
  <si>
    <t>3300 – 3500</t>
  </si>
  <si>
    <t>670.0 – 1500</t>
  </si>
  <si>
    <t>0.780 – 0.833</t>
  </si>
  <si>
    <t>0.850 – 0.980</t>
  </si>
  <si>
    <t>0.950 – 0.990</t>
  </si>
  <si>
    <t>380.0 – 430.0</t>
  </si>
  <si>
    <t>273.1 – 293.1</t>
  </si>
  <si>
    <t>2500 – 4000</t>
  </si>
  <si>
    <t>500.0 – 1200</t>
  </si>
  <si>
    <t>0.600 – 0.950</t>
  </si>
  <si>
    <t>0.600 – 0.900</t>
  </si>
  <si>
    <t>283.15</t>
  </si>
  <si>
    <t>0.700 – 0.910</t>
  </si>
  <si>
    <t>TAB-M10-01 · Corridas por subcaso del caso M10</t>
  </si>
  <si>
    <t>TAB-M10-02 · Catálogo Húsavík (reproducción de la Fase 3)</t>
  </si>
  <si>
    <t>Caso(s): KF-M10 · Bloque(s): B14-F3</t>
  </si>
  <si>
    <t>Filtro: todos los puntos de Húsavík · Fuente: resultados/2026-10-09_final_M10_husavik/m10_catalogo.csv</t>
  </si>
  <si>
    <t>Variables movidas</t>
  </si>
  <si>
    <t>Piso de O2 [K]</t>
  </si>
  <si>
    <t>KALINA (septiembre)</t>
  </si>
  <si>
    <t>KALINA (ahora)</t>
  </si>
  <si>
    <t>Confiables ahora</t>
  </si>
  <si>
    <t>Coincide</t>
  </si>
  <si>
    <t>|Δη| medio [pp]</t>
  </si>
  <si>
    <t>|Δη| máximo [pp]</t>
  </si>
  <si>
    <t>F3-A</t>
  </si>
  <si>
    <t>sept</t>
  </si>
  <si>
    <t>P_alta, P_baja, x_b, eta_t, eps_reg, eps_cond</t>
  </si>
  <si>
    <t>F3-B</t>
  </si>
  <si>
    <t>P_baja, eps_reg, eps_cond</t>
  </si>
  <si>
    <t>F3-C</t>
  </si>
  <si>
    <t>P_baja x eps_reg</t>
  </si>
  <si>
    <t>F3-D</t>
  </si>
  <si>
    <t>una variable por archivo (P_baja, eps_cond, eps_reg, eta_t, x_b)</t>
  </si>
  <si>
    <t>F3-E</t>
  </si>
  <si>
    <t>una variable por archivo (P_alta, P_baja, x_b)</t>
  </si>
  <si>
    <t>B1-T_fuente</t>
  </si>
  <si>
    <t>nuevo</t>
  </si>
  <si>
    <t>B1-T_sumidero</t>
  </si>
  <si>
    <t>B1-P_alta</t>
  </si>
  <si>
    <t>B1-P_baja</t>
  </si>
  <si>
    <t>B1-x_b</t>
  </si>
  <si>
    <t>B1-eta_t</t>
  </si>
  <si>
    <t>B1-eta_p</t>
  </si>
  <si>
    <t>B1-eps_hrvg</t>
  </si>
  <si>
    <t>B1-eps_reg</t>
  </si>
  <si>
    <t>B1-eps_cond</t>
  </si>
  <si>
    <t>x_b x P_baja</t>
  </si>
  <si>
    <t>TAB-M10-03 · Rangos KALINA por variable (Húsavík OFAT)</t>
  </si>
  <si>
    <t>Caso(s): KF-M10 · Bloque(s): B14-OFAT</t>
  </si>
  <si>
    <t>Filtro: todos los puntos por variable · Fuente: resultados/2026-10-09_final_M10_husavik/m10_ofat_rangos.csv</t>
  </si>
  <si>
    <t>Mínimo KALINA</t>
  </si>
  <si>
    <t>Máximo KALINA</t>
  </si>
  <si>
    <t>Criterio que rompe al bajar la variable</t>
  </si>
  <si>
    <t>Criterio que rompe al subir la variable</t>
  </si>
  <si>
    <t>η mínima [%]</t>
  </si>
  <si>
    <t>CORREGIBLE (O2)</t>
  </si>
  <si>
    <t>TAB-M10b-00 · Condiciones del caso M10b</t>
  </si>
  <si>
    <t>Caso(s): KF-M10b · Bloque(s): B14-OFATb, B14-MALLA</t>
  </si>
  <si>
    <t>Punto base: ancla de Húsavík con x_b de 0.30 a 0.70</t>
  </si>
  <si>
    <t>Bloque B14-OFATb (KF-M10b-OFAT):</t>
  </si>
  <si>
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</si>
  <si>
    <t>Datos barridos (uno a la vez): x_b [0.3–0.7] (17 valores).</t>
  </si>
  <si>
    <t>Bloque B14-MALLA (KF-M10b-MALLA):</t>
  </si>
  <si>
    <t>Datos barridos: P_baja [200–700] kPa (6 valores); x_b [0.3–0.7] (9 valores).</t>
  </si>
  <si>
    <t>690.0</t>
  </si>
  <si>
    <t>0.300 – 0.700</t>
  </si>
  <si>
    <t>200.0 – 700.0</t>
  </si>
  <si>
    <t>TAB-M10b-01 · Corridas por subcaso del caso M10b</t>
  </si>
  <si>
    <t>TAB-M10b-02 · Frontera KALINA al variar x_b (Húsavík, x_b bajo)</t>
  </si>
  <si>
    <t>Caso(s): KF-M10b · Bloque(s): B14-MALLA</t>
  </si>
  <si>
    <t>Filtro: todos los puntos de KF-M10b-MALLA · Fuente: canónico (KF-M10b-MALLA)</t>
  </si>
  <si>
    <t>η en ese punto [%]</t>
  </si>
  <si>
    <t>O3</t>
  </si>
  <si>
    <t>Notas: n = 9 filas en la tabla. † = fuera del rango confiable (IAPWS G4-01); ‡ = falso convergido (N2). Una fila por valor de x_b; el criterio cuenta solo O1/O2/O3/O5.</t>
  </si>
  <si>
    <t>Síntesis de la campaña (todos los casos menos M08)</t>
  </si>
  <si>
    <t>Gráficos nativos de Excel: pase el cursor sobre un punto para ver su valor. Los datos de cada gráfico están en la hoja oculta Aux_graficos.</t>
  </si>
  <si>
    <t>FIG-G01 · Resultado de cada barrido: puntos por clase</t>
  </si>
  <si>
    <t>Figura FIG-G01. Resultado de cada barrido: puntos por clase.</t>
  </si>
  <si>
    <t>Caso(s): todos los casos M01–M10b (figura de síntesis: una barra por caso, rotulada con su id_caso), sin KF-M08.</t>
  </si>
  <si>
    <t>Datos fijos: no aplica (figura de síntesis).</t>
  </si>
  <si>
    <t>Filtro: todos los puntos menos los de KF-M08.</t>
  </si>
  <si>
    <t>n = 4560. Fuente: todos_los_puntos.csv.</t>
  </si>
  <si>
    <t>FIG-G02 (qué se movió en cada barrido) está como tabla con colores en la hoja G02_que_se_movio.</t>
  </si>
  <si>
    <t>KF-M02-N1 y KF-M02-N2 · distancia al punto del profesor</t>
  </si>
  <si>
    <t>FIG-M02-01 · Con un solo cambio sobre los datos del profesor hay 0 KALINA</t>
  </si>
  <si>
    <t>Figura FIG-M02-01. Con un solo cambio sobre los datos del profesor hay 0 KALINA.</t>
  </si>
  <si>
    <t>Caso(s): KF-M02-N1 (bloque B02). Punto base: PP = datos del enunciado del profesor (T_fuente 623.15 K, P_alta 3000 kPa, P_baja 400 kPa, x_b 0.50)</t>
  </si>
  <si>
    <t>Filtro: bloque B02 (KF-M02-N1), barrido de una variable a la vez.</t>
  </si>
  <si>
    <t>n = 132. Fuente: todos_los_puntos.csv.</t>
  </si>
  <si>
    <t>FIG-M02-02a · Ruta A: conservando la fuente del profesor (623 K), 0 KALINA</t>
  </si>
  <si>
    <t>Figura FIG-M02-02a. Ruta A: conservando la fuente del profesor (623 K), 0 KALINA.</t>
  </si>
  <si>
    <t>Caso(s): KF-M02-N2-A (bloque B03-A). Punto base: PP = datos del enunciado del profesor (T_fuente 623.15 K, P_alta 3000 kPa, P_baja 400 kPa, x_b 0.50)</t>
  </si>
  <si>
    <t>Filtro: bloque B03-A (KF-M02-N2-A).</t>
  </si>
  <si>
    <t>n = 36. Fuente: todos_los_puntos.csv.</t>
  </si>
  <si>
    <t>FIG-M02-02b · Ruta B: KALINA con T_fuente entre 390 y 434 K</t>
  </si>
  <si>
    <t>Figura FIG-M02-02b. Ruta B: KALINA con T_fuente entre 390 y 434 K.</t>
  </si>
  <si>
    <t>Caso(s): KF-M02-N2-B (bloque B03-B). Punto base: PP = datos del enunciado del profesor (T_fuente 623.15 K, P_alta 3000 kPa, P_baja 400 kPa, x_b 0.50)</t>
  </si>
  <si>
    <t>Filtro: bloque B03-B (KF-M02-N2-B).</t>
  </si>
  <si>
    <t>n = 144. Fuente: todos_los_puntos.csv.</t>
  </si>
  <si>
    <t>KF-M02R · M2 con η y ε en [0.40, 0.95] (un bloque por parte)</t>
  </si>
  <si>
    <t>FIG-M02R-n1 · M2R, parte n1: 0 KALINA con η y ε en [0.40, 0.95]</t>
  </si>
  <si>
    <t>Figura FIG-M02R-n1. M2R, parte n1: 0 KALINA con η y ε en [0.40, 0.95].</t>
  </si>
  <si>
    <t>Caso(s): KF-M02R-n1 (bloque B04-n1). Punto base: PP = datos del enunciado del profesor (T_fuente 623.15 K, P_alta 3000 kPa, P_baja 400 kPa, x_b 0.50)</t>
  </si>
  <si>
    <t>Filtro: bloque B04-n1 (KF-M02R-n1).</t>
  </si>
  <si>
    <t>n = 80. Fuente: todos_los_puntos.csv.</t>
  </si>
  <si>
    <t>FIG-M02R-n2a · M2R, parte n2a: 0 KALINA con η y ε en [0.40, 0.95]</t>
  </si>
  <si>
    <t>Figura FIG-M02R-n2a_eps_hrvg_eps_cond. M2R, parte n2a: 0 KALINA con η y ε en [0.40, 0.95].</t>
  </si>
  <si>
    <t>Caso(s): KF-M02R-n2a (bloque B04-n2a). Punto base: PP = datos del enunciado del profesor (T_fuente 623.15 K, P_alta 3000 kPa, P_baja 400 kPa, x_b 0.50)</t>
  </si>
  <si>
    <t>Filtro: bloque B04-n2a (KF-M02R-n2a).</t>
  </si>
  <si>
    <t>n = 60. Fuente: todos_los_puntos.csv.</t>
  </si>
  <si>
    <t>FIG-M02R-n2b · M2R, parte n2b: 19 KALINA con η y ε en [0.40, 0.95]</t>
  </si>
  <si>
    <t>Figura FIG-M02R-n2b_eps_hrvg_pbaja. M2R, parte n2b: 19 KALINA con η y ε en [0.40, 0.95].</t>
  </si>
  <si>
    <t>Caso(s): KF-M02R-n2b (bloque B04-n2b). Punto base: PP = datos del enunciado del profesor (T_fuente 623.15 K, P_alta 3000 kPa, P_baja 400 kPa, x_b 0.50)</t>
  </si>
  <si>
    <t>Filtro: bloque B04-n2b (KF-M02R-n2b).</t>
  </si>
  <si>
    <t>n = 64. Fuente: todos_los_puntos.csv.</t>
  </si>
  <si>
    <t>FIG-M02R-n3 · M2R, parte n3: 1 KALINA con η y ε en [0.40, 0.95]</t>
  </si>
  <si>
    <t>Figura FIG-M02R-n3_tfuente_eps_cond. M2R, parte n3: 1 KALINA con η y ε en [0.40, 0.95].</t>
  </si>
  <si>
    <t>Caso(s): KF-M02R-n3 (bloque B04-n3). Punto base: PP = datos del enunciado del profesor (T_fuente 623.15 K, P_alta 3000 kPa, P_baja 400 kPa, x_b 0.50)</t>
  </si>
  <si>
    <t>Filtro: bloque B04-n3 (KF-M02R-n3).</t>
  </si>
  <si>
    <t>n = 21. Fuente: todos_los_puntos.csv.</t>
  </si>
  <si>
    <t>KF-M02S · sumidero más frío con P_baja libre (B1–B3)</t>
  </si>
  <si>
    <t>FIG-M02S-01 · Un sumidero más frío baja la P_baja mínima de KALINA y sube η</t>
  </si>
  <si>
    <t>Figura FIG-M02S-01. Un sumidero más frío baja la P_baja mínima de KALINA y sube η.</t>
  </si>
  <si>
    <t>Caso(s): KF-M02S (bloque B05; figura de síntesis: cada base es su propio bloque y cada línea es una base).</t>
  </si>
  <si>
    <t>Base B1 (T_fuente = 403 K (A*)): Datos fijos: T_fuente = 403.0; P_alta = 3000.0; x_b = 0.5; m_b = 1.0; eta_t = 0.85; eta_p = 0.75; eps_hrvg = 0.85; eps_reg = 0.75; eps_cond = 0.8; motor = teqp. Datos barridos: P_baja; T_amb_diseno; T_sumidero.</t>
  </si>
  <si>
    <t>Base B2 (T_fuente = 420 K): Datos fijos: T_fuente = 420.0; P_alta = 3000.0; x_b = 0.5; m_b = 1.0; eta_t = 0.85; eta_p = 0.75; eps_hrvg = 0.85; eps_reg = 0.75; eps_cond = 0.8; motor = teqp. Datos barridos: P_baja; T_amb_diseno; T_sumidero.</t>
  </si>
  <si>
    <t>Base B3 (ε_HRVG = 0.40 (fuente del profesor)): Datos fijos: T_fuente = 623.15; P_alta = 3000.0; x_b = 0.5; m_b = 1.0; eta_t = 0.85; eta_p = 0.75; eps_hrvg = 0.4; eps_reg = 0.75; eps_cond = 0.8; motor = teqp. Datos barridos: P_baja; T_amb_diseno; T_sumidero.</t>
  </si>
  <si>
    <t>Base B4 (datos del profesor, T_fuente 623.15 K): 0 KALINA; no se dibuja (queda nombrada en el pie).</t>
  </si>
  <si>
    <t>Filtro: mínimos de P_baja y máximos de η de los KALINA por (base, T_sumidero).</t>
  </si>
  <si>
    <t>n = 15 puntos por panel (3 bases × 5 T_sumidero). Fuente: todos_los_puntos.csv.</t>
  </si>
  <si>
    <t>KF-M03 · sensibilidad local alrededor de A* (bloque B06)</t>
  </si>
  <si>
    <t>FIG-M03-01 · Cerca de A*, x_b y P_baja son las que más mueven η en su rango</t>
  </si>
  <si>
    <t>Figura FIG-M03-01. Cerca de A*, x_b y P_baja son las que más mueven η en su rango.</t>
  </si>
  <si>
    <t>Caso(s): KF-M03 (bloque B06). Punto base: A* = punto del profesor con T_fuente = 403 K y P_baja = 563.64 kPa (KALINA, η = 8.48 %)</t>
  </si>
  <si>
    <t>Filtro: B06 (KF-M03), malla, puntos genuinos con W_net &gt; 0.</t>
  </si>
  <si>
    <t>n = 123. Fuente: todos_los_puntos.csv.</t>
  </si>
  <si>
    <t>FIG-M03-02 · Pegado a A*, T_fuente es la variable más sensible (E = 10.9)</t>
  </si>
  <si>
    <t>Figura FIG-M03-02. Pegado a A*, T_fuente es la variable más sensible (E = 10.9).</t>
  </si>
  <si>
    <t>Filtro: m3_resumen.csv (E_eta de la malla).</t>
  </si>
  <si>
    <t>n = 10. Fuente: resultados/2026-10-06_final_M3/m3_resumen.csv.</t>
  </si>
  <si>
    <t>FIG-M03-03 · Eficiencia según cada variable, una a la vez, alrededor de A*</t>
  </si>
  <si>
    <t>Figura FIG-M03-03. Eficiencia según cada variable, una a la vez, alrededor de A*.</t>
  </si>
  <si>
    <t>Filtro: B06 (KF-M03), malla.</t>
  </si>
  <si>
    <t>n = 150. Fuente: todos_los_puntos.csv.</t>
  </si>
  <si>
    <t>FIG-M03-04 · A* está a menos del 6 % del rango de la frontera de O2 en 8 de 9 variables</t>
  </si>
  <si>
    <t>Figura FIG-M03-04. A* está a menos del 6 % del rango de la frontera de O2 en 8 de 9 variables.</t>
  </si>
  <si>
    <t>Filtro: m3_cruces.csv (tipo = margen).</t>
  </si>
  <si>
    <t>n = 9. Fuente: resultados/2026-10-06_final_M3/m3_cruces.csv.</t>
  </si>
  <si>
    <t>Rojo: frontera a menos del 6 % del rango.</t>
  </si>
  <si>
    <t>KF-M04 + KF-M04b · sensibilidad global (bloque B07, 500 puntos)</t>
  </si>
  <si>
    <t>FIG-M04-01 · Qué variables separan a los KALINA del resto (LHS de 452 puntos)</t>
  </si>
  <si>
    <t>Figura FIG-M04-01. Qué variables separan a los KALINA del resto (LHS de 452 puntos).</t>
  </si>
  <si>
    <t>Caso(s): KF-M04, KF-M04b (bloque B07). Punto base: Sin punto base: muestreo en la caja de rangos indicada en 'Datos barridos'</t>
  </si>
  <si>
    <t>Filtro: B07 (KF-M04 + KF-M04b), puntos genuinos.</t>
  </si>
  <si>
    <t>n = 452. Fuente: todos_los_puntos.csv.</t>
  </si>
  <si>
    <t>FIG-M04-02 · El 90 % de los KALINA tiene razón de presiones entre 1.7 y 5.3</t>
  </si>
  <si>
    <t>Figura FIG-M04-02. El 90 % de los KALINA tiene razón de presiones entre 1.7 y 5.3.</t>
  </si>
  <si>
    <t>Filtro: B07 (KF-M04 + KF-M04b).</t>
  </si>
  <si>
    <t>n = 500. Fuente: todos_los_puntos.csv.</t>
  </si>
  <si>
    <t>FIG-M04-03 · Influencia de cada variable sobre η (PRCC, 430 puntos)</t>
  </si>
  <si>
    <t>Figura FIG-M04-03. Influencia de cada variable sobre η (PRCC, 430 puntos).</t>
  </si>
  <si>
    <t>Filtro: m4b_prcc.csv (fila de salida = η).</t>
  </si>
  <si>
    <t>n = 430. Fuente: resultados/2026-10-07_final_M4b/m4b_prcc.csv.</t>
  </si>
  <si>
    <t>FIG-M04-04 · El 90 % de los KALINA tiene ΔP 968–3718 kPa y r_P 1.7–5.3</t>
  </si>
  <si>
    <t>Figura FIG-M04-04. El 90 % de los KALINA tiene ΔP 968–3718 kPa y r_P 1.7–5.3.</t>
  </si>
  <si>
    <t>Filtro: B07, puntos genuinos.</t>
  </si>
  <si>
    <t>KF-M04c · techo de P_baja (bloque B08)</t>
  </si>
  <si>
    <t>FIG-M04c-01 · Fracción de KALINA al subir P_baja entre 1500 y 2500 kPa</t>
  </si>
  <si>
    <t>Figura FIG-M04c-01. Fracción de KALINA al subir P_baja entre 1500 y 2500 kPa.</t>
  </si>
  <si>
    <t>Caso(s): KF-M04c (bloque B08). Punto base: Sin punto base: muestreo en la caja de rangos indicada en 'Datos barridos'</t>
  </si>
  <si>
    <t>Filtro: B08 (KF-M04c), puntos evaluados.</t>
  </si>
  <si>
    <t>n = 135. Fuente: todos_los_puntos.csv.</t>
  </si>
  <si>
    <t>KF-M05 y KF-M05c · conservación de datos del profesor</t>
  </si>
  <si>
    <t>FIG-M05-S1 · Escenario S1 (conserva sus temperaturas, T_fuente y T_sumidero): 4 KALINA de 119 evaluados, 2 confiables</t>
  </si>
  <si>
    <t>Figura FIG-M05-S1. Escenario S1 (conserva sus temperaturas, T_fuente y T_sumidero): 4 KALINA de 119 evaluados, 2 confiables.</t>
  </si>
  <si>
    <t>Caso(s): KF-M05-1 (bloque B09-1). Punto base: PP = datos del enunciado del profesor (T_fuente 623.15 K, P_alta 3000 kPa, P_baja 400 kPa, x_b 0.50)</t>
  </si>
  <si>
    <t>Filtro: todos los puntos evaluados (omitidos no se dibujan; marcador hueco = fuera del rango confiable).</t>
  </si>
  <si>
    <t>n = 119. Fuente: todos_los_puntos.csv.</t>
  </si>
  <si>
    <t>FIG-M05-S2 · Escenario S2 (conserva sus presiones, P_alta y P_baja): 0 KALINA de 120 evaluados, 0 confiables</t>
  </si>
  <si>
    <t>Figura FIG-M05-S2. Escenario S2 (conserva sus presiones, P_alta y P_baja): 0 KALINA de 120 evaluados, 0 confiables.</t>
  </si>
  <si>
    <t>Caso(s): KF-M05-2 (bloque B09-2). Punto base: PP = datos del enunciado del profesor (T_fuente 623.15 K, P_alta 3000 kPa, P_baja 400 kPa, x_b 0.50)</t>
  </si>
  <si>
    <t>n = 120. Fuente: todos_los_puntos.csv.</t>
  </si>
  <si>
    <t>FIG-M05-S3 · Escenario S3 (conserva sus presiones y su clima): 0 KALINA de 120 evaluados, 0 confiables</t>
  </si>
  <si>
    <t>Figura FIG-M05-S3. Escenario S3 (conserva sus presiones y su clima): 0 KALINA de 120 evaluados, 0 confiables.</t>
  </si>
  <si>
    <t>Caso(s): KF-M05-3 (bloque B09-3). Punto base: PP = datos del enunciado del profesor (T_fuente 623.15 K, P_alta 3000 kPa, P_baja 400 kPa, x_b 0.50)</t>
  </si>
  <si>
    <t>FIG-M05-S4 · Escenario S4 (conserva su P_alta y sus temperaturas): 6 KALINA de 120 evaluados, 0 confiables</t>
  </si>
  <si>
    <t>Figura FIG-M05-S4. Escenario S4 (conserva su P_alta y sus temperaturas): 6 KALINA de 120 evaluados, 0 confiables.</t>
  </si>
  <si>
    <t>Caso(s): KF-M05-4 (bloque B09-4). Punto base: PP = datos del enunciado del profesor (T_fuente 623.15 K, P_alta 3000 kPa, P_baja 400 kPa, x_b 0.50)</t>
  </si>
  <si>
    <t>FIG-M05-S5 · Escenario S5 (conserva su fuente y su composición, T_fuente y x_b): 10 KALINA de 119 evaluados, 0 confiables</t>
  </si>
  <si>
    <t>Figura FIG-M05-S5. Escenario S5 (conserva su fuente y su composición, T_fuente y x_b): 10 KALINA de 119 evaluados, 0 confiables.</t>
  </si>
  <si>
    <t>Caso(s): KF-M05-5 (bloque B09-5). Punto base: PP = datos del enunciado del profesor (T_fuente 623.15 K, P_alta 3000 kPa, P_baja 400 kPa, x_b 0.50)</t>
  </si>
  <si>
    <t>FIG-M05c-01 · Con las presiones del profesor hay KALINA desde T_fuente ≈ 390 K; con su clima (300 K) hace falta ε_cond ≥ 0.875</t>
  </si>
  <si>
    <t>Figura FIG-M05c-01. Con las presiones del profesor hay KALINA desde T_fuente ≈ 390 K; con su clima (300 K) hace falta ε_cond ≥ 0.875.</t>
  </si>
  <si>
    <t>Caso(s): KF-M05c (bloque B10). Punto base: PP con P_alta = 3000 kPa y P_baja = 400 kPa conservadas</t>
  </si>
  <si>
    <t>Filtro: todos los puntos de la malla (cuadrado verde = KALINA).</t>
  </si>
  <si>
    <t>n = 165. Fuente: todos_los_puntos.csv.</t>
  </si>
  <si>
    <t>KF-M06 (motor real), KF-M07 (máxima η) y KF-M09 (escalera de conservación)</t>
  </si>
  <si>
    <t>FIG-M06-01 · teqp y el motor real coinciden en los 5 puntos que el motor real resolvió</t>
  </si>
  <si>
    <t>Figura FIG-M06-01. teqp y el motor real coinciden en los 5 puntos que el motor real resolvió.</t>
  </si>
  <si>
    <t>Caso(s): KF-M06-VER y KF-M09-REAL (bloque B12; puntos de control, cada uno con sus propios datos, no comparables entre sí).</t>
  </si>
  <si>
    <t>Puntos: P03 = M5c, presiones del profesor, techo; P08 = M7, óptimo A4; A* = Ancla A*; A4 = Óptimo A4 de M7; HUS = Base de Húsavík.</t>
  </si>
  <si>
    <t>Sin η real (motor real cortado por el límite de 300 s, no por la física): P01, P02, P04, P05, P06, P07, P09, P10, P11, P12.</t>
  </si>
  <si>
    <t>Filtro: pares con η de ambos motores. Marcas: recta 1:1 y banda ±0.7 pp (incertidumbre del modelo de propiedades).</t>
  </si>
  <si>
    <t>n = 5. Fuente: m6_comparacion.csv y m9_motor_real.csv.</t>
  </si>
  <si>
    <t>FIG-M07-01 · La búsqueda llega a η = 15.6 % dentro de la región KALINA (equipos a 0.95)</t>
  </si>
  <si>
    <t>Figura FIG-M07-01. La búsqueda llega a η = 15.6 % dentro de la región KALINA (equipos a 0.95).</t>
  </si>
  <si>
    <t>Caso(s): KF-M07-A1 … A5 (bloques B11-A1 … B11-A5; figura de síntesis: cada línea es un arranque con sus propios datos conservados).</t>
  </si>
  <si>
    <t>A1 · libre (desde el mejor de M4b).</t>
  </si>
  <si>
    <t>A2 · libre (desde el mejor de M2S).</t>
  </si>
  <si>
    <t>A3 · conserva sus temperaturas.</t>
  </si>
  <si>
    <t>A4 · conserva sus presiones y su clima.</t>
  </si>
  <si>
    <t>A5 · conserva su fuente y su x_b (fuera de rango).</t>
  </si>
  <si>
    <t>Filtro: pasos aceptados de cada búsqueda (cada uno es KALINA genuino, D = 0).</t>
  </si>
  <si>
    <t>n = 41 pasos aceptados. Fuente: m7_trayectorias.csv.</t>
  </si>
  <si>
    <t>FIG-M09-01 · Se conservan 8 de los 10 datos de diseño del profesor y sigue habiendo KALINA</t>
  </si>
  <si>
    <t>Figura FIG-M09-01. Se conservan 8 de los 10 datos de diseño del profesor y sigue habiendo KALINA.</t>
  </si>
  <si>
    <t>Caso(s): KF-M09 (escalera de conservación; figura de síntesis: una barra por conjunto conservado). Punto base: PP = datos del enunciado del profesor (T_fuente 623.15 K, P_alta 3000 kPa, P_baja 400 kPa, x_b 0.50).</t>
  </si>
  <si>
    <t>Datos fijos: los 10 datos de diseño del profesor; cada barra conserva el subconjunto que indica su etiqueta.</t>
  </si>
  <si>
    <t>Datos barridos: 100 puntos (ronda 0) o 30 (rondas 1–3) por conjunto.</t>
  </si>
  <si>
    <t>Filtro: KALINA confiables por conjunto conservado; el elegido de cada ronda se resalta con borde negro.</t>
  </si>
  <si>
    <t>n = 18 conjuntos. Fuente: resultados/2026-10-08_final_M9/m9_escalera.csv.</t>
  </si>
  <si>
    <t>Verde oscuro: conjunto elegido en cada ronda.</t>
  </si>
  <si>
    <t>KF-M10 y KF-M10b · Húsavík (bloques B14)</t>
  </si>
  <si>
    <t>FIG-M10-01 · Húsavík: la P_baja mínima de KALINA sube con la fracción de amoníaco x_b</t>
  </si>
  <si>
    <t>Figura FIG-M10-01. Húsavík: la P_baja mínima de KALINA sube con la fracción de amoníaco x_b.</t>
  </si>
  <si>
    <t>Caso(s): KF-M10-MALLA, KF-M10b-MALLA (bloque B14-MALLA). Punto base: Ancla de Húsavík (Fase 3): P_alta 3300 kPa, P_baja 690 kPa, T_fuente 394.15 K, T_sumidero 278.15 K</t>
  </si>
  <si>
    <t>Datos barridos: P_baja [200–1200] kPa (8 valores); x_b [0.3–0.91] (9 valores).</t>
  </si>
  <si>
    <t>Filtro: todos los puntos de las dos mallas (mismos datos fijos); línea = P_baja mínima KALINA por x_b; x_b = 0.50 es KALINA con η &lt; 1.3 %.</t>
  </si>
  <si>
    <t>n = 118. Fuente: todos_los_puntos.csv.</t>
  </si>
  <si>
    <t>FIG-M10-02 · Húsavík: eficiencia según cada variable, una a la vez (casi todas rompen por O2)</t>
  </si>
  <si>
    <t>Figura FIG-M10-02. Húsavík: eficiencia según cada variable, una a la vez (casi todas rompen por O2).</t>
  </si>
  <si>
    <t>Caso(s): KF-M10-OFAT (bloque B14-OFAT). Punto base: Ancla de Húsavík (Fase 3): P_alta 3300 kPa, P_baja 690 kPa, T_fuente 394.15 K, T_sumidero 278.15 K</t>
  </si>
  <si>
    <t>Filtro: η solo en genuinos con W_net &gt; 0; ✕ sobre el eje = no genuino.</t>
  </si>
  <si>
    <t>KF-M10b-OFAT · η según x_b con P_baja = 690 kPa (ancla de Húsavík; 0 = sin η)</t>
  </si>
  <si>
    <t>Caso: KF-M10b-OFAT (bloque B14-OFATb). Datos fijos: ancla de Húsavík con P_baja = 690 kPa. Datos barridos: x_b 0.30–0.70 (17 valores). Por debajo de x_b = 0.50 no hay ningún punto genuino. Fuente: todos_los_puntos.csv.</t>
  </si>
  <si>
    <t>ANECDÓTICO — fuera del rango realista</t>
  </si>
  <si>
    <t>KF-M08: η y ε fuera de [0.40, 0.95]. No es un resultado de diseño ni entra en conclusiones.</t>
  </si>
  <si>
    <t>CORREGIBLE</t>
  </si>
  <si>
    <t>INVIABLE</t>
  </si>
  <si>
    <t>N2</t>
  </si>
  <si>
    <t>id_punto</t>
  </si>
  <si>
    <t>id_caso</t>
  </si>
  <si>
    <t>id_subcaso</t>
  </si>
  <si>
    <t>bloque_director</t>
  </si>
  <si>
    <t>tipo_punto</t>
  </si>
  <si>
    <t>clase_trazo</t>
  </si>
  <si>
    <t>clasificacion</t>
  </si>
  <si>
    <t>genuino</t>
  </si>
  <si>
    <t>kalina_confiable</t>
  </si>
  <si>
    <t>fuera_rango</t>
  </si>
  <si>
    <t>omitido</t>
  </si>
  <si>
    <t>eta_t</t>
  </si>
  <si>
    <t>eta_p</t>
  </si>
  <si>
    <t>eps_hrvg</t>
  </si>
  <si>
    <t>eps_reg</t>
  </si>
  <si>
    <t>eps_cond</t>
  </si>
  <si>
    <t>T_amb_diseno</t>
  </si>
  <si>
    <t>eta_pct</t>
  </si>
  <si>
    <t>Wnet</t>
  </si>
  <si>
    <t>codigos_falla</t>
  </si>
  <si>
    <t>variable</t>
  </si>
  <si>
    <t>KF-M01-P_alta-0000</t>
  </si>
  <si>
    <t>malla</t>
  </si>
  <si>
    <t>KF-M01-P_alta-0001</t>
  </si>
  <si>
    <t>KF-M01-P_alta-0002</t>
  </si>
  <si>
    <t>KF-M01-base-0000</t>
  </si>
  <si>
    <t>KF-M01-P_alta-0003</t>
  </si>
  <si>
    <t>KF-M01-P_alta-0004</t>
  </si>
  <si>
    <t>KF-M01-P_alta-0005</t>
  </si>
  <si>
    <t>KF-M01-P_alta-0006</t>
  </si>
  <si>
    <t>KF-M01-P_alta-0007</t>
  </si>
  <si>
    <t>KF-M01-x_b-0000</t>
  </si>
  <si>
    <t>KF-M01-P_alta-0008</t>
  </si>
  <si>
    <t>KF-M01-x_b-0001</t>
  </si>
  <si>
    <t>KF-M01-x_b-0002</t>
  </si>
  <si>
    <t>KF-M01-x_b-0003</t>
  </si>
  <si>
    <t>KF-M01-x_b-0004</t>
  </si>
  <si>
    <t>KF-M01-x_b-0005</t>
  </si>
  <si>
    <t>KF-M01-x_b-0006</t>
  </si>
  <si>
    <t>KF-M01-base-0001</t>
  </si>
  <si>
    <t>KF-M01-T_amb-0000</t>
  </si>
  <si>
    <t>KF-M01-T_amb-0001</t>
  </si>
  <si>
    <t>KF-M01-T_amb-0002</t>
  </si>
  <si>
    <t>KF-M01-T_amb-0003</t>
  </si>
  <si>
    <t>KF-M01-T_amb-0004</t>
  </si>
  <si>
    <t>KF-M01-T_amb-0005</t>
  </si>
  <si>
    <t>KF-M01-T_amb-0006</t>
  </si>
  <si>
    <t>KF-M01-T_amb-0007</t>
  </si>
  <si>
    <t>KF-M01-T_amb-0008</t>
  </si>
  <si>
    <t>KF-M01-T_amb-0009</t>
  </si>
  <si>
    <t>KF-M01-T_amb-0010</t>
  </si>
  <si>
    <t>KF-M01-T_amb-0011</t>
  </si>
  <si>
    <t>KF-M01-T_amb-0012</t>
  </si>
  <si>
    <t>KF-M01-T_amb-0013</t>
  </si>
  <si>
    <t>KF-M01-T_amb-0014</t>
  </si>
  <si>
    <t>KF-M01-T_amb-0015</t>
  </si>
  <si>
    <t>KF-M01-T_amb-0016</t>
  </si>
  <si>
    <t>KF-M01-T_amb-0017</t>
  </si>
  <si>
    <t>KF-M01-T_amb-0018</t>
  </si>
  <si>
    <t>KF-M01-T_amb-0019</t>
  </si>
  <si>
    <t>KF-M01-T_amb-0020</t>
  </si>
  <si>
    <t>KF-M01-T_amb-0021</t>
  </si>
  <si>
    <t>KF-M01-T_amb-0022</t>
  </si>
  <si>
    <t>KF-M01-T_amb-0023</t>
  </si>
  <si>
    <t>KF-M02-N1-0000</t>
  </si>
  <si>
    <t>KF-M02-N1-0001</t>
  </si>
  <si>
    <t>KF-M02-N1-0002</t>
  </si>
  <si>
    <t>KF-M02-N1-0003</t>
  </si>
  <si>
    <t>KF-M02-N1-0004</t>
  </si>
  <si>
    <t>KF-M02-N1-0005</t>
  </si>
  <si>
    <t>N2,O1,O2,O5,C1,C3,C3</t>
  </si>
  <si>
    <t>KF-M02-N1-0006</t>
  </si>
  <si>
    <t>KF-M02-N1-0007</t>
  </si>
  <si>
    <t>KF-M02-N1-0008</t>
  </si>
  <si>
    <t>KF-M02-N1-0009</t>
  </si>
  <si>
    <t>KF-M02-N1-0010</t>
  </si>
  <si>
    <t>KF-M02-N1-0011</t>
  </si>
  <si>
    <t>KF-M02-N1-0012</t>
  </si>
  <si>
    <t>KF-M02-N1-0013</t>
  </si>
  <si>
    <t>KF-M02-N1-0014</t>
  </si>
  <si>
    <t>KF-M02-N1-0015</t>
  </si>
  <si>
    <t>KF-M02-N1-0016</t>
  </si>
  <si>
    <t>KF-M02-N1-0017</t>
  </si>
  <si>
    <t>KF-M02-N1-0018</t>
  </si>
  <si>
    <t>KF-M02-N1-0019</t>
  </si>
  <si>
    <t>KF-M02-N1-0020</t>
  </si>
  <si>
    <t>KF-M02-N1-0021</t>
  </si>
  <si>
    <t>KF-M02-N1-0022</t>
  </si>
  <si>
    <t>KF-M02-N1-0023</t>
  </si>
  <si>
    <t>KF-M02-N1-0024</t>
  </si>
  <si>
    <t>KF-M02-N1-0025</t>
  </si>
  <si>
    <t>KF-M02-N1-0026</t>
  </si>
  <si>
    <t>KF-M02-N1-0027</t>
  </si>
  <si>
    <t>KF-M02-N1-0028</t>
  </si>
  <si>
    <t>KF-M02-N1-0029</t>
  </si>
  <si>
    <t>O1,O2,O5</t>
  </si>
  <si>
    <t>KF-M02-N1-0030</t>
  </si>
  <si>
    <t>KF-M02-N1-0031</t>
  </si>
  <si>
    <t>KF-M02-N1-0032</t>
  </si>
  <si>
    <t>KF-M02-N1-0033</t>
  </si>
  <si>
    <t>KF-M02-N1-0034</t>
  </si>
  <si>
    <t>KF-M02-N1-0035</t>
  </si>
  <si>
    <t>KF-M02-N1-0036</t>
  </si>
  <si>
    <t>KF-M02-N1-0037</t>
  </si>
  <si>
    <t>KF-M02-N1-0038</t>
  </si>
  <si>
    <t>KF-M02-N1-0039</t>
  </si>
  <si>
    <t>KF-M02-N1-0040</t>
  </si>
  <si>
    <t>KF-M02-N1-0041</t>
  </si>
  <si>
    <t>KF-M02-N1-0042</t>
  </si>
  <si>
    <t>KF-M02-N1-0043</t>
  </si>
  <si>
    <t>KF-M02-N1-0044</t>
  </si>
  <si>
    <t>KF-M02-N1-0045</t>
  </si>
  <si>
    <t>KF-M02-N1-0046</t>
  </si>
  <si>
    <t>KF-M02-N1-0047</t>
  </si>
  <si>
    <t>KF-M02-N1-0048</t>
  </si>
  <si>
    <t>KF-M02-N1-0049</t>
  </si>
  <si>
    <t>KF-M02-N1-0050</t>
  </si>
  <si>
    <t>O1,O2</t>
  </si>
  <si>
    <t>KF-M02-N1-0051</t>
  </si>
  <si>
    <t>KF-M02-N1-0052</t>
  </si>
  <si>
    <t>KF-M02-N1-0053</t>
  </si>
  <si>
    <t>KF-M02-N1-0054</t>
  </si>
  <si>
    <t>KF-M02-N1-0055</t>
  </si>
  <si>
    <t>KF-M02-N1-0056</t>
  </si>
  <si>
    <t>KF-M02-N1-0057</t>
  </si>
  <si>
    <t>KF-M02-N1-0058</t>
  </si>
  <si>
    <t>KF-M02-N1-0059</t>
  </si>
  <si>
    <t>KF-M02-N1-0060</t>
  </si>
  <si>
    <t>KF-M02-N1-0061</t>
  </si>
  <si>
    <t>KF-M02-N1-0062</t>
  </si>
  <si>
    <t>KF-M02-N1-0063</t>
  </si>
  <si>
    <t>KF-M02-N1-0064</t>
  </si>
  <si>
    <t>KF-M02-N1-0065</t>
  </si>
  <si>
    <t>KF-M02-N1-0066</t>
  </si>
  <si>
    <t>KF-M02-N1-0067</t>
  </si>
  <si>
    <t>KF-M02-N1-0068</t>
  </si>
  <si>
    <t>KF-M02-N1-0069</t>
  </si>
  <si>
    <t>KF-M02-N1-0070</t>
  </si>
  <si>
    <t>KF-M02-N1-0071</t>
  </si>
  <si>
    <t>KF-M02-N1-0072</t>
  </si>
  <si>
    <t>KF-M02-N1-0073</t>
  </si>
  <si>
    <t>KF-M02-N1-0074</t>
  </si>
  <si>
    <t>KF-M02-N1-0075</t>
  </si>
  <si>
    <t>KF-M02-N1-0076</t>
  </si>
  <si>
    <t>KF-M02-N1-0077</t>
  </si>
  <si>
    <t>KF-M02-N1-0078</t>
  </si>
  <si>
    <t>KF-M02-N1-0079</t>
  </si>
  <si>
    <t>KF-M02-N1-0080</t>
  </si>
  <si>
    <t>KF-M02-N1-0081</t>
  </si>
  <si>
    <t>KF-M02-N1-0082</t>
  </si>
  <si>
    <t>KF-M02-N1-0083</t>
  </si>
  <si>
    <t>KF-M02-N1-0084</t>
  </si>
  <si>
    <t>KF-M02-N1-0085</t>
  </si>
  <si>
    <t>KF-M02-N1-0086</t>
  </si>
  <si>
    <t>N2,S6,O3,O5,C1,C3,C3</t>
  </si>
  <si>
    <t>KF-M02-N1-0087</t>
  </si>
  <si>
    <t>KF-M02-N1-0088</t>
  </si>
  <si>
    <t>KF-M02-N1-0089</t>
  </si>
  <si>
    <t>KF-M02-N1-0090</t>
  </si>
  <si>
    <t>KF-M02-N1-0091</t>
  </si>
  <si>
    <t>KF-M02-N1-0092</t>
  </si>
  <si>
    <t>KF-M02-N1-0093</t>
  </si>
  <si>
    <t>KF-M02-N1-0094</t>
  </si>
  <si>
    <t>KF-M02-N1-0095</t>
  </si>
  <si>
    <t>KF-M02-N1-0096</t>
  </si>
  <si>
    <t>KF-M02-N1-0097</t>
  </si>
  <si>
    <t>KF-M02-N1-0098</t>
  </si>
  <si>
    <t>KF-M02-N1-0099</t>
  </si>
  <si>
    <t>KF-M02-N1-0100</t>
  </si>
  <si>
    <t>biseccion</t>
  </si>
  <si>
    <t>KF-M02-N1-0101</t>
  </si>
  <si>
    <t>KF-M02-N1-0102</t>
  </si>
  <si>
    <t>KF-M02-N1-0103</t>
  </si>
  <si>
    <t>KF-M02-N1-0104</t>
  </si>
  <si>
    <t>KF-M02-N1-0105</t>
  </si>
  <si>
    <t>KF-M02-N1-0106</t>
  </si>
  <si>
    <t>KF-M02-N1-0107</t>
  </si>
  <si>
    <t>KF-M02-N1-0108</t>
  </si>
  <si>
    <t>KF-M02-N1-0109</t>
  </si>
  <si>
    <t>KF-M02-N1-0110</t>
  </si>
  <si>
    <t>KF-M02-N1-0111</t>
  </si>
  <si>
    <t>KF-M02-N1-0112</t>
  </si>
  <si>
    <t>KF-M02-N1-0113</t>
  </si>
  <si>
    <t>KF-M02-N1-0114</t>
  </si>
  <si>
    <t>KF-M02-N1-0115</t>
  </si>
  <si>
    <t>KF-M02-N1-0116</t>
  </si>
  <si>
    <t>KF-M02-N1-0117</t>
  </si>
  <si>
    <t>KF-M02-N1-0118</t>
  </si>
  <si>
    <t>KF-M02-N1-0119</t>
  </si>
  <si>
    <t>KF-M02-N1-0120</t>
  </si>
  <si>
    <t>KF-M02-N1-0121</t>
  </si>
  <si>
    <t>KF-M02-N1-0122</t>
  </si>
  <si>
    <t>KF-M02-N1-0123</t>
  </si>
  <si>
    <t>KF-M02-N1-0124</t>
  </si>
  <si>
    <t>KF-M02-N1-0125</t>
  </si>
  <si>
    <t>KF-M02-N1-0126</t>
  </si>
  <si>
    <t>KF-M02-N1-0127</t>
  </si>
  <si>
    <t>KF-M02-N1-0128</t>
  </si>
  <si>
    <t>KF-M02-N1-0129</t>
  </si>
  <si>
    <t>KF-M02-N1-0130</t>
  </si>
  <si>
    <t>KF-M02-N1-0131</t>
  </si>
  <si>
    <t>KF-M02-N2-A-0000</t>
  </si>
  <si>
    <t>B03-A</t>
  </si>
  <si>
    <t>KF-M02-N2-A-0001</t>
  </si>
  <si>
    <t>KF-M02-N2-A-0002</t>
  </si>
  <si>
    <t>KF-M02-N2-A-0003</t>
  </si>
  <si>
    <t>KF-M02-N2-A-0004</t>
  </si>
  <si>
    <t>KF-M02-N2-A-0005</t>
  </si>
  <si>
    <t>KF-M02-N2-A-0006</t>
  </si>
  <si>
    <t>KF-M02-N2-A-0007</t>
  </si>
  <si>
    <t>KF-M02-N2-A-0008</t>
  </si>
  <si>
    <t>KF-M02-N2-A-0009</t>
  </si>
  <si>
    <t>KF-M02-N2-A-0010</t>
  </si>
  <si>
    <t>KF-M02-N2-A-0011</t>
  </si>
  <si>
    <t>KF-M02-N2-A-0012</t>
  </si>
  <si>
    <t>KF-M02-N2-A-0013</t>
  </si>
  <si>
    <t>KF-M02-N2-A-0014</t>
  </si>
  <si>
    <t>KF-M02-N2-A-0015</t>
  </si>
  <si>
    <t>KF-M02-N2-A-0016</t>
  </si>
  <si>
    <t>KF-M02-N2-A-0017</t>
  </si>
  <si>
    <t>KF-M02-N2-A-0018</t>
  </si>
  <si>
    <t>KF-M02-N2-A-0019</t>
  </si>
  <si>
    <t>KF-M02-N2-A-0020</t>
  </si>
  <si>
    <t>KF-M02-N2-A-0021</t>
  </si>
  <si>
    <t>KF-M02-N2-A-0022</t>
  </si>
  <si>
    <t>KF-M02-N2-A-0023</t>
  </si>
  <si>
    <t>KF-M02-N2-A-0024</t>
  </si>
  <si>
    <t>KF-M02-N2-A-0025</t>
  </si>
  <si>
    <t>KF-M02-N2-A-0026</t>
  </si>
  <si>
    <t>KF-M02-N2-A-0027</t>
  </si>
  <si>
    <t>KF-M02-N2-A-0028</t>
  </si>
  <si>
    <t>KF-M02-N2-A-0029</t>
  </si>
  <si>
    <t>KF-M02-N2-A-0030</t>
  </si>
  <si>
    <t>KF-M02-N2-A-0031</t>
  </si>
  <si>
    <t>KF-M02-N2-A-0032</t>
  </si>
  <si>
    <t>KF-M02-N2-A-0033</t>
  </si>
  <si>
    <t>KF-M02-N2-A-0034</t>
  </si>
  <si>
    <t>KF-M02-N2-A-0035</t>
  </si>
  <si>
    <t>KF-M02-N2-B-0000</t>
  </si>
  <si>
    <t>B03-B</t>
  </si>
  <si>
    <t>KF-M02-N2-B-0001</t>
  </si>
  <si>
    <t>KF-M02-N2-B-0002</t>
  </si>
  <si>
    <t>KF-M02-N2-B-0003</t>
  </si>
  <si>
    <t>KF-M02-N2-B-0004</t>
  </si>
  <si>
    <t>KF-M02-N2-B-0005</t>
  </si>
  <si>
    <t>KF-M02-N2-B-0006</t>
  </si>
  <si>
    <t>KF-M02-N2-B-0007</t>
  </si>
  <si>
    <t>KF-M02-N2-B-0008</t>
  </si>
  <si>
    <t>KF-M02-N2-B-0009</t>
  </si>
  <si>
    <t>KF-M02-N2-B-0010</t>
  </si>
  <si>
    <t>KF-M02-N2-B-0011</t>
  </si>
  <si>
    <t>KF-M02-N2-B-0012</t>
  </si>
  <si>
    <t>KF-M02-N2-B-0013</t>
  </si>
  <si>
    <t>KF-M02-N2-B-0014</t>
  </si>
  <si>
    <t>KF-M02-N2-B-0015</t>
  </si>
  <si>
    <t>KF-M02-N2-B-0016</t>
  </si>
  <si>
    <t>KF-M02-N2-B-0017</t>
  </si>
  <si>
    <t>KF-M02-N2-B-0018</t>
  </si>
  <si>
    <t>KF-M02-N2-B-0019</t>
  </si>
  <si>
    <t>KF-M02-N2-B-0020</t>
  </si>
  <si>
    <t>KF-M02-N2-B-0021</t>
  </si>
  <si>
    <t>KF-M02-N2-B-0022</t>
  </si>
  <si>
    <t>KF-M02-N2-B-0023</t>
  </si>
  <si>
    <t>KF-M02-N2-B-0024</t>
  </si>
  <si>
    <t>KF-M02-N2-B-0025</t>
  </si>
  <si>
    <t>KF-M02-N2-B-0026</t>
  </si>
  <si>
    <t>KF-M02-N2-B-0027</t>
  </si>
  <si>
    <t>KF-M02-N2-B-0028</t>
  </si>
  <si>
    <t>KF-M02-N2-B-0029</t>
  </si>
  <si>
    <t>KF-M02-N2-B-0030</t>
  </si>
  <si>
    <t>KF-M02-N2-B-0031</t>
  </si>
  <si>
    <t>KF-M02-N2-B-0032</t>
  </si>
  <si>
    <t>KF-M02-N2-B-0033</t>
  </si>
  <si>
    <t>KF-M02-N2-B-0034</t>
  </si>
  <si>
    <t>KF-M02-N2-B-0035</t>
  </si>
  <si>
    <t>KF-M02-N2-B-0036</t>
  </si>
  <si>
    <t>KF-M02-N2-B-0037</t>
  </si>
  <si>
    <t>KF-M02-N2-B-0038</t>
  </si>
  <si>
    <t>KF-M02-N2-B-0039</t>
  </si>
  <si>
    <t>KF-M02-N2-B-0040</t>
  </si>
  <si>
    <t>KF-M02-N2-B-0041</t>
  </si>
  <si>
    <t>KF-M02-N2-B-0042</t>
  </si>
  <si>
    <t>KF-M02-N2-B-0043</t>
  </si>
  <si>
    <t>KF-M02-N2-B-0044</t>
  </si>
  <si>
    <t>KF-M02-N2-B-0045</t>
  </si>
  <si>
    <t>KF-M02-N2-B-0046</t>
  </si>
  <si>
    <t>KF-M02-N2-B-0047</t>
  </si>
  <si>
    <t>KF-M02-N2-B-0048</t>
  </si>
  <si>
    <t>KF-M02-N2-B-0049</t>
  </si>
  <si>
    <t>KF-M02-N2-B-0050</t>
  </si>
  <si>
    <t>KF-M02-N2-B-0051</t>
  </si>
  <si>
    <t>KF-M02-N2-B-0052</t>
  </si>
  <si>
    <t>KF-M02-N2-B-0053</t>
  </si>
  <si>
    <t>KF-M02-N2-B-0054</t>
  </si>
  <si>
    <t>KF-M02-N2-B-0055</t>
  </si>
  <si>
    <t>KF-M02-N2-B-0056</t>
  </si>
  <si>
    <t>KF-M02-N2-B-0057</t>
  </si>
  <si>
    <t>KF-M02-N2-B-0058</t>
  </si>
  <si>
    <t>KF-M02-N2-B-0059</t>
  </si>
  <si>
    <t>KF-M02-N2-B-0060</t>
  </si>
  <si>
    <t>KF-M02-N2-B-0061</t>
  </si>
  <si>
    <t>KF-M02-N2-B-0062</t>
  </si>
  <si>
    <t>KF-M02-N2-B-0063</t>
  </si>
  <si>
    <t>KF-M02-N2-B-0064</t>
  </si>
  <si>
    <t>KF-M02-N2-B-0065</t>
  </si>
  <si>
    <t>KF-M02-N2-B-0066</t>
  </si>
  <si>
    <t>KF-M02-N2-B-0067</t>
  </si>
  <si>
    <t>KF-M02-N2-B-0068</t>
  </si>
  <si>
    <t>KF-M02-N2-B-0069</t>
  </si>
  <si>
    <t>KF-M02-N2-B-0070</t>
  </si>
  <si>
    <t>KF-M02-N2-B-0071</t>
  </si>
  <si>
    <t>KF-M02-N2-B-0072</t>
  </si>
  <si>
    <t>KF-M02-N2-B-0073</t>
  </si>
  <si>
    <t>KF-M02-N2-B-0074</t>
  </si>
  <si>
    <t>KF-M02-N2-B-0075</t>
  </si>
  <si>
    <t>KF-M02-N2-B-0076</t>
  </si>
  <si>
    <t>KF-M02-N2-B-0077</t>
  </si>
  <si>
    <t>KF-M02-N2-B-0078</t>
  </si>
  <si>
    <t>KF-M02-N2-B-0079</t>
  </si>
  <si>
    <t>KF-M02-N2-B-0080</t>
  </si>
  <si>
    <t>KF-M02-N2-B-0081</t>
  </si>
  <si>
    <t>KF-M02-N2-B-0082</t>
  </si>
  <si>
    <t>KF-M02-N2-B-0083</t>
  </si>
  <si>
    <t>KF-M02-N2-B-0084</t>
  </si>
  <si>
    <t>KF-M02-N2-B-0085</t>
  </si>
  <si>
    <t>KF-M02-N2-B-0086</t>
  </si>
  <si>
    <t>KF-M02-N2-B-0087</t>
  </si>
  <si>
    <t>KF-M02-N2-B-0088</t>
  </si>
  <si>
    <t>KF-M02-N2-B-0089</t>
  </si>
  <si>
    <t>KF-M02-N2-B-0090</t>
  </si>
  <si>
    <t>KF-M02-N2-B-0091</t>
  </si>
  <si>
    <t>KF-M02-N2-B-0092</t>
  </si>
  <si>
    <t>KF-M02-N2-B-0093</t>
  </si>
  <si>
    <t>KF-M02-N2-B-0094</t>
  </si>
  <si>
    <t>KF-M02-N2-B-0095</t>
  </si>
  <si>
    <t>KF-M02-N2-B-0096</t>
  </si>
  <si>
    <t>KF-M02-N2-B-0097</t>
  </si>
  <si>
    <t>KF-M02-N2-B-0098</t>
  </si>
  <si>
    <t>KF-M02-N2-B-0099</t>
  </si>
  <si>
    <t>KF-M02-N2-B-0100</t>
  </si>
  <si>
    <t>KF-M02-N2-B-0101</t>
  </si>
  <si>
    <t>KF-M02-N2-B-0102</t>
  </si>
  <si>
    <t>KF-M02-N2-B-0103</t>
  </si>
  <si>
    <t>KF-M02-N2-B-0104</t>
  </si>
  <si>
    <t>KF-M02-N2-B-0105</t>
  </si>
  <si>
    <t>KF-M02-N2-B-0106</t>
  </si>
  <si>
    <t>KF-M02-N2-B-0107</t>
  </si>
  <si>
    <t>KF-M02-N2-B-0108</t>
  </si>
  <si>
    <t>KF-M02-N2-B-0109</t>
  </si>
  <si>
    <t>KF-M02-N2-B-0110</t>
  </si>
  <si>
    <t>KF-M02-N2-B-0111</t>
  </si>
  <si>
    <t>KF-M02-N2-B-0112</t>
  </si>
  <si>
    <t>KF-M02-N2-B-0113</t>
  </si>
  <si>
    <t>KF-M02-N2-B-0114</t>
  </si>
  <si>
    <t>KF-M02-N2-B-0115</t>
  </si>
  <si>
    <t>KF-M02-N2-B-0116</t>
  </si>
  <si>
    <t>KF-M02-N2-B-0117</t>
  </si>
  <si>
    <t>KF-M02-N2-B-0118</t>
  </si>
  <si>
    <t>KF-M02-N2-B-0119</t>
  </si>
  <si>
    <t>KF-M02-N2-B-0120</t>
  </si>
  <si>
    <t>KF-M02-N2-B-0121</t>
  </si>
  <si>
    <t>KF-M02-N2-B-0122</t>
  </si>
  <si>
    <t>KF-M02-N2-B-0123</t>
  </si>
  <si>
    <t>KF-M02-N2-B-0124</t>
  </si>
  <si>
    <t>KF-M02-N2-B-0125</t>
  </si>
  <si>
    <t>KF-M02-N2-B-0126</t>
  </si>
  <si>
    <t>KF-M02-N2-B-0127</t>
  </si>
  <si>
    <t>KF-M02-N2-B-0128</t>
  </si>
  <si>
    <t>KF-M02-N2-B-0129</t>
  </si>
  <si>
    <t>KF-M02-N2-B-0130</t>
  </si>
  <si>
    <t>KF-M02-N2-B-0131</t>
  </si>
  <si>
    <t>KF-M02-N2-B-0132</t>
  </si>
  <si>
    <t>KF-M02-N2-B-0133</t>
  </si>
  <si>
    <t>KF-M02-N2-B-0134</t>
  </si>
  <si>
    <t>KF-M02-N2-B-0135</t>
  </si>
  <si>
    <t>KF-M02-N2-B-0136</t>
  </si>
  <si>
    <t>KF-M02-N2-B-0137</t>
  </si>
  <si>
    <t>KF-M02-N2-B-0138</t>
  </si>
  <si>
    <t>KF-M02-N2-B-0139</t>
  </si>
  <si>
    <t>KF-M02-N2-B-0140</t>
  </si>
  <si>
    <t>KF-M02-N2-B-0141</t>
  </si>
  <si>
    <t>KF-M02-N2-B-0142</t>
  </si>
  <si>
    <t>KF-M02-N2-B-0143</t>
  </si>
  <si>
    <t>KF-M02R-n1-0000</t>
  </si>
  <si>
    <t>B04-n1</t>
  </si>
  <si>
    <t>KF-M02R-n1-0001</t>
  </si>
  <si>
    <t>KF-M02R-n1-0002</t>
  </si>
  <si>
    <t>KF-M02R-n1-0003</t>
  </si>
  <si>
    <t>KF-M02R-n1-0004</t>
  </si>
  <si>
    <t>KF-M02R-n1-0005</t>
  </si>
  <si>
    <t>KF-M02R-n1-0006</t>
  </si>
  <si>
    <t>KF-M02R-n1-0007</t>
  </si>
  <si>
    <t>KF-M02R-n1-0008</t>
  </si>
  <si>
    <t>KF-M02R-n1-0009</t>
  </si>
  <si>
    <t>KF-M02R-n1-0010</t>
  </si>
  <si>
    <t>KF-M02R-n1-0011</t>
  </si>
  <si>
    <t>KF-M02R-n1-0012</t>
  </si>
  <si>
    <t>KF-M02R-n1-0013</t>
  </si>
  <si>
    <t>KF-M02R-n1-0014</t>
  </si>
  <si>
    <t>KF-M02R-n1-0015</t>
  </si>
  <si>
    <t>KF-M02R-n1-0016</t>
  </si>
  <si>
    <t>KF-M02R-n1-0017</t>
  </si>
  <si>
    <t>KF-M02R-n1-0018</t>
  </si>
  <si>
    <t>KF-M02R-n1-0019</t>
  </si>
  <si>
    <t>KF-M02R-n1-0020</t>
  </si>
  <si>
    <t>KF-M02R-n1-0021</t>
  </si>
  <si>
    <t>KF-M02R-n1-0022</t>
  </si>
  <si>
    <t>KF-M02R-n1-0023</t>
  </si>
  <si>
    <t>KF-M02R-n1-0024</t>
  </si>
  <si>
    <t>KF-M02R-n1-0025</t>
  </si>
  <si>
    <t>KF-M02R-n1-0026</t>
  </si>
  <si>
    <t>KF-M02R-n1-0027</t>
  </si>
  <si>
    <t>KF-M02R-n1-0028</t>
  </si>
  <si>
    <t>KF-M02R-n1-0029</t>
  </si>
  <si>
    <t>KF-M02R-n1-0030</t>
  </si>
  <si>
    <t>KF-M02R-n1-0031</t>
  </si>
  <si>
    <t>KF-M02R-n1-0032</t>
  </si>
  <si>
    <t>KF-M02R-n1-0033</t>
  </si>
  <si>
    <t>KF-M02R-n1-0034</t>
  </si>
  <si>
    <t>KF-M02R-n1-0035</t>
  </si>
  <si>
    <t>KF-M02R-n1-0036</t>
  </si>
  <si>
    <t>KF-M02R-n1-0037</t>
  </si>
  <si>
    <t>KF-M02R-n1-0038</t>
  </si>
  <si>
    <t>KF-M02R-n1-0039</t>
  </si>
  <si>
    <t>KF-M02R-n1-0040</t>
  </si>
  <si>
    <t>KF-M02R-n1-0041</t>
  </si>
  <si>
    <t>KF-M02R-n1-0042</t>
  </si>
  <si>
    <t>KF-M02R-n1-0043</t>
  </si>
  <si>
    <t>KF-M02R-n1-0044</t>
  </si>
  <si>
    <t>KF-M02R-n1-0045</t>
  </si>
  <si>
    <t>KF-M02R-n1-0046</t>
  </si>
  <si>
    <t>KF-M02R-n1-0047</t>
  </si>
  <si>
    <t>KF-M02R-n1-0048</t>
  </si>
  <si>
    <t>KF-M02R-n1-0049</t>
  </si>
  <si>
    <t>KF-M02R-n1-0050</t>
  </si>
  <si>
    <t>KF-M02R-n1-0051</t>
  </si>
  <si>
    <t>KF-M02R-n1-0052</t>
  </si>
  <si>
    <t>KF-M02R-n1-0053</t>
  </si>
  <si>
    <t>KF-M02R-n1-0054</t>
  </si>
  <si>
    <t>KF-M02R-n1-0055</t>
  </si>
  <si>
    <t>KF-M02R-n1-0056</t>
  </si>
  <si>
    <t>KF-M02R-n1-0057</t>
  </si>
  <si>
    <t>KF-M02R-n1-0058</t>
  </si>
  <si>
    <t>KF-M02R-n1-0059</t>
  </si>
  <si>
    <t>KF-M02R-n1-0060</t>
  </si>
  <si>
    <t>KF-M02R-n1-0061</t>
  </si>
  <si>
    <t>KF-M02R-n1-0062</t>
  </si>
  <si>
    <t>KF-M02R-n1-0063</t>
  </si>
  <si>
    <t>KF-M02R-n1-0064</t>
  </si>
  <si>
    <t>KF-M02R-n1-0065</t>
  </si>
  <si>
    <t>KF-M02R-n1-0066</t>
  </si>
  <si>
    <t>KF-M02R-n1-0067</t>
  </si>
  <si>
    <t>KF-M02R-n1-0068</t>
  </si>
  <si>
    <t>KF-M02R-n1-0069</t>
  </si>
  <si>
    <t>KF-M02R-n1-0070</t>
  </si>
  <si>
    <t>KF-M02R-n1-0071</t>
  </si>
  <si>
    <t>KF-M02R-n1-0072</t>
  </si>
  <si>
    <t>KF-M02R-n1-0073</t>
  </si>
  <si>
    <t>KF-M02R-n1-0074</t>
  </si>
  <si>
    <t>KF-M02R-n1-0075</t>
  </si>
  <si>
    <t>KF-M02R-n1-0076</t>
  </si>
  <si>
    <t>KF-M02R-n1-0077</t>
  </si>
  <si>
    <t>KF-M02R-n1-0078</t>
  </si>
  <si>
    <t>KF-M02R-n1-0079</t>
  </si>
  <si>
    <t>KF-M02R-n2a-0000</t>
  </si>
  <si>
    <t>B04-n2a</t>
  </si>
  <si>
    <t>KF-M02R-n2a-0001</t>
  </si>
  <si>
    <t>KF-M02R-n2a-0002</t>
  </si>
  <si>
    <t>KF-M02R-n2a-0003</t>
  </si>
  <si>
    <t>KF-M02R-n2a-0004</t>
  </si>
  <si>
    <t>KF-M02R-n2a-0005</t>
  </si>
  <si>
    <t>KF-M02R-n2a-0006</t>
  </si>
  <si>
    <t>KF-M02R-n2a-0007</t>
  </si>
  <si>
    <t>KF-M02R-n2a-0008</t>
  </si>
  <si>
    <t>KF-M02R-n2a-0009</t>
  </si>
  <si>
    <t>KF-M02R-n2a-0010</t>
  </si>
  <si>
    <t>KF-M02R-n2a-0011</t>
  </si>
  <si>
    <t>KF-M02R-n2a-0012</t>
  </si>
  <si>
    <t>KF-M02R-n2a-0013</t>
  </si>
  <si>
    <t>KF-M02R-n2a-0014</t>
  </si>
  <si>
    <t>KF-M02R-n2a-0015</t>
  </si>
  <si>
    <t>KF-M02R-n2a-0016</t>
  </si>
  <si>
    <t>KF-M02R-n2a-0017</t>
  </si>
  <si>
    <t>KF-M02R-n2a-0018</t>
  </si>
  <si>
    <t>KF-M02R-n2a-0019</t>
  </si>
  <si>
    <t>KF-M02R-n2a-0020</t>
  </si>
  <si>
    <t>KF-M02R-n2a-0021</t>
  </si>
  <si>
    <t>KF-M02R-n2a-0022</t>
  </si>
  <si>
    <t>KF-M02R-n2a-0023</t>
  </si>
  <si>
    <t>KF-M02R-n2a-0024</t>
  </si>
  <si>
    <t>KF-M02R-n2a-0025</t>
  </si>
  <si>
    <t>KF-M02R-n2a-0026</t>
  </si>
  <si>
    <t>KF-M02R-n2a-0027</t>
  </si>
  <si>
    <t>KF-M02R-n2a-0028</t>
  </si>
  <si>
    <t>KF-M02R-n2a-0029</t>
  </si>
  <si>
    <t>KF-M02R-n2a-0030</t>
  </si>
  <si>
    <t>KF-M02R-n2a-0031</t>
  </si>
  <si>
    <t>KF-M02R-n2a-0032</t>
  </si>
  <si>
    <t>KF-M02R-n2a-0033</t>
  </si>
  <si>
    <t>KF-M02R-n2a-0034</t>
  </si>
  <si>
    <t>KF-M02R-n2a-0035</t>
  </si>
  <si>
    <t>KF-M02R-n2a-0036</t>
  </si>
  <si>
    <t>KF-M02R-n2a-0037</t>
  </si>
  <si>
    <t>KF-M02R-n2a-0038</t>
  </si>
  <si>
    <t>KF-M02R-n2a-0039</t>
  </si>
  <si>
    <t>KF-M02R-n2a-0040</t>
  </si>
  <si>
    <t>KF-M02R-n2a-0041</t>
  </si>
  <si>
    <t>KF-M02R-n2a-0042</t>
  </si>
  <si>
    <t>KF-M02R-n2a-0043</t>
  </si>
  <si>
    <t>KF-M02R-n2a-0044</t>
  </si>
  <si>
    <t>KF-M02R-n2a-0045</t>
  </si>
  <si>
    <t>KF-M02R-n2a-0046</t>
  </si>
  <si>
    <t>KF-M02R-n2a-0047</t>
  </si>
  <si>
    <t>KF-M02R-n2a-0048</t>
  </si>
  <si>
    <t>KF-M02R-n2a-0049</t>
  </si>
  <si>
    <t>KF-M02R-n2a-0050</t>
  </si>
  <si>
    <t>KF-M02R-n2a-0051</t>
  </si>
  <si>
    <t>KF-M02R-n2a-0052</t>
  </si>
  <si>
    <t>KF-M02R-n2a-0053</t>
  </si>
  <si>
    <t>KF-M02R-n2a-0054</t>
  </si>
  <si>
    <t>KF-M02R-n2a-0055</t>
  </si>
  <si>
    <t>KF-M02R-n2a-0056</t>
  </si>
  <si>
    <t>KF-M02R-n2a-0057</t>
  </si>
  <si>
    <t>KF-M02R-n2a-0058</t>
  </si>
  <si>
    <t>KF-M02R-n2a-0059</t>
  </si>
  <si>
    <t>KF-M02R-n2b-0000</t>
  </si>
  <si>
    <t>B04-n2b</t>
  </si>
  <si>
    <t>KF-M02R-n2b-0001</t>
  </si>
  <si>
    <t>KF-M02R-n2b-0002</t>
  </si>
  <si>
    <t>KF-M02R-n2b-0003</t>
  </si>
  <si>
    <t>KF-M02R-n2b-0004</t>
  </si>
  <si>
    <t>KF-M02R-n2b-0005</t>
  </si>
  <si>
    <t>KF-M02R-n2b-0006</t>
  </si>
  <si>
    <t>KF-M02R-n2b-0007</t>
  </si>
  <si>
    <t>KF-M02R-n2b-0008</t>
  </si>
  <si>
    <t>KF-M02R-n2b-0009</t>
  </si>
  <si>
    <t>KF-M02R-n2b-0010</t>
  </si>
  <si>
    <t>KF-M02R-n2b-0011</t>
  </si>
  <si>
    <t>KF-M02R-n2b-0012</t>
  </si>
  <si>
    <t>KF-M02R-n2b-0013</t>
  </si>
  <si>
    <t>KF-M02R-n2b-0014</t>
  </si>
  <si>
    <t>KF-M02R-n2b-0015</t>
  </si>
  <si>
    <t>KF-M02R-n2b-0016</t>
  </si>
  <si>
    <t>KF-M02R-n2b-0017</t>
  </si>
  <si>
    <t>KF-M02R-n2b-0018</t>
  </si>
  <si>
    <t>KF-M02R-n2b-0019</t>
  </si>
  <si>
    <t>KF-M02R-n2b-0020</t>
  </si>
  <si>
    <t>KF-M02R-n2b-0021</t>
  </si>
  <si>
    <t>KF-M02R-n2b-0022</t>
  </si>
  <si>
    <t>KF-M02R-n2b-0023</t>
  </si>
  <si>
    <t>KF-M02R-n2b-0024</t>
  </si>
  <si>
    <t>KF-M02R-n2b-0025</t>
  </si>
  <si>
    <t>KF-M02R-n2b-0026</t>
  </si>
  <si>
    <t>KF-M02R-n2b-0027</t>
  </si>
  <si>
    <t>KF-M02R-n2b-0028</t>
  </si>
  <si>
    <t>KF-M02R-n2b-0029</t>
  </si>
  <si>
    <t>KF-M02R-n2b-0030</t>
  </si>
  <si>
    <t>KF-M02R-n2b-0031</t>
  </si>
  <si>
    <t>KF-M02R-n2b-0032</t>
  </si>
  <si>
    <t>KF-M02R-n2b-0033</t>
  </si>
  <si>
    <t>KF-M02R-n2b-0034</t>
  </si>
  <si>
    <t>KF-M02R-n2b-0035</t>
  </si>
  <si>
    <t>KF-M02R-n2b-0036</t>
  </si>
  <si>
    <t>KF-M02R-n2b-0037</t>
  </si>
  <si>
    <t>KF-M02R-n2b-0038</t>
  </si>
  <si>
    <t>KF-M02R-n2b-0039</t>
  </si>
  <si>
    <t>KF-M02R-n2b-0040</t>
  </si>
  <si>
    <t>KF-M02R-n2b-0041</t>
  </si>
  <si>
    <t>KF-M02R-n2b-0042</t>
  </si>
  <si>
    <t>KF-M02R-n2b-0043</t>
  </si>
  <si>
    <t>KF-M02R-n2b-0044</t>
  </si>
  <si>
    <t>KF-M02R-n2b-0045</t>
  </si>
  <si>
    <t>KF-M02R-n2b-0046</t>
  </si>
  <si>
    <t>KF-M02R-n2b-0047</t>
  </si>
  <si>
    <t>KF-M02R-n2b-0048</t>
  </si>
  <si>
    <t>KF-M02R-n2b-0049</t>
  </si>
  <si>
    <t>KF-M02R-n2b-0050</t>
  </si>
  <si>
    <t>KF-M02R-n2b-0051</t>
  </si>
  <si>
    <t>KF-M02R-n2b-0052</t>
  </si>
  <si>
    <t>KF-M02R-n2b-0053</t>
  </si>
  <si>
    <t>KF-M02R-n2b-0054</t>
  </si>
  <si>
    <t>KF-M02R-n2b-0055</t>
  </si>
  <si>
    <t>KF-M02R-n2b-0056</t>
  </si>
  <si>
    <t>KF-M02R-n2b-0057</t>
  </si>
  <si>
    <t>KF-M02R-n2b-0058</t>
  </si>
  <si>
    <t>KF-M02R-n2b-0059</t>
  </si>
  <si>
    <t>KF-M02R-n2b-0060</t>
  </si>
  <si>
    <t>KF-M02R-n2b-0061</t>
  </si>
  <si>
    <t>KF-M02R-n2b-0062</t>
  </si>
  <si>
    <t>KF-M02R-n2b-0063</t>
  </si>
  <si>
    <t>KF-M02R-n3-0000</t>
  </si>
  <si>
    <t>B04-n3</t>
  </si>
  <si>
    <t>KF-M02R-n3-0001</t>
  </si>
  <si>
    <t>KF-M02R-n3-0002</t>
  </si>
  <si>
    <t>KF-M02R-n3-0003</t>
  </si>
  <si>
    <t>S3,O2</t>
  </si>
  <si>
    <t>KF-M02R-n3-0004</t>
  </si>
  <si>
    <t>KF-M02R-n3-0005</t>
  </si>
  <si>
    <t>KF-M02R-n3-0006</t>
  </si>
  <si>
    <t>KF-M02R-n3-0007</t>
  </si>
  <si>
    <t>KF-M02R-n3-0008</t>
  </si>
  <si>
    <t>KF-M02R-n3-0009</t>
  </si>
  <si>
    <t>KF-M02R-n3-0010</t>
  </si>
  <si>
    <t>KF-M02R-n3-0011</t>
  </si>
  <si>
    <t>KF-M02R-n3-0012</t>
  </si>
  <si>
    <t>KF-M02R-n3-0013</t>
  </si>
  <si>
    <t>KF-M02R-n3-0014</t>
  </si>
  <si>
    <t>KF-M02R-n3-0015</t>
  </si>
  <si>
    <t>KF-M02R-n3-0016</t>
  </si>
  <si>
    <t>KF-M02R-n3-0017</t>
  </si>
  <si>
    <t>KF-M02R-n3-0018</t>
  </si>
  <si>
    <t>KF-M02R-n3-0019</t>
  </si>
  <si>
    <t>KF-M02R-n3-0020</t>
  </si>
  <si>
    <t>KF-M02S-B1-0000</t>
  </si>
  <si>
    <t>B05-B1</t>
  </si>
  <si>
    <t>KF-M02S-B1-0001</t>
  </si>
  <si>
    <t>KF-M02S-B1-0002</t>
  </si>
  <si>
    <t>KF-M02S-B1-0003</t>
  </si>
  <si>
    <t>KF-M02S-B1-0004</t>
  </si>
  <si>
    <t>KF-M02S-B1-0005</t>
  </si>
  <si>
    <t>KF-M02S-B1-0006</t>
  </si>
  <si>
    <t>KF-M02S-B1-0007</t>
  </si>
  <si>
    <t>KF-M02S-B1-0008</t>
  </si>
  <si>
    <t>KF-M02S-B1-0009</t>
  </si>
  <si>
    <t>KF-M02S-B1-0010</t>
  </si>
  <si>
    <t>KF-M02S-B1-0011</t>
  </si>
  <si>
    <t>KF-M02S-B1-0012</t>
  </si>
  <si>
    <t>KF-M02S-B1-0013</t>
  </si>
  <si>
    <t>KF-M02S-B1-0014</t>
  </si>
  <si>
    <t>KF-M02S-B1-0015</t>
  </si>
  <si>
    <t>KF-M02S-B1-0016</t>
  </si>
  <si>
    <t>KF-M02S-B1-0017</t>
  </si>
  <si>
    <t>KF-M02S-B1-0018</t>
  </si>
  <si>
    <t>KF-M02S-B1-0019</t>
  </si>
  <si>
    <t>KF-M02S-B1-0020</t>
  </si>
  <si>
    <t>KF-M02S-B1-0021</t>
  </si>
  <si>
    <t>KF-M02S-B1-0022</t>
  </si>
  <si>
    <t>KF-M02S-B1-0023</t>
  </si>
  <si>
    <t>KF-M02S-B1-0024</t>
  </si>
  <si>
    <t>KF-M02S-B1-0025</t>
  </si>
  <si>
    <t>KF-M02S-B1-0026</t>
  </si>
  <si>
    <t>KF-M02S-B1-0027</t>
  </si>
  <si>
    <t>KF-M02S-B1-0028</t>
  </si>
  <si>
    <t>KF-M02S-B1-0029</t>
  </si>
  <si>
    <t>KF-M02S-B1-0030</t>
  </si>
  <si>
    <t>KF-M02S-B1-0031</t>
  </si>
  <si>
    <t>KF-M02S-B1-0032</t>
  </si>
  <si>
    <t>KF-M02S-B1-0033</t>
  </si>
  <si>
    <t>KF-M02S-B1-0034</t>
  </si>
  <si>
    <t>O2,O3</t>
  </si>
  <si>
    <t>KF-M02S-B1-0035</t>
  </si>
  <si>
    <t>KF-M02S-B1-0036</t>
  </si>
  <si>
    <t>KF-M02S-B1-0037</t>
  </si>
  <si>
    <t>KF-M02S-B1-0038</t>
  </si>
  <si>
    <t>KF-M02S-B1-0039</t>
  </si>
  <si>
    <t>KF-M02S-B1-0040</t>
  </si>
  <si>
    <t>KF-M02S-B1-0041</t>
  </si>
  <si>
    <t>KF-M02S-B1-0042</t>
  </si>
  <si>
    <t>KF-M02S-B1-0043</t>
  </si>
  <si>
    <t>KF-M02S-B1-0044</t>
  </si>
  <si>
    <t>KF-M02S-B1-0045</t>
  </si>
  <si>
    <t>KF-M02S-B1-0046</t>
  </si>
  <si>
    <t>KF-M02S-B1-0047</t>
  </si>
  <si>
    <t>KF-M02S-B1-0048</t>
  </si>
  <si>
    <t>KF-M02S-B1-0049</t>
  </si>
  <si>
    <t>KF-M02S-B2-0000</t>
  </si>
  <si>
    <t>B05-B2</t>
  </si>
  <si>
    <t>KF-M02S-B2-0001</t>
  </si>
  <si>
    <t>KF-M02S-B2-0002</t>
  </si>
  <si>
    <t>KF-M02S-B2-0003</t>
  </si>
  <si>
    <t>KF-M02S-B2-0004</t>
  </si>
  <si>
    <t>KF-M02S-B2-0005</t>
  </si>
  <si>
    <t>KF-M02S-B2-0006</t>
  </si>
  <si>
    <t>KF-M02S-B2-0007</t>
  </si>
  <si>
    <t>KF-M02S-B2-0008</t>
  </si>
  <si>
    <t>KF-M02S-B2-0009</t>
  </si>
  <si>
    <t>KF-M02S-B2-0010</t>
  </si>
  <si>
    <t>KF-M02S-B2-0011</t>
  </si>
  <si>
    <t>KF-M02S-B2-0012</t>
  </si>
  <si>
    <t>KF-M02S-B2-0013</t>
  </si>
  <si>
    <t>KF-M02S-B2-0014</t>
  </si>
  <si>
    <t>KF-M02S-B2-0015</t>
  </si>
  <si>
    <t>KF-M02S-B2-0016</t>
  </si>
  <si>
    <t>KF-M02S-B2-0017</t>
  </si>
  <si>
    <t>KF-M02S-B2-0018</t>
  </si>
  <si>
    <t>KF-M02S-B2-0019</t>
  </si>
  <si>
    <t>KF-M02S-B2-0020</t>
  </si>
  <si>
    <t>KF-M02S-B2-0021</t>
  </si>
  <si>
    <t>KF-M02S-B2-0022</t>
  </si>
  <si>
    <t>KF-M02S-B2-0023</t>
  </si>
  <si>
    <t>KF-M02S-B2-0024</t>
  </si>
  <si>
    <t>KF-M02S-B2-0025</t>
  </si>
  <si>
    <t>KF-M02S-B2-0026</t>
  </si>
  <si>
    <t>KF-M02S-B2-0027</t>
  </si>
  <si>
    <t>KF-M02S-B2-0028</t>
  </si>
  <si>
    <t>KF-M02S-B2-0029</t>
  </si>
  <si>
    <t>KF-M02S-B2-0030</t>
  </si>
  <si>
    <t>KF-M02S-B2-0031</t>
  </si>
  <si>
    <t>KF-M02S-B2-0032</t>
  </si>
  <si>
    <t>KF-M02S-B2-0033</t>
  </si>
  <si>
    <t>KF-M02S-B2-0034</t>
  </si>
  <si>
    <t>KF-M02S-B2-0035</t>
  </si>
  <si>
    <t>KF-M02S-B2-0036</t>
  </si>
  <si>
    <t>KF-M02S-B2-0037</t>
  </si>
  <si>
    <t>KF-M02S-B2-0038</t>
  </si>
  <si>
    <t>KF-M02S-B2-0039</t>
  </si>
  <si>
    <t>KF-M02S-B2-0040</t>
  </si>
  <si>
    <t>O1,O2,O3</t>
  </si>
  <si>
    <t>KF-M02S-B2-0041</t>
  </si>
  <si>
    <t>KF-M02S-B2-0042</t>
  </si>
  <si>
    <t>KF-M02S-B2-0043</t>
  </si>
  <si>
    <t>KF-M02S-B2-0044</t>
  </si>
  <si>
    <t>KF-M02S-B2-0045</t>
  </si>
  <si>
    <t>KF-M02S-B2-0046</t>
  </si>
  <si>
    <t>KF-M02S-B2-0047</t>
  </si>
  <si>
    <t>KF-M02S-B2-0048</t>
  </si>
  <si>
    <t>KF-M02S-B3-0000</t>
  </si>
  <si>
    <t>B05-B3</t>
  </si>
  <si>
    <t>KF-M02S-B3-0001</t>
  </si>
  <si>
    <t>KF-M02S-B2-0049</t>
  </si>
  <si>
    <t>KF-M02S-B3-0002</t>
  </si>
  <si>
    <t>KF-M02S-B3-0003</t>
  </si>
  <si>
    <t>KF-M02S-B3-0004</t>
  </si>
  <si>
    <t>KF-M02S-B3-0005</t>
  </si>
  <si>
    <t>KF-M02S-B3-0006</t>
  </si>
  <si>
    <t>KF-M02S-B3-0007</t>
  </si>
  <si>
    <t>KF-M02S-B3-0008</t>
  </si>
  <si>
    <t>KF-M02S-B3-0009</t>
  </si>
  <si>
    <t>KF-M02S-B3-0010</t>
  </si>
  <si>
    <t>KF-M02S-B3-0011</t>
  </si>
  <si>
    <t>KF-M02S-B3-0012</t>
  </si>
  <si>
    <t>KF-M02S-B3-0013</t>
  </si>
  <si>
    <t>KF-M02S-B3-0014</t>
  </si>
  <si>
    <t>KF-M02S-B3-0015</t>
  </si>
  <si>
    <t>KF-M02S-B3-0016</t>
  </si>
  <si>
    <t>KF-M02S-B3-0017</t>
  </si>
  <si>
    <t>KF-M02S-B3-0018</t>
  </si>
  <si>
    <t>KF-M02S-B3-0019</t>
  </si>
  <si>
    <t>KF-M02S-B3-0020</t>
  </si>
  <si>
    <t>KF-M02S-B3-0021</t>
  </si>
  <si>
    <t>KF-M02S-B3-0022</t>
  </si>
  <si>
    <t>KF-M02S-B3-0023</t>
  </si>
  <si>
    <t>KF-M02S-B3-0024</t>
  </si>
  <si>
    <t>KF-M02S-B3-0025</t>
  </si>
  <si>
    <t>KF-M02S-B3-0026</t>
  </si>
  <si>
    <t>KF-M02S-B3-0027</t>
  </si>
  <si>
    <t>KF-M02S-B3-0028</t>
  </si>
  <si>
    <t>KF-M02S-B3-0029</t>
  </si>
  <si>
    <t>KF-M02S-B3-0030</t>
  </si>
  <si>
    <t>KF-M02S-B3-0031</t>
  </si>
  <si>
    <t>KF-M02S-B3-0032</t>
  </si>
  <si>
    <t>KF-M02S-B3-0033</t>
  </si>
  <si>
    <t>KF-M02S-B3-0034</t>
  </si>
  <si>
    <t>KF-M02S-B3-0035</t>
  </si>
  <si>
    <t>KF-M02S-B3-0036</t>
  </si>
  <si>
    <t>KF-M02S-B3-0037</t>
  </si>
  <si>
    <t>KF-M02S-B3-0038</t>
  </si>
  <si>
    <t>KF-M02S-B3-0039</t>
  </si>
  <si>
    <t>KF-M02S-B3-0040</t>
  </si>
  <si>
    <t>KF-M02S-B3-0041</t>
  </si>
  <si>
    <t>KF-M02S-B3-0042</t>
  </si>
  <si>
    <t>KF-M02S-B3-0043</t>
  </si>
  <si>
    <t>KF-M02S-B3-0044</t>
  </si>
  <si>
    <t>KF-M02S-B3-0045</t>
  </si>
  <si>
    <t>KF-M02S-B3-0046</t>
  </si>
  <si>
    <t>KF-M02S-B3-0047</t>
  </si>
  <si>
    <t>KF-M02S-B3-0048</t>
  </si>
  <si>
    <t>KF-M02S-B4-0000</t>
  </si>
  <si>
    <t>B05-B4</t>
  </si>
  <si>
    <t>KF-M02S-B4-0001</t>
  </si>
  <si>
    <t>KF-M02S-B3-0049</t>
  </si>
  <si>
    <t>KF-M02S-B4-0002</t>
  </si>
  <si>
    <t>KF-M02S-B4-0003</t>
  </si>
  <si>
    <t>KF-M02S-B4-0004</t>
  </si>
  <si>
    <t>KF-M02S-B4-0005</t>
  </si>
  <si>
    <t>KF-M02S-B4-0006</t>
  </si>
  <si>
    <t>KF-M02S-B4-0007</t>
  </si>
  <si>
    <t>KF-M02S-B4-0008</t>
  </si>
  <si>
    <t>KF-M02S-B4-0009</t>
  </si>
  <si>
    <t>KF-M02S-B4-0010</t>
  </si>
  <si>
    <t>KF-M02S-B4-0011</t>
  </si>
  <si>
    <t>KF-M02S-B4-0012</t>
  </si>
  <si>
    <t>KF-M02S-B4-0013</t>
  </si>
  <si>
    <t>KF-M02S-B4-0014</t>
  </si>
  <si>
    <t>KF-M02S-B4-0015</t>
  </si>
  <si>
    <t>KF-M02S-B4-0016</t>
  </si>
  <si>
    <t>KF-M02S-B4-0017</t>
  </si>
  <si>
    <t>KF-M02S-B4-0018</t>
  </si>
  <si>
    <t>KF-M02S-B4-0019</t>
  </si>
  <si>
    <t>KF-M02S-B4-0020</t>
  </si>
  <si>
    <t>KF-M02S-B4-0021</t>
  </si>
  <si>
    <t>KF-M02S-B4-0022</t>
  </si>
  <si>
    <t>KF-M02S-B4-0023</t>
  </si>
  <si>
    <t>KF-M02S-B4-0024</t>
  </si>
  <si>
    <t>KF-M02S-B4-0025</t>
  </si>
  <si>
    <t>KF-M02S-B4-0026</t>
  </si>
  <si>
    <t>KF-M02S-B4-0027</t>
  </si>
  <si>
    <t>KF-M02S-B4-0028</t>
  </si>
  <si>
    <t>KF-M02S-B4-0029</t>
  </si>
  <si>
    <t>KF-M02S-B4-0030</t>
  </si>
  <si>
    <t>KF-M02S-B4-0031</t>
  </si>
  <si>
    <t>KF-M02S-B4-0032</t>
  </si>
  <si>
    <t>KF-M02S-B4-0033</t>
  </si>
  <si>
    <t>KF-M02S-B4-0034</t>
  </si>
  <si>
    <t>KF-M02S-B4-0035</t>
  </si>
  <si>
    <t>KF-M02S-B4-0036</t>
  </si>
  <si>
    <t>KF-M02S-B4-0037</t>
  </si>
  <si>
    <t>KF-M02S-B4-0038</t>
  </si>
  <si>
    <t>KF-M02S-B4-0039</t>
  </si>
  <si>
    <t>KF-M02S-B4-0040</t>
  </si>
  <si>
    <t>KF-M02S-B4-0041</t>
  </si>
  <si>
    <t>KF-M02S-B4-0042</t>
  </si>
  <si>
    <t>KF-M02S-B4-0043</t>
  </si>
  <si>
    <t>KF-M02S-B4-0044</t>
  </si>
  <si>
    <t>KF-M02S-B4-0045</t>
  </si>
  <si>
    <t>KF-M02S-B4-0046</t>
  </si>
  <si>
    <t>KF-M02S-B4-0047</t>
  </si>
  <si>
    <t>KF-M02S-B4-0048</t>
  </si>
  <si>
    <t>KF-M02S-B4-0049</t>
  </si>
  <si>
    <t>KF-M02S-B1-0050</t>
  </si>
  <si>
    <t>KF-M02S-B1-0051</t>
  </si>
  <si>
    <t>KF-M02S-B1-0052</t>
  </si>
  <si>
    <t>KF-M02S-B1-0053</t>
  </si>
  <si>
    <t>KF-M02S-B1-0054</t>
  </si>
  <si>
    <t>KF-M02S-B1-0055</t>
  </si>
  <si>
    <t>KF-M02S-B1-0056</t>
  </si>
  <si>
    <t>KF-M02S-B1-0057</t>
  </si>
  <si>
    <t>KF-M02S-B1-0058</t>
  </si>
  <si>
    <t>KF-M02S-B1-0059</t>
  </si>
  <si>
    <t>KF-M02S-B2-0050</t>
  </si>
  <si>
    <t>KF-M02S-B2-0051</t>
  </si>
  <si>
    <t>KF-M02S-B2-0052</t>
  </si>
  <si>
    <t>KF-M02S-B2-0053</t>
  </si>
  <si>
    <t>KF-M02S-B2-0054</t>
  </si>
  <si>
    <t>KF-M02S-B2-0055</t>
  </si>
  <si>
    <t>KF-M02S-B2-0056</t>
  </si>
  <si>
    <t>KF-M02S-B2-0057</t>
  </si>
  <si>
    <t>KF-M02S-B2-0058</t>
  </si>
  <si>
    <t>KF-M02S-B2-0059</t>
  </si>
  <si>
    <t>KF-M02S-B3-0050</t>
  </si>
  <si>
    <t>KF-M02S-B3-0051</t>
  </si>
  <si>
    <t>KF-M02S-B3-0052</t>
  </si>
  <si>
    <t>KF-M02S-B3-0053</t>
  </si>
  <si>
    <t>KF-M02S-B3-0054</t>
  </si>
  <si>
    <t>KF-M02S-B3-0055</t>
  </si>
  <si>
    <t>KF-M02S-B3-0056</t>
  </si>
  <si>
    <t>KF-M02S-B3-0057</t>
  </si>
  <si>
    <t>KF-M02S-B3-0058</t>
  </si>
  <si>
    <t>KF-M02S-B3-0059</t>
  </si>
  <si>
    <t>KF-M02S-B1-0060</t>
  </si>
  <si>
    <t>KF-M02S-B1-0061</t>
  </si>
  <si>
    <t>KF-M02S-B1-0062</t>
  </si>
  <si>
    <t>KF-M02S-B1-0063</t>
  </si>
  <si>
    <t>KF-M02S-B1-0064</t>
  </si>
  <si>
    <t>KF-M02S-B1-0065</t>
  </si>
  <si>
    <t>KF-M02S-B1-0066</t>
  </si>
  <si>
    <t>KF-M02S-B1-0067</t>
  </si>
  <si>
    <t>KF-M02S-B1-0068</t>
  </si>
  <si>
    <t>KF-M02S-B1-0069</t>
  </si>
  <si>
    <t>KF-M02S-B2-0060</t>
  </si>
  <si>
    <t>KF-M02S-B2-0061</t>
  </si>
  <si>
    <t>KF-M02S-B2-0062</t>
  </si>
  <si>
    <t>KF-M02S-B2-0063</t>
  </si>
  <si>
    <t>KF-M02S-B2-0064</t>
  </si>
  <si>
    <t>KF-M02S-B2-0065</t>
  </si>
  <si>
    <t>KF-M02S-B2-0066</t>
  </si>
  <si>
    <t>KF-M02S-B2-0067</t>
  </si>
  <si>
    <t>KF-M02S-B2-0068</t>
  </si>
  <si>
    <t>KF-M02S-B2-0069</t>
  </si>
  <si>
    <t>KF-M02S-B3-0060</t>
  </si>
  <si>
    <t>KF-M02S-B3-0061</t>
  </si>
  <si>
    <t>KF-M02S-B3-0062</t>
  </si>
  <si>
    <t>KF-M02S-B3-0063</t>
  </si>
  <si>
    <t>KF-M02S-B3-0064</t>
  </si>
  <si>
    <t>KF-M02S-B3-0065</t>
  </si>
  <si>
    <t>KF-M02S-B3-0066</t>
  </si>
  <si>
    <t>KF-M02S-B3-0067</t>
  </si>
  <si>
    <t>KF-M02S-B3-0068</t>
  </si>
  <si>
    <t>KF-M02S-B3-0069</t>
  </si>
  <si>
    <t>KF-M02S-B1-0070</t>
  </si>
  <si>
    <t>KF-M02S-B1-0071</t>
  </si>
  <si>
    <t>KF-M02S-B1-0072</t>
  </si>
  <si>
    <t>KF-M02S-B1-0073</t>
  </si>
  <si>
    <t>KF-M02S-B1-0074</t>
  </si>
  <si>
    <t>KF-M02S-B1-0075</t>
  </si>
  <si>
    <t>KF-M02S-B1-0076</t>
  </si>
  <si>
    <t>KF-M02S-B1-0077</t>
  </si>
  <si>
    <t>KF-M02S-B1-0078</t>
  </si>
  <si>
    <t>KF-M02S-B1-0079</t>
  </si>
  <si>
    <t>KF-M02S-B2-0070</t>
  </si>
  <si>
    <t>KF-M02S-B2-0071</t>
  </si>
  <si>
    <t>KF-M02S-B2-0072</t>
  </si>
  <si>
    <t>KF-M02S-B2-0073</t>
  </si>
  <si>
    <t>KF-M02S-B2-0074</t>
  </si>
  <si>
    <t>KF-M02S-B2-0075</t>
  </si>
  <si>
    <t>KF-M02S-B2-0076</t>
  </si>
  <si>
    <t>KF-M02S-B2-0077</t>
  </si>
  <si>
    <t>KF-M02S-B2-0078</t>
  </si>
  <si>
    <t>KF-M02S-B2-0079</t>
  </si>
  <si>
    <t>KF-M02S-B3-0070</t>
  </si>
  <si>
    <t>KF-M02S-B3-0071</t>
  </si>
  <si>
    <t>KF-M02S-B3-0072</t>
  </si>
  <si>
    <t>KF-M02S-B3-0073</t>
  </si>
  <si>
    <t>KF-M02S-B3-0074</t>
  </si>
  <si>
    <t>KF-M02S-B3-0075</t>
  </si>
  <si>
    <t>KF-M02S-B3-0076</t>
  </si>
  <si>
    <t>KF-M02S-B3-0077</t>
  </si>
  <si>
    <t>KF-M02S-B3-0078</t>
  </si>
  <si>
    <t>KF-M02S-B3-0079</t>
  </si>
  <si>
    <t>KF-M02S-B1-0080</t>
  </si>
  <si>
    <t>KF-M02S-B1-0081</t>
  </si>
  <si>
    <t>KF-M02S-B1-0082</t>
  </si>
  <si>
    <t>KF-M02S-B1-0083</t>
  </si>
  <si>
    <t>KF-M02S-B1-0084</t>
  </si>
  <si>
    <t>KF-M02S-B1-0085</t>
  </si>
  <si>
    <t>KF-M02S-B1-0086</t>
  </si>
  <si>
    <t>KF-M02S-B1-0087</t>
  </si>
  <si>
    <t>KF-M02S-B1-0088</t>
  </si>
  <si>
    <t>KF-M02S-B1-0089</t>
  </si>
  <si>
    <t>KF-M02S-B2-0080</t>
  </si>
  <si>
    <t>KF-M02S-B2-0081</t>
  </si>
  <si>
    <t>KF-M02S-B2-0082</t>
  </si>
  <si>
    <t>KF-M02S-B2-0083</t>
  </si>
  <si>
    <t>KF-M02S-B2-0084</t>
  </si>
  <si>
    <t>KF-M02S-B2-0085</t>
  </si>
  <si>
    <t>KF-M02S-B2-0086</t>
  </si>
  <si>
    <t>KF-M02S-B2-0087</t>
  </si>
  <si>
    <t>KF-M02S-B2-0088</t>
  </si>
  <si>
    <t>KF-M02S-B2-0089</t>
  </si>
  <si>
    <t>KF-M02S-B3-0080</t>
  </si>
  <si>
    <t>KF-M02S-B3-0081</t>
  </si>
  <si>
    <t>KF-M02S-B3-0082</t>
  </si>
  <si>
    <t>KF-M02S-B3-0083</t>
  </si>
  <si>
    <t>KF-M02S-B3-0084</t>
  </si>
  <si>
    <t>KF-M02S-B3-0085</t>
  </si>
  <si>
    <t>KF-M02S-B3-0086</t>
  </si>
  <si>
    <t>KF-M02S-B3-0087</t>
  </si>
  <si>
    <t>KF-M02S-B3-0088</t>
  </si>
  <si>
    <t>KF-M02S-B3-0089</t>
  </si>
  <si>
    <t>KF-M03-0000</t>
  </si>
  <si>
    <t>KF-M03-0001</t>
  </si>
  <si>
    <t>KF-M03-0002</t>
  </si>
  <si>
    <t>ancla</t>
  </si>
  <si>
    <t>KF-M03-0003</t>
  </si>
  <si>
    <t>KF-M03-0004</t>
  </si>
  <si>
    <t>KF-M03-0005</t>
  </si>
  <si>
    <t>KF-M03-0006</t>
  </si>
  <si>
    <t>KF-M03-0007</t>
  </si>
  <si>
    <t>KF-M03-0008</t>
  </si>
  <si>
    <t>KF-M03-0009</t>
  </si>
  <si>
    <t>KF-M03-0010</t>
  </si>
  <si>
    <t>KF-M03-0011</t>
  </si>
  <si>
    <t>KF-M03-0012</t>
  </si>
  <si>
    <t>KF-M03-0013</t>
  </si>
  <si>
    <t>KF-M03-0014</t>
  </si>
  <si>
    <t>KF-M03-0015</t>
  </si>
  <si>
    <t>KF-M03-0016</t>
  </si>
  <si>
    <t>vecino</t>
  </si>
  <si>
    <t>KF-M03-0017</t>
  </si>
  <si>
    <t>KF-M03-0018</t>
  </si>
  <si>
    <t>KF-M03-0019</t>
  </si>
  <si>
    <t>KF-M03-0020</t>
  </si>
  <si>
    <t>KF-M03-0021</t>
  </si>
  <si>
    <t>KF-M03-0022</t>
  </si>
  <si>
    <t>KF-M03-0023</t>
  </si>
  <si>
    <t>KF-M03-0024</t>
  </si>
  <si>
    <t>KF-M03-0025</t>
  </si>
  <si>
    <t>KF-M03-0026</t>
  </si>
  <si>
    <t>KF-M03-0027</t>
  </si>
  <si>
    <t>KF-M03-0028</t>
  </si>
  <si>
    <t>KF-M03-0029</t>
  </si>
  <si>
    <t>KF-M03-0030</t>
  </si>
  <si>
    <t>KF-M03-0031</t>
  </si>
  <si>
    <t>KF-M03-0032</t>
  </si>
  <si>
    <t>KF-M03-0033</t>
  </si>
  <si>
    <t>KF-M03-0034</t>
  </si>
  <si>
    <t>KF-M03-0035</t>
  </si>
  <si>
    <t>KF-M03-0036</t>
  </si>
  <si>
    <t>KF-M03-0037</t>
  </si>
  <si>
    <t>KF-M03-0038</t>
  </si>
  <si>
    <t>KF-M03-0039</t>
  </si>
  <si>
    <t>KF-M03-0040</t>
  </si>
  <si>
    <t>N2,O3,O5,C1,C3,C3</t>
  </si>
  <si>
    <t>KF-M03-0041</t>
  </si>
  <si>
    <t>KF-M03-0042</t>
  </si>
  <si>
    <t>KF-M03-0043</t>
  </si>
  <si>
    <t>KF-M03-0044</t>
  </si>
  <si>
    <t>KF-M03-0045</t>
  </si>
  <si>
    <t>KF-M03-0046</t>
  </si>
  <si>
    <t>KF-M03-0047</t>
  </si>
  <si>
    <t>KF-M03-0048</t>
  </si>
  <si>
    <t>KF-M03-0049</t>
  </si>
  <si>
    <t>KF-M03-0050</t>
  </si>
  <si>
    <t>KF-M03-0051</t>
  </si>
  <si>
    <t>KF-M03-0052</t>
  </si>
  <si>
    <t>KF-M03-0053</t>
  </si>
  <si>
    <t>KF-M03-0054</t>
  </si>
  <si>
    <t>KF-M03-0055</t>
  </si>
  <si>
    <t>KF-M03-0056</t>
  </si>
  <si>
    <t>KF-M03-0057</t>
  </si>
  <si>
    <t>KF-M03-0058</t>
  </si>
  <si>
    <t>KF-M03-0059</t>
  </si>
  <si>
    <t>KF-M03-0060</t>
  </si>
  <si>
    <t>KF-M03-0061</t>
  </si>
  <si>
    <t>KF-M03-0062</t>
  </si>
  <si>
    <t>KF-M03-0063</t>
  </si>
  <si>
    <t>KF-M03-0064</t>
  </si>
  <si>
    <t>KF-M03-0065</t>
  </si>
  <si>
    <t>KF-M03-0066</t>
  </si>
  <si>
    <t>KF-M03-0067</t>
  </si>
  <si>
    <t>KF-M03-0068</t>
  </si>
  <si>
    <t>KF-M03-0069</t>
  </si>
  <si>
    <t>KF-M03-0070</t>
  </si>
  <si>
    <t>KF-M03-0071</t>
  </si>
  <si>
    <t>KF-M03-0072</t>
  </si>
  <si>
    <t>KF-M03-0073</t>
  </si>
  <si>
    <t>KF-M03-0074</t>
  </si>
  <si>
    <t>KF-M03-0075</t>
  </si>
  <si>
    <t>KF-M03-0076</t>
  </si>
  <si>
    <t>KF-M03-0077</t>
  </si>
  <si>
    <t>KF-M03-0078</t>
  </si>
  <si>
    <t>KF-M03-0079</t>
  </si>
  <si>
    <t>KF-M03-0080</t>
  </si>
  <si>
    <t>KF-M03-0081</t>
  </si>
  <si>
    <t>KF-M03-0082</t>
  </si>
  <si>
    <t>KF-M03-0083</t>
  </si>
  <si>
    <t>KF-M03-0084</t>
  </si>
  <si>
    <t>KF-M03-0085</t>
  </si>
  <si>
    <t>KF-M03-0086</t>
  </si>
  <si>
    <t>KF-M03-0087</t>
  </si>
  <si>
    <t>KF-M03-0088</t>
  </si>
  <si>
    <t>KF-M03-0089</t>
  </si>
  <si>
    <t>KF-M03-0090</t>
  </si>
  <si>
    <t>KF-M03-0091</t>
  </si>
  <si>
    <t>KF-M03-0092</t>
  </si>
  <si>
    <t>KF-M03-0093</t>
  </si>
  <si>
    <t>KF-M03-0094</t>
  </si>
  <si>
    <t>KF-M03-0095</t>
  </si>
  <si>
    <t>KF-M03-0096</t>
  </si>
  <si>
    <t>KF-M03-0097</t>
  </si>
  <si>
    <t>KF-M03-0098</t>
  </si>
  <si>
    <t>KF-M03-0099</t>
  </si>
  <si>
    <t>KF-M03-0100</t>
  </si>
  <si>
    <t>KF-M03-0101</t>
  </si>
  <si>
    <t>KF-M03-0102</t>
  </si>
  <si>
    <t>KF-M03-0103</t>
  </si>
  <si>
    <t>KF-M03-0104</t>
  </si>
  <si>
    <t>KF-M03-0105</t>
  </si>
  <si>
    <t>KF-M03-0106</t>
  </si>
  <si>
    <t>KF-M03-0107</t>
  </si>
  <si>
    <t>KF-M03-0108</t>
  </si>
  <si>
    <t>KF-M03-0109</t>
  </si>
  <si>
    <t>KF-M03-0110</t>
  </si>
  <si>
    <t>KF-M03-0111</t>
  </si>
  <si>
    <t>KF-M03-0112</t>
  </si>
  <si>
    <t>KF-M03-0113</t>
  </si>
  <si>
    <t>KF-M03-0114</t>
  </si>
  <si>
    <t>KF-M03-0115</t>
  </si>
  <si>
    <t>KF-M03-0116</t>
  </si>
  <si>
    <t>KF-M03-0117</t>
  </si>
  <si>
    <t>KF-M03-0118</t>
  </si>
  <si>
    <t>KF-M03-0119</t>
  </si>
  <si>
    <t>KF-M03-0120</t>
  </si>
  <si>
    <t>KF-M03-0121</t>
  </si>
  <si>
    <t>KF-M03-0122</t>
  </si>
  <si>
    <t>KF-M03-0123</t>
  </si>
  <si>
    <t>KF-M03-0124</t>
  </si>
  <si>
    <t>KF-M03-0125</t>
  </si>
  <si>
    <t>KF-M03-0126</t>
  </si>
  <si>
    <t>KF-M03-0127</t>
  </si>
  <si>
    <t>KF-M03-0128</t>
  </si>
  <si>
    <t>KF-M03-0129</t>
  </si>
  <si>
    <t>KF-M03-0130</t>
  </si>
  <si>
    <t>KF-M03-0131</t>
  </si>
  <si>
    <t>KF-M03-0132</t>
  </si>
  <si>
    <t>KF-M03-0133</t>
  </si>
  <si>
    <t>KF-M03-0134</t>
  </si>
  <si>
    <t>KF-M03-0135</t>
  </si>
  <si>
    <t>KF-M03-0136</t>
  </si>
  <si>
    <t>KF-M03-0137</t>
  </si>
  <si>
    <t>KF-M03-0138</t>
  </si>
  <si>
    <t>KF-M03-0139</t>
  </si>
  <si>
    <t>KF-M03-0140</t>
  </si>
  <si>
    <t>KF-M03-0141</t>
  </si>
  <si>
    <t>KF-M03-0142</t>
  </si>
  <si>
    <t>KF-M03-0143</t>
  </si>
  <si>
    <t>KF-M03-0144</t>
  </si>
  <si>
    <t>KF-M03-0145</t>
  </si>
  <si>
    <t>KF-M03-0146</t>
  </si>
  <si>
    <t>KF-M03-0147</t>
  </si>
  <si>
    <t>KF-M03-0148</t>
  </si>
  <si>
    <t>KF-M03-0149</t>
  </si>
  <si>
    <t>KF-M03-0150</t>
  </si>
  <si>
    <t>KF-M03-0151</t>
  </si>
  <si>
    <t>KF-M03-0152</t>
  </si>
  <si>
    <t>KF-M03-0153</t>
  </si>
  <si>
    <t>KF-M03-0154</t>
  </si>
  <si>
    <t>KF-M03-0155</t>
  </si>
  <si>
    <t>KF-M03-0156</t>
  </si>
  <si>
    <t>KF-M03-0157</t>
  </si>
  <si>
    <t>KF-M03-0158</t>
  </si>
  <si>
    <t>KF-M03-0159</t>
  </si>
  <si>
    <t>KF-M03-0160</t>
  </si>
  <si>
    <t>KF-M03-0161</t>
  </si>
  <si>
    <t>KF-M03-0162</t>
  </si>
  <si>
    <t>KF-M03-0163</t>
  </si>
  <si>
    <t>KF-M03-0164</t>
  </si>
  <si>
    <t>KF-M03-0165</t>
  </si>
  <si>
    <t>KF-M03-0166</t>
  </si>
  <si>
    <t>KF-M03-0167</t>
  </si>
  <si>
    <t>KF-M03-0168</t>
  </si>
  <si>
    <t>KF-M03-0169</t>
  </si>
  <si>
    <t>KF-M03-0170</t>
  </si>
  <si>
    <t>KF-M04-0000</t>
  </si>
  <si>
    <t>lhs</t>
  </si>
  <si>
    <t>KF-M04-0001</t>
  </si>
  <si>
    <t>KF-M04-0002</t>
  </si>
  <si>
    <t>KF-M04-0003</t>
  </si>
  <si>
    <t>KF-M04-0004</t>
  </si>
  <si>
    <t>KF-M04-0005</t>
  </si>
  <si>
    <t>KF-M04-0006</t>
  </si>
  <si>
    <t>KF-M04-0007</t>
  </si>
  <si>
    <t>KF-M04-0008</t>
  </si>
  <si>
    <t>KF-M04-0009</t>
  </si>
  <si>
    <t>KF-M04-0010</t>
  </si>
  <si>
    <t>KF-M04-0011</t>
  </si>
  <si>
    <t>KF-M04-0012</t>
  </si>
  <si>
    <t>KF-M04-0013</t>
  </si>
  <si>
    <t>KF-M04-0014</t>
  </si>
  <si>
    <t>KF-M04-0015</t>
  </si>
  <si>
    <t>KF-M04-0016</t>
  </si>
  <si>
    <t>KF-M04-0017</t>
  </si>
  <si>
    <t>KF-M04-0018</t>
  </si>
  <si>
    <t>KF-M04-0019</t>
  </si>
  <si>
    <t>KF-M04-0020</t>
  </si>
  <si>
    <t>KF-M04-0021</t>
  </si>
  <si>
    <t>KF-M04-0022</t>
  </si>
  <si>
    <t>KF-M04-0023</t>
  </si>
  <si>
    <t>KF-M04-0024</t>
  </si>
  <si>
    <t>KF-M04-0025</t>
  </si>
  <si>
    <t>KF-M04-0026</t>
  </si>
  <si>
    <t>KF-M04-0027</t>
  </si>
  <si>
    <t>KF-M04-0028</t>
  </si>
  <si>
    <t>KF-M04-0029</t>
  </si>
  <si>
    <t>KF-M04-0030</t>
  </si>
  <si>
    <t>KF-M04-0031</t>
  </si>
  <si>
    <t>KF-M04-0032</t>
  </si>
  <si>
    <t>KF-M04-0033</t>
  </si>
  <si>
    <t>KF-M04-0034</t>
  </si>
  <si>
    <t>KF-M04-0035</t>
  </si>
  <si>
    <t>KF-M04-0036</t>
  </si>
  <si>
    <t>KF-M04-0037</t>
  </si>
  <si>
    <t>KF-M04-0038</t>
  </si>
  <si>
    <t>KF-M04-0039</t>
  </si>
  <si>
    <t>KF-M04-0040</t>
  </si>
  <si>
    <t>KF-M04-0041</t>
  </si>
  <si>
    <t>KF-M04-0042</t>
  </si>
  <si>
    <t>KF-M04-0043</t>
  </si>
  <si>
    <t>KF-M04-0044</t>
  </si>
  <si>
    <t>KF-M04-0045</t>
  </si>
  <si>
    <t>KF-M04-0046</t>
  </si>
  <si>
    <t>KF-M04-0047</t>
  </si>
  <si>
    <t>KF-M04-0048</t>
  </si>
  <si>
    <t>KF-M04-0049</t>
  </si>
  <si>
    <t>KF-M04-0050</t>
  </si>
  <si>
    <t>KF-M04-0051</t>
  </si>
  <si>
    <t>KF-M04-0052</t>
  </si>
  <si>
    <t>KF-M04-0053</t>
  </si>
  <si>
    <t>KF-M04-0054</t>
  </si>
  <si>
    <t>KF-M04-0055</t>
  </si>
  <si>
    <t>KF-M04-0056</t>
  </si>
  <si>
    <t>KF-M04-0057</t>
  </si>
  <si>
    <t>KF-M04-0058</t>
  </si>
  <si>
    <t>KF-M04-0059</t>
  </si>
  <si>
    <t>KF-M04-0060</t>
  </si>
  <si>
    <t>KF-M04-0061</t>
  </si>
  <si>
    <t>KF-M04-0062</t>
  </si>
  <si>
    <t>KF-M04-0063</t>
  </si>
  <si>
    <t>KF-M04-0064</t>
  </si>
  <si>
    <t>KF-M04-0065</t>
  </si>
  <si>
    <t>KF-M04-0066</t>
  </si>
  <si>
    <t>KF-M04-0067</t>
  </si>
  <si>
    <t>KF-M04-0068</t>
  </si>
  <si>
    <t>KF-M04-0069</t>
  </si>
  <si>
    <t>KF-M04-0070</t>
  </si>
  <si>
    <t>KF-M04-0071</t>
  </si>
  <si>
    <t>KF-M04-0072</t>
  </si>
  <si>
    <t>KF-M04-0073</t>
  </si>
  <si>
    <t>KF-M04-0074</t>
  </si>
  <si>
    <t>KF-M04-0075</t>
  </si>
  <si>
    <t>KF-M04-0076</t>
  </si>
  <si>
    <t>KF-M04-0077</t>
  </si>
  <si>
    <t>KF-M04-0078</t>
  </si>
  <si>
    <t>KF-M04-0079</t>
  </si>
  <si>
    <t>KF-M04-0080</t>
  </si>
  <si>
    <t>KF-M04-0081</t>
  </si>
  <si>
    <t>KF-M04-0082</t>
  </si>
  <si>
    <t>KF-M04-0083</t>
  </si>
  <si>
    <t>KF-M04-0084</t>
  </si>
  <si>
    <t>KF-M04-0085</t>
  </si>
  <si>
    <t>KF-M04-0086</t>
  </si>
  <si>
    <t>KF-M04-0087</t>
  </si>
  <si>
    <t>KF-M04-0088</t>
  </si>
  <si>
    <t>KF-M04-0089</t>
  </si>
  <si>
    <t>KF-M04-0090</t>
  </si>
  <si>
    <t>KF-M04-0091</t>
  </si>
  <si>
    <t>KF-M04-0092</t>
  </si>
  <si>
    <t>KF-M04-0093</t>
  </si>
  <si>
    <t>KF-M04-0094</t>
  </si>
  <si>
    <t>KF-M04-0095</t>
  </si>
  <si>
    <t>KF-M04-0096</t>
  </si>
  <si>
    <t>KF-M04-0097</t>
  </si>
  <si>
    <t>KF-M04-0098</t>
  </si>
  <si>
    <t>KF-M04-0099</t>
  </si>
  <si>
    <t>KF-M04-0100</t>
  </si>
  <si>
    <t>KF-M04-0101</t>
  </si>
  <si>
    <t>KF-M04-0102</t>
  </si>
  <si>
    <t>KF-M04-0103</t>
  </si>
  <si>
    <t>KF-M04-0104</t>
  </si>
  <si>
    <t>KF-M04-0105</t>
  </si>
  <si>
    <t>KF-M04-0106</t>
  </si>
  <si>
    <t>KF-M04-0107</t>
  </si>
  <si>
    <t>KF-M04-0108</t>
  </si>
  <si>
    <t>KF-M04-0109</t>
  </si>
  <si>
    <t>KF-M04-0110</t>
  </si>
  <si>
    <t>KF-M04-0111</t>
  </si>
  <si>
    <t>KF-M04-0112</t>
  </si>
  <si>
    <t>KF-M04-0113</t>
  </si>
  <si>
    <t>KF-M04-0114</t>
  </si>
  <si>
    <t>KF-M04-0115</t>
  </si>
  <si>
    <t>KF-M04-0116</t>
  </si>
  <si>
    <t>KF-M04-0117</t>
  </si>
  <si>
    <t>O1</t>
  </si>
  <si>
    <t>KF-M04-0118</t>
  </si>
  <si>
    <t>KF-M04-0119</t>
  </si>
  <si>
    <t>KF-M04-0120</t>
  </si>
  <si>
    <t>KF-M04-0121</t>
  </si>
  <si>
    <t>KF-M04-0122</t>
  </si>
  <si>
    <t>KF-M04-0123</t>
  </si>
  <si>
    <t>KF-M04-0124</t>
  </si>
  <si>
    <t>KF-M04-0125</t>
  </si>
  <si>
    <t>KF-M04-0126</t>
  </si>
  <si>
    <t>KF-M04-0127</t>
  </si>
  <si>
    <t>KF-M04-0128</t>
  </si>
  <si>
    <t>KF-M04-0129</t>
  </si>
  <si>
    <t>KF-M04-0130</t>
  </si>
  <si>
    <t>KF-M04-0131</t>
  </si>
  <si>
    <t>KF-M04-0132</t>
  </si>
  <si>
    <t>KF-M04-0133</t>
  </si>
  <si>
    <t>KF-M04-0134</t>
  </si>
  <si>
    <t>KF-M04-0135</t>
  </si>
  <si>
    <t>KF-M04-0136</t>
  </si>
  <si>
    <t>KF-M04-0137</t>
  </si>
  <si>
    <t>KF-M04-0138</t>
  </si>
  <si>
    <t>KF-M04-0139</t>
  </si>
  <si>
    <t>KF-M04-0140</t>
  </si>
  <si>
    <t>KF-M04-0141</t>
  </si>
  <si>
    <t>KF-M04-0142</t>
  </si>
  <si>
    <t>KF-M04-0143</t>
  </si>
  <si>
    <t>KF-M04-0144</t>
  </si>
  <si>
    <t>KF-M04-0145</t>
  </si>
  <si>
    <t>KF-M04-0146</t>
  </si>
  <si>
    <t>KF-M04-0147</t>
  </si>
  <si>
    <t>KF-M04-0148</t>
  </si>
  <si>
    <t>KF-M04-0149</t>
  </si>
  <si>
    <t>KF-M04-0150</t>
  </si>
  <si>
    <t>KF-M04-0151</t>
  </si>
  <si>
    <t>KF-M04-0152</t>
  </si>
  <si>
    <t>KF-M04-0153</t>
  </si>
  <si>
    <t>KF-M04-0154</t>
  </si>
  <si>
    <t>KF-M04-0155</t>
  </si>
  <si>
    <t>KF-M04-0156</t>
  </si>
  <si>
    <t>KF-M04-0157</t>
  </si>
  <si>
    <t>KF-M04-0158</t>
  </si>
  <si>
    <t>KF-M04-0159</t>
  </si>
  <si>
    <t>KF-M04-0160</t>
  </si>
  <si>
    <t>KF-M04-0161</t>
  </si>
  <si>
    <t>KF-M04-0162</t>
  </si>
  <si>
    <t>KF-M04-0163</t>
  </si>
  <si>
    <t>KF-M04-0164</t>
  </si>
  <si>
    <t>KF-M04-0165</t>
  </si>
  <si>
    <t>KF-M04-0166</t>
  </si>
  <si>
    <t>KF-M04-0167</t>
  </si>
  <si>
    <t>KF-M04-0168</t>
  </si>
  <si>
    <t>KF-M04-0169</t>
  </si>
  <si>
    <t>KF-M04-0170</t>
  </si>
  <si>
    <t>KF-M04-0171</t>
  </si>
  <si>
    <t>KF-M04-0172</t>
  </si>
  <si>
    <t>KF-M04-0173</t>
  </si>
  <si>
    <t>KF-M04-0174</t>
  </si>
  <si>
    <t>KF-M04-0175</t>
  </si>
  <si>
    <t>KF-M04-0176</t>
  </si>
  <si>
    <t>KF-M04-0177</t>
  </si>
  <si>
    <t>KF-M04-0178</t>
  </si>
  <si>
    <t>KF-M04-0179</t>
  </si>
  <si>
    <t>KF-M04-0180</t>
  </si>
  <si>
    <t>KF-M04-0181</t>
  </si>
  <si>
    <t>KF-M04-0182</t>
  </si>
  <si>
    <t>KF-M04-0183</t>
  </si>
  <si>
    <t>KF-M04-0184</t>
  </si>
  <si>
    <t>KF-M04-0185</t>
  </si>
  <si>
    <t>KF-M04-0186</t>
  </si>
  <si>
    <t>KF-M04-0187</t>
  </si>
  <si>
    <t>KF-M04-0188</t>
  </si>
  <si>
    <t>KF-M04-0189</t>
  </si>
  <si>
    <t>KF-M04-0190</t>
  </si>
  <si>
    <t>KF-M04-0191</t>
  </si>
  <si>
    <t>KF-M04-0192</t>
  </si>
  <si>
    <t>KF-M04-0193</t>
  </si>
  <si>
    <t>KF-M04-0194</t>
  </si>
  <si>
    <t>KF-M04-0195</t>
  </si>
  <si>
    <t>KF-M04-0196</t>
  </si>
  <si>
    <t>KF-M04-0197</t>
  </si>
  <si>
    <t>KF-M04-0198</t>
  </si>
  <si>
    <t>KF-M04-0199</t>
  </si>
  <si>
    <t>KF-M04-0200</t>
  </si>
  <si>
    <t>KF-M04-0201</t>
  </si>
  <si>
    <t>KF-M04-0202</t>
  </si>
  <si>
    <t>KF-M04-0203</t>
  </si>
  <si>
    <t>KF-M04-0204</t>
  </si>
  <si>
    <t>KF-M04-0205</t>
  </si>
  <si>
    <t>KF-M04-0206</t>
  </si>
  <si>
    <t>KF-M04-0207</t>
  </si>
  <si>
    <t>KF-M04-0208</t>
  </si>
  <si>
    <t>KF-M04-0209</t>
  </si>
  <si>
    <t>KF-M04-0210</t>
  </si>
  <si>
    <t>KF-M04-0211</t>
  </si>
  <si>
    <t>KF-M04-0212</t>
  </si>
  <si>
    <t>KF-M04-0213</t>
  </si>
  <si>
    <t>KF-M04-0214</t>
  </si>
  <si>
    <t>KF-M04-0215</t>
  </si>
  <si>
    <t>KF-M04-0216</t>
  </si>
  <si>
    <t>KF-M04-0217</t>
  </si>
  <si>
    <t>KF-M04-0218</t>
  </si>
  <si>
    <t>KF-M04-0219</t>
  </si>
  <si>
    <t>KF-M04-0220</t>
  </si>
  <si>
    <t>KF-M04-0221</t>
  </si>
  <si>
    <t>KF-M04-0222</t>
  </si>
  <si>
    <t>KF-M04-0223</t>
  </si>
  <si>
    <t>KF-M04-0224</t>
  </si>
  <si>
    <t>KF-M04-0225</t>
  </si>
  <si>
    <t>KF-M04-0226</t>
  </si>
  <si>
    <t>KF-M04-0227</t>
  </si>
  <si>
    <t>KF-M04-0228</t>
  </si>
  <si>
    <t>KF-M04-0229</t>
  </si>
  <si>
    <t>KF-M04-0230</t>
  </si>
  <si>
    <t>KF-M04-0231</t>
  </si>
  <si>
    <t>KF-M04-0232</t>
  </si>
  <si>
    <t>KF-M04-0233</t>
  </si>
  <si>
    <t>KF-M04-0234</t>
  </si>
  <si>
    <t>KF-M04-0235</t>
  </si>
  <si>
    <t>KF-M04-0236</t>
  </si>
  <si>
    <t>KF-M04-0237</t>
  </si>
  <si>
    <t>KF-M04-0238</t>
  </si>
  <si>
    <t>KF-M04-0239</t>
  </si>
  <si>
    <t>KF-M04-0240</t>
  </si>
  <si>
    <t>S3</t>
  </si>
  <si>
    <t>KF-M04-0241</t>
  </si>
  <si>
    <t>KF-M04-0242</t>
  </si>
  <si>
    <t>KF-M04-0243</t>
  </si>
  <si>
    <t>KF-M04-0244</t>
  </si>
  <si>
    <t>KF-M04-0245</t>
  </si>
  <si>
    <t>KF-M04-0246</t>
  </si>
  <si>
    <t>KF-M04-0247</t>
  </si>
  <si>
    <t>KF-M04-0248</t>
  </si>
  <si>
    <t>KF-M04-0249</t>
  </si>
  <si>
    <t>KF-M04-0250</t>
  </si>
  <si>
    <t>KF-M04-0251</t>
  </si>
  <si>
    <t>KF-M04-0252</t>
  </si>
  <si>
    <t>KF-M04-0253</t>
  </si>
  <si>
    <t>KF-M04-0254</t>
  </si>
  <si>
    <t>KF-M04-0255</t>
  </si>
  <si>
    <t>KF-M04-0256</t>
  </si>
  <si>
    <t>KF-M04-0257</t>
  </si>
  <si>
    <t>KF-M04-0258</t>
  </si>
  <si>
    <t>KF-M04-0259</t>
  </si>
  <si>
    <t>KF-M04-0260</t>
  </si>
  <si>
    <t>KF-M04-0261</t>
  </si>
  <si>
    <t>KF-M04-0262</t>
  </si>
  <si>
    <t>KF-M04-0263</t>
  </si>
  <si>
    <t>KF-M04-0264</t>
  </si>
  <si>
    <t>KF-M04-0265</t>
  </si>
  <si>
    <t>KF-M04-0266</t>
  </si>
  <si>
    <t>KF-M04-0267</t>
  </si>
  <si>
    <t>KF-M04-0268</t>
  </si>
  <si>
    <t>KF-M04-0269</t>
  </si>
  <si>
    <t>KF-M04-0270</t>
  </si>
  <si>
    <t>KF-M04-0271</t>
  </si>
  <si>
    <t>KF-M04-0272</t>
  </si>
  <si>
    <t>KF-M04-0273</t>
  </si>
  <si>
    <t>KF-M04-0274</t>
  </si>
  <si>
    <t>KF-M04-0275</t>
  </si>
  <si>
    <t>KF-M04-0276</t>
  </si>
  <si>
    <t>KF-M04-0277</t>
  </si>
  <si>
    <t>KF-M04-0278</t>
  </si>
  <si>
    <t>KF-M04-0279</t>
  </si>
  <si>
    <t>KF-M04-0280</t>
  </si>
  <si>
    <t>KF-M04-0281</t>
  </si>
  <si>
    <t>KF-M04-0282</t>
  </si>
  <si>
    <t>KF-M04-0283</t>
  </si>
  <si>
    <t>KF-M04-0284</t>
  </si>
  <si>
    <t>KF-M04-0285</t>
  </si>
  <si>
    <t>KF-M04-0286</t>
  </si>
  <si>
    <t>KF-M04-0287</t>
  </si>
  <si>
    <t>KF-M04-0288</t>
  </si>
  <si>
    <t>KF-M04-0289</t>
  </si>
  <si>
    <t>KF-M04-0290</t>
  </si>
  <si>
    <t>KF-M04-0291</t>
  </si>
  <si>
    <t>KF-M04-0292</t>
  </si>
  <si>
    <t>KF-M04-0293</t>
  </si>
  <si>
    <t>KF-M04-0294</t>
  </si>
  <si>
    <t>KF-M04-0295</t>
  </si>
  <si>
    <t>KF-M04-0296</t>
  </si>
  <si>
    <t>KF-M04-0297</t>
  </si>
  <si>
    <t>KF-M04-0298</t>
  </si>
  <si>
    <t>KF-M04-0299</t>
  </si>
  <si>
    <t>KF-M04b-0000</t>
  </si>
  <si>
    <t>KF-M04b-0001</t>
  </si>
  <si>
    <t>KF-M04b-0002</t>
  </si>
  <si>
    <t>KF-M04b-0003</t>
  </si>
  <si>
    <t>KF-M04b-0004</t>
  </si>
  <si>
    <t>KF-M04b-0005</t>
  </si>
  <si>
    <t>KF-M04b-0006</t>
  </si>
  <si>
    <t>KF-M04b-0007</t>
  </si>
  <si>
    <t>KF-M04b-0008</t>
  </si>
  <si>
    <t>KF-M04b-0009</t>
  </si>
  <si>
    <t>KF-M04b-0010</t>
  </si>
  <si>
    <t>KF-M04b-0011</t>
  </si>
  <si>
    <t>KF-M04b-0012</t>
  </si>
  <si>
    <t>KF-M04b-0013</t>
  </si>
  <si>
    <t>KF-M04b-0014</t>
  </si>
  <si>
    <t>KF-M04b-0015</t>
  </si>
  <si>
    <t>KF-M04b-0016</t>
  </si>
  <si>
    <t>KF-M04b-0017</t>
  </si>
  <si>
    <t>KF-M04b-0018</t>
  </si>
  <si>
    <t>KF-M04b-0019</t>
  </si>
  <si>
    <t>KF-M04b-0020</t>
  </si>
  <si>
    <t>KF-M04b-0021</t>
  </si>
  <si>
    <t>KF-M04b-0022</t>
  </si>
  <si>
    <t>KF-M04b-0023</t>
  </si>
  <si>
    <t>KF-M04b-0024</t>
  </si>
  <si>
    <t>KF-M04b-0025</t>
  </si>
  <si>
    <t>KF-M04b-0026</t>
  </si>
  <si>
    <t>KF-M04b-0027</t>
  </si>
  <si>
    <t>KF-M04b-0028</t>
  </si>
  <si>
    <t>KF-M04b-0029</t>
  </si>
  <si>
    <t>KF-M04b-0030</t>
  </si>
  <si>
    <t>KF-M04b-0031</t>
  </si>
  <si>
    <t>KF-M04b-0032</t>
  </si>
  <si>
    <t>KF-M04b-0033</t>
  </si>
  <si>
    <t>KF-M04b-0034</t>
  </si>
  <si>
    <t>KF-M04b-0035</t>
  </si>
  <si>
    <t>KF-M04b-0036</t>
  </si>
  <si>
    <t>KF-M04b-0037</t>
  </si>
  <si>
    <t>KF-M04b-0038</t>
  </si>
  <si>
    <t>KF-M04b-0039</t>
  </si>
  <si>
    <t>KF-M04b-0040</t>
  </si>
  <si>
    <t>KF-M04b-0041</t>
  </si>
  <si>
    <t>N2,O2,O3,O5,C1,C3,C3</t>
  </si>
  <si>
    <t>KF-M04b-0042</t>
  </si>
  <si>
    <t>KF-M04b-0043</t>
  </si>
  <si>
    <t>KF-M04b-0044</t>
  </si>
  <si>
    <t>KF-M04b-0045</t>
  </si>
  <si>
    <t>KF-M04b-0046</t>
  </si>
  <si>
    <t>KF-M04b-0047</t>
  </si>
  <si>
    <t>KF-M04b-0048</t>
  </si>
  <si>
    <t>KF-M04b-0049</t>
  </si>
  <si>
    <t>KF-M04b-0050</t>
  </si>
  <si>
    <t>KF-M04b-0051</t>
  </si>
  <si>
    <t>KF-M04b-0052</t>
  </si>
  <si>
    <t>KF-M04b-0053</t>
  </si>
  <si>
    <t>KF-M04b-0054</t>
  </si>
  <si>
    <t>KF-M04b-0055</t>
  </si>
  <si>
    <t>KF-M04b-0056</t>
  </si>
  <si>
    <t>KF-M04b-0057</t>
  </si>
  <si>
    <t>KF-M04b-0058</t>
  </si>
  <si>
    <t>KF-M04b-0059</t>
  </si>
  <si>
    <t>KF-M04b-0060</t>
  </si>
  <si>
    <t>KF-M04b-0061</t>
  </si>
  <si>
    <t>KF-M04b-0062</t>
  </si>
  <si>
    <t>KF-M04b-0063</t>
  </si>
  <si>
    <t>KF-M04b-0064</t>
  </si>
  <si>
    <t>KF-M04b-0065</t>
  </si>
  <si>
    <t>KF-M04b-0066</t>
  </si>
  <si>
    <t>KF-M04b-0067</t>
  </si>
  <si>
    <t>KF-M04b-0068</t>
  </si>
  <si>
    <t>KF-M04b-0069</t>
  </si>
  <si>
    <t>KF-M04b-0070</t>
  </si>
  <si>
    <t>KF-M04b-0071</t>
  </si>
  <si>
    <t>KF-M04b-0072</t>
  </si>
  <si>
    <t>KF-M04b-0073</t>
  </si>
  <si>
    <t>KF-M04b-0074</t>
  </si>
  <si>
    <t>KF-M04b-0075</t>
  </si>
  <si>
    <t>KF-M04b-0076</t>
  </si>
  <si>
    <t>KF-M04b-0077</t>
  </si>
  <si>
    <t>KF-M04b-0078</t>
  </si>
  <si>
    <t>KF-M04b-0079</t>
  </si>
  <si>
    <t>KF-M04b-0080</t>
  </si>
  <si>
    <t>KF-M04b-0081</t>
  </si>
  <si>
    <t>KF-M04b-0082</t>
  </si>
  <si>
    <t>KF-M04b-0083</t>
  </si>
  <si>
    <t>KF-M04b-0084</t>
  </si>
  <si>
    <t>KF-M04b-0085</t>
  </si>
  <si>
    <t>KF-M04b-0086</t>
  </si>
  <si>
    <t>KF-M04b-0087</t>
  </si>
  <si>
    <t>KF-M04b-0088</t>
  </si>
  <si>
    <t>KF-M04b-0089</t>
  </si>
  <si>
    <t>KF-M04b-0090</t>
  </si>
  <si>
    <t>KF-M04b-0091</t>
  </si>
  <si>
    <t>KF-M04b-0092</t>
  </si>
  <si>
    <t>KF-M04b-0093</t>
  </si>
  <si>
    <t>KF-M04b-0094</t>
  </si>
  <si>
    <t>KF-M04b-0095</t>
  </si>
  <si>
    <t>KF-M04b-0096</t>
  </si>
  <si>
    <t>KF-M04b-0097</t>
  </si>
  <si>
    <t>KF-M04b-0098</t>
  </si>
  <si>
    <t>KF-M04b-0099</t>
  </si>
  <si>
    <t>KF-M04b-0100</t>
  </si>
  <si>
    <t>KF-M04b-0101</t>
  </si>
  <si>
    <t>KF-M04b-0102</t>
  </si>
  <si>
    <t>KF-M04b-0103</t>
  </si>
  <si>
    <t>KF-M04b-0104</t>
  </si>
  <si>
    <t>KF-M04b-0105</t>
  </si>
  <si>
    <t>KF-M04b-0106</t>
  </si>
  <si>
    <t>KF-M04b-0107</t>
  </si>
  <si>
    <t>KF-M04b-0108</t>
  </si>
  <si>
    <t>KF-M04b-0109</t>
  </si>
  <si>
    <t>KF-M04b-0110</t>
  </si>
  <si>
    <t>KF-M04b-0111</t>
  </si>
  <si>
    <t>KF-M04b-0112</t>
  </si>
  <si>
    <t>KF-M04b-0113</t>
  </si>
  <si>
    <t>KF-M04b-0114</t>
  </si>
  <si>
    <t>KF-M04b-0115</t>
  </si>
  <si>
    <t>KF-M04b-0116</t>
  </si>
  <si>
    <t>KF-M04b-0117</t>
  </si>
  <si>
    <t>KF-M04b-0118</t>
  </si>
  <si>
    <t>KF-M04b-0119</t>
  </si>
  <si>
    <t>KF-M04b-0120</t>
  </si>
  <si>
    <t>KF-M04b-0121</t>
  </si>
  <si>
    <t>KF-M04b-0122</t>
  </si>
  <si>
    <t>KF-M04b-0123</t>
  </si>
  <si>
    <t>KF-M04b-0124</t>
  </si>
  <si>
    <t>KF-M04b-0125</t>
  </si>
  <si>
    <t>KF-M04b-0126</t>
  </si>
  <si>
    <t>KF-M04b-0127</t>
  </si>
  <si>
    <t>KF-M04b-0128</t>
  </si>
  <si>
    <t>KF-M04b-0129</t>
  </si>
  <si>
    <t>KF-M04b-0130</t>
  </si>
  <si>
    <t>KF-M04b-0131</t>
  </si>
  <si>
    <t>KF-M04b-0132</t>
  </si>
  <si>
    <t>KF-M04b-0133</t>
  </si>
  <si>
    <t>KF-M04b-0134</t>
  </si>
  <si>
    <t>KF-M04b-0135</t>
  </si>
  <si>
    <t>KF-M04b-0136</t>
  </si>
  <si>
    <t>KF-M04b-0137</t>
  </si>
  <si>
    <t>KF-M04b-0138</t>
  </si>
  <si>
    <t>KF-M04b-0139</t>
  </si>
  <si>
    <t>KF-M04b-0140</t>
  </si>
  <si>
    <t>KF-M04b-0141</t>
  </si>
  <si>
    <t>KF-M04b-0142</t>
  </si>
  <si>
    <t>KF-M04b-0143</t>
  </si>
  <si>
    <t>KF-M04b-0144</t>
  </si>
  <si>
    <t>KF-M04b-0145</t>
  </si>
  <si>
    <t>KF-M04b-0146</t>
  </si>
  <si>
    <t>KF-M04b-0147</t>
  </si>
  <si>
    <t>KF-M04b-0148</t>
  </si>
  <si>
    <t>KF-M04b-0149</t>
  </si>
  <si>
    <t>KF-M04b-0150</t>
  </si>
  <si>
    <t>KF-M04b-0151</t>
  </si>
  <si>
    <t>KF-M04b-0152</t>
  </si>
  <si>
    <t>KF-M04b-0153</t>
  </si>
  <si>
    <t>KF-M04b-0154</t>
  </si>
  <si>
    <t>KF-M04b-0155</t>
  </si>
  <si>
    <t>KF-M04b-0156</t>
  </si>
  <si>
    <t>KF-M04b-0157</t>
  </si>
  <si>
    <t>KF-M04b-0158</t>
  </si>
  <si>
    <t>KF-M04b-0159</t>
  </si>
  <si>
    <t>KF-M04b-0160</t>
  </si>
  <si>
    <t>N2,O2,O5,C1,C3,C3</t>
  </si>
  <si>
    <t>KF-M04b-0161</t>
  </si>
  <si>
    <t>KF-M04b-0162</t>
  </si>
  <si>
    <t>KF-M04b-0163</t>
  </si>
  <si>
    <t>KF-M04b-0164</t>
  </si>
  <si>
    <t>KF-M04b-0165</t>
  </si>
  <si>
    <t>KF-M04b-0166</t>
  </si>
  <si>
    <t>KF-M04b-0167</t>
  </si>
  <si>
    <t>KF-M04b-0168</t>
  </si>
  <si>
    <t>KF-M04b-0169</t>
  </si>
  <si>
    <t>KF-M04b-0170</t>
  </si>
  <si>
    <t>KF-M04b-0171</t>
  </si>
  <si>
    <t>KF-M04b-0172</t>
  </si>
  <si>
    <t>KF-M04b-0173</t>
  </si>
  <si>
    <t>KF-M04b-0174</t>
  </si>
  <si>
    <t>KF-M04b-0175</t>
  </si>
  <si>
    <t>KF-M04b-0176</t>
  </si>
  <si>
    <t>KF-M04b-0177</t>
  </si>
  <si>
    <t>KF-M04b-0178</t>
  </si>
  <si>
    <t>KF-M04b-0179</t>
  </si>
  <si>
    <t>KF-M04b-0180</t>
  </si>
  <si>
    <t>KF-M04b-0181</t>
  </si>
  <si>
    <t>KF-M04b-0182</t>
  </si>
  <si>
    <t>KF-M04b-0183</t>
  </si>
  <si>
    <t>KF-M04b-0184</t>
  </si>
  <si>
    <t>KF-M04b-0185</t>
  </si>
  <si>
    <t>KF-M04b-0186</t>
  </si>
  <si>
    <t>KF-M04b-0187</t>
  </si>
  <si>
    <t>KF-M04b-0188</t>
  </si>
  <si>
    <t>KF-M04b-0189</t>
  </si>
  <si>
    <t>KF-M04b-0190</t>
  </si>
  <si>
    <t>KF-M04b-0191</t>
  </si>
  <si>
    <t>KF-M04b-0192</t>
  </si>
  <si>
    <t>KF-M04b-0193</t>
  </si>
  <si>
    <t>KF-M04b-0194</t>
  </si>
  <si>
    <t>KF-M04b-0195</t>
  </si>
  <si>
    <t>KF-M04b-0196</t>
  </si>
  <si>
    <t>KF-M04b-0197</t>
  </si>
  <si>
    <t>KF-M04b-0198</t>
  </si>
  <si>
    <t>KF-M04b-0199</t>
  </si>
  <si>
    <t>KF-M04c-0000</t>
  </si>
  <si>
    <t>OMITIDO</t>
  </si>
  <si>
    <t>KF-M04c-0001</t>
  </si>
  <si>
    <t>KF-M04c-0002</t>
  </si>
  <si>
    <t>KF-M04c-0003</t>
  </si>
  <si>
    <t>KF-M04c-0004</t>
  </si>
  <si>
    <t>KF-M04c-0005</t>
  </si>
  <si>
    <t>KF-M04c-0006</t>
  </si>
  <si>
    <t>KF-M04c-0007</t>
  </si>
  <si>
    <t>KF-M04c-0008</t>
  </si>
  <si>
    <t>KF-M04c-0009</t>
  </si>
  <si>
    <t>KF-M04c-0010</t>
  </si>
  <si>
    <t>KF-M04c-0011</t>
  </si>
  <si>
    <t>KF-M04c-0012</t>
  </si>
  <si>
    <t>KF-M04c-0013</t>
  </si>
  <si>
    <t>KF-M04c-0014</t>
  </si>
  <si>
    <t>KF-M04c-0015</t>
  </si>
  <si>
    <t>KF-M04c-0016</t>
  </si>
  <si>
    <t>KF-M04c-0017</t>
  </si>
  <si>
    <t>KF-M04c-0018</t>
  </si>
  <si>
    <t>KF-M04c-0019</t>
  </si>
  <si>
    <t>KF-M04c-0020</t>
  </si>
  <si>
    <t>KF-M04c-0021</t>
  </si>
  <si>
    <t>KF-M04c-0022</t>
  </si>
  <si>
    <t>KF-M04c-0023</t>
  </si>
  <si>
    <t>KF-M04c-0024</t>
  </si>
  <si>
    <t>KF-M04c-0025</t>
  </si>
  <si>
    <t>KF-M04c-0026</t>
  </si>
  <si>
    <t>KF-M04c-0027</t>
  </si>
  <si>
    <t>KF-M04c-0028</t>
  </si>
  <si>
    <t>KF-M04c-0029</t>
  </si>
  <si>
    <t>KF-M04c-0030</t>
  </si>
  <si>
    <t>KF-M04c-0031</t>
  </si>
  <si>
    <t>KF-M04c-0032</t>
  </si>
  <si>
    <t>KF-M04c-0033</t>
  </si>
  <si>
    <t>KF-M04c-0034</t>
  </si>
  <si>
    <t>KF-M04c-0035</t>
  </si>
  <si>
    <t>KF-M04c-0036</t>
  </si>
  <si>
    <t>KF-M04c-0037</t>
  </si>
  <si>
    <t>KF-M04c-0038</t>
  </si>
  <si>
    <t>KF-M04c-0039</t>
  </si>
  <si>
    <t>KF-M04c-0040</t>
  </si>
  <si>
    <t>KF-M04c-0041</t>
  </si>
  <si>
    <t>KF-M04c-0042</t>
  </si>
  <si>
    <t>KF-M04c-0043</t>
  </si>
  <si>
    <t>KF-M04c-0044</t>
  </si>
  <si>
    <t>KF-M04c-0045</t>
  </si>
  <si>
    <t>KF-M04c-0046</t>
  </si>
  <si>
    <t>KF-M04c-0047</t>
  </si>
  <si>
    <t>KF-M04c-0048</t>
  </si>
  <si>
    <t>KF-M04c-0049</t>
  </si>
  <si>
    <t>KF-M04c-0050</t>
  </si>
  <si>
    <t>KF-M04c-0051</t>
  </si>
  <si>
    <t>KF-M04c-0052</t>
  </si>
  <si>
    <t>KF-M04c-0053</t>
  </si>
  <si>
    <t>KF-M04c-0054</t>
  </si>
  <si>
    <t>KF-M04c-0055</t>
  </si>
  <si>
    <t>KF-M04c-0056</t>
  </si>
  <si>
    <t>KF-M04c-0057</t>
  </si>
  <si>
    <t>KF-M04c-0058</t>
  </si>
  <si>
    <t>KF-M04c-0059</t>
  </si>
  <si>
    <t>KF-M04c-0060</t>
  </si>
  <si>
    <t>KF-M04c-0061</t>
  </si>
  <si>
    <t>KF-M04c-0062</t>
  </si>
  <si>
    <t>KF-M04c-0063</t>
  </si>
  <si>
    <t>KF-M04c-0064</t>
  </si>
  <si>
    <t>KF-M04c-0065</t>
  </si>
  <si>
    <t>KF-M04c-0066</t>
  </si>
  <si>
    <t>KF-M04c-0067</t>
  </si>
  <si>
    <t>KF-M04c-0068</t>
  </si>
  <si>
    <t>KF-M04c-0069</t>
  </si>
  <si>
    <t>KF-M04c-0070</t>
  </si>
  <si>
    <t>KF-M04c-0071</t>
  </si>
  <si>
    <t>KF-M04c-0072</t>
  </si>
  <si>
    <t>KF-M04c-0073</t>
  </si>
  <si>
    <t>KF-M04c-0074</t>
  </si>
  <si>
    <t>KF-M04c-0075</t>
  </si>
  <si>
    <t>KF-M04c-0076</t>
  </si>
  <si>
    <t>KF-M04c-0077</t>
  </si>
  <si>
    <t>KF-M04c-0078</t>
  </si>
  <si>
    <t>KF-M04c-0079</t>
  </si>
  <si>
    <t>KF-M04c-0080</t>
  </si>
  <si>
    <t>KF-M04c-0081</t>
  </si>
  <si>
    <t>KF-M04c-0082</t>
  </si>
  <si>
    <t>KF-M04c-0083</t>
  </si>
  <si>
    <t>KF-M04c-0084</t>
  </si>
  <si>
    <t>KF-M04c-0085</t>
  </si>
  <si>
    <t>O2,O5</t>
  </si>
  <si>
    <t>KF-M04c-0086</t>
  </si>
  <si>
    <t>KF-M04c-0087</t>
  </si>
  <si>
    <t>KF-M04c-0088</t>
  </si>
  <si>
    <t>KF-M04c-0089</t>
  </si>
  <si>
    <t>KF-M04c-0090</t>
  </si>
  <si>
    <t>KF-M04c-0091</t>
  </si>
  <si>
    <t>KF-M04c-0092</t>
  </si>
  <si>
    <t>KF-M04c-0093</t>
  </si>
  <si>
    <t>KF-M04c-0094</t>
  </si>
  <si>
    <t>KF-M04c-0095</t>
  </si>
  <si>
    <t>KF-M04c-0096</t>
  </si>
  <si>
    <t>KF-M04c-0097</t>
  </si>
  <si>
    <t>KF-M04c-0098</t>
  </si>
  <si>
    <t>KF-M04c-0099</t>
  </si>
  <si>
    <t>KF-M04c-0100</t>
  </si>
  <si>
    <t>KF-M04c-0101</t>
  </si>
  <si>
    <t>KF-M04c-0102</t>
  </si>
  <si>
    <t>KF-M04c-0103</t>
  </si>
  <si>
    <t>KF-M04c-0104</t>
  </si>
  <si>
    <t>KF-M04c-0105</t>
  </si>
  <si>
    <t>KF-M04c-0106</t>
  </si>
  <si>
    <t>KF-M04c-0107</t>
  </si>
  <si>
    <t>KF-M04c-0108</t>
  </si>
  <si>
    <t>KF-M04c-0109</t>
  </si>
  <si>
    <t>KF-M04c-0110</t>
  </si>
  <si>
    <t>KF-M04c-0111</t>
  </si>
  <si>
    <t>KF-M04c-0112</t>
  </si>
  <si>
    <t>KF-M04c-0113</t>
  </si>
  <si>
    <t>KF-M04c-0114</t>
  </si>
  <si>
    <t>KF-M04c-0115</t>
  </si>
  <si>
    <t>KF-M04c-0116</t>
  </si>
  <si>
    <t>KF-M04c-0117</t>
  </si>
  <si>
    <t>KF-M04c-0118</t>
  </si>
  <si>
    <t>KF-M04c-0119</t>
  </si>
  <si>
    <t>KF-M04c-0120</t>
  </si>
  <si>
    <t>KF-M04c-0121</t>
  </si>
  <si>
    <t>KF-M04c-0122</t>
  </si>
  <si>
    <t>KF-M04c-0123</t>
  </si>
  <si>
    <t>KF-M04c-0124</t>
  </si>
  <si>
    <t>KF-M04c-0125</t>
  </si>
  <si>
    <t>KF-M04c-0126</t>
  </si>
  <si>
    <t>KF-M04c-0127</t>
  </si>
  <si>
    <t>KF-M04c-0128</t>
  </si>
  <si>
    <t>KF-M04c-0129</t>
  </si>
  <si>
    <t>KF-M04c-0130</t>
  </si>
  <si>
    <t>KF-M04c-0131</t>
  </si>
  <si>
    <t>KF-M04c-0132</t>
  </si>
  <si>
    <t>KF-M04c-0133</t>
  </si>
  <si>
    <t>KF-M04c-0134</t>
  </si>
  <si>
    <t>KF-M04c-0135</t>
  </si>
  <si>
    <t>KF-M04c-0136</t>
  </si>
  <si>
    <t>KF-M04c-0137</t>
  </si>
  <si>
    <t>KF-M04c-0138</t>
  </si>
  <si>
    <t>KF-M04c-0139</t>
  </si>
  <si>
    <t>KF-M04c-0140</t>
  </si>
  <si>
    <t>KF-M04c-0141</t>
  </si>
  <si>
    <t>KF-M04c-0142</t>
  </si>
  <si>
    <t>KF-M04c-0143</t>
  </si>
  <si>
    <t>KF-M04c-0144</t>
  </si>
  <si>
    <t>KF-M04c-0145</t>
  </si>
  <si>
    <t>KF-M04c-0146</t>
  </si>
  <si>
    <t>KF-M04c-0147</t>
  </si>
  <si>
    <t>KF-M04c-0148</t>
  </si>
  <si>
    <t>KF-M04c-0149</t>
  </si>
  <si>
    <t>KF-M05-1-0000</t>
  </si>
  <si>
    <t>KF-M05-1-0001</t>
  </si>
  <si>
    <t>KF-M05-1-0002</t>
  </si>
  <si>
    <t>KF-M05-1-0003</t>
  </si>
  <si>
    <t>KF-M05-1-0004</t>
  </si>
  <si>
    <t>KF-M05-1-0005</t>
  </si>
  <si>
    <t>KF-M05-1-0006</t>
  </si>
  <si>
    <t>KF-M05-1-0007</t>
  </si>
  <si>
    <t>KF-M05-1-0008</t>
  </si>
  <si>
    <t>KF-M05-1-0009</t>
  </si>
  <si>
    <t>KF-M05-1-0010</t>
  </si>
  <si>
    <t>KF-M05-1-0011</t>
  </si>
  <si>
    <t>KF-M05-1-0012</t>
  </si>
  <si>
    <t>KF-M05-1-0013</t>
  </si>
  <si>
    <t>KF-M05-1-0014</t>
  </si>
  <si>
    <t>KF-M05-1-0015</t>
  </si>
  <si>
    <t>KF-M05-1-0016</t>
  </si>
  <si>
    <t>KF-M05-1-0017</t>
  </si>
  <si>
    <t>KF-M05-1-0018</t>
  </si>
  <si>
    <t>KF-M05-1-0019</t>
  </si>
  <si>
    <t>KF-M05-1-0020</t>
  </si>
  <si>
    <t>KF-M05-1-0021</t>
  </si>
  <si>
    <t>KF-M05-1-0022</t>
  </si>
  <si>
    <t>KF-M05-1-0023</t>
  </si>
  <si>
    <t>KF-M05-1-0024</t>
  </si>
  <si>
    <t>KF-M05-1-0025</t>
  </si>
  <si>
    <t>KF-M05-1-0026</t>
  </si>
  <si>
    <t>KF-M05-1-0027</t>
  </si>
  <si>
    <t>KF-M05-1-0028</t>
  </si>
  <si>
    <t>KF-M05-1-0029</t>
  </si>
  <si>
    <t>KF-M05-1-0030</t>
  </si>
  <si>
    <t>KF-M05-1-0031</t>
  </si>
  <si>
    <t>KF-M05-1-0032</t>
  </si>
  <si>
    <t>KF-M05-1-0033</t>
  </si>
  <si>
    <t>KF-M05-1-0034</t>
  </si>
  <si>
    <t>KF-M05-1-0035</t>
  </si>
  <si>
    <t>KF-M05-1-0036</t>
  </si>
  <si>
    <t>KF-M05-1-0037</t>
  </si>
  <si>
    <t>KF-M05-1-0038</t>
  </si>
  <si>
    <t>KF-M05-1-0039</t>
  </si>
  <si>
    <t>KF-M05-1-0040</t>
  </si>
  <si>
    <t>KF-M05-1-0041</t>
  </si>
  <si>
    <t>KF-M05-1-0042</t>
  </si>
  <si>
    <t>KF-M05-1-0043</t>
  </si>
  <si>
    <t>KF-M05-1-0044</t>
  </si>
  <si>
    <t>KF-M05-1-0045</t>
  </si>
  <si>
    <t>KF-M05-1-0046</t>
  </si>
  <si>
    <t>KF-M05-1-0047</t>
  </si>
  <si>
    <t>KF-M05-1-0048</t>
  </si>
  <si>
    <t>KF-M05-1-0049</t>
  </si>
  <si>
    <t>KF-M05-1-0050</t>
  </si>
  <si>
    <t>KF-M05-1-0051</t>
  </si>
  <si>
    <t>KF-M05-1-0052</t>
  </si>
  <si>
    <t>KF-M05-1-0053</t>
  </si>
  <si>
    <t>KF-M05-1-0054</t>
  </si>
  <si>
    <t>KF-M05-1-0055</t>
  </si>
  <si>
    <t>KF-M05-1-0056</t>
  </si>
  <si>
    <t>KF-M05-1-0057</t>
  </si>
  <si>
    <t>KF-M05-1-0058</t>
  </si>
  <si>
    <t>KF-M05-1-0059</t>
  </si>
  <si>
    <t>KF-M05-1-0060</t>
  </si>
  <si>
    <t>KF-M05-1-0061</t>
  </si>
  <si>
    <t>KF-M05-1-0062</t>
  </si>
  <si>
    <t>KF-M05-1-0063</t>
  </si>
  <si>
    <t>KF-M05-1-0064</t>
  </si>
  <si>
    <t>KF-M05-1-0065</t>
  </si>
  <si>
    <t>KF-M05-1-0066</t>
  </si>
  <si>
    <t>KF-M05-1-0067</t>
  </si>
  <si>
    <t>KF-M05-1-0068</t>
  </si>
  <si>
    <t>KF-M05-1-0069</t>
  </si>
  <si>
    <t>KF-M05-1-0070</t>
  </si>
  <si>
    <t>KF-M05-1-0071</t>
  </si>
  <si>
    <t>KF-M05-1-0072</t>
  </si>
  <si>
    <t>KF-M05-1-0073</t>
  </si>
  <si>
    <t>KF-M05-1-0074</t>
  </si>
  <si>
    <t>KF-M05-1-0075</t>
  </si>
  <si>
    <t>KF-M05-1-0076</t>
  </si>
  <si>
    <t>KF-M05-1-0077</t>
  </si>
  <si>
    <t>KF-M05-1-0078</t>
  </si>
  <si>
    <t>KF-M05-1-0079</t>
  </si>
  <si>
    <t>KF-M05-1-0080</t>
  </si>
  <si>
    <t>KF-M05-1-0081</t>
  </si>
  <si>
    <t>KF-M05-1-0082</t>
  </si>
  <si>
    <t>KF-M05-1-0083</t>
  </si>
  <si>
    <t>KF-M05-1-0084</t>
  </si>
  <si>
    <t>KF-M05-1-0085</t>
  </si>
  <si>
    <t>KF-M05-1-0086</t>
  </si>
  <si>
    <t>KF-M05-1-0087</t>
  </si>
  <si>
    <t>KF-M05-1-0088</t>
  </si>
  <si>
    <t>KF-M05-1-0089</t>
  </si>
  <si>
    <t>KF-M05-1-0090</t>
  </si>
  <si>
    <t>KF-M05-1-0091</t>
  </si>
  <si>
    <t>KF-M05-1-0092</t>
  </si>
  <si>
    <t>KF-M05-1-0093</t>
  </si>
  <si>
    <t>KF-M05-1-0094</t>
  </si>
  <si>
    <t>KF-M05-1-0095</t>
  </si>
  <si>
    <t>KF-M05-1-0096</t>
  </si>
  <si>
    <t>KF-M05-1-0097</t>
  </si>
  <si>
    <t>KF-M05-1-0098</t>
  </si>
  <si>
    <t>KF-M05-1-0099</t>
  </si>
  <si>
    <t>KF-M05-1-0100</t>
  </si>
  <si>
    <t>KF-M05-1-0101</t>
  </si>
  <si>
    <t>KF-M05-1-0102</t>
  </si>
  <si>
    <t>KF-M05-1-0103</t>
  </si>
  <si>
    <t>KF-M05-1-0104</t>
  </si>
  <si>
    <t>KF-M05-1-0105</t>
  </si>
  <si>
    <t>KF-M05-1-0106</t>
  </si>
  <si>
    <t>KF-M05-1-0107</t>
  </si>
  <si>
    <t>KF-M05-1-0108</t>
  </si>
  <si>
    <t>KF-M05-1-0109</t>
  </si>
  <si>
    <t>KF-M05-1-0110</t>
  </si>
  <si>
    <t>KF-M05-1-0111</t>
  </si>
  <si>
    <t>KF-M05-1-0112</t>
  </si>
  <si>
    <t>KF-M05-1-0113</t>
  </si>
  <si>
    <t>KF-M05-1-0114</t>
  </si>
  <si>
    <t>KF-M05-1-0115</t>
  </si>
  <si>
    <t>KF-M05-1-0116</t>
  </si>
  <si>
    <t>KF-M05-1-0117</t>
  </si>
  <si>
    <t>KF-M05-1-0118</t>
  </si>
  <si>
    <t>KF-M05-1-0119</t>
  </si>
  <si>
    <t>KF-M05-2-0000</t>
  </si>
  <si>
    <t>KF-M05-2-0001</t>
  </si>
  <si>
    <t>KF-M05-2-0002</t>
  </si>
  <si>
    <t>KF-M05-2-0003</t>
  </si>
  <si>
    <t>KF-M05-2-0004</t>
  </si>
  <si>
    <t>KF-M05-2-0005</t>
  </si>
  <si>
    <t>KF-M05-2-0006</t>
  </si>
  <si>
    <t>KF-M05-2-0007</t>
  </si>
  <si>
    <t>KF-M05-2-0008</t>
  </si>
  <si>
    <t>KF-M05-2-0009</t>
  </si>
  <si>
    <t>KF-M05-2-0010</t>
  </si>
  <si>
    <t>KF-M05-2-0011</t>
  </si>
  <si>
    <t>KF-M05-2-0012</t>
  </si>
  <si>
    <t>KF-M05-2-0013</t>
  </si>
  <si>
    <t>KF-M05-2-0014</t>
  </si>
  <si>
    <t>KF-M05-2-0015</t>
  </si>
  <si>
    <t>KF-M05-2-0016</t>
  </si>
  <si>
    <t>KF-M05-2-0017</t>
  </si>
  <si>
    <t>KF-M05-2-0018</t>
  </si>
  <si>
    <t>KF-M05-2-0019</t>
  </si>
  <si>
    <t>KF-M05-2-0020</t>
  </si>
  <si>
    <t>KF-M05-2-0021</t>
  </si>
  <si>
    <t>KF-M05-2-0022</t>
  </si>
  <si>
    <t>KF-M05-2-0023</t>
  </si>
  <si>
    <t>KF-M05-2-0024</t>
  </si>
  <si>
    <t>KF-M05-2-0025</t>
  </si>
  <si>
    <t>KF-M05-2-0026</t>
  </si>
  <si>
    <t>KF-M05-2-0027</t>
  </si>
  <si>
    <t>KF-M05-2-0028</t>
  </si>
  <si>
    <t>KF-M05-2-0029</t>
  </si>
  <si>
    <t>KF-M05-2-0030</t>
  </si>
  <si>
    <t>KF-M05-2-0031</t>
  </si>
  <si>
    <t>KF-M05-2-0032</t>
  </si>
  <si>
    <t>KF-M05-2-0033</t>
  </si>
  <si>
    <t>KF-M05-2-0034</t>
  </si>
  <si>
    <t>KF-M05-2-0035</t>
  </si>
  <si>
    <t>KF-M05-2-0036</t>
  </si>
  <si>
    <t>KF-M05-2-0037</t>
  </si>
  <si>
    <t>KF-M05-2-0038</t>
  </si>
  <si>
    <t>KF-M05-2-0039</t>
  </si>
  <si>
    <t>KF-M05-2-0040</t>
  </si>
  <si>
    <t>KF-M05-2-0041</t>
  </si>
  <si>
    <t>KF-M05-2-0042</t>
  </si>
  <si>
    <t>KF-M05-2-0043</t>
  </si>
  <si>
    <t>KF-M05-2-0044</t>
  </si>
  <si>
    <t>KF-M05-2-0045</t>
  </si>
  <si>
    <t>KF-M05-2-0046</t>
  </si>
  <si>
    <t>KF-M05-2-0047</t>
  </si>
  <si>
    <t>KF-M05-2-0048</t>
  </si>
  <si>
    <t>KF-M05-2-0049</t>
  </si>
  <si>
    <t>KF-M05-2-0050</t>
  </si>
  <si>
    <t>KF-M05-2-0051</t>
  </si>
  <si>
    <t>KF-M05-2-0052</t>
  </si>
  <si>
    <t>KF-M05-2-0053</t>
  </si>
  <si>
    <t>KF-M05-2-0054</t>
  </si>
  <si>
    <t>KF-M05-2-0055</t>
  </si>
  <si>
    <t>KF-M05-2-0056</t>
  </si>
  <si>
    <t>KF-M05-2-0057</t>
  </si>
  <si>
    <t>KF-M05-2-0058</t>
  </si>
  <si>
    <t>KF-M05-2-0059</t>
  </si>
  <si>
    <t>KF-M05-2-0060</t>
  </si>
  <si>
    <t>KF-M05-2-0061</t>
  </si>
  <si>
    <t>KF-M05-2-0062</t>
  </si>
  <si>
    <t>KF-M05-2-0063</t>
  </si>
  <si>
    <t>KF-M05-2-0064</t>
  </si>
  <si>
    <t>KF-M05-2-0065</t>
  </si>
  <si>
    <t>KF-M05-2-0066</t>
  </si>
  <si>
    <t>KF-M05-2-0067</t>
  </si>
  <si>
    <t>KF-M05-2-0068</t>
  </si>
  <si>
    <t>KF-M05-2-0069</t>
  </si>
  <si>
    <t>KF-M05-2-0070</t>
  </si>
  <si>
    <t>KF-M05-2-0071</t>
  </si>
  <si>
    <t>KF-M05-2-0072</t>
  </si>
  <si>
    <t>KF-M05-2-0073</t>
  </si>
  <si>
    <t>KF-M05-2-0074</t>
  </si>
  <si>
    <t>KF-M05-2-0075</t>
  </si>
  <si>
    <t>KF-M05-2-0076</t>
  </si>
  <si>
    <t>KF-M05-2-0077</t>
  </si>
  <si>
    <t>KF-M05-2-0078</t>
  </si>
  <si>
    <t>KF-M05-2-0079</t>
  </si>
  <si>
    <t>KF-M05-2-0080</t>
  </si>
  <si>
    <t>KF-M05-2-0081</t>
  </si>
  <si>
    <t>KF-M05-2-0082</t>
  </si>
  <si>
    <t>KF-M05-2-0083</t>
  </si>
  <si>
    <t>KF-M05-2-0084</t>
  </si>
  <si>
    <t>KF-M05-2-0085</t>
  </si>
  <si>
    <t>KF-M05-2-0086</t>
  </si>
  <si>
    <t>KF-M05-2-0087</t>
  </si>
  <si>
    <t>KF-M05-2-0088</t>
  </si>
  <si>
    <t>KF-M05-2-0089</t>
  </si>
  <si>
    <t>KF-M05-2-0090</t>
  </si>
  <si>
    <t>KF-M05-2-0091</t>
  </si>
  <si>
    <t>KF-M05-2-0092</t>
  </si>
  <si>
    <t>KF-M05-2-0093</t>
  </si>
  <si>
    <t>KF-M05-2-0094</t>
  </si>
  <si>
    <t>KF-M05-2-0095</t>
  </si>
  <si>
    <t>KF-M05-2-0096</t>
  </si>
  <si>
    <t>KF-M05-2-0097</t>
  </si>
  <si>
    <t>KF-M05-2-0098</t>
  </si>
  <si>
    <t>KF-M05-2-0099</t>
  </si>
  <si>
    <t>KF-M05-2-0100</t>
  </si>
  <si>
    <t>KF-M05-2-0101</t>
  </si>
  <si>
    <t>KF-M05-2-0102</t>
  </si>
  <si>
    <t>KF-M05-2-0103</t>
  </si>
  <si>
    <t>KF-M05-2-0104</t>
  </si>
  <si>
    <t>KF-M05-2-0105</t>
  </si>
  <si>
    <t>KF-M05-2-0106</t>
  </si>
  <si>
    <t>KF-M05-2-0107</t>
  </si>
  <si>
    <t>KF-M05-2-0108</t>
  </si>
  <si>
    <t>KF-M05-2-0109</t>
  </si>
  <si>
    <t>KF-M05-2-0110</t>
  </si>
  <si>
    <t>KF-M05-2-0111</t>
  </si>
  <si>
    <t>KF-M05-2-0112</t>
  </si>
  <si>
    <t>KF-M05-2-0113</t>
  </si>
  <si>
    <t>KF-M05-2-0114</t>
  </si>
  <si>
    <t>KF-M05-2-0115</t>
  </si>
  <si>
    <t>KF-M05-2-0116</t>
  </si>
  <si>
    <t>KF-M05-2-0117</t>
  </si>
  <si>
    <t>KF-M05-2-0118</t>
  </si>
  <si>
    <t>KF-M05-3-0000</t>
  </si>
  <si>
    <t>KF-M05-3-0001</t>
  </si>
  <si>
    <t>KF-M05-3-0002</t>
  </si>
  <si>
    <t>KF-M05-3-0003</t>
  </si>
  <si>
    <t>KF-M05-3-0004</t>
  </si>
  <si>
    <t>KF-M05-3-0005</t>
  </si>
  <si>
    <t>KF-M05-3-0006</t>
  </si>
  <si>
    <t>KF-M05-3-0007</t>
  </si>
  <si>
    <t>KF-M05-3-0008</t>
  </si>
  <si>
    <t>KF-M05-3-0009</t>
  </si>
  <si>
    <t>KF-M05-3-0010</t>
  </si>
  <si>
    <t>KF-M05-3-0011</t>
  </si>
  <si>
    <t>KF-M05-3-0012</t>
  </si>
  <si>
    <t>KF-M05-3-0013</t>
  </si>
  <si>
    <t>KF-M05-3-0014</t>
  </si>
  <si>
    <t>KF-M05-3-0015</t>
  </si>
  <si>
    <t>KF-M05-3-0016</t>
  </si>
  <si>
    <t>KF-M05-3-0017</t>
  </si>
  <si>
    <t>KF-M05-3-0018</t>
  </si>
  <si>
    <t>KF-M05-3-0019</t>
  </si>
  <si>
    <t>KF-M05-3-0020</t>
  </si>
  <si>
    <t>KF-M05-3-0021</t>
  </si>
  <si>
    <t>KF-M05-3-0022</t>
  </si>
  <si>
    <t>KF-M05-3-0023</t>
  </si>
  <si>
    <t>KF-M05-3-0024</t>
  </si>
  <si>
    <t>KF-M05-3-0025</t>
  </si>
  <si>
    <t>KF-M05-3-0026</t>
  </si>
  <si>
    <t>KF-M05-3-0027</t>
  </si>
  <si>
    <t>KF-M05-3-0028</t>
  </si>
  <si>
    <t>KF-M05-3-0029</t>
  </si>
  <si>
    <t>KF-M05-2-0119</t>
  </si>
  <si>
    <t>KF-M05-3-0030</t>
  </si>
  <si>
    <t>KF-M05-3-0031</t>
  </si>
  <si>
    <t>KF-M05-3-0032</t>
  </si>
  <si>
    <t>KF-M05-3-0033</t>
  </si>
  <si>
    <t>KF-M05-3-0034</t>
  </si>
  <si>
    <t>KF-M05-3-0035</t>
  </si>
  <si>
    <t>KF-M05-3-0036</t>
  </si>
  <si>
    <t>KF-M05-3-0037</t>
  </si>
  <si>
    <t>N2,O1,O2,O3,O5,C1,C3,C3</t>
  </si>
  <si>
    <t>KF-M05-3-0038</t>
  </si>
  <si>
    <t>KF-M05-3-0039</t>
  </si>
  <si>
    <t>KF-M05-3-0040</t>
  </si>
  <si>
    <t>KF-M05-3-0041</t>
  </si>
  <si>
    <t>KF-M05-3-0042</t>
  </si>
  <si>
    <t>KF-M05-3-0043</t>
  </si>
  <si>
    <t>KF-M05-3-0044</t>
  </si>
  <si>
    <t>KF-M05-3-0045</t>
  </si>
  <si>
    <t>KF-M05-3-0046</t>
  </si>
  <si>
    <t>KF-M05-3-0047</t>
  </si>
  <si>
    <t>KF-M05-3-0048</t>
  </si>
  <si>
    <t>KF-M05-3-0049</t>
  </si>
  <si>
    <t>KF-M05-3-0050</t>
  </si>
  <si>
    <t>KF-M05-3-0051</t>
  </si>
  <si>
    <t>KF-M05-3-0052</t>
  </si>
  <si>
    <t>KF-M05-3-0053</t>
  </si>
  <si>
    <t>KF-M05-3-0054</t>
  </si>
  <si>
    <t>KF-M05-3-0055</t>
  </si>
  <si>
    <t>KF-M05-3-0056</t>
  </si>
  <si>
    <t>KF-M05-3-0057</t>
  </si>
  <si>
    <t>KF-M05-3-0058</t>
  </si>
  <si>
    <t>KF-M05-3-0059</t>
  </si>
  <si>
    <t>KF-M05-3-0060</t>
  </si>
  <si>
    <t>KF-M05-3-0061</t>
  </si>
  <si>
    <t>KF-M05-3-0062</t>
  </si>
  <si>
    <t>KF-M05-3-0063</t>
  </si>
  <si>
    <t>KF-M05-3-0064</t>
  </si>
  <si>
    <t>KF-M05-3-0065</t>
  </si>
  <si>
    <t>KF-M05-3-0066</t>
  </si>
  <si>
    <t>KF-M05-3-0067</t>
  </si>
  <si>
    <t>KF-M05-3-0068</t>
  </si>
  <si>
    <t>KF-M05-3-0069</t>
  </si>
  <si>
    <t>KF-M05-3-0070</t>
  </si>
  <si>
    <t>KF-M05-3-0071</t>
  </si>
  <si>
    <t>KF-M05-3-0072</t>
  </si>
  <si>
    <t>KF-M05-3-0073</t>
  </si>
  <si>
    <t>KF-M05-3-0074</t>
  </si>
  <si>
    <t>KF-M05-3-0075</t>
  </si>
  <si>
    <t>KF-M05-3-0076</t>
  </si>
  <si>
    <t>KF-M05-3-0077</t>
  </si>
  <si>
    <t>KF-M05-3-0078</t>
  </si>
  <si>
    <t>KF-M05-3-0079</t>
  </si>
  <si>
    <t>KF-M05-3-0080</t>
  </si>
  <si>
    <t>KF-M05-3-0081</t>
  </si>
  <si>
    <t>KF-M05-3-0082</t>
  </si>
  <si>
    <t>KF-M05-3-0083</t>
  </si>
  <si>
    <t>KF-M05-3-0084</t>
  </si>
  <si>
    <t>KF-M05-3-0085</t>
  </si>
  <si>
    <t>KF-M05-3-0086</t>
  </si>
  <si>
    <t>KF-M05-3-0087</t>
  </si>
  <si>
    <t>KF-M05-3-0088</t>
  </si>
  <si>
    <t>KF-M05-3-0089</t>
  </si>
  <si>
    <t>KF-M05-3-0090</t>
  </si>
  <si>
    <t>KF-M05-3-0091</t>
  </si>
  <si>
    <t>KF-M05-3-0092</t>
  </si>
  <si>
    <t>KF-M05-3-0093</t>
  </si>
  <si>
    <t>KF-M05-3-0094</t>
  </si>
  <si>
    <t>KF-M05-3-0095</t>
  </si>
  <si>
    <t>KF-M05-3-0096</t>
  </si>
  <si>
    <t>KF-M05-3-0097</t>
  </si>
  <si>
    <t>KF-M05-3-0098</t>
  </si>
  <si>
    <t>KF-M05-3-0099</t>
  </si>
  <si>
    <t>KF-M05-3-0100</t>
  </si>
  <si>
    <t>KF-M05-3-0101</t>
  </si>
  <si>
    <t>KF-M05-3-0102</t>
  </si>
  <si>
    <t>KF-M05-3-0103</t>
  </si>
  <si>
    <t>KF-M05-3-0104</t>
  </si>
  <si>
    <t>KF-M05-3-0105</t>
  </si>
  <si>
    <t>KF-M05-3-0106</t>
  </si>
  <si>
    <t>KF-M05-3-0107</t>
  </si>
  <si>
    <t>KF-M05-3-0108</t>
  </si>
  <si>
    <t>KF-M05-3-0109</t>
  </si>
  <si>
    <t>KF-M05-3-0110</t>
  </si>
  <si>
    <t>KF-M05-3-0111</t>
  </si>
  <si>
    <t>KF-M05-3-0112</t>
  </si>
  <si>
    <t>KF-M05-3-0113</t>
  </si>
  <si>
    <t>KF-M05-3-0114</t>
  </si>
  <si>
    <t>KF-M05-3-0115</t>
  </si>
  <si>
    <t>KF-M05-3-0116</t>
  </si>
  <si>
    <t>KF-M05-3-0117</t>
  </si>
  <si>
    <t>KF-M05-4-0000</t>
  </si>
  <si>
    <t>KF-M05-4-0001</t>
  </si>
  <si>
    <t>KF-M05-4-0002</t>
  </si>
  <si>
    <t>KF-M05-4-0003</t>
  </si>
  <si>
    <t>KF-M05-4-0004</t>
  </si>
  <si>
    <t>KF-M05-3-0118</t>
  </si>
  <si>
    <t>KF-M05-4-0005</t>
  </si>
  <si>
    <t>KF-M05-4-0006</t>
  </si>
  <si>
    <t>KF-M05-4-0007</t>
  </si>
  <si>
    <t>KF-M05-4-0008</t>
  </si>
  <si>
    <t>KF-M05-4-0009</t>
  </si>
  <si>
    <t>KF-M05-4-0010</t>
  </si>
  <si>
    <t>KF-M05-4-0011</t>
  </si>
  <si>
    <t>KF-M05-4-0012</t>
  </si>
  <si>
    <t>KF-M05-4-0013</t>
  </si>
  <si>
    <t>KF-M05-4-0014</t>
  </si>
  <si>
    <t>KF-M05-4-0015</t>
  </si>
  <si>
    <t>KF-M05-4-0016</t>
  </si>
  <si>
    <t>KF-M05-4-0017</t>
  </si>
  <si>
    <t>KF-M05-4-0018</t>
  </si>
  <si>
    <t>KF-M05-4-0019</t>
  </si>
  <si>
    <t>KF-M05-4-0020</t>
  </si>
  <si>
    <t>KF-M05-4-0021</t>
  </si>
  <si>
    <t>KF-M05-4-0022</t>
  </si>
  <si>
    <t>KF-M05-4-0023</t>
  </si>
  <si>
    <t>KF-M05-4-0024</t>
  </si>
  <si>
    <t>KF-M05-4-0025</t>
  </si>
  <si>
    <t>KF-M05-4-0026</t>
  </si>
  <si>
    <t>KF-M05-4-0027</t>
  </si>
  <si>
    <t>KF-M05-4-0028</t>
  </si>
  <si>
    <t>KF-M05-4-0029</t>
  </si>
  <si>
    <t>KF-M05-4-0030</t>
  </si>
  <si>
    <t>KF-M05-4-0031</t>
  </si>
  <si>
    <t>KF-M05-4-0032</t>
  </si>
  <si>
    <t>KF-M05-4-0033</t>
  </si>
  <si>
    <t>KF-M05-4-0034</t>
  </si>
  <si>
    <t>KF-M05-4-0035</t>
  </si>
  <si>
    <t>KF-M05-4-0036</t>
  </si>
  <si>
    <t>KF-M05-4-0037</t>
  </si>
  <si>
    <t>KF-M05-4-0038</t>
  </si>
  <si>
    <t>N2,O5,C1,C3,C3</t>
  </si>
  <si>
    <t>KF-M05-3-0119</t>
  </si>
  <si>
    <t>KF-M05-4-0039</t>
  </si>
  <si>
    <t>KF-M05-4-0040</t>
  </si>
  <si>
    <t>KF-M05-4-0041</t>
  </si>
  <si>
    <t>KF-M05-4-0042</t>
  </si>
  <si>
    <t>KF-M05-4-0043</t>
  </si>
  <si>
    <t>KF-M05-4-0044</t>
  </si>
  <si>
    <t>KF-M05-4-0045</t>
  </si>
  <si>
    <t>KF-M05-4-0046</t>
  </si>
  <si>
    <t>KF-M05-4-0047</t>
  </si>
  <si>
    <t>KF-M05-4-0048</t>
  </si>
  <si>
    <t>KF-M05-4-0049</t>
  </si>
  <si>
    <t>KF-M05-4-0050</t>
  </si>
  <si>
    <t>KF-M05-4-0051</t>
  </si>
  <si>
    <t>KF-M05-4-0052</t>
  </si>
  <si>
    <t>KF-M05-4-0053</t>
  </si>
  <si>
    <t>KF-M05-4-0054</t>
  </si>
  <si>
    <t>KF-M05-4-0055</t>
  </si>
  <si>
    <t>KF-M05-4-0056</t>
  </si>
  <si>
    <t>KF-M05-4-0057</t>
  </si>
  <si>
    <t>KF-M05-4-0058</t>
  </si>
  <si>
    <t>KF-M05-4-0059</t>
  </si>
  <si>
    <t>KF-M05-4-0060</t>
  </si>
  <si>
    <t>KF-M05-4-0061</t>
  </si>
  <si>
    <t>KF-M05-4-0062</t>
  </si>
  <si>
    <t>KF-M05-4-0063</t>
  </si>
  <si>
    <t>KF-M05-4-0064</t>
  </si>
  <si>
    <t>KF-M05-4-0065</t>
  </si>
  <si>
    <t>KF-M05-4-0066</t>
  </si>
  <si>
    <t>KF-M05-4-0067</t>
  </si>
  <si>
    <t>KF-M05-4-0068</t>
  </si>
  <si>
    <t>KF-M05-4-0069</t>
  </si>
  <si>
    <t>KF-M05-4-0070</t>
  </si>
  <si>
    <t>KF-M05-4-0071</t>
  </si>
  <si>
    <t>KF-M05-4-0072</t>
  </si>
  <si>
    <t>KF-M05-4-0073</t>
  </si>
  <si>
    <t>KF-M05-4-0074</t>
  </si>
  <si>
    <t>KF-M05-4-0075</t>
  </si>
  <si>
    <t>KF-M05-4-0076</t>
  </si>
  <si>
    <t>KF-M05-4-0077</t>
  </si>
  <si>
    <t>KF-M05-4-0078</t>
  </si>
  <si>
    <t>KF-M05-4-0079</t>
  </si>
  <si>
    <t>KF-M05-4-0080</t>
  </si>
  <si>
    <t>KF-M05-4-0081</t>
  </si>
  <si>
    <t>KF-M05-4-0082</t>
  </si>
  <si>
    <t>KF-M05-4-0083</t>
  </si>
  <si>
    <t>KF-M05-4-0084</t>
  </si>
  <si>
    <t>KF-M05-4-0085</t>
  </si>
  <si>
    <t>KF-M05-4-0086</t>
  </si>
  <si>
    <t>KF-M05-4-0087</t>
  </si>
  <si>
    <t>KF-M05-4-0088</t>
  </si>
  <si>
    <t>KF-M05-4-0089</t>
  </si>
  <si>
    <t>KF-M05-4-0090</t>
  </si>
  <si>
    <t>KF-M05-4-0091</t>
  </si>
  <si>
    <t>KF-M05-4-0092</t>
  </si>
  <si>
    <t>KF-M05-4-0093</t>
  </si>
  <si>
    <t>KF-M05-4-0094</t>
  </si>
  <si>
    <t>KF-M05-4-0095</t>
  </si>
  <si>
    <t>KF-M05-4-0096</t>
  </si>
  <si>
    <t>KF-M05-4-0097</t>
  </si>
  <si>
    <t>KF-M05-4-0098</t>
  </si>
  <si>
    <t>KF-M05-4-0099</t>
  </si>
  <si>
    <t>KF-M05-4-0100</t>
  </si>
  <si>
    <t>KF-M05-4-0101</t>
  </si>
  <si>
    <t>KF-M05-4-0102</t>
  </si>
  <si>
    <t>KF-M05-4-0103</t>
  </si>
  <si>
    <t>KF-M05-4-0104</t>
  </si>
  <si>
    <t>KF-M05-4-0105</t>
  </si>
  <si>
    <t>KF-M05-4-0106</t>
  </si>
  <si>
    <t>KF-M05-4-0107</t>
  </si>
  <si>
    <t>KF-M05-4-0108</t>
  </si>
  <si>
    <t>KF-M05-4-0109</t>
  </si>
  <si>
    <t>KF-M05-4-0110</t>
  </si>
  <si>
    <t>KF-M05-4-0111</t>
  </si>
  <si>
    <t>KF-M05-4-0112</t>
  </si>
  <si>
    <t>KF-M05-4-0113</t>
  </si>
  <si>
    <t>KF-M05-4-0114</t>
  </si>
  <si>
    <t>KF-M05-5-0000</t>
  </si>
  <si>
    <t>KF-M05-5-0001</t>
  </si>
  <si>
    <t>KF-M05-4-0115</t>
  </si>
  <si>
    <t>KF-M05-4-0116</t>
  </si>
  <si>
    <t>KF-M05-4-0117</t>
  </si>
  <si>
    <t>KF-M05-5-0002</t>
  </si>
  <si>
    <t>KF-M05-4-0118</t>
  </si>
  <si>
    <t>KF-M05-4-0119</t>
  </si>
  <si>
    <t>KF-M05-5-0003</t>
  </si>
  <si>
    <t>KF-M05-5-0004</t>
  </si>
  <si>
    <t>KF-M05-5-0005</t>
  </si>
  <si>
    <t>KF-M05-5-0006</t>
  </si>
  <si>
    <t>KF-M05-5-0007</t>
  </si>
  <si>
    <t>KF-M05-5-0008</t>
  </si>
  <si>
    <t>KF-M05-5-0009</t>
  </si>
  <si>
    <t>KF-M05-5-0010</t>
  </si>
  <si>
    <t>KF-M05-5-0011</t>
  </si>
  <si>
    <t>KF-M05-5-0012</t>
  </si>
  <si>
    <t>KF-M05-5-0013</t>
  </si>
  <si>
    <t>KF-M05-5-0014</t>
  </si>
  <si>
    <t>KF-M05-5-0015</t>
  </si>
  <si>
    <t>KF-M05-5-0016</t>
  </si>
  <si>
    <t>KF-M05-5-0017</t>
  </si>
  <si>
    <t>KF-M05-5-0018</t>
  </si>
  <si>
    <t>KF-M05-5-0019</t>
  </si>
  <si>
    <t>KF-M05-5-0020</t>
  </si>
  <si>
    <t>KF-M05-5-0021</t>
  </si>
  <si>
    <t>KF-M05-5-0022</t>
  </si>
  <si>
    <t>KF-M05-5-0023</t>
  </si>
  <si>
    <t>KF-M05-5-0024</t>
  </si>
  <si>
    <t>KF-M05-5-0025</t>
  </si>
  <si>
    <t>KF-M05-5-0026</t>
  </si>
  <si>
    <t>KF-M05-5-0027</t>
  </si>
  <si>
    <t>KF-M05-5-0028</t>
  </si>
  <si>
    <t>KF-M05-5-0029</t>
  </si>
  <si>
    <t>KF-M05-5-0030</t>
  </si>
  <si>
    <t>KF-M05-5-0031</t>
  </si>
  <si>
    <t>KF-M05-5-0032</t>
  </si>
  <si>
    <t>KF-M05-5-0033</t>
  </si>
  <si>
    <t>KF-M05-5-0034</t>
  </si>
  <si>
    <t>KF-M05-5-0035</t>
  </si>
  <si>
    <t>KF-M05-5-0036</t>
  </si>
  <si>
    <t>KF-M05-5-0037</t>
  </si>
  <si>
    <t>KF-M05-5-0038</t>
  </si>
  <si>
    <t>KF-M05-5-0039</t>
  </si>
  <si>
    <t>KF-M05-5-0040</t>
  </si>
  <si>
    <t>KF-M05-5-0041</t>
  </si>
  <si>
    <t>KF-M05-5-0042</t>
  </si>
  <si>
    <t>KF-M05-5-0043</t>
  </si>
  <si>
    <t>KF-M05-5-0044</t>
  </si>
  <si>
    <t>KF-M05-5-0045</t>
  </si>
  <si>
    <t>KF-M05-5-0046</t>
  </si>
  <si>
    <t>KF-M05-5-0047</t>
  </si>
  <si>
    <t>KF-M05-5-0048</t>
  </si>
  <si>
    <t>KF-M05-5-0049</t>
  </si>
  <si>
    <t>KF-M05-5-0050</t>
  </si>
  <si>
    <t>KF-M05-5-0051</t>
  </si>
  <si>
    <t>KF-M05-5-0052</t>
  </si>
  <si>
    <t>KF-M05-5-0053</t>
  </si>
  <si>
    <t>KF-M05-5-0054</t>
  </si>
  <si>
    <t>KF-M05-5-0055</t>
  </si>
  <si>
    <t>KF-M05-5-0056</t>
  </si>
  <si>
    <t>KF-M05-5-0057</t>
  </si>
  <si>
    <t>KF-M05-5-0058</t>
  </si>
  <si>
    <t>KF-M05-5-0059</t>
  </si>
  <si>
    <t>KF-M05-5-0060</t>
  </si>
  <si>
    <t>KF-M05-5-0061</t>
  </si>
  <si>
    <t>KF-M05-5-0062</t>
  </si>
  <si>
    <t>KF-M05-5-0063</t>
  </si>
  <si>
    <t>KF-M05-5-0064</t>
  </si>
  <si>
    <t>KF-M05-5-0065</t>
  </si>
  <si>
    <t>KF-M05-5-0066</t>
  </si>
  <si>
    <t>KF-M05-5-0067</t>
  </si>
  <si>
    <t>KF-M05-5-0068</t>
  </si>
  <si>
    <t>KF-M05-5-0069</t>
  </si>
  <si>
    <t>KF-M05-5-0070</t>
  </si>
  <si>
    <t>KF-M05-5-0071</t>
  </si>
  <si>
    <t>KF-M05-5-0072</t>
  </si>
  <si>
    <t>KF-M05-5-0073</t>
  </si>
  <si>
    <t>KF-M05-5-0074</t>
  </si>
  <si>
    <t>KF-M05-5-0075</t>
  </si>
  <si>
    <t>KF-M05-5-0076</t>
  </si>
  <si>
    <t>KF-M05-5-0077</t>
  </si>
  <si>
    <t>KF-M05-5-0078</t>
  </si>
  <si>
    <t>KF-M05-5-0079</t>
  </si>
  <si>
    <t>KF-M05-5-0080</t>
  </si>
  <si>
    <t>KF-M05-5-0081</t>
  </si>
  <si>
    <t>KF-M05-5-0082</t>
  </si>
  <si>
    <t>KF-M05-5-0083</t>
  </si>
  <si>
    <t>KF-M05-5-0084</t>
  </si>
  <si>
    <t>KF-M05-5-0085</t>
  </si>
  <si>
    <t>KF-M05-5-0086</t>
  </si>
  <si>
    <t>KF-M05-5-0087</t>
  </si>
  <si>
    <t>KF-M05-5-0088</t>
  </si>
  <si>
    <t>KF-M05-5-0089</t>
  </si>
  <si>
    <t>KF-M05-5-0090</t>
  </si>
  <si>
    <t>KF-M05-5-0091</t>
  </si>
  <si>
    <t>KF-M05-5-0092</t>
  </si>
  <si>
    <t>KF-M05-5-0093</t>
  </si>
  <si>
    <t>KF-M05-5-0094</t>
  </si>
  <si>
    <t>KF-M05-5-0095</t>
  </si>
  <si>
    <t>KF-M05-5-0096</t>
  </si>
  <si>
    <t>KF-M05-5-0097</t>
  </si>
  <si>
    <t>KF-M05-5-0098</t>
  </si>
  <si>
    <t>KF-M05-5-0099</t>
  </si>
  <si>
    <t>KF-M05-5-0100</t>
  </si>
  <si>
    <t>KF-M05-5-0101</t>
  </si>
  <si>
    <t>KF-M05-5-0102</t>
  </si>
  <si>
    <t>KF-M05-5-0103</t>
  </si>
  <si>
    <t>KF-M05-5-0104</t>
  </si>
  <si>
    <t>KF-M05-5-0105</t>
  </si>
  <si>
    <t>KF-M05-5-0106</t>
  </si>
  <si>
    <t>KF-M05-5-0107</t>
  </si>
  <si>
    <t>KF-M05-5-0108</t>
  </si>
  <si>
    <t>KF-M05-5-0109</t>
  </si>
  <si>
    <t>KF-M05-5-0110</t>
  </si>
  <si>
    <t>KF-M05-5-0111</t>
  </si>
  <si>
    <t>KF-M05-5-0112</t>
  </si>
  <si>
    <t>KF-M05-5-0113</t>
  </si>
  <si>
    <t>KF-M05-5-0114</t>
  </si>
  <si>
    <t>KF-M05-5-0115</t>
  </si>
  <si>
    <t>KF-M05-5-0116</t>
  </si>
  <si>
    <t>KF-M05-5-0117</t>
  </si>
  <si>
    <t>KF-M05-5-0118</t>
  </si>
  <si>
    <t>KF-M05-5-0119</t>
  </si>
  <si>
    <t>KF-M05c-0000</t>
  </si>
  <si>
    <t>KF-M05c-0001</t>
  </si>
  <si>
    <t>KF-M05c-0002</t>
  </si>
  <si>
    <t>KF-M05c-0003</t>
  </si>
  <si>
    <t>KF-M05c-0004</t>
  </si>
  <si>
    <t>KF-M05c-0005</t>
  </si>
  <si>
    <t>KF-M05c-0006</t>
  </si>
  <si>
    <t>KF-M05c-0007</t>
  </si>
  <si>
    <t>KF-M05c-0008</t>
  </si>
  <si>
    <t>KF-M05c-0009</t>
  </si>
  <si>
    <t>KF-M05c-0010</t>
  </si>
  <si>
    <t>KF-M05c-0011</t>
  </si>
  <si>
    <t>KF-M05c-0012</t>
  </si>
  <si>
    <t>KF-M05c-0013</t>
  </si>
  <si>
    <t>KF-M05c-0014</t>
  </si>
  <si>
    <t>KF-M05c-0015</t>
  </si>
  <si>
    <t>KF-M05c-0016</t>
  </si>
  <si>
    <t>KF-M05c-0017</t>
  </si>
  <si>
    <t>KF-M05c-0018</t>
  </si>
  <si>
    <t>KF-M05c-0019</t>
  </si>
  <si>
    <t>KF-M05c-0020</t>
  </si>
  <si>
    <t>KF-M05c-0021</t>
  </si>
  <si>
    <t>KF-M05c-0022</t>
  </si>
  <si>
    <t>KF-M05c-0023</t>
  </si>
  <si>
    <t>KF-M05c-0024</t>
  </si>
  <si>
    <t>KF-M05c-0025</t>
  </si>
  <si>
    <t>KF-M05c-0026</t>
  </si>
  <si>
    <t>KF-M05c-0027</t>
  </si>
  <si>
    <t>KF-M05c-0028</t>
  </si>
  <si>
    <t>KF-M05c-0029</t>
  </si>
  <si>
    <t>KF-M05c-0030</t>
  </si>
  <si>
    <t>KF-M05c-0031</t>
  </si>
  <si>
    <t>KF-M05c-0032</t>
  </si>
  <si>
    <t>KF-M05c-0033</t>
  </si>
  <si>
    <t>KF-M05c-0034</t>
  </si>
  <si>
    <t>KF-M05c-0035</t>
  </si>
  <si>
    <t>KF-M05c-0036</t>
  </si>
  <si>
    <t>KF-M05c-0037</t>
  </si>
  <si>
    <t>KF-M05c-0038</t>
  </si>
  <si>
    <t>KF-M05c-0039</t>
  </si>
  <si>
    <t>KF-M05c-0040</t>
  </si>
  <si>
    <t>KF-M05c-0041</t>
  </si>
  <si>
    <t>KF-M05c-0042</t>
  </si>
  <si>
    <t>KF-M05c-0043</t>
  </si>
  <si>
    <t>KF-M05c-0044</t>
  </si>
  <si>
    <t>KF-M05c-0045</t>
  </si>
  <si>
    <t>KF-M05c-0046</t>
  </si>
  <si>
    <t>KF-M05c-0047</t>
  </si>
  <si>
    <t>KF-M05c-0048</t>
  </si>
  <si>
    <t>KF-M05c-0049</t>
  </si>
  <si>
    <t>KF-M05c-0050</t>
  </si>
  <si>
    <t>KF-M05c-0051</t>
  </si>
  <si>
    <t>KF-M05c-0052</t>
  </si>
  <si>
    <t>KF-M05c-0053</t>
  </si>
  <si>
    <t>KF-M05c-0054</t>
  </si>
  <si>
    <t>KF-M05c-0055</t>
  </si>
  <si>
    <t>KF-M05c-0056</t>
  </si>
  <si>
    <t>KF-M05c-0057</t>
  </si>
  <si>
    <t>KF-M05c-0058</t>
  </si>
  <si>
    <t>KF-M05c-0059</t>
  </si>
  <si>
    <t>KF-M05c-0060</t>
  </si>
  <si>
    <t>KF-M05c-0061</t>
  </si>
  <si>
    <t>KF-M05c-0062</t>
  </si>
  <si>
    <t>KF-M05c-0063</t>
  </si>
  <si>
    <t>KF-M05c-0064</t>
  </si>
  <si>
    <t>KF-M05c-0065</t>
  </si>
  <si>
    <t>KF-M05c-0066</t>
  </si>
  <si>
    <t>KF-M05c-0067</t>
  </si>
  <si>
    <t>KF-M05c-0068</t>
  </si>
  <si>
    <t>KF-M05c-0069</t>
  </si>
  <si>
    <t>KF-M05c-0070</t>
  </si>
  <si>
    <t>KF-M05c-0071</t>
  </si>
  <si>
    <t>KF-M05c-0072</t>
  </si>
  <si>
    <t>KF-M05c-0073</t>
  </si>
  <si>
    <t>KF-M05c-0074</t>
  </si>
  <si>
    <t>KF-M05c-0075</t>
  </si>
  <si>
    <t>KF-M05c-0076</t>
  </si>
  <si>
    <t>KF-M05c-0077</t>
  </si>
  <si>
    <t>KF-M05c-0078</t>
  </si>
  <si>
    <t>KF-M05c-0079</t>
  </si>
  <si>
    <t>KF-M05c-0080</t>
  </si>
  <si>
    <t>KF-M05c-0081</t>
  </si>
  <si>
    <t>KF-M05c-0082</t>
  </si>
  <si>
    <t>KF-M05c-0083</t>
  </si>
  <si>
    <t>KF-M05c-0084</t>
  </si>
  <si>
    <t>KF-M05c-0085</t>
  </si>
  <si>
    <t>KF-M05c-0086</t>
  </si>
  <si>
    <t>KF-M05c-0087</t>
  </si>
  <si>
    <t>KF-M05c-0088</t>
  </si>
  <si>
    <t>KF-M05c-0089</t>
  </si>
  <si>
    <t>KF-M05c-0090</t>
  </si>
  <si>
    <t>KF-M05c-0091</t>
  </si>
  <si>
    <t>KF-M05c-0092</t>
  </si>
  <si>
    <t>KF-M05c-0093</t>
  </si>
  <si>
    <t>KF-M05c-0094</t>
  </si>
  <si>
    <t>KF-M05c-0095</t>
  </si>
  <si>
    <t>KF-M05c-0096</t>
  </si>
  <si>
    <t>KF-M05c-0097</t>
  </si>
  <si>
    <t>KF-M05c-0098</t>
  </si>
  <si>
    <t>KF-M05c-0099</t>
  </si>
  <si>
    <t>KF-M05c-0100</t>
  </si>
  <si>
    <t>KF-M05c-0101</t>
  </si>
  <si>
    <t>KF-M05c-0102</t>
  </si>
  <si>
    <t>KF-M05c-0103</t>
  </si>
  <si>
    <t>KF-M05c-0104</t>
  </si>
  <si>
    <t>KF-M05c-0105</t>
  </si>
  <si>
    <t>KF-M05c-0106</t>
  </si>
  <si>
    <t>KF-M05c-0107</t>
  </si>
  <si>
    <t>KF-M05c-0108</t>
  </si>
  <si>
    <t>KF-M05c-0109</t>
  </si>
  <si>
    <t>KF-M05c-0110</t>
  </si>
  <si>
    <t>KF-M05c-0111</t>
  </si>
  <si>
    <t>KF-M05c-0112</t>
  </si>
  <si>
    <t>KF-M05c-0113</t>
  </si>
  <si>
    <t>KF-M05c-0114</t>
  </si>
  <si>
    <t>KF-M05c-0115</t>
  </si>
  <si>
    <t>KF-M05c-0116</t>
  </si>
  <si>
    <t>KF-M05c-0117</t>
  </si>
  <si>
    <t>KF-M05c-0118</t>
  </si>
  <si>
    <t>KF-M05c-0119</t>
  </si>
  <si>
    <t>KF-M05c-0120</t>
  </si>
  <si>
    <t>KF-M05c-0121</t>
  </si>
  <si>
    <t>KF-M05c-0122</t>
  </si>
  <si>
    <t>KF-M05c-0123</t>
  </si>
  <si>
    <t>KF-M05c-0124</t>
  </si>
  <si>
    <t>KF-M05c-0125</t>
  </si>
  <si>
    <t>KF-M05c-0126</t>
  </si>
  <si>
    <t>KF-M05c-0127</t>
  </si>
  <si>
    <t>KF-M05c-0128</t>
  </si>
  <si>
    <t>KF-M05c-0129</t>
  </si>
  <si>
    <t>KF-M05c-0130</t>
  </si>
  <si>
    <t>KF-M05c-0131</t>
  </si>
  <si>
    <t>KF-M05c-0132</t>
  </si>
  <si>
    <t>KF-M05c-0133</t>
  </si>
  <si>
    <t>KF-M05c-0134</t>
  </si>
  <si>
    <t>KF-M05c-0135</t>
  </si>
  <si>
    <t>KF-M05c-0136</t>
  </si>
  <si>
    <t>KF-M05c-0137</t>
  </si>
  <si>
    <t>KF-M05c-0138</t>
  </si>
  <si>
    <t>KF-M05c-0139</t>
  </si>
  <si>
    <t>KF-M05c-0140</t>
  </si>
  <si>
    <t>KF-M05c-0141</t>
  </si>
  <si>
    <t>KF-M05c-0142</t>
  </si>
  <si>
    <t>KF-M05c-0143</t>
  </si>
  <si>
    <t>KF-M05c-0144</t>
  </si>
  <si>
    <t>KF-M05c-0145</t>
  </si>
  <si>
    <t>KF-M05c-0146</t>
  </si>
  <si>
    <t>KF-M05c-0147</t>
  </si>
  <si>
    <t>KF-M05c-0148</t>
  </si>
  <si>
    <t>KF-M05c-0149</t>
  </si>
  <si>
    <t>KF-M05c-0150</t>
  </si>
  <si>
    <t>KF-M05c-0151</t>
  </si>
  <si>
    <t>KF-M05c-0152</t>
  </si>
  <si>
    <t>KF-M05c-0153</t>
  </si>
  <si>
    <t>KF-M05c-0154</t>
  </si>
  <si>
    <t>KF-M05c-0155</t>
  </si>
  <si>
    <t>KF-M05c-0156</t>
  </si>
  <si>
    <t>KF-M05c-0157</t>
  </si>
  <si>
    <t>KF-M05c-0158</t>
  </si>
  <si>
    <t>KF-M05c-0159</t>
  </si>
  <si>
    <t>KF-M05c-0160</t>
  </si>
  <si>
    <t>KF-M05c-0161</t>
  </si>
  <si>
    <t>KF-M05c-0162</t>
  </si>
  <si>
    <t>KF-M05c-0163</t>
  </si>
  <si>
    <t>KF-M05c-0164</t>
  </si>
  <si>
    <t>KF-M07-A1-0000</t>
  </si>
  <si>
    <t>B11-A1</t>
  </si>
  <si>
    <t>busqueda</t>
  </si>
  <si>
    <t>KF-M07-A1-0001</t>
  </si>
  <si>
    <t>KF-M07-A1-0002</t>
  </si>
  <si>
    <t>KF-M07-A1-0003</t>
  </si>
  <si>
    <t>KF-M07-A1-0004</t>
  </si>
  <si>
    <t>KF-M07-A1-0005</t>
  </si>
  <si>
    <t>KF-M07-A1-0006</t>
  </si>
  <si>
    <t>KF-M07-A1-0007</t>
  </si>
  <si>
    <t>KF-M07-A1-0008</t>
  </si>
  <si>
    <t>KF-M07-A1-0009</t>
  </si>
  <si>
    <t>KF-M07-A1-0010</t>
  </si>
  <si>
    <t>KF-M07-A1-0011</t>
  </si>
  <si>
    <t>KF-M07-A1-0012</t>
  </si>
  <si>
    <t>KF-M07-A1-0013</t>
  </si>
  <si>
    <t>KF-M07-A1-0014</t>
  </si>
  <si>
    <t>KF-M07-A1-0015</t>
  </si>
  <si>
    <t>KF-M07-A1-0016</t>
  </si>
  <si>
    <t>KF-M07-A1-0017</t>
  </si>
  <si>
    <t>KF-M07-A1-0018</t>
  </si>
  <si>
    <t>KF-M07-A1-0019</t>
  </si>
  <si>
    <t>KF-M07-A1-0020</t>
  </si>
  <si>
    <t>KF-M07-A1-0021</t>
  </si>
  <si>
    <t>KF-M07-A1-0022</t>
  </si>
  <si>
    <t>KF-M07-A1-0023</t>
  </si>
  <si>
    <t>KF-M07-A1-0024</t>
  </si>
  <si>
    <t>KF-M07-A1-0025</t>
  </si>
  <si>
    <t>KF-M07-A1-0026</t>
  </si>
  <si>
    <t>KF-M07-A1-0027</t>
  </si>
  <si>
    <t>KF-M07-A1-0028</t>
  </si>
  <si>
    <t>KF-M07-A1-0029</t>
  </si>
  <si>
    <t>KF-M07-A1-0030</t>
  </si>
  <si>
    <t>KF-M07-A1-0031</t>
  </si>
  <si>
    <t>KF-M07-A1-0032</t>
  </si>
  <si>
    <t>KF-M07-A1-0033</t>
  </si>
  <si>
    <t>KF-M07-A1-0034</t>
  </si>
  <si>
    <t>KF-M07-A1-0035</t>
  </si>
  <si>
    <t>KF-M07-A1-0036</t>
  </si>
  <si>
    <t>KF-M07-A1-0037</t>
  </si>
  <si>
    <t>KF-M07-A1-0038</t>
  </si>
  <si>
    <t>KF-M07-A1-0039</t>
  </si>
  <si>
    <t>KF-M07-A1-0040</t>
  </si>
  <si>
    <t>KF-M07-A1-0041</t>
  </si>
  <si>
    <t>KF-M07-A1-0042</t>
  </si>
  <si>
    <t>KF-M07-A1-0043</t>
  </si>
  <si>
    <t>KF-M07-A1-0044</t>
  </si>
  <si>
    <t>KF-M07-A1-0045</t>
  </si>
  <si>
    <t>KF-M07-A1-0046</t>
  </si>
  <si>
    <t>KF-M07-A1-0047</t>
  </si>
  <si>
    <t>KF-M07-A1-0048</t>
  </si>
  <si>
    <t>KF-M07-A1-0049</t>
  </si>
  <si>
    <t>KF-M07-A1-0050</t>
  </si>
  <si>
    <t>KF-M07-A1-0051</t>
  </si>
  <si>
    <t>KF-M07-A1-0052</t>
  </si>
  <si>
    <t>KF-M07-A1-0053</t>
  </si>
  <si>
    <t>KF-M07-A1-0054</t>
  </si>
  <si>
    <t>KF-M07-A1-0055</t>
  </si>
  <si>
    <t>KF-M07-A1-0056</t>
  </si>
  <si>
    <t>KF-M07-A1-0057</t>
  </si>
  <si>
    <t>KF-M07-A1-0058</t>
  </si>
  <si>
    <t>KF-M07-A1-0059</t>
  </si>
  <si>
    <t>KF-M07-A1-0060</t>
  </si>
  <si>
    <t>KF-M07-A1-0061</t>
  </si>
  <si>
    <t>KF-M07-A1-0062</t>
  </si>
  <si>
    <t>KF-M07-A1-0063</t>
  </si>
  <si>
    <t>KF-M07-A1-0064</t>
  </si>
  <si>
    <t>KF-M07-A1-0065</t>
  </si>
  <si>
    <t>KF-M07-A1-0066</t>
  </si>
  <si>
    <t>KF-M07-A1-0067</t>
  </si>
  <si>
    <t>KF-M07-A1-0068</t>
  </si>
  <si>
    <t>KF-M07-A1-0069</t>
  </si>
  <si>
    <t>KF-M07-A1-0070</t>
  </si>
  <si>
    <t>KF-M07-A1-0071</t>
  </si>
  <si>
    <t>KF-M07-A1-0072</t>
  </si>
  <si>
    <t>KF-M07-A1-0073</t>
  </si>
  <si>
    <t>KF-M07-A1-0074</t>
  </si>
  <si>
    <t>KF-M07-A1-0075</t>
  </si>
  <si>
    <t>KF-M07-A1-0076</t>
  </si>
  <si>
    <t>KF-M07-A1-0077</t>
  </si>
  <si>
    <t>KF-M07-A1-0078</t>
  </si>
  <si>
    <t>KF-M07-A1-0079</t>
  </si>
  <si>
    <t>KF-M07-A1-0080</t>
  </si>
  <si>
    <t>KF-M07-A1-0081</t>
  </si>
  <si>
    <t>KF-M07-A1-0082</t>
  </si>
  <si>
    <t>KF-M07-A1-0083</t>
  </si>
  <si>
    <t>KF-M07-A1-0084</t>
  </si>
  <si>
    <t>KF-M07-A1-0085</t>
  </si>
  <si>
    <t>KF-M07-A1-0086</t>
  </si>
  <si>
    <t>KF-M07-A1-0087</t>
  </si>
  <si>
    <t>KF-M07-A1-0088</t>
  </si>
  <si>
    <t>KF-M07-A1-0089</t>
  </si>
  <si>
    <t>KF-M07-A1-0090</t>
  </si>
  <si>
    <t>KF-M07-A1-0091</t>
  </si>
  <si>
    <t>KF-M07-A1-0092</t>
  </si>
  <si>
    <t>KF-M07-A1-0093</t>
  </si>
  <si>
    <t>KF-M07-A1-0094</t>
  </si>
  <si>
    <t>KF-M07-A1-0095</t>
  </si>
  <si>
    <t>KF-M07-A1-0096</t>
  </si>
  <si>
    <t>KF-M07-A1-0097</t>
  </si>
  <si>
    <t>KF-M07-A1-0098</t>
  </si>
  <si>
    <t>KF-M07-A1-0099</t>
  </si>
  <si>
    <t>KF-M07-A1-0100</t>
  </si>
  <si>
    <t>KF-M07-A1-0101</t>
  </si>
  <si>
    <t>KF-M07-A1-0102</t>
  </si>
  <si>
    <t>KF-M07-A1-0103</t>
  </si>
  <si>
    <t>KF-M07-A1-0104</t>
  </si>
  <si>
    <t>KF-M07-A1-0105</t>
  </si>
  <si>
    <t>KF-M07-A1-0106</t>
  </si>
  <si>
    <t>KF-M07-A1-0107</t>
  </si>
  <si>
    <t>KF-M07-A1-0108</t>
  </si>
  <si>
    <t>KF-M07-A1-0109</t>
  </si>
  <si>
    <t>KF-M07-A1-0110</t>
  </si>
  <si>
    <t>KF-M07-A1-0111</t>
  </si>
  <si>
    <t>KF-M07-A1-0112</t>
  </si>
  <si>
    <t>KF-M07-A1-0113</t>
  </si>
  <si>
    <t>KF-M07-A1-0114</t>
  </si>
  <si>
    <t>KF-M07-A1-0115</t>
  </si>
  <si>
    <t>KF-M07-A1-0116</t>
  </si>
  <si>
    <t>KF-M07-A2-0000</t>
  </si>
  <si>
    <t>B11-A2</t>
  </si>
  <si>
    <t>KF-M07-A2-0001</t>
  </si>
  <si>
    <t>KF-M07-A2-0002</t>
  </si>
  <si>
    <t>KF-M07-A2-0003</t>
  </si>
  <si>
    <t>KF-M07-A2-0004</t>
  </si>
  <si>
    <t>KF-M07-A2-0005</t>
  </si>
  <si>
    <t>KF-M07-A2-0006</t>
  </si>
  <si>
    <t>KF-M07-A2-0007</t>
  </si>
  <si>
    <t>KF-M07-A2-0008</t>
  </si>
  <si>
    <t>KF-M07-A2-0009</t>
  </si>
  <si>
    <t>KF-M07-A2-0010</t>
  </si>
  <si>
    <t>KF-M07-A2-0011</t>
  </si>
  <si>
    <t>KF-M07-A2-0012</t>
  </si>
  <si>
    <t>KF-M07-A2-0013</t>
  </si>
  <si>
    <t>KF-M07-A2-0014</t>
  </si>
  <si>
    <t>KF-M07-A2-0015</t>
  </si>
  <si>
    <t>KF-M07-A2-0016</t>
  </si>
  <si>
    <t>KF-M07-A2-0017</t>
  </si>
  <si>
    <t>KF-M07-A2-0018</t>
  </si>
  <si>
    <t>KF-M07-A2-0019</t>
  </si>
  <si>
    <t>KF-M07-A2-0020</t>
  </si>
  <si>
    <t>KF-M07-A2-0021</t>
  </si>
  <si>
    <t>KF-M07-A2-0022</t>
  </si>
  <si>
    <t>KF-M07-A2-0023</t>
  </si>
  <si>
    <t>KF-M07-A2-0024</t>
  </si>
  <si>
    <t>KF-M07-A2-0025</t>
  </si>
  <si>
    <t>KF-M07-A2-0026</t>
  </si>
  <si>
    <t>KF-M07-A2-0027</t>
  </si>
  <si>
    <t>KF-M07-A2-0028</t>
  </si>
  <si>
    <t>KF-M07-A2-0029</t>
  </si>
  <si>
    <t>KF-M07-A2-0030</t>
  </si>
  <si>
    <t>KF-M07-A2-0031</t>
  </si>
  <si>
    <t>KF-M07-A2-0032</t>
  </si>
  <si>
    <t>KF-M07-A2-0033</t>
  </si>
  <si>
    <t>KF-M07-A2-0034</t>
  </si>
  <si>
    <t>KF-M07-A2-0035</t>
  </si>
  <si>
    <t>KF-M07-A2-0036</t>
  </si>
  <si>
    <t>KF-M07-A2-0037</t>
  </si>
  <si>
    <t>KF-M07-A2-0038</t>
  </si>
  <si>
    <t>KF-M07-A2-0039</t>
  </si>
  <si>
    <t>KF-M07-A2-0040</t>
  </si>
  <si>
    <t>KF-M07-A2-0041</t>
  </si>
  <si>
    <t>KF-M07-A2-0042</t>
  </si>
  <si>
    <t>KF-M07-A2-0043</t>
  </si>
  <si>
    <t>KF-M07-A2-0044</t>
  </si>
  <si>
    <t>KF-M07-A2-0045</t>
  </si>
  <si>
    <t>KF-M07-A2-0046</t>
  </si>
  <si>
    <t>KF-M07-A2-0047</t>
  </si>
  <si>
    <t>KF-M07-A2-0048</t>
  </si>
  <si>
    <t>KF-M07-A2-0049</t>
  </si>
  <si>
    <t>KF-M07-A2-0050</t>
  </si>
  <si>
    <t>KF-M07-A2-0051</t>
  </si>
  <si>
    <t>KF-M07-A2-0052</t>
  </si>
  <si>
    <t>KF-M07-A2-0053</t>
  </si>
  <si>
    <t>KF-M07-A2-0054</t>
  </si>
  <si>
    <t>KF-M07-A2-0055</t>
  </si>
  <si>
    <t>KF-M07-A2-0056</t>
  </si>
  <si>
    <t>KF-M07-A2-0057</t>
  </si>
  <si>
    <t>KF-M07-A2-0058</t>
  </si>
  <si>
    <t>KF-M07-A2-0059</t>
  </si>
  <si>
    <t>KF-M07-A2-0060</t>
  </si>
  <si>
    <t>KF-M07-A2-0061</t>
  </si>
  <si>
    <t>KF-M07-A2-0062</t>
  </si>
  <si>
    <t>KF-M07-A2-0063</t>
  </si>
  <si>
    <t>KF-M07-A2-0064</t>
  </si>
  <si>
    <t>KF-M07-A2-0065</t>
  </si>
  <si>
    <t>KF-M07-A2-0066</t>
  </si>
  <si>
    <t>KF-M07-A2-0067</t>
  </si>
  <si>
    <t>KF-M07-A2-0068</t>
  </si>
  <si>
    <t>KF-M07-A2-0069</t>
  </si>
  <si>
    <t>KF-M07-A2-0070</t>
  </si>
  <si>
    <t>KF-M07-A2-0071</t>
  </si>
  <si>
    <t>KF-M07-A2-0072</t>
  </si>
  <si>
    <t>KF-M07-A2-0073</t>
  </si>
  <si>
    <t>KF-M07-A2-0074</t>
  </si>
  <si>
    <t>KF-M07-A2-0075</t>
  </si>
  <si>
    <t>KF-M07-A2-0076</t>
  </si>
  <si>
    <t>KF-M07-A2-0077</t>
  </si>
  <si>
    <t>KF-M07-A2-0078</t>
  </si>
  <si>
    <t>KF-M07-A2-0079</t>
  </si>
  <si>
    <t>KF-M07-A2-0080</t>
  </si>
  <si>
    <t>KF-M07-A2-0081</t>
  </si>
  <si>
    <t>KF-M07-A2-0082</t>
  </si>
  <si>
    <t>KF-M07-A2-0083</t>
  </si>
  <si>
    <t>KF-M07-A2-0084</t>
  </si>
  <si>
    <t>KF-M07-A2-0085</t>
  </si>
  <si>
    <t>KF-M07-A2-0086</t>
  </si>
  <si>
    <t>KF-M07-A2-0087</t>
  </si>
  <si>
    <t>KF-M07-A2-0088</t>
  </si>
  <si>
    <t>KF-M07-A2-0089</t>
  </si>
  <si>
    <t>KF-M07-A2-0090</t>
  </si>
  <si>
    <t>KF-M07-A2-0091</t>
  </si>
  <si>
    <t>KF-M07-A2-0092</t>
  </si>
  <si>
    <t>KF-M07-A2-0093</t>
  </si>
  <si>
    <t>KF-M07-A2-0094</t>
  </si>
  <si>
    <t>KF-M07-A2-0095</t>
  </si>
  <si>
    <t>KF-M07-A2-0096</t>
  </si>
  <si>
    <t>KF-M07-A2-0097</t>
  </si>
  <si>
    <t>KF-M07-A2-0098</t>
  </si>
  <si>
    <t>KF-M07-A2-0099</t>
  </si>
  <si>
    <t>KF-M07-A2-0100</t>
  </si>
  <si>
    <t>KF-M07-A2-0101</t>
  </si>
  <si>
    <t>KF-M07-A2-0102</t>
  </si>
  <si>
    <t>KF-M07-A2-0103</t>
  </si>
  <si>
    <t>KF-M07-A2-0104</t>
  </si>
  <si>
    <t>KF-M07-A3-0000</t>
  </si>
  <si>
    <t>B11-A3</t>
  </si>
  <si>
    <t>KF-M07-A3-0001</t>
  </si>
  <si>
    <t>KF-M07-A3-0002</t>
  </si>
  <si>
    <t>KF-M07-A3-0003</t>
  </si>
  <si>
    <t>KF-M07-A3-0004</t>
  </si>
  <si>
    <t>KF-M07-A3-0005</t>
  </si>
  <si>
    <t>KF-M07-A3-0006</t>
  </si>
  <si>
    <t>KF-M07-A3-0007</t>
  </si>
  <si>
    <t>KF-M07-A3-0008</t>
  </si>
  <si>
    <t>KF-M07-A3-0009</t>
  </si>
  <si>
    <t>KF-M07-A3-0010</t>
  </si>
  <si>
    <t>KF-M07-A3-0011</t>
  </si>
  <si>
    <t>KF-M07-A3-0012</t>
  </si>
  <si>
    <t>KF-M07-A3-0013</t>
  </si>
  <si>
    <t>KF-M07-A3-0014</t>
  </si>
  <si>
    <t>KF-M07-A3-0015</t>
  </si>
  <si>
    <t>KF-M07-A3-0016</t>
  </si>
  <si>
    <t>KF-M07-A3-0017</t>
  </si>
  <si>
    <t>KF-M07-A3-0018</t>
  </si>
  <si>
    <t>KF-M07-A3-0019</t>
  </si>
  <si>
    <t>KF-M07-A3-0020</t>
  </si>
  <si>
    <t>KF-M07-A3-0021</t>
  </si>
  <si>
    <t>KF-M07-A3-0022</t>
  </si>
  <si>
    <t>KF-M07-A3-0023</t>
  </si>
  <si>
    <t>KF-M07-A3-0024</t>
  </si>
  <si>
    <t>KF-M07-A3-0025</t>
  </si>
  <si>
    <t>KF-M07-A3-0026</t>
  </si>
  <si>
    <t>KF-M07-A3-0027</t>
  </si>
  <si>
    <t>KF-M07-A3-0028</t>
  </si>
  <si>
    <t>KF-M07-A3-0029</t>
  </si>
  <si>
    <t>KF-M07-A3-0030</t>
  </si>
  <si>
    <t>KF-M07-A3-0031</t>
  </si>
  <si>
    <t>KF-M07-A3-0032</t>
  </si>
  <si>
    <t>KF-M07-A3-0033</t>
  </si>
  <si>
    <t>KF-M07-A3-0034</t>
  </si>
  <si>
    <t>KF-M07-A3-0035</t>
  </si>
  <si>
    <t>KF-M07-A3-0036</t>
  </si>
  <si>
    <t>KF-M07-A3-0037</t>
  </si>
  <si>
    <t>KF-M07-A3-0038</t>
  </si>
  <si>
    <t>KF-M07-A3-0039</t>
  </si>
  <si>
    <t>KF-M07-A3-0040</t>
  </si>
  <si>
    <t>KF-M07-A3-0041</t>
  </si>
  <si>
    <t>KF-M07-A3-0042</t>
  </si>
  <si>
    <t>KF-M07-A3-0043</t>
  </si>
  <si>
    <t>KF-M07-A3-0044</t>
  </si>
  <si>
    <t>KF-M07-A3-0045</t>
  </si>
  <si>
    <t>KF-M07-A3-0046</t>
  </si>
  <si>
    <t>KF-M07-A3-0047</t>
  </si>
  <si>
    <t>KF-M07-A3-0048</t>
  </si>
  <si>
    <t>KF-M07-A3-0049</t>
  </si>
  <si>
    <t>KF-M07-A3-0050</t>
  </si>
  <si>
    <t>KF-M07-A3-0051</t>
  </si>
  <si>
    <t>KF-M07-A3-0052</t>
  </si>
  <si>
    <t>KF-M07-A3-0053</t>
  </si>
  <si>
    <t>KF-M07-A3-0054</t>
  </si>
  <si>
    <t>KF-M07-A3-0055</t>
  </si>
  <si>
    <t>KF-M07-A3-0056</t>
  </si>
  <si>
    <t>KF-M07-A3-0057</t>
  </si>
  <si>
    <t>KF-M07-A3-0058</t>
  </si>
  <si>
    <t>KF-M07-A3-0059</t>
  </si>
  <si>
    <t>KF-M07-A3-0060</t>
  </si>
  <si>
    <t>KF-M07-A3-0061</t>
  </si>
  <si>
    <t>KF-M07-A3-0062</t>
  </si>
  <si>
    <t>KF-M07-A3-0063</t>
  </si>
  <si>
    <t>KF-M07-A3-0064</t>
  </si>
  <si>
    <t>KF-M07-A3-0065</t>
  </si>
  <si>
    <t>KF-M07-A3-0066</t>
  </si>
  <si>
    <t>KF-M07-A3-0067</t>
  </si>
  <si>
    <t>KF-M07-A3-0068</t>
  </si>
  <si>
    <t>KF-M07-A3-0069</t>
  </si>
  <si>
    <t>KF-M07-A3-0070</t>
  </si>
  <si>
    <t>KF-M07-A3-0071</t>
  </si>
  <si>
    <t>KF-M07-A3-0072</t>
  </si>
  <si>
    <t>KF-M07-A3-0073</t>
  </si>
  <si>
    <t>KF-M07-A3-0074</t>
  </si>
  <si>
    <t>KF-M07-A3-0075</t>
  </si>
  <si>
    <t>KF-M07-A3-0076</t>
  </si>
  <si>
    <t>KF-M07-A3-0077</t>
  </si>
  <si>
    <t>KF-M07-A3-0078</t>
  </si>
  <si>
    <t>KF-M07-A3-0079</t>
  </si>
  <si>
    <t>KF-M07-A3-0080</t>
  </si>
  <si>
    <t>KF-M07-A3-0081</t>
  </si>
  <si>
    <t>KF-M07-A3-0082</t>
  </si>
  <si>
    <t>KF-M07-A3-0083</t>
  </si>
  <si>
    <t>KF-M07-A3-0084</t>
  </si>
  <si>
    <t>KF-M07-A3-0085</t>
  </si>
  <si>
    <t>KF-M07-A3-0086</t>
  </si>
  <si>
    <t>KF-M07-A3-0087</t>
  </si>
  <si>
    <t>KF-M07-A3-0088</t>
  </si>
  <si>
    <t>KF-M07-A3-0089</t>
  </si>
  <si>
    <t>KF-M07-A3-0090</t>
  </si>
  <si>
    <t>KF-M07-A3-0091</t>
  </si>
  <si>
    <t>KF-M07-A3-0092</t>
  </si>
  <si>
    <t>KF-M07-A3-0093</t>
  </si>
  <si>
    <t>KF-M07-A3-0094</t>
  </si>
  <si>
    <t>KF-M07-A3-0095</t>
  </si>
  <si>
    <t>KF-M07-A3-0096</t>
  </si>
  <si>
    <t>KF-M07-A3-0097</t>
  </si>
  <si>
    <t>KF-M07-A3-0098</t>
  </si>
  <si>
    <t>KF-M07-A3-0099</t>
  </si>
  <si>
    <t>KF-M07-A3-0100</t>
  </si>
  <si>
    <t>KF-M07-A3-0101</t>
  </si>
  <si>
    <t>KF-M07-A3-0102</t>
  </si>
  <si>
    <t>KF-M07-A3-0103</t>
  </si>
  <si>
    <t>KF-M07-A3-0104</t>
  </si>
  <si>
    <t>KF-M07-A3-0105</t>
  </si>
  <si>
    <t>KF-M07-A3-0106</t>
  </si>
  <si>
    <t>KF-M07-A3-0107</t>
  </si>
  <si>
    <t>KF-M07-A3-0108</t>
  </si>
  <si>
    <t>KF-M07-A3-0109</t>
  </si>
  <si>
    <t>KF-M07-A3-0110</t>
  </si>
  <si>
    <t>KF-M07-A3-0111</t>
  </si>
  <si>
    <t>KF-M07-A4-0000</t>
  </si>
  <si>
    <t>B11-A4</t>
  </si>
  <si>
    <t>KF-M07-A4-0001</t>
  </si>
  <si>
    <t>KF-M07-A4-0002</t>
  </si>
  <si>
    <t>KF-M07-A4-0003</t>
  </si>
  <si>
    <t>KF-M07-A4-0004</t>
  </si>
  <si>
    <t>KF-M07-A4-0005</t>
  </si>
  <si>
    <t>KF-M07-A4-0006</t>
  </si>
  <si>
    <t>KF-M07-A4-0007</t>
  </si>
  <si>
    <t>KF-M07-A4-0008</t>
  </si>
  <si>
    <t>KF-M07-A4-0009</t>
  </si>
  <si>
    <t>KF-M07-A4-0010</t>
  </si>
  <si>
    <t>KF-M07-A4-0011</t>
  </si>
  <si>
    <t>KF-M07-A4-0012</t>
  </si>
  <si>
    <t>KF-M07-A4-0013</t>
  </si>
  <si>
    <t>KF-M07-A4-0014</t>
  </si>
  <si>
    <t>KF-M07-A4-0015</t>
  </si>
  <si>
    <t>KF-M07-A4-0016</t>
  </si>
  <si>
    <t>KF-M07-A4-0017</t>
  </si>
  <si>
    <t>KF-M07-A4-0018</t>
  </si>
  <si>
    <t>KF-M07-A4-0019</t>
  </si>
  <si>
    <t>KF-M07-A4-0020</t>
  </si>
  <si>
    <t>KF-M07-A4-0021</t>
  </si>
  <si>
    <t>KF-M07-A4-0022</t>
  </si>
  <si>
    <t>KF-M07-A4-0023</t>
  </si>
  <si>
    <t>KF-M07-A4-0024</t>
  </si>
  <si>
    <t>KF-M07-A4-0025</t>
  </si>
  <si>
    <t>KF-M07-A4-0026</t>
  </si>
  <si>
    <t>KF-M07-A4-0027</t>
  </si>
  <si>
    <t>KF-M07-A4-0028</t>
  </si>
  <si>
    <t>KF-M07-A4-0029</t>
  </si>
  <si>
    <t>KF-M07-A4-0030</t>
  </si>
  <si>
    <t>KF-M07-A4-0031</t>
  </si>
  <si>
    <t>KF-M07-A4-0032</t>
  </si>
  <si>
    <t>KF-M07-A4-0033</t>
  </si>
  <si>
    <t>KF-M07-A4-0034</t>
  </si>
  <si>
    <t>KF-M07-A4-0035</t>
  </si>
  <si>
    <t>KF-M07-A4-0036</t>
  </si>
  <si>
    <t>KF-M07-A4-0037</t>
  </si>
  <si>
    <t>KF-M07-A4-0038</t>
  </si>
  <si>
    <t>KF-M07-A4-0039</t>
  </si>
  <si>
    <t>KF-M07-A4-0040</t>
  </si>
  <si>
    <t>KF-M07-A4-0041</t>
  </si>
  <si>
    <t>KF-M07-A4-0042</t>
  </si>
  <si>
    <t>KF-M07-A4-0043</t>
  </si>
  <si>
    <t>KF-M07-A4-0044</t>
  </si>
  <si>
    <t>KF-M07-A4-0045</t>
  </si>
  <si>
    <t>KF-M07-A4-0046</t>
  </si>
  <si>
    <t>KF-M07-A4-0047</t>
  </si>
  <si>
    <t>KF-M07-A4-0048</t>
  </si>
  <si>
    <t>KF-M07-A4-0049</t>
  </si>
  <si>
    <t>KF-M07-A4-0050</t>
  </si>
  <si>
    <t>KF-M07-A4-0051</t>
  </si>
  <si>
    <t>KF-M07-A4-0052</t>
  </si>
  <si>
    <t>KF-M07-A4-0053</t>
  </si>
  <si>
    <t>KF-M07-A4-0054</t>
  </si>
  <si>
    <t>KF-M07-A4-0055</t>
  </si>
  <si>
    <t>KF-M07-A4-0056</t>
  </si>
  <si>
    <t>KF-M07-A4-0057</t>
  </si>
  <si>
    <t>KF-M07-A4-0058</t>
  </si>
  <si>
    <t>KF-M07-A4-0059</t>
  </si>
  <si>
    <t>KF-M07-A4-0060</t>
  </si>
  <si>
    <t>KF-M07-A4-0061</t>
  </si>
  <si>
    <t>KF-M07-A4-0062</t>
  </si>
  <si>
    <t>KF-M07-A4-0063</t>
  </si>
  <si>
    <t>KF-M07-A4-0064</t>
  </si>
  <si>
    <t>KF-M07-A4-0065</t>
  </si>
  <si>
    <t>KF-M07-A4-0066</t>
  </si>
  <si>
    <t>KF-M07-A4-0067</t>
  </si>
  <si>
    <t>KF-M07-A4-0068</t>
  </si>
  <si>
    <t>KF-M07-A4-0069</t>
  </si>
  <si>
    <t>KF-M07-A4-0070</t>
  </si>
  <si>
    <t>KF-M07-A4-0071</t>
  </si>
  <si>
    <t>KF-M07-A4-0072</t>
  </si>
  <si>
    <t>KF-M07-A4-0073</t>
  </si>
  <si>
    <t>KF-M07-A4-0074</t>
  </si>
  <si>
    <t>KF-M07-A4-0075</t>
  </si>
  <si>
    <t>KF-M07-A4-0076</t>
  </si>
  <si>
    <t>KF-M07-A4-0077</t>
  </si>
  <si>
    <t>KF-M07-A4-0078</t>
  </si>
  <si>
    <t>KF-M07-A4-0079</t>
  </si>
  <si>
    <t>KF-M07-A4-0080</t>
  </si>
  <si>
    <t>KF-M07-A4-0081</t>
  </si>
  <si>
    <t>KF-M07-A4-0082</t>
  </si>
  <si>
    <t>KF-M07-A4-0083</t>
  </si>
  <si>
    <t>KF-M07-A4-0084</t>
  </si>
  <si>
    <t>KF-M07-A4-0085</t>
  </si>
  <si>
    <t>KF-M07-A4-0086</t>
  </si>
  <si>
    <t>KF-M07-A4-0087</t>
  </si>
  <si>
    <t>KF-M07-A4-0088</t>
  </si>
  <si>
    <t>KF-M07-A4-0089</t>
  </si>
  <si>
    <t>KF-M07-A4-0090</t>
  </si>
  <si>
    <t>KF-M07-A4-0091</t>
  </si>
  <si>
    <t>KF-M07-A4-0092</t>
  </si>
  <si>
    <t>KF-M07-A4-0093</t>
  </si>
  <si>
    <t>KF-M07-A4-0094</t>
  </si>
  <si>
    <t>KF-M07-A4-0095</t>
  </si>
  <si>
    <t>KF-M07-A4-0096</t>
  </si>
  <si>
    <t>KF-M07-A4-0097</t>
  </si>
  <si>
    <t>KF-M07-A4-0098</t>
  </si>
  <si>
    <t>KF-M07-A4-0099</t>
  </si>
  <si>
    <t>KF-M07-A4-0100</t>
  </si>
  <si>
    <t>KF-M07-A4-0101</t>
  </si>
  <si>
    <t>KF-M07-A4-0102</t>
  </si>
  <si>
    <t>KF-M07-A4-0103</t>
  </si>
  <si>
    <t>KF-M07-A4-0104</t>
  </si>
  <si>
    <t>KF-M07-A4-0105</t>
  </si>
  <si>
    <t>KF-M07-A4-0106</t>
  </si>
  <si>
    <t>KF-M07-A4-0107</t>
  </si>
  <si>
    <t>KF-M07-A4-0108</t>
  </si>
  <si>
    <t>KF-M07-A4-0109</t>
  </si>
  <si>
    <t>KF-M07-A4-0110</t>
  </si>
  <si>
    <t>KF-M07-A4-0111</t>
  </si>
  <si>
    <t>KF-M07-A4-0112</t>
  </si>
  <si>
    <t>KF-M07-A5-0000</t>
  </si>
  <si>
    <t>B11-A5</t>
  </si>
  <si>
    <t>KF-M07-A5-0001</t>
  </si>
  <si>
    <t>KF-M07-A5-0002</t>
  </si>
  <si>
    <t>KF-M07-A5-0003</t>
  </si>
  <si>
    <t>KF-M07-A5-0004</t>
  </si>
  <si>
    <t>KF-M07-A5-0005</t>
  </si>
  <si>
    <t>KF-M07-A5-0006</t>
  </si>
  <si>
    <t>KF-M07-A5-0007</t>
  </si>
  <si>
    <t>KF-M07-A5-0008</t>
  </si>
  <si>
    <t>KF-M07-A5-0009</t>
  </si>
  <si>
    <t>KF-M07-A5-0010</t>
  </si>
  <si>
    <t>KF-M07-A5-0011</t>
  </si>
  <si>
    <t>KF-M07-A5-0012</t>
  </si>
  <si>
    <t>KF-M07-A5-0013</t>
  </si>
  <si>
    <t>KF-M07-A5-0014</t>
  </si>
  <si>
    <t>KF-M07-A5-0015</t>
  </si>
  <si>
    <t>KF-M07-A5-0016</t>
  </si>
  <si>
    <t>KF-M07-A5-0017</t>
  </si>
  <si>
    <t>KF-M07-A5-0018</t>
  </si>
  <si>
    <t>KF-M07-A5-0019</t>
  </si>
  <si>
    <t>KF-M07-A5-0020</t>
  </si>
  <si>
    <t>KF-M07-A5-0021</t>
  </si>
  <si>
    <t>KF-M07-A5-0022</t>
  </si>
  <si>
    <t>KF-M07-A5-0023</t>
  </si>
  <si>
    <t>KF-M07-A5-0024</t>
  </si>
  <si>
    <t>KF-M07-A5-0025</t>
  </si>
  <si>
    <t>KF-M07-A5-0026</t>
  </si>
  <si>
    <t>KF-M07-A5-0027</t>
  </si>
  <si>
    <t>KF-M07-A5-0028</t>
  </si>
  <si>
    <t>KF-M07-A5-0029</t>
  </si>
  <si>
    <t>KF-M07-A5-0030</t>
  </si>
  <si>
    <t>KF-M07-A5-0031</t>
  </si>
  <si>
    <t>KF-M07-A5-0032</t>
  </si>
  <si>
    <t>KF-M07-A5-0033</t>
  </si>
  <si>
    <t>KF-M07-A5-0034</t>
  </si>
  <si>
    <t>KF-M07-A5-0035</t>
  </si>
  <si>
    <t>KF-M07-A5-0036</t>
  </si>
  <si>
    <t>KF-M07-A5-0037</t>
  </si>
  <si>
    <t>KF-M07-A5-0038</t>
  </si>
  <si>
    <t>KF-M07-A5-0039</t>
  </si>
  <si>
    <t>KF-M07-A5-0040</t>
  </si>
  <si>
    <t>KF-M07-A5-0041</t>
  </si>
  <si>
    <t>KF-M07-A5-0042</t>
  </si>
  <si>
    <t>KF-M07-A5-0043</t>
  </si>
  <si>
    <t>KF-M07-A5-0044</t>
  </si>
  <si>
    <t>KF-M07-A5-0045</t>
  </si>
  <si>
    <t>KF-M07-A5-0046</t>
  </si>
  <si>
    <t>KF-M07-A5-0047</t>
  </si>
  <si>
    <t>KF-M07-A5-0048</t>
  </si>
  <si>
    <t>KF-M07-A5-0049</t>
  </si>
  <si>
    <t>KF-M07-A5-0050</t>
  </si>
  <si>
    <t>KF-M07-A5-0051</t>
  </si>
  <si>
    <t>KF-M07-A5-0052</t>
  </si>
  <si>
    <t>KF-M07-A5-0053</t>
  </si>
  <si>
    <t>KF-M07-A5-0054</t>
  </si>
  <si>
    <t>KF-M07-A5-0055</t>
  </si>
  <si>
    <t>KF-M07-A5-0056</t>
  </si>
  <si>
    <t>KF-M07-A5-0057</t>
  </si>
  <si>
    <t>KF-M07-A5-0058</t>
  </si>
  <si>
    <t>KF-M07-A5-0059</t>
  </si>
  <si>
    <t>KF-M07-A5-0060</t>
  </si>
  <si>
    <t>KF-M07-A5-0061</t>
  </si>
  <si>
    <t>KF-M07-A5-0062</t>
  </si>
  <si>
    <t>KF-M07-A5-0063</t>
  </si>
  <si>
    <t>KF-M07-A5-0064</t>
  </si>
  <si>
    <t>KF-M07-A5-0065</t>
  </si>
  <si>
    <t>KF-M07-A5-0066</t>
  </si>
  <si>
    <t>KF-M07-A5-0067</t>
  </si>
  <si>
    <t>KF-M07-A5-0068</t>
  </si>
  <si>
    <t>KF-M07-A5-0069</t>
  </si>
  <si>
    <t>KF-M07-A5-0070</t>
  </si>
  <si>
    <t>KF-M07-A5-0071</t>
  </si>
  <si>
    <t>KF-M07-A5-0072</t>
  </si>
  <si>
    <t>KF-M07-A5-0073</t>
  </si>
  <si>
    <t>KF-M07-A5-0074</t>
  </si>
  <si>
    <t>KF-M07-A5-0075</t>
  </si>
  <si>
    <t>KF-M07-A5-0076</t>
  </si>
  <si>
    <t>KF-M07-A5-0077</t>
  </si>
  <si>
    <t>KF-M07-A5-0078</t>
  </si>
  <si>
    <t>KF-M07-A5-0079</t>
  </si>
  <si>
    <t>KF-M07-A5-0080</t>
  </si>
  <si>
    <t>KF-M07-A5-0081</t>
  </si>
  <si>
    <t>KF-M07-A5-0082</t>
  </si>
  <si>
    <t>KF-M07-A5-0083</t>
  </si>
  <si>
    <t>KF-M07-A5-0084</t>
  </si>
  <si>
    <t>KF-M07-A5-0085</t>
  </si>
  <si>
    <t>KF-M07-A5-0086</t>
  </si>
  <si>
    <t>KF-M07-A5-0087</t>
  </si>
  <si>
    <t>KF-M07-A5-0088</t>
  </si>
  <si>
    <t>KF-M07-A5-0089</t>
  </si>
  <si>
    <t>KF-M07-A5-0090</t>
  </si>
  <si>
    <t>KF-M07-A5-0091</t>
  </si>
  <si>
    <t>KF-M07-A5-0092</t>
  </si>
  <si>
    <t>KF-M07-A5-0093</t>
  </si>
  <si>
    <t>KF-M07-A5-0094</t>
  </si>
  <si>
    <t>KF-M07-A5-0095</t>
  </si>
  <si>
    <t>KF-M07-A5-0096</t>
  </si>
  <si>
    <t>KF-M07-A5-0097</t>
  </si>
  <si>
    <t>KF-M07-A5-0098</t>
  </si>
  <si>
    <t>KF-M07-A5-0099</t>
  </si>
  <si>
    <t>KF-M07-A5-0100</t>
  </si>
  <si>
    <t>KF-M07-A5-0101</t>
  </si>
  <si>
    <t>KF-M07-A5-0102</t>
  </si>
  <si>
    <t>KF-M07-A5-0103</t>
  </si>
  <si>
    <t>KF-M07-A5-0104</t>
  </si>
  <si>
    <t>KF-M07-A5-0105</t>
  </si>
  <si>
    <t>KF-M07-A5-0106</t>
  </si>
  <si>
    <t>KF-M07-A5-0107</t>
  </si>
  <si>
    <t>KF-M07-A5-0108</t>
  </si>
  <si>
    <t>KF-M07-A5-0109</t>
  </si>
  <si>
    <t>KF-M07-A5-0110</t>
  </si>
  <si>
    <t>KF-M07-A5-0111</t>
  </si>
  <si>
    <t>KF-M07-A5-0112</t>
  </si>
  <si>
    <t>KF-M06-VER-0000</t>
  </si>
  <si>
    <t>control</t>
  </si>
  <si>
    <t>KF-M06-VER-0001</t>
  </si>
  <si>
    <t>KF-M06-VER-0002</t>
  </si>
  <si>
    <t>KF-M06-VER-0003</t>
  </si>
  <si>
    <t>KF-M06-VER-0004</t>
  </si>
  <si>
    <t>KF-M06-VER-0005</t>
  </si>
  <si>
    <t>KF-M06-VER-0006</t>
  </si>
  <si>
    <t>KF-M06-VER-0007</t>
  </si>
  <si>
    <t>KF-M06-VER-0008</t>
  </si>
  <si>
    <t>KF-M06-VER-0009</t>
  </si>
  <si>
    <t>KF-M06-VER-0010</t>
  </si>
  <si>
    <t>KF-M06-VER-0011</t>
  </si>
  <si>
    <t>KF-M06-VER-0012</t>
  </si>
  <si>
    <t>KF-M06-VER-0013</t>
  </si>
  <si>
    <t>KF-M06-VER-0014</t>
  </si>
  <si>
    <t>KF-M06-VER-0015</t>
  </si>
  <si>
    <t>KF-M06-VER-0016</t>
  </si>
  <si>
    <t>KF-M06-VER-0017</t>
  </si>
  <si>
    <t>KF-M06-VER-0018</t>
  </si>
  <si>
    <t>KF-M06-VER-0019</t>
  </si>
  <si>
    <t>KF-M06-VER-0020</t>
  </si>
  <si>
    <t>KF-M06-VER-0021</t>
  </si>
  <si>
    <t>KF-M06-VER-0022</t>
  </si>
  <si>
    <t>KF-M06-VER-0023</t>
  </si>
  <si>
    <t>KF-M06-PISO-0000</t>
  </si>
  <si>
    <t>KF-M06-PISO-0001</t>
  </si>
  <si>
    <t>KF-M06-PISO-0002</t>
  </si>
  <si>
    <t>KF-M06-PISO-0003</t>
  </si>
  <si>
    <t>KF-M06-PISO-0004</t>
  </si>
  <si>
    <t>KF-M06-PISO-0005</t>
  </si>
  <si>
    <t>KF-M06-PISO-0006</t>
  </si>
  <si>
    <t>KF-M06-PISO-0007</t>
  </si>
  <si>
    <t>KF-M06-PISO-0008</t>
  </si>
  <si>
    <t>KF-M06-PISO-0009</t>
  </si>
  <si>
    <t>KF-M06-PISO-0010</t>
  </si>
  <si>
    <t>KF-M06-PISO-0011</t>
  </si>
  <si>
    <t>KF-M06-SUB-0000</t>
  </si>
  <si>
    <t>KF-M06-SUB-0001</t>
  </si>
  <si>
    <t>KF-M06-SUB-0002</t>
  </si>
  <si>
    <t>KF-M06-SUB-0003</t>
  </si>
  <si>
    <t>KF-M06-SUB-0004</t>
  </si>
  <si>
    <t>KF-M06-SUB-0005</t>
  </si>
  <si>
    <t>KF-M06-SUB-0006</t>
  </si>
  <si>
    <t>KF-M06-SUB-0007</t>
  </si>
  <si>
    <t>KF-M06-SUB-0008</t>
  </si>
  <si>
    <t>KF-M06-SUB-0009</t>
  </si>
  <si>
    <t>KF-M06-SUB-0010</t>
  </si>
  <si>
    <t>KF-M06-SUB-0011</t>
  </si>
  <si>
    <t>KF-M06-SUB-0012</t>
  </si>
  <si>
    <t>KF-M06-SUB-0013</t>
  </si>
  <si>
    <t>KF-M06-SUB-0014</t>
  </si>
  <si>
    <t>KF-M06-SUB-0015</t>
  </si>
  <si>
    <t>KF-M06-SUB-0016</t>
  </si>
  <si>
    <t>KF-M06-SUB-0017</t>
  </si>
  <si>
    <t>KF-M06-SUB-0018</t>
  </si>
  <si>
    <t>KF-M06-SUB-0019</t>
  </si>
  <si>
    <t>KF-M06-SUB-0020</t>
  </si>
  <si>
    <t>KF-M06-SUB-0021</t>
  </si>
  <si>
    <t>KF-M06-SUB-0022</t>
  </si>
  <si>
    <t>KF-M06-SUB-0023</t>
  </si>
  <si>
    <t>KF-M06-SUB-0024</t>
  </si>
  <si>
    <t>KF-M06-SUB-0025</t>
  </si>
  <si>
    <t>KF-M06-SUB-0026</t>
  </si>
  <si>
    <t>KF-M06-SUB-0027</t>
  </si>
  <si>
    <t>KF-M06-SUB-0028</t>
  </si>
  <si>
    <t>KF-M06-SUB-0029</t>
  </si>
  <si>
    <t>KF-M06-SUB-0030</t>
  </si>
  <si>
    <t>KF-M06-SUB-0031</t>
  </si>
  <si>
    <t>KF-M06-SUB-0032</t>
  </si>
  <si>
    <t>KF-M06-SUB-0033</t>
  </si>
  <si>
    <t>KF-M06-SUB-0034</t>
  </si>
  <si>
    <t>KF-M06-SUB-0035</t>
  </si>
  <si>
    <t>KF-M06-SUB-0036</t>
  </si>
  <si>
    <t>KF-M06-SUB-0037</t>
  </si>
  <si>
    <t>KF-M06-SUB-0038</t>
  </si>
  <si>
    <t>KF-M06-SUB-0039</t>
  </si>
  <si>
    <t>KF-M06-SUB-0040</t>
  </si>
  <si>
    <t>KF-M06-SUB-0041</t>
  </si>
  <si>
    <t>KF-M06-SUB-0042</t>
  </si>
  <si>
    <t>KF-M06-SUB-0043</t>
  </si>
  <si>
    <t>KF-M06-SUB-0044</t>
  </si>
  <si>
    <t>KF-M06-SUB-0045</t>
  </si>
  <si>
    <t>KF-M06-SUB-0046</t>
  </si>
  <si>
    <t>KF-M06-SUB-0047</t>
  </si>
  <si>
    <t>KF-M06-SUB-0048</t>
  </si>
  <si>
    <t>KF-M06-SUB-0049</t>
  </si>
  <si>
    <t>KF-M06-SUB-0050</t>
  </si>
  <si>
    <t>KF-M06-SUB-0051</t>
  </si>
  <si>
    <t>KF-M06-SUB-0052</t>
  </si>
  <si>
    <t>KF-M06-SUB-0053</t>
  </si>
  <si>
    <t>KF-M06-SUB-0054</t>
  </si>
  <si>
    <t>KF-M06-SUB-0055</t>
  </si>
  <si>
    <t>KF-M06-SUB-0056</t>
  </si>
  <si>
    <t>KF-M06-SUB-0057</t>
  </si>
  <si>
    <t>KF-M06-SUB-0058</t>
  </si>
  <si>
    <t>KF-M06-SUB-0059</t>
  </si>
  <si>
    <t>KF-M06-SUB-0060</t>
  </si>
  <si>
    <t>KF-M06-SUB-0061</t>
  </si>
  <si>
    <t>KF-M06-SUB-0062</t>
  </si>
  <si>
    <t>KF-M06-SUB-0063</t>
  </si>
  <si>
    <t>KF-M06-SUB-0064</t>
  </si>
  <si>
    <t>KF-M06-SUB-0065</t>
  </si>
  <si>
    <t>KF-M06-SUB-0066</t>
  </si>
  <si>
    <t>KF-M06-SUB-0067</t>
  </si>
  <si>
    <t>KF-M06-SUB-0068</t>
  </si>
  <si>
    <t>KF-M06-SUB-0069</t>
  </si>
  <si>
    <t>KF-M06-SUB-0070</t>
  </si>
  <si>
    <t>KF-M06-SUB-0071</t>
  </si>
  <si>
    <t>KF-M06-SUB-0072</t>
  </si>
  <si>
    <t>KF-M06-SUB-0073</t>
  </si>
  <si>
    <t>KF-M06-SUB-0074</t>
  </si>
  <si>
    <t>KF-M06-SUB-0075</t>
  </si>
  <si>
    <t>KF-M06-SUB-0076</t>
  </si>
  <si>
    <t>KF-M06-SUB-0077</t>
  </si>
  <si>
    <t>KF-M06-SUB-0078</t>
  </si>
  <si>
    <t>KF-M06-SUB-0079</t>
  </si>
  <si>
    <t>KF-M06-SUB-0080</t>
  </si>
  <si>
    <t>KF-M06-SUB-0081</t>
  </si>
  <si>
    <t>KF-M06-SUB-0082</t>
  </si>
  <si>
    <t>KF-M06-SUB-0083</t>
  </si>
  <si>
    <t>KF-M06-SUB-0084</t>
  </si>
  <si>
    <t>KF-M06-SUB-0085</t>
  </si>
  <si>
    <t>KF-M06-SUB-0086</t>
  </si>
  <si>
    <t>KF-M06-SUB-0087</t>
  </si>
  <si>
    <t>KF-M06-SUB-0088</t>
  </si>
  <si>
    <t>KF-M06-SUB-0089</t>
  </si>
  <si>
    <t>KF-M06-SUB-0090</t>
  </si>
  <si>
    <t>KF-M06-SUB-0091</t>
  </si>
  <si>
    <t>KF-M06-SUB-0092</t>
  </si>
  <si>
    <t>KF-M06-SUB-0093</t>
  </si>
  <si>
    <t>KF-M06-SUB-0094</t>
  </si>
  <si>
    <t>KF-M06-SUB-0095</t>
  </si>
  <si>
    <t>KF-M06-SUB-0096</t>
  </si>
  <si>
    <t>KF-M06-SUB-0097</t>
  </si>
  <si>
    <t>KF-M06-SUB-0098</t>
  </si>
  <si>
    <t>KF-M06-SUB-0099</t>
  </si>
  <si>
    <t>KF-M06-SUB-0100</t>
  </si>
  <si>
    <t>KF-M06-SUB-0101</t>
  </si>
  <si>
    <t>KF-M06-SUB-0102</t>
  </si>
  <si>
    <t>KF-M06-SUB-0103</t>
  </si>
  <si>
    <t>KF-M06-SUB-0104</t>
  </si>
  <si>
    <t>KF-M06-SUB-0105</t>
  </si>
  <si>
    <t>KF-M06-SUB-0106</t>
  </si>
  <si>
    <t>KF-M06-SUB-0107</t>
  </si>
  <si>
    <t>KF-M06-SUB-0108</t>
  </si>
  <si>
    <t>KF-M06-SUB-0109</t>
  </si>
  <si>
    <t>KF-M06-SUB-0110</t>
  </si>
  <si>
    <t>KF-M06-SUB-0111</t>
  </si>
  <si>
    <t>KF-M06-SUB-0112</t>
  </si>
  <si>
    <t>KF-M06-SUB-0113</t>
  </si>
  <si>
    <t>KF-M06-SUB-0114</t>
  </si>
  <si>
    <t>KF-M06-SUB-0115</t>
  </si>
  <si>
    <t>KF-M06-SUB-0116</t>
  </si>
  <si>
    <t>KF-M06-SUB-0117</t>
  </si>
  <si>
    <t>KF-M06-SUB-0118</t>
  </si>
  <si>
    <t>KF-M06-SUB-0119</t>
  </si>
  <si>
    <t>KF-M06-SUB-0120</t>
  </si>
  <si>
    <t>KF-M06-SUB-0121</t>
  </si>
  <si>
    <t>KF-M06-SUB-0122</t>
  </si>
  <si>
    <t>KF-M06-SUB-0123</t>
  </si>
  <si>
    <t>KF-M06-SUB-0124</t>
  </si>
  <si>
    <t>KF-M06-SUB-0125</t>
  </si>
  <si>
    <t>KF-M06-SUB-0126</t>
  </si>
  <si>
    <t>KF-M06-SUB-0127</t>
  </si>
  <si>
    <t>KF-M06-SUB-0128</t>
  </si>
  <si>
    <t>KF-M06-SUB-0129</t>
  </si>
  <si>
    <t>KF-M06-SUB-0130</t>
  </si>
  <si>
    <t>KF-M09-R0-TF-0000</t>
  </si>
  <si>
    <t>B13-TF</t>
  </si>
  <si>
    <t>KF-M09-R0-TF-0001</t>
  </si>
  <si>
    <t>KF-M09-R0-TF-0002</t>
  </si>
  <si>
    <t>KF-M09-R0-TF-0003</t>
  </si>
  <si>
    <t>KF-M09-R0-TF-0004</t>
  </si>
  <si>
    <t>KF-M09-R0-TF-0005</t>
  </si>
  <si>
    <t>KF-M09-R0-TF-0006</t>
  </si>
  <si>
    <t>KF-M09-R0-TF-0007</t>
  </si>
  <si>
    <t>KF-M09-R0-TF-0008</t>
  </si>
  <si>
    <t>KF-M09-R0-TF-0009</t>
  </si>
  <si>
    <t>KF-M09-R0-TF-0010</t>
  </si>
  <si>
    <t>KF-M09-R0-TF-0011</t>
  </si>
  <si>
    <t>KF-M09-R0-TF-0012</t>
  </si>
  <si>
    <t>KF-M09-R0-TF-0013</t>
  </si>
  <si>
    <t>KF-M09-R0-TF-0014</t>
  </si>
  <si>
    <t>KF-M09-R0-TF-0015</t>
  </si>
  <si>
    <t>KF-M09-R0-TF-0016</t>
  </si>
  <si>
    <t>KF-M09-R0-TF-0017</t>
  </si>
  <si>
    <t>KF-M09-R0-TF-0018</t>
  </si>
  <si>
    <t>KF-M09-R0-TF-0019</t>
  </si>
  <si>
    <t>KF-M09-R0-TF-0020</t>
  </si>
  <si>
    <t>KF-M09-R0-TF-0021</t>
  </si>
  <si>
    <t>KF-M09-R0-TF-0022</t>
  </si>
  <si>
    <t>KF-M09-R0-TF-0023</t>
  </si>
  <si>
    <t>KF-M09-R0-TF-0024</t>
  </si>
  <si>
    <t>KF-M09-R0-TF-0025</t>
  </si>
  <si>
    <t>KF-M09-R0-TF-0026</t>
  </si>
  <si>
    <t>KF-M09-R0-TF-0027</t>
  </si>
  <si>
    <t>KF-M09-R0-TF-0028</t>
  </si>
  <si>
    <t>KF-M09-R0-TF-0029</t>
  </si>
  <si>
    <t>KF-M09-R0-TF-0030</t>
  </si>
  <si>
    <t>KF-M09-R0-TF-0031</t>
  </si>
  <si>
    <t>KF-M09-R0-TF-0032</t>
  </si>
  <si>
    <t>KF-M09-R0-TF-0033</t>
  </si>
  <si>
    <t>KF-M09-R0-TF-0034</t>
  </si>
  <si>
    <t>KF-M09-R0-TF-0035</t>
  </si>
  <si>
    <t>KF-M09-R0-TF-0036</t>
  </si>
  <si>
    <t>KF-M09-R0-TF-0037</t>
  </si>
  <si>
    <t>KF-M09-R0-TF-0038</t>
  </si>
  <si>
    <t>KF-M09-R0-TF-0039</t>
  </si>
  <si>
    <t>KF-M09-R0-TF-0040</t>
  </si>
  <si>
    <t>KF-M09-R0-TF-0041</t>
  </si>
  <si>
    <t>KF-M09-R0-TF-0042</t>
  </si>
  <si>
    <t>KF-M09-R0-TF-0043</t>
  </si>
  <si>
    <t>KF-M09-R0-TF-0044</t>
  </si>
  <si>
    <t>KF-M09-R0-TF-0045</t>
  </si>
  <si>
    <t>KF-M09-R0-TF-0046</t>
  </si>
  <si>
    <t>KF-M09-R0-TF-0047</t>
  </si>
  <si>
    <t>KF-M09-R0-TF-0048</t>
  </si>
  <si>
    <t>KF-M09-R0-TF-0049</t>
  </si>
  <si>
    <t>KF-M09-R0-TF-0050</t>
  </si>
  <si>
    <t>KF-M09-R0-TF-0051</t>
  </si>
  <si>
    <t>KF-M09-R0-TF-0052</t>
  </si>
  <si>
    <t>KF-M09-R0-TF-0053</t>
  </si>
  <si>
    <t>KF-M09-R0-TF-0054</t>
  </si>
  <si>
    <t>KF-M09-R0-TF-0055</t>
  </si>
  <si>
    <t>KF-M09-R0-TF-0056</t>
  </si>
  <si>
    <t>KF-M09-R0-TF-0057</t>
  </si>
  <si>
    <t>KF-M09-R0-TF-0058</t>
  </si>
  <si>
    <t>KF-M09-R0-TF-0059</t>
  </si>
  <si>
    <t>KF-M09-R0-TF-0060</t>
  </si>
  <si>
    <t>KF-M09-R0-TF-0061</t>
  </si>
  <si>
    <t>KF-M09-R0-TF-0062</t>
  </si>
  <si>
    <t>KF-M09-R0-TF-0063</t>
  </si>
  <si>
    <t>KF-M09-R0-TF-0064</t>
  </si>
  <si>
    <t>KF-M09-R0-TF-0065</t>
  </si>
  <si>
    <t>KF-M09-R0-TF-0066</t>
  </si>
  <si>
    <t>KF-M09-R0-TF-0067</t>
  </si>
  <si>
    <t>KF-M09-R0-TF-0068</t>
  </si>
  <si>
    <t>KF-M09-R0-TF-0069</t>
  </si>
  <si>
    <t>KF-M09-R0-TF-0070</t>
  </si>
  <si>
    <t>KF-M09-R0-TF-0071</t>
  </si>
  <si>
    <t>KF-M09-R0-TF-0072</t>
  </si>
  <si>
    <t>KF-M09-R0-TF-0073</t>
  </si>
  <si>
    <t>KF-M09-R0-TF-0074</t>
  </si>
  <si>
    <t>KF-M09-R0-TF-0075</t>
  </si>
  <si>
    <t>KF-M09-R0-TF-0076</t>
  </si>
  <si>
    <t>KF-M09-R0-TF-0077</t>
  </si>
  <si>
    <t>KF-M09-R0-TF-0078</t>
  </si>
  <si>
    <t>KF-M09-R0-TF-0079</t>
  </si>
  <si>
    <t>KF-M09-R0-TF-0080</t>
  </si>
  <si>
    <t>KF-M09-R0-TF-0081</t>
  </si>
  <si>
    <t>KF-M09-R0-TF-0082</t>
  </si>
  <si>
    <t>KF-M09-R0-TF-0083</t>
  </si>
  <si>
    <t>KF-M09-R0-TF-0084</t>
  </si>
  <si>
    <t>KF-M09-R0-TF-0085</t>
  </si>
  <si>
    <t>KF-M09-R0-TF-0086</t>
  </si>
  <si>
    <t>KF-M09-R0-TF-0087</t>
  </si>
  <si>
    <t>KF-M09-R0-TF-0088</t>
  </si>
  <si>
    <t>KF-M09-R0-TF-0089</t>
  </si>
  <si>
    <t>KF-M09-R0-TF-0090</t>
  </si>
  <si>
    <t>KF-M09-R0-TF-0091</t>
  </si>
  <si>
    <t>KF-M09-R0-TF-0092</t>
  </si>
  <si>
    <t>KF-M09-R0-TF-0093</t>
  </si>
  <si>
    <t>KF-M09-R0-TF-0094</t>
  </si>
  <si>
    <t>KF-M09-R0-TF-0095</t>
  </si>
  <si>
    <t>KF-M09-R0-TF-0096</t>
  </si>
  <si>
    <t>KF-M09-R0-TF-0097</t>
  </si>
  <si>
    <t>KF-M09-R0-TF-0098</t>
  </si>
  <si>
    <t>KF-M09-R0-TF-0099</t>
  </si>
  <si>
    <t>KF-M09-R0-EF-0000</t>
  </si>
  <si>
    <t>B13-EF</t>
  </si>
  <si>
    <t>KF-M09-R0-EF-0001</t>
  </si>
  <si>
    <t>KF-M09-R0-EF-0002</t>
  </si>
  <si>
    <t>KF-M09-R0-EF-0003</t>
  </si>
  <si>
    <t>KF-M09-R0-EF-0004</t>
  </si>
  <si>
    <t>KF-M09-R0-EF-0005</t>
  </si>
  <si>
    <t>KF-M09-R0-EF-0006</t>
  </si>
  <si>
    <t>KF-M09-R0-EF-0007</t>
  </si>
  <si>
    <t>KF-M09-R0-EF-0008</t>
  </si>
  <si>
    <t>KF-M09-R0-EF-0009</t>
  </si>
  <si>
    <t>KF-M09-R0-EF-0010</t>
  </si>
  <si>
    <t>KF-M09-R0-EF-0011</t>
  </si>
  <si>
    <t>KF-M09-R0-EF-0012</t>
  </si>
  <si>
    <t>KF-M09-R0-EF-0013</t>
  </si>
  <si>
    <t>KF-M09-R0-EF-0014</t>
  </si>
  <si>
    <t>KF-M09-R0-EF-0015</t>
  </si>
  <si>
    <t>KF-M09-R0-EF-0016</t>
  </si>
  <si>
    <t>KF-M09-R0-EF-0017</t>
  </si>
  <si>
    <t>KF-M09-R0-EF-0018</t>
  </si>
  <si>
    <t>KF-M09-R0-EF-0019</t>
  </si>
  <si>
    <t>KF-M09-R0-EF-0020</t>
  </si>
  <si>
    <t>KF-M09-R0-EF-0021</t>
  </si>
  <si>
    <t>KF-M09-R0-EF-0022</t>
  </si>
  <si>
    <t>KF-M09-R0-EF-0023</t>
  </si>
  <si>
    <t>KF-M09-R0-EF-0024</t>
  </si>
  <si>
    <t>KF-M09-R0-EF-0025</t>
  </si>
  <si>
    <t>KF-M09-R0-EF-0026</t>
  </si>
  <si>
    <t>KF-M09-R0-EF-0027</t>
  </si>
  <si>
    <t>KF-M09-R0-EF-0028</t>
  </si>
  <si>
    <t>KF-M09-R0-EF-0029</t>
  </si>
  <si>
    <t>KF-M09-R0-EF-0030</t>
  </si>
  <si>
    <t>KF-M09-R0-EF-0031</t>
  </si>
  <si>
    <t>KF-M09-R0-EF-0032</t>
  </si>
  <si>
    <t>KF-M09-R0-EF-0033</t>
  </si>
  <si>
    <t>KF-M09-R0-EF-0034</t>
  </si>
  <si>
    <t>KF-M09-R0-EF-0035</t>
  </si>
  <si>
    <t>KF-M09-R0-EF-0036</t>
  </si>
  <si>
    <t>KF-M09-R0-EF-0037</t>
  </si>
  <si>
    <t>KF-M09-R0-EF-0038</t>
  </si>
  <si>
    <t>KF-M09-R0-EF-0039</t>
  </si>
  <si>
    <t>KF-M09-R0-EF-0040</t>
  </si>
  <si>
    <t>KF-M09-R0-EF-0041</t>
  </si>
  <si>
    <t>KF-M09-R0-EF-0042</t>
  </si>
  <si>
    <t>KF-M09-R0-EF-0043</t>
  </si>
  <si>
    <t>KF-M09-R0-EF-0044</t>
  </si>
  <si>
    <t>KF-M09-R0-EF-0045</t>
  </si>
  <si>
    <t>KF-M09-R0-EF-0046</t>
  </si>
  <si>
    <t>KF-M09-R0-EF-0047</t>
  </si>
  <si>
    <t>KF-M09-R0-EF-0048</t>
  </si>
  <si>
    <t>KF-M09-R0-EF-0049</t>
  </si>
  <si>
    <t>KF-M09-R0-EF-0050</t>
  </si>
  <si>
    <t>KF-M09-R0-EF-0051</t>
  </si>
  <si>
    <t>KF-M09-R0-EF-0052</t>
  </si>
  <si>
    <t>KF-M09-R0-EF-0053</t>
  </si>
  <si>
    <t>KF-M09-R0-EF-0054</t>
  </si>
  <si>
    <t>KF-M09-R0-EF-0055</t>
  </si>
  <si>
    <t>KF-M09-R0-EF-0056</t>
  </si>
  <si>
    <t>KF-M09-R0-EF-0057</t>
  </si>
  <si>
    <t>KF-M09-R0-EF-0058</t>
  </si>
  <si>
    <t>KF-M09-R0-EF-0059</t>
  </si>
  <si>
    <t>KF-M09-R0-EF-0060</t>
  </si>
  <si>
    <t>KF-M09-R0-EF-0061</t>
  </si>
  <si>
    <t>KF-M09-R0-EF-0062</t>
  </si>
  <si>
    <t>KF-M09-R0-EF-0063</t>
  </si>
  <si>
    <t>KF-M09-R0-EF-0064</t>
  </si>
  <si>
    <t>KF-M09-R0-EF-0065</t>
  </si>
  <si>
    <t>KF-M09-R0-EF-0066</t>
  </si>
  <si>
    <t>KF-M09-R0-EF-0067</t>
  </si>
  <si>
    <t>KF-M09-R0-EF-0068</t>
  </si>
  <si>
    <t>KF-M09-R0-EF-0069</t>
  </si>
  <si>
    <t>KF-M09-R0-EF-0070</t>
  </si>
  <si>
    <t>KF-M09-R0-EF-0071</t>
  </si>
  <si>
    <t>KF-M09-R0-EF-0072</t>
  </si>
  <si>
    <t>KF-M09-R0-EF-0073</t>
  </si>
  <si>
    <t>KF-M09-R0-EF-0074</t>
  </si>
  <si>
    <t>KF-M09-R0-EF-0075</t>
  </si>
  <si>
    <t>KF-M09-R0-EF-0076</t>
  </si>
  <si>
    <t>KF-M09-R0-EF-0077</t>
  </si>
  <si>
    <t>KF-M09-R0-EF-0078</t>
  </si>
  <si>
    <t>KF-M09-R0-EF-0079</t>
  </si>
  <si>
    <t>KF-M09-R0-EF-0080</t>
  </si>
  <si>
    <t>KF-M09-R0-EF-0081</t>
  </si>
  <si>
    <t>KF-M09-R0-EF-0082</t>
  </si>
  <si>
    <t>KF-M09-R0-EF-0083</t>
  </si>
  <si>
    <t>KF-M09-R0-EF-0084</t>
  </si>
  <si>
    <t>KF-M09-R0-EF-0085</t>
  </si>
  <si>
    <t>KF-M09-R0-EF-0086</t>
  </si>
  <si>
    <t>KF-M09-R0-EF-0087</t>
  </si>
  <si>
    <t>KF-M09-R0-EF-0088</t>
  </si>
  <si>
    <t>KF-M09-R0-EF-0089</t>
  </si>
  <si>
    <t>KF-M09-R0-EF-0090</t>
  </si>
  <si>
    <t>KF-M09-R0-EF-0091</t>
  </si>
  <si>
    <t>KF-M09-R0-EF-0092</t>
  </si>
  <si>
    <t>KF-M09-R0-EF-0093</t>
  </si>
  <si>
    <t>KF-M09-R0-EF-0094</t>
  </si>
  <si>
    <t>KF-M09-R0-EF-0095</t>
  </si>
  <si>
    <t>KF-M09-R0-EF-0096</t>
  </si>
  <si>
    <t>KF-M09-R0-PA-0000</t>
  </si>
  <si>
    <t>B13-PA</t>
  </si>
  <si>
    <t>KF-M09-R0-EF-0097</t>
  </si>
  <si>
    <t>KF-M09-R0-PA-0001</t>
  </si>
  <si>
    <t>KF-M09-R0-PA-0002</t>
  </si>
  <si>
    <t>KF-M09-R0-EF-0098</t>
  </si>
  <si>
    <t>KF-M09-R0-PA-0003</t>
  </si>
  <si>
    <t>KF-M09-R0-EF-0099</t>
  </si>
  <si>
    <t>KF-M09-R0-PA-0004</t>
  </si>
  <si>
    <t>KF-M09-R0-PA-0005</t>
  </si>
  <si>
    <t>KF-M09-R0-PA-0006</t>
  </si>
  <si>
    <t>KF-M09-R0-PA-0007</t>
  </si>
  <si>
    <t>KF-M09-R0-PA-0008</t>
  </si>
  <si>
    <t>KF-M09-R0-PA-0009</t>
  </si>
  <si>
    <t>KF-M09-R0-PA-0010</t>
  </si>
  <si>
    <t>KF-M09-R0-PA-0011</t>
  </si>
  <si>
    <t>KF-M09-R0-PA-0012</t>
  </si>
  <si>
    <t>KF-M09-R0-PA-0013</t>
  </si>
  <si>
    <t>KF-M09-R0-PA-0014</t>
  </si>
  <si>
    <t>KF-M09-R0-PA-0015</t>
  </si>
  <si>
    <t>KF-M09-R0-PA-0016</t>
  </si>
  <si>
    <t>KF-M09-R0-PA-0017</t>
  </si>
  <si>
    <t>KF-M09-R0-PA-0018</t>
  </si>
  <si>
    <t>KF-M09-R0-PA-0019</t>
  </si>
  <si>
    <t>KF-M09-R0-PA-0020</t>
  </si>
  <si>
    <t>KF-M09-R0-PA-0021</t>
  </si>
  <si>
    <t>KF-M09-R0-PA-0022</t>
  </si>
  <si>
    <t>KF-M09-R0-PA-0023</t>
  </si>
  <si>
    <t>KF-M09-R0-PA-0024</t>
  </si>
  <si>
    <t>KF-M09-R0-PA-0025</t>
  </si>
  <si>
    <t>KF-M09-R0-PA-0026</t>
  </si>
  <si>
    <t>KF-M09-R0-PA-0027</t>
  </si>
  <si>
    <t>KF-M09-R0-PA-0028</t>
  </si>
  <si>
    <t>KF-M09-R0-PA-0029</t>
  </si>
  <si>
    <t>KF-M09-R0-PA-0030</t>
  </si>
  <si>
    <t>KF-M09-R0-PA-0031</t>
  </si>
  <si>
    <t>KF-M09-R0-PA-0032</t>
  </si>
  <si>
    <t>KF-M09-R0-PA-0033</t>
  </si>
  <si>
    <t>KF-M09-R0-PA-0034</t>
  </si>
  <si>
    <t>KF-M09-R0-PA-0035</t>
  </si>
  <si>
    <t>KF-M09-R0-PA-0036</t>
  </si>
  <si>
    <t>KF-M09-R0-PA-0037</t>
  </si>
  <si>
    <t>KF-M09-R0-PA-0038</t>
  </si>
  <si>
    <t>KF-M09-R0-PA-0039</t>
  </si>
  <si>
    <t>KF-M09-R0-PA-0040</t>
  </si>
  <si>
    <t>KF-M09-R0-PA-0041</t>
  </si>
  <si>
    <t>KF-M09-R0-PA-0042</t>
  </si>
  <si>
    <t>KF-M09-R0-PA-0043</t>
  </si>
  <si>
    <t>KF-M09-R0-PA-0044</t>
  </si>
  <si>
    <t>KF-M09-R0-PA-0045</t>
  </si>
  <si>
    <t>KF-M09-R0-PA-0046</t>
  </si>
  <si>
    <t>KF-M09-R0-PA-0047</t>
  </si>
  <si>
    <t>KF-M09-R0-PA-0048</t>
  </si>
  <si>
    <t>KF-M09-R0-PA-0049</t>
  </si>
  <si>
    <t>KF-M09-R0-PA-0050</t>
  </si>
  <si>
    <t>KF-M09-R0-PA-0051</t>
  </si>
  <si>
    <t>KF-M09-R0-PA-0052</t>
  </si>
  <si>
    <t>KF-M09-R0-PA-0053</t>
  </si>
  <si>
    <t>KF-M09-R0-PA-0054</t>
  </si>
  <si>
    <t>KF-M09-R0-PA-0055</t>
  </si>
  <si>
    <t>KF-M09-R0-PA-0056</t>
  </si>
  <si>
    <t>KF-M09-R0-PA-0057</t>
  </si>
  <si>
    <t>KF-M09-R0-PA-0058</t>
  </si>
  <si>
    <t>KF-M09-R0-PA-0059</t>
  </si>
  <si>
    <t>KF-M09-R0-PA-0060</t>
  </si>
  <si>
    <t>KF-M09-R0-PA-0061</t>
  </si>
  <si>
    <t>KF-M09-R0-PA-0062</t>
  </si>
  <si>
    <t>KF-M09-R0-PA-0063</t>
  </si>
  <si>
    <t>KF-M09-R0-PA-0064</t>
  </si>
  <si>
    <t>KF-M09-R0-PA-0065</t>
  </si>
  <si>
    <t>KF-M09-R0-PA-0066</t>
  </si>
  <si>
    <t>KF-M09-R0-PA-0067</t>
  </si>
  <si>
    <t>KF-M09-R0-PA-0068</t>
  </si>
  <si>
    <t>KF-M09-R0-PA-0069</t>
  </si>
  <si>
    <t>KF-M09-R0-PA-0070</t>
  </si>
  <si>
    <t>KF-M09-R0-PA-0071</t>
  </si>
  <si>
    <t>KF-M09-R0-PA-0072</t>
  </si>
  <si>
    <t>KF-M09-R0-PA-0073</t>
  </si>
  <si>
    <t>KF-M09-R0-PA-0074</t>
  </si>
  <si>
    <t>KF-M09-R0-PA-0075</t>
  </si>
  <si>
    <t>KF-M09-R0-PA-0076</t>
  </si>
  <si>
    <t>KF-M09-R0-PA-0077</t>
  </si>
  <si>
    <t>KF-M09-R0-PA-0078</t>
  </si>
  <si>
    <t>KF-M09-R0-PA-0079</t>
  </si>
  <si>
    <t>KF-M09-R0-PA-0080</t>
  </si>
  <si>
    <t>KF-M09-R0-PA-0081</t>
  </si>
  <si>
    <t>KF-M09-R0-PA-0082</t>
  </si>
  <si>
    <t>KF-M09-R0-PA-0083</t>
  </si>
  <si>
    <t>KF-M09-R0-PA-0084</t>
  </si>
  <si>
    <t>KF-M09-R0-PA-0085</t>
  </si>
  <si>
    <t>KF-M09-R0-PA-0086</t>
  </si>
  <si>
    <t>KF-M09-R0-PA-0087</t>
  </si>
  <si>
    <t>KF-M09-R0-PA-0088</t>
  </si>
  <si>
    <t>KF-M09-R0-PA-0089</t>
  </si>
  <si>
    <t>KF-M09-R0-PA-0090</t>
  </si>
  <si>
    <t>KF-M09-R0-PA-0091</t>
  </si>
  <si>
    <t>KF-M09-R0-PA-0092</t>
  </si>
  <si>
    <t>KF-M09-R0-PA-0093</t>
  </si>
  <si>
    <t>KF-M09-R0-PA-0094</t>
  </si>
  <si>
    <t>KF-M09-R0-PA-0095</t>
  </si>
  <si>
    <t>KF-M09-R0-PA-0096</t>
  </si>
  <si>
    <t>KF-M09-R0-PA-0097</t>
  </si>
  <si>
    <t>KF-M09-R0-PA-0098</t>
  </si>
  <si>
    <t>KF-M09-R0-PB-0000</t>
  </si>
  <si>
    <t>B13-PB</t>
  </si>
  <si>
    <t>KF-M09-R0-PA-0099</t>
  </si>
  <si>
    <t>KF-M09-R0-PB-0001</t>
  </si>
  <si>
    <t>KF-M09-R0-PB-0002</t>
  </si>
  <si>
    <t>KF-M09-R0-PB-0003</t>
  </si>
  <si>
    <t>KF-M09-R0-PB-0004</t>
  </si>
  <si>
    <t>KF-M09-R0-PB-0005</t>
  </si>
  <si>
    <t>KF-M09-R0-PB-0006</t>
  </si>
  <si>
    <t>KF-M09-R0-PB-0007</t>
  </si>
  <si>
    <t>KF-M09-R0-PB-0008</t>
  </si>
  <si>
    <t>KF-M09-R0-PB-0009</t>
  </si>
  <si>
    <t>KF-M09-R0-PB-0010</t>
  </si>
  <si>
    <t>KF-M09-R0-PB-0011</t>
  </si>
  <si>
    <t>KF-M09-R0-PB-0012</t>
  </si>
  <si>
    <t>KF-M09-R0-PB-0013</t>
  </si>
  <si>
    <t>KF-M09-R0-PB-0014</t>
  </si>
  <si>
    <t>KF-M09-R0-PB-0015</t>
  </si>
  <si>
    <t>KF-M09-R0-PB-0016</t>
  </si>
  <si>
    <t>KF-M09-R0-PB-0017</t>
  </si>
  <si>
    <t>KF-M09-R0-PB-0018</t>
  </si>
  <si>
    <t>KF-M09-R0-PB-0019</t>
  </si>
  <si>
    <t>KF-M09-R0-PB-0020</t>
  </si>
  <si>
    <t>KF-M09-R0-PB-0021</t>
  </si>
  <si>
    <t>KF-M09-R0-PB-0022</t>
  </si>
  <si>
    <t>KF-M09-R0-PB-0023</t>
  </si>
  <si>
    <t>KF-M09-R0-PB-0024</t>
  </si>
  <si>
    <t>KF-M09-R0-PB-0025</t>
  </si>
  <si>
    <t>KF-M09-R0-PB-0026</t>
  </si>
  <si>
    <t>KF-M09-R0-PB-0027</t>
  </si>
  <si>
    <t>KF-M09-R0-PB-0028</t>
  </si>
  <si>
    <t>KF-M09-R0-PB-0029</t>
  </si>
  <si>
    <t>KF-M09-R0-PB-0030</t>
  </si>
  <si>
    <t>KF-M09-R0-PB-0031</t>
  </si>
  <si>
    <t>KF-M09-R0-PB-0032</t>
  </si>
  <si>
    <t>KF-M09-R0-PB-0033</t>
  </si>
  <si>
    <t>KF-M09-R0-PB-0034</t>
  </si>
  <si>
    <t>KF-M09-R0-PB-0035</t>
  </si>
  <si>
    <t>KF-M09-R0-PB-0036</t>
  </si>
  <si>
    <t>KF-M09-R0-PB-0037</t>
  </si>
  <si>
    <t>KF-M09-R0-PB-0038</t>
  </si>
  <si>
    <t>KF-M09-R0-PB-0039</t>
  </si>
  <si>
    <t>KF-M09-R0-PB-0040</t>
  </si>
  <si>
    <t>KF-M09-R0-PB-0041</t>
  </si>
  <si>
    <t>KF-M09-R0-PB-0042</t>
  </si>
  <si>
    <t>KF-M09-R0-PB-0043</t>
  </si>
  <si>
    <t>KF-M09-R0-PB-0044</t>
  </si>
  <si>
    <t>KF-M09-R0-PB-0045</t>
  </si>
  <si>
    <t>KF-M09-R0-PB-0046</t>
  </si>
  <si>
    <t>KF-M09-R0-PB-0047</t>
  </si>
  <si>
    <t>KF-M09-R0-PB-0048</t>
  </si>
  <si>
    <t>KF-M09-R0-PB-0049</t>
  </si>
  <si>
    <t>KF-M09-R0-PB-0050</t>
  </si>
  <si>
    <t>KF-M09-R0-PB-0051</t>
  </si>
  <si>
    <t>KF-M09-R0-PB-0052</t>
  </si>
  <si>
    <t>KF-M09-R0-PB-0053</t>
  </si>
  <si>
    <t>KF-M09-R0-PB-0054</t>
  </si>
  <si>
    <t>KF-M09-R0-PB-0055</t>
  </si>
  <si>
    <t>KF-M09-R0-PB-0056</t>
  </si>
  <si>
    <t>KF-M09-R0-PB-0057</t>
  </si>
  <si>
    <t>KF-M09-R0-PB-0058</t>
  </si>
  <si>
    <t>KF-M09-R0-PB-0059</t>
  </si>
  <si>
    <t>KF-M09-R0-PB-0060</t>
  </si>
  <si>
    <t>KF-M09-R0-PB-0061</t>
  </si>
  <si>
    <t>KF-M09-R0-PB-0062</t>
  </si>
  <si>
    <t>KF-M09-R0-PB-0063</t>
  </si>
  <si>
    <t>KF-M09-R0-PB-0064</t>
  </si>
  <si>
    <t>KF-M09-R0-PB-0065</t>
  </si>
  <si>
    <t>KF-M09-R0-PB-0066</t>
  </si>
  <si>
    <t>KF-M09-R0-PB-0067</t>
  </si>
  <si>
    <t>KF-M09-R0-PB-0068</t>
  </si>
  <si>
    <t>KF-M09-R0-PB-0069</t>
  </si>
  <si>
    <t>KF-M09-R0-PB-0070</t>
  </si>
  <si>
    <t>KF-M09-R0-PB-0071</t>
  </si>
  <si>
    <t>KF-M09-R0-PB-0072</t>
  </si>
  <si>
    <t>KF-M09-R0-PB-0073</t>
  </si>
  <si>
    <t>KF-M09-R0-PB-0074</t>
  </si>
  <si>
    <t>KF-M09-R0-PB-0075</t>
  </si>
  <si>
    <t>KF-M09-R0-PB-0076</t>
  </si>
  <si>
    <t>KF-M09-R0-PB-0077</t>
  </si>
  <si>
    <t>KF-M09-R0-PB-0078</t>
  </si>
  <si>
    <t>KF-M09-R0-PB-0079</t>
  </si>
  <si>
    <t>KF-M09-R0-PB-0080</t>
  </si>
  <si>
    <t>KF-M09-R0-PB-0081</t>
  </si>
  <si>
    <t>KF-M09-R0-PB-0082</t>
  </si>
  <si>
    <t>KF-M09-R0-PB-0083</t>
  </si>
  <si>
    <t>KF-M09-R0-PB-0084</t>
  </si>
  <si>
    <t>KF-M09-R0-PB-0085</t>
  </si>
  <si>
    <t>KF-M09-R0-PB-0086</t>
  </si>
  <si>
    <t>KF-M09-R0-PB-0087</t>
  </si>
  <si>
    <t>KF-M09-R0-PB-0088</t>
  </si>
  <si>
    <t>KF-M09-R0-PB-0089</t>
  </si>
  <si>
    <t>KF-M09-R0-PB-0090</t>
  </si>
  <si>
    <t>KF-M09-R0-PB-0091</t>
  </si>
  <si>
    <t>KF-M09-R0-PB-0092</t>
  </si>
  <si>
    <t>KF-M09-R0-PB-0093</t>
  </si>
  <si>
    <t>KF-M09-R0-PB-0094</t>
  </si>
  <si>
    <t>KF-M09-R0-PB-0095</t>
  </si>
  <si>
    <t>KF-M09-R0-PB-0096</t>
  </si>
  <si>
    <t>KF-M09-R0-PB-0097</t>
  </si>
  <si>
    <t>KF-M09-R0-TS-0000</t>
  </si>
  <si>
    <t>B13-TS</t>
  </si>
  <si>
    <t>KF-M09-R0-TS-0001</t>
  </si>
  <si>
    <t>KF-M09-R0-TS-0002</t>
  </si>
  <si>
    <t>KF-M09-R0-TS-0003</t>
  </si>
  <si>
    <t>KF-M09-R0-TS-0004</t>
  </si>
  <si>
    <t>KF-M09-R0-PB-0098</t>
  </si>
  <si>
    <t>KF-M09-R0-TS-0005</t>
  </si>
  <si>
    <t>KF-M09-R0-TS-0006</t>
  </si>
  <si>
    <t>KF-M09-R0-TS-0007</t>
  </si>
  <si>
    <t>KF-M09-R0-TS-0008</t>
  </si>
  <si>
    <t>KF-M09-R0-TS-0009</t>
  </si>
  <si>
    <t>KF-M09-R0-TS-0010</t>
  </si>
  <si>
    <t>KF-M09-R0-TS-0011</t>
  </si>
  <si>
    <t>KF-M09-R0-PB-0099</t>
  </si>
  <si>
    <t>KF-M09-R0-TS-0012</t>
  </si>
  <si>
    <t>KF-M09-R0-TS-0013</t>
  </si>
  <si>
    <t>KF-M09-R0-TS-0014</t>
  </si>
  <si>
    <t>KF-M09-R0-TS-0015</t>
  </si>
  <si>
    <t>KF-M09-R0-TS-0016</t>
  </si>
  <si>
    <t>KF-M09-R0-TS-0017</t>
  </si>
  <si>
    <t>KF-M09-R0-TS-0018</t>
  </si>
  <si>
    <t>KF-M09-R0-TS-0019</t>
  </si>
  <si>
    <t>KF-M09-R0-TS-0020</t>
  </si>
  <si>
    <t>KF-M09-R0-TS-0021</t>
  </si>
  <si>
    <t>KF-M09-R0-TS-0022</t>
  </si>
  <si>
    <t>KF-M09-R0-TS-0023</t>
  </si>
  <si>
    <t>KF-M09-R0-TS-0024</t>
  </si>
  <si>
    <t>KF-M09-R0-TS-0025</t>
  </si>
  <si>
    <t>KF-M09-R0-TS-0026</t>
  </si>
  <si>
    <t>KF-M09-R0-TS-0027</t>
  </si>
  <si>
    <t>KF-M09-R0-TS-0028</t>
  </si>
  <si>
    <t>KF-M09-R0-TS-0029</t>
  </si>
  <si>
    <t>KF-M09-R0-TS-0030</t>
  </si>
  <si>
    <t>KF-M09-R0-TS-0031</t>
  </si>
  <si>
    <t>KF-M09-R0-TS-0032</t>
  </si>
  <si>
    <t>KF-M09-R0-TS-0033</t>
  </si>
  <si>
    <t>KF-M09-R0-TS-0034</t>
  </si>
  <si>
    <t>KF-M09-R0-TS-0035</t>
  </si>
  <si>
    <t>KF-M09-R0-TS-0036</t>
  </si>
  <si>
    <t>KF-M09-R0-TS-0037</t>
  </si>
  <si>
    <t>KF-M09-R0-TS-0038</t>
  </si>
  <si>
    <t>KF-M09-R0-TS-0039</t>
  </si>
  <si>
    <t>KF-M09-R0-TS-0040</t>
  </si>
  <si>
    <t>KF-M09-R0-TS-0041</t>
  </si>
  <si>
    <t>KF-M09-R0-TS-0042</t>
  </si>
  <si>
    <t>KF-M09-R0-TS-0043</t>
  </si>
  <si>
    <t>KF-M09-R0-TS-0044</t>
  </si>
  <si>
    <t>KF-M09-R0-TS-0045</t>
  </si>
  <si>
    <t>KF-M09-R0-TS-0046</t>
  </si>
  <si>
    <t>KF-M09-R0-TS-0047</t>
  </si>
  <si>
    <t>KF-M09-R0-TS-0048</t>
  </si>
  <si>
    <t>KF-M09-R0-TS-0049</t>
  </si>
  <si>
    <t>KF-M09-R0-TS-0050</t>
  </si>
  <si>
    <t>KF-M09-R0-TS-0051</t>
  </si>
  <si>
    <t>KF-M09-R0-TS-0052</t>
  </si>
  <si>
    <t>KF-M09-R0-TS-0053</t>
  </si>
  <si>
    <t>KF-M09-R0-TS-0054</t>
  </si>
  <si>
    <t>KF-M09-R0-TS-0055</t>
  </si>
  <si>
    <t>KF-M09-R0-TS-0056</t>
  </si>
  <si>
    <t>KF-M09-R0-TS-0057</t>
  </si>
  <si>
    <t>KF-M09-R0-TS-0058</t>
  </si>
  <si>
    <t>KF-M09-R0-TS-0059</t>
  </si>
  <si>
    <t>KF-M09-R0-TS-0060</t>
  </si>
  <si>
    <t>KF-M09-R0-TS-0061</t>
  </si>
  <si>
    <t>KF-M09-R0-TS-0062</t>
  </si>
  <si>
    <t>KF-M09-R0-TS-0063</t>
  </si>
  <si>
    <t>KF-M09-R0-TS-0064</t>
  </si>
  <si>
    <t>KF-M09-R0-TS-0065</t>
  </si>
  <si>
    <t>KF-M09-R0-TS-0066</t>
  </si>
  <si>
    <t>KF-M09-R0-TS-0067</t>
  </si>
  <si>
    <t>KF-M09-R0-TS-0068</t>
  </si>
  <si>
    <t>KF-M09-R0-TS-0069</t>
  </si>
  <si>
    <t>KF-M09-R0-TS-0070</t>
  </si>
  <si>
    <t>KF-M09-R0-TS-0071</t>
  </si>
  <si>
    <t>KF-M09-R0-TS-0072</t>
  </si>
  <si>
    <t>KF-M09-R0-TS-0073</t>
  </si>
  <si>
    <t>KF-M09-R0-TS-0074</t>
  </si>
  <si>
    <t>KF-M09-R0-TS-0075</t>
  </si>
  <si>
    <t>KF-M09-R0-TS-0076</t>
  </si>
  <si>
    <t>KF-M09-R0-TS-0077</t>
  </si>
  <si>
    <t>KF-M09-R0-TS-0078</t>
  </si>
  <si>
    <t>KF-M09-R0-TS-0079</t>
  </si>
  <si>
    <t>KF-M09-R0-TS-0080</t>
  </si>
  <si>
    <t>KF-M09-R0-TS-0081</t>
  </si>
  <si>
    <t>KF-M09-R0-TS-0082</t>
  </si>
  <si>
    <t>KF-M09-R0-TS-0083</t>
  </si>
  <si>
    <t>KF-M09-R0-TS-0084</t>
  </si>
  <si>
    <t>KF-M09-R0-TS-0085</t>
  </si>
  <si>
    <t>KF-M09-R0-TS-0086</t>
  </si>
  <si>
    <t>KF-M09-R0-TS-0087</t>
  </si>
  <si>
    <t>KF-M09-R0-TS-0088</t>
  </si>
  <si>
    <t>KF-M09-R0-TS-0089</t>
  </si>
  <si>
    <t>KF-M09-R0-TS-0090</t>
  </si>
  <si>
    <t>KF-M09-R0-TS-0091</t>
  </si>
  <si>
    <t>KF-M09-R0-TS-0092</t>
  </si>
  <si>
    <t>KF-M09-R0-TS-0093</t>
  </si>
  <si>
    <t>KF-M09-R0-TS-0094</t>
  </si>
  <si>
    <t>KF-M09-R0-TS-0095</t>
  </si>
  <si>
    <t>KF-M09-R0-TS-0096</t>
  </si>
  <si>
    <t>KF-M09-R0-TS-0097</t>
  </si>
  <si>
    <t>KF-M09-R0-TS-0098</t>
  </si>
  <si>
    <t>KF-M09-R0-XB-0000</t>
  </si>
  <si>
    <t>B13-XB</t>
  </si>
  <si>
    <t>KF-M09-R0-TS-0099</t>
  </si>
  <si>
    <t>KF-M09-R0-XB-0001</t>
  </si>
  <si>
    <t>KF-M09-R0-XB-0002</t>
  </si>
  <si>
    <t>KF-M09-R0-XB-0003</t>
  </si>
  <si>
    <t>KF-M09-R0-XB-0004</t>
  </si>
  <si>
    <t>KF-M09-R0-XB-0005</t>
  </si>
  <si>
    <t>KF-M09-R0-XB-0006</t>
  </si>
  <si>
    <t>KF-M09-R0-XB-0007</t>
  </si>
  <si>
    <t>KF-M09-R0-XB-0008</t>
  </si>
  <si>
    <t>KF-M09-R0-XB-0009</t>
  </si>
  <si>
    <t>KF-M09-R0-XB-0010</t>
  </si>
  <si>
    <t>KF-M09-R0-XB-0011</t>
  </si>
  <si>
    <t>KF-M09-R0-XB-0012</t>
  </si>
  <si>
    <t>KF-M09-R0-XB-0013</t>
  </si>
  <si>
    <t>KF-M09-R0-XB-0014</t>
  </si>
  <si>
    <t>KF-M09-R0-XB-0015</t>
  </si>
  <si>
    <t>KF-M09-R0-XB-0016</t>
  </si>
  <si>
    <t>KF-M09-R0-XB-0017</t>
  </si>
  <si>
    <t>KF-M09-R0-XB-0018</t>
  </si>
  <si>
    <t>KF-M09-R0-XB-0019</t>
  </si>
  <si>
    <t>KF-M09-R0-XB-0020</t>
  </si>
  <si>
    <t>KF-M09-R0-XB-0021</t>
  </si>
  <si>
    <t>KF-M09-R0-XB-0022</t>
  </si>
  <si>
    <t>KF-M09-R0-XB-0023</t>
  </si>
  <si>
    <t>KF-M09-R0-XB-0024</t>
  </si>
  <si>
    <t>KF-M09-R0-XB-0025</t>
  </si>
  <si>
    <t>KF-M09-R0-XB-0026</t>
  </si>
  <si>
    <t>KF-M09-R0-XB-0027</t>
  </si>
  <si>
    <t>KF-M09-R0-XB-0028</t>
  </si>
  <si>
    <t>KF-M09-R0-XB-0029</t>
  </si>
  <si>
    <t>KF-M09-R0-XB-0030</t>
  </si>
  <si>
    <t>KF-M09-R0-XB-0031</t>
  </si>
  <si>
    <t>KF-M09-R0-XB-0032</t>
  </si>
  <si>
    <t>KF-M09-R0-XB-0033</t>
  </si>
  <si>
    <t>KF-M09-R0-XB-0034</t>
  </si>
  <si>
    <t>KF-M09-R0-XB-0035</t>
  </si>
  <si>
    <t>KF-M09-R0-XB-0036</t>
  </si>
  <si>
    <t>KF-M09-R0-XB-0037</t>
  </si>
  <si>
    <t>KF-M09-R0-XB-0038</t>
  </si>
  <si>
    <t>KF-M09-R0-XB-0039</t>
  </si>
  <si>
    <t>KF-M09-R0-XB-0040</t>
  </si>
  <si>
    <t>KF-M09-R0-XB-0041</t>
  </si>
  <si>
    <t>KF-M09-R0-XB-0042</t>
  </si>
  <si>
    <t>KF-M09-R0-XB-0043</t>
  </si>
  <si>
    <t>KF-M09-R0-XB-0044</t>
  </si>
  <si>
    <t>KF-M09-R0-XB-0045</t>
  </si>
  <si>
    <t>KF-M09-R0-XB-0046</t>
  </si>
  <si>
    <t>KF-M09-R0-XB-0047</t>
  </si>
  <si>
    <t>KF-M09-R0-XB-0048</t>
  </si>
  <si>
    <t>KF-M09-R0-XB-0049</t>
  </si>
  <si>
    <t>KF-M09-R0-XB-0050</t>
  </si>
  <si>
    <t>KF-M09-R0-XB-0051</t>
  </si>
  <si>
    <t>KF-M09-R0-XB-0052</t>
  </si>
  <si>
    <t>KF-M09-R0-XB-0053</t>
  </si>
  <si>
    <t>KF-M09-R0-XB-0054</t>
  </si>
  <si>
    <t>KF-M09-R0-XB-0055</t>
  </si>
  <si>
    <t>KF-M09-R0-XB-0056</t>
  </si>
  <si>
    <t>KF-M09-R0-XB-0057</t>
  </si>
  <si>
    <t>KF-M09-R0-XB-0058</t>
  </si>
  <si>
    <t>KF-M09-R0-XB-0059</t>
  </si>
  <si>
    <t>KF-M09-R0-XB-0060</t>
  </si>
  <si>
    <t>KF-M09-R0-XB-0061</t>
  </si>
  <si>
    <t>KF-M09-R0-XB-0062</t>
  </si>
  <si>
    <t>KF-M09-R0-XB-0063</t>
  </si>
  <si>
    <t>KF-M09-R0-XB-0064</t>
  </si>
  <si>
    <t>KF-M09-R0-XB-0065</t>
  </si>
  <si>
    <t>KF-M09-R0-XB-0066</t>
  </si>
  <si>
    <t>KF-M09-R0-XB-0067</t>
  </si>
  <si>
    <t>KF-M09-R0-XB-0068</t>
  </si>
  <si>
    <t>KF-M09-R0-XB-0069</t>
  </si>
  <si>
    <t>KF-M09-R0-XB-0070</t>
  </si>
  <si>
    <t>KF-M09-R0-XB-0071</t>
  </si>
  <si>
    <t>KF-M09-R0-XB-0072</t>
  </si>
  <si>
    <t>KF-M09-R0-XB-0073</t>
  </si>
  <si>
    <t>KF-M09-R0-XB-0074</t>
  </si>
  <si>
    <t>KF-M09-R0-XB-0075</t>
  </si>
  <si>
    <t>KF-M09-R0-XB-0076</t>
  </si>
  <si>
    <t>KF-M09-R0-XB-0077</t>
  </si>
  <si>
    <t>KF-M09-R0-XB-0078</t>
  </si>
  <si>
    <t>KF-M09-R0-XB-0079</t>
  </si>
  <si>
    <t>KF-M09-R0-XB-0080</t>
  </si>
  <si>
    <t>KF-M09-R0-XB-0081</t>
  </si>
  <si>
    <t>KF-M09-R0-XB-0082</t>
  </si>
  <si>
    <t>KF-M09-R0-XB-0083</t>
  </si>
  <si>
    <t>KF-M09-R0-XB-0084</t>
  </si>
  <si>
    <t>KF-M09-R0-XB-0085</t>
  </si>
  <si>
    <t>KF-M09-R0-XB-0086</t>
  </si>
  <si>
    <t>KF-M09-R0-XB-0087</t>
  </si>
  <si>
    <t>KF-M09-R0-XB-0088</t>
  </si>
  <si>
    <t>KF-M09-R0-XB-0089</t>
  </si>
  <si>
    <t>KF-M09-R0-XB-0090</t>
  </si>
  <si>
    <t>KF-M09-R0-XB-0091</t>
  </si>
  <si>
    <t>KF-M09-R0-XB-0092</t>
  </si>
  <si>
    <t>KF-M09-R0-XB-0093</t>
  </si>
  <si>
    <t>KF-M09-R0-XB-0094</t>
  </si>
  <si>
    <t>KF-M09-R0-XB-0095</t>
  </si>
  <si>
    <t>KF-M09-R0-XB-0096</t>
  </si>
  <si>
    <t>KF-M09-R0-XB-0097</t>
  </si>
  <si>
    <t>KF-M09-R0-XB-0098</t>
  </si>
  <si>
    <t>KF-M09-R0-XB-0099</t>
  </si>
  <si>
    <t>KF-M09-R1-XB_TF-0000</t>
  </si>
  <si>
    <t>B13-XB_TF</t>
  </si>
  <si>
    <t>KF-M09-R1-XB_TF-0001</t>
  </si>
  <si>
    <t>KF-M09-R1-XB_TF-0002</t>
  </si>
  <si>
    <t>KF-M09-R1-XB_TF-0003</t>
  </si>
  <si>
    <t>KF-M09-R1-XB_TF-0004</t>
  </si>
  <si>
    <t>KF-M09-R1-XB_TF-0005</t>
  </si>
  <si>
    <t>KF-M09-R1-XB_TF-0006</t>
  </si>
  <si>
    <t>KF-M09-R1-XB_TF-0007</t>
  </si>
  <si>
    <t>KF-M09-R1-XB_TF-0008</t>
  </si>
  <si>
    <t>KF-M09-R1-XB_TF-0009</t>
  </si>
  <si>
    <t>KF-M09-R1-XB_TF-0010</t>
  </si>
  <si>
    <t>KF-M09-R1-XB_TF-0011</t>
  </si>
  <si>
    <t>KF-M09-R1-XB_TF-0012</t>
  </si>
  <si>
    <t>KF-M09-R1-XB_TF-0013</t>
  </si>
  <si>
    <t>KF-M09-R1-XB_TF-0014</t>
  </si>
  <si>
    <t>KF-M09-R1-XB_TF-0015</t>
  </si>
  <si>
    <t>KF-M09-R1-XB_TF-0016</t>
  </si>
  <si>
    <t>KF-M09-R1-XB_TF-0017</t>
  </si>
  <si>
    <t>KF-M09-R1-XB_TF-0018</t>
  </si>
  <si>
    <t>KF-M09-R1-XB_TF-0019</t>
  </si>
  <si>
    <t>KF-M09-R1-XB_TF-0020</t>
  </si>
  <si>
    <t>KF-M09-R1-XB_TF-0021</t>
  </si>
  <si>
    <t>KF-M09-R1-XB_TF-0022</t>
  </si>
  <si>
    <t>KF-M09-R1-XB_TF-0023</t>
  </si>
  <si>
    <t>KF-M09-R1-XB_TF-0024</t>
  </si>
  <si>
    <t>KF-M09-R1-XB_TF-0025</t>
  </si>
  <si>
    <t>KF-M09-R1-XB_TF-0026</t>
  </si>
  <si>
    <t>KF-M09-R1-XB_TF-0027</t>
  </si>
  <si>
    <t>KF-M09-R1-XB_TF-0028</t>
  </si>
  <si>
    <t>KF-M09-R1-XB_TF-0029</t>
  </si>
  <si>
    <t>KF-M09-R1-XB_EF-0000</t>
  </si>
  <si>
    <t>B13-XB_EF</t>
  </si>
  <si>
    <t>KF-M09-R1-XB_EF-0001</t>
  </si>
  <si>
    <t>KF-M09-R1-XB_EF-0002</t>
  </si>
  <si>
    <t>KF-M09-R1-XB_EF-0003</t>
  </si>
  <si>
    <t>KF-M09-R1-XB_EF-0004</t>
  </si>
  <si>
    <t>KF-M09-R1-XB_EF-0005</t>
  </si>
  <si>
    <t>KF-M09-R1-XB_EF-0006</t>
  </si>
  <si>
    <t>KF-M09-R1-XB_EF-0007</t>
  </si>
  <si>
    <t>KF-M09-R1-XB_EF-0008</t>
  </si>
  <si>
    <t>KF-M09-R1-XB_EF-0009</t>
  </si>
  <si>
    <t>KF-M09-R1-XB_EF-0010</t>
  </si>
  <si>
    <t>KF-M09-R1-XB_EF-0011</t>
  </si>
  <si>
    <t>KF-M09-R1-XB_EF-0012</t>
  </si>
  <si>
    <t>KF-M09-R1-XB_EF-0013</t>
  </si>
  <si>
    <t>KF-M09-R1-XB_EF-0014</t>
  </si>
  <si>
    <t>KF-M09-R1-XB_EF-0015</t>
  </si>
  <si>
    <t>KF-M09-R1-XB_EF-0016</t>
  </si>
  <si>
    <t>KF-M09-R1-XB_EF-0017</t>
  </si>
  <si>
    <t>KF-M09-R1-XB_EF-0018</t>
  </si>
  <si>
    <t>KF-M09-R1-XB_EF-0019</t>
  </si>
  <si>
    <t>KF-M09-R1-XB_EF-0020</t>
  </si>
  <si>
    <t>KF-M09-R1-XB_EF-0021</t>
  </si>
  <si>
    <t>KF-M09-R1-XB_EF-0022</t>
  </si>
  <si>
    <t>KF-M09-R1-XB_EF-0023</t>
  </si>
  <si>
    <t>KF-M09-R1-XB_EF-0024</t>
  </si>
  <si>
    <t>KF-M09-R1-XB_EF-0025</t>
  </si>
  <si>
    <t>KF-M09-R1-XB_EF-0026</t>
  </si>
  <si>
    <t>KF-M09-R1-XB_EF-0027</t>
  </si>
  <si>
    <t>KF-M09-R1-XB_EF-0028</t>
  </si>
  <si>
    <t>KF-M09-R1-XB_EF-0029</t>
  </si>
  <si>
    <t>KF-M09-R1-XB_PA-0000</t>
  </si>
  <si>
    <t>B13-XB_PA</t>
  </si>
  <si>
    <t>KF-M09-R1-XB_PA-0001</t>
  </si>
  <si>
    <t>KF-M09-R1-XB_PA-0002</t>
  </si>
  <si>
    <t>KF-M09-R1-XB_PA-0003</t>
  </si>
  <si>
    <t>KF-M09-R1-XB_PA-0004</t>
  </si>
  <si>
    <t>KF-M09-R1-XB_PA-0005</t>
  </si>
  <si>
    <t>KF-M09-R1-XB_PA-0006</t>
  </si>
  <si>
    <t>KF-M09-R1-XB_PA-0007</t>
  </si>
  <si>
    <t>KF-M09-R1-XB_PA-0008</t>
  </si>
  <si>
    <t>KF-M09-R1-XB_PA-0009</t>
  </si>
  <si>
    <t>KF-M09-R1-XB_PA-0010</t>
  </si>
  <si>
    <t>KF-M09-R1-XB_PA-0011</t>
  </si>
  <si>
    <t>KF-M09-R1-XB_PA-0012</t>
  </si>
  <si>
    <t>KF-M09-R1-XB_PA-0013</t>
  </si>
  <si>
    <t>KF-M09-R1-XB_PA-0014</t>
  </si>
  <si>
    <t>KF-M09-R1-XB_PA-0015</t>
  </si>
  <si>
    <t>KF-M09-R1-XB_PA-0016</t>
  </si>
  <si>
    <t>KF-M09-R1-XB_PA-0017</t>
  </si>
  <si>
    <t>KF-M09-R1-XB_PA-0018</t>
  </si>
  <si>
    <t>KF-M09-R1-XB_PA-0019</t>
  </si>
  <si>
    <t>KF-M09-R1-XB_PA-0020</t>
  </si>
  <si>
    <t>KF-M09-R1-XB_PA-0021</t>
  </si>
  <si>
    <t>KF-M09-R1-XB_PA-0022</t>
  </si>
  <si>
    <t>KF-M09-R1-XB_PA-0023</t>
  </si>
  <si>
    <t>KF-M09-R1-XB_PA-0024</t>
  </si>
  <si>
    <t>KF-M09-R1-XB_PA-0025</t>
  </si>
  <si>
    <t>KF-M09-R1-XB_PA-0026</t>
  </si>
  <si>
    <t>KF-M09-R1-XB_PA-0027</t>
  </si>
  <si>
    <t>KF-M09-R1-XB_PA-0028</t>
  </si>
  <si>
    <t>KF-M09-R1-XB_PA-0029</t>
  </si>
  <si>
    <t>KF-M09-R1-XB_PB-0000</t>
  </si>
  <si>
    <t>B13-XB_PB</t>
  </si>
  <si>
    <t>KF-M09-R1-XB_PB-0001</t>
  </si>
  <si>
    <t>KF-M09-R1-XB_PB-0002</t>
  </si>
  <si>
    <t>KF-M09-R1-XB_PB-0003</t>
  </si>
  <si>
    <t>KF-M09-R1-XB_PB-0004</t>
  </si>
  <si>
    <t>KF-M09-R1-XB_PB-0005</t>
  </si>
  <si>
    <t>KF-M09-R1-XB_PB-0006</t>
  </si>
  <si>
    <t>KF-M09-R1-XB_PB-0007</t>
  </si>
  <si>
    <t>KF-M09-R1-XB_PB-0008</t>
  </si>
  <si>
    <t>KF-M09-R1-XB_PB-0009</t>
  </si>
  <si>
    <t>KF-M09-R1-XB_PB-0010</t>
  </si>
  <si>
    <t>KF-M09-R1-XB_PB-0011</t>
  </si>
  <si>
    <t>KF-M09-R1-XB_PB-0012</t>
  </si>
  <si>
    <t>KF-M09-R1-XB_PB-0013</t>
  </si>
  <si>
    <t>KF-M09-R1-XB_PB-0014</t>
  </si>
  <si>
    <t>KF-M09-R1-XB_PB-0015</t>
  </si>
  <si>
    <t>KF-M09-R1-XB_PB-0016</t>
  </si>
  <si>
    <t>KF-M09-R1-XB_PB-0017</t>
  </si>
  <si>
    <t>KF-M09-R1-XB_PB-0018</t>
  </si>
  <si>
    <t>KF-M09-R1-XB_PB-0019</t>
  </si>
  <si>
    <t>KF-M09-R1-XB_PB-0020</t>
  </si>
  <si>
    <t>KF-M09-R1-XB_PB-0021</t>
  </si>
  <si>
    <t>KF-M09-R1-XB_PB-0022</t>
  </si>
  <si>
    <t>KF-M09-R1-XB_PB-0023</t>
  </si>
  <si>
    <t>KF-M09-R1-XB_PB-0024</t>
  </si>
  <si>
    <t>KF-M09-R1-XB_PB-0025</t>
  </si>
  <si>
    <t>KF-M09-R1-XB_PB-0026</t>
  </si>
  <si>
    <t>KF-M09-R1-XB_PB-0027</t>
  </si>
  <si>
    <t>KF-M09-R1-XB_PB-0028</t>
  </si>
  <si>
    <t>KF-M09-R1-XB_PB-0029</t>
  </si>
  <si>
    <t>KF-M09-R1-XB_TS-0000</t>
  </si>
  <si>
    <t>B13-XB_TS</t>
  </si>
  <si>
    <t>KF-M09-R1-XB_TS-0001</t>
  </si>
  <si>
    <t>KF-M09-R1-XB_TS-0002</t>
  </si>
  <si>
    <t>KF-M09-R1-XB_TS-0003</t>
  </si>
  <si>
    <t>KF-M09-R1-XB_TS-0004</t>
  </si>
  <si>
    <t>KF-M09-R1-XB_TS-0005</t>
  </si>
  <si>
    <t>KF-M09-R1-XB_TS-0006</t>
  </si>
  <si>
    <t>KF-M09-R1-XB_TS-0007</t>
  </si>
  <si>
    <t>KF-M09-R1-XB_TS-0008</t>
  </si>
  <si>
    <t>KF-M09-R1-XB_TS-0009</t>
  </si>
  <si>
    <t>KF-M09-R1-XB_TS-0010</t>
  </si>
  <si>
    <t>KF-M09-R1-XB_TS-0011</t>
  </si>
  <si>
    <t>KF-M09-R1-XB_TS-0012</t>
  </si>
  <si>
    <t>KF-M09-R1-XB_TS-0013</t>
  </si>
  <si>
    <t>KF-M09-R1-XB_TS-0014</t>
  </si>
  <si>
    <t>KF-M09-R1-XB_TS-0015</t>
  </si>
  <si>
    <t>KF-M09-R1-XB_TS-0016</t>
  </si>
  <si>
    <t>KF-M09-R1-XB_TS-0017</t>
  </si>
  <si>
    <t>KF-M09-R1-XB_TS-0018</t>
  </si>
  <si>
    <t>KF-M09-R1-XB_TS-0019</t>
  </si>
  <si>
    <t>KF-M09-R1-XB_TS-0020</t>
  </si>
  <si>
    <t>KF-M09-R1-XB_TS-0021</t>
  </si>
  <si>
    <t>KF-M09-R1-XB_TS-0022</t>
  </si>
  <si>
    <t>KF-M09-R1-XB_TS-0023</t>
  </si>
  <si>
    <t>KF-M09-R1-XB_TS-0024</t>
  </si>
  <si>
    <t>KF-M09-R1-XB_TS-0025</t>
  </si>
  <si>
    <t>KF-M09-R1-XB_TS-0026</t>
  </si>
  <si>
    <t>KF-M09-R1-XB_TS-0027</t>
  </si>
  <si>
    <t>KF-M09-R1-XB_TS-0028</t>
  </si>
  <si>
    <t>KF-M09-R1-XB_TS-0029</t>
  </si>
  <si>
    <t>KF-M09-R2-XB_PA_TF-0000</t>
  </si>
  <si>
    <t>B13-XB_PA_TF</t>
  </si>
  <si>
    <t>KF-M09-R2-XB_PA_TF-0001</t>
  </si>
  <si>
    <t>KF-M09-R2-XB_PA_TF-0002</t>
  </si>
  <si>
    <t>KF-M09-R2-XB_PA_TF-0003</t>
  </si>
  <si>
    <t>KF-M09-R2-XB_PA_TF-0004</t>
  </si>
  <si>
    <t>KF-M09-R2-XB_PA_TF-0005</t>
  </si>
  <si>
    <t>KF-M09-R2-XB_PA_TF-0006</t>
  </si>
  <si>
    <t>KF-M09-R2-XB_PA_TF-0007</t>
  </si>
  <si>
    <t>KF-M09-R2-XB_PA_TF-0008</t>
  </si>
  <si>
    <t>KF-M09-R2-XB_PA_TF-0009</t>
  </si>
  <si>
    <t>KF-M09-R2-XB_PA_TF-0010</t>
  </si>
  <si>
    <t>KF-M09-R2-XB_PA_TF-0011</t>
  </si>
  <si>
    <t>KF-M09-R2-XB_PA_TF-0012</t>
  </si>
  <si>
    <t>KF-M09-R2-XB_PA_TF-0013</t>
  </si>
  <si>
    <t>KF-M09-R2-XB_PA_TF-0014</t>
  </si>
  <si>
    <t>KF-M09-R2-XB_PA_TF-0015</t>
  </si>
  <si>
    <t>KF-M09-R2-XB_PA_TF-0016</t>
  </si>
  <si>
    <t>KF-M09-R2-XB_PA_TF-0017</t>
  </si>
  <si>
    <t>KF-M09-R2-XB_PA_TF-0018</t>
  </si>
  <si>
    <t>KF-M09-R2-XB_PA_TF-0019</t>
  </si>
  <si>
    <t>KF-M09-R2-XB_PA_TF-0020</t>
  </si>
  <si>
    <t>KF-M09-R2-XB_PA_TF-0021</t>
  </si>
  <si>
    <t>KF-M09-R2-XB_PA_TF-0022</t>
  </si>
  <si>
    <t>KF-M09-R2-XB_PA_TF-0023</t>
  </si>
  <si>
    <t>KF-M09-R2-XB_PA_TF-0024</t>
  </si>
  <si>
    <t>KF-M09-R2-XB_PA_TF-0025</t>
  </si>
  <si>
    <t>KF-M09-R2-XB_PA_TF-0026</t>
  </si>
  <si>
    <t>KF-M09-R2-XB_PA_TF-0027</t>
  </si>
  <si>
    <t>KF-M09-R2-XB_PA_TF-0028</t>
  </si>
  <si>
    <t>KF-M09-R2-XB_PA_TF-0029</t>
  </si>
  <si>
    <t>KF-M09-R2-XB_PA_EF-0000</t>
  </si>
  <si>
    <t>B13-XB_PA_EF</t>
  </si>
  <si>
    <t>KF-M09-R2-XB_PA_EF-0001</t>
  </si>
  <si>
    <t>KF-M09-R2-XB_PA_EF-0002</t>
  </si>
  <si>
    <t>KF-M09-R2-XB_PA_EF-0003</t>
  </si>
  <si>
    <t>KF-M09-R2-XB_PA_EF-0004</t>
  </si>
  <si>
    <t>KF-M09-R2-XB_PA_EF-0005</t>
  </si>
  <si>
    <t>KF-M09-R2-XB_PA_EF-0006</t>
  </si>
  <si>
    <t>KF-M09-R2-XB_PA_EF-0007</t>
  </si>
  <si>
    <t>KF-M09-R2-XB_PA_EF-0008</t>
  </si>
  <si>
    <t>KF-M09-R2-XB_PA_EF-0009</t>
  </si>
  <si>
    <t>KF-M09-R2-XB_PA_EF-0010</t>
  </si>
  <si>
    <t>KF-M09-R2-XB_PA_EF-0011</t>
  </si>
  <si>
    <t>KF-M09-R2-XB_PA_EF-0012</t>
  </si>
  <si>
    <t>KF-M09-R2-XB_PA_EF-0013</t>
  </si>
  <si>
    <t>KF-M09-R2-XB_PA_EF-0014</t>
  </si>
  <si>
    <t>KF-M09-R2-XB_PA_EF-0015</t>
  </si>
  <si>
    <t>KF-M09-R2-XB_PA_EF-0016</t>
  </si>
  <si>
    <t>KF-M09-R2-XB_PA_EF-0017</t>
  </si>
  <si>
    <t>KF-M09-R2-XB_PA_EF-0018</t>
  </si>
  <si>
    <t>KF-M09-R2-XB_PA_EF-0019</t>
  </si>
  <si>
    <t>KF-M09-R2-XB_PA_EF-0020</t>
  </si>
  <si>
    <t>KF-M09-R2-XB_PA_EF-0021</t>
  </si>
  <si>
    <t>KF-M09-R2-XB_PA_EF-0022</t>
  </si>
  <si>
    <t>KF-M09-R2-XB_PA_EF-0023</t>
  </si>
  <si>
    <t>KF-M09-R2-XB_PA_EF-0024</t>
  </si>
  <si>
    <t>KF-M09-R2-XB_PA_EF-0025</t>
  </si>
  <si>
    <t>KF-M09-R2-XB_PA_EF-0026</t>
  </si>
  <si>
    <t>KF-M09-R2-XB_PA_EF-0027</t>
  </si>
  <si>
    <t>KF-M09-R2-XB_PA_EF-0028</t>
  </si>
  <si>
    <t>KF-M09-R2-XB_PA_EF-0029</t>
  </si>
  <si>
    <t>KF-M09-R2-XB_PA_PB-0000</t>
  </si>
  <si>
    <t>B13-XB_PA_PB</t>
  </si>
  <si>
    <t>KF-M09-R2-XB_PA_PB-0001</t>
  </si>
  <si>
    <t>KF-M09-R2-XB_PA_PB-0002</t>
  </si>
  <si>
    <t>KF-M09-R2-XB_PA_PB-0003</t>
  </si>
  <si>
    <t>KF-M09-R2-XB_PA_PB-0004</t>
  </si>
  <si>
    <t>KF-M09-R2-XB_PA_PB-0005</t>
  </si>
  <si>
    <t>KF-M09-R2-XB_PA_PB-0006</t>
  </si>
  <si>
    <t>KF-M09-R2-XB_PA_PB-0007</t>
  </si>
  <si>
    <t>KF-M09-R2-XB_PA_PB-0008</t>
  </si>
  <si>
    <t>KF-M09-R2-XB_PA_PB-0009</t>
  </si>
  <si>
    <t>KF-M09-R2-XB_PA_PB-0010</t>
  </si>
  <si>
    <t>KF-M09-R2-XB_PA_PB-0011</t>
  </si>
  <si>
    <t>KF-M09-R2-XB_PA_PB-0012</t>
  </si>
  <si>
    <t>KF-M09-R2-XB_PA_PB-0013</t>
  </si>
  <si>
    <t>KF-M09-R2-XB_PA_PB-0014</t>
  </si>
  <si>
    <t>KF-M09-R2-XB_PA_PB-0015</t>
  </si>
  <si>
    <t>KF-M09-R2-XB_PA_PB-0016</t>
  </si>
  <si>
    <t>KF-M09-R2-XB_PA_PB-0017</t>
  </si>
  <si>
    <t>KF-M09-R2-XB_PA_PB-0018</t>
  </si>
  <si>
    <t>KF-M09-R2-XB_PA_PB-0019</t>
  </si>
  <si>
    <t>KF-M09-R2-XB_PA_PB-0020</t>
  </si>
  <si>
    <t>KF-M09-R2-XB_PA_PB-0021</t>
  </si>
  <si>
    <t>KF-M09-R2-XB_PA_PB-0022</t>
  </si>
  <si>
    <t>KF-M09-R2-XB_PA_PB-0023</t>
  </si>
  <si>
    <t>KF-M09-R2-XB_PA_PB-0024</t>
  </si>
  <si>
    <t>KF-M09-R2-XB_PA_PB-0025</t>
  </si>
  <si>
    <t>KF-M09-R2-XB_PA_PB-0026</t>
  </si>
  <si>
    <t>KF-M09-R2-XB_PA_PB-0027</t>
  </si>
  <si>
    <t>KF-M09-R2-XB_PA_PB-0028</t>
  </si>
  <si>
    <t>KF-M09-R2-XB_PA_PB-0029</t>
  </si>
  <si>
    <t>KF-M09-R2-XB_PA_TS-0000</t>
  </si>
  <si>
    <t>B13-XB_PA_TS</t>
  </si>
  <si>
    <t>KF-M09-R2-XB_PA_TS-0001</t>
  </si>
  <si>
    <t>KF-M09-R2-XB_PA_TS-0002</t>
  </si>
  <si>
    <t>KF-M09-R2-XB_PA_TS-0003</t>
  </si>
  <si>
    <t>KF-M09-R2-XB_PA_TS-0004</t>
  </si>
  <si>
    <t>KF-M09-R2-XB_PA_TS-0005</t>
  </si>
  <si>
    <t>KF-M09-R2-XB_PA_TS-0006</t>
  </si>
  <si>
    <t>KF-M09-R2-XB_PA_TS-0007</t>
  </si>
  <si>
    <t>KF-M09-R2-XB_PA_TS-0008</t>
  </si>
  <si>
    <t>KF-M09-R2-XB_PA_TS-0009</t>
  </si>
  <si>
    <t>KF-M09-R2-XB_PA_TS-0010</t>
  </si>
  <si>
    <t>KF-M09-R2-XB_PA_TS-0011</t>
  </si>
  <si>
    <t>KF-M09-R2-XB_PA_TS-0012</t>
  </si>
  <si>
    <t>KF-M09-R2-XB_PA_TS-0013</t>
  </si>
  <si>
    <t>KF-M09-R2-XB_PA_TS-0014</t>
  </si>
  <si>
    <t>KF-M09-R2-XB_PA_TS-0015</t>
  </si>
  <si>
    <t>KF-M09-R2-XB_PA_TS-0016</t>
  </si>
  <si>
    <t>KF-M09-R2-XB_PA_TS-0017</t>
  </si>
  <si>
    <t>KF-M09-R2-XB_PA_TS-0018</t>
  </si>
  <si>
    <t>KF-M09-R2-XB_PA_TS-0019</t>
  </si>
  <si>
    <t>KF-M09-R2-XB_PA_TS-0020</t>
  </si>
  <si>
    <t>KF-M09-R2-XB_PA_TS-0021</t>
  </si>
  <si>
    <t>KF-M09-R2-XB_PA_TS-0022</t>
  </si>
  <si>
    <t>KF-M09-R2-XB_PA_TS-0023</t>
  </si>
  <si>
    <t>KF-M09-R2-XB_PA_TS-0024</t>
  </si>
  <si>
    <t>KF-M09-R2-XB_PA_TS-0025</t>
  </si>
  <si>
    <t>KF-M09-R2-XB_PA_TS-0026</t>
  </si>
  <si>
    <t>KF-M09-R2-XB_PA_TS-0027</t>
  </si>
  <si>
    <t>KF-M09-R2-XB_PA_TS-0028</t>
  </si>
  <si>
    <t>KF-M09-R2-XB_PA_TS-0029</t>
  </si>
  <si>
    <t>KF-M09-R3-XB_PA_EF_TF-0000</t>
  </si>
  <si>
    <t>B13-XB_PA_EF_TF</t>
  </si>
  <si>
    <t>KF-M09-R3-XB_PA_EF_TF-0001</t>
  </si>
  <si>
    <t>KF-M09-R3-XB_PA_EF_TF-0002</t>
  </si>
  <si>
    <t>KF-M09-R3-XB_PA_EF_TF-0003</t>
  </si>
  <si>
    <t>KF-M09-R3-XB_PA_EF_TF-0004</t>
  </si>
  <si>
    <t>KF-M09-R3-XB_PA_EF_TF-0005</t>
  </si>
  <si>
    <t>KF-M09-R3-XB_PA_EF_TF-0006</t>
  </si>
  <si>
    <t>KF-M09-R3-XB_PA_EF_TF-0007</t>
  </si>
  <si>
    <t>KF-M09-R3-XB_PA_EF_TF-0008</t>
  </si>
  <si>
    <t>KF-M09-R3-XB_PA_EF_TF-0009</t>
  </si>
  <si>
    <t>KF-M09-R3-XB_PA_EF_TF-0010</t>
  </si>
  <si>
    <t>KF-M09-R3-XB_PA_EF_TF-0011</t>
  </si>
  <si>
    <t>KF-M09-R3-XB_PA_EF_TF-0012</t>
  </si>
  <si>
    <t>KF-M09-R3-XB_PA_EF_TF-0013</t>
  </si>
  <si>
    <t>KF-M09-R3-XB_PA_EF_TF-0014</t>
  </si>
  <si>
    <t>KF-M09-R3-XB_PA_EF_TF-0015</t>
  </si>
  <si>
    <t>KF-M09-R3-XB_PA_EF_TF-0016</t>
  </si>
  <si>
    <t>KF-M09-R3-XB_PA_EF_TF-0017</t>
  </si>
  <si>
    <t>KF-M09-R3-XB_PA_EF_TF-0018</t>
  </si>
  <si>
    <t>KF-M09-R3-XB_PA_EF_TF-0019</t>
  </si>
  <si>
    <t>KF-M09-R3-XB_PA_EF_TF-0020</t>
  </si>
  <si>
    <t>KF-M09-R3-XB_PA_EF_TF-0021</t>
  </si>
  <si>
    <t>KF-M09-R3-XB_PA_EF_TF-0022</t>
  </si>
  <si>
    <t>KF-M09-R3-XB_PA_EF_TF-0023</t>
  </si>
  <si>
    <t>KF-M09-R3-XB_PA_EF_TF-0024</t>
  </si>
  <si>
    <t>KF-M09-R3-XB_PA_EF_TF-0025</t>
  </si>
  <si>
    <t>KF-M09-R3-XB_PA_EF_TF-0026</t>
  </si>
  <si>
    <t>KF-M09-R3-XB_PA_EF_TF-0027</t>
  </si>
  <si>
    <t>KF-M09-R3-XB_PA_EF_TF-0028</t>
  </si>
  <si>
    <t>KF-M09-R3-XB_PA_EF_TF-0029</t>
  </si>
  <si>
    <t>KF-M09-R3-XB_PA_EF_PB-0000</t>
  </si>
  <si>
    <t>KF-M09-R3-XB_PA_EF_PB-0001</t>
  </si>
  <si>
    <t>KF-M09-R3-XB_PA_EF_PB-0002</t>
  </si>
  <si>
    <t>KF-M09-R3-XB_PA_EF_PB-0003</t>
  </si>
  <si>
    <t>KF-M09-R3-XB_PA_EF_PB-0004</t>
  </si>
  <si>
    <t>KF-M09-R3-XB_PA_EF_PB-0005</t>
  </si>
  <si>
    <t>KF-M09-R3-XB_PA_EF_PB-0006</t>
  </si>
  <si>
    <t>KF-M09-R3-XB_PA_EF_PB-0007</t>
  </si>
  <si>
    <t>KF-M09-R3-XB_PA_EF_PB-0008</t>
  </si>
  <si>
    <t>KF-M09-R3-XB_PA_EF_PB-0009</t>
  </si>
  <si>
    <t>KF-M09-R3-XB_PA_EF_PB-0010</t>
  </si>
  <si>
    <t>KF-M09-R3-XB_PA_EF_PB-0011</t>
  </si>
  <si>
    <t>KF-M09-R3-XB_PA_EF_PB-0012</t>
  </si>
  <si>
    <t>KF-M09-R3-XB_PA_EF_PB-0013</t>
  </si>
  <si>
    <t>KF-M09-R3-XB_PA_EF_PB-0014</t>
  </si>
  <si>
    <t>KF-M09-R3-XB_PA_EF_PB-0015</t>
  </si>
  <si>
    <t>KF-M09-R3-XB_PA_EF_PB-0016</t>
  </si>
  <si>
    <t>KF-M09-R3-XB_PA_EF_PB-0017</t>
  </si>
  <si>
    <t>KF-M09-R3-XB_PA_EF_PB-0018</t>
  </si>
  <si>
    <t>KF-M09-R3-XB_PA_EF_PB-0019</t>
  </si>
  <si>
    <t>KF-M09-R3-XB_PA_EF_PB-0020</t>
  </si>
  <si>
    <t>KF-M09-R3-XB_PA_EF_PB-0021</t>
  </si>
  <si>
    <t>KF-M09-R3-XB_PA_EF_PB-0022</t>
  </si>
  <si>
    <t>KF-M09-R3-XB_PA_EF_PB-0023</t>
  </si>
  <si>
    <t>KF-M09-R3-XB_PA_EF_PB-0024</t>
  </si>
  <si>
    <t>KF-M09-R3-XB_PA_EF_PB-0025</t>
  </si>
  <si>
    <t>KF-M09-R3-XB_PA_EF_PB-0026</t>
  </si>
  <si>
    <t>KF-M09-R3-XB_PA_EF_PB-0027</t>
  </si>
  <si>
    <t>KF-M09-R3-XB_PA_EF_PB-0028</t>
  </si>
  <si>
    <t>KF-M09-R3-XB_PA_EF_PB-0029</t>
  </si>
  <si>
    <t>KF-M09-R3-XB_PA_EF_TS-0000</t>
  </si>
  <si>
    <t>B13-XB_PA_EF_TS</t>
  </si>
  <si>
    <t>KF-M09-R3-XB_PA_EF_TS-0001</t>
  </si>
  <si>
    <t>KF-M09-R3-XB_PA_EF_TS-0002</t>
  </si>
  <si>
    <t>KF-M09-R3-XB_PA_EF_TS-0003</t>
  </si>
  <si>
    <t>KF-M09-R3-XB_PA_EF_TS-0004</t>
  </si>
  <si>
    <t>KF-M09-R3-XB_PA_EF_TS-0005</t>
  </si>
  <si>
    <t>KF-M09-R3-XB_PA_EF_TS-0006</t>
  </si>
  <si>
    <t>KF-M09-R3-XB_PA_EF_TS-0007</t>
  </si>
  <si>
    <t>KF-M09-R3-XB_PA_EF_TS-0008</t>
  </si>
  <si>
    <t>KF-M09-R3-XB_PA_EF_TS-0009</t>
  </si>
  <si>
    <t>KF-M09-R3-XB_PA_EF_TS-0010</t>
  </si>
  <si>
    <t>KF-M09-R3-XB_PA_EF_TS-0011</t>
  </si>
  <si>
    <t>KF-M09-R3-XB_PA_EF_TS-0012</t>
  </si>
  <si>
    <t>KF-M09-R3-XB_PA_EF_TS-0013</t>
  </si>
  <si>
    <t>KF-M09-R3-XB_PA_EF_TS-0014</t>
  </si>
  <si>
    <t>KF-M09-R3-XB_PA_EF_TS-0015</t>
  </si>
  <si>
    <t>KF-M09-R3-XB_PA_EF_TS-0016</t>
  </si>
  <si>
    <t>KF-M09-R3-XB_PA_EF_TS-0017</t>
  </si>
  <si>
    <t>KF-M09-R3-XB_PA_EF_TS-0018</t>
  </si>
  <si>
    <t>KF-M09-R3-XB_PA_EF_TS-0019</t>
  </si>
  <si>
    <t>KF-M09-R3-XB_PA_EF_TS-0020</t>
  </si>
  <si>
    <t>KF-M09-R3-XB_PA_EF_TS-0021</t>
  </si>
  <si>
    <t>KF-M09-R3-XB_PA_EF_TS-0022</t>
  </si>
  <si>
    <t>KF-M09-R3-XB_PA_EF_TS-0023</t>
  </si>
  <si>
    <t>KF-M09-R3-XB_PA_EF_TS-0024</t>
  </si>
  <si>
    <t>KF-M09-R3-XB_PA_EF_TS-0025</t>
  </si>
  <si>
    <t>KF-M09-R3-XB_PA_EF_TS-0026</t>
  </si>
  <si>
    <t>KF-M09-R3-XB_PA_EF_TS-0027</t>
  </si>
  <si>
    <t>KF-M09-R3-XB_PA_EF_TS-0028</t>
  </si>
  <si>
    <t>KF-M09-R3-XB_PA_EF_TS-0029</t>
  </si>
  <si>
    <t>KF-M09-HUS-0000</t>
  </si>
  <si>
    <t>B13-HUS</t>
  </si>
  <si>
    <t>KF-M09-HUS-0001</t>
  </si>
  <si>
    <t>KF-M09-HUS-0002</t>
  </si>
  <si>
    <t>KF-M09-HUS-0003</t>
  </si>
  <si>
    <t>KF-M09-HUS-0004</t>
  </si>
  <si>
    <t>KF-M09-HUS-0005</t>
  </si>
  <si>
    <t>KF-M09-HUS-0006</t>
  </si>
  <si>
    <t>KF-M09-HUS-0007</t>
  </si>
  <si>
    <t>KF-M09-HUS-0008</t>
  </si>
  <si>
    <t>KF-M09-HUS-0009</t>
  </si>
  <si>
    <t>KF-M09-HUS-0010</t>
  </si>
  <si>
    <t>KF-M09-HUS-0011</t>
  </si>
  <si>
    <t>KF-M09-HUS-0012</t>
  </si>
  <si>
    <t>KF-M09-HUS-0013</t>
  </si>
  <si>
    <t>KF-M09-HUS-0014</t>
  </si>
  <si>
    <t>KF-M09-HUS-0015</t>
  </si>
  <si>
    <t>KF-M09-HUS-0016</t>
  </si>
  <si>
    <t>KF-M09-HUS-0017</t>
  </si>
  <si>
    <t>KF-M09-HUS-0018</t>
  </si>
  <si>
    <t>KF-M09-HUS-0019</t>
  </si>
  <si>
    <t>KF-M09-HUS-0020</t>
  </si>
  <si>
    <t>KF-M09-HUS-0021</t>
  </si>
  <si>
    <t>KF-M09-HUS-0022</t>
  </si>
  <si>
    <t>KF-M09-HUS-0023</t>
  </si>
  <si>
    <t>KF-M09-REAL-0000</t>
  </si>
  <si>
    <t>KF-M09-REAL-0001</t>
  </si>
  <si>
    <t>KF-M09-REAL-0002</t>
  </si>
  <si>
    <t>KF-M10-F3-0000</t>
  </si>
  <si>
    <t>KF-M10-F3-0001</t>
  </si>
  <si>
    <t>KF-M10-F3-0002</t>
  </si>
  <si>
    <t>KF-M10-F3-0003</t>
  </si>
  <si>
    <t>KF-M10-F3-0004</t>
  </si>
  <si>
    <t>KF-M10-F3-0005</t>
  </si>
  <si>
    <t>KF-M10-F3-0006</t>
  </si>
  <si>
    <t>KF-M10-F3-0007</t>
  </si>
  <si>
    <t>KF-M10-F3-0008</t>
  </si>
  <si>
    <t>KF-M10-F3-0009</t>
  </si>
  <si>
    <t>KF-M10-F3-0010</t>
  </si>
  <si>
    <t>KF-M10-F3-0011</t>
  </si>
  <si>
    <t>KF-M10-F3-0012</t>
  </si>
  <si>
    <t>KF-M10-F3-0013</t>
  </si>
  <si>
    <t>KF-M10-F3-0014</t>
  </si>
  <si>
    <t>KF-M10-F3-0015</t>
  </si>
  <si>
    <t>KF-M10-F3-0016</t>
  </si>
  <si>
    <t>KF-M10-F3-0017</t>
  </si>
  <si>
    <t>KF-M10-F3-0018</t>
  </si>
  <si>
    <t>KF-M10-F3-0019</t>
  </si>
  <si>
    <t>KF-M10-F3-0020</t>
  </si>
  <si>
    <t>KF-M10-F3-0021</t>
  </si>
  <si>
    <t>KF-M10-F3-0022</t>
  </si>
  <si>
    <t>KF-M10-F3-0023</t>
  </si>
  <si>
    <t>KF-M10-F3-0024</t>
  </si>
  <si>
    <t>KF-M10-F3-0025</t>
  </si>
  <si>
    <t>KF-M10-F3-0026</t>
  </si>
  <si>
    <t>KF-M10-F3-0027</t>
  </si>
  <si>
    <t>KF-M10-F3-0028</t>
  </si>
  <si>
    <t>KF-M10-F3-0029</t>
  </si>
  <si>
    <t>KF-M10-F3-0030</t>
  </si>
  <si>
    <t>KF-M10-F3-0031</t>
  </si>
  <si>
    <t>KF-M10-F3-0032</t>
  </si>
  <si>
    <t>KF-M10-F3-0033</t>
  </si>
  <si>
    <t>KF-M10-F3-0034</t>
  </si>
  <si>
    <t>KF-M10-F3-0035</t>
  </si>
  <si>
    <t>KF-M10-F3-0036</t>
  </si>
  <si>
    <t>KF-M10-F3-0037</t>
  </si>
  <si>
    <t>KF-M10-F3-0038</t>
  </si>
  <si>
    <t>KF-M10-F3-0039</t>
  </si>
  <si>
    <t>KF-M10-F3-0040</t>
  </si>
  <si>
    <t>KF-M10-F3-0041</t>
  </si>
  <si>
    <t>KF-M10-F3-0042</t>
  </si>
  <si>
    <t>KF-M10-F3-0043</t>
  </si>
  <si>
    <t>KF-M10-F3-0044</t>
  </si>
  <si>
    <t>KF-M10-F3-0045</t>
  </si>
  <si>
    <t>KF-M10-F3-0046</t>
  </si>
  <si>
    <t>KF-M10-F3-0047</t>
  </si>
  <si>
    <t>KF-M10-F3-0048</t>
  </si>
  <si>
    <t>KF-M10-F3-0049</t>
  </si>
  <si>
    <t>KF-M10-F3-0050</t>
  </si>
  <si>
    <t>KF-M10-F3-0051</t>
  </si>
  <si>
    <t>KF-M10-F3-0052</t>
  </si>
  <si>
    <t>KF-M10-F3-0053</t>
  </si>
  <si>
    <t>KF-M10-F3-0054</t>
  </si>
  <si>
    <t>KF-M10-F3-0055</t>
  </si>
  <si>
    <t>KF-M10-F3-0056</t>
  </si>
  <si>
    <t>KF-M10-F3-0057</t>
  </si>
  <si>
    <t>KF-M10-F3-0058</t>
  </si>
  <si>
    <t>KF-M10-F3-0059</t>
  </si>
  <si>
    <t>KF-M10-F3-0060</t>
  </si>
  <si>
    <t>KF-M10-F3-0061</t>
  </si>
  <si>
    <t>KF-M10-F3-0062</t>
  </si>
  <si>
    <t>KF-M10-F3-0063</t>
  </si>
  <si>
    <t>KF-M10-F3-0064</t>
  </si>
  <si>
    <t>KF-M10-F3-0065</t>
  </si>
  <si>
    <t>KF-M10-F3-0066</t>
  </si>
  <si>
    <t>KF-M10-F3-0067</t>
  </si>
  <si>
    <t>KF-M10-F3-0068</t>
  </si>
  <si>
    <t>KF-M10-F3-0069</t>
  </si>
  <si>
    <t>KF-M10-F3-0070</t>
  </si>
  <si>
    <t>KF-M10-F3-0071</t>
  </si>
  <si>
    <t>KF-M10-F3-0072</t>
  </si>
  <si>
    <t>KF-M10-F3-0073</t>
  </si>
  <si>
    <t>KF-M10-F3-0074</t>
  </si>
  <si>
    <t>KF-M10-F3-0075</t>
  </si>
  <si>
    <t>KF-M10-F3-0076</t>
  </si>
  <si>
    <t>KF-M10-F3-0077</t>
  </si>
  <si>
    <t>KF-M10-F3-0078</t>
  </si>
  <si>
    <t>KF-M10-F3-0079</t>
  </si>
  <si>
    <t>KF-M10-F3-0080</t>
  </si>
  <si>
    <t>KF-M10-F3-0081</t>
  </si>
  <si>
    <t>KF-M10-F3-0082</t>
  </si>
  <si>
    <t>KF-M10-F3-0083</t>
  </si>
  <si>
    <t>KF-M10-F3-0084</t>
  </si>
  <si>
    <t>KF-M10-F3-0085</t>
  </si>
  <si>
    <t>KF-M10-F3-0086</t>
  </si>
  <si>
    <t>KF-M10-F3-0087</t>
  </si>
  <si>
    <t>KF-M10-F3-0088</t>
  </si>
  <si>
    <t>KF-M10-F3-0089</t>
  </si>
  <si>
    <t>KF-M10-F3-0090</t>
  </si>
  <si>
    <t>KF-M10-F3-0091</t>
  </si>
  <si>
    <t>KF-M10-F3-0092</t>
  </si>
  <si>
    <t>KF-M10-F3-0093</t>
  </si>
  <si>
    <t>KF-M10-F3-0094</t>
  </si>
  <si>
    <t>KF-M10-F3-0095</t>
  </si>
  <si>
    <t>KF-M10-F3-0096</t>
  </si>
  <si>
    <t>KF-M10-OFAT-0000</t>
  </si>
  <si>
    <t>oat</t>
  </si>
  <si>
    <t>KF-M10-OFAT-0001</t>
  </si>
  <si>
    <t>KF-M10-OFAT-0002</t>
  </si>
  <si>
    <t>KF-M10-OFAT-0003</t>
  </si>
  <si>
    <t>KF-M10-OFAT-0004</t>
  </si>
  <si>
    <t>KF-M10-OFAT-0005</t>
  </si>
  <si>
    <t>KF-M10-OFAT-0006</t>
  </si>
  <si>
    <t>KF-M10-OFAT-0007</t>
  </si>
  <si>
    <t>KF-M10-OFAT-0008</t>
  </si>
  <si>
    <t>KF-M10-OFAT-0009</t>
  </si>
  <si>
    <t>KF-M10-OFAT-0010</t>
  </si>
  <si>
    <t>KF-M10-OFAT-0011</t>
  </si>
  <si>
    <t>KF-M10-OFAT-0012</t>
  </si>
  <si>
    <t>KF-M10-OFAT-0013</t>
  </si>
  <si>
    <t>KF-M10-OFAT-0014</t>
  </si>
  <si>
    <t>KF-M10-OFAT-0015</t>
  </si>
  <si>
    <t>KF-M10-OFAT-0016</t>
  </si>
  <si>
    <t>KF-M10-OFAT-0017</t>
  </si>
  <si>
    <t>KF-M10-OFAT-0018</t>
  </si>
  <si>
    <t>KF-M10-OFAT-0019</t>
  </si>
  <si>
    <t>KF-M10-OFAT-0020</t>
  </si>
  <si>
    <t>KF-M10-OFAT-0021</t>
  </si>
  <si>
    <t>KF-M10-OFAT-0022</t>
  </si>
  <si>
    <t>KF-M10-OFAT-0023</t>
  </si>
  <si>
    <t>KF-M10-OFAT-0024</t>
  </si>
  <si>
    <t>KF-M10-OFAT-0025</t>
  </si>
  <si>
    <t>KF-M10-OFAT-0026</t>
  </si>
  <si>
    <t>KF-M10-OFAT-0027</t>
  </si>
  <si>
    <t>KF-M10-OFAT-0028</t>
  </si>
  <si>
    <t>KF-M10-OFAT-0029</t>
  </si>
  <si>
    <t>KF-M10-OFAT-0030</t>
  </si>
  <si>
    <t>KF-M10-OFAT-0031</t>
  </si>
  <si>
    <t>KF-M10-OFAT-0032</t>
  </si>
  <si>
    <t>KF-M10-OFAT-0033</t>
  </si>
  <si>
    <t>KF-M10-OFAT-0034</t>
  </si>
  <si>
    <t>KF-M10-OFAT-0035</t>
  </si>
  <si>
    <t>KF-M10-OFAT-0036</t>
  </si>
  <si>
    <t>KF-M10-OFAT-0037</t>
  </si>
  <si>
    <t>KF-M10-OFAT-0038</t>
  </si>
  <si>
    <t>KF-M10-OFAT-0039</t>
  </si>
  <si>
    <t>KF-M10-OFAT-0040</t>
  </si>
  <si>
    <t>KF-M10-OFAT-0041</t>
  </si>
  <si>
    <t>KF-M10-OFAT-0042</t>
  </si>
  <si>
    <t>KF-M10-OFAT-0043</t>
  </si>
  <si>
    <t>KF-M10-OFAT-0044</t>
  </si>
  <si>
    <t>KF-M10-OFAT-0045</t>
  </si>
  <si>
    <t>KF-M10-OFAT-0046</t>
  </si>
  <si>
    <t>KF-M10-OFAT-0047</t>
  </si>
  <si>
    <t>KF-M10-OFAT-0048</t>
  </si>
  <si>
    <t>KF-M10-OFAT-0049</t>
  </si>
  <si>
    <t>KF-M10-OFAT-0050</t>
  </si>
  <si>
    <t>KF-M10-OFAT-0051</t>
  </si>
  <si>
    <t>KF-M10-OFAT-0052</t>
  </si>
  <si>
    <t>KF-M10-OFAT-0053</t>
  </si>
  <si>
    <t>KF-M10-OFAT-0054</t>
  </si>
  <si>
    <t>KF-M10-OFAT-0055</t>
  </si>
  <si>
    <t>KF-M10-OFAT-0056</t>
  </si>
  <si>
    <t>KF-M10-OFAT-0057</t>
  </si>
  <si>
    <t>KF-M10-OFAT-0058</t>
  </si>
  <si>
    <t>KF-M10-OFAT-0059</t>
  </si>
  <si>
    <t>KF-M10-OFAT-0060</t>
  </si>
  <si>
    <t>KF-M10-OFAT-0061</t>
  </si>
  <si>
    <t>KF-M10-OFAT-0062</t>
  </si>
  <si>
    <t>KF-M10-OFAT-0063</t>
  </si>
  <si>
    <t>KF-M10-OFAT-0064</t>
  </si>
  <si>
    <t>KF-M10-OFAT-0065</t>
  </si>
  <si>
    <t>KF-M10-OFAT-0066</t>
  </si>
  <si>
    <t>KF-M10-OFAT-0067</t>
  </si>
  <si>
    <t>KF-M10-OFAT-0068</t>
  </si>
  <si>
    <t>KF-M10-OFAT-0069</t>
  </si>
  <si>
    <t>KF-M10-OFAT-0070</t>
  </si>
  <si>
    <t>KF-M10-OFAT-0071</t>
  </si>
  <si>
    <t>KF-M10-OFAT-0072</t>
  </si>
  <si>
    <t>KF-M10-OFAT-0073</t>
  </si>
  <si>
    <t>KF-M10-OFAT-0074</t>
  </si>
  <si>
    <t>KF-M10-OFAT-0075</t>
  </si>
  <si>
    <t>KF-M10-OFAT-0076</t>
  </si>
  <si>
    <t>KF-M10-OFAT-0077</t>
  </si>
  <si>
    <t>KF-M10-OFAT-0078</t>
  </si>
  <si>
    <t>KF-M10-OFAT-0079</t>
  </si>
  <si>
    <t>KF-M10-OFAT-0080</t>
  </si>
  <si>
    <t>KF-M10-OFAT-0081</t>
  </si>
  <si>
    <t>KF-M10-OFAT-0082</t>
  </si>
  <si>
    <t>KF-M10-OFAT-0083</t>
  </si>
  <si>
    <t>KF-M10-OFAT-0084</t>
  </si>
  <si>
    <t>KF-M10-OFAT-0085</t>
  </si>
  <si>
    <t>KF-M10-OFAT-0086</t>
  </si>
  <si>
    <t>KF-M10-OFAT-0087</t>
  </si>
  <si>
    <t>KF-M10-OFAT-0088</t>
  </si>
  <si>
    <t>KF-M10-OFAT-0089</t>
  </si>
  <si>
    <t>KF-M10-OFAT-0090</t>
  </si>
  <si>
    <t>KF-M10-OFAT-0091</t>
  </si>
  <si>
    <t>KF-M10-OFAT-0092</t>
  </si>
  <si>
    <t>KF-M10-OFAT-0093</t>
  </si>
  <si>
    <t>KF-M10-OFAT-0094</t>
  </si>
  <si>
    <t>KF-M10-OFAT-0095</t>
  </si>
  <si>
    <t>KF-M10-OFAT-0096</t>
  </si>
  <si>
    <t>KF-M10-OFAT-0097</t>
  </si>
  <si>
    <t>KF-M10-OFAT-0098</t>
  </si>
  <si>
    <t>KF-M10-OFAT-0099</t>
  </si>
  <si>
    <t>KF-M10-OFAT-0100</t>
  </si>
  <si>
    <t>KF-M10-OFAT-0101</t>
  </si>
  <si>
    <t>KF-M10-OFAT-0102</t>
  </si>
  <si>
    <t>KF-M10-OFAT-0103</t>
  </si>
  <si>
    <t>KF-M10-OFAT-0104</t>
  </si>
  <si>
    <t>KF-M10-OFAT-0105</t>
  </si>
  <si>
    <t>KF-M10-OFAT-0106</t>
  </si>
  <si>
    <t>KF-M10-OFAT-0107</t>
  </si>
  <si>
    <t>KF-M10-OFAT-0108</t>
  </si>
  <si>
    <t>KF-M10-OFAT-0109</t>
  </si>
  <si>
    <t>KF-M10-OFAT-0110</t>
  </si>
  <si>
    <t>KF-M10-OFAT-0111</t>
  </si>
  <si>
    <t>KF-M10-OFAT-0112</t>
  </si>
  <si>
    <t>KF-M10-OFAT-0113</t>
  </si>
  <si>
    <t>KF-M10-OFAT-0114</t>
  </si>
  <si>
    <t>KF-M10-OFAT-0115</t>
  </si>
  <si>
    <t>KF-M10-OFAT-0116</t>
  </si>
  <si>
    <t>KF-M10-OFAT-0117</t>
  </si>
  <si>
    <t>KF-M10-OFAT-0118</t>
  </si>
  <si>
    <t>KF-M10-OFAT-0119</t>
  </si>
  <si>
    <t>KF-M10-OFAT-0120</t>
  </si>
  <si>
    <t>KF-M10-OFAT-0121</t>
  </si>
  <si>
    <t>KF-M10-OFAT-0122</t>
  </si>
  <si>
    <t>KF-M10-OFAT-0123</t>
  </si>
  <si>
    <t>KF-M10-OFAT-0124</t>
  </si>
  <si>
    <t>KF-M10-OFAT-0125</t>
  </si>
  <si>
    <t>KF-M10-OFAT-0126</t>
  </si>
  <si>
    <t>KF-M10-OFAT-0127</t>
  </si>
  <si>
    <t>KF-M10-OFAT-0128</t>
  </si>
  <si>
    <t>KF-M10-OFAT-0129</t>
  </si>
  <si>
    <t>KF-M10-OFAT-0130</t>
  </si>
  <si>
    <t>KF-M10-OFAT-0131</t>
  </si>
  <si>
    <t>KF-M10-OFAT-0132</t>
  </si>
  <si>
    <t>KF-M10-OFAT-0133</t>
  </si>
  <si>
    <t>KF-M10-OFAT-0134</t>
  </si>
  <si>
    <t>KF-M10-OFAT-0135</t>
  </si>
  <si>
    <t>KF-M10-OFAT-0136</t>
  </si>
  <si>
    <t>KF-M10-OFAT-0137</t>
  </si>
  <si>
    <t>KF-M10-OFAT-0138</t>
  </si>
  <si>
    <t>KF-M10-OFAT-0139</t>
  </si>
  <si>
    <t>KF-M10-OFAT-0140</t>
  </si>
  <si>
    <t>KF-M10-OFAT-0141</t>
  </si>
  <si>
    <t>KF-M10-OFAT-0142</t>
  </si>
  <si>
    <t>KF-M10-OFAT-0143</t>
  </si>
  <si>
    <t>KF-M10-OFAT-0144</t>
  </si>
  <si>
    <t>KF-M10-OFAT-0145</t>
  </si>
  <si>
    <t>KF-M10-OFAT-0146</t>
  </si>
  <si>
    <t>KF-M10-OFAT-0147</t>
  </si>
  <si>
    <t>KF-M10-OFAT-0148</t>
  </si>
  <si>
    <t>KF-M10-OFAT-0149</t>
  </si>
  <si>
    <t>KF-M10-MALLA-0000</t>
  </si>
  <si>
    <t>KF-M10-MALLA-0001</t>
  </si>
  <si>
    <t>KF-M10-MALLA-0002</t>
  </si>
  <si>
    <t>KF-M10-MALLA-0003</t>
  </si>
  <si>
    <t>KF-M10-MALLA-0004</t>
  </si>
  <si>
    <t>KF-M10-MALLA-0005</t>
  </si>
  <si>
    <t>KF-M10-MALLA-0006</t>
  </si>
  <si>
    <t>KF-M10-MALLA-0007</t>
  </si>
  <si>
    <t>KF-M10-MALLA-0008</t>
  </si>
  <si>
    <t>KF-M10-MALLA-0009</t>
  </si>
  <si>
    <t>KF-M10-MALLA-0010</t>
  </si>
  <si>
    <t>KF-M10-MALLA-0011</t>
  </si>
  <si>
    <t>KF-M10-MALLA-0012</t>
  </si>
  <si>
    <t>KF-M10-MALLA-0013</t>
  </si>
  <si>
    <t>KF-M10-MALLA-0014</t>
  </si>
  <si>
    <t>KF-M10-MALLA-0015</t>
  </si>
  <si>
    <t>KF-M10-MALLA-0016</t>
  </si>
  <si>
    <t>KF-M10-MALLA-0017</t>
  </si>
  <si>
    <t>KF-M10-MALLA-0018</t>
  </si>
  <si>
    <t>KF-M10-MALLA-0019</t>
  </si>
  <si>
    <t>KF-M10-MALLA-0020</t>
  </si>
  <si>
    <t>KF-M10-MALLA-0021</t>
  </si>
  <si>
    <t>KF-M10-MALLA-0022</t>
  </si>
  <si>
    <t>KF-M10-MALLA-0023</t>
  </si>
  <si>
    <t>KF-M10-MALLA-0024</t>
  </si>
  <si>
    <t>KF-M10-MALLA-0025</t>
  </si>
  <si>
    <t>KF-M10-MALLA-0026</t>
  </si>
  <si>
    <t>KF-M10-MALLA-0027</t>
  </si>
  <si>
    <t>KF-M10-MALLA-0028</t>
  </si>
  <si>
    <t>KF-M10-MALLA-0029</t>
  </si>
  <si>
    <t>KF-M10-MALLA-0030</t>
  </si>
  <si>
    <t>KF-M10-MALLA-0031</t>
  </si>
  <si>
    <t>KF-M10-MALLA-0032</t>
  </si>
  <si>
    <t>KF-M10-MALLA-0033</t>
  </si>
  <si>
    <t>KF-M10-MALLA-0034</t>
  </si>
  <si>
    <t>KF-M10-MALLA-0035</t>
  </si>
  <si>
    <t>KF-M10-MALLA-0036</t>
  </si>
  <si>
    <t>KF-M10-MALLA-0037</t>
  </si>
  <si>
    <t>KF-M10-MALLA-0038</t>
  </si>
  <si>
    <t>KF-M10-MALLA-0039</t>
  </si>
  <si>
    <t>KF-M10-MALLA-0040</t>
  </si>
  <si>
    <t>KF-M10-MALLA-0041</t>
  </si>
  <si>
    <t>KF-M10-MALLA-0042</t>
  </si>
  <si>
    <t>KF-M10-MALLA-0043</t>
  </si>
  <si>
    <t>KF-M10-MALLA-0044</t>
  </si>
  <si>
    <t>KF-M10-MALLA-0045</t>
  </si>
  <si>
    <t>KF-M10-MALLA-0046</t>
  </si>
  <si>
    <t>KF-M10-MALLA-0047</t>
  </si>
  <si>
    <t>KF-M10-MALLA-0048</t>
  </si>
  <si>
    <t>KF-M10-MALLA-0049</t>
  </si>
  <si>
    <t>KF-M10-MALLA-0050</t>
  </si>
  <si>
    <t>KF-M10-MALLA-0051</t>
  </si>
  <si>
    <t>KF-M10-MALLA-0052</t>
  </si>
  <si>
    <t>KF-M10-MALLA-0053</t>
  </si>
  <si>
    <t>KF-M10-MALLA-0054</t>
  </si>
  <si>
    <t>KF-M10-MALLA-0055</t>
  </si>
  <si>
    <t>KF-M10-MALLA-0056</t>
  </si>
  <si>
    <t>KF-M10-MALLA-0057</t>
  </si>
  <si>
    <t>KF-M10-MALLA-0058</t>
  </si>
  <si>
    <t>KF-M10-MALLA-0059</t>
  </si>
  <si>
    <t>KF-M10-MALLA-0060</t>
  </si>
  <si>
    <t>KF-M10-MALLA-0061</t>
  </si>
  <si>
    <t>KF-M10-MALLA-0062</t>
  </si>
  <si>
    <t>KF-M10-MALLA-0063</t>
  </si>
  <si>
    <t>KF-M10b-OFAT-0000</t>
  </si>
  <si>
    <t>B14-OFATb</t>
  </si>
  <si>
    <t>KF-M10b-OFAT-0001</t>
  </si>
  <si>
    <t>KF-M10b-OFAT-0002</t>
  </si>
  <si>
    <t>KF-M10b-OFAT-0003</t>
  </si>
  <si>
    <t>KF-M10b-OFAT-0004</t>
  </si>
  <si>
    <t>KF-M10b-OFAT-0005</t>
  </si>
  <si>
    <t>KF-M10b-OFAT-0006</t>
  </si>
  <si>
    <t>KF-M10b-OFAT-0007</t>
  </si>
  <si>
    <t>KF-M10b-OFAT-0008</t>
  </si>
  <si>
    <t>KF-M10b-OFAT-0009</t>
  </si>
  <si>
    <t>KF-M10b-OFAT-0010</t>
  </si>
  <si>
    <t>KF-M10b-OFAT-0011</t>
  </si>
  <si>
    <t>KF-M10b-OFAT-0012</t>
  </si>
  <si>
    <t>KF-M10b-OFAT-0013</t>
  </si>
  <si>
    <t>KF-M10b-OFAT-0014</t>
  </si>
  <si>
    <t>KF-M10b-OFAT-0015</t>
  </si>
  <si>
    <t>KF-M10b-OFAT-0016</t>
  </si>
  <si>
    <t>KF-M10b-MALLA-0000</t>
  </si>
  <si>
    <t>KF-M10b-MALLA-0001</t>
  </si>
  <si>
    <t>KF-M10b-MALLA-0002</t>
  </si>
  <si>
    <t>KF-M10b-MALLA-0003</t>
  </si>
  <si>
    <t>KF-M10b-MALLA-0004</t>
  </si>
  <si>
    <t>KF-M10b-MALLA-0005</t>
  </si>
  <si>
    <t>KF-M10b-MALLA-0006</t>
  </si>
  <si>
    <t>KF-M10b-MALLA-0007</t>
  </si>
  <si>
    <t>KF-M10b-MALLA-0008</t>
  </si>
  <si>
    <t>KF-M10b-MALLA-0009</t>
  </si>
  <si>
    <t>KF-M10b-MALLA-0010</t>
  </si>
  <si>
    <t>KF-M10b-MALLA-0011</t>
  </si>
  <si>
    <t>KF-M10b-MALLA-0012</t>
  </si>
  <si>
    <t>KF-M10b-MALLA-0013</t>
  </si>
  <si>
    <t>KF-M10b-MALLA-0014</t>
  </si>
  <si>
    <t>KF-M10b-MALLA-0015</t>
  </si>
  <si>
    <t>KF-M10b-MALLA-0016</t>
  </si>
  <si>
    <t>KF-M10b-MALLA-0017</t>
  </si>
  <si>
    <t>KF-M10b-MALLA-0018</t>
  </si>
  <si>
    <t>KF-M10b-MALLA-0019</t>
  </si>
  <si>
    <t>KF-M10b-MALLA-0020</t>
  </si>
  <si>
    <t>KF-M10b-MALLA-0021</t>
  </si>
  <si>
    <t>KF-M10b-MALLA-0022</t>
  </si>
  <si>
    <t>KF-M10b-MALLA-0023</t>
  </si>
  <si>
    <t>KF-M10b-MALLA-0024</t>
  </si>
  <si>
    <t>KF-M10b-MALLA-0025</t>
  </si>
  <si>
    <t>KF-M10b-MALLA-0026</t>
  </si>
  <si>
    <t>KF-M10b-MALLA-0027</t>
  </si>
  <si>
    <t>KF-M10b-MALLA-0028</t>
  </si>
  <si>
    <t>KF-M10b-MALLA-0029</t>
  </si>
  <si>
    <t>KF-M10b-MALLA-0030</t>
  </si>
  <si>
    <t>KF-M10b-MALLA-0031</t>
  </si>
  <si>
    <t>KF-M10b-MALLA-0032</t>
  </si>
  <si>
    <t>KF-M10b-MALLA-0033</t>
  </si>
  <si>
    <t>KF-M10b-MALLA-0034</t>
  </si>
  <si>
    <t>KF-M10b-MALLA-0035</t>
  </si>
  <si>
    <t>KF-M10b-MALLA-0036</t>
  </si>
  <si>
    <t>KF-M10b-MALLA-0037</t>
  </si>
  <si>
    <t>KF-M10b-MALLA-0038</t>
  </si>
  <si>
    <t>KF-M10b-MALLA-0039</t>
  </si>
  <si>
    <t>KF-M10b-MALLA-0040</t>
  </si>
  <si>
    <t>KF-M10b-MALLA-0041</t>
  </si>
  <si>
    <t>KF-M10b-MALLA-0042</t>
  </si>
  <si>
    <t>KF-M10b-MALLA-0043</t>
  </si>
  <si>
    <t>KF-M10b-MALLA-0044</t>
  </si>
  <si>
    <t>KF-M10b-MALLA-0045</t>
  </si>
  <si>
    <t>KF-M10b-MALLA-0046</t>
  </si>
  <si>
    <t>KF-M10b-MALLA-0047</t>
  </si>
  <si>
    <t>KF-M10b-MALLA-0048</t>
  </si>
  <si>
    <t>KF-M10b-MALLA-0049</t>
  </si>
  <si>
    <t>KF-M10b-MALLA-0050</t>
  </si>
  <si>
    <t>KF-M10b-MALLA-0051</t>
  </si>
  <si>
    <t>KF-M10b-MALLA-0052</t>
  </si>
  <si>
    <t>KF-M10b-MALLA-0053</t>
  </si>
  <si>
    <t>estado</t>
  </si>
  <si>
    <t>valor_fijo</t>
  </si>
  <si>
    <t>min</t>
  </si>
  <si>
    <t>max</t>
  </si>
  <si>
    <t>n_valores</t>
  </si>
  <si>
    <t>igual_al_profesor</t>
  </si>
  <si>
    <t>unidad</t>
  </si>
  <si>
    <t>es_oat</t>
  </si>
  <si>
    <t>valor_base</t>
  </si>
  <si>
    <t>fijo</t>
  </si>
  <si>
    <t>barrido</t>
  </si>
  <si>
    <t>sin_dato</t>
  </si>
  <si>
    <t>KF-M08</t>
  </si>
  <si>
    <t>BX</t>
  </si>
  <si>
    <t>id_subcasos</t>
  </si>
  <si>
    <t>n_puntos</t>
  </si>
  <si>
    <t>firma</t>
  </si>
  <si>
    <t>consistente</t>
  </si>
  <si>
    <t>diferencias</t>
  </si>
  <si>
    <t>diferencias_barrido</t>
  </si>
  <si>
    <t>KF-M01-P_alta; KF-M01-base; KF-M01-x_b; KF-M01-T_amb</t>
  </si>
  <si>
    <t>fijos: T_fuente=623.15; T_sumidero=300.033; P_baja=400; x_b=0.5; m_b=1; eta_t=0.85; eta_p=0.75; eps_hrvg=0.85; eps_reg=0.75; eps_cond=0.8; motor=teqp | barridos: P_alta [2000, 4000] n=9</t>
  </si>
  <si>
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</si>
  <si>
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</si>
  <si>
    <t>fijos: T_fuente=623.15; T_sumidero=300.033; P_alta=3000; x_b=0.5; m_b=1; eta_t=0.85; eta_p=0.75; eps_reg=0.75; eps_cond=0.8; motor=teqp | barridos: P_baja [400, 2000] n=12; eps_hrvg [0.75, 0.81] n=3</t>
  </si>
  <si>
    <t>fijos: T_sumidero=300.033; P_alta=3000; x_b=0.5; m_b=1; eta_t=0.85; eta_p=0.75; eps_hrvg=0.85; eps_reg=0.75; eps_cond=0.8; motor=teqp | barridos: T_fuente [380, 560] n=9; P_baja [400, 2000] n=32</t>
  </si>
  <si>
    <t>fijos: T_fuente=623.15; T_sumidero=300.033; P_alta=3000; P_baja=400; x_b=0.5; m_b=1; motor=teqp | barridos: eta_t [0.4, 0.95] n=12; eta_p [0.4, 0.95] n=12; eps_hrvg [0.4, 0.95] n=32; eps_reg [0.4, 0.95] n=12; eps_cond [0.4, 0.95] n=12</t>
  </si>
  <si>
    <t>fijos: T_fuente=623.15; T_sumidero=300.033; P_alta=3000; P_baja=400; x_b=0.5; m_b=1; eta_t=0.85; eta_p=0.75; eps_reg=0.75; motor=teqp | barridos: eps_hrvg [0.4, 0.8] n=5; eps_cond [0.4, 0.95] n=12</t>
  </si>
  <si>
    <t>fijos: T_fuente=623.15; T_sumidero=300.033; P_alta=3000; x_b=0.5; m_b=1; eta_t=0.85; eta_p=0.75; eps_reg=0.75; eps_cond=0.8; motor=teqp | barridos: P_baja [400, 2000] n=20; eps_hrvg [0.4, 0.7] n=4</t>
  </si>
  <si>
    <t>fijos: T_sumidero=300.033; P_alta=3000; P_baja=400; x_b=0.5; m_b=1; eta_t=0.85; eta_p=0.75; eps_hrvg=0.85; eps_reg=0.75; motor=teqp | barridos: T_fuente [403, 560] n=7; eps_cond [0.85, 0.95] n=3</t>
  </si>
  <si>
    <t>fijos: T_fuente=403; P_alta=3000; x_b=0.5; m_b=1; eta_t=0.85; eta_p=0.75; eps_hrvg=0.85; eps_reg=0.75; eps_cond=0.8; motor=teqp | barridos: T_sumidero [278.15, 300.033] n=5; P_baja [150, 1500] n=28; T_amb_diseno [278.15, 300.033] n=5</t>
  </si>
  <si>
    <t>fijos: T_fuente=420; P_alta=3000; x_b=0.5; m_b=1; eta_t=0.85; eta_p=0.75; eps_hrvg=0.85; eps_reg=0.75; eps_cond=0.8; motor=teqp | barridos: T_sumidero [278.15, 300.033] n=5; P_baja [150, 1500] n=28; T_amb_diseno [278.15, 300.033] n=5</t>
  </si>
  <si>
    <t>fijos: T_fuente=623.15; P_alta=3000; x_b=0.5; m_b=1; eta_t=0.85; eta_p=0.75; eps_hrvg=0.4; eps_reg=0.75; eps_cond=0.8; motor=teqp | barridos: T_sumidero [278.15, 300.033] n=5; P_baja [150, 1500] n=30; T_amb_diseno [278.15, 300.033] n=5</t>
  </si>
  <si>
    <t>fijos: T_fuente=623.15; P_alta=3000; x_b=0.5; m_b=1; eta_t=0.85; eta_p=0.75; eps_hrvg=0.85; eps_reg=0.75; eps_cond=0.8; motor=teqp | barridos: T_sumidero [278.15, 300.033] n=5; P_baja [150, 1500] n=10; T_amb_diseno [278.15, 300.033] n=5</t>
  </si>
  <si>
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</si>
  <si>
    <t>KF-M04; KF-M04b</t>
  </si>
  <si>
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</si>
  <si>
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</si>
  <si>
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</si>
  <si>
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</si>
  <si>
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</si>
  <si>
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</si>
  <si>
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</si>
  <si>
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</si>
  <si>
    <t>fijos: P_alta=3000; P_baja=400; x_b=0.5; m_b=1; eta_t=0.85; eta_p=0.75; eps_hrvg=0.85; eps_reg=0.75; motor=teqp | barridos: T_fuente [385, 410] n=11; T_sumidero [278.15, 300.033] n=3; eps_cond [0.85, 0.95] n=5; T_amb_diseno [278.15, 300.033] n=3</t>
  </si>
  <si>
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</si>
  <si>
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</si>
  <si>
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</si>
  <si>
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</si>
  <si>
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</si>
  <si>
    <t>KF-M06-VER; KF-M06-PISO; KF-M06-SUB; KF-M09-REAL</t>
  </si>
  <si>
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</si>
  <si>
    <t>T_amb_diseno: KF-M06-VER=barrido [278.15, 302.581] n=5; KF-M06-PISO=fijo 303.55; KF-M06-SUB=sin_dato; KF-M09-REAL=barrido [283.15, 300.033] n=2 || motor: KF-M06-VER=barrido n=2; KF-M06-PISO=fijo teqp; KF-M06-SUB=sin_dato; KF-M09-REAL=fijo real</t>
  </si>
  <si>
    <t>P_baja: KF-M06-VER=[393.75, 2494.53] n=9; KF-M06-PISO=[393.75, 2494.53] n=9; KF-M06-SUB=[393.75, 2500] n=72; KF-M09-REAL=[400, 690] n=3</t>
  </si>
  <si>
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</si>
  <si>
    <t>fijos: T_fuente=394.15; T_sumidero=278.15; P_alta=3300; x_b=0.82; m_b=1; eta_t=0.9; eta_p=0.8; eps_hrvg=0.85; eps_reg=0.75; eps_cond=0.95; motor=teqp | barridos: P_baja [500, 1000] n=12; T_amb_diseno [278.15, 283.15] n=2</t>
  </si>
  <si>
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</si>
  <si>
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</si>
  <si>
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</si>
  <si>
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</si>
  <si>
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</si>
  <si>
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</si>
  <si>
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</si>
  <si>
    <t>fijos: P_alta=3000; x_b=0.5; m_b=1; eta_t=0.85; eta_p=0.75; eps_hrvg=0.85; eps_reg=0.75; eps_cond=0.8; motor=teqp | barridos: T_fuente [381.654, 516.651] n=30; T_sumidero [278.406, 303.235] n=30; P_baja [306.726, 1963.08] n=30; T_amb_diseno [278.406, 303.235] n=30</t>
  </si>
  <si>
    <t>fijos: P_alta=3000; P_baja=400; x_b=0.5; m_b=1; eta_t=0.85; eta_p=0.75; eps_hrvg=0.85; eps_reg=0.75; eps_cond=0.8; motor=teqp | barridos: T_fuente [384.24, 519.842] n=30; T_sumidero [278.206, 303.384] n=30; T_amb_diseno [278.206, 303.384] n=30</t>
  </si>
  <si>
    <t>fijos: T_fuente=623.15; P_alta=3000; x_b=0.5; m_b=1; eta_t=0.85; eta_p=0.75; eps_hrvg=0.85; eps_reg=0.75; eps_cond=0.8; motor=teqp | barridos: T_sumidero [278.669, 303.443] n=30; P_baja [317.027, 1948.29] n=30; T_amb_diseno [278.669, 303.443] n=30</t>
  </si>
  <si>
    <t>fijos: T_sumidero=300.033; P_alta=3000; x_b=0.5; m_b=1; eta_t=0.85; eta_p=0.75; eps_hrvg=0.85; eps_reg=0.75; eps_cond=0.8; T_amb_diseno=300.033; motor=teqp | barridos: T_fuente [381.62, 516.043] n=30; P_baja [333.586, 1956.25] n=30</t>
  </si>
  <si>
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</si>
  <si>
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</si>
  <si>
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</si>
  <si>
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</si>
  <si>
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</si>
  <si>
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</si>
  <si>
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</si>
  <si>
    <t>KF-M10-MALLA; KF-M10b-MALLA</t>
  </si>
  <si>
    <t>fijos: T_fuente=394.15; T_sumidero=278.15; P_alta=3300; m_b=1; eta_t=0.9; eta_p=0.8; eps_hrvg=0.85; eps_reg=0.75; eps_cond=0.95; T_amb_diseno=283.15; motor=teqp | barridos: P_baja [500, 1200] n=8; x_b [0.7, 0.91] n=8</t>
  </si>
  <si>
    <t>P_baja: KF-M10-MALLA=[500, 1200] n=8; KF-M10b-MALLA=[200, 700] n=6 || x_b: KF-M10-MALLA=[0.7, 0.91] n=8; KF-M10b-MALLA=[0.3, 0.7] n=9</t>
  </si>
  <si>
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</si>
  <si>
    <t>fijos: T_fuente=394.15; T_sumidero=278.15; P_alta=3300; P_baja=690; m_b=1; eta_t=0.9; eta_p=0.8; eps_hrvg=0.85; eps_reg=0.75; eps_cond=0.95; T_amb_diseno=283.15; motor=teqp | barridos: x_b [0.3, 0.7] n=17</t>
  </si>
  <si>
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</si>
  <si>
    <t>clave</t>
  </si>
  <si>
    <t>corridas</t>
  </si>
  <si>
    <t>genuinas</t>
  </si>
  <si>
    <t>kalina</t>
  </si>
  <si>
    <t>confiables</t>
  </si>
  <si>
    <t>eta_max</t>
  </si>
  <si>
    <t>criterio</t>
  </si>
  <si>
    <t>eje_x</t>
  </si>
  <si>
    <t>eje_y</t>
  </si>
  <si>
    <t>pie</t>
  </si>
  <si>
    <t>Datos fijos: T_fuente = 623.15 K; P_baja = 400 kPa; m_b = 1 kg/s; η_t = 0.85; η_p = 0.75; ε_HRVG = 0.85; ε_reg = 0.75; ε_cond = 0.8.  ·  Datos barridos: T_sumidero [297.95–303.55] K (23 valores); P_alta [2000–4000] kPa (9 valores); x_b [0.4–0.7] (7 valores); motor de propiedades (2 valores).</t>
  </si>
  <si>
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  ·  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</si>
  <si>
    <t>Datos fijos: T_fuente = 623.15 K; T_sumidero = 300.03 K; P_alta = 3000 kPa; x_b = 0.5; m_b = 1 kg/s; η_t = 0.85; η_p = 0.75; ε_reg = 0.75; ε_cond = 0.8; motor de propiedades = teqp.  ·  Datos barridos: P_baja [400–2000] kPa (12 valores); ε_HRVG [0.75–0.81] (3 valores).</t>
  </si>
  <si>
    <t>Datos fijos: T_sumidero = 300.03 K; P_alta = 3000 kPa; x_b = 0.5; m_b = 1 kg/s; η_t = 0.85; η_p = 0.75; ε_HRVG = 0.85; ε_reg = 0.75; ε_cond = 0.8; motor de propiedades = teqp.  ·  Datos barridos: T_fuente [380–560] K (9 valores); P_baja [400–2000] kPa (32 valores).</t>
  </si>
  <si>
    <t>Datos fijos: T_fuente = 623.15 K; T_sumidero = 300.03 K; P_alta = 3000 kPa; P_baja = 400 kPa; x_b = 0.5; m_b = 1 kg/s; motor de propiedades = teqp.  ·  Datos barridos: η_t [0.4–0.95] (12 valores); η_p [0.4–0.95] (12 valores); ε_HRVG [0.4–0.95] (32 valores); ε_reg [0.4–0.95] (12 valores); ε_cond [0.4–0.95] (12 valores).</t>
  </si>
  <si>
    <t>Datos fijos: T_fuente = 623.15 K; T_sumidero = 300.03 K; P_alta = 3000 kPa; P_baja = 400 kPa; x_b = 0.5; m_b = 1 kg/s; η_t = 0.85; η_p = 0.75; ε_reg = 0.75; motor de propiedades = teqp.  ·  Datos barridos: ε_HRVG [0.4–0.8] (5 valores); ε_cond [0.4–0.95] (12 valores).</t>
  </si>
  <si>
    <t>Datos fijos: T_fuente = 623.15 K; T_sumidero = 300.03 K; P_alta = 3000 kPa; x_b = 0.5; m_b = 1 kg/s; η_t = 0.85; η_p = 0.75; ε_reg = 0.75; ε_cond = 0.8; motor de propiedades = teqp.  ·  Datos barridos: P_baja [400–2000] kPa (20 valores); ε_HRVG [0.4–0.7] (4 valores).</t>
  </si>
  <si>
    <t>Datos fijos: T_sumidero = 300.03 K; P_alta = 3000 kPa; P_baja = 400 kPa; x_b = 0.5; m_b = 1 kg/s; η_t = 0.85; η_p = 0.75; ε_HRVG = 0.85; ε_reg = 0.75; motor de propiedades = teqp.  ·  Datos barridos: T_fuente [403–560] K (7 valores); ε_cond [0.85–0.95] (3 valores).</t>
  </si>
  <si>
    <t>Datos fijos: T_fuente = 403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</si>
  <si>
    <t>Datos fijos: T_fuente = 420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</si>
  <si>
    <t>Datos fijos: T_fuente = 623.15 K; P_alta = 3000 kPa; x_b = 0.5; m_b = 1 kg/s; η_t = 0.85; η_p = 0.75; ε_HRVG = 0.4; ε_reg = 0.75; ε_cond = 0.8; motor de propiedades = teqp.  ·  Datos barridos: T_sumidero [278.15–300.03] K (5 valores); P_baja [150–1500] kPa (30 valores); piso de O2 [278.15–300.03] K (5 valores).</t>
  </si>
  <si>
    <t>Datos fijos: T_fuente = 623.15 K; P_alta = 3000 kPa; x_b = 0.5; m_b = 1 kg/s; η_t = 0.85; η_p = 0.75; ε_HRVG = 0.85; ε_reg = 0.75; ε_cond = 0.8; motor de propiedades = teqp.  ·  Datos barridos: T_sumidero [278.15–300.03] K (5 valores); P_baja [150–1500] kPa (10 valores); piso de O2 [278.15–300.03] K (5 valores).</t>
  </si>
  <si>
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  ·  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</si>
  <si>
    <t>Datos fijos: m_b = 1 kg/s; motor de propiedades = teqp.  ·  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</si>
  <si>
    <t>Datos fijos: m_b = 1 kg/s; motor de propiedades = teqp.  ·  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</si>
  <si>
    <t>Datos fijos: T_fuente = 623.15 K; T_sumidero = 300.03 K; m_b = 1 kg/s; piso de O2 = 300.03 K; motor de propiedades = teqp.  ·  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</si>
  <si>
    <t>Datos fijos: P_alta = 3000 kPa; P_baja = 400 kPa; m_b = 1 kg/s; motor de propiedades = teqp.  ·  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</si>
  <si>
    <t>Datos fijos: T_sumidero = 300.03 K; P_alta = 3000 kPa; P_baja = 400 kPa; m_b = 1 kg/s; piso de O2 = 300.03 K; motor de propiedades = teqp.  ·  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</si>
  <si>
    <t>Datos fijos: T_fuente = 623.15 K; T_sumidero = 300.03 K; P_alta = 3000 kPa; m_b = 1 kg/s; piso de O2 = 300.03 K; motor de propiedades = teqp.  ·  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</si>
  <si>
    <t>Datos fijos: T_fuente = 623.15 K; x_b = 0.5; m_b = 1 kg/s; motor de propiedades = teqp.  ·  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</si>
  <si>
    <t>Datos fijos: P_alta = 3000 kPa; P_baja = 400 kPa; x_b = 0.5; m_b = 1 kg/s; η_t = 0.85; η_p = 0.75; ε_HRVG = 0.85; ε_reg = 0.75; motor de propiedades = teqp.  ·  Datos barridos: T_fuente [385–410] K (11 valores); T_sumidero [278.15–300.03] K (3 valores); ε_cond [0.85–0.95] (5 valores); piso de O2 [278.15–300.03] K (3 valores).</t>
  </si>
  <si>
    <t>Datos fijos: m_b = 1 kg/s; motor de propiedades = teqp.  ·  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</si>
  <si>
    <t>Datos fijos: m_b = 1 kg/s; motor de propiedades = teqp.  ·  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</si>
  <si>
    <t>Datos fijos: T_fuente = 623.15 K; T_sumidero = 300.03 K; m_b = 1 kg/s; piso de O2 = 300.03 K; motor de propiedades = teqp.  ·  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</si>
  <si>
    <t>Datos fijos: T_sumidero = 300.03 K; P_alta = 3000 kPa; P_baja = 400 kPa; m_b = 1 kg/s; piso de O2 = 300.03 K; motor de propiedades = teqp.  ·  Datos barridos: T_fuente [391–427] K (4 valores); x_b [0.5–0.535] (2 valores); η_t [0.795–0.95] (5 valores); η_p [0.695–0.86] (4 valores); ε_HRVG [0.795–0.95] (4 valores); ε_reg [0.695–0.95] (7 valores); ε_cond [0.895–0.95] (2 valores).</t>
  </si>
  <si>
    <t>Datos fijos: T_fuente = 623.15 K; x_b = 0.5; m_b = 1 kg/s; motor de propiedades = teqp.  ·  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</si>
  <si>
    <t>Datos fijos: ninguno.  ·  Datos barridos: T_fuente [390–623.15] K (8 valores); T_sumidero [278.15–302.58] K (5 valores); P_alta [3000–5000] kPa (6 valores); P_baja [393.75–2500] kPa (72 valores); x_b [0.5–0.85] (5 valores); η_t [0.78075–0.95] (6 valores); η_p [0.57607–0.87178] (6 valores); ε_HRVG [0.4–0.95] (7 valores); ε_reg [0.68511–0.95] (6 valores); ε_cond [0.8–0.95] (7 valores); piso de O2 [278.15–302.58] K (5 valores); motor de propiedades (2 valores).</t>
  </si>
  <si>
    <t>Datos fijos: T_fuente = 623.15 K; m_b = 1 kg/s; motor de propiedades = teqp.  ·  Datos barridos: T_sumidero [278.34–303.38] K (100 valores); P_alta [2028.6–4974.7] kPa (100 valores); P_baja [310.76–1986.6] kPa (100 valores); x_b [0.5034–0.84989] (100 valores); η_t [0.40229–0.94911] (100 valores); η_p [0.4002–0.94989] (100 valores); ε_HRVG [0.40275–0.94523] (100 valores); ε_reg [0.40096–0.94825] (100 valores); ε_cond [0.40059–0.94905] (100 valores); piso de O2 [278.34–303.38] K (100 valores).</t>
  </si>
  <si>
    <t>Datos fijos: m_b = 1 kg/s; η_t = 0.85; η_p = 0.75; ε_HRVG = 0.85; ε_reg = 0.75; ε_cond = 0.8; motor de propiedades = teqp.  ·  Datos barridos: T_fuente [380.44–519.56] K (100 valores); T_sumidero [278.19–303.53] K (100 valores); P_alta [2000.1–4999.5] kPa (100 valores); P_baja [310.68–1987] kPa (100 valores); x_b [0.5024–0.84766] (100 valores); piso de O2 [278.19–303.53] K (99 valores).</t>
  </si>
  <si>
    <t>Datos fijos: P_alta = 3000 kPa; m_b = 1 kg/s; motor de propiedades = teqp.  ·  Datos barridos: T_fuente [380.83–519.23] K (100 valores); T_sumidero [278.18–303.38] K (100 valores); P_baja [302.71–1996.1] kPa (100 valores); x_b [0.50042–0.84732] (100 valores); η_t [0.40001–0.94581] (100 valores); η_p [0.40064–0.94501] (100 valores); ε_HRVG [0.4042–0.9495] (100 valores); ε_reg [0.40036–0.94776] (100 valores); ε_cond [0.4016–0.94517] (100 valores); piso de O2 [278.18–303.38] K (100 valores).</t>
  </si>
  <si>
    <t>Datos fijos: P_baja = 400 kPa; m_b = 1 kg/s; motor de propiedades = teqp.  ·  Datos barridos: T_fuente [380.17–519.32] K (100 valores); T_sumidero [278.2–303.38] K (100 valores); P_alta [2021.5–4978.4] kPa (100 valores); x_b [0.50197–0.84661] (100 valores); η_t [0.4053–0.9466] (100 valores); η_p [0.40469–0.94995] (100 valores); ε_HRVG [0.40114–0.94753] (100 valores); ε_reg [0.40125–0.94595] (100 valores); ε_cond [0.40216–0.94462] (100 valores); piso de O2 [278.2–303.38] K (100 valores).</t>
  </si>
  <si>
    <t>Datos fijos: T_sumidero = 300.03 K; m_b = 1 kg/s; piso de O2 = 300.03 K; motor de propiedades = teqp.  ·  Datos barridos: T_fuente [380.15–519.05] K (100 valores); P_alta [2007.3–4982.8] kPa (100 valores); P_baja [306.34–1990.7] kPa (100 valores); x_b [0.50254–0.84706] (100 valores); η_t [0.40548–0.94528] (100 valores); η_p [0.40023–0.94499] (100 valores); ε_HRVG [0.40366–0.94783] (100 valores); ε_reg [0.40294–0.94836] (100 valores); ε_cond [0.4005–0.94609] (100 valores).</t>
  </si>
  <si>
    <t>Datos fijos: x_b = 0.5; m_b = 1 kg/s; motor de propiedades = teqp.  ·  Datos barridos: T_fuente [380.96–519.59] K (100 valores); T_sumidero [278.16–303.42] K (100 valores); P_alta [2022.4–4977.3] kPa (100 valores); P_baja [316.78–1998.8] kPa (100 valores); η_t [0.40154–0.94956] (100 valores); η_p [0.40172–0.9459] (100 valores); ε_HRVG [0.4016–0.94961] (100 valores); ε_reg [0.40243–0.9448] (100 valores); ε_cond [0.40398–0.94769] (100 valores); piso de O2 [278.16–303.42] K (99 valores).</t>
  </si>
  <si>
    <t>Datos fijos: T_fuente = 623.15 K; x_b = 0.5; m_b = 1 kg/s; motor de propiedades = teqp.  ·  Datos barridos: T_sumidero [278.85–302.95] K (30 valores); P_alta [2053.5–4944.1] kPa (30 valores); P_baja [340.4–1956.6] kPa (30 valores); η_t [0.40522–0.947] (30 valores); η_p [0.41022–0.93982] (30 valores); ε_HRVG [0.4138–0.93543] (30 valores); ε_reg [0.40078–0.93921] (30 valores); ε_cond [0.40579–0.94417] (30 valores); piso de O2 [278.85–302.95] K (29 valores).</t>
  </si>
  <si>
    <t>Datos fijos: x_b = 0.5; m_b = 1 kg/s; η_t = 0.85; η_p = 0.75; ε_HRVG = 0.85; ε_reg = 0.75; ε_cond = 0.8; motor de propiedades = teqp.  ·  Datos barridos: T_fuente [384.04–517.01] K (30 valores); T_sumidero [278.55–303.53] K (30 valores); P_alta [2057.9–4961.3] kPa (30 valores); P_baja [330.15–1943.5] kPa (30 valores); piso de O2 [278.55–303.53] K (30 valores).</t>
  </si>
  <si>
    <t>Datos fijos: P_alta = 3000 kPa; x_b = 0.5; m_b = 1 kg/s; motor de propiedades = teqp.  ·  Datos barridos: T_fuente [382.6–518.07] K (30 valores); T_sumidero [278.39–302.73] K (30 valores); P_baja [342.09–1989.5] kPa (30 valores); η_t [0.41094–0.93577] (30 valores); η_p [0.41642–0.94651] (30 valores); ε_HRVG [0.40346–0.94556] (30 valores); ε_reg [0.41554–0.934] (30 valores); ε_cond [0.41419–0.94569] (30 valores); piso de O2 [278.39–302.73] K (30 valores).</t>
  </si>
  <si>
    <t>Datos fijos: P_baja = 400 kPa; x_b = 0.5; m_b = 1 kg/s; motor de propiedades = teqp.  ·  Datos barridos: T_fuente [384–516.49] K (30 valores); T_sumidero [278.74–303.44] K (30 valores); P_alta [2074.9–4986.8] kPa (30 valores); η_t [0.40304–0.94848] (30 valores); η_p [0.41784–0.94777] (30 valores); ε_HRVG [0.40443–0.94263] (30 valores); ε_reg [0.40448–0.94052] (30 valores); ε_cond [0.41717–0.94273] (30 valores); piso de O2 [278.74–303.44] K (30 valores).</t>
  </si>
  <si>
    <t>Datos fijos: T_sumidero = 300.03 K; x_b = 0.5; m_b = 1 kg/s; piso de O2 = 300.03 K; motor de propiedades = teqp.  ·  Datos barridos: T_fuente [383.81–519.8] K (30 valores); P_alta [2083.4–4923.8] kPa (30 valores); P_baja [312.41–1972.6] kPa (30 valores); η_t [0.40191–0.93333] (30 valores); η_p [0.41378–0.94129] (30 valores); ε_HRVG [0.41737–0.94993] (30 valores); ε_reg [0.41211–0.93198] (30 valores); ε_cond [0.41483–0.93561] (30 valores).</t>
  </si>
  <si>
    <t>Datos fijos: T_fuente = 623.15 K; P_alta = 3000 kPa; x_b = 0.5; m_b = 1 kg/s; motor de propiedades = teqp.  ·  Datos barridos: T_sumidero [278.6–303.08] K (30 valores); P_baja [311.17–1974.7] kPa (30 valores); η_t [0.40503–0.94334] (30 valores); η_p [0.4077–0.93892] (30 valores); ε_HRVG [0.40971–0.93394] (30 valores); ε_reg [0.40991–0.94641] (30 valores); ε_cond [0.41021–0.9461] (30 valores); piso de O2 [278.6–303.08] K (30 valores).</t>
  </si>
  <si>
    <t>Datos fijos: P_alta = 3000 kPa; x_b = 0.5; m_b = 1 kg/s; η_t = 0.85; η_p = 0.75; ε_HRVG = 0.85; ε_reg = 0.75; ε_cond = 0.8; motor de propiedades = teqp.  ·  Datos barridos: T_fuente [381.65–516.65] K (30 valores); T_sumidero [278.41–303.23] K (30 valores); P_baja [306.73–1963.1] kPa (30 valores); piso de O2 [278.41–303.23] K (30 valores).</t>
  </si>
  <si>
    <t>Datos fijos: P_alta = 3000 kPa; P_baja = 400 kPa; x_b = 0.5; m_b = 1 kg/s; motor de propiedades = teqp.  ·  Datos barridos: T_fuente [380.09–515.82] K (30 valores); T_sumidero [278.22–303.2] K (30 valores); η_t [0.40814–0.94996] (30 valores); η_p [0.41112–0.94217] (30 valores); ε_HRVG [0.4112–0.93654] (30 valores); ε_reg [0.41069–0.93978] (30 valores); ε_cond [0.41309–0.94806] (30 valores); piso de O2 [278.22–303.2] K (30 valores).</t>
  </si>
  <si>
    <t>Datos fijos: T_sumidero = 300.03 K; P_alta = 3000 kPa; x_b = 0.5; m_b = 1 kg/s; piso de O2 = 300.03 K; motor de propiedades = teqp.  ·  Datos barridos: T_fuente [383.95–517.82] K (30 valores); P_baja [338.08–1945] kPa (30 valores); η_t [0.4078–0.93532] (30 valores); η_p [0.41592–0.94183] (30 valores); ε_HRVG [0.40868–0.94823] (30 valores); ε_reg [0.40765–0.93658] (30 valores); ε_cond [0.41595–0.93779] (30 valores).</t>
  </si>
  <si>
    <t>Datos fijos: T_fuente = 623.15 K; P_alta = 3000 kPa; x_b = 0.5; m_b = 1 kg/s; η_t = 0.85; η_p = 0.75; ε_HRVG = 0.85; ε_reg = 0.75; ε_cond = 0.8; motor de propiedades = teqp.  ·  Datos barridos: T_sumidero [278.67–303.44] K (30 valores); P_baja [317.03–1948.3] kPa (30 valores); piso de O2 [278.67–303.44] K (30 valores).</t>
  </si>
  <si>
    <t>Datos fijos: P_alta = 3000 kPa; P_baja = 400 kPa; x_b = 0.5; m_b = 1 kg/s; η_t = 0.85; η_p = 0.75; ε_HRVG = 0.85; ε_reg = 0.75; ε_cond = 0.8; motor de propiedades = teqp.  ·  Datos barridos: T_fuente [384.24–519.84] K (30 valores); T_sumidero [278.21–303.38] K (30 valores); piso de O2 [278.21–303.38] K (30 valores).</t>
  </si>
  <si>
    <t>Datos fijos: T_sumidero = 300.03 K; P_alta = 3000 kPa; x_b = 0.5; m_b = 1 kg/s; η_t = 0.85; η_p = 0.75; ε_HRVG = 0.85; ε_reg = 0.75; ε_cond = 0.8; piso de O2 = 300.03 K; motor de propiedades = teqp.  ·  Datos barridos: T_fuente [381.62–516.04] K (30 valores); P_baja [333.59–1956.3] kPa (30 valores).</t>
  </si>
  <si>
    <t>Datos fijos: T_fuente = 394.15 K; T_sumidero = 278.15 K; P_alta = 3300 kPa; x_b = 0.82; m_b = 1 kg/s; η_t = 0.9; η_p = 0.8; ε_HRVG = 0.85; ε_reg = 0.75; ε_cond = 0.95; motor de propiedades = teqp.  ·  Datos barridos: P_baja [500–1000] kPa (12 valores); piso de O2 [278.15–283.15] K (2 valores).</t>
  </si>
  <si>
    <t>Datos fijos: T_fuente = 394.15 K; T_sumidero = 278.15 K; m_b = 1 kg/s; η_p = 0.8; ε_HRVG = 0.85; motor de propiedades = teqp.  ·  Datos barridos: P_alta [3300–3500] kPa (3 valores); P_baja [670–1500] kPa (40 valores); x_b [0.78–0.83333] (6 valores); η_t [0.85–0.98] (8 valores); ε_reg [0.75–0.95] (12 valores); ε_cond [0.95–0.99] (5 valores); piso de O2 [283.15–303.55] K (2 valores).</t>
  </si>
  <si>
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  ·  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</si>
  <si>
    <t>Datos fijos: T_fuente = 394.15 K; T_sumidero = 278.15 K; P_alta = 3300 kPa; m_b = 1 kg/s; η_t = 0.9; η_p = 0.8; ε_HRVG = 0.85; ε_reg = 0.75; ε_cond = 0.95; piso de O2 = 283.15 K; motor de propiedades = teqp.  ·  Datos barridos: P_baja [200–1200] kPa (8 valores); x_b [0.3–0.91] (9 valores).</t>
  </si>
  <si>
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  ·  Datos barridos (uno a la vez): x_b [0.3–0.7] (17 valores).</t>
  </si>
  <si>
    <t>descripcion</t>
  </si>
  <si>
    <t>KF-M01-P_alta, KF-M01-base, KF-M01-x_b, KF-M01-T_amb</t>
  </si>
  <si>
    <t>KF-M04, KF-M04b</t>
  </si>
  <si>
    <t>KF-M06-VER, KF-M06-PISO, KF-M06-SUB, KF-M09-REAL</t>
  </si>
  <si>
    <t>KF-M10-MALLA, KF-M10b-MALLA</t>
  </si>
  <si>
    <t>clase_KALINA</t>
  </si>
  <si>
    <t>clase_CORREGIBLE</t>
  </si>
  <si>
    <t>clase_INVIABLE</t>
  </si>
  <si>
    <t>clase_NO_CONVERGIO</t>
  </si>
  <si>
    <t>clase_N2</t>
  </si>
  <si>
    <t>crit_viol_O1</t>
  </si>
  <si>
    <t>crit_viol_O2</t>
  </si>
  <si>
    <t>crit_viol_O3</t>
  </si>
  <si>
    <t>crit_viol_O5</t>
  </si>
  <si>
    <t>cond_T_fuente</t>
  </si>
  <si>
    <t>Fija: 623.15 K</t>
  </si>
  <si>
    <t>Una a la vez (punto base 623.15 K; rango 340–623.15)</t>
  </si>
  <si>
    <t>Barrida: 380 – 560 K</t>
  </si>
  <si>
    <t>Barrida: 403 – 560 K</t>
  </si>
  <si>
    <t>Fija: 403.0 K</t>
  </si>
  <si>
    <t>Fija: 420.0 K</t>
  </si>
  <si>
    <t>Una a la vez (punto base 403.0 K; rango 340–623.15)</t>
  </si>
  <si>
    <t>Barrida: 380.23 – 499.941 K</t>
  </si>
  <si>
    <t>Barrida: 380.746 – 499.827 K</t>
  </si>
  <si>
    <t>Barrida: 381.609 – 621.774 K</t>
  </si>
  <si>
    <t>Barrida: 380.234 – 622.401 K</t>
  </si>
  <si>
    <t>Barrida: 385 – 410 K</t>
  </si>
  <si>
    <t>Barrida: 424.097 – 448.097 K</t>
  </si>
  <si>
    <t>Barrida: 408 – 432 K</t>
  </si>
  <si>
    <t>Barrida: 391 – 427 K</t>
  </si>
  <si>
    <t>Distinta según el subcaso (ver hoja de condiciones del caso)</t>
  </si>
  <si>
    <t>Barrida: 380.438 – 519.56 K</t>
  </si>
  <si>
    <t>Barrida: 380.828 – 519.225 K</t>
  </si>
  <si>
    <t>Barrida: 380.174 – 519.32 K</t>
  </si>
  <si>
    <t>Barrida: 380.151 – 519.053 K</t>
  </si>
  <si>
    <t>Barrida: 380.962 – 519.59 K</t>
  </si>
  <si>
    <t>Barrida: 384.037 – 517.014 K</t>
  </si>
  <si>
    <t>Barrida: 382.6 – 518.065 K</t>
  </si>
  <si>
    <t>Barrida: 383.998 – 516.488 K</t>
  </si>
  <si>
    <t>Barrida: 383.808 – 519.796 K</t>
  </si>
  <si>
    <t>Barrida: 381.654 – 516.651 K</t>
  </si>
  <si>
    <t>Barrida: 380.09 – 515.817 K</t>
  </si>
  <si>
    <t>Barrida: 383.95 – 517.819 K</t>
  </si>
  <si>
    <t>Barrida: 384.24 – 519.842 K</t>
  </si>
  <si>
    <t>Barrida: 381.62 – 516.043 K</t>
  </si>
  <si>
    <t>Fija: 394.15 K</t>
  </si>
  <si>
    <t>Una a la vez (punto base 394.15 K; rango 380–430)</t>
  </si>
  <si>
    <t>cond_T_sumidero</t>
  </si>
  <si>
    <t>Una a la vez (punto base 300.033 K; rango 283.15–303.55)</t>
  </si>
  <si>
    <t>Fija: 300.032917 K</t>
  </si>
  <si>
    <t>Barrida: 278.15 – 300.033 K</t>
  </si>
  <si>
    <t>Barrida: 278.183 – 303.54 K</t>
  </si>
  <si>
    <t>Barrida: 278.278 – 303.41 K</t>
  </si>
  <si>
    <t>Barrida: 278.262 – 303.479 K</t>
  </si>
  <si>
    <t>Barrida: 278.281 – 303.358 K</t>
  </si>
  <si>
    <t>Barrida: 278.15 – 281.638 K</t>
  </si>
  <si>
    <t>Barrida: 278.15 – 280.69 K</t>
  </si>
  <si>
    <t>Barrida: 300.041 – 303.55 K</t>
  </si>
  <si>
    <t>Barrida: 278.344 – 303.376 K</t>
  </si>
  <si>
    <t>Barrida: 278.188 – 303.528 K</t>
  </si>
  <si>
    <t>Barrida: 278.18 – 303.381 K</t>
  </si>
  <si>
    <t>Barrida: 278.201 – 303.38 K</t>
  </si>
  <si>
    <t>Barrida: 278.161 – 303.421 K</t>
  </si>
  <si>
    <t>Barrida: 278.848 – 302.949 K</t>
  </si>
  <si>
    <t>Barrida: 278.55 – 303.53 K</t>
  </si>
  <si>
    <t>Barrida: 278.393 – 302.731 K</t>
  </si>
  <si>
    <t>Barrida: 278.739 – 303.442 K</t>
  </si>
  <si>
    <t>Barrida: 278.604 – 303.079 K</t>
  </si>
  <si>
    <t>Barrida: 278.406 – 303.235 K</t>
  </si>
  <si>
    <t>Barrida: 278.219 – 303.196 K</t>
  </si>
  <si>
    <t>Barrida: 278.669 – 303.443 K</t>
  </si>
  <si>
    <t>Barrida: 278.206 – 303.384 K</t>
  </si>
  <si>
    <t>Fija: 278.15 K</t>
  </si>
  <si>
    <t>Una a la vez (punto base 278.15 K; rango 273.15–293.15)</t>
  </si>
  <si>
    <t>cond_P_alta</t>
  </si>
  <si>
    <t>Una a la vez (punto base 3000.0 kPa; rango 1000–10000)</t>
  </si>
  <si>
    <t>Fija: 3000.0 kPa</t>
  </si>
  <si>
    <t>Barrida: 2005.4 – 4991.23 kPa</t>
  </si>
  <si>
    <t>Barrida: 2015.69 – 4995.76 kPa</t>
  </si>
  <si>
    <t>Barrida: 2000.11 – 4986.58 kPa</t>
  </si>
  <si>
    <t>Barrida: 2023 – 4997.47 kPa</t>
  </si>
  <si>
    <t>Barrida: 3181.82 – 4681.82 kPa</t>
  </si>
  <si>
    <t>Barrida: 2700 – 3300 kPa</t>
  </si>
  <si>
    <t>Barrida: 3605.95 – 5000 kPa</t>
  </si>
  <si>
    <t>Barrida: 4508.34 – 5000 kPa</t>
  </si>
  <si>
    <t>Barrida: 2028.57 – 4974.75 kPa</t>
  </si>
  <si>
    <t>Barrida: 2000.1 – 4999.52 kPa</t>
  </si>
  <si>
    <t>Barrida: 2021.51 – 4978.35 kPa</t>
  </si>
  <si>
    <t>Barrida: 2007.35 – 4982.75 kPa</t>
  </si>
  <si>
    <t>Barrida: 2022.35 – 4977.25 kPa</t>
  </si>
  <si>
    <t>Barrida: 2053.48 – 4944.13 kPa</t>
  </si>
  <si>
    <t>Barrida: 2057.91 – 4961.27 kPa</t>
  </si>
  <si>
    <t>Barrida: 2074.92 – 4986.77 kPa</t>
  </si>
  <si>
    <t>Barrida: 2083.43 – 4923.78 kPa</t>
  </si>
  <si>
    <t>Fija: 3300.0 kPa</t>
  </si>
  <si>
    <t>Barrida: 3300 – 3500 kPa</t>
  </si>
  <si>
    <t>Una a la vez (punto base 3300.0 kPa; rango 2500–4000)</t>
  </si>
  <si>
    <t>cond_P_baja</t>
  </si>
  <si>
    <t>Fija: 400.0 kPa</t>
  </si>
  <si>
    <t>Una a la vez (punto base 400.0 kPa; rango 150–1500)</t>
  </si>
  <si>
    <t>Barrida: 400 – 2000 kPa</t>
  </si>
  <si>
    <t>Barrida: 150 – 1500 kPa</t>
  </si>
  <si>
    <t>Una a la vez (punto base 563.636 kPa; rango 150–1500)</t>
  </si>
  <si>
    <t>Barrida: 302.949 – 1498 kPa</t>
  </si>
  <si>
    <t>Barrida: 1501.26 – 2494.53 kPa</t>
  </si>
  <si>
    <t>Barrida: 202.14 – 1989.72 kPa</t>
  </si>
  <si>
    <t>Barrida: 211.417 – 1985.57 kPa</t>
  </si>
  <si>
    <t>Barrida: 206.126 – 1999.26 kPa</t>
  </si>
  <si>
    <t>Barrida: 588.34 – 1028.34 kPa</t>
  </si>
  <si>
    <t>Barrida: 300 – 613.75 kPa</t>
  </si>
  <si>
    <t>Barrida: 1139.56 – 1579.56 kPa</t>
  </si>
  <si>
    <t>Barrida: 802.274 – 1462.27 kPa</t>
  </si>
  <si>
    <t>Barrida: 393.75 – 2500 kPa</t>
  </si>
  <si>
    <t>Barrida: 310.761 – 1986.56 kPa</t>
  </si>
  <si>
    <t>Barrida: 310.675 – 1987 kPa</t>
  </si>
  <si>
    <t>Barrida: 302.713 – 1996.13 kPa</t>
  </si>
  <si>
    <t>Barrida: 306.34 – 1990.7 kPa</t>
  </si>
  <si>
    <t>Barrida: 316.784 – 1998.76 kPa</t>
  </si>
  <si>
    <t>Barrida: 340.403 – 1956.57 kPa</t>
  </si>
  <si>
    <t>Barrida: 330.145 – 1943.5 kPa</t>
  </si>
  <si>
    <t>Barrida: 342.086 – 1989.51 kPa</t>
  </si>
  <si>
    <t>Barrida: 312.409 – 1972.61 kPa</t>
  </si>
  <si>
    <t>Barrida: 311.166 – 1974.73 kPa</t>
  </si>
  <si>
    <t>Barrida: 306.726 – 1963.08 kPa</t>
  </si>
  <si>
    <t>Barrida: 338.076 – 1944.95 kPa</t>
  </si>
  <si>
    <t>Barrida: 317.027 – 1948.29 kPa</t>
  </si>
  <si>
    <t>Barrida: 333.586 – 1956.25 kPa</t>
  </si>
  <si>
    <t>Barrida: 500 – 1000 kPa</t>
  </si>
  <si>
    <t>Barrida: 670 – 1500 kPa</t>
  </si>
  <si>
    <t>Una a la vez (punto base 690.0 kPa; rango 500–1200)</t>
  </si>
  <si>
    <t>Barrida: 200 – 1200 kPa</t>
  </si>
  <si>
    <t>Fija: 690.0 kPa</t>
  </si>
  <si>
    <t>cond_x_b</t>
  </si>
  <si>
    <t>Una a la vez (punto base 0.5; rango 0.3–0.9)</t>
  </si>
  <si>
    <t>Fija: 0.5</t>
  </si>
  <si>
    <t>Barrida: 0.500115 – 0.849984</t>
  </si>
  <si>
    <t>Barrida: 0.502301 – 0.849527</t>
  </si>
  <si>
    <t>Barrida: 0.501239 – 0.84895</t>
  </si>
  <si>
    <t>Barrida: 0.500843 – 0.847315</t>
  </si>
  <si>
    <t>Barrida: 0.500235 – 0.849316</t>
  </si>
  <si>
    <t>Barrida: 0.502261 – 0.847941</t>
  </si>
  <si>
    <t>Barrida: 0.599749 – 0.704749</t>
  </si>
  <si>
    <t>Barrida: 0.5 – 0.535</t>
  </si>
  <si>
    <t>Barrida: 0.794478 – 0.85</t>
  </si>
  <si>
    <t>Barrida: 0.503397 – 0.849888</t>
  </si>
  <si>
    <t>Barrida: 0.502398 – 0.847662</t>
  </si>
  <si>
    <t>Barrida: 0.500418 – 0.847315</t>
  </si>
  <si>
    <t>Barrida: 0.501974 – 0.84661</t>
  </si>
  <si>
    <t>Barrida: 0.50254 – 0.847062</t>
  </si>
  <si>
    <t>Fija: 0.82</t>
  </si>
  <si>
    <t>Barrida: 0.78 – 0.833333</t>
  </si>
  <si>
    <t>Una a la vez (punto base 0.82; rango 0.6–0.95)</t>
  </si>
  <si>
    <t>Barrida: 0.3 – 0.91</t>
  </si>
  <si>
    <t>Una a la vez (punto base 0.3; rango 0.3–0.7)</t>
  </si>
  <si>
    <t>cond_m_b</t>
  </si>
  <si>
    <t>Fija: 1.0 kg/s</t>
  </si>
  <si>
    <t>cond_eta_t</t>
  </si>
  <si>
    <t>Fija: 0.85</t>
  </si>
  <si>
    <t>Una a la vez (punto base 0.85; rango 0.75–0.9)</t>
  </si>
  <si>
    <t>Barrida: 0.4 – 0.95</t>
  </si>
  <si>
    <t>Una a la vez (punto base 0.85; rango 0.4–0.95)</t>
  </si>
  <si>
    <t>Barrida: 0.750358 – 0.919688</t>
  </si>
  <si>
    <t>Barrida: 0.751027 – 0.919188</t>
  </si>
  <si>
    <t>Barrida: 0.400616 – 0.947454</t>
  </si>
  <si>
    <t>Barrida: 0.402676 – 0.948584</t>
  </si>
  <si>
    <t>Barrida: 0.40006 – 0.947691</t>
  </si>
  <si>
    <t>Barrida: 0.403251 – 0.945781</t>
  </si>
  <si>
    <t>Barrida: 0.403299 – 0.949946</t>
  </si>
  <si>
    <t>Barrida: 0.863483 – 0.95</t>
  </si>
  <si>
    <t>Barrida: 0.795 – 0.95</t>
  </si>
  <si>
    <t>Barrida: 0.781056 – 0.95</t>
  </si>
  <si>
    <t>Barrida: 0.867492 – 0.95</t>
  </si>
  <si>
    <t>Barrida: 0.402288 – 0.949109</t>
  </si>
  <si>
    <t>Barrida: 0.400005 – 0.94581</t>
  </si>
  <si>
    <t>Barrida: 0.405301 – 0.946598</t>
  </si>
  <si>
    <t>Barrida: 0.405475 – 0.945276</t>
  </si>
  <si>
    <t>Barrida: 0.401545 – 0.949561</t>
  </si>
  <si>
    <t>Barrida: 0.40522 – 0.947004</t>
  </si>
  <si>
    <t>Barrida: 0.410945 – 0.935766</t>
  </si>
  <si>
    <t>Barrida: 0.40304 – 0.948479</t>
  </si>
  <si>
    <t>Barrida: 0.401911 – 0.933327</t>
  </si>
  <si>
    <t>Barrida: 0.405029 – 0.943342</t>
  </si>
  <si>
    <t>Barrida: 0.408142 – 0.949959</t>
  </si>
  <si>
    <t>Barrida: 0.407797 – 0.93532</t>
  </si>
  <si>
    <t>Fija: 0.9</t>
  </si>
  <si>
    <t>Barrida: 0.85 – 0.98</t>
  </si>
  <si>
    <t>Una a la vez (punto base 0.9; rango 0.75–0.95)</t>
  </si>
  <si>
    <t>cond_eta_p</t>
  </si>
  <si>
    <t>Fija: 0.75</t>
  </si>
  <si>
    <t>Una a la vez (punto base 0.75; rango 0.65–0.85)</t>
  </si>
  <si>
    <t>Una a la vez (punto base 0.75; rango 0.4–0.95)</t>
  </si>
  <si>
    <t>Barrida: 0.6504 – 0.899194</t>
  </si>
  <si>
    <t>Barrida: 0.651194 – 0.89988</t>
  </si>
  <si>
    <t>Barrida: 0.404302 – 0.94919</t>
  </si>
  <si>
    <t>Barrida: 0.401033 – 0.947097</t>
  </si>
  <si>
    <t>Barrida: 0.403602 – 0.945484</t>
  </si>
  <si>
    <t>Barrida: 0.400375 – 0.946613</t>
  </si>
  <si>
    <t>Barrida: 0.403485 – 0.947603</t>
  </si>
  <si>
    <t>Barrida: 0.691081 – 0.801081</t>
  </si>
  <si>
    <t>Barrida: 0.695 – 0.805</t>
  </si>
  <si>
    <t>Barrida: 0.782534 – 0.892534</t>
  </si>
  <si>
    <t>Barrida: 0.695 – 0.86</t>
  </si>
  <si>
    <t>Barrida: 0.521066 – 0.631066</t>
  </si>
  <si>
    <t>Barrida: 0.400204 – 0.94989</t>
  </si>
  <si>
    <t>Barrida: 0.400638 – 0.945013</t>
  </si>
  <si>
    <t>Barrida: 0.404692 – 0.949946</t>
  </si>
  <si>
    <t>Barrida: 0.400228 – 0.944989</t>
  </si>
  <si>
    <t>Barrida: 0.401724 – 0.945897</t>
  </si>
  <si>
    <t>Barrida: 0.41022 – 0.939823</t>
  </si>
  <si>
    <t>Barrida: 0.416423 – 0.946515</t>
  </si>
  <si>
    <t>Barrida: 0.417836 – 0.947774</t>
  </si>
  <si>
    <t>Barrida: 0.413781 – 0.941285</t>
  </si>
  <si>
    <t>Barrida: 0.407698 – 0.93892</t>
  </si>
  <si>
    <t>Barrida: 0.41112 – 0.94217</t>
  </si>
  <si>
    <t>Barrida: 0.415917 – 0.941828</t>
  </si>
  <si>
    <t>Fija: 0.8</t>
  </si>
  <si>
    <t>Una a la vez (punto base 0.8; rango 0.6–0.9)</t>
  </si>
  <si>
    <t>cond_eps_hrvg</t>
  </si>
  <si>
    <t>Una a la vez (punto base 0.85; rango 0.75–0.85)</t>
  </si>
  <si>
    <t>Barrida: 0.75 – 0.81</t>
  </si>
  <si>
    <t>Barrida: 0.4 – 0.8</t>
  </si>
  <si>
    <t>Barrida: 0.4 – 0.7</t>
  </si>
  <si>
    <t>Fija: 0.4</t>
  </si>
  <si>
    <t>Barrida: 0.600039 – 0.949047</t>
  </si>
  <si>
    <t>Barrida: 0.600893 – 0.948455</t>
  </si>
  <si>
    <t>Barrida: 0.40441 – 0.949187</t>
  </si>
  <si>
    <t>Barrida: 0.402168 – 0.947551</t>
  </si>
  <si>
    <t>Barrida: 0.400156 – 0.948884</t>
  </si>
  <si>
    <t>Barrida: 0.40425 – 0.949578</t>
  </si>
  <si>
    <t>Barrida: 0.404141 – 0.948736</t>
  </si>
  <si>
    <t>Barrida: 0.622731 – 0.732731</t>
  </si>
  <si>
    <t>Barrida: 0.795 – 0.905</t>
  </si>
  <si>
    <t>Barrida: 0.441366 – 0.551366</t>
  </si>
  <si>
    <t>Barrida: 0.4 – 0.517302</t>
  </si>
  <si>
    <t>Barrida: 0.402751 – 0.945231</t>
  </si>
  <si>
    <t>Barrida: 0.404197 – 0.949495</t>
  </si>
  <si>
    <t>Barrida: 0.401138 – 0.947534</t>
  </si>
  <si>
    <t>Barrida: 0.403663 – 0.947828</t>
  </si>
  <si>
    <t>Barrida: 0.401599 – 0.949613</t>
  </si>
  <si>
    <t>Barrida: 0.413797 – 0.935431</t>
  </si>
  <si>
    <t>Barrida: 0.403456 – 0.945563</t>
  </si>
  <si>
    <t>Barrida: 0.404429 – 0.942632</t>
  </si>
  <si>
    <t>Barrida: 0.417369 – 0.949934</t>
  </si>
  <si>
    <t>Barrida: 0.40971 – 0.933939</t>
  </si>
  <si>
    <t>Barrida: 0.411196 – 0.936541</t>
  </si>
  <si>
    <t>Barrida: 0.408675 – 0.948227</t>
  </si>
  <si>
    <t>Una a la vez (punto base 0.85; rango 0.6–0.95)</t>
  </si>
  <si>
    <t>cond_eps_reg</t>
  </si>
  <si>
    <t>Una a la vez (punto base 0.75; rango 0.75–0.85)</t>
  </si>
  <si>
    <t>Barrida: 0.600973 – 0.949965</t>
  </si>
  <si>
    <t>Barrida: 0.600382 – 0.947696</t>
  </si>
  <si>
    <t>Barrida: 0.40384 – 0.947903</t>
  </si>
  <si>
    <t>Barrida: 0.402278 – 0.946602</t>
  </si>
  <si>
    <t>Barrida: 0.402159 – 0.948596</t>
  </si>
  <si>
    <t>Barrida: 0.400942 – 0.946597</t>
  </si>
  <si>
    <t>Barrida: 0.402646 – 0.94725</t>
  </si>
  <si>
    <t>Barrida: 0.88653 – 0.95</t>
  </si>
  <si>
    <t>Barrida: 0.695 – 0.95</t>
  </si>
  <si>
    <t>Barrida: 0.861678 – 0.95</t>
  </si>
  <si>
    <t>Barrida: 0.4 – 0.685115</t>
  </si>
  <si>
    <t>Barrida: 0.400958 – 0.948253</t>
  </si>
  <si>
    <t>Barrida: 0.400361 – 0.947758</t>
  </si>
  <si>
    <t>Barrida: 0.401253 – 0.945947</t>
  </si>
  <si>
    <t>Barrida: 0.402938 – 0.948362</t>
  </si>
  <si>
    <t>Barrida: 0.402429 – 0.944798</t>
  </si>
  <si>
    <t>Barrida: 0.400784 – 0.939213</t>
  </si>
  <si>
    <t>Barrida: 0.415539 – 0.933999</t>
  </si>
  <si>
    <t>Barrida: 0.404476 – 0.940524</t>
  </si>
  <si>
    <t>Barrida: 0.412106 – 0.93198</t>
  </si>
  <si>
    <t>Barrida: 0.409906 – 0.946414</t>
  </si>
  <si>
    <t>Barrida: 0.410692 – 0.939779</t>
  </si>
  <si>
    <t>Barrida: 0.407654 – 0.936582</t>
  </si>
  <si>
    <t>Barrida: 0.75 – 0.95</t>
  </si>
  <si>
    <t>cond_eps_cond</t>
  </si>
  <si>
    <t>Una a la vez (punto base 0.8; rango 0.75–0.85)</t>
  </si>
  <si>
    <t>Barrida: 0.85 – 0.95</t>
  </si>
  <si>
    <t>Una a la vez (punto base 0.8; rango 0.4–0.95)</t>
  </si>
  <si>
    <t>Barrida: 0.700136 – 0.949409</t>
  </si>
  <si>
    <t>Barrida: 0.700042 – 0.949665</t>
  </si>
  <si>
    <t>Barrida: 0.400868 – 0.945788</t>
  </si>
  <si>
    <t>Barrida: 0.402092 – 0.947396</t>
  </si>
  <si>
    <t>Barrida: 0.404237 – 0.946851</t>
  </si>
  <si>
    <t>Barrida: 0.402166 – 0.94675</t>
  </si>
  <si>
    <t>Barrida: 0.401266 – 0.948251</t>
  </si>
  <si>
    <t>Barrida: 0.786826 – 0.896826</t>
  </si>
  <si>
    <t>Barrida: 0.745 – 0.855</t>
  </si>
  <si>
    <t>Barrida: 0.890788 – 0.95</t>
  </si>
  <si>
    <t>Barrida: 0.895 – 0.95</t>
  </si>
  <si>
    <t>Barrida: 0.823416 – 0.933416</t>
  </si>
  <si>
    <t>Barrida: 0.400592 – 0.949047</t>
  </si>
  <si>
    <t>Barrida: 0.401597 – 0.945166</t>
  </si>
  <si>
    <t>Barrida: 0.402164 – 0.944624</t>
  </si>
  <si>
    <t>Barrida: 0.400499 – 0.946093</t>
  </si>
  <si>
    <t>Barrida: 0.403976 – 0.947693</t>
  </si>
  <si>
    <t>Barrida: 0.405791 – 0.944173</t>
  </si>
  <si>
    <t>Barrida: 0.414188 – 0.945692</t>
  </si>
  <si>
    <t>Barrida: 0.417173 – 0.942729</t>
  </si>
  <si>
    <t>Barrida: 0.414827 – 0.935609</t>
  </si>
  <si>
    <t>Barrida: 0.410205 – 0.946098</t>
  </si>
  <si>
    <t>Barrida: 0.413089 – 0.948063</t>
  </si>
  <si>
    <t>Barrida: 0.415951 – 0.937789</t>
  </si>
  <si>
    <t>Fija: 0.95</t>
  </si>
  <si>
    <t>Barrida: 0.95 – 0.99</t>
  </si>
  <si>
    <t>Una a la vez (punto base 0.95; rango 0.7–0.95)</t>
  </si>
  <si>
    <t>cond_T_amb_diseno</t>
  </si>
  <si>
    <t>sin dato</t>
  </si>
  <si>
    <t>Barrida: 278.15 – 283.15 K</t>
  </si>
  <si>
    <t>Barrida: 283.15 – 303.55 K</t>
  </si>
  <si>
    <t>Fija: 283.15 K</t>
  </si>
  <si>
    <t>cond_motor</t>
  </si>
  <si>
    <t>Fija: teqp</t>
  </si>
  <si>
    <t>B01|xK</t>
  </si>
  <si>
    <t>B01|yK</t>
  </si>
  <si>
    <t>B01|xC</t>
  </si>
  <si>
    <t>B01|yC</t>
  </si>
  <si>
    <t>B01|xI</t>
  </si>
  <si>
    <t>B01|yI</t>
  </si>
  <si>
    <t>B01|xN</t>
  </si>
  <si>
    <t>B01|yN</t>
  </si>
  <si>
    <t>B02|xK</t>
  </si>
  <si>
    <t>B02|yK</t>
  </si>
  <si>
    <t>B02|xC</t>
  </si>
  <si>
    <t>B02|yC</t>
  </si>
  <si>
    <t>B02|xI</t>
  </si>
  <si>
    <t>B02|yI</t>
  </si>
  <si>
    <t>B02|xN</t>
  </si>
  <si>
    <t>B02|yN</t>
  </si>
  <si>
    <t>B03-A|xK</t>
  </si>
  <si>
    <t>B03-A|yK</t>
  </si>
  <si>
    <t>B03-A|xC</t>
  </si>
  <si>
    <t>B03-A|yC</t>
  </si>
  <si>
    <t>B03-A|xI</t>
  </si>
  <si>
    <t>B03-A|yI</t>
  </si>
  <si>
    <t>B03-A|xN</t>
  </si>
  <si>
    <t>B03-A|yN</t>
  </si>
  <si>
    <t>B03-B|xK</t>
  </si>
  <si>
    <t>B03-B|yK</t>
  </si>
  <si>
    <t>B03-B|xC</t>
  </si>
  <si>
    <t>B03-B|yC</t>
  </si>
  <si>
    <t>B03-B|xI</t>
  </si>
  <si>
    <t>B03-B|yI</t>
  </si>
  <si>
    <t>B03-B|xN</t>
  </si>
  <si>
    <t>B03-B|yN</t>
  </si>
  <si>
    <t>B04-n1|xK</t>
  </si>
  <si>
    <t>B04-n1|yK</t>
  </si>
  <si>
    <t>B04-n1|xC</t>
  </si>
  <si>
    <t>B04-n1|yC</t>
  </si>
  <si>
    <t>B04-n1|xI</t>
  </si>
  <si>
    <t>B04-n1|yI</t>
  </si>
  <si>
    <t>B04-n1|xN</t>
  </si>
  <si>
    <t>B04-n1|yN</t>
  </si>
  <si>
    <t>B04-n2a|xK</t>
  </si>
  <si>
    <t>B04-n2a|yK</t>
  </si>
  <si>
    <t>B04-n2a|xC</t>
  </si>
  <si>
    <t>B04-n2a|yC</t>
  </si>
  <si>
    <t>B04-n2a|xI</t>
  </si>
  <si>
    <t>B04-n2a|yI</t>
  </si>
  <si>
    <t>B04-n2a|xN</t>
  </si>
  <si>
    <t>B04-n2a|yN</t>
  </si>
  <si>
    <t>B04-n2b|xK</t>
  </si>
  <si>
    <t>B04-n2b|yK</t>
  </si>
  <si>
    <t>B04-n2b|xC</t>
  </si>
  <si>
    <t>B04-n2b|yC</t>
  </si>
  <si>
    <t>B04-n2b|xI</t>
  </si>
  <si>
    <t>B04-n2b|yI</t>
  </si>
  <si>
    <t>B04-n2b|xN</t>
  </si>
  <si>
    <t>B04-n2b|yN</t>
  </si>
  <si>
    <t>B04-n3|xK</t>
  </si>
  <si>
    <t>B04-n3|yK</t>
  </si>
  <si>
    <t>B04-n3|xC</t>
  </si>
  <si>
    <t>B04-n3|yC</t>
  </si>
  <si>
    <t>B04-n3|xI</t>
  </si>
  <si>
    <t>B04-n3|yI</t>
  </si>
  <si>
    <t>B04-n3|xN</t>
  </si>
  <si>
    <t>B04-n3|yN</t>
  </si>
  <si>
    <t>B05-B1|xK</t>
  </si>
  <si>
    <t>B05-B1|yK</t>
  </si>
  <si>
    <t>B05-B1|xC</t>
  </si>
  <si>
    <t>B05-B1|yC</t>
  </si>
  <si>
    <t>B05-B1|xI</t>
  </si>
  <si>
    <t>B05-B1|yI</t>
  </si>
  <si>
    <t>B05-B1|xN</t>
  </si>
  <si>
    <t>B05-B1|yN</t>
  </si>
  <si>
    <t>B05-B2|xK</t>
  </si>
  <si>
    <t>B05-B2|yK</t>
  </si>
  <si>
    <t>B05-B2|xC</t>
  </si>
  <si>
    <t>B05-B2|yC</t>
  </si>
  <si>
    <t>B05-B2|xI</t>
  </si>
  <si>
    <t>B05-B2|yI</t>
  </si>
  <si>
    <t>B05-B2|xN</t>
  </si>
  <si>
    <t>B05-B2|yN</t>
  </si>
  <si>
    <t>B05-B3|xK</t>
  </si>
  <si>
    <t>B05-B3|yK</t>
  </si>
  <si>
    <t>B05-B3|xC</t>
  </si>
  <si>
    <t>B05-B3|yC</t>
  </si>
  <si>
    <t>B05-B3|xI</t>
  </si>
  <si>
    <t>B05-B3|yI</t>
  </si>
  <si>
    <t>B05-B3|xN</t>
  </si>
  <si>
    <t>B05-B3|yN</t>
  </si>
  <si>
    <t>B05-B4|xK</t>
  </si>
  <si>
    <t>B05-B4|yK</t>
  </si>
  <si>
    <t>B05-B4|xC</t>
  </si>
  <si>
    <t>B05-B4|yC</t>
  </si>
  <si>
    <t>B05-B4|xI</t>
  </si>
  <si>
    <t>B05-B4|yI</t>
  </si>
  <si>
    <t>B05-B4|xN</t>
  </si>
  <si>
    <t>B05-B4|yN</t>
  </si>
  <si>
    <t>B06|xK</t>
  </si>
  <si>
    <t>B06|yK</t>
  </si>
  <si>
    <t>B06|xC</t>
  </si>
  <si>
    <t>B06|yC</t>
  </si>
  <si>
    <t>B06|xI</t>
  </si>
  <si>
    <t>B06|yI</t>
  </si>
  <si>
    <t>B06|xN</t>
  </si>
  <si>
    <t>B06|yN</t>
  </si>
  <si>
    <t>B07|xK</t>
  </si>
  <si>
    <t>B07|yK</t>
  </si>
  <si>
    <t>B07|xC</t>
  </si>
  <si>
    <t>B07|yC</t>
  </si>
  <si>
    <t>B07|xI</t>
  </si>
  <si>
    <t>B07|yI</t>
  </si>
  <si>
    <t>B07|xN</t>
  </si>
  <si>
    <t>B07|yN</t>
  </si>
  <si>
    <t>B08|xK</t>
  </si>
  <si>
    <t>B08|yK</t>
  </si>
  <si>
    <t>B08|xC</t>
  </si>
  <si>
    <t>B08|yC</t>
  </si>
  <si>
    <t>B08|xI</t>
  </si>
  <si>
    <t>B08|yI</t>
  </si>
  <si>
    <t>B08|xN</t>
  </si>
  <si>
    <t>B08|yN</t>
  </si>
  <si>
    <t>B09-1|xK</t>
  </si>
  <si>
    <t>B09-1|yK</t>
  </si>
  <si>
    <t>B09-1|xC</t>
  </si>
  <si>
    <t>B09-1|yC</t>
  </si>
  <si>
    <t>B09-1|xI</t>
  </si>
  <si>
    <t>B09-1|yI</t>
  </si>
  <si>
    <t>B09-1|xN</t>
  </si>
  <si>
    <t>B09-1|yN</t>
  </si>
  <si>
    <t>B09-2|xK</t>
  </si>
  <si>
    <t>B09-2|yK</t>
  </si>
  <si>
    <t>B09-2|xC</t>
  </si>
  <si>
    <t>B09-2|yC</t>
  </si>
  <si>
    <t>B09-2|xI</t>
  </si>
  <si>
    <t>B09-2|yI</t>
  </si>
  <si>
    <t>B09-2|xN</t>
  </si>
  <si>
    <t>B09-2|yN</t>
  </si>
  <si>
    <t>B09-3|xK</t>
  </si>
  <si>
    <t>B09-3|yK</t>
  </si>
  <si>
    <t>B09-3|xC</t>
  </si>
  <si>
    <t>B09-3|yC</t>
  </si>
  <si>
    <t>B09-3|xI</t>
  </si>
  <si>
    <t>B09-3|yI</t>
  </si>
  <si>
    <t>B09-3|xN</t>
  </si>
  <si>
    <t>B09-3|yN</t>
  </si>
  <si>
    <t>B09-4|xK</t>
  </si>
  <si>
    <t>B09-4|yK</t>
  </si>
  <si>
    <t>B09-4|xC</t>
  </si>
  <si>
    <t>B09-4|yC</t>
  </si>
  <si>
    <t>B09-4|xI</t>
  </si>
  <si>
    <t>B09-4|yI</t>
  </si>
  <si>
    <t>B09-4|xN</t>
  </si>
  <si>
    <t>B09-4|yN</t>
  </si>
  <si>
    <t>B09-5|xK</t>
  </si>
  <si>
    <t>B09-5|yK</t>
  </si>
  <si>
    <t>B09-5|xC</t>
  </si>
  <si>
    <t>B09-5|yC</t>
  </si>
  <si>
    <t>B09-5|xI</t>
  </si>
  <si>
    <t>B09-5|yI</t>
  </si>
  <si>
    <t>B09-5|xN</t>
  </si>
  <si>
    <t>B09-5|yN</t>
  </si>
  <si>
    <t>B10|xK</t>
  </si>
  <si>
    <t>B10|yK</t>
  </si>
  <si>
    <t>B10|xC</t>
  </si>
  <si>
    <t>B10|yC</t>
  </si>
  <si>
    <t>B10|xI</t>
  </si>
  <si>
    <t>B10|yI</t>
  </si>
  <si>
    <t>B10|xN</t>
  </si>
  <si>
    <t>B10|yN</t>
  </si>
  <si>
    <t>B11-A1|xK</t>
  </si>
  <si>
    <t>B11-A1|yK</t>
  </si>
  <si>
    <t>B11-A1|xC</t>
  </si>
  <si>
    <t>B11-A1|yC</t>
  </si>
  <si>
    <t>B11-A1|xI</t>
  </si>
  <si>
    <t>B11-A1|yI</t>
  </si>
  <si>
    <t>B11-A1|xN</t>
  </si>
  <si>
    <t>B11-A1|yN</t>
  </si>
  <si>
    <t>B11-A2|xK</t>
  </si>
  <si>
    <t>B11-A2|yK</t>
  </si>
  <si>
    <t>B11-A2|xC</t>
  </si>
  <si>
    <t>B11-A2|yC</t>
  </si>
  <si>
    <t>B11-A2|xI</t>
  </si>
  <si>
    <t>B11-A2|yI</t>
  </si>
  <si>
    <t>B11-A2|xN</t>
  </si>
  <si>
    <t>B11-A2|yN</t>
  </si>
  <si>
    <t>B11-A3|xK</t>
  </si>
  <si>
    <t>B11-A3|yK</t>
  </si>
  <si>
    <t>B11-A3|xC</t>
  </si>
  <si>
    <t>B11-A3|yC</t>
  </si>
  <si>
    <t>B11-A3|xI</t>
  </si>
  <si>
    <t>B11-A3|yI</t>
  </si>
  <si>
    <t>B11-A3|xN</t>
  </si>
  <si>
    <t>B11-A3|yN</t>
  </si>
  <si>
    <t>B11-A4|xK</t>
  </si>
  <si>
    <t>B11-A4|yK</t>
  </si>
  <si>
    <t>B11-A4|xC</t>
  </si>
  <si>
    <t>B11-A4|yC</t>
  </si>
  <si>
    <t>B11-A4|xI</t>
  </si>
  <si>
    <t>B11-A4|yI</t>
  </si>
  <si>
    <t>B11-A4|xN</t>
  </si>
  <si>
    <t>B11-A4|yN</t>
  </si>
  <si>
    <t>B11-A5|xK</t>
  </si>
  <si>
    <t>B11-A5|yK</t>
  </si>
  <si>
    <t>B11-A5|xC</t>
  </si>
  <si>
    <t>B11-A5|yC</t>
  </si>
  <si>
    <t>B11-A5|xI</t>
  </si>
  <si>
    <t>B11-A5|yI</t>
  </si>
  <si>
    <t>B11-A5|xN</t>
  </si>
  <si>
    <t>B11-A5|yN</t>
  </si>
  <si>
    <t>B12|xK</t>
  </si>
  <si>
    <t>B12|yK</t>
  </si>
  <si>
    <t>B12|xC</t>
  </si>
  <si>
    <t>B12|yC</t>
  </si>
  <si>
    <t>B12|xI</t>
  </si>
  <si>
    <t>B12|yI</t>
  </si>
  <si>
    <t>B12|xN</t>
  </si>
  <si>
    <t>B12|yN</t>
  </si>
  <si>
    <t>B13-TF|xK</t>
  </si>
  <si>
    <t>B13-TF|yK</t>
  </si>
  <si>
    <t>B13-TF|xC</t>
  </si>
  <si>
    <t>B13-TF|yC</t>
  </si>
  <si>
    <t>B13-TF|xI</t>
  </si>
  <si>
    <t>B13-TF|yI</t>
  </si>
  <si>
    <t>B13-TF|xN</t>
  </si>
  <si>
    <t>B13-TF|yN</t>
  </si>
  <si>
    <t>B13-EF|xK</t>
  </si>
  <si>
    <t>B13-EF|yK</t>
  </si>
  <si>
    <t>B13-EF|xC</t>
  </si>
  <si>
    <t>B13-EF|yC</t>
  </si>
  <si>
    <t>B13-EF|xI</t>
  </si>
  <si>
    <t>B13-EF|yI</t>
  </si>
  <si>
    <t>B13-EF|xN</t>
  </si>
  <si>
    <t>B13-EF|yN</t>
  </si>
  <si>
    <t>B13-PA|xK</t>
  </si>
  <si>
    <t>B13-PA|yK</t>
  </si>
  <si>
    <t>B13-PA|xC</t>
  </si>
  <si>
    <t>B13-PA|yC</t>
  </si>
  <si>
    <t>B13-PA|xI</t>
  </si>
  <si>
    <t>B13-PA|yI</t>
  </si>
  <si>
    <t>B13-PA|xN</t>
  </si>
  <si>
    <t>B13-PA|yN</t>
  </si>
  <si>
    <t>B13-PB|xK</t>
  </si>
  <si>
    <t>B13-PB|yK</t>
  </si>
  <si>
    <t>B13-PB|xC</t>
  </si>
  <si>
    <t>B13-PB|yC</t>
  </si>
  <si>
    <t>B13-PB|xI</t>
  </si>
  <si>
    <t>B13-PB|yI</t>
  </si>
  <si>
    <t>B13-PB|xN</t>
  </si>
  <si>
    <t>B13-PB|yN</t>
  </si>
  <si>
    <t>B13-TS|xK</t>
  </si>
  <si>
    <t>B13-TS|yK</t>
  </si>
  <si>
    <t>B13-TS|xC</t>
  </si>
  <si>
    <t>B13-TS|yC</t>
  </si>
  <si>
    <t>B13-TS|xI</t>
  </si>
  <si>
    <t>B13-TS|yI</t>
  </si>
  <si>
    <t>B13-TS|xN</t>
  </si>
  <si>
    <t>B13-TS|yN</t>
  </si>
  <si>
    <t>B13-XB|xK</t>
  </si>
  <si>
    <t>B13-XB|yK</t>
  </si>
  <si>
    <t>B13-XB|xC</t>
  </si>
  <si>
    <t>B13-XB|yC</t>
  </si>
  <si>
    <t>B13-XB|xI</t>
  </si>
  <si>
    <t>B13-XB|yI</t>
  </si>
  <si>
    <t>B13-XB|xN</t>
  </si>
  <si>
    <t>B13-XB|yN</t>
  </si>
  <si>
    <t>B13-XB_TF|xK</t>
  </si>
  <si>
    <t>B13-XB_TF|yK</t>
  </si>
  <si>
    <t>B13-XB_TF|xC</t>
  </si>
  <si>
    <t>B13-XB_TF|yC</t>
  </si>
  <si>
    <t>B13-XB_TF|xI</t>
  </si>
  <si>
    <t>B13-XB_TF|yI</t>
  </si>
  <si>
    <t>B13-XB_TF|xN</t>
  </si>
  <si>
    <t>B13-XB_TF|yN</t>
  </si>
  <si>
    <t>B13-XB_EF|xK</t>
  </si>
  <si>
    <t>B13-XB_EF|yK</t>
  </si>
  <si>
    <t>B13-XB_EF|xC</t>
  </si>
  <si>
    <t>B13-XB_EF|yC</t>
  </si>
  <si>
    <t>B13-XB_EF|xI</t>
  </si>
  <si>
    <t>B13-XB_EF|yI</t>
  </si>
  <si>
    <t>B13-XB_EF|xN</t>
  </si>
  <si>
    <t>B13-XB_EF|yN</t>
  </si>
  <si>
    <t>B13-XB_PA|xK</t>
  </si>
  <si>
    <t>B13-XB_PA|yK</t>
  </si>
  <si>
    <t>B13-XB_PA|xC</t>
  </si>
  <si>
    <t>B13-XB_PA|yC</t>
  </si>
  <si>
    <t>B13-XB_PA|xI</t>
  </si>
  <si>
    <t>B13-XB_PA|yI</t>
  </si>
  <si>
    <t>B13-XB_PA|xN</t>
  </si>
  <si>
    <t>B13-XB_PA|yN</t>
  </si>
  <si>
    <t>B13-XB_PB|xK</t>
  </si>
  <si>
    <t>B13-XB_PB|yK</t>
  </si>
  <si>
    <t>B13-XB_PB|xC</t>
  </si>
  <si>
    <t>B13-XB_PB|yC</t>
  </si>
  <si>
    <t>B13-XB_PB|xI</t>
  </si>
  <si>
    <t>B13-XB_PB|yI</t>
  </si>
  <si>
    <t>B13-XB_PB|xN</t>
  </si>
  <si>
    <t>B13-XB_PB|yN</t>
  </si>
  <si>
    <t>B13-XB_TS|xK</t>
  </si>
  <si>
    <t>B13-XB_TS|yK</t>
  </si>
  <si>
    <t>B13-XB_TS|xC</t>
  </si>
  <si>
    <t>B13-XB_TS|yC</t>
  </si>
  <si>
    <t>B13-XB_TS|xI</t>
  </si>
  <si>
    <t>B13-XB_TS|yI</t>
  </si>
  <si>
    <t>B13-XB_TS|xN</t>
  </si>
  <si>
    <t>B13-XB_TS|yN</t>
  </si>
  <si>
    <t>B13-XB_PA_TF|xK</t>
  </si>
  <si>
    <t>B13-XB_PA_TF|yK</t>
  </si>
  <si>
    <t>B13-XB_PA_TF|xC</t>
  </si>
  <si>
    <t>B13-XB_PA_TF|yC</t>
  </si>
  <si>
    <t>B13-XB_PA_TF|xI</t>
  </si>
  <si>
    <t>B13-XB_PA_TF|yI</t>
  </si>
  <si>
    <t>B13-XB_PA_TF|xN</t>
  </si>
  <si>
    <t>B13-XB_PA_TF|yN</t>
  </si>
  <si>
    <t>B13-XB_PA_EF|xK</t>
  </si>
  <si>
    <t>B13-XB_PA_EF|yK</t>
  </si>
  <si>
    <t>B13-XB_PA_EF|xC</t>
  </si>
  <si>
    <t>B13-XB_PA_EF|yC</t>
  </si>
  <si>
    <t>B13-XB_PA_EF|xI</t>
  </si>
  <si>
    <t>B13-XB_PA_EF|yI</t>
  </si>
  <si>
    <t>B13-XB_PA_EF|xN</t>
  </si>
  <si>
    <t>B13-XB_PA_EF|yN</t>
  </si>
  <si>
    <t>B13-XB_PA_PB|xK</t>
  </si>
  <si>
    <t>B13-XB_PA_PB|yK</t>
  </si>
  <si>
    <t>B13-XB_PA_PB|xC</t>
  </si>
  <si>
    <t>B13-XB_PA_PB|yC</t>
  </si>
  <si>
    <t>B13-XB_PA_PB|xI</t>
  </si>
  <si>
    <t>B13-XB_PA_PB|yI</t>
  </si>
  <si>
    <t>B13-XB_PA_PB|xN</t>
  </si>
  <si>
    <t>B13-XB_PA_PB|yN</t>
  </si>
  <si>
    <t>B13-XB_PA_TS|xK</t>
  </si>
  <si>
    <t>B13-XB_PA_TS|yK</t>
  </si>
  <si>
    <t>B13-XB_PA_TS|xC</t>
  </si>
  <si>
    <t>B13-XB_PA_TS|yC</t>
  </si>
  <si>
    <t>B13-XB_PA_TS|xI</t>
  </si>
  <si>
    <t>B13-XB_PA_TS|yI</t>
  </si>
  <si>
    <t>B13-XB_PA_TS|xN</t>
  </si>
  <si>
    <t>B13-XB_PA_TS|yN</t>
  </si>
  <si>
    <t>B13-XB_PA_EF_TF|xK</t>
  </si>
  <si>
    <t>B13-XB_PA_EF_TF|yK</t>
  </si>
  <si>
    <t>B13-XB_PA_EF_TF|xC</t>
  </si>
  <si>
    <t>B13-XB_PA_EF_TF|yC</t>
  </si>
  <si>
    <t>B13-XB_PA_EF_TF|xI</t>
  </si>
  <si>
    <t>B13-XB_PA_EF_TF|yI</t>
  </si>
  <si>
    <t>B13-XB_PA_EF_TF|xN</t>
  </si>
  <si>
    <t>B13-XB_PA_EF_TF|yN</t>
  </si>
  <si>
    <t>B13-XB_PA_EF_PB|xK</t>
  </si>
  <si>
    <t>B13-XB_PA_EF_PB|yK</t>
  </si>
  <si>
    <t>B13-XB_PA_EF_PB|xC</t>
  </si>
  <si>
    <t>B13-XB_PA_EF_PB|yC</t>
  </si>
  <si>
    <t>B13-XB_PA_EF_PB|xI</t>
  </si>
  <si>
    <t>B13-XB_PA_EF_PB|yI</t>
  </si>
  <si>
    <t>B13-XB_PA_EF_PB|xN</t>
  </si>
  <si>
    <t>B13-XB_PA_EF_PB|yN</t>
  </si>
  <si>
    <t>B13-XB_PA_EF_TS|xK</t>
  </si>
  <si>
    <t>B13-XB_PA_EF_TS|yK</t>
  </si>
  <si>
    <t>B13-XB_PA_EF_TS|xC</t>
  </si>
  <si>
    <t>B13-XB_PA_EF_TS|yC</t>
  </si>
  <si>
    <t>B13-XB_PA_EF_TS|xI</t>
  </si>
  <si>
    <t>B13-XB_PA_EF_TS|yI</t>
  </si>
  <si>
    <t>B13-XB_PA_EF_TS|xN</t>
  </si>
  <si>
    <t>B13-XB_PA_EF_TS|yN</t>
  </si>
  <si>
    <t>B13-HUS|xK</t>
  </si>
  <si>
    <t>B13-HUS|yK</t>
  </si>
  <si>
    <t>B13-HUS|xC</t>
  </si>
  <si>
    <t>B13-HUS|yC</t>
  </si>
  <si>
    <t>B13-HUS|xI</t>
  </si>
  <si>
    <t>B13-HUS|yI</t>
  </si>
  <si>
    <t>B13-HUS|xN</t>
  </si>
  <si>
    <t>B13-HUS|yN</t>
  </si>
  <si>
    <t>B14-F3|xK</t>
  </si>
  <si>
    <t>B14-F3|yK</t>
  </si>
  <si>
    <t>B14-F3|xC</t>
  </si>
  <si>
    <t>B14-F3|yC</t>
  </si>
  <si>
    <t>B14-F3|xI</t>
  </si>
  <si>
    <t>B14-F3|yI</t>
  </si>
  <si>
    <t>B14-F3|xN</t>
  </si>
  <si>
    <t>B14-F3|yN</t>
  </si>
  <si>
    <t>B14-OFAT|xK</t>
  </si>
  <si>
    <t>B14-OFAT|yK</t>
  </si>
  <si>
    <t>B14-OFAT|xC</t>
  </si>
  <si>
    <t>B14-OFAT|yC</t>
  </si>
  <si>
    <t>B14-OFAT|xI</t>
  </si>
  <si>
    <t>B14-OFAT|yI</t>
  </si>
  <si>
    <t>B14-OFAT|xN</t>
  </si>
  <si>
    <t>B14-OFAT|yN</t>
  </si>
  <si>
    <t>B14-MALLA|xK</t>
  </si>
  <si>
    <t>B14-MALLA|yK</t>
  </si>
  <si>
    <t>B14-MALLA|xC</t>
  </si>
  <si>
    <t>B14-MALLA|yC</t>
  </si>
  <si>
    <t>B14-MALLA|xI</t>
  </si>
  <si>
    <t>B14-MALLA|yI</t>
  </si>
  <si>
    <t>B14-MALLA|xN</t>
  </si>
  <si>
    <t>B14-MALLA|yN</t>
  </si>
  <si>
    <t>B14-OFATb|xK</t>
  </si>
  <si>
    <t>B14-OFATb|yK</t>
  </si>
  <si>
    <t>B14-OFATb|xC</t>
  </si>
  <si>
    <t>B14-OFATb|yC</t>
  </si>
  <si>
    <t>B14-OFATb|xI</t>
  </si>
  <si>
    <t>B14-OFATb|yI</t>
  </si>
  <si>
    <t>B14-OFATb|xN</t>
  </si>
  <si>
    <t>B14-OFATb|yN</t>
  </si>
  <si>
    <t>Las 30 figuras de Matplotlib (solo referencia; los gráficos del libro son nativos de Excel)</t>
  </si>
  <si>
    <t>Figura FIG-G02. Qué variables se movieron y cuáles quedaron fijas en cada barrido.</t>
  </si>
  <si>
    <t>Caso(s): los barridos de la campaña (sin KF-M08) (figura de síntesis: una fila por id_subcaso).</t>
  </si>
  <si>
    <t>Datos fijos: celda gris (PP/teqp), naranja (valor fijo distinto del profesor) o vacía (no aplica).</t>
  </si>
  <si>
    <t>Datos barridos: celdas azules (rango en TAB-G02); antes: celdas con el rango [mín, máx] o 'n = 2'.</t>
  </si>
  <si>
    <t>Filtro: casos_x_variables.csv, una fila por barrido.</t>
  </si>
  <si>
    <t>n = 58 barridos. Fuente: 00_inventario/casos_x_variables.csv.</t>
  </si>
  <si>
    <t>Resultado de cada ba cat</t>
  </si>
  <si>
    <t>KALINA (n = 1662)</t>
  </si>
  <si>
    <t>Corregible (n = 1701)</t>
  </si>
  <si>
    <t>Inviable (n = 344)</t>
  </si>
  <si>
    <t>No convergió (n = 718)</t>
  </si>
  <si>
    <t>Falso convergido (N2) (n = 135)</t>
  </si>
  <si>
    <t>Corregible (n = 1) y</t>
  </si>
  <si>
    <t>Corregible (n = 1) x</t>
  </si>
  <si>
    <t>Corregible, fuera de rango (n = 5) y</t>
  </si>
  <si>
    <t>Corregible, fuera de rango (n = 5) x</t>
  </si>
  <si>
    <t>Inviable, fuera de rango (n = 1) y</t>
  </si>
  <si>
    <t>Inviable, fuera de rango (n = 1) x</t>
  </si>
  <si>
    <t>No convergió (n = 10) y</t>
  </si>
  <si>
    <t>No convergió (n = 10) x</t>
  </si>
  <si>
    <t>Falso convergido (N2) (n = 5) y</t>
  </si>
  <si>
    <t>Falso convergido (N2) (n = 5) x</t>
  </si>
  <si>
    <t>No convergió (n = 11) y</t>
  </si>
  <si>
    <t>No convergió (n = 11) x</t>
  </si>
  <si>
    <t>Falso convergido (N2) (n = 13) y</t>
  </si>
  <si>
    <t>Falso convergido (N2) (n = 13) x</t>
  </si>
  <si>
    <t>No convergió (n = 12) y</t>
  </si>
  <si>
    <t>No convergió (n = 12) x</t>
  </si>
  <si>
    <t>Falso convergido (N2) (n = 1) y</t>
  </si>
  <si>
    <t>Falso convergido (N2) (n = 1) x</t>
  </si>
  <si>
    <t>Corregible, fuera de rango (n = 7) y</t>
  </si>
  <si>
    <t>Corregible, fuera de rango (n = 7) x</t>
  </si>
  <si>
    <t>No convergió (n = 3) y</t>
  </si>
  <si>
    <t>No convergió (n = 3) x</t>
  </si>
  <si>
    <t>Falso convergido (N2) (n = 2) y</t>
  </si>
  <si>
    <t>Falso convergido (N2) (n = 2) x</t>
  </si>
  <si>
    <t>Corregible, fuera de rango (n = 36) y</t>
  </si>
  <si>
    <t>Corregible, fuera de rango (n = 36) x</t>
  </si>
  <si>
    <t>KALINA (n = 48) y</t>
  </si>
  <si>
    <t>KALINA (n = 48) x</t>
  </si>
  <si>
    <t>KALINA, fuera de rango (n = 11) y</t>
  </si>
  <si>
    <t>KALINA, fuera de rango (n = 11) x</t>
  </si>
  <si>
    <t>Corregible (n = 12) y</t>
  </si>
  <si>
    <t>Corregible (n = 12) x</t>
  </si>
  <si>
    <t>Corregible, fuera de rango (n = 58) y</t>
  </si>
  <si>
    <t>Corregible, fuera de rango (n = 58) x</t>
  </si>
  <si>
    <t>Falso convergido (N2) (n = 12) y</t>
  </si>
  <si>
    <t>Falso convergido (N2) (n = 12) x</t>
  </si>
  <si>
    <t>Corregible, fuera de rango (n = 24) y</t>
  </si>
  <si>
    <t>Corregible, fuera de rango (n = 24) x</t>
  </si>
  <si>
    <t>No convergió (n = 6) y</t>
  </si>
  <si>
    <t>No convergió (n = 6) x</t>
  </si>
  <si>
    <t>Corregible, fuera de rango (n = 48) y</t>
  </si>
  <si>
    <t>Corregible, fuera de rango (n = 48) x</t>
  </si>
  <si>
    <t>KALINA, fuera de rango (n = 19) y</t>
  </si>
  <si>
    <t>KALINA, fuera de rango (n = 19) x</t>
  </si>
  <si>
    <t>Corregible, fuera de rango (n = 43) y</t>
  </si>
  <si>
    <t>Corregible, fuera de rango (n = 43) x</t>
  </si>
  <si>
    <t>No convergió (n = 2) y</t>
  </si>
  <si>
    <t>No convergió (n = 2) x</t>
  </si>
  <si>
    <t>KALINA (n = 1) y</t>
  </si>
  <si>
    <t>KALINA (n = 1) x</t>
  </si>
  <si>
    <t>Corregible (n = 4) y</t>
  </si>
  <si>
    <t>Corregible (n = 4) x</t>
  </si>
  <si>
    <t>Corregible, fuera de rango (n = 14) y</t>
  </si>
  <si>
    <t>Corregible, fuera de rango (n = 14) x</t>
  </si>
  <si>
    <t>Inviable (n = 1) y</t>
  </si>
  <si>
    <t>Inviable (n = 1) x</t>
  </si>
  <si>
    <t>No convergió (n = 1) y</t>
  </si>
  <si>
    <t>No convergió (n = 1) x</t>
  </si>
  <si>
    <t>B1 · T_fuente = 403 K (A*) y</t>
  </si>
  <si>
    <t>B1 · T_fuente = 403 K (A*) x</t>
  </si>
  <si>
    <t>B2 · T_fuente = 420 K y</t>
  </si>
  <si>
    <t>B2 · T_fuente = 420 K x</t>
  </si>
  <si>
    <t>B3 · ε_HRVG = 0.40 (fuente del profesor) y</t>
  </si>
  <si>
    <t>B3 · ε_HRVG = 0.40 (fuente del profesor) x</t>
  </si>
  <si>
    <t>Cerca de A*, x_b y P cat</t>
  </si>
  <si>
    <t>Δη (máx − mín) [pp]</t>
  </si>
  <si>
    <t>Pegado a A*, T_fuent cat</t>
  </si>
  <si>
    <t>Elasticidad de η, E [–]</t>
  </si>
  <si>
    <t>Corregible, fuera de rango (n = 8) y</t>
  </si>
  <si>
    <t>Corregible, fuera de rango (n = 8) x</t>
  </si>
  <si>
    <t>No convergió (n = 4) y</t>
  </si>
  <si>
    <t>No convergió (n = 4) x</t>
  </si>
  <si>
    <t>KALINA (n = 12) y</t>
  </si>
  <si>
    <t>KALINA (n = 12) x</t>
  </si>
  <si>
    <t>Corregible (n = 3) y</t>
  </si>
  <si>
    <t>Corregible (n = 3) x</t>
  </si>
  <si>
    <t>No convergió (n = 8) y</t>
  </si>
  <si>
    <t>No convergió (n = 8) x</t>
  </si>
  <si>
    <t>KALINA (n = 10) y</t>
  </si>
  <si>
    <t>KALINA (n = 10) x</t>
  </si>
  <si>
    <t>Corregible (n = 7) y</t>
  </si>
  <si>
    <t>Corregible (n = 7) x</t>
  </si>
  <si>
    <t>Inviable (n = 3) y</t>
  </si>
  <si>
    <t>Inviable (n = 3) x</t>
  </si>
  <si>
    <t>Falso convergido (N2) (n = 3) y</t>
  </si>
  <si>
    <t>Falso convergido (N2) (n = 3) x</t>
  </si>
  <si>
    <t>KALINA (n = 8) y</t>
  </si>
  <si>
    <t>KALINA (n = 8) x</t>
  </si>
  <si>
    <t>KALINA (n = 15) y</t>
  </si>
  <si>
    <t>KALINA (n = 15) x</t>
  </si>
  <si>
    <t>Corregible (n = 2) y</t>
  </si>
  <si>
    <t>Corregible (n = 2) x</t>
  </si>
  <si>
    <t>KALINA (n = 6) y</t>
  </si>
  <si>
    <t>KALINA (n = 6) x</t>
  </si>
  <si>
    <t>Corregible (n = 9) y</t>
  </si>
  <si>
    <t>Corregible (n = 9) x</t>
  </si>
  <si>
    <t>KALINA (n = 4) y</t>
  </si>
  <si>
    <t>KALINA (n = 4) x</t>
  </si>
  <si>
    <t>A* está a menos del  cat</t>
  </si>
  <si>
    <t>Distancia a la frontera / rango [–]</t>
  </si>
  <si>
    <t>KALINA (n = 121) y</t>
  </si>
  <si>
    <t>KALINA (n = 121) x</t>
  </si>
  <si>
    <t>resto genuino (n = 331) y</t>
  </si>
  <si>
    <t>resto genuino (n = 331) x</t>
  </si>
  <si>
    <t>KALINA (n = 83) y</t>
  </si>
  <si>
    <t>KALINA (n = 83) x</t>
  </si>
  <si>
    <t>KALINA, fuera de rango (n = 38) y</t>
  </si>
  <si>
    <t>KALINA, fuera de rango (n = 38) x</t>
  </si>
  <si>
    <t>Corregible (n = 132) y</t>
  </si>
  <si>
    <t>Corregible (n = 132) x</t>
  </si>
  <si>
    <t>Corregible, fuera de rango (n = 176) y</t>
  </si>
  <si>
    <t>Corregible, fuera de rango (n = 176) x</t>
  </si>
  <si>
    <t>Inviable (n = 18) y</t>
  </si>
  <si>
    <t>Inviable (n = 18) x</t>
  </si>
  <si>
    <t>Inviable, fuera de rango (n = 5) y</t>
  </si>
  <si>
    <t>Inviable, fuera de rango (n = 5) x</t>
  </si>
  <si>
    <t>No convergió (n = 35) y</t>
  </si>
  <si>
    <t>No convergió (n = 35) x</t>
  </si>
  <si>
    <t>r_P = 1.69 y</t>
  </si>
  <si>
    <t>r_P = 1.69 x</t>
  </si>
  <si>
    <t>r_P = 5.34 y</t>
  </si>
  <si>
    <t>r_P = 5.34 x</t>
  </si>
  <si>
    <t>Influencia de cada v cat</t>
  </si>
  <si>
    <t>PRCC sobre η [–]</t>
  </si>
  <si>
    <t>Diferencia de presio cat</t>
  </si>
  <si>
    <t>KALINA (n = 121)</t>
  </si>
  <si>
    <t>resto (n = 331)</t>
  </si>
  <si>
    <t>Razón de presiones,  cat</t>
  </si>
  <si>
    <t>Fracción de KALINA a cat</t>
  </si>
  <si>
    <t>% de puntos KALINA</t>
  </si>
  <si>
    <t>KALINA (n = 2) y</t>
  </si>
  <si>
    <t>KALINA (n = 2) x</t>
  </si>
  <si>
    <t>KALINA, fuera de rango (n = 2) y</t>
  </si>
  <si>
    <t>KALINA, fuera de rango (n = 2) x</t>
  </si>
  <si>
    <t>Corregible (n = 5) y</t>
  </si>
  <si>
    <t>Corregible (n = 5) x</t>
  </si>
  <si>
    <t>Corregible, fuera de rango (n = 35) y</t>
  </si>
  <si>
    <t>Corregible, fuera de rango (n = 35) x</t>
  </si>
  <si>
    <t>Inviable, fuera de rango (n = 14) y</t>
  </si>
  <si>
    <t>Inviable, fuera de rango (n = 14) x</t>
  </si>
  <si>
    <t>No convergió (n = 58) y</t>
  </si>
  <si>
    <t>No convergió (n = 58) x</t>
  </si>
  <si>
    <t>Corregible, fuera de rango (n = 45) y</t>
  </si>
  <si>
    <t>Corregible, fuera de rango (n = 45) x</t>
  </si>
  <si>
    <t>Inviable (n = 19) y</t>
  </si>
  <si>
    <t>Inviable (n = 19) x</t>
  </si>
  <si>
    <t>Inviable, fuera de rango (n = 19) y</t>
  </si>
  <si>
    <t>Inviable, fuera de rango (n = 19) x</t>
  </si>
  <si>
    <t>No convergió (n = 23) y</t>
  </si>
  <si>
    <t>No convergió (n = 23) x</t>
  </si>
  <si>
    <t>Corregible (n = 6) y</t>
  </si>
  <si>
    <t>Corregible (n = 6) x</t>
  </si>
  <si>
    <t>Corregible, fuera de rango (n = 23) y</t>
  </si>
  <si>
    <t>Corregible, fuera de rango (n = 23) x</t>
  </si>
  <si>
    <t>Inviable (n = 20) y</t>
  </si>
  <si>
    <t>Inviable (n = 20) x</t>
  </si>
  <si>
    <t>Inviable, fuera de rango (n = 35) y</t>
  </si>
  <si>
    <t>Inviable, fuera de rango (n = 35) x</t>
  </si>
  <si>
    <t>No convergió (n = 30) y</t>
  </si>
  <si>
    <t>No convergió (n = 30) x</t>
  </si>
  <si>
    <t>Falso convergido (N2) (n = 6) y</t>
  </si>
  <si>
    <t>Falso convergido (N2) (n = 6) x</t>
  </si>
  <si>
    <t>KALINA, fuera de rango (n = 6) y</t>
  </si>
  <si>
    <t>KALINA, fuera de rango (n = 6) x</t>
  </si>
  <si>
    <t>Corregible, fuera de rango (n = 31) y</t>
  </si>
  <si>
    <t>Corregible, fuera de rango (n = 31) x</t>
  </si>
  <si>
    <t>Inviable, fuera de rango (n = 18) y</t>
  </si>
  <si>
    <t>Inviable, fuera de rango (n = 18) x</t>
  </si>
  <si>
    <t>No convergió (n = 56) y</t>
  </si>
  <si>
    <t>No convergió (n = 56) x</t>
  </si>
  <si>
    <t>KALINA, fuera de rango (n = 10) y</t>
  </si>
  <si>
    <t>KALINA, fuera de rango (n = 10) x</t>
  </si>
  <si>
    <t>Corregible, fuera de rango (n = 55) y</t>
  </si>
  <si>
    <t>Corregible, fuera de rango (n = 55) x</t>
  </si>
  <si>
    <t>Inviable, fuera de rango (n = 17) y</t>
  </si>
  <si>
    <t>Inviable, fuera de rango (n = 17) x</t>
  </si>
  <si>
    <t>No convergió (n = 37) y</t>
  </si>
  <si>
    <t>No convergió (n = 37) x</t>
  </si>
  <si>
    <t>KALINA (n = 44) y</t>
  </si>
  <si>
    <t>KALINA (n = 44) x</t>
  </si>
  <si>
    <t>Inviable (n = 5) y</t>
  </si>
  <si>
    <t>Inviable (n = 5) x</t>
  </si>
  <si>
    <t>KALINA (n = 16) y</t>
  </si>
  <si>
    <t>KALINA (n = 16) x</t>
  </si>
  <si>
    <t>Corregible (n = 29) y</t>
  </si>
  <si>
    <t>Corregible (n = 29) x</t>
  </si>
  <si>
    <t>1:1 y</t>
  </si>
  <si>
    <t>1:1 x</t>
  </si>
  <si>
    <t>+0.7 pp y</t>
  </si>
  <si>
    <t>+0.7 pp x</t>
  </si>
  <si>
    <t>−0.7 pp y</t>
  </si>
  <si>
    <t>−0.7 pp x</t>
  </si>
  <si>
    <t>M6 (300 s) (n = 2) y</t>
  </si>
  <si>
    <t>M6 (300 s) (n = 2) x</t>
  </si>
  <si>
    <t>M9 (1500 s) (n = 3) y</t>
  </si>
  <si>
    <t>M9 (1500 s) (n = 3) x</t>
  </si>
  <si>
    <t>A1 · libre (desde el mejor de M4b): 15.0 % y</t>
  </si>
  <si>
    <t>A1 · libre (desde el mejor de M4b): 15.0 % x</t>
  </si>
  <si>
    <t>A2 · libre (desde el mejor de M2S): 15.5 % y</t>
  </si>
  <si>
    <t>A2 · libre (desde el mejor de M2S): 15.5 % x</t>
  </si>
  <si>
    <t>A3 · conserva sus temperaturas: 12.7 % y</t>
  </si>
  <si>
    <t>A3 · conserva sus temperaturas: 12.7 % x</t>
  </si>
  <si>
    <t>A4 · conserva sus presiones y su clima: 15.6 % y</t>
  </si>
  <si>
    <t>A4 · conserva sus presiones y su clima: 15.6 % x</t>
  </si>
  <si>
    <t>A5 · conserva su fuente y su x_b (fuera de rango): 11.1 % y</t>
  </si>
  <si>
    <t>A5 · conserva su fuente y su x_b (fuera de rango): 11.1 % x</t>
  </si>
  <si>
    <t>Se conservan 8 de lo cat</t>
  </si>
  <si>
    <t>KALINA (n = 70) y</t>
  </si>
  <si>
    <t>KALINA (n = 70) x</t>
  </si>
  <si>
    <t>Corregible (n = 24) y</t>
  </si>
  <si>
    <t>Corregible (n = 24) x</t>
  </si>
  <si>
    <t>P_baja mínima KALINA y</t>
  </si>
  <si>
    <t>P_baja mínima KALINA x</t>
  </si>
  <si>
    <t>KALINA (n = 7) y</t>
  </si>
  <si>
    <t>KALINA (n = 7) x</t>
  </si>
  <si>
    <t>Corregible (n = 8) y</t>
  </si>
  <si>
    <t>Corregible (n = 8) x</t>
  </si>
  <si>
    <t>KALINA (n = 11) y</t>
  </si>
  <si>
    <t>KALINA (n = 11) x</t>
  </si>
  <si>
    <t>KALINA (n = 9) y</t>
  </si>
  <si>
    <t>KALINA (n = 9) x</t>
  </si>
  <si>
    <t>KALINA (n = 14) y</t>
  </si>
  <si>
    <t>KALINA (n = 14) x</t>
  </si>
  <si>
    <t>Corregible (n = 13) y</t>
  </si>
  <si>
    <t>Corregible (n = 13) x</t>
  </si>
  <si>
    <t>No convergió (n = 5) y</t>
  </si>
  <si>
    <t>No convergió (n = 5) x</t>
  </si>
  <si>
    <t>Falso convergido (N2) (n = 4) y</t>
  </si>
  <si>
    <t>Falso convergido (N2) (n = 4) x</t>
  </si>
  <si>
    <t>M01</t>
  </si>
  <si>
    <t>655–851</t>
  </si>
  <si>
    <t>1.5–2.1</t>
  </si>
  <si>
    <t>R0 · TF</t>
  </si>
  <si>
    <t>M02-N1</t>
  </si>
  <si>
    <t>851–1048</t>
  </si>
  <si>
    <t>2.1–2.8</t>
  </si>
  <si>
    <t>R0 · EF</t>
  </si>
  <si>
    <t>M02-N2</t>
  </si>
  <si>
    <t>1048–1245</t>
  </si>
  <si>
    <t>2.8–3.4</t>
  </si>
  <si>
    <t>R0 · PA</t>
  </si>
  <si>
    <t>M02R</t>
  </si>
  <si>
    <t>1245–1442</t>
  </si>
  <si>
    <t>3.4–4.1</t>
  </si>
  <si>
    <t>R0 · PB</t>
  </si>
  <si>
    <t>M02S</t>
  </si>
  <si>
    <t>1442–1638</t>
  </si>
  <si>
    <t>4.1–4.7</t>
  </si>
  <si>
    <t>R0 · TS</t>
  </si>
  <si>
    <t>M03</t>
  </si>
  <si>
    <t>1638–1835</t>
  </si>
  <si>
    <t>4.7–5.4</t>
  </si>
  <si>
    <t>R0 · XB</t>
  </si>
  <si>
    <t>M04</t>
  </si>
  <si>
    <t>1835–2032</t>
  </si>
  <si>
    <t>5.4–6.0</t>
  </si>
  <si>
    <t>R1 · XB+TF</t>
  </si>
  <si>
    <t>M04b</t>
  </si>
  <si>
    <t>2032–2229</t>
  </si>
  <si>
    <t>6.0–6.7</t>
  </si>
  <si>
    <t>R1 · XB+EF</t>
  </si>
  <si>
    <t>M04c</t>
  </si>
  <si>
    <t>2229–2425</t>
  </si>
  <si>
    <t>6.7–7.3</t>
  </si>
  <si>
    <t>R1 · XB+PA</t>
  </si>
  <si>
    <t>M05</t>
  </si>
  <si>
    <t>2425–2622</t>
  </si>
  <si>
    <t>7.3–8.0</t>
  </si>
  <si>
    <t>R1 · XB+PB</t>
  </si>
  <si>
    <t>M05c</t>
  </si>
  <si>
    <t>2622–2819</t>
  </si>
  <si>
    <t>8.0–8.6</t>
  </si>
  <si>
    <t>R1 · XB+TS</t>
  </si>
  <si>
    <t>M06</t>
  </si>
  <si>
    <t>2819–3016</t>
  </si>
  <si>
    <t>8.6–9.3</t>
  </si>
  <si>
    <t>R2 · XB+PA+TF</t>
  </si>
  <si>
    <t>M07</t>
  </si>
  <si>
    <t>3016–3212</t>
  </si>
  <si>
    <t>9.3–9.9</t>
  </si>
  <si>
    <t>R2 · XB+PA+EF</t>
  </si>
  <si>
    <t>M09</t>
  </si>
  <si>
    <t>3212–3409</t>
  </si>
  <si>
    <t>9.9–10.5</t>
  </si>
  <si>
    <t>R2 · XB+PA+PB</t>
  </si>
  <si>
    <t>M10</t>
  </si>
  <si>
    <t>3409–3606</t>
  </si>
  <si>
    <t>10.5–11.2</t>
  </si>
  <si>
    <t>R2 · XB+PA+TS</t>
  </si>
  <si>
    <t>M10b</t>
  </si>
  <si>
    <t>3606–3803</t>
  </si>
  <si>
    <t>11.2–11.8</t>
  </si>
  <si>
    <t>R3 · XB+PA+EF+TF</t>
  </si>
  <si>
    <t>3803–3999</t>
  </si>
  <si>
    <t>11.8–12.5</t>
  </si>
  <si>
    <t>R3 · XB+PA+EF+PB</t>
  </si>
  <si>
    <t>3999–4196</t>
  </si>
  <si>
    <t>12.5–13.1</t>
  </si>
  <si>
    <t>R3 · XB+PA+EF+TS</t>
  </si>
  <si>
    <t>4196–4393</t>
  </si>
  <si>
    <t>13.1–13.8</t>
  </si>
  <si>
    <t>4393–4590</t>
  </si>
  <si>
    <t>13.8–14.4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</si>
</sst>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2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sz val="11"/>
      <name val="Calibri"/>
    </font>
    <font>
      <i/>
      <sz val="11"/>
      <name val="Calibri"/>
    </font>
    <font>
      <b/>
      <sz val="14"/>
      <name val="Calibri"/>
    </font>
    <font>
      <b/>
      <sz val="11"/>
      <name val="Calibri"/>
    </font>
    <font>
      <i/>
      <sz val="9"/>
      <name val="Calibri"/>
    </font>
    <font>
      <b/>
      <sz val="12"/>
      <name val="Calibri"/>
    </font>
    <font>
      <b/>
      <sz val="9"/>
      <name val="Calibri"/>
    </font>
    <font>
      <b/>
      <sz val="14"/>
      <color rgb="FF2E7D32"/>
      <name val="Calibri"/>
    </font>
    <font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D9A0"/>
      </patternFill>
    </fill>
    <fill>
      <patternFill patternType="solid">
        <fgColor rgb="FFFFF2A8"/>
      </patternFill>
    </fill>
    <fill>
      <patternFill patternType="solid">
        <fgColor rgb="FFF8B4B4"/>
      </patternFill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E0E0E0"/>
      </patternFill>
    </fill>
    <fill>
      <patternFill patternType="solid">
        <fgColor rgb="FF90CAF9"/>
      </patternFill>
    </fill>
    <fill>
      <patternFill patternType="solid">
        <fgColor rgb="FFFFB74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">
    <xf numFmtId="0" fontId="0" fillId="0" borderId="0"/>
    <xf numFmtId="0" fontId="11" fillId="0" borderId="0"/>
  </cellStyleXfs>
  <cellXfs count="32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5" fillId="0" borderId="0" xfId="0" applyFont="1"/>
    <xf numFmtId="0" fontId="2" fillId="0" borderId="0" xfId="0" applyFont="1"/>
    <xf numFmtId="0" fontId="8" fillId="11" borderId="0" xfId="0" applyFont="1" applyFill="1"/>
    <xf numFmtId="0" fontId="9" fillId="0" borderId="1" xfId="0" applyFont="1" applyBorder="1" applyAlignment="1">
      <alignment wrapText="1"/>
    </xf>
    <xf numFmtId="0" fontId="10" fillId="0" borderId="1" xfId="0" applyFont="1" applyBorder="1"/>
    <xf numFmtId="0" fontId="0" fillId="0" borderId="1" xfId="0" applyBorder="1"/>
    <xf numFmtId="0" fontId="11" fillId="0" borderId="1" xfId="1" applyBorder="1"/>
    <xf numFmtId="0" fontId="2" fillId="7" borderId="1" xfId="0" applyFont="1" applyFill="1" applyBorder="1"/>
    <xf numFmtId="0" fontId="3" fillId="0" borderId="0" xfId="0" applyFont="1"/>
    <xf numFmtId="0" fontId="2" fillId="7" borderId="1" xfId="0" applyFont="1" applyFill="1" applyBorder="1" applyAlignment="1">
      <alignment vertical="top" wrapText="1"/>
    </xf>
    <xf numFmtId="0" fontId="4" fillId="0" borderId="0" xfId="0" applyFont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2" fontId="0" fillId="0" borderId="1" xfId="0" applyNumberFormat="1" applyBorder="1"/>
    <xf numFmtId="0" fontId="0" fillId="5" borderId="1" xfId="0" applyFill="1" applyBorder="1"/>
    <xf numFmtId="1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0" fillId="2" borderId="1" xfId="0" applyFill="1" applyBorder="1"/>
    <xf numFmtId="0" fontId="6" fillId="0" borderId="0" xfId="0" applyFont="1"/>
    <xf numFmtId="0" fontId="7" fillId="0" borderId="0" xfId="0" applyFont="1"/>
    <xf numFmtId="0" fontId="5" fillId="5" borderId="0" xfId="0" applyFont="1" applyFill="1"/>
    <xf numFmtId="0" fontId="0" fillId="0" borderId="0" xfId="0" applyAlignment="1">
      <alignment vertical="top" wrapText="1"/>
    </xf>
    <xf numFmtId="0" fontId="0" fillId="0" borderId="0" xfId="0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t>Puntos por clase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8CC-4991-8EED-92C4625F96F1}"/>
              </c:ext>
            </c:extLst>
          </c:dPt>
          <c:dPt>
            <c:idx val="1"/>
            <c:invertIfNegative val="1"/>
            <c:bubble3D val="0"/>
            <c:spPr>
              <a:solidFill>
                <a:srgbClr val="EF8A1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8CC-4991-8EED-92C4625F96F1}"/>
              </c:ext>
            </c:extLst>
          </c:dPt>
          <c:dPt>
            <c:idx val="2"/>
            <c:invertIfNegative val="1"/>
            <c:bubble3D val="0"/>
            <c:spPr>
              <a:solidFill>
                <a:srgbClr val="C9A22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8CC-4991-8EED-92C4625F96F1}"/>
              </c:ext>
            </c:extLst>
          </c:dPt>
          <c:dPt>
            <c:idx val="3"/>
            <c:invertIfNegative val="1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8CC-4991-8EED-92C4625F96F1}"/>
              </c:ext>
            </c:extLst>
          </c:dPt>
          <c:dPt>
            <c:idx val="4"/>
            <c:invertIfNegative val="1"/>
            <c:bubble3D val="0"/>
            <c:spPr>
              <a:solidFill>
                <a:srgbClr val="9E9E9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8CC-4991-8EED-92C4625F96F1}"/>
              </c:ext>
            </c:extLst>
          </c:dPt>
          <c:cat>
            <c:strRef>
              <c:f>Tablero!$Z$5:$Z$9</c:f>
              <c:strCache>
                <c:ptCount val="5"/>
                <c:pt idx="0">
                  <c:v>KALINA</c:v>
                </c:pt>
                <c:pt idx="1">
                  <c:v>Corregible</c:v>
                </c:pt>
                <c:pt idx="2">
                  <c:v>Inviable</c:v>
                </c:pt>
                <c:pt idx="3">
                  <c:v>No convergió</c:v>
                </c:pt>
                <c:pt idx="4">
                  <c:v>Falso convergido (N2)</c:v>
                </c:pt>
              </c:strCache>
            </c:strRef>
          </c:cat>
          <c:val>
            <c:numRef>
              <c:f>Tablero!$AA$5:$AA$9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CC-4991-8EED-92C4625F9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Número de puntos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t>Criterios que bloquean (genuinos no KALINA)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C62828"/>
            </a:solidFill>
            <a:ln>
              <a:prstDash val="solid"/>
            </a:ln>
          </c:spPr>
          <c:invertIfNegative val="1"/>
          <c:cat>
            <c:strRef>
              <c:f>Tablero!$Z$12:$Z$15</c:f>
              <c:strCache>
                <c:ptCount val="4"/>
                <c:pt idx="0">
                  <c:v>O1 título</c:v>
                </c:pt>
                <c:pt idx="1">
                  <c:v>O2 cavitación</c:v>
                </c:pt>
                <c:pt idx="2">
                  <c:v>O3 trabajo neto</c:v>
                </c:pt>
                <c:pt idx="3">
                  <c:v>O5 separador</c:v>
                </c:pt>
              </c:strCache>
            </c:strRef>
          </c:cat>
          <c:val>
            <c:numRef>
              <c:f>Tablero!$AA$12:$AA$15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28A-443E-A0BF-2973D0E3E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/>
            </a:pPr>
            <a:r>
              <a:t>Dispersión del bloque (ejes en L4:L5)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KALINA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Tablero!$AC$5:$AC$904</c:f>
              <c:numCache>
                <c:formatCode>General</c:formatCode>
                <c:ptCount val="9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</c:numCache>
            </c:numRef>
          </c:xVal>
          <c:yVal>
            <c:numRef>
              <c:f>Tablero!$AD$5:$AD$904</c:f>
              <c:numCache>
                <c:formatCode>General</c:formatCode>
                <c:ptCount val="9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42-4C37-A208-DC4CE2F23EDC}"/>
            </c:ext>
          </c:extLst>
        </c:ser>
        <c:ser>
          <c:idx val="1"/>
          <c:order val="1"/>
          <c:tx>
            <c:v>Corregible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Tablero!$AE$5:$AE$904</c:f>
              <c:numCache>
                <c:formatCode>General</c:formatCode>
                <c:ptCount val="9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</c:numCache>
            </c:numRef>
          </c:xVal>
          <c:yVal>
            <c:numRef>
              <c:f>Tablero!$AF$5:$AF$904</c:f>
              <c:numCache>
                <c:formatCode>General</c:formatCode>
                <c:ptCount val="9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42-4C37-A208-DC4CE2F23EDC}"/>
            </c:ext>
          </c:extLst>
        </c:ser>
        <c:ser>
          <c:idx val="2"/>
          <c:order val="2"/>
          <c:tx>
            <c:v>Inviable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Tablero!$AG$5:$AG$904</c:f>
              <c:numCache>
                <c:formatCode>General</c:formatCode>
                <c:ptCount val="9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</c:numCache>
            </c:numRef>
          </c:xVal>
          <c:yVal>
            <c:numRef>
              <c:f>Tablero!$AH$5:$AH$904</c:f>
              <c:numCache>
                <c:formatCode>General</c:formatCode>
                <c:ptCount val="9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42-4C37-A208-DC4CE2F23EDC}"/>
            </c:ext>
          </c:extLst>
        </c:ser>
        <c:ser>
          <c:idx val="3"/>
          <c:order val="3"/>
          <c:tx>
            <c:v>No convergió o N2</c:v>
          </c:tx>
          <c:spPr>
            <a:ln>
              <a:noFill/>
              <a:prstDash val="solid"/>
            </a:ln>
          </c:spPr>
          <c:marker>
            <c:symbol val="x"/>
            <c:size val="6"/>
            <c: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Tablero!$AI$5:$AI$904</c:f>
              <c:numCache>
                <c:formatCode>General</c:formatCode>
                <c:ptCount val="900"/>
                <c:pt idx="0">
                  <c:v>2750</c:v>
                </c:pt>
                <c:pt idx="1">
                  <c:v>2250</c:v>
                </c:pt>
                <c:pt idx="2">
                  <c:v>2500</c:v>
                </c:pt>
                <c:pt idx="3">
                  <c:v>3000</c:v>
                </c:pt>
                <c:pt idx="4">
                  <c:v>2000</c:v>
                </c:pt>
                <c:pt idx="5">
                  <c:v>3250</c:v>
                </c:pt>
                <c:pt idx="6">
                  <c:v>3500</c:v>
                </c:pt>
                <c:pt idx="7">
                  <c:v>3000</c:v>
                </c:pt>
                <c:pt idx="8">
                  <c:v>3750</c:v>
                </c:pt>
                <c:pt idx="9">
                  <c:v>3000</c:v>
                </c:pt>
                <c:pt idx="10">
                  <c:v>4000</c:v>
                </c:pt>
                <c:pt idx="11">
                  <c:v>3000</c:v>
                </c:pt>
                <c:pt idx="12">
                  <c:v>3000</c:v>
                </c:pt>
                <c:pt idx="13">
                  <c:v>3000</c:v>
                </c:pt>
                <c:pt idx="14">
                  <c:v>3000</c:v>
                </c:pt>
                <c:pt idx="15">
                  <c:v>3000</c:v>
                </c:pt>
                <c:pt idx="16">
                  <c:v>3000</c:v>
                </c:pt>
                <c:pt idx="17">
                  <c:v>3000</c:v>
                </c:pt>
                <c:pt idx="18">
                  <c:v>3000</c:v>
                </c:pt>
                <c:pt idx="19">
                  <c:v>3000</c:v>
                </c:pt>
                <c:pt idx="20">
                  <c:v>3000</c:v>
                </c:pt>
                <c:pt idx="21">
                  <c:v>3000</c:v>
                </c:pt>
                <c:pt idx="22">
                  <c:v>3000</c:v>
                </c:pt>
                <c:pt idx="23">
                  <c:v>3000</c:v>
                </c:pt>
                <c:pt idx="24">
                  <c:v>3000</c:v>
                </c:pt>
                <c:pt idx="25">
                  <c:v>3000</c:v>
                </c:pt>
                <c:pt idx="26">
                  <c:v>3000</c:v>
                </c:pt>
                <c:pt idx="27">
                  <c:v>3000</c:v>
                </c:pt>
                <c:pt idx="28">
                  <c:v>3000</c:v>
                </c:pt>
                <c:pt idx="29">
                  <c:v>3000</c:v>
                </c:pt>
                <c:pt idx="30">
                  <c:v>3000</c:v>
                </c:pt>
                <c:pt idx="31">
                  <c:v>3000</c:v>
                </c:pt>
                <c:pt idx="32">
                  <c:v>3000</c:v>
                </c:pt>
                <c:pt idx="33">
                  <c:v>3000</c:v>
                </c:pt>
                <c:pt idx="34">
                  <c:v>3000</c:v>
                </c:pt>
                <c:pt idx="35">
                  <c:v>3000</c:v>
                </c:pt>
                <c:pt idx="36">
                  <c:v>3000</c:v>
                </c:pt>
                <c:pt idx="37">
                  <c:v>3000</c:v>
                </c:pt>
                <c:pt idx="38">
                  <c:v>3000</c:v>
                </c:pt>
                <c:pt idx="39">
                  <c:v>3000</c:v>
                </c:pt>
                <c:pt idx="40">
                  <c:v>3000</c:v>
                </c:pt>
                <c:pt idx="41">
                  <c:v>3000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</c:numCache>
            </c:numRef>
          </c:xVal>
          <c:yVal>
            <c:numRef>
              <c:f>Tablero!$AJ$5:$AJ$904</c:f>
              <c:numCache>
                <c:formatCode>General</c:formatCode>
                <c:ptCount val="90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0.4</c:v>
                </c:pt>
                <c:pt idx="10">
                  <c:v>0.5</c:v>
                </c:pt>
                <c:pt idx="11">
                  <c:v>0.45</c:v>
                </c:pt>
                <c:pt idx="12">
                  <c:v>0.5</c:v>
                </c:pt>
                <c:pt idx="13">
                  <c:v>0.55000000000000004</c:v>
                </c:pt>
                <c:pt idx="14">
                  <c:v>0.6</c:v>
                </c:pt>
                <c:pt idx="15">
                  <c:v>0.65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42-4C37-A208-DC4CE2F23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Eje X (ver L4)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Eje Y (ver L5)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Resultado de cada barrido: puntos por clase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KALINA (n = 1662)</c:v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0"/>
          <c:cat>
            <c:strRef>
              <c:f>Aux_graficos!$A$2:$A$17</c:f>
              <c:strCache>
                <c:ptCount val="16"/>
                <c:pt idx="0">
                  <c:v>M01</c:v>
                </c:pt>
                <c:pt idx="1">
                  <c:v>M02-N1</c:v>
                </c:pt>
                <c:pt idx="2">
                  <c:v>M02-N2</c:v>
                </c:pt>
                <c:pt idx="3">
                  <c:v>M02R</c:v>
                </c:pt>
                <c:pt idx="4">
                  <c:v>M02S</c:v>
                </c:pt>
                <c:pt idx="5">
                  <c:v>M03</c:v>
                </c:pt>
                <c:pt idx="6">
                  <c:v>M04</c:v>
                </c:pt>
                <c:pt idx="7">
                  <c:v>M04b</c:v>
                </c:pt>
                <c:pt idx="8">
                  <c:v>M04c</c:v>
                </c:pt>
                <c:pt idx="9">
                  <c:v>M05</c:v>
                </c:pt>
                <c:pt idx="10">
                  <c:v>M05c</c:v>
                </c:pt>
                <c:pt idx="11">
                  <c:v>M06</c:v>
                </c:pt>
                <c:pt idx="12">
                  <c:v>M07</c:v>
                </c:pt>
                <c:pt idx="13">
                  <c:v>M09</c:v>
                </c:pt>
                <c:pt idx="14">
                  <c:v>M10</c:v>
                </c:pt>
                <c:pt idx="15">
                  <c:v>M10b</c:v>
                </c:pt>
              </c:strCache>
            </c:strRef>
          </c:cat>
          <c:val>
            <c:numRef>
              <c:f>Aux_graficos!$B$2:$B$17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59</c:v>
                </c:pt>
                <c:pt idx="3">
                  <c:v>20</c:v>
                </c:pt>
                <c:pt idx="4">
                  <c:v>153</c:v>
                </c:pt>
                <c:pt idx="5">
                  <c:v>86</c:v>
                </c:pt>
                <c:pt idx="6">
                  <c:v>76</c:v>
                </c:pt>
                <c:pt idx="7">
                  <c:v>45</c:v>
                </c:pt>
                <c:pt idx="8">
                  <c:v>75</c:v>
                </c:pt>
                <c:pt idx="9">
                  <c:v>20</c:v>
                </c:pt>
                <c:pt idx="10">
                  <c:v>104</c:v>
                </c:pt>
                <c:pt idx="11">
                  <c:v>142</c:v>
                </c:pt>
                <c:pt idx="12">
                  <c:v>419</c:v>
                </c:pt>
                <c:pt idx="13">
                  <c:v>181</c:v>
                </c:pt>
                <c:pt idx="14">
                  <c:v>253</c:v>
                </c:pt>
                <c:pt idx="15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EF-4488-99A2-84BBFFD7D251}"/>
            </c:ext>
          </c:extLst>
        </c:ser>
        <c:ser>
          <c:idx val="1"/>
          <c:order val="1"/>
          <c:tx>
            <c:v>Corregible (n = 1701)</c:v>
          </c:tx>
          <c:spPr>
            <a:solidFill>
              <a:srgbClr val="EF8A17"/>
            </a:solidFill>
            <a:ln>
              <a:solidFill>
                <a:srgbClr val="EF8A17"/>
              </a:solidFill>
              <a:prstDash val="solid"/>
            </a:ln>
          </c:spPr>
          <c:invertIfNegative val="0"/>
          <c:cat>
            <c:strRef>
              <c:f>Aux_graficos!$A$2:$A$17</c:f>
              <c:strCache>
                <c:ptCount val="16"/>
                <c:pt idx="0">
                  <c:v>M01</c:v>
                </c:pt>
                <c:pt idx="1">
                  <c:v>M02-N1</c:v>
                </c:pt>
                <c:pt idx="2">
                  <c:v>M02-N2</c:v>
                </c:pt>
                <c:pt idx="3">
                  <c:v>M02R</c:v>
                </c:pt>
                <c:pt idx="4">
                  <c:v>M02S</c:v>
                </c:pt>
                <c:pt idx="5">
                  <c:v>M03</c:v>
                </c:pt>
                <c:pt idx="6">
                  <c:v>M04</c:v>
                </c:pt>
                <c:pt idx="7">
                  <c:v>M04b</c:v>
                </c:pt>
                <c:pt idx="8">
                  <c:v>M04c</c:v>
                </c:pt>
                <c:pt idx="9">
                  <c:v>M05</c:v>
                </c:pt>
                <c:pt idx="10">
                  <c:v>M05c</c:v>
                </c:pt>
                <c:pt idx="11">
                  <c:v>M06</c:v>
                </c:pt>
                <c:pt idx="12">
                  <c:v>M07</c:v>
                </c:pt>
                <c:pt idx="13">
                  <c:v>M09</c:v>
                </c:pt>
                <c:pt idx="14">
                  <c:v>M10</c:v>
                </c:pt>
                <c:pt idx="15">
                  <c:v>M10b</c:v>
                </c:pt>
              </c:strCache>
            </c:strRef>
          </c:cat>
          <c:val>
            <c:numRef>
              <c:f>Aux_graficos!$C$2:$C$17</c:f>
              <c:numCache>
                <c:formatCode>General</c:formatCode>
                <c:ptCount val="16"/>
                <c:pt idx="0">
                  <c:v>0</c:v>
                </c:pt>
                <c:pt idx="1">
                  <c:v>13</c:v>
                </c:pt>
                <c:pt idx="2">
                  <c:v>106</c:v>
                </c:pt>
                <c:pt idx="3">
                  <c:v>133</c:v>
                </c:pt>
                <c:pt idx="4">
                  <c:v>113</c:v>
                </c:pt>
                <c:pt idx="5">
                  <c:v>57</c:v>
                </c:pt>
                <c:pt idx="6">
                  <c:v>181</c:v>
                </c:pt>
                <c:pt idx="7">
                  <c:v>127</c:v>
                </c:pt>
                <c:pt idx="8">
                  <c:v>43</c:v>
                </c:pt>
                <c:pt idx="9">
                  <c:v>219</c:v>
                </c:pt>
                <c:pt idx="10">
                  <c:v>30</c:v>
                </c:pt>
                <c:pt idx="11">
                  <c:v>9</c:v>
                </c:pt>
                <c:pt idx="12">
                  <c:v>130</c:v>
                </c:pt>
                <c:pt idx="13">
                  <c:v>475</c:v>
                </c:pt>
                <c:pt idx="14">
                  <c:v>56</c:v>
                </c:pt>
                <c:pt idx="1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EF-4488-99A2-84BBFFD7D251}"/>
            </c:ext>
          </c:extLst>
        </c:ser>
        <c:ser>
          <c:idx val="2"/>
          <c:order val="2"/>
          <c:tx>
            <c:v>Inviable (n = 344)</c:v>
          </c:tx>
          <c:spPr>
            <a:solidFill>
              <a:srgbClr val="C9A227"/>
            </a:solidFill>
            <a:ln>
              <a:solidFill>
                <a:srgbClr val="C9A227"/>
              </a:solidFill>
              <a:prstDash val="solid"/>
            </a:ln>
          </c:spPr>
          <c:invertIfNegative val="0"/>
          <c:cat>
            <c:strRef>
              <c:f>Aux_graficos!$A$2:$A$17</c:f>
              <c:strCache>
                <c:ptCount val="16"/>
                <c:pt idx="0">
                  <c:v>M01</c:v>
                </c:pt>
                <c:pt idx="1">
                  <c:v>M02-N1</c:v>
                </c:pt>
                <c:pt idx="2">
                  <c:v>M02-N2</c:v>
                </c:pt>
                <c:pt idx="3">
                  <c:v>M02R</c:v>
                </c:pt>
                <c:pt idx="4">
                  <c:v>M02S</c:v>
                </c:pt>
                <c:pt idx="5">
                  <c:v>M03</c:v>
                </c:pt>
                <c:pt idx="6">
                  <c:v>M04</c:v>
                </c:pt>
                <c:pt idx="7">
                  <c:v>M04b</c:v>
                </c:pt>
                <c:pt idx="8">
                  <c:v>M04c</c:v>
                </c:pt>
                <c:pt idx="9">
                  <c:v>M05</c:v>
                </c:pt>
                <c:pt idx="10">
                  <c:v>M05c</c:v>
                </c:pt>
                <c:pt idx="11">
                  <c:v>M06</c:v>
                </c:pt>
                <c:pt idx="12">
                  <c:v>M07</c:v>
                </c:pt>
                <c:pt idx="13">
                  <c:v>M09</c:v>
                </c:pt>
                <c:pt idx="14">
                  <c:v>M10</c:v>
                </c:pt>
                <c:pt idx="15">
                  <c:v>M10b</c:v>
                </c:pt>
              </c:strCache>
            </c:strRef>
          </c:cat>
          <c:val>
            <c:numRef>
              <c:f>Aux_graficos!$D$2:$D$17</c:f>
              <c:numCache>
                <c:formatCode>General</c:formatCode>
                <c:ptCount val="16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9</c:v>
                </c:pt>
                <c:pt idx="7">
                  <c:v>14</c:v>
                </c:pt>
                <c:pt idx="8">
                  <c:v>2</c:v>
                </c:pt>
                <c:pt idx="9">
                  <c:v>143</c:v>
                </c:pt>
                <c:pt idx="10">
                  <c:v>15</c:v>
                </c:pt>
                <c:pt idx="11">
                  <c:v>0</c:v>
                </c:pt>
                <c:pt idx="12">
                  <c:v>0</c:v>
                </c:pt>
                <c:pt idx="13">
                  <c:v>150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EF-4488-99A2-84BBFFD7D251}"/>
            </c:ext>
          </c:extLst>
        </c:ser>
        <c:ser>
          <c:idx val="3"/>
          <c:order val="3"/>
          <c:tx>
            <c:v>No convergió (n = 718)</c:v>
          </c:tx>
          <c:spPr>
            <a:solidFill>
              <a:srgbClr val="C62828"/>
            </a:solidFill>
            <a:ln>
              <a:solidFill>
                <a:srgbClr val="C62828"/>
              </a:solidFill>
              <a:prstDash val="solid"/>
            </a:ln>
          </c:spPr>
          <c:invertIfNegative val="0"/>
          <c:cat>
            <c:strRef>
              <c:f>Aux_graficos!$A$2:$A$17</c:f>
              <c:strCache>
                <c:ptCount val="16"/>
                <c:pt idx="0">
                  <c:v>M01</c:v>
                </c:pt>
                <c:pt idx="1">
                  <c:v>M02-N1</c:v>
                </c:pt>
                <c:pt idx="2">
                  <c:v>M02-N2</c:v>
                </c:pt>
                <c:pt idx="3">
                  <c:v>M02R</c:v>
                </c:pt>
                <c:pt idx="4">
                  <c:v>M02S</c:v>
                </c:pt>
                <c:pt idx="5">
                  <c:v>M03</c:v>
                </c:pt>
                <c:pt idx="6">
                  <c:v>M04</c:v>
                </c:pt>
                <c:pt idx="7">
                  <c:v>M04b</c:v>
                </c:pt>
                <c:pt idx="8">
                  <c:v>M04c</c:v>
                </c:pt>
                <c:pt idx="9">
                  <c:v>M05</c:v>
                </c:pt>
                <c:pt idx="10">
                  <c:v>M05c</c:v>
                </c:pt>
                <c:pt idx="11">
                  <c:v>M06</c:v>
                </c:pt>
                <c:pt idx="12">
                  <c:v>M07</c:v>
                </c:pt>
                <c:pt idx="13">
                  <c:v>M09</c:v>
                </c:pt>
                <c:pt idx="14">
                  <c:v>M10</c:v>
                </c:pt>
                <c:pt idx="15">
                  <c:v>M10b</c:v>
                </c:pt>
              </c:strCache>
            </c:strRef>
          </c:cat>
          <c:val>
            <c:numRef>
              <c:f>Aux_graficos!$E$2:$E$17</c:f>
              <c:numCache>
                <c:formatCode>General</c:formatCode>
                <c:ptCount val="16"/>
                <c:pt idx="0">
                  <c:v>42</c:v>
                </c:pt>
                <c:pt idx="1">
                  <c:v>96</c:v>
                </c:pt>
                <c:pt idx="2">
                  <c:v>3</c:v>
                </c:pt>
                <c:pt idx="3">
                  <c:v>67</c:v>
                </c:pt>
                <c:pt idx="4">
                  <c:v>51</c:v>
                </c:pt>
                <c:pt idx="5">
                  <c:v>17</c:v>
                </c:pt>
                <c:pt idx="6">
                  <c:v>27</c:v>
                </c:pt>
                <c:pt idx="7">
                  <c:v>8</c:v>
                </c:pt>
                <c:pt idx="8">
                  <c:v>9</c:v>
                </c:pt>
                <c:pt idx="9">
                  <c:v>204</c:v>
                </c:pt>
                <c:pt idx="10">
                  <c:v>1</c:v>
                </c:pt>
                <c:pt idx="11">
                  <c:v>16</c:v>
                </c:pt>
                <c:pt idx="12">
                  <c:v>10</c:v>
                </c:pt>
                <c:pt idx="13">
                  <c:v>148</c:v>
                </c:pt>
                <c:pt idx="14">
                  <c:v>2</c:v>
                </c:pt>
                <c:pt idx="1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EF-4488-99A2-84BBFFD7D251}"/>
            </c:ext>
          </c:extLst>
        </c:ser>
        <c:ser>
          <c:idx val="4"/>
          <c:order val="4"/>
          <c:tx>
            <c:v>Falso convergido (N2) (n = 135)</c:v>
          </c:tx>
          <c: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c:spPr>
          <c:invertIfNegative val="0"/>
          <c:cat>
            <c:strRef>
              <c:f>Aux_graficos!$A$2:$A$17</c:f>
              <c:strCache>
                <c:ptCount val="16"/>
                <c:pt idx="0">
                  <c:v>M01</c:v>
                </c:pt>
                <c:pt idx="1">
                  <c:v>M02-N1</c:v>
                </c:pt>
                <c:pt idx="2">
                  <c:v>M02-N2</c:v>
                </c:pt>
                <c:pt idx="3">
                  <c:v>M02R</c:v>
                </c:pt>
                <c:pt idx="4">
                  <c:v>M02S</c:v>
                </c:pt>
                <c:pt idx="5">
                  <c:v>M03</c:v>
                </c:pt>
                <c:pt idx="6">
                  <c:v>M04</c:v>
                </c:pt>
                <c:pt idx="7">
                  <c:v>M04b</c:v>
                </c:pt>
                <c:pt idx="8">
                  <c:v>M04c</c:v>
                </c:pt>
                <c:pt idx="9">
                  <c:v>M05</c:v>
                </c:pt>
                <c:pt idx="10">
                  <c:v>M05c</c:v>
                </c:pt>
                <c:pt idx="11">
                  <c:v>M06</c:v>
                </c:pt>
                <c:pt idx="12">
                  <c:v>M07</c:v>
                </c:pt>
                <c:pt idx="13">
                  <c:v>M09</c:v>
                </c:pt>
                <c:pt idx="14">
                  <c:v>M10</c:v>
                </c:pt>
                <c:pt idx="15">
                  <c:v>M10b</c:v>
                </c:pt>
              </c:strCache>
            </c:strRef>
          </c:cat>
          <c:val>
            <c:numRef>
              <c:f>Aux_graficos!$F$2:$F$17</c:f>
              <c:numCache>
                <c:formatCode>General</c:formatCode>
                <c:ptCount val="16"/>
                <c:pt idx="0">
                  <c:v>0</c:v>
                </c:pt>
                <c:pt idx="1">
                  <c:v>21</c:v>
                </c:pt>
                <c:pt idx="2">
                  <c:v>12</c:v>
                </c:pt>
                <c:pt idx="3">
                  <c:v>4</c:v>
                </c:pt>
                <c:pt idx="4">
                  <c:v>0</c:v>
                </c:pt>
                <c:pt idx="5">
                  <c:v>6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12</c:v>
                </c:pt>
                <c:pt idx="10">
                  <c:v>15</c:v>
                </c:pt>
                <c:pt idx="11">
                  <c:v>0</c:v>
                </c:pt>
                <c:pt idx="12">
                  <c:v>1</c:v>
                </c:pt>
                <c:pt idx="13">
                  <c:v>29</c:v>
                </c:pt>
                <c:pt idx="14">
                  <c:v>0</c:v>
                </c:pt>
                <c:pt idx="15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EF-4488-99A2-84BBFFD7D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Caso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high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T_fuente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Corregible (n = 1)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Aux_graficos!$H$2</c:f>
              <c:numCache>
                <c:formatCode>General</c:formatCode>
                <c:ptCount val="1"/>
                <c:pt idx="0">
                  <c:v>402.92222222222222</c:v>
                </c:pt>
              </c:numCache>
            </c:numRef>
          </c:xVal>
          <c:yVal>
            <c:numRef>
              <c:f>Aux_graficos!$G$2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66-4A0E-A3F2-2BA3A32A5670}"/>
            </c:ext>
          </c:extLst>
        </c:ser>
        <c:ser>
          <c:idx val="1"/>
          <c:order val="1"/>
          <c:tx>
            <c:v>Corregible, fuera de rango (n = 5)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Aux_graficos!$J$2:$J$6</c:f>
              <c:numCache>
                <c:formatCode>General</c:formatCode>
                <c:ptCount val="5"/>
                <c:pt idx="0">
                  <c:v>434.38333333333333</c:v>
                </c:pt>
                <c:pt idx="1">
                  <c:v>528.76666666666665</c:v>
                </c:pt>
                <c:pt idx="2">
                  <c:v>465.84444444444438</c:v>
                </c:pt>
                <c:pt idx="3">
                  <c:v>497.30555555555549</c:v>
                </c:pt>
                <c:pt idx="4">
                  <c:v>560.22777777777776</c:v>
                </c:pt>
              </c:numCache>
            </c:numRef>
          </c:xVal>
          <c:yVal>
            <c:numRef>
              <c:f>Aux_graficos!$I$2:$I$6</c:f>
              <c:numCache>
                <c:formatCode>General</c:formatCode>
                <c:ptCount val="5"/>
                <c:pt idx="0">
                  <c:v>3</c:v>
                </c:pt>
                <c:pt idx="1">
                  <c:v>3.1</c:v>
                </c:pt>
                <c:pt idx="2">
                  <c:v>3.2</c:v>
                </c:pt>
                <c:pt idx="3">
                  <c:v>3</c:v>
                </c:pt>
                <c:pt idx="4">
                  <c:v>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66-4A0E-A3F2-2BA3A32A5670}"/>
            </c:ext>
          </c:extLst>
        </c:ser>
        <c:ser>
          <c:idx val="2"/>
          <c:order val="2"/>
          <c:tx>
            <c:v>Inviable, fuera de rango (n = 1)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noFill/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Aux_graficos!$L$2</c:f>
              <c:numCache>
                <c:formatCode>General</c:formatCode>
                <c:ptCount val="1"/>
                <c:pt idx="0">
                  <c:v>591.68888888888887</c:v>
                </c:pt>
              </c:numCache>
            </c:numRef>
          </c:xVal>
          <c:yVal>
            <c:numRef>
              <c:f>Aux_graficos!$K$2</c:f>
              <c:numCache>
                <c:formatCode>General</c:formatCode>
                <c:ptCount val="1"/>
                <c:pt idx="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B66-4A0E-A3F2-2BA3A32A5670}"/>
            </c:ext>
          </c:extLst>
        </c:ser>
        <c:ser>
          <c:idx val="3"/>
          <c:order val="3"/>
          <c:tx>
            <c:v>No convergió (n = 10)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Aux_graficos!$N$2:$N$11</c:f>
              <c:numCache>
                <c:formatCode>General</c:formatCode>
                <c:ptCount val="10"/>
                <c:pt idx="0">
                  <c:v>340</c:v>
                </c:pt>
                <c:pt idx="1">
                  <c:v>623.15</c:v>
                </c:pt>
                <c:pt idx="2">
                  <c:v>607.41944444444448</c:v>
                </c:pt>
                <c:pt idx="3">
                  <c:v>355.73055555555561</c:v>
                </c:pt>
                <c:pt idx="4">
                  <c:v>363.5958333333333</c:v>
                </c:pt>
                <c:pt idx="5">
                  <c:v>603.48680555555552</c:v>
                </c:pt>
                <c:pt idx="6">
                  <c:v>367.52847222222221</c:v>
                </c:pt>
                <c:pt idx="7">
                  <c:v>601.52048611111104</c:v>
                </c:pt>
                <c:pt idx="8">
                  <c:v>600.53732638888891</c:v>
                </c:pt>
                <c:pt idx="9">
                  <c:v>368.02005208333333</c:v>
                </c:pt>
              </c:numCache>
            </c:numRef>
          </c:xVal>
          <c:yVal>
            <c:numRef>
              <c:f>Aux_graficos!$M$2:$M$11</c:f>
              <c:numCache>
                <c:formatCode>General</c:formatCode>
                <c:ptCount val="10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B66-4A0E-A3F2-2BA3A32A5670}"/>
            </c:ext>
          </c:extLst>
        </c:ser>
        <c:ser>
          <c:idx val="4"/>
          <c:order val="4"/>
          <c:tx>
            <c:v>Falso convergido (N2) (n = 5)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Aux_graficos!$P$2:$P$6</c:f>
              <c:numCache>
                <c:formatCode>General</c:formatCode>
                <c:ptCount val="5"/>
                <c:pt idx="0">
                  <c:v>371.46111111111111</c:v>
                </c:pt>
                <c:pt idx="1">
                  <c:v>599.55416666666667</c:v>
                </c:pt>
                <c:pt idx="2">
                  <c:v>369.49479166666657</c:v>
                </c:pt>
                <c:pt idx="3">
                  <c:v>368.51163194444439</c:v>
                </c:pt>
                <c:pt idx="4">
                  <c:v>600.04574652777774</c:v>
                </c:pt>
              </c:numCache>
            </c:numRef>
          </c:xVal>
          <c:yVal>
            <c:numRef>
              <c:f>Aux_graficos!$O$2:$O$6</c:f>
              <c:numCache>
                <c:formatCode>General</c:formatCode>
                <c:ptCount val="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</c:v>
                </c:pt>
                <c:pt idx="4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B66-4A0E-A3F2-2BA3A32A5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50"/>
          <c:min val="30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0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T_sumidero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10)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Aux_graficos!$R$2:$R$11</c:f>
              <c:numCache>
                <c:formatCode>General</c:formatCode>
                <c:ptCount val="10"/>
                <c:pt idx="0">
                  <c:v>283.14999999999998</c:v>
                </c:pt>
                <c:pt idx="1">
                  <c:v>285.41666666666657</c:v>
                </c:pt>
                <c:pt idx="2">
                  <c:v>287.68333333333328</c:v>
                </c:pt>
                <c:pt idx="3">
                  <c:v>289.95</c:v>
                </c:pt>
                <c:pt idx="4">
                  <c:v>292.21666666666658</c:v>
                </c:pt>
                <c:pt idx="5">
                  <c:v>294.48333333333329</c:v>
                </c:pt>
                <c:pt idx="6">
                  <c:v>296.75</c:v>
                </c:pt>
                <c:pt idx="7">
                  <c:v>299.01666666666671</c:v>
                </c:pt>
                <c:pt idx="8">
                  <c:v>301.28333333333342</c:v>
                </c:pt>
                <c:pt idx="9">
                  <c:v>303.55</c:v>
                </c:pt>
              </c:numCache>
            </c:numRef>
          </c:xVal>
          <c:yVal>
            <c:numRef>
              <c:f>Aux_graficos!$Q$2:$Q$11</c:f>
              <c:numCache>
                <c:formatCode>General</c:formatCode>
                <c:ptCount val="10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2E-4C44-BA05-F3D0F2E28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5"/>
          <c:min val="28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P_alta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11)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Aux_graficos!$T$2:$T$12</c:f>
              <c:numCache>
                <c:formatCode>General</c:formatCode>
                <c:ptCount val="11"/>
                <c:pt idx="0">
                  <c:v>1000</c:v>
                </c:pt>
                <c:pt idx="1">
                  <c:v>3000</c:v>
                </c:pt>
                <c:pt idx="2">
                  <c:v>2000</c:v>
                </c:pt>
                <c:pt idx="3">
                  <c:v>5000</c:v>
                </c:pt>
                <c:pt idx="4">
                  <c:v>4000</c:v>
                </c:pt>
                <c:pt idx="5">
                  <c:v>10000</c:v>
                </c:pt>
                <c:pt idx="6">
                  <c:v>5250</c:v>
                </c:pt>
                <c:pt idx="7">
                  <c:v>9750</c:v>
                </c:pt>
                <c:pt idx="8">
                  <c:v>5375</c:v>
                </c:pt>
                <c:pt idx="9">
                  <c:v>9625</c:v>
                </c:pt>
                <c:pt idx="10">
                  <c:v>5406.25</c:v>
                </c:pt>
              </c:numCache>
            </c:numRef>
          </c:xVal>
          <c:yVal>
            <c:numRef>
              <c:f>Aux_graficos!$S$2:$S$12</c:f>
              <c:numCache>
                <c:formatCode>General</c:formatCode>
                <c:ptCount val="11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  <c:pt idx="10">
                  <c:v>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57-45E0-853C-899E2ED4C0F7}"/>
            </c:ext>
          </c:extLst>
        </c:ser>
        <c:ser>
          <c:idx val="1"/>
          <c:order val="1"/>
          <c:tx>
            <c:v>Falso convergido (N2) (n = 13)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Aux_graficos!$V$2:$V$14</c:f>
              <c:numCache>
                <c:formatCode>General</c:formatCode>
                <c:ptCount val="13"/>
                <c:pt idx="0">
                  <c:v>6000</c:v>
                </c:pt>
                <c:pt idx="1">
                  <c:v>7000</c:v>
                </c:pt>
                <c:pt idx="2">
                  <c:v>9000</c:v>
                </c:pt>
                <c:pt idx="3">
                  <c:v>8000</c:v>
                </c:pt>
                <c:pt idx="4">
                  <c:v>5500</c:v>
                </c:pt>
                <c:pt idx="5">
                  <c:v>9500</c:v>
                </c:pt>
                <c:pt idx="6">
                  <c:v>5437.5</c:v>
                </c:pt>
                <c:pt idx="7">
                  <c:v>9562.5</c:v>
                </c:pt>
                <c:pt idx="8">
                  <c:v>9593.75</c:v>
                </c:pt>
                <c:pt idx="9">
                  <c:v>5421.875</c:v>
                </c:pt>
                <c:pt idx="10">
                  <c:v>9609.375</c:v>
                </c:pt>
                <c:pt idx="11">
                  <c:v>5414.0625</c:v>
                </c:pt>
                <c:pt idx="12">
                  <c:v>9617.1875</c:v>
                </c:pt>
              </c:numCache>
            </c:numRef>
          </c:xVal>
          <c:yVal>
            <c:numRef>
              <c:f>Aux_graficos!$U$2:$U$14</c:f>
              <c:numCache>
                <c:formatCode>General</c:formatCode>
                <c:ptCount val="13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</c:v>
                </c:pt>
                <c:pt idx="4">
                  <c:v>0.1</c:v>
                </c:pt>
                <c:pt idx="5">
                  <c:v>0.2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57-45E0-853C-899E2ED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2000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P_baja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10)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Aux_graficos!$X$2:$X$11</c:f>
              <c:numCache>
                <c:formatCode>General</c:formatCode>
                <c:ptCount val="10"/>
                <c:pt idx="0">
                  <c:v>150</c:v>
                </c:pt>
                <c:pt idx="1">
                  <c:v>300</c:v>
                </c:pt>
                <c:pt idx="2">
                  <c:v>450</c:v>
                </c:pt>
                <c:pt idx="3">
                  <c:v>600</c:v>
                </c:pt>
                <c:pt idx="4">
                  <c:v>1200</c:v>
                </c:pt>
                <c:pt idx="5">
                  <c:v>1050</c:v>
                </c:pt>
                <c:pt idx="6">
                  <c:v>750</c:v>
                </c:pt>
                <c:pt idx="7">
                  <c:v>900</c:v>
                </c:pt>
                <c:pt idx="8">
                  <c:v>1350</c:v>
                </c:pt>
                <c:pt idx="9">
                  <c:v>1500</c:v>
                </c:pt>
              </c:numCache>
            </c:numRef>
          </c:xVal>
          <c:yVal>
            <c:numRef>
              <c:f>Aux_graficos!$W$2:$W$11</c:f>
              <c:numCache>
                <c:formatCode>General</c:formatCode>
                <c:ptCount val="10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B6-4B78-B954-8C56AFFF5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50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250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x_b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Inviable, fuera de rango (n = 1)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noFill/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Aux_graficos!$Z$2</c:f>
              <c:numCache>
                <c:formatCode>General</c:formatCode>
                <c:ptCount val="1"/>
                <c:pt idx="0">
                  <c:v>0.3</c:v>
                </c:pt>
              </c:numCache>
            </c:numRef>
          </c:xVal>
          <c:yVal>
            <c:numRef>
              <c:f>Aux_graficos!$Y$2</c:f>
              <c:numCache>
                <c:formatCode>General</c:formatCode>
                <c:ptCount val="1"/>
                <c:pt idx="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DD-443B-8881-F473F48FB711}"/>
            </c:ext>
          </c:extLst>
        </c:ser>
        <c:ser>
          <c:idx val="1"/>
          <c:order val="1"/>
          <c:tx>
            <c:v>No convergió (n = 12)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Aux_graficos!$AB$2:$AB$13</c:f>
              <c:numCache>
                <c:formatCode>General</c:formatCode>
                <c:ptCount val="12"/>
                <c:pt idx="0">
                  <c:v>0.3666666666666667</c:v>
                </c:pt>
                <c:pt idx="1">
                  <c:v>0.5</c:v>
                </c:pt>
                <c:pt idx="2">
                  <c:v>0.43333333333333329</c:v>
                </c:pt>
                <c:pt idx="3">
                  <c:v>0.6333333333333333</c:v>
                </c:pt>
                <c:pt idx="4">
                  <c:v>0.56666666666666665</c:v>
                </c:pt>
                <c:pt idx="5">
                  <c:v>0.70000000000000007</c:v>
                </c:pt>
                <c:pt idx="6">
                  <c:v>0.76666666666666683</c:v>
                </c:pt>
                <c:pt idx="7">
                  <c:v>0.83333333333333348</c:v>
                </c:pt>
                <c:pt idx="8">
                  <c:v>0.9</c:v>
                </c:pt>
                <c:pt idx="9">
                  <c:v>0.33333333333333331</c:v>
                </c:pt>
                <c:pt idx="10">
                  <c:v>0.32500000000000001</c:v>
                </c:pt>
                <c:pt idx="11">
                  <c:v>0.3208333333333333</c:v>
                </c:pt>
              </c:numCache>
            </c:numRef>
          </c:xVal>
          <c:yVal>
            <c:numRef>
              <c:f>Aux_graficos!$AA$2:$AA$13</c:f>
              <c:numCache>
                <c:formatCode>General</c:formatCode>
                <c:ptCount val="12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DD-443B-8881-F473F48FB711}"/>
            </c:ext>
          </c:extLst>
        </c:ser>
        <c:ser>
          <c:idx val="2"/>
          <c:order val="2"/>
          <c:tx>
            <c:v>Falso convergido (N2) (n = 1)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Aux_graficos!$AD$2</c:f>
              <c:numCache>
                <c:formatCode>General</c:formatCode>
                <c:ptCount val="1"/>
                <c:pt idx="0">
                  <c:v>0.3166666666666666</c:v>
                </c:pt>
              </c:numCache>
            </c:numRef>
          </c:xVal>
          <c:yVal>
            <c:numRef>
              <c:f>Aux_graficos!$AC$2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DD-443B-8881-F473F48FB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"/>
          <c:min val="0.2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10)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Aux_graficos!$AF$2:$AF$11</c:f>
              <c:numCache>
                <c:formatCode>General</c:formatCode>
                <c:ptCount val="10"/>
                <c:pt idx="0">
                  <c:v>0.76666666666666672</c:v>
                </c:pt>
                <c:pt idx="1">
                  <c:v>0.75</c:v>
                </c:pt>
                <c:pt idx="2">
                  <c:v>0.78333333333333333</c:v>
                </c:pt>
                <c:pt idx="3">
                  <c:v>0.81666666666666665</c:v>
                </c:pt>
                <c:pt idx="4">
                  <c:v>0.8</c:v>
                </c:pt>
                <c:pt idx="5">
                  <c:v>0.83333333333333337</c:v>
                </c:pt>
                <c:pt idx="6">
                  <c:v>0.85</c:v>
                </c:pt>
                <c:pt idx="7">
                  <c:v>0.8666666666666667</c:v>
                </c:pt>
                <c:pt idx="8">
                  <c:v>0.8833333333333333</c:v>
                </c:pt>
                <c:pt idx="9">
                  <c:v>0.9</c:v>
                </c:pt>
              </c:numCache>
            </c:numRef>
          </c:xVal>
          <c:yVal>
            <c:numRef>
              <c:f>Aux_graficos!$AE$2:$AE$11</c:f>
              <c:numCache>
                <c:formatCode>General</c:formatCode>
                <c:ptCount val="10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91-4271-B074-B06F6469C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"/>
          <c:min val="0.7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2.5000000000000001E-2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10)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Aux_graficos!$AH$2:$AH$11</c:f>
              <c:numCache>
                <c:formatCode>General</c:formatCode>
                <c:ptCount val="10"/>
                <c:pt idx="0">
                  <c:v>0.65</c:v>
                </c:pt>
                <c:pt idx="1">
                  <c:v>0.67222222222222228</c:v>
                </c:pt>
                <c:pt idx="2">
                  <c:v>0.69444444444444442</c:v>
                </c:pt>
                <c:pt idx="3">
                  <c:v>0.73888888888888893</c:v>
                </c:pt>
                <c:pt idx="4">
                  <c:v>0.71666666666666667</c:v>
                </c:pt>
                <c:pt idx="5">
                  <c:v>0.76111111111111107</c:v>
                </c:pt>
                <c:pt idx="6">
                  <c:v>0.78333333333333333</c:v>
                </c:pt>
                <c:pt idx="7">
                  <c:v>0.80555555555555558</c:v>
                </c:pt>
                <c:pt idx="8">
                  <c:v>0.85</c:v>
                </c:pt>
                <c:pt idx="9">
                  <c:v>0.82777777777777772</c:v>
                </c:pt>
              </c:numCache>
            </c:numRef>
          </c:xVal>
          <c:yVal>
            <c:numRef>
              <c:f>Aux_graficos!$AG$2:$AG$11</c:f>
              <c:numCache>
                <c:formatCode>General</c:formatCode>
                <c:ptCount val="10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75-4221-852A-E7742D07C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5000000000000009"/>
          <c:min val="0.6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5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ε_HRVG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Corregible, fuera de rango (n = 7)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Aux_graficos!$AJ$2:$AJ$8</c:f>
              <c:numCache>
                <c:formatCode>General</c:formatCode>
                <c:ptCount val="7"/>
                <c:pt idx="0">
                  <c:v>0.75</c:v>
                </c:pt>
                <c:pt idx="1">
                  <c:v>0.77222222222222225</c:v>
                </c:pt>
                <c:pt idx="2">
                  <c:v>0.76111111111111107</c:v>
                </c:pt>
                <c:pt idx="3">
                  <c:v>0.78333333333333333</c:v>
                </c:pt>
                <c:pt idx="4">
                  <c:v>0.80555555555555558</c:v>
                </c:pt>
                <c:pt idx="5">
                  <c:v>0.7944444444444444</c:v>
                </c:pt>
                <c:pt idx="6">
                  <c:v>0.81666666666666665</c:v>
                </c:pt>
              </c:numCache>
            </c:numRef>
          </c:xVal>
          <c:yVal>
            <c:numRef>
              <c:f>Aux_graficos!$AI$2:$AI$8</c:f>
              <c:numCache>
                <c:formatCode>General</c:formatCode>
                <c:ptCount val="7"/>
                <c:pt idx="0">
                  <c:v>3</c:v>
                </c:pt>
                <c:pt idx="1">
                  <c:v>3.1</c:v>
                </c:pt>
                <c:pt idx="2">
                  <c:v>3.2</c:v>
                </c:pt>
                <c:pt idx="3">
                  <c:v>3</c:v>
                </c:pt>
                <c:pt idx="4">
                  <c:v>3.1</c:v>
                </c:pt>
                <c:pt idx="5">
                  <c:v>3.2</c:v>
                </c:pt>
                <c:pt idx="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E4-42A5-8DEF-B713BD6DC1DE}"/>
            </c:ext>
          </c:extLst>
        </c:ser>
        <c:ser>
          <c:idx val="1"/>
          <c:order val="1"/>
          <c:tx>
            <c:v>No convergió (n = 3)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Aux_graficos!$AL$2:$AL$4</c:f>
              <c:numCache>
                <c:formatCode>General</c:formatCode>
                <c:ptCount val="3"/>
                <c:pt idx="0">
                  <c:v>0.82777777777777772</c:v>
                </c:pt>
                <c:pt idx="1">
                  <c:v>0.83888888888888891</c:v>
                </c:pt>
                <c:pt idx="2">
                  <c:v>0.85</c:v>
                </c:pt>
              </c:numCache>
            </c:numRef>
          </c:xVal>
          <c:yVal>
            <c:numRef>
              <c:f>Aux_graficos!$AK$2:$AK$4</c:f>
              <c:numCache>
                <c:formatCode>General</c:formatCode>
                <c:ptCount val="3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9E4-42A5-8DEF-B713BD6DC1DE}"/>
            </c:ext>
          </c:extLst>
        </c:ser>
        <c:ser>
          <c:idx val="2"/>
          <c:order val="2"/>
          <c:tx>
            <c:v>Falso convergido (N2) (n = 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Aux_graficos!$AN$2:$AN$3</c:f>
              <c:numCache>
                <c:formatCode>General</c:formatCode>
                <c:ptCount val="2"/>
                <c:pt idx="0">
                  <c:v>0.82222222222222219</c:v>
                </c:pt>
                <c:pt idx="1">
                  <c:v>0.82499999999999996</c:v>
                </c:pt>
              </c:numCache>
            </c:numRef>
          </c:xVal>
          <c:yVal>
            <c:numRef>
              <c:f>Aux_graficos!$AM$2:$AM$3</c:f>
              <c:numCache>
                <c:formatCode>General</c:formatCode>
                <c:ptCount val="2"/>
                <c:pt idx="0">
                  <c:v>0</c:v>
                </c:pt>
                <c:pt idx="1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9E4-42A5-8DEF-B713BD6DC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6"/>
          <c:min val="0.7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2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ε_reg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10)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Aux_graficos!$AP$2:$AP$11</c:f>
              <c:numCache>
                <c:formatCode>General</c:formatCode>
                <c:ptCount val="10"/>
                <c:pt idx="0">
                  <c:v>0.76111111111111107</c:v>
                </c:pt>
                <c:pt idx="1">
                  <c:v>0.75</c:v>
                </c:pt>
                <c:pt idx="2">
                  <c:v>0.77222222222222225</c:v>
                </c:pt>
                <c:pt idx="3">
                  <c:v>0.78333333333333333</c:v>
                </c:pt>
                <c:pt idx="4">
                  <c:v>0.7944444444444444</c:v>
                </c:pt>
                <c:pt idx="5">
                  <c:v>0.80555555555555558</c:v>
                </c:pt>
                <c:pt idx="6">
                  <c:v>0.82777777777777772</c:v>
                </c:pt>
                <c:pt idx="7">
                  <c:v>0.83888888888888891</c:v>
                </c:pt>
                <c:pt idx="8">
                  <c:v>0.81666666666666665</c:v>
                </c:pt>
                <c:pt idx="9">
                  <c:v>0.85</c:v>
                </c:pt>
              </c:numCache>
            </c:numRef>
          </c:xVal>
          <c:yVal>
            <c:numRef>
              <c:f>Aux_graficos!$AO$2:$AO$11</c:f>
              <c:numCache>
                <c:formatCode>General</c:formatCode>
                <c:ptCount val="10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A4-45AC-AD19-A96D44193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6"/>
          <c:min val="0.7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2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ε_cond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10)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Aux_graficos!$AR$2:$AR$11</c:f>
              <c:numCache>
                <c:formatCode>General</c:formatCode>
                <c:ptCount val="10"/>
                <c:pt idx="0">
                  <c:v>0.75</c:v>
                </c:pt>
                <c:pt idx="1">
                  <c:v>0.76111111111111107</c:v>
                </c:pt>
                <c:pt idx="2">
                  <c:v>0.78333333333333333</c:v>
                </c:pt>
                <c:pt idx="3">
                  <c:v>0.77222222222222225</c:v>
                </c:pt>
                <c:pt idx="4">
                  <c:v>0.7944444444444444</c:v>
                </c:pt>
                <c:pt idx="5">
                  <c:v>0.80555555555555558</c:v>
                </c:pt>
                <c:pt idx="6">
                  <c:v>0.81666666666666665</c:v>
                </c:pt>
                <c:pt idx="7">
                  <c:v>0.82777777777777772</c:v>
                </c:pt>
                <c:pt idx="8">
                  <c:v>0.83888888888888891</c:v>
                </c:pt>
                <c:pt idx="9">
                  <c:v>0.85</c:v>
                </c:pt>
              </c:numCache>
            </c:numRef>
          </c:xVal>
          <c:yVal>
            <c:numRef>
              <c:f>Aux_graficos!$AQ$2:$AQ$11</c:f>
              <c:numCache>
                <c:formatCode>General</c:formatCode>
                <c:ptCount val="10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2B-4540-87CE-F1032D784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6"/>
          <c:min val="0.7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2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Ruta A: conservando la fuente del profesor (623 K), 0 KALINA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Corregible, fuera de rango (n = 36)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Aux_graficos!$AT$2:$AT$37</c:f>
              <c:numCache>
                <c:formatCode>General</c:formatCode>
                <c:ptCount val="36"/>
                <c:pt idx="0">
                  <c:v>400</c:v>
                </c:pt>
                <c:pt idx="1">
                  <c:v>545.4545454545455</c:v>
                </c:pt>
                <c:pt idx="2">
                  <c:v>690.90909090909099</c:v>
                </c:pt>
                <c:pt idx="3">
                  <c:v>981.81818181818198</c:v>
                </c:pt>
                <c:pt idx="4">
                  <c:v>836.36363636363637</c:v>
                </c:pt>
                <c:pt idx="5">
                  <c:v>1127.2727272727279</c:v>
                </c:pt>
                <c:pt idx="6">
                  <c:v>1418.181818181818</c:v>
                </c:pt>
                <c:pt idx="7">
                  <c:v>1272.727272727273</c:v>
                </c:pt>
                <c:pt idx="8">
                  <c:v>1709.090909090909</c:v>
                </c:pt>
                <c:pt idx="9">
                  <c:v>1563.636363636364</c:v>
                </c:pt>
                <c:pt idx="10">
                  <c:v>1854.545454545455</c:v>
                </c:pt>
                <c:pt idx="11">
                  <c:v>2000</c:v>
                </c:pt>
                <c:pt idx="12">
                  <c:v>400</c:v>
                </c:pt>
                <c:pt idx="13">
                  <c:v>545.4545454545455</c:v>
                </c:pt>
                <c:pt idx="14">
                  <c:v>690.90909090909099</c:v>
                </c:pt>
                <c:pt idx="15">
                  <c:v>1127.2727272727279</c:v>
                </c:pt>
                <c:pt idx="16">
                  <c:v>836.36363636363637</c:v>
                </c:pt>
                <c:pt idx="17">
                  <c:v>981.81818181818198</c:v>
                </c:pt>
                <c:pt idx="18">
                  <c:v>1272.727272727273</c:v>
                </c:pt>
                <c:pt idx="19">
                  <c:v>1418.181818181818</c:v>
                </c:pt>
                <c:pt idx="20">
                  <c:v>1563.636363636364</c:v>
                </c:pt>
                <c:pt idx="21">
                  <c:v>1854.545454545455</c:v>
                </c:pt>
                <c:pt idx="22">
                  <c:v>1709.090909090909</c:v>
                </c:pt>
                <c:pt idx="23">
                  <c:v>2000</c:v>
                </c:pt>
                <c:pt idx="24">
                  <c:v>400</c:v>
                </c:pt>
                <c:pt idx="25">
                  <c:v>545.4545454545455</c:v>
                </c:pt>
                <c:pt idx="26">
                  <c:v>690.90909090909099</c:v>
                </c:pt>
                <c:pt idx="27">
                  <c:v>836.36363636363637</c:v>
                </c:pt>
                <c:pt idx="28">
                  <c:v>981.81818181818198</c:v>
                </c:pt>
                <c:pt idx="29">
                  <c:v>1127.2727272727279</c:v>
                </c:pt>
                <c:pt idx="30">
                  <c:v>1272.727272727273</c:v>
                </c:pt>
                <c:pt idx="31">
                  <c:v>1418.181818181818</c:v>
                </c:pt>
                <c:pt idx="32">
                  <c:v>1563.636363636364</c:v>
                </c:pt>
                <c:pt idx="33">
                  <c:v>1709.090909090909</c:v>
                </c:pt>
                <c:pt idx="34">
                  <c:v>1854.545454545455</c:v>
                </c:pt>
                <c:pt idx="35">
                  <c:v>2000</c:v>
                </c:pt>
              </c:numCache>
            </c:numRef>
          </c:xVal>
          <c:yVal>
            <c:numRef>
              <c:f>Aux_graficos!$AS$2:$AS$37</c:f>
              <c:numCache>
                <c:formatCode>General</c:formatCode>
                <c:ptCount val="36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0.78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0.78</c:v>
                </c:pt>
                <c:pt idx="18">
                  <c:v>0.78</c:v>
                </c:pt>
                <c:pt idx="19">
                  <c:v>0.78</c:v>
                </c:pt>
                <c:pt idx="20">
                  <c:v>0.78</c:v>
                </c:pt>
                <c:pt idx="21">
                  <c:v>0.78</c:v>
                </c:pt>
                <c:pt idx="22">
                  <c:v>0.78</c:v>
                </c:pt>
                <c:pt idx="23">
                  <c:v>0.78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A4-4CF4-BBE5-18D91F370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000"/>
          <c:min val="25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250"/>
      </c:valAx>
      <c:valAx>
        <c:axId val="20"/>
        <c:scaling>
          <c:orientation val="minMax"/>
          <c:max val="0.81"/>
          <c:min val="0.7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0.01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Ruta B: KALINA con T_fuente entre 390 y 434 K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48)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Aux_graficos!$AV$2:$AV$49</c:f>
              <c:numCache>
                <c:formatCode>General</c:formatCode>
                <c:ptCount val="48"/>
                <c:pt idx="0">
                  <c:v>545.4545454545455</c:v>
                </c:pt>
                <c:pt idx="1">
                  <c:v>836.36363636363637</c:v>
                </c:pt>
                <c:pt idx="2">
                  <c:v>981.81818181818198</c:v>
                </c:pt>
                <c:pt idx="3">
                  <c:v>1127.2727272727279</c:v>
                </c:pt>
                <c:pt idx="4">
                  <c:v>690.90909090909099</c:v>
                </c:pt>
                <c:pt idx="5">
                  <c:v>1272.727272727273</c:v>
                </c:pt>
                <c:pt idx="6">
                  <c:v>1418.181818181818</c:v>
                </c:pt>
                <c:pt idx="7">
                  <c:v>1563.636363636364</c:v>
                </c:pt>
                <c:pt idx="8">
                  <c:v>1709.090909090909</c:v>
                </c:pt>
                <c:pt idx="9">
                  <c:v>1854.545454545455</c:v>
                </c:pt>
                <c:pt idx="10">
                  <c:v>2000</c:v>
                </c:pt>
                <c:pt idx="11">
                  <c:v>690.90909090909099</c:v>
                </c:pt>
                <c:pt idx="12">
                  <c:v>836.36363636363637</c:v>
                </c:pt>
                <c:pt idx="13">
                  <c:v>981.81818181818198</c:v>
                </c:pt>
                <c:pt idx="14">
                  <c:v>1127.2727272727279</c:v>
                </c:pt>
                <c:pt idx="15">
                  <c:v>1272.727272727273</c:v>
                </c:pt>
                <c:pt idx="16">
                  <c:v>1418.181818181818</c:v>
                </c:pt>
                <c:pt idx="17">
                  <c:v>1854.545454545455</c:v>
                </c:pt>
                <c:pt idx="18">
                  <c:v>1709.090909090909</c:v>
                </c:pt>
                <c:pt idx="19">
                  <c:v>1563.636363636364</c:v>
                </c:pt>
                <c:pt idx="20">
                  <c:v>2000</c:v>
                </c:pt>
                <c:pt idx="21">
                  <c:v>836.36363636363637</c:v>
                </c:pt>
                <c:pt idx="22">
                  <c:v>1127.2727272727279</c:v>
                </c:pt>
                <c:pt idx="23">
                  <c:v>981.81818181818198</c:v>
                </c:pt>
                <c:pt idx="24">
                  <c:v>1272.727272727273</c:v>
                </c:pt>
                <c:pt idx="25">
                  <c:v>1418.181818181818</c:v>
                </c:pt>
                <c:pt idx="26">
                  <c:v>1563.636363636364</c:v>
                </c:pt>
                <c:pt idx="27">
                  <c:v>1709.090909090909</c:v>
                </c:pt>
                <c:pt idx="28">
                  <c:v>1854.545454545455</c:v>
                </c:pt>
                <c:pt idx="29">
                  <c:v>2000</c:v>
                </c:pt>
                <c:pt idx="30">
                  <c:v>618.18181818181824</c:v>
                </c:pt>
                <c:pt idx="31">
                  <c:v>618.18181818181824</c:v>
                </c:pt>
                <c:pt idx="32">
                  <c:v>472.7272727272728</c:v>
                </c:pt>
                <c:pt idx="33">
                  <c:v>472.7272727272728</c:v>
                </c:pt>
                <c:pt idx="34">
                  <c:v>763.63636363636374</c:v>
                </c:pt>
                <c:pt idx="35">
                  <c:v>763.63636363636374</c:v>
                </c:pt>
                <c:pt idx="36">
                  <c:v>581.81818181818187</c:v>
                </c:pt>
                <c:pt idx="37">
                  <c:v>581.81818181818187</c:v>
                </c:pt>
                <c:pt idx="38">
                  <c:v>563.63636363636374</c:v>
                </c:pt>
                <c:pt idx="39">
                  <c:v>563.63636363636374</c:v>
                </c:pt>
                <c:pt idx="40">
                  <c:v>454.54545454545462</c:v>
                </c:pt>
                <c:pt idx="41">
                  <c:v>454.54545454545462</c:v>
                </c:pt>
                <c:pt idx="42">
                  <c:v>745.4545454545455</c:v>
                </c:pt>
                <c:pt idx="43">
                  <c:v>745.4545454545455</c:v>
                </c:pt>
                <c:pt idx="44">
                  <c:v>445.4545454545455</c:v>
                </c:pt>
                <c:pt idx="45">
                  <c:v>445.4545454545455</c:v>
                </c:pt>
                <c:pt idx="46">
                  <c:v>736.36363636363649</c:v>
                </c:pt>
                <c:pt idx="47">
                  <c:v>736.36363636363649</c:v>
                </c:pt>
              </c:numCache>
            </c:numRef>
          </c:xVal>
          <c:yVal>
            <c:numRef>
              <c:f>Aux_graficos!$AU$2:$AU$49</c:f>
              <c:numCache>
                <c:formatCode>General</c:formatCode>
                <c:ptCount val="48"/>
                <c:pt idx="0">
                  <c:v>390</c:v>
                </c:pt>
                <c:pt idx="1">
                  <c:v>390</c:v>
                </c:pt>
                <c:pt idx="2">
                  <c:v>390</c:v>
                </c:pt>
                <c:pt idx="3">
                  <c:v>390</c:v>
                </c:pt>
                <c:pt idx="4">
                  <c:v>390</c:v>
                </c:pt>
                <c:pt idx="5">
                  <c:v>390</c:v>
                </c:pt>
                <c:pt idx="6">
                  <c:v>390</c:v>
                </c:pt>
                <c:pt idx="7">
                  <c:v>390</c:v>
                </c:pt>
                <c:pt idx="8">
                  <c:v>390</c:v>
                </c:pt>
                <c:pt idx="9">
                  <c:v>390</c:v>
                </c:pt>
                <c:pt idx="10">
                  <c:v>390</c:v>
                </c:pt>
                <c:pt idx="11">
                  <c:v>403</c:v>
                </c:pt>
                <c:pt idx="12">
                  <c:v>403</c:v>
                </c:pt>
                <c:pt idx="13">
                  <c:v>403</c:v>
                </c:pt>
                <c:pt idx="14">
                  <c:v>403</c:v>
                </c:pt>
                <c:pt idx="15">
                  <c:v>403</c:v>
                </c:pt>
                <c:pt idx="16">
                  <c:v>403</c:v>
                </c:pt>
                <c:pt idx="17">
                  <c:v>403</c:v>
                </c:pt>
                <c:pt idx="18">
                  <c:v>403</c:v>
                </c:pt>
                <c:pt idx="19">
                  <c:v>403</c:v>
                </c:pt>
                <c:pt idx="20">
                  <c:v>403</c:v>
                </c:pt>
                <c:pt idx="21">
                  <c:v>420</c:v>
                </c:pt>
                <c:pt idx="22">
                  <c:v>420</c:v>
                </c:pt>
                <c:pt idx="23">
                  <c:v>420</c:v>
                </c:pt>
                <c:pt idx="24">
                  <c:v>420</c:v>
                </c:pt>
                <c:pt idx="25">
                  <c:v>420</c:v>
                </c:pt>
                <c:pt idx="26">
                  <c:v>420</c:v>
                </c:pt>
                <c:pt idx="27">
                  <c:v>420</c:v>
                </c:pt>
                <c:pt idx="28">
                  <c:v>420</c:v>
                </c:pt>
                <c:pt idx="29">
                  <c:v>420</c:v>
                </c:pt>
                <c:pt idx="30">
                  <c:v>403</c:v>
                </c:pt>
                <c:pt idx="31">
                  <c:v>403</c:v>
                </c:pt>
                <c:pt idx="32">
                  <c:v>390</c:v>
                </c:pt>
                <c:pt idx="33">
                  <c:v>390</c:v>
                </c:pt>
                <c:pt idx="34">
                  <c:v>420</c:v>
                </c:pt>
                <c:pt idx="35">
                  <c:v>420</c:v>
                </c:pt>
                <c:pt idx="36">
                  <c:v>403</c:v>
                </c:pt>
                <c:pt idx="37">
                  <c:v>403</c:v>
                </c:pt>
                <c:pt idx="38">
                  <c:v>403</c:v>
                </c:pt>
                <c:pt idx="39">
                  <c:v>403</c:v>
                </c:pt>
                <c:pt idx="40">
                  <c:v>390</c:v>
                </c:pt>
                <c:pt idx="41">
                  <c:v>390</c:v>
                </c:pt>
                <c:pt idx="42">
                  <c:v>420</c:v>
                </c:pt>
                <c:pt idx="43">
                  <c:v>420</c:v>
                </c:pt>
                <c:pt idx="44">
                  <c:v>390</c:v>
                </c:pt>
                <c:pt idx="45">
                  <c:v>390</c:v>
                </c:pt>
                <c:pt idx="46">
                  <c:v>420</c:v>
                </c:pt>
                <c:pt idx="47">
                  <c:v>420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E1-4E60-B00F-EF403EB4D3D7}"/>
            </c:ext>
          </c:extLst>
        </c:ser>
        <c:ser>
          <c:idx val="1"/>
          <c:order val="1"/>
          <c:tx>
            <c:v>KALINA, fuera de rango (n = 11)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Aux_graficos!$AX$2:$AX$12</c:f>
              <c:numCache>
                <c:formatCode>General</c:formatCode>
                <c:ptCount val="11"/>
                <c:pt idx="0">
                  <c:v>1272.727272727273</c:v>
                </c:pt>
                <c:pt idx="1">
                  <c:v>1127.2727272727279</c:v>
                </c:pt>
                <c:pt idx="2">
                  <c:v>981.81818181818198</c:v>
                </c:pt>
                <c:pt idx="3">
                  <c:v>1418.181818181818</c:v>
                </c:pt>
                <c:pt idx="4">
                  <c:v>1563.636363636364</c:v>
                </c:pt>
                <c:pt idx="5">
                  <c:v>1709.090909090909</c:v>
                </c:pt>
                <c:pt idx="6">
                  <c:v>1781.818181818182</c:v>
                </c:pt>
                <c:pt idx="7">
                  <c:v>945.45454545454561</c:v>
                </c:pt>
                <c:pt idx="8">
                  <c:v>945.45454545454561</c:v>
                </c:pt>
                <c:pt idx="9">
                  <c:v>1818.181818181818</c:v>
                </c:pt>
                <c:pt idx="10">
                  <c:v>1827.2727272727279</c:v>
                </c:pt>
              </c:numCache>
            </c:numRef>
          </c:xVal>
          <c:yVal>
            <c:numRef>
              <c:f>Aux_graficos!$AW$2:$AW$12</c:f>
              <c:numCache>
                <c:formatCode>General</c:formatCode>
                <c:ptCount val="11"/>
                <c:pt idx="0">
                  <c:v>434</c:v>
                </c:pt>
                <c:pt idx="1">
                  <c:v>434</c:v>
                </c:pt>
                <c:pt idx="2">
                  <c:v>434</c:v>
                </c:pt>
                <c:pt idx="3">
                  <c:v>434</c:v>
                </c:pt>
                <c:pt idx="4">
                  <c:v>434</c:v>
                </c:pt>
                <c:pt idx="5">
                  <c:v>434</c:v>
                </c:pt>
                <c:pt idx="6">
                  <c:v>434</c:v>
                </c:pt>
                <c:pt idx="7">
                  <c:v>434</c:v>
                </c:pt>
                <c:pt idx="8">
                  <c:v>434</c:v>
                </c:pt>
                <c:pt idx="9">
                  <c:v>434</c:v>
                </c:pt>
                <c:pt idx="10">
                  <c:v>434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1-4E60-B00F-EF403EB4D3D7}"/>
            </c:ext>
          </c:extLst>
        </c:ser>
        <c:ser>
          <c:idx val="2"/>
          <c:order val="2"/>
          <c:tx>
            <c:v>Corregible (n = 12)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Aux_graficos!$AZ$2:$AZ$13</c:f>
              <c:numCache>
                <c:formatCode>General</c:formatCode>
                <c:ptCount val="12"/>
                <c:pt idx="0">
                  <c:v>400</c:v>
                </c:pt>
                <c:pt idx="1">
                  <c:v>400</c:v>
                </c:pt>
                <c:pt idx="2">
                  <c:v>545.4545454545455</c:v>
                </c:pt>
                <c:pt idx="3">
                  <c:v>400</c:v>
                </c:pt>
                <c:pt idx="4">
                  <c:v>545.4545454545455</c:v>
                </c:pt>
                <c:pt idx="5">
                  <c:v>690.90909090909099</c:v>
                </c:pt>
                <c:pt idx="6">
                  <c:v>436.36363636363637</c:v>
                </c:pt>
                <c:pt idx="7">
                  <c:v>436.36363636363637</c:v>
                </c:pt>
                <c:pt idx="8">
                  <c:v>727.27272727272737</c:v>
                </c:pt>
                <c:pt idx="9">
                  <c:v>727.27272727272737</c:v>
                </c:pt>
                <c:pt idx="10">
                  <c:v>554.54545454545462</c:v>
                </c:pt>
                <c:pt idx="11">
                  <c:v>554.54545454545462</c:v>
                </c:pt>
              </c:numCache>
            </c:numRef>
          </c:xVal>
          <c:yVal>
            <c:numRef>
              <c:f>Aux_graficos!$AY$2:$AY$13</c:f>
              <c:numCache>
                <c:formatCode>General</c:formatCode>
                <c:ptCount val="12"/>
                <c:pt idx="0">
                  <c:v>390</c:v>
                </c:pt>
                <c:pt idx="1">
                  <c:v>403</c:v>
                </c:pt>
                <c:pt idx="2">
                  <c:v>403</c:v>
                </c:pt>
                <c:pt idx="3">
                  <c:v>420</c:v>
                </c:pt>
                <c:pt idx="4">
                  <c:v>420</c:v>
                </c:pt>
                <c:pt idx="5">
                  <c:v>420</c:v>
                </c:pt>
                <c:pt idx="6">
                  <c:v>390</c:v>
                </c:pt>
                <c:pt idx="7">
                  <c:v>390</c:v>
                </c:pt>
                <c:pt idx="8">
                  <c:v>420</c:v>
                </c:pt>
                <c:pt idx="9">
                  <c:v>420</c:v>
                </c:pt>
                <c:pt idx="10">
                  <c:v>403</c:v>
                </c:pt>
                <c:pt idx="11">
                  <c:v>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4E1-4E60-B00F-EF403EB4D3D7}"/>
            </c:ext>
          </c:extLst>
        </c:ser>
        <c:ser>
          <c:idx val="3"/>
          <c:order val="3"/>
          <c:tx>
            <c:v>Corregible, fuera de rango (n = 58)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Aux_graficos!$BB$2:$BB$59</c:f>
              <c:numCache>
                <c:formatCode>General</c:formatCode>
                <c:ptCount val="58"/>
                <c:pt idx="0">
                  <c:v>400</c:v>
                </c:pt>
                <c:pt idx="1">
                  <c:v>545.4545454545455</c:v>
                </c:pt>
                <c:pt idx="2">
                  <c:v>690.90909090909099</c:v>
                </c:pt>
                <c:pt idx="3">
                  <c:v>836.36363636363637</c:v>
                </c:pt>
                <c:pt idx="4">
                  <c:v>400</c:v>
                </c:pt>
                <c:pt idx="5">
                  <c:v>545.4545454545455</c:v>
                </c:pt>
                <c:pt idx="6">
                  <c:v>690.90909090909099</c:v>
                </c:pt>
                <c:pt idx="7">
                  <c:v>836.36363636363637</c:v>
                </c:pt>
                <c:pt idx="8">
                  <c:v>981.81818181818198</c:v>
                </c:pt>
                <c:pt idx="9">
                  <c:v>1127.2727272727279</c:v>
                </c:pt>
                <c:pt idx="10">
                  <c:v>1272.727272727273</c:v>
                </c:pt>
                <c:pt idx="11">
                  <c:v>1418.181818181818</c:v>
                </c:pt>
                <c:pt idx="12">
                  <c:v>1563.636363636364</c:v>
                </c:pt>
                <c:pt idx="13">
                  <c:v>1709.090909090909</c:v>
                </c:pt>
                <c:pt idx="14">
                  <c:v>1854.545454545455</c:v>
                </c:pt>
                <c:pt idx="15">
                  <c:v>2000</c:v>
                </c:pt>
                <c:pt idx="16">
                  <c:v>400</c:v>
                </c:pt>
                <c:pt idx="17">
                  <c:v>545.4545454545455</c:v>
                </c:pt>
                <c:pt idx="18">
                  <c:v>690.90909090909099</c:v>
                </c:pt>
                <c:pt idx="19">
                  <c:v>836.36363636363637</c:v>
                </c:pt>
                <c:pt idx="20">
                  <c:v>981.81818181818198</c:v>
                </c:pt>
                <c:pt idx="21">
                  <c:v>1127.2727272727279</c:v>
                </c:pt>
                <c:pt idx="22">
                  <c:v>1272.727272727273</c:v>
                </c:pt>
                <c:pt idx="23">
                  <c:v>1418.181818181818</c:v>
                </c:pt>
                <c:pt idx="24">
                  <c:v>1563.636363636364</c:v>
                </c:pt>
                <c:pt idx="25">
                  <c:v>1709.090909090909</c:v>
                </c:pt>
                <c:pt idx="26">
                  <c:v>1854.545454545455</c:v>
                </c:pt>
                <c:pt idx="27">
                  <c:v>400</c:v>
                </c:pt>
                <c:pt idx="28">
                  <c:v>2000</c:v>
                </c:pt>
                <c:pt idx="29">
                  <c:v>545.4545454545455</c:v>
                </c:pt>
                <c:pt idx="30">
                  <c:v>690.90909090909099</c:v>
                </c:pt>
                <c:pt idx="31">
                  <c:v>836.36363636363637</c:v>
                </c:pt>
                <c:pt idx="32">
                  <c:v>981.81818181818198</c:v>
                </c:pt>
                <c:pt idx="33">
                  <c:v>1127.2727272727279</c:v>
                </c:pt>
                <c:pt idx="34">
                  <c:v>1272.727272727273</c:v>
                </c:pt>
                <c:pt idx="35">
                  <c:v>1418.181818181818</c:v>
                </c:pt>
                <c:pt idx="36">
                  <c:v>1563.636363636364</c:v>
                </c:pt>
                <c:pt idx="37">
                  <c:v>1709.090909090909</c:v>
                </c:pt>
                <c:pt idx="38">
                  <c:v>400</c:v>
                </c:pt>
                <c:pt idx="39">
                  <c:v>1854.545454545455</c:v>
                </c:pt>
                <c:pt idx="40">
                  <c:v>2000</c:v>
                </c:pt>
                <c:pt idx="41">
                  <c:v>545.4545454545455</c:v>
                </c:pt>
                <c:pt idx="42">
                  <c:v>690.90909090909099</c:v>
                </c:pt>
                <c:pt idx="43">
                  <c:v>836.36363636363637</c:v>
                </c:pt>
                <c:pt idx="44">
                  <c:v>1127.2727272727279</c:v>
                </c:pt>
                <c:pt idx="45">
                  <c:v>981.81818181818198</c:v>
                </c:pt>
                <c:pt idx="46">
                  <c:v>1272.727272727273</c:v>
                </c:pt>
                <c:pt idx="47">
                  <c:v>1418.181818181818</c:v>
                </c:pt>
                <c:pt idx="48">
                  <c:v>1563.636363636364</c:v>
                </c:pt>
                <c:pt idx="49">
                  <c:v>1709.090909090909</c:v>
                </c:pt>
                <c:pt idx="50">
                  <c:v>1854.545454545455</c:v>
                </c:pt>
                <c:pt idx="51">
                  <c:v>2000</c:v>
                </c:pt>
                <c:pt idx="52">
                  <c:v>909.09090909090924</c:v>
                </c:pt>
                <c:pt idx="53">
                  <c:v>909.09090909090924</c:v>
                </c:pt>
                <c:pt idx="54">
                  <c:v>927.27272727272725</c:v>
                </c:pt>
                <c:pt idx="55">
                  <c:v>927.27272727272725</c:v>
                </c:pt>
                <c:pt idx="56">
                  <c:v>936.36363636363637</c:v>
                </c:pt>
                <c:pt idx="57">
                  <c:v>936.36363636363637</c:v>
                </c:pt>
              </c:numCache>
            </c:numRef>
          </c:xVal>
          <c:yVal>
            <c:numRef>
              <c:f>Aux_graficos!$BA$2:$BA$59</c:f>
              <c:numCache>
                <c:formatCode>General</c:formatCode>
                <c:ptCount val="58"/>
                <c:pt idx="0">
                  <c:v>434</c:v>
                </c:pt>
                <c:pt idx="1">
                  <c:v>434</c:v>
                </c:pt>
                <c:pt idx="2">
                  <c:v>434</c:v>
                </c:pt>
                <c:pt idx="3">
                  <c:v>434</c:v>
                </c:pt>
                <c:pt idx="4">
                  <c:v>466</c:v>
                </c:pt>
                <c:pt idx="5">
                  <c:v>466</c:v>
                </c:pt>
                <c:pt idx="6">
                  <c:v>466</c:v>
                </c:pt>
                <c:pt idx="7">
                  <c:v>466</c:v>
                </c:pt>
                <c:pt idx="8">
                  <c:v>466</c:v>
                </c:pt>
                <c:pt idx="9">
                  <c:v>466</c:v>
                </c:pt>
                <c:pt idx="10">
                  <c:v>466</c:v>
                </c:pt>
                <c:pt idx="11">
                  <c:v>466</c:v>
                </c:pt>
                <c:pt idx="12">
                  <c:v>466</c:v>
                </c:pt>
                <c:pt idx="13">
                  <c:v>466</c:v>
                </c:pt>
                <c:pt idx="14">
                  <c:v>466</c:v>
                </c:pt>
                <c:pt idx="15">
                  <c:v>466</c:v>
                </c:pt>
                <c:pt idx="16">
                  <c:v>497</c:v>
                </c:pt>
                <c:pt idx="17">
                  <c:v>497</c:v>
                </c:pt>
                <c:pt idx="18">
                  <c:v>497</c:v>
                </c:pt>
                <c:pt idx="19">
                  <c:v>497</c:v>
                </c:pt>
                <c:pt idx="20">
                  <c:v>497</c:v>
                </c:pt>
                <c:pt idx="21">
                  <c:v>497</c:v>
                </c:pt>
                <c:pt idx="22">
                  <c:v>497</c:v>
                </c:pt>
                <c:pt idx="23">
                  <c:v>497</c:v>
                </c:pt>
                <c:pt idx="24">
                  <c:v>497</c:v>
                </c:pt>
                <c:pt idx="25">
                  <c:v>497</c:v>
                </c:pt>
                <c:pt idx="26">
                  <c:v>497</c:v>
                </c:pt>
                <c:pt idx="27">
                  <c:v>529</c:v>
                </c:pt>
                <c:pt idx="28">
                  <c:v>497</c:v>
                </c:pt>
                <c:pt idx="29">
                  <c:v>529</c:v>
                </c:pt>
                <c:pt idx="30">
                  <c:v>529</c:v>
                </c:pt>
                <c:pt idx="31">
                  <c:v>529</c:v>
                </c:pt>
                <c:pt idx="32">
                  <c:v>529</c:v>
                </c:pt>
                <c:pt idx="33">
                  <c:v>529</c:v>
                </c:pt>
                <c:pt idx="34">
                  <c:v>529</c:v>
                </c:pt>
                <c:pt idx="35">
                  <c:v>529</c:v>
                </c:pt>
                <c:pt idx="36">
                  <c:v>529</c:v>
                </c:pt>
                <c:pt idx="37">
                  <c:v>529</c:v>
                </c:pt>
                <c:pt idx="38">
                  <c:v>560</c:v>
                </c:pt>
                <c:pt idx="39">
                  <c:v>529</c:v>
                </c:pt>
                <c:pt idx="40">
                  <c:v>529</c:v>
                </c:pt>
                <c:pt idx="41">
                  <c:v>560</c:v>
                </c:pt>
                <c:pt idx="42">
                  <c:v>560</c:v>
                </c:pt>
                <c:pt idx="43">
                  <c:v>560</c:v>
                </c:pt>
                <c:pt idx="44">
                  <c:v>560</c:v>
                </c:pt>
                <c:pt idx="45">
                  <c:v>560</c:v>
                </c:pt>
                <c:pt idx="46">
                  <c:v>560</c:v>
                </c:pt>
                <c:pt idx="47">
                  <c:v>560</c:v>
                </c:pt>
                <c:pt idx="48">
                  <c:v>560</c:v>
                </c:pt>
                <c:pt idx="49">
                  <c:v>560</c:v>
                </c:pt>
                <c:pt idx="50">
                  <c:v>560</c:v>
                </c:pt>
                <c:pt idx="51">
                  <c:v>560</c:v>
                </c:pt>
                <c:pt idx="52">
                  <c:v>434</c:v>
                </c:pt>
                <c:pt idx="53">
                  <c:v>434</c:v>
                </c:pt>
                <c:pt idx="54">
                  <c:v>434</c:v>
                </c:pt>
                <c:pt idx="55">
                  <c:v>434</c:v>
                </c:pt>
                <c:pt idx="56">
                  <c:v>434</c:v>
                </c:pt>
                <c:pt idx="57">
                  <c:v>434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4E1-4E60-B00F-EF403EB4D3D7}"/>
            </c:ext>
          </c:extLst>
        </c:ser>
        <c:ser>
          <c:idx val="4"/>
          <c:order val="4"/>
          <c:tx>
            <c:v>No convergió (n = 3)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Aux_graficos!$BD$2:$BD$4</c:f>
              <c:numCache>
                <c:formatCode>General</c:formatCode>
                <c:ptCount val="3"/>
                <c:pt idx="0">
                  <c:v>1854.545454545455</c:v>
                </c:pt>
                <c:pt idx="1">
                  <c:v>2000</c:v>
                </c:pt>
                <c:pt idx="2">
                  <c:v>1836.363636363636</c:v>
                </c:pt>
              </c:numCache>
            </c:numRef>
          </c:xVal>
          <c:yVal>
            <c:numRef>
              <c:f>Aux_graficos!$BC$2:$BC$4</c:f>
              <c:numCache>
                <c:formatCode>General</c:formatCode>
                <c:ptCount val="3"/>
                <c:pt idx="0">
                  <c:v>434</c:v>
                </c:pt>
                <c:pt idx="1">
                  <c:v>434</c:v>
                </c:pt>
                <c:pt idx="2">
                  <c:v>434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4E1-4E60-B00F-EF403EB4D3D7}"/>
            </c:ext>
          </c:extLst>
        </c:ser>
        <c:ser>
          <c:idx val="5"/>
          <c:order val="5"/>
          <c:tx>
            <c:v>Falso convergido (N2) (n = 12)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Aux_graficos!$BF$2:$BF$13</c:f>
              <c:numCache>
                <c:formatCode>General</c:formatCode>
                <c:ptCount val="12"/>
                <c:pt idx="0">
                  <c:v>400</c:v>
                </c:pt>
                <c:pt idx="1">
                  <c:v>1127.2727272727279</c:v>
                </c:pt>
                <c:pt idx="2">
                  <c:v>545.4545454545455</c:v>
                </c:pt>
                <c:pt idx="3">
                  <c:v>836.36363636363637</c:v>
                </c:pt>
                <c:pt idx="4">
                  <c:v>981.81818181818198</c:v>
                </c:pt>
                <c:pt idx="5">
                  <c:v>690.90909090909099</c:v>
                </c:pt>
                <c:pt idx="6">
                  <c:v>1272.727272727273</c:v>
                </c:pt>
                <c:pt idx="7">
                  <c:v>1418.181818181818</c:v>
                </c:pt>
                <c:pt idx="8">
                  <c:v>1563.636363636364</c:v>
                </c:pt>
                <c:pt idx="9">
                  <c:v>1854.545454545455</c:v>
                </c:pt>
                <c:pt idx="10">
                  <c:v>1709.090909090909</c:v>
                </c:pt>
                <c:pt idx="11">
                  <c:v>2000</c:v>
                </c:pt>
              </c:numCache>
            </c:numRef>
          </c:xVal>
          <c:yVal>
            <c:numRef>
              <c:f>Aux_graficos!$BE$2:$BE$13</c:f>
              <c:numCache>
                <c:formatCode>General</c:formatCode>
                <c:ptCount val="12"/>
                <c:pt idx="0">
                  <c:v>380</c:v>
                </c:pt>
                <c:pt idx="1">
                  <c:v>380</c:v>
                </c:pt>
                <c:pt idx="2">
                  <c:v>380</c:v>
                </c:pt>
                <c:pt idx="3">
                  <c:v>380</c:v>
                </c:pt>
                <c:pt idx="4">
                  <c:v>380</c:v>
                </c:pt>
                <c:pt idx="5">
                  <c:v>380</c:v>
                </c:pt>
                <c:pt idx="6">
                  <c:v>380</c:v>
                </c:pt>
                <c:pt idx="7">
                  <c:v>380</c:v>
                </c:pt>
                <c:pt idx="8">
                  <c:v>380</c:v>
                </c:pt>
                <c:pt idx="9">
                  <c:v>380</c:v>
                </c:pt>
                <c:pt idx="10">
                  <c:v>380</c:v>
                </c:pt>
                <c:pt idx="11">
                  <c:v>380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4E1-4E60-B00F-EF403EB4D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000"/>
          <c:min val="25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250"/>
      </c:valAx>
      <c:valAx>
        <c:axId val="20"/>
        <c:scaling>
          <c:orientation val="minMax"/>
          <c:max val="600"/>
          <c:min val="35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50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Aux_graficos!$BH$2:$BH$13</c:f>
              <c:numCache>
                <c:formatCode>General</c:formatCode>
                <c:ptCount val="12"/>
                <c:pt idx="0">
                  <c:v>0.4</c:v>
                </c:pt>
                <c:pt idx="1">
                  <c:v>0.45</c:v>
                </c:pt>
                <c:pt idx="2">
                  <c:v>0.5</c:v>
                </c:pt>
                <c:pt idx="3">
                  <c:v>0.55000000000000004</c:v>
                </c:pt>
                <c:pt idx="4">
                  <c:v>0.6</c:v>
                </c:pt>
                <c:pt idx="5">
                  <c:v>0.65</c:v>
                </c:pt>
                <c:pt idx="6">
                  <c:v>0.7</c:v>
                </c:pt>
                <c:pt idx="7">
                  <c:v>0.75</c:v>
                </c:pt>
                <c:pt idx="8">
                  <c:v>0.8</c:v>
                </c:pt>
                <c:pt idx="9">
                  <c:v>0.85</c:v>
                </c:pt>
                <c:pt idx="10">
                  <c:v>0.89999999999999991</c:v>
                </c:pt>
                <c:pt idx="11">
                  <c:v>0.95</c:v>
                </c:pt>
              </c:numCache>
            </c:numRef>
          </c:xVal>
          <c:yVal>
            <c:numRef>
              <c:f>Aux_graficos!$BG$2:$BG$13</c:f>
              <c:numCache>
                <c:formatCode>General</c:formatCode>
                <c:ptCount val="12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83-4C8E-AC1B-809778ED1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Aux_graficos!$BJ$2:$BJ$13</c:f>
              <c:numCache>
                <c:formatCode>General</c:formatCode>
                <c:ptCount val="12"/>
                <c:pt idx="0">
                  <c:v>0.4</c:v>
                </c:pt>
                <c:pt idx="1">
                  <c:v>0.45</c:v>
                </c:pt>
                <c:pt idx="2">
                  <c:v>0.5</c:v>
                </c:pt>
                <c:pt idx="3">
                  <c:v>0.55000000000000004</c:v>
                </c:pt>
                <c:pt idx="4">
                  <c:v>0.6</c:v>
                </c:pt>
                <c:pt idx="5">
                  <c:v>0.65</c:v>
                </c:pt>
                <c:pt idx="6">
                  <c:v>0.7</c:v>
                </c:pt>
                <c:pt idx="7">
                  <c:v>0.75</c:v>
                </c:pt>
                <c:pt idx="8">
                  <c:v>0.8</c:v>
                </c:pt>
                <c:pt idx="9">
                  <c:v>0.85</c:v>
                </c:pt>
                <c:pt idx="10">
                  <c:v>0.89999999999999991</c:v>
                </c:pt>
                <c:pt idx="11">
                  <c:v>0.95</c:v>
                </c:pt>
              </c:numCache>
            </c:numRef>
          </c:xVal>
          <c:yVal>
            <c:numRef>
              <c:f>Aux_graficos!$BI$2:$BI$13</c:f>
              <c:numCache>
                <c:formatCode>General</c:formatCode>
                <c:ptCount val="12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3F-4B08-B202-EC3F7DE88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ε_HRVG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Corregible, fuera de rango (n = 24)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Aux_graficos!$BL$2:$BL$25</c:f>
              <c:numCache>
                <c:formatCode>General</c:formatCode>
                <c:ptCount val="24"/>
                <c:pt idx="0">
                  <c:v>0.6</c:v>
                </c:pt>
                <c:pt idx="1">
                  <c:v>0.4</c:v>
                </c:pt>
                <c:pt idx="2">
                  <c:v>0.55000000000000004</c:v>
                </c:pt>
                <c:pt idx="3">
                  <c:v>0.45</c:v>
                </c:pt>
                <c:pt idx="4">
                  <c:v>0.65</c:v>
                </c:pt>
                <c:pt idx="5">
                  <c:v>0.75</c:v>
                </c:pt>
                <c:pt idx="6">
                  <c:v>0.8</c:v>
                </c:pt>
                <c:pt idx="7">
                  <c:v>0.72499999999999998</c:v>
                </c:pt>
                <c:pt idx="8">
                  <c:v>0.47499999999999998</c:v>
                </c:pt>
                <c:pt idx="9">
                  <c:v>0.52500000000000002</c:v>
                </c:pt>
                <c:pt idx="10">
                  <c:v>0.8125</c:v>
                </c:pt>
                <c:pt idx="11">
                  <c:v>0.71249999999999991</c:v>
                </c:pt>
                <c:pt idx="12">
                  <c:v>0.66250000000000009</c:v>
                </c:pt>
                <c:pt idx="13">
                  <c:v>0.51249999999999996</c:v>
                </c:pt>
                <c:pt idx="14">
                  <c:v>0.48749999999999999</c:v>
                </c:pt>
                <c:pt idx="15">
                  <c:v>0.81874999999999998</c:v>
                </c:pt>
                <c:pt idx="16">
                  <c:v>0.70624999999999993</c:v>
                </c:pt>
                <c:pt idx="17">
                  <c:v>0.66875000000000007</c:v>
                </c:pt>
                <c:pt idx="18">
                  <c:v>0.50624999999999998</c:v>
                </c:pt>
                <c:pt idx="19">
                  <c:v>0.49375000000000002</c:v>
                </c:pt>
                <c:pt idx="20">
                  <c:v>0.703125</c:v>
                </c:pt>
                <c:pt idx="21">
                  <c:v>0.671875</c:v>
                </c:pt>
                <c:pt idx="22">
                  <c:v>0.50312500000000004</c:v>
                </c:pt>
                <c:pt idx="23">
                  <c:v>0.49687500000000001</c:v>
                </c:pt>
              </c:numCache>
            </c:numRef>
          </c:xVal>
          <c:yVal>
            <c:numRef>
              <c:f>Aux_graficos!$BK$2:$BK$25</c:f>
              <c:numCache>
                <c:formatCode>General</c:formatCode>
                <c:ptCount val="24"/>
                <c:pt idx="0">
                  <c:v>3</c:v>
                </c:pt>
                <c:pt idx="1">
                  <c:v>3.1</c:v>
                </c:pt>
                <c:pt idx="2">
                  <c:v>3.2</c:v>
                </c:pt>
                <c:pt idx="3">
                  <c:v>3</c:v>
                </c:pt>
                <c:pt idx="4">
                  <c:v>3.1</c:v>
                </c:pt>
                <c:pt idx="5">
                  <c:v>3.2</c:v>
                </c:pt>
                <c:pt idx="6">
                  <c:v>3</c:v>
                </c:pt>
                <c:pt idx="7">
                  <c:v>3.1</c:v>
                </c:pt>
                <c:pt idx="8">
                  <c:v>3.2</c:v>
                </c:pt>
                <c:pt idx="9">
                  <c:v>3</c:v>
                </c:pt>
                <c:pt idx="10">
                  <c:v>3.1</c:v>
                </c:pt>
                <c:pt idx="11">
                  <c:v>3.2</c:v>
                </c:pt>
                <c:pt idx="12">
                  <c:v>3</c:v>
                </c:pt>
                <c:pt idx="13">
                  <c:v>3.1</c:v>
                </c:pt>
                <c:pt idx="14">
                  <c:v>3.2</c:v>
                </c:pt>
                <c:pt idx="15">
                  <c:v>3</c:v>
                </c:pt>
                <c:pt idx="16">
                  <c:v>3.1</c:v>
                </c:pt>
                <c:pt idx="17">
                  <c:v>3.2</c:v>
                </c:pt>
                <c:pt idx="18">
                  <c:v>3</c:v>
                </c:pt>
                <c:pt idx="19">
                  <c:v>3.1</c:v>
                </c:pt>
                <c:pt idx="20">
                  <c:v>3.2</c:v>
                </c:pt>
                <c:pt idx="21">
                  <c:v>3</c:v>
                </c:pt>
                <c:pt idx="22">
                  <c:v>3.1</c:v>
                </c:pt>
                <c:pt idx="23">
                  <c:v>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45-462A-A43F-B98170FD9338}"/>
            </c:ext>
          </c:extLst>
        </c:ser>
        <c:ser>
          <c:idx val="1"/>
          <c:order val="1"/>
          <c:tx>
            <c:v>No convergió (n = 6)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Aux_graficos!$BN$2:$BN$7</c:f>
              <c:numCache>
                <c:formatCode>General</c:formatCode>
                <c:ptCount val="6"/>
                <c:pt idx="0">
                  <c:v>0.5</c:v>
                </c:pt>
                <c:pt idx="1">
                  <c:v>0.89999999999999991</c:v>
                </c:pt>
                <c:pt idx="2">
                  <c:v>0.95</c:v>
                </c:pt>
                <c:pt idx="3">
                  <c:v>0.85</c:v>
                </c:pt>
                <c:pt idx="4">
                  <c:v>0.7</c:v>
                </c:pt>
                <c:pt idx="5">
                  <c:v>0.67500000000000004</c:v>
                </c:pt>
              </c:numCache>
            </c:numRef>
          </c:xVal>
          <c:yVal>
            <c:numRef>
              <c:f>Aux_graficos!$BM$2:$BM$7</c:f>
              <c:numCache>
                <c:formatCode>General</c:formatCode>
                <c:ptCount val="6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45-462A-A43F-B98170FD9338}"/>
            </c:ext>
          </c:extLst>
        </c:ser>
        <c:ser>
          <c:idx val="2"/>
          <c:order val="2"/>
          <c:tx>
            <c:v>Falso convergido (N2) (n = 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Aux_graficos!$BP$2:$BP$3</c:f>
              <c:numCache>
                <c:formatCode>General</c:formatCode>
                <c:ptCount val="2"/>
                <c:pt idx="0">
                  <c:v>0.82499999999999996</c:v>
                </c:pt>
                <c:pt idx="1">
                  <c:v>0.82187499999999991</c:v>
                </c:pt>
              </c:numCache>
            </c:numRef>
          </c:xVal>
          <c:yVal>
            <c:numRef>
              <c:f>Aux_graficos!$BO$2:$BO$3</c:f>
              <c:numCache>
                <c:formatCode>General</c:formatCode>
                <c:ptCount val="2"/>
                <c:pt idx="0">
                  <c:v>0</c:v>
                </c:pt>
                <c:pt idx="1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445-462A-A43F-B98170FD9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ε_reg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Aux_graficos!$BR$2:$BR$13</c:f>
              <c:numCache>
                <c:formatCode>General</c:formatCode>
                <c:ptCount val="12"/>
                <c:pt idx="0">
                  <c:v>0.45</c:v>
                </c:pt>
                <c:pt idx="1">
                  <c:v>0.4</c:v>
                </c:pt>
                <c:pt idx="2">
                  <c:v>0.5</c:v>
                </c:pt>
                <c:pt idx="3">
                  <c:v>0.6</c:v>
                </c:pt>
                <c:pt idx="4">
                  <c:v>0.55000000000000004</c:v>
                </c:pt>
                <c:pt idx="5">
                  <c:v>0.65</c:v>
                </c:pt>
                <c:pt idx="6">
                  <c:v>0.7</c:v>
                </c:pt>
                <c:pt idx="7">
                  <c:v>0.75</c:v>
                </c:pt>
                <c:pt idx="8">
                  <c:v>0.85</c:v>
                </c:pt>
                <c:pt idx="9">
                  <c:v>0.8</c:v>
                </c:pt>
                <c:pt idx="10">
                  <c:v>0.89999999999999991</c:v>
                </c:pt>
                <c:pt idx="11">
                  <c:v>0.95</c:v>
                </c:pt>
              </c:numCache>
            </c:numRef>
          </c:xVal>
          <c:yVal>
            <c:numRef>
              <c:f>Aux_graficos!$BQ$2:$BQ$13</c:f>
              <c:numCache>
                <c:formatCode>General</c:formatCode>
                <c:ptCount val="12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1-47B0-852D-4EA0C55237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ε_cond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convergió (n = 10)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Aux_graficos!$BT$2:$BT$11</c:f>
              <c:numCache>
                <c:formatCode>General</c:formatCode>
                <c:ptCount val="10"/>
                <c:pt idx="0">
                  <c:v>0.5</c:v>
                </c:pt>
                <c:pt idx="1">
                  <c:v>0.4</c:v>
                </c:pt>
                <c:pt idx="2">
                  <c:v>0.45</c:v>
                </c:pt>
                <c:pt idx="3">
                  <c:v>0.55000000000000004</c:v>
                </c:pt>
                <c:pt idx="4">
                  <c:v>0.6</c:v>
                </c:pt>
                <c:pt idx="5">
                  <c:v>0.7</c:v>
                </c:pt>
                <c:pt idx="6">
                  <c:v>0.75</c:v>
                </c:pt>
                <c:pt idx="7">
                  <c:v>0.65</c:v>
                </c:pt>
                <c:pt idx="8">
                  <c:v>0.8</c:v>
                </c:pt>
                <c:pt idx="9">
                  <c:v>0.85</c:v>
                </c:pt>
              </c:numCache>
            </c:numRef>
          </c:xVal>
          <c:yVal>
            <c:numRef>
              <c:f>Aux_graficos!$BS$2:$BS$11</c:f>
              <c:numCache>
                <c:formatCode>General</c:formatCode>
                <c:ptCount val="10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</c:v>
                </c:pt>
                <c:pt idx="4">
                  <c:v>1.1000000000000001</c:v>
                </c:pt>
                <c:pt idx="5">
                  <c:v>1.2</c:v>
                </c:pt>
                <c:pt idx="6">
                  <c:v>1</c:v>
                </c:pt>
                <c:pt idx="7">
                  <c:v>1.1000000000000001</c:v>
                </c:pt>
                <c:pt idx="8">
                  <c:v>1.2</c:v>
                </c:pt>
                <c:pt idx="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94-4FCD-837F-BCEAA96C464D}"/>
            </c:ext>
          </c:extLst>
        </c:ser>
        <c:ser>
          <c:idx val="1"/>
          <c:order val="1"/>
          <c:tx>
            <c:v>Falso convergido (N2) (n = 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Aux_graficos!$BV$2:$BV$3</c:f>
              <c:numCache>
                <c:formatCode>General</c:formatCode>
                <c:ptCount val="2"/>
                <c:pt idx="0">
                  <c:v>0.95</c:v>
                </c:pt>
                <c:pt idx="1">
                  <c:v>0.89999999999999991</c:v>
                </c:pt>
              </c:numCache>
            </c:numRef>
          </c:xVal>
          <c:yVal>
            <c:numRef>
              <c:f>Aux_graficos!$BU$2:$BU$3</c:f>
              <c:numCache>
                <c:formatCode>General</c:formatCode>
                <c:ptCount val="2"/>
                <c:pt idx="0">
                  <c:v>0</c:v>
                </c:pt>
                <c:pt idx="1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94-4FCD-837F-BCEAA96C4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4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M2R, parte n2a: 0 KALINA con η y ε en [0.40, 0.95]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Corregible, fuera de rango (n = 48)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Aux_graficos!$BX$2:$BX$49</c:f>
              <c:numCache>
                <c:formatCode>General</c:formatCode>
                <c:ptCount val="48"/>
                <c:pt idx="0">
                  <c:v>0.4</c:v>
                </c:pt>
                <c:pt idx="1">
                  <c:v>0.55000000000000004</c:v>
                </c:pt>
                <c:pt idx="2">
                  <c:v>0.5</c:v>
                </c:pt>
                <c:pt idx="3">
                  <c:v>0.45</c:v>
                </c:pt>
                <c:pt idx="4">
                  <c:v>0.6</c:v>
                </c:pt>
                <c:pt idx="5">
                  <c:v>0.65</c:v>
                </c:pt>
                <c:pt idx="6">
                  <c:v>0.8</c:v>
                </c:pt>
                <c:pt idx="7">
                  <c:v>0.85</c:v>
                </c:pt>
                <c:pt idx="8">
                  <c:v>0.7</c:v>
                </c:pt>
                <c:pt idx="9">
                  <c:v>0.75</c:v>
                </c:pt>
                <c:pt idx="10">
                  <c:v>0.89999999999999991</c:v>
                </c:pt>
                <c:pt idx="11">
                  <c:v>0.95</c:v>
                </c:pt>
                <c:pt idx="12">
                  <c:v>0.45</c:v>
                </c:pt>
                <c:pt idx="13">
                  <c:v>0.5</c:v>
                </c:pt>
                <c:pt idx="14">
                  <c:v>0.4</c:v>
                </c:pt>
                <c:pt idx="15">
                  <c:v>0.6</c:v>
                </c:pt>
                <c:pt idx="16">
                  <c:v>0.55000000000000004</c:v>
                </c:pt>
                <c:pt idx="17">
                  <c:v>0.65</c:v>
                </c:pt>
                <c:pt idx="18">
                  <c:v>0.7</c:v>
                </c:pt>
                <c:pt idx="19">
                  <c:v>0.75</c:v>
                </c:pt>
                <c:pt idx="20">
                  <c:v>0.85</c:v>
                </c:pt>
                <c:pt idx="21">
                  <c:v>0.89999999999999991</c:v>
                </c:pt>
                <c:pt idx="22">
                  <c:v>0.95</c:v>
                </c:pt>
                <c:pt idx="23">
                  <c:v>0.4</c:v>
                </c:pt>
                <c:pt idx="24">
                  <c:v>0.45</c:v>
                </c:pt>
                <c:pt idx="25">
                  <c:v>0.5</c:v>
                </c:pt>
                <c:pt idx="26">
                  <c:v>0.55000000000000004</c:v>
                </c:pt>
                <c:pt idx="27">
                  <c:v>0.6</c:v>
                </c:pt>
                <c:pt idx="28">
                  <c:v>0.65</c:v>
                </c:pt>
                <c:pt idx="29">
                  <c:v>0.7</c:v>
                </c:pt>
                <c:pt idx="30">
                  <c:v>0.75</c:v>
                </c:pt>
                <c:pt idx="31">
                  <c:v>0.8</c:v>
                </c:pt>
                <c:pt idx="32">
                  <c:v>0.95</c:v>
                </c:pt>
                <c:pt idx="33">
                  <c:v>0.89999999999999991</c:v>
                </c:pt>
                <c:pt idx="34">
                  <c:v>0.85</c:v>
                </c:pt>
                <c:pt idx="35">
                  <c:v>0.6</c:v>
                </c:pt>
                <c:pt idx="36">
                  <c:v>0.55000000000000004</c:v>
                </c:pt>
                <c:pt idx="37">
                  <c:v>0.65</c:v>
                </c:pt>
                <c:pt idx="38">
                  <c:v>0.7</c:v>
                </c:pt>
                <c:pt idx="39">
                  <c:v>0.75</c:v>
                </c:pt>
                <c:pt idx="40">
                  <c:v>0.89999999999999991</c:v>
                </c:pt>
                <c:pt idx="41">
                  <c:v>0.85</c:v>
                </c:pt>
                <c:pt idx="42">
                  <c:v>0.8</c:v>
                </c:pt>
                <c:pt idx="43">
                  <c:v>0.95</c:v>
                </c:pt>
                <c:pt idx="44">
                  <c:v>0.8</c:v>
                </c:pt>
                <c:pt idx="45">
                  <c:v>0.75</c:v>
                </c:pt>
                <c:pt idx="46">
                  <c:v>0.85</c:v>
                </c:pt>
                <c:pt idx="47">
                  <c:v>0.89999999999999991</c:v>
                </c:pt>
              </c:numCache>
            </c:numRef>
          </c:xVal>
          <c:yVal>
            <c:numRef>
              <c:f>Aux_graficos!$BW$2:$BW$49</c:f>
              <c:numCache>
                <c:formatCode>General</c:formatCode>
                <c:ptCount val="48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0.7</c:v>
                </c:pt>
                <c:pt idx="36">
                  <c:v>0.7</c:v>
                </c:pt>
                <c:pt idx="37">
                  <c:v>0.7</c:v>
                </c:pt>
                <c:pt idx="38">
                  <c:v>0.7</c:v>
                </c:pt>
                <c:pt idx="39">
                  <c:v>0.7</c:v>
                </c:pt>
                <c:pt idx="40">
                  <c:v>0.7</c:v>
                </c:pt>
                <c:pt idx="41">
                  <c:v>0.7</c:v>
                </c:pt>
                <c:pt idx="42">
                  <c:v>0.7</c:v>
                </c:pt>
                <c:pt idx="43">
                  <c:v>0.7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C4-4AE1-BAA9-631914CC7F80}"/>
            </c:ext>
          </c:extLst>
        </c:ser>
        <c:ser>
          <c:idx val="1"/>
          <c:order val="1"/>
          <c:tx>
            <c:v>No convergió (n = 12)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Aux_graficos!$BZ$2:$BZ$13</c:f>
              <c:numCache>
                <c:formatCode>General</c:formatCode>
                <c:ptCount val="12"/>
                <c:pt idx="0">
                  <c:v>0.8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0.4</c:v>
                </c:pt>
                <c:pt idx="5">
                  <c:v>0.45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0.5</c:v>
                </c:pt>
                <c:pt idx="9">
                  <c:v>0.65</c:v>
                </c:pt>
                <c:pt idx="10">
                  <c:v>0.7</c:v>
                </c:pt>
                <c:pt idx="11">
                  <c:v>0.95</c:v>
                </c:pt>
              </c:numCache>
            </c:numRef>
          </c:xVal>
          <c:yVal>
            <c:numRef>
              <c:f>Aux_graficos!$BY$2:$BY$13</c:f>
              <c:numCache>
                <c:formatCode>General</c:formatCode>
                <c:ptCount val="12"/>
                <c:pt idx="0">
                  <c:v>0.5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C4-4AE1-BAA9-631914CC7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0.8"/>
          <c:min val="0.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0.1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M2R, parte n2b: 19 KALINA con η y ε en [0.40, 0.95]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KALINA, fuera de rango (n = 19)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Aux_graficos!$CB$2:$CB$20</c:f>
              <c:numCache>
                <c:formatCode>General</c:formatCode>
                <c:ptCount val="19"/>
                <c:pt idx="0">
                  <c:v>1418.181818181818</c:v>
                </c:pt>
                <c:pt idx="1">
                  <c:v>1563.636363636364</c:v>
                </c:pt>
                <c:pt idx="2">
                  <c:v>1709.090909090909</c:v>
                </c:pt>
                <c:pt idx="3">
                  <c:v>1854.545454545455</c:v>
                </c:pt>
                <c:pt idx="4">
                  <c:v>2000</c:v>
                </c:pt>
                <c:pt idx="5">
                  <c:v>1854.545454545455</c:v>
                </c:pt>
                <c:pt idx="6">
                  <c:v>2000</c:v>
                </c:pt>
                <c:pt idx="7">
                  <c:v>1345.454545454545</c:v>
                </c:pt>
                <c:pt idx="8">
                  <c:v>1345.454545454545</c:v>
                </c:pt>
                <c:pt idx="9">
                  <c:v>1781.818181818182</c:v>
                </c:pt>
                <c:pt idx="10">
                  <c:v>1781.818181818182</c:v>
                </c:pt>
                <c:pt idx="11">
                  <c:v>1745.454545454545</c:v>
                </c:pt>
                <c:pt idx="12">
                  <c:v>1745.454545454545</c:v>
                </c:pt>
                <c:pt idx="13">
                  <c:v>1327.272727272727</c:v>
                </c:pt>
                <c:pt idx="14">
                  <c:v>1327.272727272727</c:v>
                </c:pt>
                <c:pt idx="15">
                  <c:v>1318.181818181818</c:v>
                </c:pt>
                <c:pt idx="16">
                  <c:v>1318.181818181818</c:v>
                </c:pt>
                <c:pt idx="17">
                  <c:v>1736.363636363636</c:v>
                </c:pt>
                <c:pt idx="18">
                  <c:v>1736.363636363636</c:v>
                </c:pt>
              </c:numCache>
            </c:numRef>
          </c:xVal>
          <c:yVal>
            <c:numRef>
              <c:f>Aux_graficos!$CA$2:$CA$20</c:f>
              <c:numCache>
                <c:formatCode>General</c:formatCode>
                <c:ptCount val="19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0.5</c:v>
                </c:pt>
                <c:pt idx="6">
                  <c:v>0.5</c:v>
                </c:pt>
                <c:pt idx="7">
                  <c:v>0.4</c:v>
                </c:pt>
                <c:pt idx="8">
                  <c:v>0.4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0.5</c:v>
                </c:pt>
                <c:pt idx="18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92-4200-B2DB-28FD38B21B4F}"/>
            </c:ext>
          </c:extLst>
        </c:ser>
        <c:ser>
          <c:idx val="1"/>
          <c:order val="1"/>
          <c:tx>
            <c:v>Corregible, fuera de rango (n = 43)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Aux_graficos!$CD$2:$CD$44</c:f>
              <c:numCache>
                <c:formatCode>General</c:formatCode>
                <c:ptCount val="43"/>
                <c:pt idx="0">
                  <c:v>400</c:v>
                </c:pt>
                <c:pt idx="1">
                  <c:v>545.4545454545455</c:v>
                </c:pt>
                <c:pt idx="2">
                  <c:v>690.90909090909099</c:v>
                </c:pt>
                <c:pt idx="3">
                  <c:v>836.36363636363637</c:v>
                </c:pt>
                <c:pt idx="4">
                  <c:v>981.81818181818198</c:v>
                </c:pt>
                <c:pt idx="5">
                  <c:v>1127.2727272727279</c:v>
                </c:pt>
                <c:pt idx="6">
                  <c:v>1272.727272727273</c:v>
                </c:pt>
                <c:pt idx="7">
                  <c:v>545.4545454545455</c:v>
                </c:pt>
                <c:pt idx="8">
                  <c:v>690.90909090909099</c:v>
                </c:pt>
                <c:pt idx="9">
                  <c:v>981.81818181818198</c:v>
                </c:pt>
                <c:pt idx="10">
                  <c:v>1127.2727272727279</c:v>
                </c:pt>
                <c:pt idx="11">
                  <c:v>1418.181818181818</c:v>
                </c:pt>
                <c:pt idx="12">
                  <c:v>1272.727272727273</c:v>
                </c:pt>
                <c:pt idx="13">
                  <c:v>1563.636363636364</c:v>
                </c:pt>
                <c:pt idx="14">
                  <c:v>1709.090909090909</c:v>
                </c:pt>
                <c:pt idx="15">
                  <c:v>400</c:v>
                </c:pt>
                <c:pt idx="16">
                  <c:v>545.4545454545455</c:v>
                </c:pt>
                <c:pt idx="17">
                  <c:v>690.90909090909099</c:v>
                </c:pt>
                <c:pt idx="18">
                  <c:v>836.36363636363637</c:v>
                </c:pt>
                <c:pt idx="19">
                  <c:v>981.81818181818198</c:v>
                </c:pt>
                <c:pt idx="20">
                  <c:v>1127.2727272727279</c:v>
                </c:pt>
                <c:pt idx="21">
                  <c:v>1272.727272727273</c:v>
                </c:pt>
                <c:pt idx="22">
                  <c:v>1418.181818181818</c:v>
                </c:pt>
                <c:pt idx="23">
                  <c:v>1563.636363636364</c:v>
                </c:pt>
                <c:pt idx="24">
                  <c:v>1709.090909090909</c:v>
                </c:pt>
                <c:pt idx="25">
                  <c:v>1854.545454545455</c:v>
                </c:pt>
                <c:pt idx="26">
                  <c:v>2000</c:v>
                </c:pt>
                <c:pt idx="27">
                  <c:v>400</c:v>
                </c:pt>
                <c:pt idx="28">
                  <c:v>545.4545454545455</c:v>
                </c:pt>
                <c:pt idx="29">
                  <c:v>690.90909090909099</c:v>
                </c:pt>
                <c:pt idx="30">
                  <c:v>836.36363636363637</c:v>
                </c:pt>
                <c:pt idx="31">
                  <c:v>981.81818181818198</c:v>
                </c:pt>
                <c:pt idx="32">
                  <c:v>1127.2727272727279</c:v>
                </c:pt>
                <c:pt idx="33">
                  <c:v>1272.727272727273</c:v>
                </c:pt>
                <c:pt idx="34">
                  <c:v>1418.181818181818</c:v>
                </c:pt>
                <c:pt idx="35">
                  <c:v>1563.636363636364</c:v>
                </c:pt>
                <c:pt idx="36">
                  <c:v>1709.090909090909</c:v>
                </c:pt>
                <c:pt idx="37">
                  <c:v>1854.545454545455</c:v>
                </c:pt>
                <c:pt idx="38">
                  <c:v>2000</c:v>
                </c:pt>
                <c:pt idx="39">
                  <c:v>1309.090909090909</c:v>
                </c:pt>
                <c:pt idx="40">
                  <c:v>1309.090909090909</c:v>
                </c:pt>
                <c:pt idx="41">
                  <c:v>1727.2727272727279</c:v>
                </c:pt>
                <c:pt idx="42">
                  <c:v>1727.2727272727279</c:v>
                </c:pt>
              </c:numCache>
            </c:numRef>
          </c:xVal>
          <c:yVal>
            <c:numRef>
              <c:f>Aux_graficos!$CC$2:$CC$44</c:f>
              <c:numCache>
                <c:formatCode>General</c:formatCode>
                <c:ptCount val="43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0.7</c:v>
                </c:pt>
                <c:pt idx="32">
                  <c:v>0.7</c:v>
                </c:pt>
                <c:pt idx="33">
                  <c:v>0.7</c:v>
                </c:pt>
                <c:pt idx="34">
                  <c:v>0.7</c:v>
                </c:pt>
                <c:pt idx="35">
                  <c:v>0.7</c:v>
                </c:pt>
                <c:pt idx="36">
                  <c:v>0.7</c:v>
                </c:pt>
                <c:pt idx="37">
                  <c:v>0.7</c:v>
                </c:pt>
                <c:pt idx="38">
                  <c:v>0.7</c:v>
                </c:pt>
                <c:pt idx="39">
                  <c:v>0.4</c:v>
                </c:pt>
                <c:pt idx="40">
                  <c:v>0.4</c:v>
                </c:pt>
                <c:pt idx="41">
                  <c:v>0.5</c:v>
                </c:pt>
                <c:pt idx="42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92-4200-B2DB-28FD38B21B4F}"/>
            </c:ext>
          </c:extLst>
        </c:ser>
        <c:ser>
          <c:idx val="2"/>
          <c:order val="2"/>
          <c:tx>
            <c:v>No convergió (n = 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Aux_graficos!$CF$2:$CF$3</c:f>
              <c:numCache>
                <c:formatCode>General</c:formatCode>
                <c:ptCount val="2"/>
                <c:pt idx="0">
                  <c:v>400</c:v>
                </c:pt>
                <c:pt idx="1">
                  <c:v>836.36363636363637</c:v>
                </c:pt>
              </c:numCache>
            </c:numRef>
          </c:xVal>
          <c:yVal>
            <c:numRef>
              <c:f>Aux_graficos!$CE$2:$CE$3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92-4200-B2DB-28FD38B21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000"/>
          <c:min val="25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250"/>
      </c:valAx>
      <c:valAx>
        <c:axId val="20"/>
        <c:scaling>
          <c:orientation val="minMax"/>
          <c:max val="0.70000000000000007"/>
          <c:min val="0.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0.05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M2R, parte n3: 1 KALINA con η y ε en [0.40, 0.95]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Aux_graficos!$CH$2</c:f>
              <c:numCache>
                <c:formatCode>General</c:formatCode>
                <c:ptCount val="1"/>
                <c:pt idx="0">
                  <c:v>0.95</c:v>
                </c:pt>
              </c:numCache>
            </c:numRef>
          </c:xVal>
          <c:yVal>
            <c:numRef>
              <c:f>Aux_graficos!$CG$2</c:f>
              <c:numCache>
                <c:formatCode>General</c:formatCode>
                <c:ptCount val="1"/>
                <c:pt idx="0">
                  <c:v>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0C-4905-82BD-1AACFBD0158E}"/>
            </c:ext>
          </c:extLst>
        </c:ser>
        <c:ser>
          <c:idx val="1"/>
          <c:order val="1"/>
          <c:tx>
            <c:v>Corregible (n = 4)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Aux_graficos!$CJ$2:$CJ$5</c:f>
              <c:numCache>
                <c:formatCode>General</c:formatCode>
                <c:ptCount val="4"/>
                <c:pt idx="0">
                  <c:v>0.9</c:v>
                </c:pt>
                <c:pt idx="1">
                  <c:v>0.85</c:v>
                </c:pt>
                <c:pt idx="2">
                  <c:v>0.95</c:v>
                </c:pt>
                <c:pt idx="3">
                  <c:v>0.85</c:v>
                </c:pt>
              </c:numCache>
            </c:numRef>
          </c:xVal>
          <c:yVal>
            <c:numRef>
              <c:f>Aux_graficos!$CI$2:$CI$5</c:f>
              <c:numCache>
                <c:formatCode>General</c:formatCode>
                <c:ptCount val="4"/>
                <c:pt idx="0">
                  <c:v>403</c:v>
                </c:pt>
                <c:pt idx="1">
                  <c:v>403</c:v>
                </c:pt>
                <c:pt idx="2">
                  <c:v>420</c:v>
                </c:pt>
                <c:pt idx="3">
                  <c:v>420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0C-4905-82BD-1AACFBD0158E}"/>
            </c:ext>
          </c:extLst>
        </c:ser>
        <c:ser>
          <c:idx val="2"/>
          <c:order val="2"/>
          <c:tx>
            <c:v>Corregible, fuera de rango (n = 14)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Aux_graficos!$CL$2:$CL$15</c:f>
              <c:numCache>
                <c:formatCode>General</c:formatCode>
                <c:ptCount val="14"/>
                <c:pt idx="0">
                  <c:v>0.85</c:v>
                </c:pt>
                <c:pt idx="1">
                  <c:v>0.9</c:v>
                </c:pt>
                <c:pt idx="2">
                  <c:v>0.95</c:v>
                </c:pt>
                <c:pt idx="3">
                  <c:v>0.9</c:v>
                </c:pt>
                <c:pt idx="4">
                  <c:v>0.85</c:v>
                </c:pt>
                <c:pt idx="5">
                  <c:v>0.95</c:v>
                </c:pt>
                <c:pt idx="6">
                  <c:v>0.85</c:v>
                </c:pt>
                <c:pt idx="7">
                  <c:v>0.95</c:v>
                </c:pt>
                <c:pt idx="8">
                  <c:v>0.85</c:v>
                </c:pt>
                <c:pt idx="9">
                  <c:v>0.95</c:v>
                </c:pt>
                <c:pt idx="10">
                  <c:v>0.9</c:v>
                </c:pt>
                <c:pt idx="11">
                  <c:v>0.85</c:v>
                </c:pt>
                <c:pt idx="12">
                  <c:v>0.95</c:v>
                </c:pt>
                <c:pt idx="13">
                  <c:v>0.9</c:v>
                </c:pt>
              </c:numCache>
            </c:numRef>
          </c:xVal>
          <c:yVal>
            <c:numRef>
              <c:f>Aux_graficos!$CK$2:$CK$15</c:f>
              <c:numCache>
                <c:formatCode>General</c:formatCode>
                <c:ptCount val="14"/>
                <c:pt idx="0">
                  <c:v>434</c:v>
                </c:pt>
                <c:pt idx="1">
                  <c:v>434</c:v>
                </c:pt>
                <c:pt idx="2">
                  <c:v>434</c:v>
                </c:pt>
                <c:pt idx="3">
                  <c:v>466</c:v>
                </c:pt>
                <c:pt idx="4">
                  <c:v>466</c:v>
                </c:pt>
                <c:pt idx="5">
                  <c:v>466</c:v>
                </c:pt>
                <c:pt idx="6">
                  <c:v>497</c:v>
                </c:pt>
                <c:pt idx="7">
                  <c:v>497</c:v>
                </c:pt>
                <c:pt idx="8">
                  <c:v>529</c:v>
                </c:pt>
                <c:pt idx="9">
                  <c:v>529</c:v>
                </c:pt>
                <c:pt idx="10">
                  <c:v>529</c:v>
                </c:pt>
                <c:pt idx="11">
                  <c:v>560</c:v>
                </c:pt>
                <c:pt idx="12">
                  <c:v>560</c:v>
                </c:pt>
                <c:pt idx="13">
                  <c:v>560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0C-4905-82BD-1AACFBD0158E}"/>
            </c:ext>
          </c:extLst>
        </c:ser>
        <c:ser>
          <c:idx val="3"/>
          <c:order val="3"/>
          <c:tx>
            <c:v>Inviable (n = 1)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Aux_graficos!$CN$2</c:f>
              <c:numCache>
                <c:formatCode>General</c:formatCode>
                <c:ptCount val="1"/>
                <c:pt idx="0">
                  <c:v>0.9</c:v>
                </c:pt>
              </c:numCache>
            </c:numRef>
          </c:xVal>
          <c:yVal>
            <c:numRef>
              <c:f>Aux_graficos!$CM$2</c:f>
              <c:numCache>
                <c:formatCode>General</c:formatCode>
                <c:ptCount val="1"/>
                <c:pt idx="0">
                  <c:v>420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0C-4905-82BD-1AACFBD0158E}"/>
            </c:ext>
          </c:extLst>
        </c:ser>
        <c:ser>
          <c:idx val="4"/>
          <c:order val="4"/>
          <c:tx>
            <c:v>No convergió (n = 1)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Aux_graficos!$CP$2</c:f>
              <c:numCache>
                <c:formatCode>General</c:formatCode>
                <c:ptCount val="1"/>
                <c:pt idx="0">
                  <c:v>0.9</c:v>
                </c:pt>
              </c:numCache>
            </c:numRef>
          </c:xVal>
          <c:yVal>
            <c:numRef>
              <c:f>Aux_graficos!$CO$2</c:f>
              <c:numCache>
                <c:formatCode>General</c:formatCode>
                <c:ptCount val="1"/>
                <c:pt idx="0">
                  <c:v>497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00C-4905-82BD-1AACFBD01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6"/>
          <c:min val="0.8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0.02"/>
      </c:valAx>
      <c:valAx>
        <c:axId val="20"/>
        <c:scaling>
          <c:orientation val="minMax"/>
          <c:max val="575"/>
          <c:min val="40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25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P_baja mínima de KALINA según el clima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B1 · T_fuente = 403 K (A*)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Aux_graficos!$CR$2:$CR$6</c:f>
              <c:numCache>
                <c:formatCode>General</c:formatCode>
                <c:ptCount val="5"/>
                <c:pt idx="0">
                  <c:v>278.14999999999998</c:v>
                </c:pt>
                <c:pt idx="1">
                  <c:v>283.14999999999998</c:v>
                </c:pt>
                <c:pt idx="2">
                  <c:v>288.14999999999998</c:v>
                </c:pt>
                <c:pt idx="3">
                  <c:v>293.14999999999998</c:v>
                </c:pt>
                <c:pt idx="4">
                  <c:v>300.032917</c:v>
                </c:pt>
              </c:numCache>
            </c:numRef>
          </c:xVal>
          <c:yVal>
            <c:numRef>
              <c:f>Aux_graficos!$CQ$2:$CQ$6</c:f>
              <c:numCache>
                <c:formatCode>General</c:formatCode>
                <c:ptCount val="5"/>
                <c:pt idx="0">
                  <c:v>290.625</c:v>
                </c:pt>
                <c:pt idx="1">
                  <c:v>337.5</c:v>
                </c:pt>
                <c:pt idx="2">
                  <c:v>393.75</c:v>
                </c:pt>
                <c:pt idx="3">
                  <c:v>459.375</c:v>
                </c:pt>
                <c:pt idx="4">
                  <c:v>562.5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D-48D9-A571-A954BEFF7C43}"/>
            </c:ext>
          </c:extLst>
        </c:ser>
        <c:ser>
          <c:idx val="1"/>
          <c:order val="1"/>
          <c:tx>
            <c:v>B2 · T_fuente = 420 K</c:v>
          </c:tx>
          <c:spPr>
            <a:ln w="22000">
              <a:solidFill>
                <a:srgbClr val="1565C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c:spPr>
          </c:marker>
          <c:xVal>
            <c:numRef>
              <c:f>Aux_graficos!$CT$2:$CT$6</c:f>
              <c:numCache>
                <c:formatCode>General</c:formatCode>
                <c:ptCount val="5"/>
                <c:pt idx="0">
                  <c:v>278.14999999999998</c:v>
                </c:pt>
                <c:pt idx="1">
                  <c:v>283.14999999999998</c:v>
                </c:pt>
                <c:pt idx="2">
                  <c:v>288.14999999999998</c:v>
                </c:pt>
                <c:pt idx="3">
                  <c:v>293.14999999999998</c:v>
                </c:pt>
                <c:pt idx="4">
                  <c:v>300.032917</c:v>
                </c:pt>
              </c:numCache>
            </c:numRef>
          </c:xVal>
          <c:yVal>
            <c:numRef>
              <c:f>Aux_graficos!$CS$2:$CS$6</c:f>
              <c:numCache>
                <c:formatCode>General</c:formatCode>
                <c:ptCount val="5"/>
                <c:pt idx="0">
                  <c:v>393.75</c:v>
                </c:pt>
                <c:pt idx="1">
                  <c:v>459.375</c:v>
                </c:pt>
                <c:pt idx="2">
                  <c:v>534.375</c:v>
                </c:pt>
                <c:pt idx="3">
                  <c:v>618.75</c:v>
                </c:pt>
                <c:pt idx="4">
                  <c:v>740.625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D-48D9-A571-A954BEFF7C43}"/>
            </c:ext>
          </c:extLst>
        </c:ser>
        <c:ser>
          <c:idx val="2"/>
          <c:order val="2"/>
          <c:tx>
            <c:v>B3 · ε_HRVG = 0.40 (fuente del profesor)</c:v>
          </c:tx>
          <c:spPr>
            <a:ln w="22000">
              <a:solidFill>
                <a:srgbClr val="EF8A17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Aux_graficos!$CV$2:$CV$6</c:f>
              <c:numCache>
                <c:formatCode>General</c:formatCode>
                <c:ptCount val="5"/>
                <c:pt idx="0">
                  <c:v>278.14999999999998</c:v>
                </c:pt>
                <c:pt idx="1">
                  <c:v>283.14999999999998</c:v>
                </c:pt>
                <c:pt idx="2">
                  <c:v>288.14999999999998</c:v>
                </c:pt>
                <c:pt idx="3">
                  <c:v>293.14999999999998</c:v>
                </c:pt>
                <c:pt idx="4">
                  <c:v>300.032917</c:v>
                </c:pt>
              </c:numCache>
            </c:numRef>
          </c:xVal>
          <c:yVal>
            <c:numRef>
              <c:f>Aux_graficos!$CU$2:$CU$6</c:f>
              <c:numCache>
                <c:formatCode>General</c:formatCode>
                <c:ptCount val="5"/>
                <c:pt idx="0">
                  <c:v>750</c:v>
                </c:pt>
                <c:pt idx="1">
                  <c:v>862.5</c:v>
                </c:pt>
                <c:pt idx="2">
                  <c:v>984.375</c:v>
                </c:pt>
                <c:pt idx="3">
                  <c:v>1115.625</c:v>
                </c:pt>
                <c:pt idx="4">
                  <c:v>1312.5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D-48D9-A571-A954BEFF7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5"/>
          <c:min val="27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5"/>
      </c:valAx>
      <c:valAx>
        <c:axId val="20"/>
        <c:scaling>
          <c:orientation val="minMax"/>
          <c:max val="1400"/>
          <c:min val="20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P_baja mínima de KALINA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200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η máxima de KALINA según el clima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B1 · T_fuente = 403 K (A*)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Aux_graficos!$CX$2:$CX$6</c:f>
              <c:numCache>
                <c:formatCode>General</c:formatCode>
                <c:ptCount val="5"/>
                <c:pt idx="0">
                  <c:v>278.14999999999998</c:v>
                </c:pt>
                <c:pt idx="1">
                  <c:v>283.14999999999998</c:v>
                </c:pt>
                <c:pt idx="2">
                  <c:v>288.14999999999998</c:v>
                </c:pt>
                <c:pt idx="3">
                  <c:v>293.14999999999998</c:v>
                </c:pt>
                <c:pt idx="4">
                  <c:v>300.032917</c:v>
                </c:pt>
              </c:numCache>
            </c:numRef>
          </c:xVal>
          <c:yVal>
            <c:numRef>
              <c:f>Aux_graficos!$CW$2:$CW$6</c:f>
              <c:numCache>
                <c:formatCode>General</c:formatCode>
                <c:ptCount val="5"/>
                <c:pt idx="0">
                  <c:v>10.408616078958991</c:v>
                </c:pt>
                <c:pt idx="1">
                  <c:v>10.033542352965441</c:v>
                </c:pt>
                <c:pt idx="2">
                  <c:v>9.6060438726362207</c:v>
                </c:pt>
                <c:pt idx="3">
                  <c:v>9.1430772770279312</c:v>
                </c:pt>
                <c:pt idx="4">
                  <c:v>8.4918596378703199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A7-4622-A504-1C781CCC637D}"/>
            </c:ext>
          </c:extLst>
        </c:ser>
        <c:ser>
          <c:idx val="1"/>
          <c:order val="1"/>
          <c:tx>
            <c:v>B2 · T_fuente = 420 K</c:v>
          </c:tx>
          <c:spPr>
            <a:ln w="22000">
              <a:solidFill>
                <a:srgbClr val="1565C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c:spPr>
          </c:marker>
          <c:xVal>
            <c:numRef>
              <c:f>Aux_graficos!$CZ$2:$CZ$6</c:f>
              <c:numCache>
                <c:formatCode>General</c:formatCode>
                <c:ptCount val="5"/>
                <c:pt idx="0">
                  <c:v>278.14999999999998</c:v>
                </c:pt>
                <c:pt idx="1">
                  <c:v>283.14999999999998</c:v>
                </c:pt>
                <c:pt idx="2">
                  <c:v>288.14999999999998</c:v>
                </c:pt>
                <c:pt idx="3">
                  <c:v>293.14999999999998</c:v>
                </c:pt>
                <c:pt idx="4">
                  <c:v>300.032917</c:v>
                </c:pt>
              </c:numCache>
            </c:numRef>
          </c:xVal>
          <c:yVal>
            <c:numRef>
              <c:f>Aux_graficos!$CY$2:$CY$6</c:f>
              <c:numCache>
                <c:formatCode>General</c:formatCode>
                <c:ptCount val="5"/>
                <c:pt idx="0">
                  <c:v>11.90841397447066</c:v>
                </c:pt>
                <c:pt idx="1">
                  <c:v>11.27583657674989</c:v>
                </c:pt>
                <c:pt idx="2">
                  <c:v>10.62196052106462</c:v>
                </c:pt>
                <c:pt idx="3">
                  <c:v>9.9568233658744401</c:v>
                </c:pt>
                <c:pt idx="4">
                  <c:v>9.1145294398968204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A7-4622-A504-1C781CCC637D}"/>
            </c:ext>
          </c:extLst>
        </c:ser>
        <c:ser>
          <c:idx val="2"/>
          <c:order val="2"/>
          <c:tx>
            <c:v>B3 · ε_HRVG = 0.40 (fuente del profesor)</c:v>
          </c:tx>
          <c:spPr>
            <a:ln w="22000">
              <a:solidFill>
                <a:srgbClr val="EF8A17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Aux_graficos!$DB$2:$DB$6</c:f>
              <c:numCache>
                <c:formatCode>General</c:formatCode>
                <c:ptCount val="5"/>
                <c:pt idx="0">
                  <c:v>278.14999999999998</c:v>
                </c:pt>
                <c:pt idx="1">
                  <c:v>283.14999999999998</c:v>
                </c:pt>
                <c:pt idx="2">
                  <c:v>288.14999999999998</c:v>
                </c:pt>
                <c:pt idx="3">
                  <c:v>293.14999999999998</c:v>
                </c:pt>
                <c:pt idx="4">
                  <c:v>300.032917</c:v>
                </c:pt>
              </c:numCache>
            </c:numRef>
          </c:xVal>
          <c:yVal>
            <c:numRef>
              <c:f>Aux_graficos!$DA$2:$DA$6</c:f>
              <c:numCache>
                <c:formatCode>General</c:formatCode>
                <c:ptCount val="5"/>
                <c:pt idx="0">
                  <c:v>9.6867959281998903</c:v>
                </c:pt>
                <c:pt idx="1">
                  <c:v>8.8903220636360594</c:v>
                </c:pt>
                <c:pt idx="2">
                  <c:v>8.1091002655191495</c:v>
                </c:pt>
                <c:pt idx="3">
                  <c:v>7.3420920417465103</c:v>
                </c:pt>
                <c:pt idx="4">
                  <c:v>6.3023202043125686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A7-4622-A504-1C781CCC6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5"/>
          <c:min val="27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5"/>
      </c:valAx>
      <c:valAx>
        <c:axId val="20"/>
        <c:scaling>
          <c:orientation val="minMax"/>
          <c:max val="12"/>
          <c:min val="6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η máxima de KALINA [%]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Cerca de A*, x_b y P_baja son las que más mueven η en su rango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Δη (máx − mín) [pp]</c:v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0"/>
          <c:cat>
            <c:strRef>
              <c:f>Aux_graficos!$DC$2:$DC$11</c:f>
              <c:strCache>
                <c:ptCount val="10"/>
                <c:pt idx="0">
                  <c:v>ε_cond</c:v>
                </c:pt>
                <c:pt idx="1">
                  <c:v>T_sumidero</c:v>
                </c:pt>
                <c:pt idx="2">
                  <c:v>η_p</c:v>
                </c:pt>
                <c:pt idx="3">
                  <c:v>T_fuente</c:v>
                </c:pt>
                <c:pt idx="4">
                  <c:v>ε_reg</c:v>
                </c:pt>
                <c:pt idx="5">
                  <c:v>P_alta</c:v>
                </c:pt>
                <c:pt idx="6">
                  <c:v>η_t</c:v>
                </c:pt>
                <c:pt idx="7">
                  <c:v>ε_HRVG</c:v>
                </c:pt>
                <c:pt idx="8">
                  <c:v>P_baja</c:v>
                </c:pt>
                <c:pt idx="9">
                  <c:v>x_b</c:v>
                </c:pt>
              </c:strCache>
            </c:strRef>
          </c:cat>
          <c:val>
            <c:numRef>
              <c:f>Aux_graficos!$DD$2:$DD$11</c:f>
              <c:numCache>
                <c:formatCode>General</c:formatCode>
                <c:ptCount val="10"/>
                <c:pt idx="0">
                  <c:v>0.82116671699400001</c:v>
                </c:pt>
                <c:pt idx="1">
                  <c:v>0.85253436217243905</c:v>
                </c:pt>
                <c:pt idx="2">
                  <c:v>1.377576864329459</c:v>
                </c:pt>
                <c:pt idx="3">
                  <c:v>3.6673940032739898</c:v>
                </c:pt>
                <c:pt idx="4">
                  <c:v>4.9909728184767426</c:v>
                </c:pt>
                <c:pt idx="5">
                  <c:v>5.1446701154803902</c:v>
                </c:pt>
                <c:pt idx="6">
                  <c:v>6.3152060949681097</c:v>
                </c:pt>
                <c:pt idx="7">
                  <c:v>6.6911233033628994</c:v>
                </c:pt>
                <c:pt idx="8">
                  <c:v>6.8008162877012293</c:v>
                </c:pt>
                <c:pt idx="9">
                  <c:v>10.7752446539392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6E7-BFFA-1D5B80EE2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Variable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Δη (máx − mín) [pp]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Pegado a A*, T_fuente es la variable más sensible (E = 10.9)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Elasticidad de η, E [–]</c:v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AC5-4F4E-8AD6-70EACF080611}"/>
              </c:ext>
            </c:extLst>
          </c:dPt>
          <c:dPt>
            <c:idx val="1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AC5-4F4E-8AD6-70EACF080611}"/>
              </c:ext>
            </c:extLst>
          </c:dPt>
          <c:dPt>
            <c:idx val="2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AC5-4F4E-8AD6-70EACF080611}"/>
              </c:ext>
            </c:extLst>
          </c:dPt>
          <c:dPt>
            <c:idx val="3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AC5-4F4E-8AD6-70EACF080611}"/>
              </c:ext>
            </c:extLst>
          </c:dPt>
          <c:dPt>
            <c:idx val="4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AC5-4F4E-8AD6-70EACF080611}"/>
              </c:ext>
            </c:extLst>
          </c:dPt>
          <c:dPt>
            <c:idx val="5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AC5-4F4E-8AD6-70EACF080611}"/>
              </c:ext>
            </c:extLst>
          </c:dPt>
          <c:dPt>
            <c:idx val="6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AC5-4F4E-8AD6-70EACF080611}"/>
              </c:ext>
            </c:extLst>
          </c:dPt>
          <c:dPt>
            <c:idx val="7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AC5-4F4E-8AD6-70EACF080611}"/>
              </c:ext>
            </c:extLst>
          </c:dPt>
          <c:dPt>
            <c:idx val="8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AC5-4F4E-8AD6-70EACF080611}"/>
              </c:ext>
            </c:extLst>
          </c:dPt>
          <c:dPt>
            <c:idx val="9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AC5-4F4E-8AD6-70EACF080611}"/>
              </c:ext>
            </c:extLst>
          </c:dPt>
          <c:cat>
            <c:strRef>
              <c:f>Aux_graficos!$DE$2:$DE$11</c:f>
              <c:strCache>
                <c:ptCount val="10"/>
                <c:pt idx="0">
                  <c:v>η_p</c:v>
                </c:pt>
                <c:pt idx="1">
                  <c:v>ε_cond</c:v>
                </c:pt>
                <c:pt idx="2">
                  <c:v>P_baja</c:v>
                </c:pt>
                <c:pt idx="3">
                  <c:v>ε_HRVG</c:v>
                </c:pt>
                <c:pt idx="4">
                  <c:v>ε_reg</c:v>
                </c:pt>
                <c:pt idx="5">
                  <c:v>η_t</c:v>
                </c:pt>
                <c:pt idx="6">
                  <c:v>P_alta</c:v>
                </c:pt>
                <c:pt idx="7">
                  <c:v>T_sumidero</c:v>
                </c:pt>
                <c:pt idx="8">
                  <c:v>x_b</c:v>
                </c:pt>
                <c:pt idx="9">
                  <c:v>T_fuente</c:v>
                </c:pt>
              </c:strCache>
            </c:strRef>
          </c:cat>
          <c:val>
            <c:numRef>
              <c:f>Aux_graficos!$DF$2:$DF$11</c:f>
              <c:numCache>
                <c:formatCode>General</c:formatCode>
                <c:ptCount val="10"/>
                <c:pt idx="0">
                  <c:v>0.14913792020483149</c:v>
                </c:pt>
                <c:pt idx="1">
                  <c:v>-0.40581222777527198</c:v>
                </c:pt>
                <c:pt idx="2">
                  <c:v>-0.58115334091515525</c:v>
                </c:pt>
                <c:pt idx="3">
                  <c:v>0.64385184122385997</c:v>
                </c:pt>
                <c:pt idx="4">
                  <c:v>0.8602404907609662</c:v>
                </c:pt>
                <c:pt idx="5">
                  <c:v>1.146427804652886</c:v>
                </c:pt>
                <c:pt idx="6">
                  <c:v>-1.1645232331956239</c:v>
                </c:pt>
                <c:pt idx="7">
                  <c:v>1.614166047336647</c:v>
                </c:pt>
                <c:pt idx="8">
                  <c:v>3.4017811182803901</c:v>
                </c:pt>
                <c:pt idx="9">
                  <c:v>10.871152546391279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AC5-4F4E-8AD6-70EACF080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Variable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Elasticidad de η, E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T_fuente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Aux_graficos!$DH$2</c:f>
              <c:numCache>
                <c:formatCode>General</c:formatCode>
                <c:ptCount val="1"/>
                <c:pt idx="0">
                  <c:v>400.67500000000001</c:v>
                </c:pt>
              </c:numCache>
            </c:numRef>
          </c:xVal>
          <c:yVal>
            <c:numRef>
              <c:f>Aux_graficos!$DG$2</c:f>
              <c:numCache>
                <c:formatCode>General</c:formatCode>
                <c:ptCount val="1"/>
                <c:pt idx="0">
                  <c:v>7.9012410583171908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9-417E-AF10-5AEA65B8FB33}"/>
            </c:ext>
          </c:extLst>
        </c:ser>
        <c:ser>
          <c:idx val="1"/>
          <c:order val="1"/>
          <c:tx>
            <c:v>Corregible (n = 1)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Aux_graficos!$DJ$2</c:f>
              <c:numCache>
                <c:formatCode>General</c:formatCode>
                <c:ptCount val="1"/>
                <c:pt idx="0">
                  <c:v>420.9</c:v>
                </c:pt>
              </c:numCache>
            </c:numRef>
          </c:xVal>
          <c:yVal>
            <c:numRef>
              <c:f>Aux_graficos!$DI$2</c:f>
              <c:numCache>
                <c:formatCode>General</c:formatCode>
                <c:ptCount val="1"/>
                <c:pt idx="0">
                  <c:v>10.74105785424298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9-417E-AF10-5AEA65B8FB33}"/>
            </c:ext>
          </c:extLst>
        </c:ser>
        <c:ser>
          <c:idx val="2"/>
          <c:order val="2"/>
          <c:tx>
            <c:v>Corregible, fuera de rango (n = 8)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Aux_graficos!$DL$2:$DL$9</c:f>
              <c:numCache>
                <c:formatCode>General</c:formatCode>
                <c:ptCount val="8"/>
                <c:pt idx="0">
                  <c:v>441.125</c:v>
                </c:pt>
                <c:pt idx="1">
                  <c:v>461.35</c:v>
                </c:pt>
                <c:pt idx="2">
                  <c:v>481.57499999999999</c:v>
                </c:pt>
                <c:pt idx="3">
                  <c:v>522.02499999999998</c:v>
                </c:pt>
                <c:pt idx="4">
                  <c:v>501.8</c:v>
                </c:pt>
                <c:pt idx="5">
                  <c:v>542.25</c:v>
                </c:pt>
                <c:pt idx="6">
                  <c:v>562.47499999999991</c:v>
                </c:pt>
                <c:pt idx="7">
                  <c:v>582.70000000000005</c:v>
                </c:pt>
              </c:numCache>
            </c:numRef>
          </c:xVal>
          <c:yVal>
            <c:numRef>
              <c:f>Aux_graficos!$DK$2:$DK$9</c:f>
              <c:numCache>
                <c:formatCode>General</c:formatCode>
                <c:ptCount val="8"/>
                <c:pt idx="0">
                  <c:v>11.529753988312651</c:v>
                </c:pt>
                <c:pt idx="1">
                  <c:v>11.568635061591181</c:v>
                </c:pt>
                <c:pt idx="2">
                  <c:v>11.35643745671123</c:v>
                </c:pt>
                <c:pt idx="3">
                  <c:v>11.307554606459391</c:v>
                </c:pt>
                <c:pt idx="4">
                  <c:v>11.330252813248</c:v>
                </c:pt>
                <c:pt idx="5">
                  <c:v>11.28657037253576</c:v>
                </c:pt>
                <c:pt idx="6">
                  <c:v>11.26716403941931</c:v>
                </c:pt>
                <c:pt idx="7">
                  <c:v>11.24919898631345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B69-417E-AF10-5AEA65B8FB33}"/>
            </c:ext>
          </c:extLst>
        </c:ser>
        <c:ser>
          <c:idx val="3"/>
          <c:order val="3"/>
          <c:tx>
            <c:v>No convergió (n = 4)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Aux_graficos!$DN$2:$DN$5</c:f>
              <c:numCache>
                <c:formatCode>General</c:formatCode>
                <c:ptCount val="4"/>
                <c:pt idx="0">
                  <c:v>340</c:v>
                </c:pt>
                <c:pt idx="1">
                  <c:v>360.22500000000002</c:v>
                </c:pt>
                <c:pt idx="2">
                  <c:v>602.92499999999995</c:v>
                </c:pt>
                <c:pt idx="3">
                  <c:v>623.15</c:v>
                </c:pt>
              </c:numCache>
            </c:numRef>
          </c:xVal>
          <c:yVal>
            <c:numRef>
              <c:f>Aux_graficos!$DM$2:$DM$5</c:f>
              <c:numCache>
                <c:formatCode>General</c:formatCode>
                <c:ptCount val="4"/>
                <c:pt idx="0">
                  <c:v>-0.6</c:v>
                </c:pt>
                <c:pt idx="1">
                  <c:v>-0.6</c:v>
                </c:pt>
                <c:pt idx="2">
                  <c:v>-0.6</c:v>
                </c:pt>
                <c:pt idx="3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B69-417E-AF10-5AEA65B8FB33}"/>
            </c:ext>
          </c:extLst>
        </c:ser>
        <c:ser>
          <c:idx val="4"/>
          <c:order val="4"/>
          <c:tx>
            <c:v>Falso convergido (N2) (n = 1)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Aux_graficos!$DP$2</c:f>
              <c:numCache>
                <c:formatCode>General</c:formatCode>
                <c:ptCount val="1"/>
                <c:pt idx="0">
                  <c:v>380.45</c:v>
                </c:pt>
              </c:numCache>
            </c:numRef>
          </c:xVal>
          <c:yVal>
            <c:numRef>
              <c:f>Aux_graficos!$DO$2</c:f>
              <c:numCache>
                <c:formatCode>General</c:formatCode>
                <c:ptCount val="1"/>
                <c:pt idx="0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B69-417E-AF10-5AEA65B8F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50"/>
          <c:min val="30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0"/>
      </c:valAx>
      <c:valAx>
        <c:axId val="20"/>
        <c:scaling>
          <c:orientation val="minMax"/>
          <c:max val="12.5"/>
          <c:min val="-2.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2.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T_sumidero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Aux_graficos!$DR$2:$DR$13</c:f>
              <c:numCache>
                <c:formatCode>General</c:formatCode>
                <c:ptCount val="12"/>
                <c:pt idx="0">
                  <c:v>284.60714285714278</c:v>
                </c:pt>
                <c:pt idx="1">
                  <c:v>283.14999999999998</c:v>
                </c:pt>
                <c:pt idx="2">
                  <c:v>287.52142857142849</c:v>
                </c:pt>
                <c:pt idx="3">
                  <c:v>286.06428571428569</c:v>
                </c:pt>
                <c:pt idx="4">
                  <c:v>288.9785714285714</c:v>
                </c:pt>
                <c:pt idx="5">
                  <c:v>290.43571428571431</c:v>
                </c:pt>
                <c:pt idx="6">
                  <c:v>291.89285714285711</c:v>
                </c:pt>
                <c:pt idx="7">
                  <c:v>294.80714285714288</c:v>
                </c:pt>
                <c:pt idx="8">
                  <c:v>293.35000000000002</c:v>
                </c:pt>
                <c:pt idx="9">
                  <c:v>296.26428571428568</c:v>
                </c:pt>
                <c:pt idx="10">
                  <c:v>297.72142857142859</c:v>
                </c:pt>
                <c:pt idx="11">
                  <c:v>299.17857142857139</c:v>
                </c:pt>
              </c:numCache>
            </c:numRef>
          </c:xVal>
          <c:yVal>
            <c:numRef>
              <c:f>Aux_graficos!$DQ$2:$DQ$13</c:f>
              <c:numCache>
                <c:formatCode>General</c:formatCode>
                <c:ptCount val="12"/>
                <c:pt idx="0">
                  <c:v>7.8281916838821202</c:v>
                </c:pt>
                <c:pt idx="1">
                  <c:v>7.7712400857310699</c:v>
                </c:pt>
                <c:pt idx="2">
                  <c:v>7.944439444895619</c:v>
                </c:pt>
                <c:pt idx="3">
                  <c:v>7.8859198140672202</c:v>
                </c:pt>
                <c:pt idx="4">
                  <c:v>8.0037660801246098</c:v>
                </c:pt>
                <c:pt idx="5">
                  <c:v>8.0639157745736298</c:v>
                </c:pt>
                <c:pt idx="6">
                  <c:v>8.1249051435252788</c:v>
                </c:pt>
                <c:pt idx="7">
                  <c:v>8.2494723225738404</c:v>
                </c:pt>
                <c:pt idx="8">
                  <c:v>8.1867513955931699</c:v>
                </c:pt>
                <c:pt idx="9">
                  <c:v>8.3130863387889402</c:v>
                </c:pt>
                <c:pt idx="10">
                  <c:v>8.3776124948838913</c:v>
                </c:pt>
                <c:pt idx="11">
                  <c:v>8.4430705241976796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FE-4879-9145-38F3787C37E3}"/>
            </c:ext>
          </c:extLst>
        </c:ser>
        <c:ser>
          <c:idx val="1"/>
          <c:order val="1"/>
          <c:tx>
            <c:v>Corregible (n = 3)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Aux_graficos!$DT$2:$DT$4</c:f>
              <c:numCache>
                <c:formatCode>General</c:formatCode>
                <c:ptCount val="3"/>
                <c:pt idx="0">
                  <c:v>300.6357142857143</c:v>
                </c:pt>
                <c:pt idx="1">
                  <c:v>302.09285714285721</c:v>
                </c:pt>
                <c:pt idx="2">
                  <c:v>303.55</c:v>
                </c:pt>
              </c:numCache>
            </c:numRef>
          </c:xVal>
          <c:yVal>
            <c:numRef>
              <c:f>Aux_graficos!$DS$2:$DS$4</c:f>
              <c:numCache>
                <c:formatCode>General</c:formatCode>
                <c:ptCount val="3"/>
                <c:pt idx="0">
                  <c:v>8.5093363822064898</c:v>
                </c:pt>
                <c:pt idx="1">
                  <c:v>8.5706234219916198</c:v>
                </c:pt>
                <c:pt idx="2">
                  <c:v>8.623774447903509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FE-4879-9145-38F3787C3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5"/>
          <c:min val="28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"/>
      </c:valAx>
      <c:valAx>
        <c:axId val="20"/>
        <c:scaling>
          <c:orientation val="minMax"/>
          <c:max val="8.8000000000000007"/>
          <c:min val="7.600000000000001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P_alta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Aux_graficos!$DV$2</c:f>
              <c:numCache>
                <c:formatCode>General</c:formatCode>
                <c:ptCount val="1"/>
                <c:pt idx="0">
                  <c:v>3571.428571428572</c:v>
                </c:pt>
              </c:numCache>
            </c:numRef>
          </c:xVal>
          <c:yVal>
            <c:numRef>
              <c:f>Aux_graficos!$DU$2</c:f>
              <c:numCache>
                <c:formatCode>General</c:formatCode>
                <c:ptCount val="1"/>
                <c:pt idx="0">
                  <c:v>4.6550373737321404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7-4A0B-9CCE-5D96654FA967}"/>
            </c:ext>
          </c:extLst>
        </c:ser>
        <c:ser>
          <c:idx val="1"/>
          <c:order val="1"/>
          <c:tx>
            <c:v>Corregible (n = 4)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Aux_graficos!$DX$2:$DX$5</c:f>
              <c:numCache>
                <c:formatCode>General</c:formatCode>
                <c:ptCount val="4"/>
                <c:pt idx="0">
                  <c:v>1000</c:v>
                </c:pt>
                <c:pt idx="1">
                  <c:v>2285.7142857142858</c:v>
                </c:pt>
                <c:pt idx="2">
                  <c:v>2928.571428571428</c:v>
                </c:pt>
                <c:pt idx="3">
                  <c:v>1642.8571428571429</c:v>
                </c:pt>
              </c:numCache>
            </c:numRef>
          </c:xVal>
          <c:yVal>
            <c:numRef>
              <c:f>Aux_graficos!$DW$2:$DW$5</c:f>
              <c:numCache>
                <c:formatCode>General</c:formatCode>
                <c:ptCount val="4"/>
                <c:pt idx="0">
                  <c:v>4.0475656046749799</c:v>
                </c:pt>
                <c:pt idx="1">
                  <c:v>9.1922357201553702</c:v>
                </c:pt>
                <c:pt idx="2">
                  <c:v>8.6959099750911495</c:v>
                </c:pt>
                <c:pt idx="3">
                  <c:v>7.73560545666684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57-4A0B-9CCE-5D96654FA967}"/>
            </c:ext>
          </c:extLst>
        </c:ser>
        <c:ser>
          <c:idx val="2"/>
          <c:order val="2"/>
          <c:tx>
            <c:v>No convergió (n = 8)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Aux_graficos!$DZ$2:$DZ$9</c:f>
              <c:numCache>
                <c:formatCode>General</c:formatCode>
                <c:ptCount val="8"/>
                <c:pt idx="0">
                  <c:v>6142.8571428571431</c:v>
                </c:pt>
                <c:pt idx="1">
                  <c:v>5500</c:v>
                </c:pt>
                <c:pt idx="2">
                  <c:v>6785.7142857142853</c:v>
                </c:pt>
                <c:pt idx="3">
                  <c:v>7428.5714285714284</c:v>
                </c:pt>
                <c:pt idx="4">
                  <c:v>8071.4285714285716</c:v>
                </c:pt>
                <c:pt idx="5">
                  <c:v>8714.2857142857138</c:v>
                </c:pt>
                <c:pt idx="6">
                  <c:v>9357.1428571428569</c:v>
                </c:pt>
                <c:pt idx="7">
                  <c:v>10000</c:v>
                </c:pt>
              </c:numCache>
            </c:numRef>
          </c:xVal>
          <c:yVal>
            <c:numRef>
              <c:f>Aux_graficos!$DY$2:$DY$9</c:f>
              <c:numCache>
                <c:formatCode>General</c:formatCode>
                <c:ptCount val="8"/>
                <c:pt idx="0">
                  <c:v>-0.6</c:v>
                </c:pt>
                <c:pt idx="1">
                  <c:v>-0.6</c:v>
                </c:pt>
                <c:pt idx="2">
                  <c:v>-0.6</c:v>
                </c:pt>
                <c:pt idx="3">
                  <c:v>-0.6</c:v>
                </c:pt>
                <c:pt idx="4">
                  <c:v>-0.6</c:v>
                </c:pt>
                <c:pt idx="5">
                  <c:v>-0.6</c:v>
                </c:pt>
                <c:pt idx="6">
                  <c:v>-0.6</c:v>
                </c:pt>
                <c:pt idx="7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457-4A0B-9CCE-5D96654FA967}"/>
            </c:ext>
          </c:extLst>
        </c:ser>
        <c:ser>
          <c:idx val="3"/>
          <c:order val="3"/>
          <c:tx>
            <c:v>Falso convergido (N2) (n = 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Aux_graficos!$EB$2:$EB$3</c:f>
              <c:numCache>
                <c:formatCode>General</c:formatCode>
                <c:ptCount val="2"/>
                <c:pt idx="0">
                  <c:v>4214.2857142857138</c:v>
                </c:pt>
                <c:pt idx="1">
                  <c:v>4857.1428571428569</c:v>
                </c:pt>
              </c:numCache>
            </c:numRef>
          </c:xVal>
          <c:yVal>
            <c:numRef>
              <c:f>Aux_graficos!$EA$2:$EA$3</c:f>
              <c:numCache>
                <c:formatCode>General</c:formatCode>
                <c:ptCount val="2"/>
                <c:pt idx="0">
                  <c:v>-0.6</c:v>
                </c:pt>
                <c:pt idx="1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457-4A0B-9CCE-5D96654FA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2000"/>
      </c:valAx>
      <c:valAx>
        <c:axId val="20"/>
        <c:scaling>
          <c:orientation val="minMax"/>
          <c:max val="10"/>
          <c:min val="-2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P_baja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10)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Aux_graficos!$ED$2:$ED$11</c:f>
              <c:numCache>
                <c:formatCode>General</c:formatCode>
                <c:ptCount val="10"/>
                <c:pt idx="0">
                  <c:v>632.14285714285711</c:v>
                </c:pt>
                <c:pt idx="1">
                  <c:v>728.57142857142856</c:v>
                </c:pt>
                <c:pt idx="2">
                  <c:v>825</c:v>
                </c:pt>
                <c:pt idx="3">
                  <c:v>921.42857142857144</c:v>
                </c:pt>
                <c:pt idx="4">
                  <c:v>1114.285714285714</c:v>
                </c:pt>
                <c:pt idx="5">
                  <c:v>1017.857142857143</c:v>
                </c:pt>
                <c:pt idx="6">
                  <c:v>1210.714285714286</c:v>
                </c:pt>
                <c:pt idx="7">
                  <c:v>1307.1428571428571</c:v>
                </c:pt>
                <c:pt idx="8">
                  <c:v>1403.5714285714289</c:v>
                </c:pt>
                <c:pt idx="9">
                  <c:v>1500</c:v>
                </c:pt>
              </c:numCache>
            </c:numRef>
          </c:xVal>
          <c:yVal>
            <c:numRef>
              <c:f>Aux_graficos!$EC$2:$EC$11</c:f>
              <c:numCache>
                <c:formatCode>General</c:formatCode>
                <c:ptCount val="10"/>
                <c:pt idx="0">
                  <c:v>7.9123984430302086</c:v>
                </c:pt>
                <c:pt idx="1">
                  <c:v>7.2001370664999707</c:v>
                </c:pt>
                <c:pt idx="2">
                  <c:v>6.5705952091731614</c:v>
                </c:pt>
                <c:pt idx="3">
                  <c:v>6.0067627392746097</c:v>
                </c:pt>
                <c:pt idx="4">
                  <c:v>5.0307388144835201</c:v>
                </c:pt>
                <c:pt idx="5">
                  <c:v>5.4964812719060214</c:v>
                </c:pt>
                <c:pt idx="6">
                  <c:v>4.6026766280677398</c:v>
                </c:pt>
                <c:pt idx="7">
                  <c:v>4.2069268641018196</c:v>
                </c:pt>
                <c:pt idx="8">
                  <c:v>3.83921841178707</c:v>
                </c:pt>
                <c:pt idx="9">
                  <c:v>3.4960913910065199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BC-464B-9EEB-333EDF51EFBC}"/>
            </c:ext>
          </c:extLst>
        </c:ser>
        <c:ser>
          <c:idx val="1"/>
          <c:order val="1"/>
          <c:tx>
            <c:v>Corregible (n = 4)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Aux_graficos!$EF$2:$EF$5</c:f>
              <c:numCache>
                <c:formatCode>General</c:formatCode>
                <c:ptCount val="4"/>
                <c:pt idx="0">
                  <c:v>246.42857142857139</c:v>
                </c:pt>
                <c:pt idx="1">
                  <c:v>342.85714285714289</c:v>
                </c:pt>
                <c:pt idx="2">
                  <c:v>439.28571428571428</c:v>
                </c:pt>
                <c:pt idx="3">
                  <c:v>535.71428571428578</c:v>
                </c:pt>
              </c:numCache>
            </c:numRef>
          </c:xVal>
          <c:yVal>
            <c:numRef>
              <c:f>Aux_graficos!$EE$2:$EE$5</c:f>
              <c:numCache>
                <c:formatCode>General</c:formatCode>
                <c:ptCount val="4"/>
                <c:pt idx="0">
                  <c:v>4.1992574913160103</c:v>
                </c:pt>
                <c:pt idx="1">
                  <c:v>10.29690767870775</c:v>
                </c:pt>
                <c:pt idx="2">
                  <c:v>9.5555437829159899</c:v>
                </c:pt>
                <c:pt idx="3">
                  <c:v>8.7279709887487211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BC-464B-9EEB-333EDF51EFBC}"/>
            </c:ext>
          </c:extLst>
        </c:ser>
        <c:ser>
          <c:idx val="2"/>
          <c:order val="2"/>
          <c:tx>
            <c:v>Inviable (n = 1)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Aux_graficos!$EH$2</c:f>
              <c:numCache>
                <c:formatCode>General</c:formatCode>
                <c:ptCount val="1"/>
                <c:pt idx="0">
                  <c:v>150</c:v>
                </c:pt>
              </c:numCache>
            </c:numRef>
          </c:xVal>
          <c:yVal>
            <c:numRef>
              <c:f>Aux_graficos!$EG$2</c:f>
              <c:numCache>
                <c:formatCode>General</c:formatCode>
                <c:ptCount val="1"/>
                <c:pt idx="0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BC-464B-9EEB-333EDF51E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50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250"/>
      </c:valAx>
      <c:valAx>
        <c:axId val="20"/>
        <c:scaling>
          <c:orientation val="minMax"/>
          <c:max val="12"/>
          <c:min val="-2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x_b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Aux_graficos!$EJ$2</c:f>
              <c:numCache>
                <c:formatCode>General</c:formatCode>
                <c:ptCount val="1"/>
                <c:pt idx="0">
                  <c:v>0.47142857142857142</c:v>
                </c:pt>
              </c:numCache>
            </c:numRef>
          </c:xVal>
          <c:yVal>
            <c:numRef>
              <c:f>Aux_graficos!$EI$2</c:f>
              <c:numCache>
                <c:formatCode>General</c:formatCode>
                <c:ptCount val="1"/>
                <c:pt idx="0">
                  <c:v>6.4244050719975894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E1-42CF-9E38-95BB8206D3A1}"/>
            </c:ext>
          </c:extLst>
        </c:ser>
        <c:ser>
          <c:idx val="1"/>
          <c:order val="1"/>
          <c:tx>
            <c:v>Corregible (n = 7)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Aux_graficos!$EL$2:$EL$8</c:f>
              <c:numCache>
                <c:formatCode>General</c:formatCode>
                <c:ptCount val="7"/>
                <c:pt idx="0">
                  <c:v>0.51428571428571435</c:v>
                </c:pt>
                <c:pt idx="1">
                  <c:v>0.60000000000000009</c:v>
                </c:pt>
                <c:pt idx="2">
                  <c:v>0.68571428571428572</c:v>
                </c:pt>
                <c:pt idx="3">
                  <c:v>0.55714285714285716</c:v>
                </c:pt>
                <c:pt idx="4">
                  <c:v>0.6428571428571429</c:v>
                </c:pt>
                <c:pt idx="5">
                  <c:v>0.72857142857142865</c:v>
                </c:pt>
                <c:pt idx="6">
                  <c:v>0.77142857142857157</c:v>
                </c:pt>
              </c:numCache>
            </c:numRef>
          </c:xVal>
          <c:yVal>
            <c:numRef>
              <c:f>Aux_graficos!$EK$2:$EK$8</c:f>
              <c:numCache>
                <c:formatCode>General</c:formatCode>
                <c:ptCount val="7"/>
                <c:pt idx="0">
                  <c:v>9.2158541148162705</c:v>
                </c:pt>
                <c:pt idx="1">
                  <c:v>11.382367415957111</c:v>
                </c:pt>
                <c:pt idx="2">
                  <c:v>8.2370094776091811</c:v>
                </c:pt>
                <c:pt idx="3">
                  <c:v>10.62093803633538</c:v>
                </c:pt>
                <c:pt idx="4">
                  <c:v>11.039926430673351</c:v>
                </c:pt>
                <c:pt idx="5">
                  <c:v>5.0115014809308303</c:v>
                </c:pt>
                <c:pt idx="6">
                  <c:v>0.60712276201791004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E1-42CF-9E38-95BB8206D3A1}"/>
            </c:ext>
          </c:extLst>
        </c:ser>
        <c:ser>
          <c:idx val="2"/>
          <c:order val="2"/>
          <c:tx>
            <c:v>Inviable (n = 3)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Aux_graficos!$EN$2:$EN$4</c:f>
              <c:numCache>
                <c:formatCode>General</c:formatCode>
                <c:ptCount val="3"/>
                <c:pt idx="0">
                  <c:v>0.4285714285714286</c:v>
                </c:pt>
                <c:pt idx="1">
                  <c:v>0.81428571428571428</c:v>
                </c:pt>
                <c:pt idx="2">
                  <c:v>0.90000000000000013</c:v>
                </c:pt>
              </c:numCache>
            </c:numRef>
          </c:xVal>
          <c:yVal>
            <c:numRef>
              <c:f>Aux_graficos!$EM$2:$EM$4</c:f>
              <c:numCache>
                <c:formatCode>General</c:formatCode>
                <c:ptCount val="3"/>
                <c:pt idx="0">
                  <c:v>-0.6</c:v>
                </c:pt>
                <c:pt idx="1">
                  <c:v>-0.6</c:v>
                </c:pt>
                <c:pt idx="2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E1-42CF-9E38-95BB8206D3A1}"/>
            </c:ext>
          </c:extLst>
        </c:ser>
        <c:ser>
          <c:idx val="3"/>
          <c:order val="3"/>
          <c:tx>
            <c:v>No convergió (n = 1)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Aux_graficos!$EP$2</c:f>
              <c:numCache>
                <c:formatCode>General</c:formatCode>
                <c:ptCount val="1"/>
                <c:pt idx="0">
                  <c:v>0.85714285714285721</c:v>
                </c:pt>
              </c:numCache>
            </c:numRef>
          </c:xVal>
          <c:yVal>
            <c:numRef>
              <c:f>Aux_graficos!$EO$2</c:f>
              <c:numCache>
                <c:formatCode>General</c:formatCode>
                <c:ptCount val="1"/>
                <c:pt idx="0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2E1-42CF-9E38-95BB8206D3A1}"/>
            </c:ext>
          </c:extLst>
        </c:ser>
        <c:ser>
          <c:idx val="4"/>
          <c:order val="4"/>
          <c:tx>
            <c:v>Falso convergido (N2) (n = 3)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Aux_graficos!$ER$2:$ER$4</c:f>
              <c:numCache>
                <c:formatCode>General</c:formatCode>
                <c:ptCount val="3"/>
                <c:pt idx="0">
                  <c:v>0.3428571428571428</c:v>
                </c:pt>
                <c:pt idx="1">
                  <c:v>0.38571428571428568</c:v>
                </c:pt>
                <c:pt idx="2">
                  <c:v>0.3</c:v>
                </c:pt>
              </c:numCache>
            </c:numRef>
          </c:xVal>
          <c:yVal>
            <c:numRef>
              <c:f>Aux_graficos!$EQ$2:$EQ$4</c:f>
              <c:numCache>
                <c:formatCode>General</c:formatCode>
                <c:ptCount val="3"/>
                <c:pt idx="0">
                  <c:v>-0.6</c:v>
                </c:pt>
                <c:pt idx="1">
                  <c:v>-0.6</c:v>
                </c:pt>
                <c:pt idx="2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2E1-42CF-9E38-95BB8206D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"/>
          <c:min val="0.2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2.5"/>
          <c:min val="-2.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2.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Aux_graficos!$ET$2:$ET$9</c:f>
              <c:numCache>
                <c:formatCode>General</c:formatCode>
                <c:ptCount val="8"/>
                <c:pt idx="0">
                  <c:v>0.67500000000000004</c:v>
                </c:pt>
                <c:pt idx="1">
                  <c:v>0.71428571428571419</c:v>
                </c:pt>
                <c:pt idx="2">
                  <c:v>0.79285714285714282</c:v>
                </c:pt>
                <c:pt idx="3">
                  <c:v>0.75357142857142856</c:v>
                </c:pt>
                <c:pt idx="4">
                  <c:v>0.83214285714285707</c:v>
                </c:pt>
                <c:pt idx="5">
                  <c:v>0.87142857142857144</c:v>
                </c:pt>
                <c:pt idx="6">
                  <c:v>0.91071428571428559</c:v>
                </c:pt>
                <c:pt idx="7">
                  <c:v>0.95</c:v>
                </c:pt>
              </c:numCache>
            </c:numRef>
          </c:xVal>
          <c:yVal>
            <c:numRef>
              <c:f>Aux_graficos!$ES$2:$ES$9</c:f>
              <c:numCache>
                <c:formatCode>General</c:formatCode>
                <c:ptCount val="8"/>
                <c:pt idx="0">
                  <c:v>6.4763154422325302</c:v>
                </c:pt>
                <c:pt idx="1">
                  <c:v>6.9271745654811507</c:v>
                </c:pt>
                <c:pt idx="2">
                  <c:v>7.8278018821846098</c:v>
                </c:pt>
                <c:pt idx="3">
                  <c:v>7.3776698308264406</c:v>
                </c:pt>
                <c:pt idx="4">
                  <c:v>8.2775709210193504</c:v>
                </c:pt>
                <c:pt idx="5">
                  <c:v>8.7269769646471715</c:v>
                </c:pt>
                <c:pt idx="6">
                  <c:v>9.1760213044026795</c:v>
                </c:pt>
                <c:pt idx="7">
                  <c:v>9.6247040513853204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44-41AB-99B2-327B2218E598}"/>
            </c:ext>
          </c:extLst>
        </c:ser>
        <c:ser>
          <c:idx val="1"/>
          <c:order val="1"/>
          <c:tx>
            <c:v>Corregible (n = 7)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Aux_graficos!$EV$2:$EV$8</c:f>
              <c:numCache>
                <c:formatCode>General</c:formatCode>
                <c:ptCount val="7"/>
                <c:pt idx="0">
                  <c:v>0.4</c:v>
                </c:pt>
                <c:pt idx="1">
                  <c:v>0.43928571428571428</c:v>
                </c:pt>
                <c:pt idx="2">
                  <c:v>0.47857142857142859</c:v>
                </c:pt>
                <c:pt idx="3">
                  <c:v>0.5178571428571429</c:v>
                </c:pt>
                <c:pt idx="4">
                  <c:v>0.59642857142857142</c:v>
                </c:pt>
                <c:pt idx="5">
                  <c:v>0.55714285714285716</c:v>
                </c:pt>
                <c:pt idx="6">
                  <c:v>0.63571428571428568</c:v>
                </c:pt>
              </c:numCache>
            </c:numRef>
          </c:xVal>
          <c:yVal>
            <c:numRef>
              <c:f>Aux_graficos!$EU$2:$EU$8</c:f>
              <c:numCache>
                <c:formatCode>General</c:formatCode>
                <c:ptCount val="7"/>
                <c:pt idx="0">
                  <c:v>3.3094979564172098</c:v>
                </c:pt>
                <c:pt idx="1">
                  <c:v>3.7630717940348402</c:v>
                </c:pt>
                <c:pt idx="2">
                  <c:v>4.2162545105130196</c:v>
                </c:pt>
                <c:pt idx="3">
                  <c:v>4.6690443548779301</c:v>
                </c:pt>
                <c:pt idx="4">
                  <c:v>5.5734605518946898</c:v>
                </c:pt>
                <c:pt idx="5">
                  <c:v>5.1214441415316898</c:v>
                </c:pt>
                <c:pt idx="6">
                  <c:v>6.0250819642600204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44-41AB-99B2-327B2218E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0"/>
          <c:min val="3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15)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Aux_graficos!$EX$2:$EX$16</c:f>
              <c:numCache>
                <c:formatCode>General</c:formatCode>
                <c:ptCount val="15"/>
                <c:pt idx="0">
                  <c:v>0.4</c:v>
                </c:pt>
                <c:pt idx="1">
                  <c:v>0.43928571428571428</c:v>
                </c:pt>
                <c:pt idx="2">
                  <c:v>0.47857142857142859</c:v>
                </c:pt>
                <c:pt idx="3">
                  <c:v>0.5178571428571429</c:v>
                </c:pt>
                <c:pt idx="4">
                  <c:v>0.55714285714285716</c:v>
                </c:pt>
                <c:pt idx="5">
                  <c:v>0.59642857142857142</c:v>
                </c:pt>
                <c:pt idx="6">
                  <c:v>0.63571428571428568</c:v>
                </c:pt>
                <c:pt idx="7">
                  <c:v>0.67500000000000004</c:v>
                </c:pt>
                <c:pt idx="8">
                  <c:v>0.71428571428571419</c:v>
                </c:pt>
                <c:pt idx="9">
                  <c:v>0.75357142857142856</c:v>
                </c:pt>
                <c:pt idx="10">
                  <c:v>0.79285714285714282</c:v>
                </c:pt>
                <c:pt idx="11">
                  <c:v>0.83214285714285707</c:v>
                </c:pt>
                <c:pt idx="12">
                  <c:v>0.87142857142857144</c:v>
                </c:pt>
                <c:pt idx="13">
                  <c:v>0.91071428571428559</c:v>
                </c:pt>
                <c:pt idx="14">
                  <c:v>0.95</c:v>
                </c:pt>
              </c:numCache>
            </c:numRef>
          </c:xVal>
          <c:yVal>
            <c:numRef>
              <c:f>Aux_graficos!$EW$2:$EW$16</c:f>
              <c:numCache>
                <c:formatCode>General</c:formatCode>
                <c:ptCount val="15"/>
                <c:pt idx="0">
                  <c:v>7.3703373945199502</c:v>
                </c:pt>
                <c:pt idx="1">
                  <c:v>7.5840932821836686</c:v>
                </c:pt>
                <c:pt idx="2">
                  <c:v>7.7624840684167902</c:v>
                </c:pt>
                <c:pt idx="3">
                  <c:v>7.9136166498309306</c:v>
                </c:pt>
                <c:pt idx="4">
                  <c:v>8.0432951325759792</c:v>
                </c:pt>
                <c:pt idx="5">
                  <c:v>8.1557846125030693</c:v>
                </c:pt>
                <c:pt idx="6">
                  <c:v>8.2542915246221593</c:v>
                </c:pt>
                <c:pt idx="7">
                  <c:v>8.3412691203550597</c:v>
                </c:pt>
                <c:pt idx="8">
                  <c:v>8.4186301286119001</c:v>
                </c:pt>
                <c:pt idx="9">
                  <c:v>8.4878858731131501</c:v>
                </c:pt>
                <c:pt idx="10">
                  <c:v>8.5502461947164594</c:v>
                </c:pt>
                <c:pt idx="11">
                  <c:v>8.6066932970745587</c:v>
                </c:pt>
                <c:pt idx="12">
                  <c:v>8.6580291428481413</c:v>
                </c:pt>
                <c:pt idx="13">
                  <c:v>8.7049181977992998</c:v>
                </c:pt>
                <c:pt idx="14">
                  <c:v>8.7479142588494092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70-499C-99AB-D8D5BA6CD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8.75"/>
          <c:min val="7.2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ε_HRVG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Aux_graficos!$EZ$2:$EZ$13</c:f>
              <c:numCache>
                <c:formatCode>General</c:formatCode>
                <c:ptCount val="12"/>
                <c:pt idx="0">
                  <c:v>0.43928571428571428</c:v>
                </c:pt>
                <c:pt idx="1">
                  <c:v>0.4</c:v>
                </c:pt>
                <c:pt idx="2">
                  <c:v>0.47857142857142859</c:v>
                </c:pt>
                <c:pt idx="3">
                  <c:v>0.5178571428571429</c:v>
                </c:pt>
                <c:pt idx="4">
                  <c:v>0.55714285714285716</c:v>
                </c:pt>
                <c:pt idx="5">
                  <c:v>0.63571428571428568</c:v>
                </c:pt>
                <c:pt idx="6">
                  <c:v>0.59642857142857142</c:v>
                </c:pt>
                <c:pt idx="7">
                  <c:v>0.67500000000000004</c:v>
                </c:pt>
                <c:pt idx="8">
                  <c:v>0.71428571428571419</c:v>
                </c:pt>
                <c:pt idx="9">
                  <c:v>0.75357142857142856</c:v>
                </c:pt>
                <c:pt idx="10">
                  <c:v>0.83214285714285707</c:v>
                </c:pt>
                <c:pt idx="11">
                  <c:v>0.79285714285714282</c:v>
                </c:pt>
              </c:numCache>
            </c:numRef>
          </c:xVal>
          <c:yVal>
            <c:numRef>
              <c:f>Aux_graficos!$EY$2:$EY$13</c:f>
              <c:numCache>
                <c:formatCode>General</c:formatCode>
                <c:ptCount val="12"/>
                <c:pt idx="0">
                  <c:v>3.3916032476472902</c:v>
                </c:pt>
                <c:pt idx="1">
                  <c:v>2.3620491231949399</c:v>
                </c:pt>
                <c:pt idx="2">
                  <c:v>4.2532457692730299</c:v>
                </c:pt>
                <c:pt idx="3">
                  <c:v>4.98511165795313</c:v>
                </c:pt>
                <c:pt idx="4">
                  <c:v>5.6145400997755504</c:v>
                </c:pt>
                <c:pt idx="5">
                  <c:v>6.641646835838209</c:v>
                </c:pt>
                <c:pt idx="6">
                  <c:v>6.1616575195758498</c:v>
                </c:pt>
                <c:pt idx="7">
                  <c:v>7.0661222523894303</c:v>
                </c:pt>
                <c:pt idx="8">
                  <c:v>7.4441626726590604</c:v>
                </c:pt>
                <c:pt idx="9">
                  <c:v>7.7829461150891994</c:v>
                </c:pt>
                <c:pt idx="10">
                  <c:v>8.3646884146716207</c:v>
                </c:pt>
                <c:pt idx="11">
                  <c:v>8.0882304365208295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12-45B9-82A7-3EE991A7C8C6}"/>
            </c:ext>
          </c:extLst>
        </c:ser>
        <c:ser>
          <c:idx val="1"/>
          <c:order val="1"/>
          <c:tx>
            <c:v>Corregible (n = 2)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Aux_graficos!$FB$2:$FB$3</c:f>
              <c:numCache>
                <c:formatCode>General</c:formatCode>
                <c:ptCount val="2"/>
                <c:pt idx="0">
                  <c:v>0.87142857142857144</c:v>
                </c:pt>
                <c:pt idx="1">
                  <c:v>0.95</c:v>
                </c:pt>
              </c:numCache>
            </c:numRef>
          </c:xVal>
          <c:yVal>
            <c:numRef>
              <c:f>Aux_graficos!$FA$2:$FA$3</c:f>
              <c:numCache>
                <c:formatCode>General</c:formatCode>
                <c:ptCount val="2"/>
                <c:pt idx="0">
                  <c:v>8.6161616138495596</c:v>
                </c:pt>
                <c:pt idx="1">
                  <c:v>9.0531724265578397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12-45B9-82A7-3EE991A7C8C6}"/>
            </c:ext>
          </c:extLst>
        </c:ser>
        <c:ser>
          <c:idx val="2"/>
          <c:order val="2"/>
          <c:tx>
            <c:v>Inviable (n = 1)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Aux_graficos!$FD$2</c:f>
              <c:numCache>
                <c:formatCode>General</c:formatCode>
                <c:ptCount val="1"/>
                <c:pt idx="0">
                  <c:v>0.91071428571428559</c:v>
                </c:pt>
              </c:numCache>
            </c:numRef>
          </c:xVal>
          <c:yVal>
            <c:numRef>
              <c:f>Aux_graficos!$FC$2</c:f>
              <c:numCache>
                <c:formatCode>General</c:formatCode>
                <c:ptCount val="1"/>
                <c:pt idx="0">
                  <c:v>8.8449748323073702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12-45B9-82A7-3EE991A7C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0"/>
          <c:min val="2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ε_reg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Aux_graficos!$FF$2:$FF$7</c:f>
              <c:numCache>
                <c:formatCode>General</c:formatCode>
                <c:ptCount val="6"/>
                <c:pt idx="0">
                  <c:v>0.79285714285714282</c:v>
                </c:pt>
                <c:pt idx="1">
                  <c:v>0.75357142857142856</c:v>
                </c:pt>
                <c:pt idx="2">
                  <c:v>0.83214285714285707</c:v>
                </c:pt>
                <c:pt idx="3">
                  <c:v>0.87142857142857144</c:v>
                </c:pt>
                <c:pt idx="4">
                  <c:v>0.91071428571428559</c:v>
                </c:pt>
                <c:pt idx="5">
                  <c:v>0.95</c:v>
                </c:pt>
              </c:numCache>
            </c:numRef>
          </c:xVal>
          <c:yVal>
            <c:numRef>
              <c:f>Aux_graficos!$FE$2:$FE$7</c:f>
              <c:numCache>
                <c:formatCode>General</c:formatCode>
                <c:ptCount val="6"/>
                <c:pt idx="0">
                  <c:v>8.9188264939265594</c:v>
                </c:pt>
                <c:pt idx="1">
                  <c:v>8.5167681500787502</c:v>
                </c:pt>
                <c:pt idx="2">
                  <c:v>9.3578640335653702</c:v>
                </c:pt>
                <c:pt idx="3">
                  <c:v>9.8391837047449506</c:v>
                </c:pt>
                <c:pt idx="4">
                  <c:v>10.369183925254671</c:v>
                </c:pt>
                <c:pt idx="5">
                  <c:v>10.955585500514889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60-493C-82CA-713028757CD8}"/>
            </c:ext>
          </c:extLst>
        </c:ser>
        <c:ser>
          <c:idx val="1"/>
          <c:order val="1"/>
          <c:tx>
            <c:v>Corregible (n = 9)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Aux_graficos!$FH$2:$FH$10</c:f>
              <c:numCache>
                <c:formatCode>General</c:formatCode>
                <c:ptCount val="9"/>
                <c:pt idx="0">
                  <c:v>0.4</c:v>
                </c:pt>
                <c:pt idx="1">
                  <c:v>0.43928571428571428</c:v>
                </c:pt>
                <c:pt idx="2">
                  <c:v>0.47857142857142859</c:v>
                </c:pt>
                <c:pt idx="3">
                  <c:v>0.5178571428571429</c:v>
                </c:pt>
                <c:pt idx="4">
                  <c:v>0.55714285714285716</c:v>
                </c:pt>
                <c:pt idx="5">
                  <c:v>0.59642857142857142</c:v>
                </c:pt>
                <c:pt idx="6">
                  <c:v>0.63571428571428568</c:v>
                </c:pt>
                <c:pt idx="7">
                  <c:v>0.67500000000000004</c:v>
                </c:pt>
                <c:pt idx="8">
                  <c:v>0.71428571428571419</c:v>
                </c:pt>
              </c:numCache>
            </c:numRef>
          </c:xVal>
          <c:yVal>
            <c:numRef>
              <c:f>Aux_graficos!$FG$2:$FG$10</c:f>
              <c:numCache>
                <c:formatCode>General</c:formatCode>
                <c:ptCount val="9"/>
                <c:pt idx="0">
                  <c:v>5.9646126820381502</c:v>
                </c:pt>
                <c:pt idx="1">
                  <c:v>6.18094896905352</c:v>
                </c:pt>
                <c:pt idx="2">
                  <c:v>6.4103339482975503</c:v>
                </c:pt>
                <c:pt idx="3">
                  <c:v>6.6540621975119301</c:v>
                </c:pt>
                <c:pt idx="4">
                  <c:v>6.9135873303467692</c:v>
                </c:pt>
                <c:pt idx="5">
                  <c:v>7.1905840342767204</c:v>
                </c:pt>
                <c:pt idx="6">
                  <c:v>7.4869641418511792</c:v>
                </c:pt>
                <c:pt idx="7">
                  <c:v>7.8049532334983001</c:v>
                </c:pt>
                <c:pt idx="8">
                  <c:v>8.14711193476818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160-493C-82CA-713028757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1"/>
          <c:min val="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ε_cond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4)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Aux_graficos!$FJ$2:$FJ$5</c:f>
              <c:numCache>
                <c:formatCode>General</c:formatCode>
                <c:ptCount val="4"/>
                <c:pt idx="0">
                  <c:v>0.91071428571428559</c:v>
                </c:pt>
                <c:pt idx="1">
                  <c:v>0.83214285714285707</c:v>
                </c:pt>
                <c:pt idx="2">
                  <c:v>0.87142857142857144</c:v>
                </c:pt>
                <c:pt idx="3">
                  <c:v>0.95</c:v>
                </c:pt>
              </c:numCache>
            </c:numRef>
          </c:xVal>
          <c:yVal>
            <c:numRef>
              <c:f>Aux_graficos!$FI$2:$FI$5</c:f>
              <c:numCache>
                <c:formatCode>General</c:formatCode>
                <c:ptCount val="4"/>
                <c:pt idx="0">
                  <c:v>8.0615436257084401</c:v>
                </c:pt>
                <c:pt idx="1">
                  <c:v>8.3486200220147389</c:v>
                </c:pt>
                <c:pt idx="2">
                  <c:v>8.1987705445133905</c:v>
                </c:pt>
                <c:pt idx="3">
                  <c:v>7.9354097060928996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E5-46B4-B527-7569FF4200A9}"/>
            </c:ext>
          </c:extLst>
        </c:ser>
        <c:ser>
          <c:idx val="1"/>
          <c:order val="1"/>
          <c:tx>
            <c:v>Corregible (n = 7)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Aux_graficos!$FL$2:$FL$8</c:f>
              <c:numCache>
                <c:formatCode>General</c:formatCode>
                <c:ptCount val="7"/>
                <c:pt idx="0">
                  <c:v>0.55714285714285716</c:v>
                </c:pt>
                <c:pt idx="1">
                  <c:v>0.75357142857142856</c:v>
                </c:pt>
                <c:pt idx="2">
                  <c:v>0.67500000000000004</c:v>
                </c:pt>
                <c:pt idx="3">
                  <c:v>0.59642857142857142</c:v>
                </c:pt>
                <c:pt idx="4">
                  <c:v>0.71428571428571419</c:v>
                </c:pt>
                <c:pt idx="5">
                  <c:v>0.63571428571428568</c:v>
                </c:pt>
                <c:pt idx="6">
                  <c:v>0.79285714285714282</c:v>
                </c:pt>
              </c:numCache>
            </c:numRef>
          </c:xVal>
          <c:yVal>
            <c:numRef>
              <c:f>Aux_graficos!$FK$2:$FK$8</c:f>
              <c:numCache>
                <c:formatCode>General</c:formatCode>
                <c:ptCount val="7"/>
                <c:pt idx="0">
                  <c:v>8.0591596198353201</c:v>
                </c:pt>
                <c:pt idx="1">
                  <c:v>8.6562081101418507</c:v>
                </c:pt>
                <c:pt idx="2">
                  <c:v>8.7565764230868997</c:v>
                </c:pt>
                <c:pt idx="3">
                  <c:v>8.4548540086650501</c:v>
                </c:pt>
                <c:pt idx="4">
                  <c:v>8.7434206745801291</c:v>
                </c:pt>
                <c:pt idx="5">
                  <c:v>8.67152951239059</c:v>
                </c:pt>
                <c:pt idx="6">
                  <c:v>8.51269627068916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E5-46B4-B527-7569FF4200A9}"/>
            </c:ext>
          </c:extLst>
        </c:ser>
        <c:ser>
          <c:idx val="2"/>
          <c:order val="2"/>
          <c:tx>
            <c:v>No convergió (n = 4)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Aux_graficos!$FN$2:$FN$5</c:f>
              <c:numCache>
                <c:formatCode>General</c:formatCode>
                <c:ptCount val="4"/>
                <c:pt idx="0">
                  <c:v>0.4</c:v>
                </c:pt>
                <c:pt idx="1">
                  <c:v>0.43928571428571428</c:v>
                </c:pt>
                <c:pt idx="2">
                  <c:v>0.47857142857142859</c:v>
                </c:pt>
                <c:pt idx="3">
                  <c:v>0.5178571428571429</c:v>
                </c:pt>
              </c:numCache>
            </c:numRef>
          </c:xVal>
          <c:yVal>
            <c:numRef>
              <c:f>Aux_graficos!$FM$2:$FM$5</c:f>
              <c:numCache>
                <c:formatCode>General</c:formatCode>
                <c:ptCount val="4"/>
                <c:pt idx="0">
                  <c:v>-0.6</c:v>
                </c:pt>
                <c:pt idx="1">
                  <c:v>-0.6</c:v>
                </c:pt>
                <c:pt idx="2">
                  <c:v>-0.6</c:v>
                </c:pt>
                <c:pt idx="3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E5-46B4-B527-7569FF420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0"/>
          <c:min val="-2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A* está a menos del 6 % del rango de la frontera de O2 en 8 de 9 variables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Distancia a la frontera / rango [–]</c:v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7EA-42C8-8B7D-2F16FFED8B42}"/>
              </c:ext>
            </c:extLst>
          </c:dPt>
          <c:dPt>
            <c:idx val="1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7EA-42C8-8B7D-2F16FFED8B42}"/>
              </c:ext>
            </c:extLst>
          </c:dPt>
          <c:dPt>
            <c:idx val="2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7EA-42C8-8B7D-2F16FFED8B42}"/>
              </c:ext>
            </c:extLst>
          </c:dPt>
          <c:dPt>
            <c:idx val="3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7EA-42C8-8B7D-2F16FFED8B42}"/>
              </c:ext>
            </c:extLst>
          </c:dPt>
          <c:dPt>
            <c:idx val="4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7EA-42C8-8B7D-2F16FFED8B42}"/>
              </c:ext>
            </c:extLst>
          </c:dPt>
          <c:dPt>
            <c:idx val="5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7EA-42C8-8B7D-2F16FFED8B42}"/>
              </c:ext>
            </c:extLst>
          </c:dPt>
          <c:dPt>
            <c:idx val="6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7EA-42C8-8B7D-2F16FFED8B42}"/>
              </c:ext>
            </c:extLst>
          </c:dPt>
          <c:dPt>
            <c:idx val="7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7EA-42C8-8B7D-2F16FFED8B42}"/>
              </c:ext>
            </c:extLst>
          </c:dPt>
          <c:dPt>
            <c:idx val="8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7EA-42C8-8B7D-2F16FFED8B42}"/>
              </c:ext>
            </c:extLst>
          </c:dPt>
          <c:cat>
            <c:strRef>
              <c:f>Aux_graficos!$FO$2:$FO$10</c:f>
              <c:strCache>
                <c:ptCount val="9"/>
                <c:pt idx="0">
                  <c:v>η_t</c:v>
                </c:pt>
                <c:pt idx="1">
                  <c:v>ε_reg</c:v>
                </c:pt>
                <c:pt idx="2">
                  <c:v>ε_HRVG</c:v>
                </c:pt>
                <c:pt idx="3">
                  <c:v>T_fuente</c:v>
                </c:pt>
                <c:pt idx="4">
                  <c:v>T_sumidero</c:v>
                </c:pt>
                <c:pt idx="5">
                  <c:v>x_b</c:v>
                </c:pt>
                <c:pt idx="6">
                  <c:v>P_baja</c:v>
                </c:pt>
                <c:pt idx="7">
                  <c:v>ε_cond</c:v>
                </c:pt>
                <c:pt idx="8">
                  <c:v>P_alta</c:v>
                </c:pt>
              </c:strCache>
            </c:strRef>
          </c:cat>
          <c:val>
            <c:numRef>
              <c:f>Aux_graficos!$FP$2:$FP$10</c:f>
              <c:numCache>
                <c:formatCode>General</c:formatCode>
                <c:ptCount val="9"/>
                <c:pt idx="0">
                  <c:v>0.34257006861591949</c:v>
                </c:pt>
                <c:pt idx="1">
                  <c:v>5.7195594995633967E-2</c:v>
                </c:pt>
                <c:pt idx="2">
                  <c:v>3.8668493436284451E-2</c:v>
                </c:pt>
                <c:pt idx="3">
                  <c:v>2.3942365943784572E-2</c:v>
                </c:pt>
                <c:pt idx="4">
                  <c:v>2.2161193276618221E-2</c:v>
                </c:pt>
                <c:pt idx="5">
                  <c:v>1.8495775980293581E-2</c:v>
                </c:pt>
                <c:pt idx="6">
                  <c:v>1.6346940596886191E-2</c:v>
                </c:pt>
                <c:pt idx="7">
                  <c:v>1.155047906448946E-2</c:v>
                </c:pt>
                <c:pt idx="8">
                  <c:v>7.0719277850220252E-3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7EA-42C8-8B7D-2F16FFED8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Variable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Distancia a la frontera / rango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T_fuente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Aux_graficos!$FR$2:$FR$122</c:f>
              <c:numCache>
                <c:formatCode>General</c:formatCode>
                <c:ptCount val="121"/>
                <c:pt idx="0">
                  <c:v>380.5836236353158</c:v>
                </c:pt>
                <c:pt idx="1">
                  <c:v>380.87365969128439</c:v>
                </c:pt>
                <c:pt idx="2">
                  <c:v>381.18530084695283</c:v>
                </c:pt>
                <c:pt idx="3">
                  <c:v>381.80169733541891</c:v>
                </c:pt>
                <c:pt idx="4">
                  <c:v>382.4138281961342</c:v>
                </c:pt>
                <c:pt idx="5">
                  <c:v>382.94184877558411</c:v>
                </c:pt>
                <c:pt idx="6">
                  <c:v>383.65848144381232</c:v>
                </c:pt>
                <c:pt idx="7">
                  <c:v>384.39900578337478</c:v>
                </c:pt>
                <c:pt idx="8">
                  <c:v>384.49647867478478</c:v>
                </c:pt>
                <c:pt idx="9">
                  <c:v>386.18073039109271</c:v>
                </c:pt>
                <c:pt idx="10">
                  <c:v>387.05939654538611</c:v>
                </c:pt>
                <c:pt idx="11">
                  <c:v>387.84511519598408</c:v>
                </c:pt>
                <c:pt idx="12">
                  <c:v>389.23187535918572</c:v>
                </c:pt>
                <c:pt idx="13">
                  <c:v>389.69024051878642</c:v>
                </c:pt>
                <c:pt idx="14">
                  <c:v>390.15434599736722</c:v>
                </c:pt>
                <c:pt idx="15">
                  <c:v>390.45885835815977</c:v>
                </c:pt>
                <c:pt idx="16">
                  <c:v>390.55137386885667</c:v>
                </c:pt>
                <c:pt idx="17">
                  <c:v>392.13339473634898</c:v>
                </c:pt>
                <c:pt idx="18">
                  <c:v>392.68270908850042</c:v>
                </c:pt>
                <c:pt idx="19">
                  <c:v>394.07073488168908</c:v>
                </c:pt>
                <c:pt idx="20">
                  <c:v>394.73858744369772</c:v>
                </c:pt>
                <c:pt idx="21">
                  <c:v>394.991807140974</c:v>
                </c:pt>
                <c:pt idx="22">
                  <c:v>395.676971806121</c:v>
                </c:pt>
                <c:pt idx="23">
                  <c:v>397.90212249577797</c:v>
                </c:pt>
                <c:pt idx="24">
                  <c:v>398.99006072988408</c:v>
                </c:pt>
                <c:pt idx="25">
                  <c:v>399.04188929710642</c:v>
                </c:pt>
                <c:pt idx="26">
                  <c:v>401.01836464738318</c:v>
                </c:pt>
                <c:pt idx="27">
                  <c:v>401.58367161818393</c:v>
                </c:pt>
                <c:pt idx="28">
                  <c:v>402.9784816442986</c:v>
                </c:pt>
                <c:pt idx="29">
                  <c:v>403.99018799313637</c:v>
                </c:pt>
                <c:pt idx="30">
                  <c:v>404.3346696294941</c:v>
                </c:pt>
                <c:pt idx="31">
                  <c:v>404.5641237085016</c:v>
                </c:pt>
                <c:pt idx="32">
                  <c:v>405.05721141219601</c:v>
                </c:pt>
                <c:pt idx="33">
                  <c:v>405.39762833686211</c:v>
                </c:pt>
                <c:pt idx="34">
                  <c:v>405.66430145260227</c:v>
                </c:pt>
                <c:pt idx="35">
                  <c:v>406.02089795212942</c:v>
                </c:pt>
                <c:pt idx="36">
                  <c:v>406.67000873498171</c:v>
                </c:pt>
                <c:pt idx="37">
                  <c:v>407.13404164110233</c:v>
                </c:pt>
                <c:pt idx="38">
                  <c:v>408.17460679705198</c:v>
                </c:pt>
                <c:pt idx="39">
                  <c:v>408.79480437103922</c:v>
                </c:pt>
                <c:pt idx="40">
                  <c:v>409.10403012353572</c:v>
                </c:pt>
                <c:pt idx="41">
                  <c:v>409.35464242439548</c:v>
                </c:pt>
                <c:pt idx="42">
                  <c:v>409.72665711112529</c:v>
                </c:pt>
                <c:pt idx="43">
                  <c:v>409.7590855798677</c:v>
                </c:pt>
                <c:pt idx="44">
                  <c:v>410.24654618411682</c:v>
                </c:pt>
                <c:pt idx="45">
                  <c:v>410.48158306861251</c:v>
                </c:pt>
                <c:pt idx="46">
                  <c:v>411.32193811998241</c:v>
                </c:pt>
                <c:pt idx="47">
                  <c:v>412.29690339395819</c:v>
                </c:pt>
                <c:pt idx="48">
                  <c:v>412.53689324532633</c:v>
                </c:pt>
                <c:pt idx="49">
                  <c:v>414.26480552734762</c:v>
                </c:pt>
                <c:pt idx="50">
                  <c:v>414.41866290177529</c:v>
                </c:pt>
                <c:pt idx="51">
                  <c:v>414.9726031343597</c:v>
                </c:pt>
                <c:pt idx="52">
                  <c:v>415.28064652950411</c:v>
                </c:pt>
                <c:pt idx="53">
                  <c:v>416.51130511398691</c:v>
                </c:pt>
                <c:pt idx="54">
                  <c:v>416.54978723096031</c:v>
                </c:pt>
                <c:pt idx="55">
                  <c:v>416.77951618176269</c:v>
                </c:pt>
                <c:pt idx="56">
                  <c:v>419.53049664027731</c:v>
                </c:pt>
                <c:pt idx="57">
                  <c:v>420.72087541026212</c:v>
                </c:pt>
                <c:pt idx="58">
                  <c:v>421.45218192972118</c:v>
                </c:pt>
                <c:pt idx="59">
                  <c:v>421.7380440711633</c:v>
                </c:pt>
                <c:pt idx="60">
                  <c:v>422.7578551462301</c:v>
                </c:pt>
                <c:pt idx="61">
                  <c:v>423.9950187444789</c:v>
                </c:pt>
                <c:pt idx="62">
                  <c:v>425.71729196383671</c:v>
                </c:pt>
                <c:pt idx="63">
                  <c:v>425.97431195348292</c:v>
                </c:pt>
                <c:pt idx="64">
                  <c:v>427.25323558086399</c:v>
                </c:pt>
                <c:pt idx="65">
                  <c:v>427.66635357848259</c:v>
                </c:pt>
                <c:pt idx="66">
                  <c:v>428.03338804507189</c:v>
                </c:pt>
                <c:pt idx="67">
                  <c:v>429.06829545025249</c:v>
                </c:pt>
                <c:pt idx="68">
                  <c:v>429.4317183863684</c:v>
                </c:pt>
                <c:pt idx="69">
                  <c:v>429.51784774054062</c:v>
                </c:pt>
                <c:pt idx="70">
                  <c:v>430.00183304208088</c:v>
                </c:pt>
                <c:pt idx="71">
                  <c:v>430.45461788562289</c:v>
                </c:pt>
                <c:pt idx="72">
                  <c:v>430.80015065862062</c:v>
                </c:pt>
                <c:pt idx="73">
                  <c:v>431.10623145319317</c:v>
                </c:pt>
                <c:pt idx="74">
                  <c:v>432.79449157181682</c:v>
                </c:pt>
                <c:pt idx="75">
                  <c:v>433.50179962619683</c:v>
                </c:pt>
                <c:pt idx="76">
                  <c:v>433.5741970949274</c:v>
                </c:pt>
                <c:pt idx="77">
                  <c:v>434.14534602595228</c:v>
                </c:pt>
                <c:pt idx="78">
                  <c:v>435.93343051368402</c:v>
                </c:pt>
                <c:pt idx="79">
                  <c:v>436.09695310912758</c:v>
                </c:pt>
                <c:pt idx="80">
                  <c:v>436.52419597182421</c:v>
                </c:pt>
                <c:pt idx="81">
                  <c:v>437.13593201044989</c:v>
                </c:pt>
                <c:pt idx="82">
                  <c:v>437.98415643613163</c:v>
                </c:pt>
                <c:pt idx="83">
                  <c:v>440.27317810348143</c:v>
                </c:pt>
                <c:pt idx="84">
                  <c:v>440.87823054581179</c:v>
                </c:pt>
                <c:pt idx="85">
                  <c:v>441.06889180047432</c:v>
                </c:pt>
                <c:pt idx="86">
                  <c:v>441.63893894716608</c:v>
                </c:pt>
                <c:pt idx="87">
                  <c:v>441.74190976204642</c:v>
                </c:pt>
                <c:pt idx="88">
                  <c:v>442.581649298424</c:v>
                </c:pt>
                <c:pt idx="89">
                  <c:v>443.155295575482</c:v>
                </c:pt>
                <c:pt idx="90">
                  <c:v>445.60852360656861</c:v>
                </c:pt>
                <c:pt idx="91">
                  <c:v>448.32988727165599</c:v>
                </c:pt>
                <c:pt idx="92">
                  <c:v>448.6099624502038</c:v>
                </c:pt>
                <c:pt idx="93">
                  <c:v>449.34824422443648</c:v>
                </c:pt>
                <c:pt idx="94">
                  <c:v>449.94620989045228</c:v>
                </c:pt>
                <c:pt idx="95">
                  <c:v>450.58767753165017</c:v>
                </c:pt>
                <c:pt idx="96">
                  <c:v>454.15830167784958</c:v>
                </c:pt>
                <c:pt idx="97">
                  <c:v>456.01844551667449</c:v>
                </c:pt>
                <c:pt idx="98">
                  <c:v>456.67389397981287</c:v>
                </c:pt>
                <c:pt idx="99">
                  <c:v>457.29762761140182</c:v>
                </c:pt>
                <c:pt idx="100">
                  <c:v>458.24818958148001</c:v>
                </c:pt>
                <c:pt idx="101">
                  <c:v>459.85462200002792</c:v>
                </c:pt>
                <c:pt idx="102">
                  <c:v>463.11111685578658</c:v>
                </c:pt>
                <c:pt idx="103">
                  <c:v>464.51024081593471</c:v>
                </c:pt>
                <c:pt idx="104">
                  <c:v>465.77595055710822</c:v>
                </c:pt>
                <c:pt idx="105">
                  <c:v>467.90642290884028</c:v>
                </c:pt>
                <c:pt idx="106">
                  <c:v>469.07375462228691</c:v>
                </c:pt>
                <c:pt idx="107">
                  <c:v>469.85950745540111</c:v>
                </c:pt>
                <c:pt idx="108">
                  <c:v>470.01840616237558</c:v>
                </c:pt>
                <c:pt idx="109">
                  <c:v>475.00830246052197</c:v>
                </c:pt>
                <c:pt idx="110">
                  <c:v>481.90054172539391</c:v>
                </c:pt>
                <c:pt idx="111">
                  <c:v>482.70311780898749</c:v>
                </c:pt>
                <c:pt idx="112">
                  <c:v>483.22504797874399</c:v>
                </c:pt>
                <c:pt idx="113">
                  <c:v>484.76834502679981</c:v>
                </c:pt>
                <c:pt idx="114">
                  <c:v>486.22011444109438</c:v>
                </c:pt>
                <c:pt idx="115">
                  <c:v>489.65038115310551</c:v>
                </c:pt>
                <c:pt idx="116">
                  <c:v>490.77933297608018</c:v>
                </c:pt>
                <c:pt idx="117">
                  <c:v>492.4479539936064</c:v>
                </c:pt>
                <c:pt idx="118">
                  <c:v>496.20695666659083</c:v>
                </c:pt>
                <c:pt idx="119">
                  <c:v>496.52817120295771</c:v>
                </c:pt>
                <c:pt idx="120">
                  <c:v>497.04845107202391</c:v>
                </c:pt>
              </c:numCache>
            </c:numRef>
          </c:xVal>
          <c:yVal>
            <c:numRef>
              <c:f>Aux_graficos!$FQ$2:$FQ$122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C4-42BC-B5EB-174A486782F0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Aux_graficos!$FT$2:$FT$332</c:f>
              <c:numCache>
                <c:formatCode>General</c:formatCode>
                <c:ptCount val="331"/>
                <c:pt idx="0">
                  <c:v>380.22992399348419</c:v>
                </c:pt>
                <c:pt idx="1">
                  <c:v>382.88765221798099</c:v>
                </c:pt>
                <c:pt idx="2">
                  <c:v>383.11637780553531</c:v>
                </c:pt>
                <c:pt idx="3">
                  <c:v>383.21140262990849</c:v>
                </c:pt>
                <c:pt idx="4">
                  <c:v>384.63430753713789</c:v>
                </c:pt>
                <c:pt idx="5">
                  <c:v>385.0173082371893</c:v>
                </c:pt>
                <c:pt idx="6">
                  <c:v>385.50661159528102</c:v>
                </c:pt>
                <c:pt idx="7">
                  <c:v>385.54001501813423</c:v>
                </c:pt>
                <c:pt idx="8">
                  <c:v>385.7480188873339</c:v>
                </c:pt>
                <c:pt idx="9">
                  <c:v>386.23004331232733</c:v>
                </c:pt>
                <c:pt idx="10">
                  <c:v>386.90487937652449</c:v>
                </c:pt>
                <c:pt idx="11">
                  <c:v>387.23014169266207</c:v>
                </c:pt>
                <c:pt idx="12">
                  <c:v>387.28260423924007</c:v>
                </c:pt>
                <c:pt idx="13">
                  <c:v>388.0504086470886</c:v>
                </c:pt>
                <c:pt idx="14">
                  <c:v>388.22013615190832</c:v>
                </c:pt>
                <c:pt idx="15">
                  <c:v>388.6545899027584</c:v>
                </c:pt>
                <c:pt idx="16">
                  <c:v>388.85626200751818</c:v>
                </c:pt>
                <c:pt idx="17">
                  <c:v>388.9717347470957</c:v>
                </c:pt>
                <c:pt idx="18">
                  <c:v>389.3276004242328</c:v>
                </c:pt>
                <c:pt idx="19">
                  <c:v>391.5257008929986</c:v>
                </c:pt>
                <c:pt idx="20">
                  <c:v>391.58689037200242</c:v>
                </c:pt>
                <c:pt idx="21">
                  <c:v>391.94569312363183</c:v>
                </c:pt>
                <c:pt idx="22">
                  <c:v>392.29040562547391</c:v>
                </c:pt>
                <c:pt idx="23">
                  <c:v>393.04593856608358</c:v>
                </c:pt>
                <c:pt idx="24">
                  <c:v>393.07489105580032</c:v>
                </c:pt>
                <c:pt idx="25">
                  <c:v>393.35629365707439</c:v>
                </c:pt>
                <c:pt idx="26">
                  <c:v>393.45039548050067</c:v>
                </c:pt>
                <c:pt idx="27">
                  <c:v>393.66685025091618</c:v>
                </c:pt>
                <c:pt idx="28">
                  <c:v>394.35226919510268</c:v>
                </c:pt>
                <c:pt idx="29">
                  <c:v>395.16209304409148</c:v>
                </c:pt>
                <c:pt idx="30">
                  <c:v>395.18651220859721</c:v>
                </c:pt>
                <c:pt idx="31">
                  <c:v>395.35824686672782</c:v>
                </c:pt>
                <c:pt idx="32">
                  <c:v>395.97732736083532</c:v>
                </c:pt>
                <c:pt idx="33">
                  <c:v>396.95133547840339</c:v>
                </c:pt>
                <c:pt idx="34">
                  <c:v>398.04027896921588</c:v>
                </c:pt>
                <c:pt idx="35">
                  <c:v>398.37580411552511</c:v>
                </c:pt>
                <c:pt idx="36">
                  <c:v>398.53351602171978</c:v>
                </c:pt>
                <c:pt idx="37">
                  <c:v>399.4557273742422</c:v>
                </c:pt>
                <c:pt idx="38">
                  <c:v>399.58319388057379</c:v>
                </c:pt>
                <c:pt idx="39">
                  <c:v>400.16258886391188</c:v>
                </c:pt>
                <c:pt idx="40">
                  <c:v>400.70429949507729</c:v>
                </c:pt>
                <c:pt idx="41">
                  <c:v>400.85747291811811</c:v>
                </c:pt>
                <c:pt idx="42">
                  <c:v>401.55175944248418</c:v>
                </c:pt>
                <c:pt idx="43">
                  <c:v>401.68721413783652</c:v>
                </c:pt>
                <c:pt idx="44">
                  <c:v>401.72070720678801</c:v>
                </c:pt>
                <c:pt idx="45">
                  <c:v>402.27112091919707</c:v>
                </c:pt>
                <c:pt idx="46">
                  <c:v>402.6646742529997</c:v>
                </c:pt>
                <c:pt idx="47">
                  <c:v>402.6685604467641</c:v>
                </c:pt>
                <c:pt idx="48">
                  <c:v>402.94664801541938</c:v>
                </c:pt>
                <c:pt idx="49">
                  <c:v>403.68511963190582</c:v>
                </c:pt>
                <c:pt idx="50">
                  <c:v>404.4821729889797</c:v>
                </c:pt>
                <c:pt idx="51">
                  <c:v>404.7273922731768</c:v>
                </c:pt>
                <c:pt idx="52">
                  <c:v>405.77406549380203</c:v>
                </c:pt>
                <c:pt idx="53">
                  <c:v>407.42535509811643</c:v>
                </c:pt>
                <c:pt idx="54">
                  <c:v>407.5723859105924</c:v>
                </c:pt>
                <c:pt idx="55">
                  <c:v>407.9983163338112</c:v>
                </c:pt>
                <c:pt idx="56">
                  <c:v>408.53882475989252</c:v>
                </c:pt>
                <c:pt idx="57">
                  <c:v>409.31282522545911</c:v>
                </c:pt>
                <c:pt idx="58">
                  <c:v>410.32247872991832</c:v>
                </c:pt>
                <c:pt idx="59">
                  <c:v>410.69611521364749</c:v>
                </c:pt>
                <c:pt idx="60">
                  <c:v>411.00393309059041</c:v>
                </c:pt>
                <c:pt idx="61">
                  <c:v>411.63866086079599</c:v>
                </c:pt>
                <c:pt idx="62">
                  <c:v>411.88476707567509</c:v>
                </c:pt>
                <c:pt idx="63">
                  <c:v>412.32936457236531</c:v>
                </c:pt>
                <c:pt idx="64">
                  <c:v>412.66216315371338</c:v>
                </c:pt>
                <c:pt idx="65">
                  <c:v>413.06871112192522</c:v>
                </c:pt>
                <c:pt idx="66">
                  <c:v>413.08116433202918</c:v>
                </c:pt>
                <c:pt idx="67">
                  <c:v>413.43965200864858</c:v>
                </c:pt>
                <c:pt idx="68">
                  <c:v>413.71124570018458</c:v>
                </c:pt>
                <c:pt idx="69">
                  <c:v>413.8316141751564</c:v>
                </c:pt>
                <c:pt idx="70">
                  <c:v>414.45885321656579</c:v>
                </c:pt>
                <c:pt idx="71">
                  <c:v>415.29977191209969</c:v>
                </c:pt>
                <c:pt idx="72">
                  <c:v>415.6689041243427</c:v>
                </c:pt>
                <c:pt idx="73">
                  <c:v>415.69432518311328</c:v>
                </c:pt>
                <c:pt idx="74">
                  <c:v>416.25083657976541</c:v>
                </c:pt>
                <c:pt idx="75">
                  <c:v>416.90999772184949</c:v>
                </c:pt>
                <c:pt idx="76">
                  <c:v>417.20348180203462</c:v>
                </c:pt>
                <c:pt idx="77">
                  <c:v>417.7059741910698</c:v>
                </c:pt>
                <c:pt idx="78">
                  <c:v>417.87810545644049</c:v>
                </c:pt>
                <c:pt idx="79">
                  <c:v>417.92595756875369</c:v>
                </c:pt>
                <c:pt idx="80">
                  <c:v>418.00143862825382</c:v>
                </c:pt>
                <c:pt idx="81">
                  <c:v>418.4264071948723</c:v>
                </c:pt>
                <c:pt idx="82">
                  <c:v>418.63335381100848</c:v>
                </c:pt>
                <c:pt idx="83">
                  <c:v>418.82497992736643</c:v>
                </c:pt>
                <c:pt idx="84">
                  <c:v>419.05757607807539</c:v>
                </c:pt>
                <c:pt idx="85">
                  <c:v>419.62236861725302</c:v>
                </c:pt>
                <c:pt idx="86">
                  <c:v>419.74702577018672</c:v>
                </c:pt>
                <c:pt idx="87">
                  <c:v>420.279430741515</c:v>
                </c:pt>
                <c:pt idx="88">
                  <c:v>420.36660126487402</c:v>
                </c:pt>
                <c:pt idx="89">
                  <c:v>420.8644744374256</c:v>
                </c:pt>
                <c:pt idx="90">
                  <c:v>420.91578176442761</c:v>
                </c:pt>
                <c:pt idx="91">
                  <c:v>421.84169958243928</c:v>
                </c:pt>
                <c:pt idx="92">
                  <c:v>422.01468896803431</c:v>
                </c:pt>
                <c:pt idx="93">
                  <c:v>422.034392588755</c:v>
                </c:pt>
                <c:pt idx="94">
                  <c:v>422.77658730664581</c:v>
                </c:pt>
                <c:pt idx="95">
                  <c:v>423.52047132091889</c:v>
                </c:pt>
                <c:pt idx="96">
                  <c:v>423.65800595890732</c:v>
                </c:pt>
                <c:pt idx="97">
                  <c:v>423.90283203440958</c:v>
                </c:pt>
                <c:pt idx="98">
                  <c:v>424.08097499966749</c:v>
                </c:pt>
                <c:pt idx="99">
                  <c:v>424.72167552362549</c:v>
                </c:pt>
                <c:pt idx="100">
                  <c:v>424.74960408000851</c:v>
                </c:pt>
                <c:pt idx="101">
                  <c:v>425.13560968315647</c:v>
                </c:pt>
                <c:pt idx="102">
                  <c:v>425.39192704707921</c:v>
                </c:pt>
                <c:pt idx="103">
                  <c:v>425.56049039848949</c:v>
                </c:pt>
                <c:pt idx="104">
                  <c:v>426.257582968365</c:v>
                </c:pt>
                <c:pt idx="105">
                  <c:v>426.48643204369</c:v>
                </c:pt>
                <c:pt idx="106">
                  <c:v>426.59630643882087</c:v>
                </c:pt>
                <c:pt idx="107">
                  <c:v>427.11795306341662</c:v>
                </c:pt>
                <c:pt idx="108">
                  <c:v>427.22184954970271</c:v>
                </c:pt>
                <c:pt idx="109">
                  <c:v>427.79119452254139</c:v>
                </c:pt>
                <c:pt idx="110">
                  <c:v>428.28203080928489</c:v>
                </c:pt>
                <c:pt idx="111">
                  <c:v>428.43299493017861</c:v>
                </c:pt>
                <c:pt idx="112">
                  <c:v>428.60103488340297</c:v>
                </c:pt>
                <c:pt idx="113">
                  <c:v>430.34641798062643</c:v>
                </c:pt>
                <c:pt idx="114">
                  <c:v>430.5252130667929</c:v>
                </c:pt>
                <c:pt idx="115">
                  <c:v>431.43487990260888</c:v>
                </c:pt>
                <c:pt idx="116">
                  <c:v>431.86265931378642</c:v>
                </c:pt>
                <c:pt idx="117">
                  <c:v>431.97059580695412</c:v>
                </c:pt>
                <c:pt idx="118">
                  <c:v>432.16413006938399</c:v>
                </c:pt>
                <c:pt idx="119">
                  <c:v>432.49852275226448</c:v>
                </c:pt>
                <c:pt idx="120">
                  <c:v>432.95460215271709</c:v>
                </c:pt>
                <c:pt idx="121">
                  <c:v>433.2266049115928</c:v>
                </c:pt>
                <c:pt idx="122">
                  <c:v>433.62430589999218</c:v>
                </c:pt>
                <c:pt idx="123">
                  <c:v>434.44534940100971</c:v>
                </c:pt>
                <c:pt idx="124">
                  <c:v>434.65529219023301</c:v>
                </c:pt>
                <c:pt idx="125">
                  <c:v>435.0392469146804</c:v>
                </c:pt>
                <c:pt idx="126">
                  <c:v>435.05101312150322</c:v>
                </c:pt>
                <c:pt idx="127">
                  <c:v>435.31151288894341</c:v>
                </c:pt>
                <c:pt idx="128">
                  <c:v>435.5194320411548</c:v>
                </c:pt>
                <c:pt idx="129">
                  <c:v>435.76323501116542</c:v>
                </c:pt>
                <c:pt idx="130">
                  <c:v>436.62818298997252</c:v>
                </c:pt>
                <c:pt idx="131">
                  <c:v>436.91558560049901</c:v>
                </c:pt>
                <c:pt idx="132">
                  <c:v>437.33846464311068</c:v>
                </c:pt>
                <c:pt idx="133">
                  <c:v>437.73050853088012</c:v>
                </c:pt>
                <c:pt idx="134">
                  <c:v>438.0369399329183</c:v>
                </c:pt>
                <c:pt idx="135">
                  <c:v>438.36207173708982</c:v>
                </c:pt>
                <c:pt idx="136">
                  <c:v>438.44680768680217</c:v>
                </c:pt>
                <c:pt idx="137">
                  <c:v>438.81615377680129</c:v>
                </c:pt>
                <c:pt idx="138">
                  <c:v>439.06419132763438</c:v>
                </c:pt>
                <c:pt idx="139">
                  <c:v>439.45665631683448</c:v>
                </c:pt>
                <c:pt idx="140">
                  <c:v>439.50422395508338</c:v>
                </c:pt>
                <c:pt idx="141">
                  <c:v>439.92178580993948</c:v>
                </c:pt>
                <c:pt idx="142">
                  <c:v>440.39100035889692</c:v>
                </c:pt>
                <c:pt idx="143">
                  <c:v>441.45737535343329</c:v>
                </c:pt>
                <c:pt idx="144">
                  <c:v>442.20366486788907</c:v>
                </c:pt>
                <c:pt idx="145">
                  <c:v>442.25081951091153</c:v>
                </c:pt>
                <c:pt idx="146">
                  <c:v>442.56327970121282</c:v>
                </c:pt>
                <c:pt idx="147">
                  <c:v>443.18194200140698</c:v>
                </c:pt>
                <c:pt idx="148">
                  <c:v>443.27915949469042</c:v>
                </c:pt>
                <c:pt idx="149">
                  <c:v>443.66055742575787</c:v>
                </c:pt>
                <c:pt idx="150">
                  <c:v>444.05363508283779</c:v>
                </c:pt>
                <c:pt idx="151">
                  <c:v>444.38232865178969</c:v>
                </c:pt>
                <c:pt idx="152">
                  <c:v>444.7006795381559</c:v>
                </c:pt>
                <c:pt idx="153">
                  <c:v>444.73777265448808</c:v>
                </c:pt>
                <c:pt idx="154">
                  <c:v>444.9795875598183</c:v>
                </c:pt>
                <c:pt idx="155">
                  <c:v>445.23255435499982</c:v>
                </c:pt>
                <c:pt idx="156">
                  <c:v>445.28563509849062</c:v>
                </c:pt>
                <c:pt idx="157">
                  <c:v>445.95513514543183</c:v>
                </c:pt>
                <c:pt idx="158">
                  <c:v>446.10456995129238</c:v>
                </c:pt>
                <c:pt idx="159">
                  <c:v>446.36953358737941</c:v>
                </c:pt>
                <c:pt idx="160">
                  <c:v>446.45935299612711</c:v>
                </c:pt>
                <c:pt idx="161">
                  <c:v>446.6667550602474</c:v>
                </c:pt>
                <c:pt idx="162">
                  <c:v>446.93238115942557</c:v>
                </c:pt>
                <c:pt idx="163">
                  <c:v>447.39106080066188</c:v>
                </c:pt>
                <c:pt idx="164">
                  <c:v>447.54030598177388</c:v>
                </c:pt>
                <c:pt idx="165">
                  <c:v>447.66652733176318</c:v>
                </c:pt>
                <c:pt idx="166">
                  <c:v>448.38383905285372</c:v>
                </c:pt>
                <c:pt idx="167">
                  <c:v>448.54643817315139</c:v>
                </c:pt>
                <c:pt idx="168">
                  <c:v>448.91350940466748</c:v>
                </c:pt>
                <c:pt idx="169">
                  <c:v>449.21167163386917</c:v>
                </c:pt>
                <c:pt idx="170">
                  <c:v>449.93729923615552</c:v>
                </c:pt>
                <c:pt idx="171">
                  <c:v>450.15107478413017</c:v>
                </c:pt>
                <c:pt idx="172">
                  <c:v>450.50121985827792</c:v>
                </c:pt>
                <c:pt idx="173">
                  <c:v>450.94084648528258</c:v>
                </c:pt>
                <c:pt idx="174">
                  <c:v>451.11686041368552</c:v>
                </c:pt>
                <c:pt idx="175">
                  <c:v>451.48775062653851</c:v>
                </c:pt>
                <c:pt idx="176">
                  <c:v>451.81145161288703</c:v>
                </c:pt>
                <c:pt idx="177">
                  <c:v>451.86786247073968</c:v>
                </c:pt>
                <c:pt idx="178">
                  <c:v>452.34015732564882</c:v>
                </c:pt>
                <c:pt idx="179">
                  <c:v>452.54370788356232</c:v>
                </c:pt>
                <c:pt idx="180">
                  <c:v>452.59835882759381</c:v>
                </c:pt>
                <c:pt idx="181">
                  <c:v>452.78999567489649</c:v>
                </c:pt>
                <c:pt idx="182">
                  <c:v>453.13008205640062</c:v>
                </c:pt>
                <c:pt idx="183">
                  <c:v>453.53226755635671</c:v>
                </c:pt>
                <c:pt idx="184">
                  <c:v>453.69556514867611</c:v>
                </c:pt>
                <c:pt idx="185">
                  <c:v>454.34901017036418</c:v>
                </c:pt>
                <c:pt idx="186">
                  <c:v>454.45240456343072</c:v>
                </c:pt>
                <c:pt idx="187">
                  <c:v>454.92783447346631</c:v>
                </c:pt>
                <c:pt idx="188">
                  <c:v>454.92868702196341</c:v>
                </c:pt>
                <c:pt idx="189">
                  <c:v>455.29035022854163</c:v>
                </c:pt>
                <c:pt idx="190">
                  <c:v>455.35018109001402</c:v>
                </c:pt>
                <c:pt idx="191">
                  <c:v>455.6211208056564</c:v>
                </c:pt>
                <c:pt idx="192">
                  <c:v>455.90951488806371</c:v>
                </c:pt>
                <c:pt idx="193">
                  <c:v>456.47313427496931</c:v>
                </c:pt>
                <c:pt idx="194">
                  <c:v>457.0254121424249</c:v>
                </c:pt>
                <c:pt idx="195">
                  <c:v>457.50010504522243</c:v>
                </c:pt>
                <c:pt idx="196">
                  <c:v>457.55176317752841</c:v>
                </c:pt>
                <c:pt idx="197">
                  <c:v>457.75253904977728</c:v>
                </c:pt>
                <c:pt idx="198">
                  <c:v>458.12324088409849</c:v>
                </c:pt>
                <c:pt idx="199">
                  <c:v>458.45895174935521</c:v>
                </c:pt>
                <c:pt idx="200">
                  <c:v>458.73678122799868</c:v>
                </c:pt>
                <c:pt idx="201">
                  <c:v>459.44140219608551</c:v>
                </c:pt>
                <c:pt idx="202">
                  <c:v>459.58310194585232</c:v>
                </c:pt>
                <c:pt idx="203">
                  <c:v>459.83914250291099</c:v>
                </c:pt>
                <c:pt idx="204">
                  <c:v>460.36691114435882</c:v>
                </c:pt>
                <c:pt idx="205">
                  <c:v>460.65639862794268</c:v>
                </c:pt>
                <c:pt idx="206">
                  <c:v>460.79603853286329</c:v>
                </c:pt>
                <c:pt idx="207">
                  <c:v>461.05430749174019</c:v>
                </c:pt>
                <c:pt idx="208">
                  <c:v>461.27845510186779</c:v>
                </c:pt>
                <c:pt idx="209">
                  <c:v>461.51844104298442</c:v>
                </c:pt>
                <c:pt idx="210">
                  <c:v>461.63465466592157</c:v>
                </c:pt>
                <c:pt idx="211">
                  <c:v>461.65615244941279</c:v>
                </c:pt>
                <c:pt idx="212">
                  <c:v>462.03586369200798</c:v>
                </c:pt>
                <c:pt idx="213">
                  <c:v>462.70429090728192</c:v>
                </c:pt>
                <c:pt idx="214">
                  <c:v>462.76552952268628</c:v>
                </c:pt>
                <c:pt idx="215">
                  <c:v>463.49916080769822</c:v>
                </c:pt>
                <c:pt idx="216">
                  <c:v>463.5521844770484</c:v>
                </c:pt>
                <c:pt idx="217">
                  <c:v>463.68188564884821</c:v>
                </c:pt>
                <c:pt idx="218">
                  <c:v>464.07535160538441</c:v>
                </c:pt>
                <c:pt idx="219">
                  <c:v>464.49900387609142</c:v>
                </c:pt>
                <c:pt idx="220">
                  <c:v>464.93911345142089</c:v>
                </c:pt>
                <c:pt idx="221">
                  <c:v>464.98803161875179</c:v>
                </c:pt>
                <c:pt idx="222">
                  <c:v>465.59839336260472</c:v>
                </c:pt>
                <c:pt idx="223">
                  <c:v>465.64675748207031</c:v>
                </c:pt>
                <c:pt idx="224">
                  <c:v>466.0350615415864</c:v>
                </c:pt>
                <c:pt idx="225">
                  <c:v>466.14816466838238</c:v>
                </c:pt>
                <c:pt idx="226">
                  <c:v>466.46780995281631</c:v>
                </c:pt>
                <c:pt idx="227">
                  <c:v>466.78041421533072</c:v>
                </c:pt>
                <c:pt idx="228">
                  <c:v>466.85344449608289</c:v>
                </c:pt>
                <c:pt idx="229">
                  <c:v>467.31249426258432</c:v>
                </c:pt>
                <c:pt idx="230">
                  <c:v>467.59725865618532</c:v>
                </c:pt>
                <c:pt idx="231">
                  <c:v>468.04288507354602</c:v>
                </c:pt>
                <c:pt idx="232">
                  <c:v>468.31527897336912</c:v>
                </c:pt>
                <c:pt idx="233">
                  <c:v>468.46873769576371</c:v>
                </c:pt>
                <c:pt idx="234">
                  <c:v>469.28136643361449</c:v>
                </c:pt>
                <c:pt idx="235">
                  <c:v>469.36687649589618</c:v>
                </c:pt>
                <c:pt idx="236">
                  <c:v>469.99997809741262</c:v>
                </c:pt>
                <c:pt idx="237">
                  <c:v>470.16063967103389</c:v>
                </c:pt>
                <c:pt idx="238">
                  <c:v>470.69455993894758</c:v>
                </c:pt>
                <c:pt idx="239">
                  <c:v>471.00807968200712</c:v>
                </c:pt>
                <c:pt idx="240">
                  <c:v>471.17119579389941</c:v>
                </c:pt>
                <c:pt idx="241">
                  <c:v>471.2402862097353</c:v>
                </c:pt>
                <c:pt idx="242">
                  <c:v>471.5481733107485</c:v>
                </c:pt>
                <c:pt idx="243">
                  <c:v>472.04760142880963</c:v>
                </c:pt>
                <c:pt idx="244">
                  <c:v>472.08142989139287</c:v>
                </c:pt>
                <c:pt idx="245">
                  <c:v>472.56171446220679</c:v>
                </c:pt>
                <c:pt idx="246">
                  <c:v>472.91982147028739</c:v>
                </c:pt>
                <c:pt idx="247">
                  <c:v>473.15845150072909</c:v>
                </c:pt>
                <c:pt idx="248">
                  <c:v>473.19805688608352</c:v>
                </c:pt>
                <c:pt idx="249">
                  <c:v>473.44843576617592</c:v>
                </c:pt>
                <c:pt idx="250">
                  <c:v>473.64641200206188</c:v>
                </c:pt>
                <c:pt idx="251">
                  <c:v>473.90662414256428</c:v>
                </c:pt>
                <c:pt idx="252">
                  <c:v>474.24485525133321</c:v>
                </c:pt>
                <c:pt idx="253">
                  <c:v>474.26592389735379</c:v>
                </c:pt>
                <c:pt idx="254">
                  <c:v>474.5368232349216</c:v>
                </c:pt>
                <c:pt idx="255">
                  <c:v>475.2505996689697</c:v>
                </c:pt>
                <c:pt idx="256">
                  <c:v>475.25687509544002</c:v>
                </c:pt>
                <c:pt idx="257">
                  <c:v>475.70403953216862</c:v>
                </c:pt>
                <c:pt idx="258">
                  <c:v>475.76912119383542</c:v>
                </c:pt>
                <c:pt idx="259">
                  <c:v>476.17953089196959</c:v>
                </c:pt>
                <c:pt idx="260">
                  <c:v>476.27458675497491</c:v>
                </c:pt>
                <c:pt idx="261">
                  <c:v>476.7900781576256</c:v>
                </c:pt>
                <c:pt idx="262">
                  <c:v>476.97770877061282</c:v>
                </c:pt>
                <c:pt idx="263">
                  <c:v>477.03852732286128</c:v>
                </c:pt>
                <c:pt idx="264">
                  <c:v>477.57057904404212</c:v>
                </c:pt>
                <c:pt idx="265">
                  <c:v>477.63238139967228</c:v>
                </c:pt>
                <c:pt idx="266">
                  <c:v>477.64703419578598</c:v>
                </c:pt>
                <c:pt idx="267">
                  <c:v>478.03222972869071</c:v>
                </c:pt>
                <c:pt idx="268">
                  <c:v>478.2728581788985</c:v>
                </c:pt>
                <c:pt idx="269">
                  <c:v>478.4021881569368</c:v>
                </c:pt>
                <c:pt idx="270">
                  <c:v>478.50874474728681</c:v>
                </c:pt>
                <c:pt idx="271">
                  <c:v>479.17266557211849</c:v>
                </c:pt>
                <c:pt idx="272">
                  <c:v>479.30085725383333</c:v>
                </c:pt>
                <c:pt idx="273">
                  <c:v>479.67549510759011</c:v>
                </c:pt>
                <c:pt idx="274">
                  <c:v>480.03923755151578</c:v>
                </c:pt>
                <c:pt idx="275">
                  <c:v>480.17559540567402</c:v>
                </c:pt>
                <c:pt idx="276">
                  <c:v>480.66288017202999</c:v>
                </c:pt>
                <c:pt idx="277">
                  <c:v>480.70069631365112</c:v>
                </c:pt>
                <c:pt idx="278">
                  <c:v>480.8593833638887</c:v>
                </c:pt>
                <c:pt idx="279">
                  <c:v>481.08629473362521</c:v>
                </c:pt>
                <c:pt idx="280">
                  <c:v>481.20953679965248</c:v>
                </c:pt>
                <c:pt idx="281">
                  <c:v>481.60666593606391</c:v>
                </c:pt>
                <c:pt idx="282">
                  <c:v>482.56187344336507</c:v>
                </c:pt>
                <c:pt idx="283">
                  <c:v>482.69256594913821</c:v>
                </c:pt>
                <c:pt idx="284">
                  <c:v>483.32577035619931</c:v>
                </c:pt>
                <c:pt idx="285">
                  <c:v>483.68461653505449</c:v>
                </c:pt>
                <c:pt idx="286">
                  <c:v>484.38725404217303</c:v>
                </c:pt>
                <c:pt idx="287">
                  <c:v>484.76637427851898</c:v>
                </c:pt>
                <c:pt idx="288">
                  <c:v>485.01668456103528</c:v>
                </c:pt>
                <c:pt idx="289">
                  <c:v>485.16046001791102</c:v>
                </c:pt>
                <c:pt idx="290">
                  <c:v>485.83099875433481</c:v>
                </c:pt>
                <c:pt idx="291">
                  <c:v>486.13468432271952</c:v>
                </c:pt>
                <c:pt idx="292">
                  <c:v>486.26829222438528</c:v>
                </c:pt>
                <c:pt idx="293">
                  <c:v>487.12618566355241</c:v>
                </c:pt>
                <c:pt idx="294">
                  <c:v>487.17966109798391</c:v>
                </c:pt>
                <c:pt idx="295">
                  <c:v>487.89129213392681</c:v>
                </c:pt>
                <c:pt idx="296">
                  <c:v>487.98498989794803</c:v>
                </c:pt>
                <c:pt idx="297">
                  <c:v>488.11673836043877</c:v>
                </c:pt>
                <c:pt idx="298">
                  <c:v>488.71153756415652</c:v>
                </c:pt>
                <c:pt idx="299">
                  <c:v>489.0192029646505</c:v>
                </c:pt>
                <c:pt idx="300">
                  <c:v>489.25493488583339</c:v>
                </c:pt>
                <c:pt idx="301">
                  <c:v>490.01243370397151</c:v>
                </c:pt>
                <c:pt idx="302">
                  <c:v>490.1890320073868</c:v>
                </c:pt>
                <c:pt idx="303">
                  <c:v>490.69874956874708</c:v>
                </c:pt>
                <c:pt idx="304">
                  <c:v>490.8569959440714</c:v>
                </c:pt>
                <c:pt idx="305">
                  <c:v>491.52576964558722</c:v>
                </c:pt>
                <c:pt idx="306">
                  <c:v>491.98663905865942</c:v>
                </c:pt>
                <c:pt idx="307">
                  <c:v>492.11049124077442</c:v>
                </c:pt>
                <c:pt idx="308">
                  <c:v>492.19991502314213</c:v>
                </c:pt>
                <c:pt idx="309">
                  <c:v>492.54933378366809</c:v>
                </c:pt>
                <c:pt idx="310">
                  <c:v>493.26493186376371</c:v>
                </c:pt>
                <c:pt idx="311">
                  <c:v>493.33876218079308</c:v>
                </c:pt>
                <c:pt idx="312">
                  <c:v>493.6505069514705</c:v>
                </c:pt>
                <c:pt idx="313">
                  <c:v>493.69916950269271</c:v>
                </c:pt>
                <c:pt idx="314">
                  <c:v>494.32176284511212</c:v>
                </c:pt>
                <c:pt idx="315">
                  <c:v>494.41939922892129</c:v>
                </c:pt>
                <c:pt idx="316">
                  <c:v>494.59582151515781</c:v>
                </c:pt>
                <c:pt idx="317">
                  <c:v>494.69080006337362</c:v>
                </c:pt>
                <c:pt idx="318">
                  <c:v>495.4081364199327</c:v>
                </c:pt>
                <c:pt idx="319">
                  <c:v>495.7034372343154</c:v>
                </c:pt>
                <c:pt idx="320">
                  <c:v>496.15819219220049</c:v>
                </c:pt>
                <c:pt idx="321">
                  <c:v>496.94467234512109</c:v>
                </c:pt>
                <c:pt idx="322">
                  <c:v>497.1546164151805</c:v>
                </c:pt>
                <c:pt idx="323">
                  <c:v>497.61814371543659</c:v>
                </c:pt>
                <c:pt idx="324">
                  <c:v>497.64319826440419</c:v>
                </c:pt>
                <c:pt idx="325">
                  <c:v>498.56123702240001</c:v>
                </c:pt>
                <c:pt idx="326">
                  <c:v>498.73187817156003</c:v>
                </c:pt>
                <c:pt idx="327">
                  <c:v>499.10272106541453</c:v>
                </c:pt>
                <c:pt idx="328">
                  <c:v>499.35042660431009</c:v>
                </c:pt>
                <c:pt idx="329">
                  <c:v>499.532816399556</c:v>
                </c:pt>
                <c:pt idx="330">
                  <c:v>499.94094978061048</c:v>
                </c:pt>
              </c:numCache>
            </c:numRef>
          </c:xVal>
          <c:yVal>
            <c:numRef>
              <c:f>Aux_graficos!$FS$2:$FS$332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C4-42BC-B5EB-174A48678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00"/>
          <c:min val="37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25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T_sumidero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Aux_graficos!$FV$2:$FV$122</c:f>
              <c:numCache>
                <c:formatCode>General</c:formatCode>
                <c:ptCount val="121"/>
                <c:pt idx="0">
                  <c:v>278.26226066967621</c:v>
                </c:pt>
                <c:pt idx="1">
                  <c:v>278.63927998838858</c:v>
                </c:pt>
                <c:pt idx="2">
                  <c:v>278.70712981874709</c:v>
                </c:pt>
                <c:pt idx="3">
                  <c:v>278.77937783502881</c:v>
                </c:pt>
                <c:pt idx="4">
                  <c:v>278.83351292189951</c:v>
                </c:pt>
                <c:pt idx="5">
                  <c:v>278.92289783997097</c:v>
                </c:pt>
                <c:pt idx="6">
                  <c:v>278.96890097304919</c:v>
                </c:pt>
                <c:pt idx="7">
                  <c:v>279.08050743848952</c:v>
                </c:pt>
                <c:pt idx="8">
                  <c:v>279.09770132054479</c:v>
                </c:pt>
                <c:pt idx="9">
                  <c:v>279.36523841228131</c:v>
                </c:pt>
                <c:pt idx="10">
                  <c:v>279.77074499595221</c:v>
                </c:pt>
                <c:pt idx="11">
                  <c:v>279.84407420590969</c:v>
                </c:pt>
                <c:pt idx="12">
                  <c:v>279.94926157902341</c:v>
                </c:pt>
                <c:pt idx="13">
                  <c:v>280.01348685479923</c:v>
                </c:pt>
                <c:pt idx="14">
                  <c:v>280.24863410407067</c:v>
                </c:pt>
                <c:pt idx="15">
                  <c:v>280.46294345813891</c:v>
                </c:pt>
                <c:pt idx="16">
                  <c:v>280.63096601597078</c:v>
                </c:pt>
                <c:pt idx="17">
                  <c:v>280.77025987052411</c:v>
                </c:pt>
                <c:pt idx="18">
                  <c:v>280.87720791130101</c:v>
                </c:pt>
                <c:pt idx="19">
                  <c:v>281.09906822457782</c:v>
                </c:pt>
                <c:pt idx="20">
                  <c:v>281.2442795183602</c:v>
                </c:pt>
                <c:pt idx="21">
                  <c:v>281.26029546499927</c:v>
                </c:pt>
                <c:pt idx="22">
                  <c:v>281.34148819987388</c:v>
                </c:pt>
                <c:pt idx="23">
                  <c:v>281.37779390462651</c:v>
                </c:pt>
                <c:pt idx="24">
                  <c:v>281.48204826381851</c:v>
                </c:pt>
                <c:pt idx="25">
                  <c:v>281.55884846985612</c:v>
                </c:pt>
                <c:pt idx="26">
                  <c:v>281.65688696529321</c:v>
                </c:pt>
                <c:pt idx="27">
                  <c:v>281.98256848487972</c:v>
                </c:pt>
                <c:pt idx="28">
                  <c:v>282.03333869245131</c:v>
                </c:pt>
                <c:pt idx="29">
                  <c:v>282.1040831161979</c:v>
                </c:pt>
                <c:pt idx="30">
                  <c:v>282.20515385863843</c:v>
                </c:pt>
                <c:pt idx="31">
                  <c:v>282.2346017012357</c:v>
                </c:pt>
                <c:pt idx="32">
                  <c:v>282.47753134729493</c:v>
                </c:pt>
                <c:pt idx="33">
                  <c:v>282.95018824402609</c:v>
                </c:pt>
                <c:pt idx="34">
                  <c:v>282.95308645194069</c:v>
                </c:pt>
                <c:pt idx="35">
                  <c:v>282.98531068715448</c:v>
                </c:pt>
                <c:pt idx="36">
                  <c:v>283.09200223910727</c:v>
                </c:pt>
                <c:pt idx="37">
                  <c:v>283.35331685504758</c:v>
                </c:pt>
                <c:pt idx="38">
                  <c:v>283.47506612298781</c:v>
                </c:pt>
                <c:pt idx="39">
                  <c:v>283.52762780792608</c:v>
                </c:pt>
                <c:pt idx="40">
                  <c:v>283.7377194208255</c:v>
                </c:pt>
                <c:pt idx="41">
                  <c:v>284.00729693808108</c:v>
                </c:pt>
                <c:pt idx="42">
                  <c:v>284.0900976608205</c:v>
                </c:pt>
                <c:pt idx="43">
                  <c:v>284.1159655769282</c:v>
                </c:pt>
                <c:pt idx="44">
                  <c:v>284.14500222152111</c:v>
                </c:pt>
                <c:pt idx="45">
                  <c:v>284.24926060018561</c:v>
                </c:pt>
                <c:pt idx="46">
                  <c:v>284.31535602168879</c:v>
                </c:pt>
                <c:pt idx="47">
                  <c:v>284.5692239785941</c:v>
                </c:pt>
                <c:pt idx="48">
                  <c:v>284.5982305327081</c:v>
                </c:pt>
                <c:pt idx="49">
                  <c:v>284.78307492780817</c:v>
                </c:pt>
                <c:pt idx="50">
                  <c:v>285.03349885655342</c:v>
                </c:pt>
                <c:pt idx="51">
                  <c:v>285.46139213031199</c:v>
                </c:pt>
                <c:pt idx="52">
                  <c:v>285.70212888912948</c:v>
                </c:pt>
                <c:pt idx="53">
                  <c:v>285.72987626514799</c:v>
                </c:pt>
                <c:pt idx="54">
                  <c:v>286.05963387997178</c:v>
                </c:pt>
                <c:pt idx="55">
                  <c:v>286.15193980021053</c:v>
                </c:pt>
                <c:pt idx="56">
                  <c:v>286.43008429970519</c:v>
                </c:pt>
                <c:pt idx="57">
                  <c:v>286.69571621371642</c:v>
                </c:pt>
                <c:pt idx="58">
                  <c:v>287.20667167959488</c:v>
                </c:pt>
                <c:pt idx="59">
                  <c:v>287.61152289055173</c:v>
                </c:pt>
                <c:pt idx="60">
                  <c:v>287.82205451183222</c:v>
                </c:pt>
                <c:pt idx="61">
                  <c:v>287.87814323649161</c:v>
                </c:pt>
                <c:pt idx="62">
                  <c:v>287.89325434490951</c:v>
                </c:pt>
                <c:pt idx="63">
                  <c:v>288.34751655476032</c:v>
                </c:pt>
                <c:pt idx="64">
                  <c:v>288.38455971393307</c:v>
                </c:pt>
                <c:pt idx="65">
                  <c:v>288.66180853473043</c:v>
                </c:pt>
                <c:pt idx="66">
                  <c:v>288.73746231834218</c:v>
                </c:pt>
                <c:pt idx="67">
                  <c:v>289.20357288295941</c:v>
                </c:pt>
                <c:pt idx="68">
                  <c:v>289.59237673342602</c:v>
                </c:pt>
                <c:pt idx="69">
                  <c:v>289.65793082408629</c:v>
                </c:pt>
                <c:pt idx="70">
                  <c:v>289.76217494416022</c:v>
                </c:pt>
                <c:pt idx="71">
                  <c:v>290.09710253621091</c:v>
                </c:pt>
                <c:pt idx="72">
                  <c:v>290.24949940478513</c:v>
                </c:pt>
                <c:pt idx="73">
                  <c:v>290.80902654074151</c:v>
                </c:pt>
                <c:pt idx="74">
                  <c:v>290.98068458254733</c:v>
                </c:pt>
                <c:pt idx="75">
                  <c:v>291.28274442082437</c:v>
                </c:pt>
                <c:pt idx="76">
                  <c:v>291.53884866845311</c:v>
                </c:pt>
                <c:pt idx="77">
                  <c:v>291.69786795294863</c:v>
                </c:pt>
                <c:pt idx="78">
                  <c:v>291.86159788470508</c:v>
                </c:pt>
                <c:pt idx="79">
                  <c:v>292.06467035811443</c:v>
                </c:pt>
                <c:pt idx="80">
                  <c:v>292.12589848934971</c:v>
                </c:pt>
                <c:pt idx="81">
                  <c:v>292.80967894368479</c:v>
                </c:pt>
                <c:pt idx="82">
                  <c:v>292.91078122262508</c:v>
                </c:pt>
                <c:pt idx="83">
                  <c:v>293.01965436431641</c:v>
                </c:pt>
                <c:pt idx="84">
                  <c:v>293.43172475737151</c:v>
                </c:pt>
                <c:pt idx="85">
                  <c:v>293.49017272592567</c:v>
                </c:pt>
                <c:pt idx="86">
                  <c:v>293.70272890789232</c:v>
                </c:pt>
                <c:pt idx="87">
                  <c:v>293.77111338665708</c:v>
                </c:pt>
                <c:pt idx="88">
                  <c:v>294.61827090770697</c:v>
                </c:pt>
                <c:pt idx="89">
                  <c:v>294.82803150237578</c:v>
                </c:pt>
                <c:pt idx="90">
                  <c:v>294.8562985461167</c:v>
                </c:pt>
                <c:pt idx="91">
                  <c:v>294.99904269396671</c:v>
                </c:pt>
                <c:pt idx="92">
                  <c:v>295.22719293817471</c:v>
                </c:pt>
                <c:pt idx="93">
                  <c:v>295.6462249922335</c:v>
                </c:pt>
                <c:pt idx="94">
                  <c:v>295.64647589638889</c:v>
                </c:pt>
                <c:pt idx="95">
                  <c:v>295.8786318967264</c:v>
                </c:pt>
                <c:pt idx="96">
                  <c:v>296.00355604669278</c:v>
                </c:pt>
                <c:pt idx="97">
                  <c:v>296.02368718394399</c:v>
                </c:pt>
                <c:pt idx="98">
                  <c:v>296.221926249798</c:v>
                </c:pt>
                <c:pt idx="99">
                  <c:v>296.24692820641621</c:v>
                </c:pt>
                <c:pt idx="100">
                  <c:v>296.68010338852503</c:v>
                </c:pt>
                <c:pt idx="101">
                  <c:v>296.80914443245041</c:v>
                </c:pt>
                <c:pt idx="102">
                  <c:v>297.34082255518678</c:v>
                </c:pt>
                <c:pt idx="103">
                  <c:v>297.44108110929432</c:v>
                </c:pt>
                <c:pt idx="104">
                  <c:v>297.92375506624097</c:v>
                </c:pt>
                <c:pt idx="105">
                  <c:v>298.25857629308928</c:v>
                </c:pt>
                <c:pt idx="106">
                  <c:v>298.85437903361731</c:v>
                </c:pt>
                <c:pt idx="107">
                  <c:v>299.00485636149023</c:v>
                </c:pt>
                <c:pt idx="108">
                  <c:v>299.07388175430111</c:v>
                </c:pt>
                <c:pt idx="109">
                  <c:v>299.35639070411088</c:v>
                </c:pt>
                <c:pt idx="110">
                  <c:v>300.51369144075892</c:v>
                </c:pt>
                <c:pt idx="111">
                  <c:v>300.65894628329841</c:v>
                </c:pt>
                <c:pt idx="112">
                  <c:v>301.12369623880511</c:v>
                </c:pt>
                <c:pt idx="113">
                  <c:v>301.43598510231362</c:v>
                </c:pt>
                <c:pt idx="114">
                  <c:v>301.67586441421889</c:v>
                </c:pt>
                <c:pt idx="115">
                  <c:v>302.21192360793361</c:v>
                </c:pt>
                <c:pt idx="116">
                  <c:v>302.3237170373859</c:v>
                </c:pt>
                <c:pt idx="117">
                  <c:v>302.81411793162658</c:v>
                </c:pt>
                <c:pt idx="118">
                  <c:v>303.03065423591011</c:v>
                </c:pt>
                <c:pt idx="119">
                  <c:v>303.18841857703791</c:v>
                </c:pt>
                <c:pt idx="120">
                  <c:v>303.44073049068697</c:v>
                </c:pt>
              </c:numCache>
            </c:numRef>
          </c:xVal>
          <c:yVal>
            <c:numRef>
              <c:f>Aux_graficos!$FU$2:$FU$122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18-4F7B-B383-EA9EF6D64A43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Aux_graficos!$FX$2:$FX$332</c:f>
              <c:numCache>
                <c:formatCode>General</c:formatCode>
                <c:ptCount val="331"/>
                <c:pt idx="0">
                  <c:v>278.18338928628958</c:v>
                </c:pt>
                <c:pt idx="1">
                  <c:v>278.19245234681239</c:v>
                </c:pt>
                <c:pt idx="2">
                  <c:v>278.37207692644898</c:v>
                </c:pt>
                <c:pt idx="3">
                  <c:v>278.45346248214878</c:v>
                </c:pt>
                <c:pt idx="4">
                  <c:v>278.48146429320769</c:v>
                </c:pt>
                <c:pt idx="5">
                  <c:v>278.55388742415471</c:v>
                </c:pt>
                <c:pt idx="6">
                  <c:v>278.63207550279708</c:v>
                </c:pt>
                <c:pt idx="7">
                  <c:v>278.70203172737268</c:v>
                </c:pt>
                <c:pt idx="8">
                  <c:v>279.14067000100658</c:v>
                </c:pt>
                <c:pt idx="9">
                  <c:v>279.20997995072582</c:v>
                </c:pt>
                <c:pt idx="10">
                  <c:v>279.23371719069303</c:v>
                </c:pt>
                <c:pt idx="11">
                  <c:v>279.36082665796363</c:v>
                </c:pt>
                <c:pt idx="12">
                  <c:v>279.4725137593469</c:v>
                </c:pt>
                <c:pt idx="13">
                  <c:v>279.50076912848158</c:v>
                </c:pt>
                <c:pt idx="14">
                  <c:v>279.53798238000962</c:v>
                </c:pt>
                <c:pt idx="15">
                  <c:v>279.57320708312568</c:v>
                </c:pt>
                <c:pt idx="16">
                  <c:v>279.5970080607263</c:v>
                </c:pt>
                <c:pt idx="17">
                  <c:v>279.73177271906007</c:v>
                </c:pt>
                <c:pt idx="18">
                  <c:v>279.75109525661168</c:v>
                </c:pt>
                <c:pt idx="19">
                  <c:v>279.92310311549659</c:v>
                </c:pt>
                <c:pt idx="20">
                  <c:v>279.9918669714973</c:v>
                </c:pt>
                <c:pt idx="21">
                  <c:v>280.07283128200379</c:v>
                </c:pt>
                <c:pt idx="22">
                  <c:v>280.14851725432322</c:v>
                </c:pt>
                <c:pt idx="23">
                  <c:v>280.27101276466709</c:v>
                </c:pt>
                <c:pt idx="24">
                  <c:v>280.33297499532949</c:v>
                </c:pt>
                <c:pt idx="25">
                  <c:v>280.36167556254048</c:v>
                </c:pt>
                <c:pt idx="26">
                  <c:v>280.50926728331831</c:v>
                </c:pt>
                <c:pt idx="27">
                  <c:v>280.54307930462539</c:v>
                </c:pt>
                <c:pt idx="28">
                  <c:v>280.60841431201072</c:v>
                </c:pt>
                <c:pt idx="29">
                  <c:v>280.77172285222088</c:v>
                </c:pt>
                <c:pt idx="30">
                  <c:v>280.8967472316744</c:v>
                </c:pt>
                <c:pt idx="31">
                  <c:v>281.05631631514223</c:v>
                </c:pt>
                <c:pt idx="32">
                  <c:v>281.1796040552066</c:v>
                </c:pt>
                <c:pt idx="33">
                  <c:v>281.1800409197113</c:v>
                </c:pt>
                <c:pt idx="34">
                  <c:v>281.4296374409729</c:v>
                </c:pt>
                <c:pt idx="35">
                  <c:v>281.46577562277452</c:v>
                </c:pt>
                <c:pt idx="36">
                  <c:v>281.71591794809751</c:v>
                </c:pt>
                <c:pt idx="37">
                  <c:v>281.73560487002851</c:v>
                </c:pt>
                <c:pt idx="38">
                  <c:v>281.80180759394182</c:v>
                </c:pt>
                <c:pt idx="39">
                  <c:v>281.84711188264771</c:v>
                </c:pt>
                <c:pt idx="40">
                  <c:v>281.95101946463802</c:v>
                </c:pt>
                <c:pt idx="41">
                  <c:v>282.20955910492091</c:v>
                </c:pt>
                <c:pt idx="42">
                  <c:v>282.26709848296559</c:v>
                </c:pt>
                <c:pt idx="43">
                  <c:v>282.36996059895688</c:v>
                </c:pt>
                <c:pt idx="44">
                  <c:v>282.46278127606968</c:v>
                </c:pt>
                <c:pt idx="45">
                  <c:v>282.48802848170112</c:v>
                </c:pt>
                <c:pt idx="46">
                  <c:v>282.63586338681631</c:v>
                </c:pt>
                <c:pt idx="47">
                  <c:v>282.65194940282169</c:v>
                </c:pt>
                <c:pt idx="48">
                  <c:v>282.75256940808981</c:v>
                </c:pt>
                <c:pt idx="49">
                  <c:v>282.79541256448852</c:v>
                </c:pt>
                <c:pt idx="50">
                  <c:v>282.85033248787511</c:v>
                </c:pt>
                <c:pt idx="51">
                  <c:v>283.12528634335348</c:v>
                </c:pt>
                <c:pt idx="52">
                  <c:v>283.18258191979868</c:v>
                </c:pt>
                <c:pt idx="53">
                  <c:v>283.2203811345309</c:v>
                </c:pt>
                <c:pt idx="54">
                  <c:v>283.25462332195929</c:v>
                </c:pt>
                <c:pt idx="55">
                  <c:v>283.35934845847908</c:v>
                </c:pt>
                <c:pt idx="56">
                  <c:v>283.46921035292041</c:v>
                </c:pt>
                <c:pt idx="57">
                  <c:v>283.56745847463071</c:v>
                </c:pt>
                <c:pt idx="58">
                  <c:v>283.59505556837019</c:v>
                </c:pt>
                <c:pt idx="59">
                  <c:v>283.61422744844708</c:v>
                </c:pt>
                <c:pt idx="60">
                  <c:v>283.74344642805369</c:v>
                </c:pt>
                <c:pt idx="61">
                  <c:v>283.78184732501171</c:v>
                </c:pt>
                <c:pt idx="62">
                  <c:v>283.87786399252582</c:v>
                </c:pt>
                <c:pt idx="63">
                  <c:v>283.93846666196413</c:v>
                </c:pt>
                <c:pt idx="64">
                  <c:v>284.23788232300728</c:v>
                </c:pt>
                <c:pt idx="65">
                  <c:v>284.33257631439352</c:v>
                </c:pt>
                <c:pt idx="66">
                  <c:v>284.43539791712112</c:v>
                </c:pt>
                <c:pt idx="67">
                  <c:v>284.46135472055681</c:v>
                </c:pt>
                <c:pt idx="68">
                  <c:v>284.68788390627219</c:v>
                </c:pt>
                <c:pt idx="69">
                  <c:v>284.75110106232569</c:v>
                </c:pt>
                <c:pt idx="70">
                  <c:v>284.85814335879098</c:v>
                </c:pt>
                <c:pt idx="71">
                  <c:v>284.92167311125752</c:v>
                </c:pt>
                <c:pt idx="72">
                  <c:v>284.93243220399393</c:v>
                </c:pt>
                <c:pt idx="73">
                  <c:v>285.17472292135437</c:v>
                </c:pt>
                <c:pt idx="74">
                  <c:v>285.25933526594008</c:v>
                </c:pt>
                <c:pt idx="75">
                  <c:v>285.33296012395567</c:v>
                </c:pt>
                <c:pt idx="76">
                  <c:v>285.37982092865678</c:v>
                </c:pt>
                <c:pt idx="77">
                  <c:v>285.41612205807951</c:v>
                </c:pt>
                <c:pt idx="78">
                  <c:v>285.50245153291621</c:v>
                </c:pt>
                <c:pt idx="79">
                  <c:v>285.56681286502891</c:v>
                </c:pt>
                <c:pt idx="80">
                  <c:v>285.57180805589729</c:v>
                </c:pt>
                <c:pt idx="81">
                  <c:v>285.61010891078888</c:v>
                </c:pt>
                <c:pt idx="82">
                  <c:v>285.82639815376473</c:v>
                </c:pt>
                <c:pt idx="83">
                  <c:v>285.84222543335738</c:v>
                </c:pt>
                <c:pt idx="84">
                  <c:v>285.91804463461528</c:v>
                </c:pt>
                <c:pt idx="85">
                  <c:v>285.9273896361529</c:v>
                </c:pt>
                <c:pt idx="86">
                  <c:v>285.98285947165522</c:v>
                </c:pt>
                <c:pt idx="87">
                  <c:v>286.07284024483351</c:v>
                </c:pt>
                <c:pt idx="88">
                  <c:v>286.2445643440762</c:v>
                </c:pt>
                <c:pt idx="89">
                  <c:v>286.36790025737628</c:v>
                </c:pt>
                <c:pt idx="90">
                  <c:v>286.45509541839829</c:v>
                </c:pt>
                <c:pt idx="91">
                  <c:v>286.49467090195691</c:v>
                </c:pt>
                <c:pt idx="92">
                  <c:v>286.57442488686911</c:v>
                </c:pt>
                <c:pt idx="93">
                  <c:v>286.58791396738081</c:v>
                </c:pt>
                <c:pt idx="94">
                  <c:v>286.68127393849608</c:v>
                </c:pt>
                <c:pt idx="95">
                  <c:v>286.76174188179778</c:v>
                </c:pt>
                <c:pt idx="96">
                  <c:v>286.80509472482117</c:v>
                </c:pt>
                <c:pt idx="97">
                  <c:v>286.84871870536762</c:v>
                </c:pt>
                <c:pt idx="98">
                  <c:v>286.94034162988879</c:v>
                </c:pt>
                <c:pt idx="99">
                  <c:v>286.98874611282281</c:v>
                </c:pt>
                <c:pt idx="100">
                  <c:v>286.99404555531407</c:v>
                </c:pt>
                <c:pt idx="101">
                  <c:v>287.04325944904951</c:v>
                </c:pt>
                <c:pt idx="102">
                  <c:v>287.1978256441858</c:v>
                </c:pt>
                <c:pt idx="103">
                  <c:v>287.24413861120291</c:v>
                </c:pt>
                <c:pt idx="104">
                  <c:v>287.29403190057968</c:v>
                </c:pt>
                <c:pt idx="105">
                  <c:v>287.37436648065869</c:v>
                </c:pt>
                <c:pt idx="106">
                  <c:v>287.461545703929</c:v>
                </c:pt>
                <c:pt idx="107">
                  <c:v>287.46645601629342</c:v>
                </c:pt>
                <c:pt idx="108">
                  <c:v>287.52974585261381</c:v>
                </c:pt>
                <c:pt idx="109">
                  <c:v>287.65417659233231</c:v>
                </c:pt>
                <c:pt idx="110">
                  <c:v>287.70773989459178</c:v>
                </c:pt>
                <c:pt idx="111">
                  <c:v>287.74928281128092</c:v>
                </c:pt>
                <c:pt idx="112">
                  <c:v>287.79870325052701</c:v>
                </c:pt>
                <c:pt idx="113">
                  <c:v>288.0095091039276</c:v>
                </c:pt>
                <c:pt idx="114">
                  <c:v>288.03917333461033</c:v>
                </c:pt>
                <c:pt idx="115">
                  <c:v>288.10282153250819</c:v>
                </c:pt>
                <c:pt idx="116">
                  <c:v>288.15286122657591</c:v>
                </c:pt>
                <c:pt idx="117">
                  <c:v>288.19002101770337</c:v>
                </c:pt>
                <c:pt idx="118">
                  <c:v>288.27487592543281</c:v>
                </c:pt>
                <c:pt idx="119">
                  <c:v>288.48991142073419</c:v>
                </c:pt>
                <c:pt idx="120">
                  <c:v>288.49014803506009</c:v>
                </c:pt>
                <c:pt idx="121">
                  <c:v>288.62378993650037</c:v>
                </c:pt>
                <c:pt idx="122">
                  <c:v>288.67114625205312</c:v>
                </c:pt>
                <c:pt idx="123">
                  <c:v>288.69116745921218</c:v>
                </c:pt>
                <c:pt idx="124">
                  <c:v>288.83727111181992</c:v>
                </c:pt>
                <c:pt idx="125">
                  <c:v>288.87840136874621</c:v>
                </c:pt>
                <c:pt idx="126">
                  <c:v>288.95640206246168</c:v>
                </c:pt>
                <c:pt idx="127">
                  <c:v>289.00768671432883</c:v>
                </c:pt>
                <c:pt idx="128">
                  <c:v>289.03560155856968</c:v>
                </c:pt>
                <c:pt idx="129">
                  <c:v>289.13291498493459</c:v>
                </c:pt>
                <c:pt idx="130">
                  <c:v>289.16523016506699</c:v>
                </c:pt>
                <c:pt idx="131">
                  <c:v>289.21706991743719</c:v>
                </c:pt>
                <c:pt idx="132">
                  <c:v>289.27700892175068</c:v>
                </c:pt>
                <c:pt idx="133">
                  <c:v>289.33705993103831</c:v>
                </c:pt>
                <c:pt idx="134">
                  <c:v>289.37265868774813</c:v>
                </c:pt>
                <c:pt idx="135">
                  <c:v>289.41154468248908</c:v>
                </c:pt>
                <c:pt idx="136">
                  <c:v>289.50014111499343</c:v>
                </c:pt>
                <c:pt idx="137">
                  <c:v>289.5339830781852</c:v>
                </c:pt>
                <c:pt idx="138">
                  <c:v>289.73629518185197</c:v>
                </c:pt>
                <c:pt idx="139">
                  <c:v>289.82353043827737</c:v>
                </c:pt>
                <c:pt idx="140">
                  <c:v>289.84737933100809</c:v>
                </c:pt>
                <c:pt idx="141">
                  <c:v>289.88900213467429</c:v>
                </c:pt>
                <c:pt idx="142">
                  <c:v>289.92172654005208</c:v>
                </c:pt>
                <c:pt idx="143">
                  <c:v>289.98163993720789</c:v>
                </c:pt>
                <c:pt idx="144">
                  <c:v>290.04303909302689</c:v>
                </c:pt>
                <c:pt idx="145">
                  <c:v>290.09588271509108</c:v>
                </c:pt>
                <c:pt idx="146">
                  <c:v>290.31627317405139</c:v>
                </c:pt>
                <c:pt idx="147">
                  <c:v>290.40306143723768</c:v>
                </c:pt>
                <c:pt idx="148">
                  <c:v>290.43180554015248</c:v>
                </c:pt>
                <c:pt idx="149">
                  <c:v>290.51937768072719</c:v>
                </c:pt>
                <c:pt idx="150">
                  <c:v>290.70286356299499</c:v>
                </c:pt>
                <c:pt idx="151">
                  <c:v>290.79685817058402</c:v>
                </c:pt>
                <c:pt idx="152">
                  <c:v>290.85395726436928</c:v>
                </c:pt>
                <c:pt idx="153">
                  <c:v>290.85829156356829</c:v>
                </c:pt>
                <c:pt idx="154">
                  <c:v>291.0947413010872</c:v>
                </c:pt>
                <c:pt idx="155">
                  <c:v>291.16999617907328</c:v>
                </c:pt>
                <c:pt idx="156">
                  <c:v>291.18775685432843</c:v>
                </c:pt>
                <c:pt idx="157">
                  <c:v>291.28817636796202</c:v>
                </c:pt>
                <c:pt idx="158">
                  <c:v>291.37111658465608</c:v>
                </c:pt>
                <c:pt idx="159">
                  <c:v>291.39163663205409</c:v>
                </c:pt>
                <c:pt idx="160">
                  <c:v>291.45441891788579</c:v>
                </c:pt>
                <c:pt idx="161">
                  <c:v>291.51531063004091</c:v>
                </c:pt>
                <c:pt idx="162">
                  <c:v>291.64096816480179</c:v>
                </c:pt>
                <c:pt idx="163">
                  <c:v>291.72670960740498</c:v>
                </c:pt>
                <c:pt idx="164">
                  <c:v>291.77791215029208</c:v>
                </c:pt>
                <c:pt idx="165">
                  <c:v>291.88236231519022</c:v>
                </c:pt>
                <c:pt idx="166">
                  <c:v>291.89345100548042</c:v>
                </c:pt>
                <c:pt idx="167">
                  <c:v>291.95270085004222</c:v>
                </c:pt>
                <c:pt idx="168">
                  <c:v>292.10264065623181</c:v>
                </c:pt>
                <c:pt idx="169">
                  <c:v>292.17948200593798</c:v>
                </c:pt>
                <c:pt idx="170">
                  <c:v>292.25654337283697</c:v>
                </c:pt>
                <c:pt idx="171">
                  <c:v>292.33357871820652</c:v>
                </c:pt>
                <c:pt idx="172">
                  <c:v>292.35181896150368</c:v>
                </c:pt>
                <c:pt idx="173">
                  <c:v>292.38398157110453</c:v>
                </c:pt>
                <c:pt idx="174">
                  <c:v>292.43808314467469</c:v>
                </c:pt>
                <c:pt idx="175">
                  <c:v>292.48759349753823</c:v>
                </c:pt>
                <c:pt idx="176">
                  <c:v>292.58079762469532</c:v>
                </c:pt>
                <c:pt idx="177">
                  <c:v>292.61684009552931</c:v>
                </c:pt>
                <c:pt idx="178">
                  <c:v>292.64872900054638</c:v>
                </c:pt>
                <c:pt idx="179">
                  <c:v>292.70255829948218</c:v>
                </c:pt>
                <c:pt idx="180">
                  <c:v>292.71593371609367</c:v>
                </c:pt>
                <c:pt idx="181">
                  <c:v>292.79281268319312</c:v>
                </c:pt>
                <c:pt idx="182">
                  <c:v>292.93789326274612</c:v>
                </c:pt>
                <c:pt idx="183">
                  <c:v>293.02046503648199</c:v>
                </c:pt>
                <c:pt idx="184">
                  <c:v>293.07172190121298</c:v>
                </c:pt>
                <c:pt idx="185">
                  <c:v>293.16763585205513</c:v>
                </c:pt>
                <c:pt idx="186">
                  <c:v>293.18796474276331</c:v>
                </c:pt>
                <c:pt idx="187">
                  <c:v>293.29167303340517</c:v>
                </c:pt>
                <c:pt idx="188">
                  <c:v>293.34526293924159</c:v>
                </c:pt>
                <c:pt idx="189">
                  <c:v>293.35841274543537</c:v>
                </c:pt>
                <c:pt idx="190">
                  <c:v>293.52077715964941</c:v>
                </c:pt>
                <c:pt idx="191">
                  <c:v>293.59147476942599</c:v>
                </c:pt>
                <c:pt idx="192">
                  <c:v>293.72116595198372</c:v>
                </c:pt>
                <c:pt idx="193">
                  <c:v>293.77442526587788</c:v>
                </c:pt>
                <c:pt idx="194">
                  <c:v>293.87394988039421</c:v>
                </c:pt>
                <c:pt idx="195">
                  <c:v>293.91631955898299</c:v>
                </c:pt>
                <c:pt idx="196">
                  <c:v>293.95869623720858</c:v>
                </c:pt>
                <c:pt idx="197">
                  <c:v>294.03714776148541</c:v>
                </c:pt>
                <c:pt idx="198">
                  <c:v>294.03845578439808</c:v>
                </c:pt>
                <c:pt idx="199">
                  <c:v>294.08681681013599</c:v>
                </c:pt>
                <c:pt idx="200">
                  <c:v>294.19910288287878</c:v>
                </c:pt>
                <c:pt idx="201">
                  <c:v>294.20900123487849</c:v>
                </c:pt>
                <c:pt idx="202">
                  <c:v>294.29590293787561</c:v>
                </c:pt>
                <c:pt idx="203">
                  <c:v>294.30444982725169</c:v>
                </c:pt>
                <c:pt idx="204">
                  <c:v>294.39893365580332</c:v>
                </c:pt>
                <c:pt idx="205">
                  <c:v>294.41163530930902</c:v>
                </c:pt>
                <c:pt idx="206">
                  <c:v>294.45350027556498</c:v>
                </c:pt>
                <c:pt idx="207">
                  <c:v>294.4925725634904</c:v>
                </c:pt>
                <c:pt idx="208">
                  <c:v>294.58322353033469</c:v>
                </c:pt>
                <c:pt idx="209">
                  <c:v>294.6946035725245</c:v>
                </c:pt>
                <c:pt idx="210">
                  <c:v>294.72443078156272</c:v>
                </c:pt>
                <c:pt idx="211">
                  <c:v>294.92204589323069</c:v>
                </c:pt>
                <c:pt idx="212">
                  <c:v>294.98313813689708</c:v>
                </c:pt>
                <c:pt idx="213">
                  <c:v>295.0965464724693</c:v>
                </c:pt>
                <c:pt idx="214">
                  <c:v>295.12277992724859</c:v>
                </c:pt>
                <c:pt idx="215">
                  <c:v>295.25952046807822</c:v>
                </c:pt>
                <c:pt idx="216">
                  <c:v>295.31427627243352</c:v>
                </c:pt>
                <c:pt idx="217">
                  <c:v>295.3913503102026</c:v>
                </c:pt>
                <c:pt idx="218">
                  <c:v>295.40043502171972</c:v>
                </c:pt>
                <c:pt idx="219">
                  <c:v>295.45679695414572</c:v>
                </c:pt>
                <c:pt idx="220">
                  <c:v>295.47959935586681</c:v>
                </c:pt>
                <c:pt idx="221">
                  <c:v>295.7527561230624</c:v>
                </c:pt>
                <c:pt idx="222">
                  <c:v>295.75361742240449</c:v>
                </c:pt>
                <c:pt idx="223">
                  <c:v>295.90127051589582</c:v>
                </c:pt>
                <c:pt idx="224">
                  <c:v>296.07918818438623</c:v>
                </c:pt>
                <c:pt idx="225">
                  <c:v>296.15539343744001</c:v>
                </c:pt>
                <c:pt idx="226">
                  <c:v>296.29391665122512</c:v>
                </c:pt>
                <c:pt idx="227">
                  <c:v>296.39680845237962</c:v>
                </c:pt>
                <c:pt idx="228">
                  <c:v>296.43106025066811</c:v>
                </c:pt>
                <c:pt idx="229">
                  <c:v>296.52240390200848</c:v>
                </c:pt>
                <c:pt idx="230">
                  <c:v>296.59102087314272</c:v>
                </c:pt>
                <c:pt idx="231">
                  <c:v>296.64158546845442</c:v>
                </c:pt>
                <c:pt idx="232">
                  <c:v>296.72569936750199</c:v>
                </c:pt>
                <c:pt idx="233">
                  <c:v>296.76644270125092</c:v>
                </c:pt>
                <c:pt idx="234">
                  <c:v>296.84442105491229</c:v>
                </c:pt>
                <c:pt idx="235">
                  <c:v>296.93085094084972</c:v>
                </c:pt>
                <c:pt idx="236">
                  <c:v>296.96174028874651</c:v>
                </c:pt>
                <c:pt idx="237">
                  <c:v>297.00854242204952</c:v>
                </c:pt>
                <c:pt idx="238">
                  <c:v>297.11132498527792</c:v>
                </c:pt>
                <c:pt idx="239">
                  <c:v>297.16229893575201</c:v>
                </c:pt>
                <c:pt idx="240">
                  <c:v>297.25742877665891</c:v>
                </c:pt>
                <c:pt idx="241">
                  <c:v>297.26564864077739</c:v>
                </c:pt>
                <c:pt idx="242">
                  <c:v>297.3821645648199</c:v>
                </c:pt>
                <c:pt idx="243">
                  <c:v>297.50986404165178</c:v>
                </c:pt>
                <c:pt idx="244">
                  <c:v>297.53775902573028</c:v>
                </c:pt>
                <c:pt idx="245">
                  <c:v>297.67445400574542</c:v>
                </c:pt>
                <c:pt idx="246">
                  <c:v>297.72318290796289</c:v>
                </c:pt>
                <c:pt idx="247">
                  <c:v>297.80554358585198</c:v>
                </c:pt>
                <c:pt idx="248">
                  <c:v>297.85319805015251</c:v>
                </c:pt>
                <c:pt idx="249">
                  <c:v>297.8875144199107</c:v>
                </c:pt>
                <c:pt idx="250">
                  <c:v>298.00657621930731</c:v>
                </c:pt>
                <c:pt idx="251">
                  <c:v>298.09945318388873</c:v>
                </c:pt>
                <c:pt idx="252">
                  <c:v>298.14187340424388</c:v>
                </c:pt>
                <c:pt idx="253">
                  <c:v>298.19978711048122</c:v>
                </c:pt>
                <c:pt idx="254">
                  <c:v>298.22740055602338</c:v>
                </c:pt>
                <c:pt idx="255">
                  <c:v>298.361901534205</c:v>
                </c:pt>
                <c:pt idx="256">
                  <c:v>298.38532055517862</c:v>
                </c:pt>
                <c:pt idx="257">
                  <c:v>298.42925698142562</c:v>
                </c:pt>
                <c:pt idx="258">
                  <c:v>298.52736800353841</c:v>
                </c:pt>
                <c:pt idx="259">
                  <c:v>298.59936087809479</c:v>
                </c:pt>
                <c:pt idx="260">
                  <c:v>298.65830284822681</c:v>
                </c:pt>
                <c:pt idx="261">
                  <c:v>298.72073075703543</c:v>
                </c:pt>
                <c:pt idx="262">
                  <c:v>298.7950151256282</c:v>
                </c:pt>
                <c:pt idx="263">
                  <c:v>298.84800964397601</c:v>
                </c:pt>
                <c:pt idx="264">
                  <c:v>299.0939722672025</c:v>
                </c:pt>
                <c:pt idx="265">
                  <c:v>299.11446852822502</c:v>
                </c:pt>
                <c:pt idx="266">
                  <c:v>299.19389081911851</c:v>
                </c:pt>
                <c:pt idx="267">
                  <c:v>299.26513628791832</c:v>
                </c:pt>
                <c:pt idx="268">
                  <c:v>299.30281372453362</c:v>
                </c:pt>
                <c:pt idx="269">
                  <c:v>299.41574165862539</c:v>
                </c:pt>
                <c:pt idx="270">
                  <c:v>299.43432431276051</c:v>
                </c:pt>
                <c:pt idx="271">
                  <c:v>299.54707274575122</c:v>
                </c:pt>
                <c:pt idx="272">
                  <c:v>299.60274545395691</c:v>
                </c:pt>
                <c:pt idx="273">
                  <c:v>299.64549794645012</c:v>
                </c:pt>
                <c:pt idx="274">
                  <c:v>299.66765086965052</c:v>
                </c:pt>
                <c:pt idx="275">
                  <c:v>299.7228785247982</c:v>
                </c:pt>
                <c:pt idx="276">
                  <c:v>299.76485480667537</c:v>
                </c:pt>
                <c:pt idx="277">
                  <c:v>299.7873441540284</c:v>
                </c:pt>
                <c:pt idx="278">
                  <c:v>299.87127790382192</c:v>
                </c:pt>
                <c:pt idx="279">
                  <c:v>299.93149010539901</c:v>
                </c:pt>
                <c:pt idx="280">
                  <c:v>299.93780472774051</c:v>
                </c:pt>
                <c:pt idx="281">
                  <c:v>300.0078082063647</c:v>
                </c:pt>
                <c:pt idx="282">
                  <c:v>300.06229352443171</c:v>
                </c:pt>
                <c:pt idx="283">
                  <c:v>300.1523997676826</c:v>
                </c:pt>
                <c:pt idx="284">
                  <c:v>300.2046878698165</c:v>
                </c:pt>
                <c:pt idx="285">
                  <c:v>300.21453173830622</c:v>
                </c:pt>
                <c:pt idx="286">
                  <c:v>300.26904480454101</c:v>
                </c:pt>
                <c:pt idx="287">
                  <c:v>300.30755034113588</c:v>
                </c:pt>
                <c:pt idx="288">
                  <c:v>300.38090084950733</c:v>
                </c:pt>
                <c:pt idx="289">
                  <c:v>300.40871856638972</c:v>
                </c:pt>
                <c:pt idx="290">
                  <c:v>300.42337862737298</c:v>
                </c:pt>
                <c:pt idx="291">
                  <c:v>300.55163828134079</c:v>
                </c:pt>
                <c:pt idx="292">
                  <c:v>300.68514981092608</c:v>
                </c:pt>
                <c:pt idx="293">
                  <c:v>300.765199722962</c:v>
                </c:pt>
                <c:pt idx="294">
                  <c:v>300.81680857469678</c:v>
                </c:pt>
                <c:pt idx="295">
                  <c:v>300.90464721076791</c:v>
                </c:pt>
                <c:pt idx="296">
                  <c:v>300.98565766607618</c:v>
                </c:pt>
                <c:pt idx="297">
                  <c:v>301.0445088917985</c:v>
                </c:pt>
                <c:pt idx="298">
                  <c:v>301.06168260674241</c:v>
                </c:pt>
                <c:pt idx="299">
                  <c:v>301.18950860992823</c:v>
                </c:pt>
                <c:pt idx="300">
                  <c:v>301.19605329831143</c:v>
                </c:pt>
                <c:pt idx="301">
                  <c:v>301.33949283584002</c:v>
                </c:pt>
                <c:pt idx="302">
                  <c:v>301.38087032688179</c:v>
                </c:pt>
                <c:pt idx="303">
                  <c:v>301.51160188372779</c:v>
                </c:pt>
                <c:pt idx="304">
                  <c:v>301.52842523362972</c:v>
                </c:pt>
                <c:pt idx="305">
                  <c:v>301.71149684949353</c:v>
                </c:pt>
                <c:pt idx="306">
                  <c:v>301.73916247513432</c:v>
                </c:pt>
                <c:pt idx="307">
                  <c:v>301.80150832071809</c:v>
                </c:pt>
                <c:pt idx="308">
                  <c:v>301.92047232114459</c:v>
                </c:pt>
                <c:pt idx="309">
                  <c:v>301.98339640025603</c:v>
                </c:pt>
                <c:pt idx="310">
                  <c:v>302.02663772244688</c:v>
                </c:pt>
                <c:pt idx="311">
                  <c:v>302.03170565492809</c:v>
                </c:pt>
                <c:pt idx="312">
                  <c:v>302.25310494939202</c:v>
                </c:pt>
                <c:pt idx="313">
                  <c:v>302.31151453656582</c:v>
                </c:pt>
                <c:pt idx="314">
                  <c:v>302.41379943413313</c:v>
                </c:pt>
                <c:pt idx="315">
                  <c:v>302.46234319554628</c:v>
                </c:pt>
                <c:pt idx="316">
                  <c:v>302.55844167903001</c:v>
                </c:pt>
                <c:pt idx="317">
                  <c:v>302.70148210429079</c:v>
                </c:pt>
                <c:pt idx="318">
                  <c:v>302.72298850746063</c:v>
                </c:pt>
                <c:pt idx="319">
                  <c:v>302.76544411312699</c:v>
                </c:pt>
                <c:pt idx="320">
                  <c:v>302.87839858588683</c:v>
                </c:pt>
                <c:pt idx="321">
                  <c:v>302.93909238626321</c:v>
                </c:pt>
                <c:pt idx="322">
                  <c:v>303.02637558420361</c:v>
                </c:pt>
                <c:pt idx="323">
                  <c:v>303.1225051543633</c:v>
                </c:pt>
                <c:pt idx="324">
                  <c:v>303.14175910756359</c:v>
                </c:pt>
                <c:pt idx="325">
                  <c:v>303.25206744733339</c:v>
                </c:pt>
                <c:pt idx="326">
                  <c:v>303.26963835668562</c:v>
                </c:pt>
                <c:pt idx="327">
                  <c:v>303.33081551707892</c:v>
                </c:pt>
                <c:pt idx="328">
                  <c:v>303.40361910903118</c:v>
                </c:pt>
                <c:pt idx="329">
                  <c:v>303.46999463700263</c:v>
                </c:pt>
                <c:pt idx="330">
                  <c:v>303.54038715320229</c:v>
                </c:pt>
              </c:numCache>
            </c:numRef>
          </c:xVal>
          <c:yVal>
            <c:numRef>
              <c:f>Aux_graficos!$FW$2:$FW$332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18-4F7B-B383-EA9EF6D64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5"/>
          <c:min val="27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P_alta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Aux_graficos!$FZ$2:$FZ$122</c:f>
              <c:numCache>
                <c:formatCode>General</c:formatCode>
                <c:ptCount val="121"/>
                <c:pt idx="0">
                  <c:v>2005.3950733036199</c:v>
                </c:pt>
                <c:pt idx="1">
                  <c:v>2017.4898535705829</c:v>
                </c:pt>
                <c:pt idx="2">
                  <c:v>2032.2164942189361</c:v>
                </c:pt>
                <c:pt idx="3">
                  <c:v>2046.947027378186</c:v>
                </c:pt>
                <c:pt idx="4">
                  <c:v>2139.236516373478</c:v>
                </c:pt>
                <c:pt idx="5">
                  <c:v>2155.0565788625609</c:v>
                </c:pt>
                <c:pt idx="6">
                  <c:v>2155.6888499665752</c:v>
                </c:pt>
                <c:pt idx="7">
                  <c:v>2219.0482717092532</c:v>
                </c:pt>
                <c:pt idx="8">
                  <c:v>2230.392431952534</c:v>
                </c:pt>
                <c:pt idx="9">
                  <c:v>2262.4701685262412</c:v>
                </c:pt>
                <c:pt idx="10">
                  <c:v>2280.9971422651902</c:v>
                </c:pt>
                <c:pt idx="11">
                  <c:v>2291.415835900696</c:v>
                </c:pt>
                <c:pt idx="12">
                  <c:v>2352.4545851847129</c:v>
                </c:pt>
                <c:pt idx="13">
                  <c:v>2367.2023772947241</c:v>
                </c:pt>
                <c:pt idx="14">
                  <c:v>2422.6693076928009</c:v>
                </c:pt>
                <c:pt idx="15">
                  <c:v>2435.1929066201642</c:v>
                </c:pt>
                <c:pt idx="16">
                  <c:v>2438.757091722845</c:v>
                </c:pt>
                <c:pt idx="17">
                  <c:v>2488.805528706217</c:v>
                </c:pt>
                <c:pt idx="18">
                  <c:v>2521.2615369554428</c:v>
                </c:pt>
                <c:pt idx="19">
                  <c:v>2547.8802072856461</c:v>
                </c:pt>
                <c:pt idx="20">
                  <c:v>2548.097371659946</c:v>
                </c:pt>
                <c:pt idx="21">
                  <c:v>2563.3423125394911</c:v>
                </c:pt>
                <c:pt idx="22">
                  <c:v>2583.2439378012932</c:v>
                </c:pt>
                <c:pt idx="23">
                  <c:v>2604.9446364231212</c:v>
                </c:pt>
                <c:pt idx="24">
                  <c:v>2605.8238290022982</c:v>
                </c:pt>
                <c:pt idx="25">
                  <c:v>2646.096710846009</c:v>
                </c:pt>
                <c:pt idx="26">
                  <c:v>2688.4873424370239</c:v>
                </c:pt>
                <c:pt idx="27">
                  <c:v>2761.6869955712159</c:v>
                </c:pt>
                <c:pt idx="28">
                  <c:v>2815.7803137651981</c:v>
                </c:pt>
                <c:pt idx="29">
                  <c:v>2844.5887866886478</c:v>
                </c:pt>
                <c:pt idx="30">
                  <c:v>2867.3077316380732</c:v>
                </c:pt>
                <c:pt idx="31">
                  <c:v>2921.798925985498</c:v>
                </c:pt>
                <c:pt idx="32">
                  <c:v>2949.653534082217</c:v>
                </c:pt>
                <c:pt idx="33">
                  <c:v>2967.685564843559</c:v>
                </c:pt>
                <c:pt idx="34">
                  <c:v>3001.0147499036138</c:v>
                </c:pt>
                <c:pt idx="35">
                  <c:v>3160.356416844596</c:v>
                </c:pt>
                <c:pt idx="36">
                  <c:v>3175.483333911347</c:v>
                </c:pt>
                <c:pt idx="37">
                  <c:v>3199.6845467170469</c:v>
                </c:pt>
                <c:pt idx="38">
                  <c:v>3203.7064805170362</c:v>
                </c:pt>
                <c:pt idx="39">
                  <c:v>3213.4260138138861</c:v>
                </c:pt>
                <c:pt idx="40">
                  <c:v>3253.987855848156</c:v>
                </c:pt>
                <c:pt idx="41">
                  <c:v>3262.8767695283041</c:v>
                </c:pt>
                <c:pt idx="42">
                  <c:v>3272.744306362581</c:v>
                </c:pt>
                <c:pt idx="43">
                  <c:v>3285.1841476987302</c:v>
                </c:pt>
                <c:pt idx="44">
                  <c:v>3327.7722388455691</c:v>
                </c:pt>
                <c:pt idx="45">
                  <c:v>3349.66301260008</c:v>
                </c:pt>
                <c:pt idx="46">
                  <c:v>3353.2346775751012</c:v>
                </c:pt>
                <c:pt idx="47">
                  <c:v>3382.467325858066</c:v>
                </c:pt>
                <c:pt idx="48">
                  <c:v>3396.524525340546</c:v>
                </c:pt>
                <c:pt idx="49">
                  <c:v>3416.9200649321838</c:v>
                </c:pt>
                <c:pt idx="50">
                  <c:v>3429.232588331723</c:v>
                </c:pt>
                <c:pt idx="51">
                  <c:v>3473.563613239317</c:v>
                </c:pt>
                <c:pt idx="52">
                  <c:v>3478.2171267138501</c:v>
                </c:pt>
                <c:pt idx="53">
                  <c:v>3481.8230245237678</c:v>
                </c:pt>
                <c:pt idx="54">
                  <c:v>3491.4291474903262</c:v>
                </c:pt>
                <c:pt idx="55">
                  <c:v>3500.262718794284</c:v>
                </c:pt>
                <c:pt idx="56">
                  <c:v>3514.4151254074941</c:v>
                </c:pt>
                <c:pt idx="57">
                  <c:v>3539.5313497682992</c:v>
                </c:pt>
                <c:pt idx="58">
                  <c:v>3547.1506419983548</c:v>
                </c:pt>
                <c:pt idx="59">
                  <c:v>3558.4432046992929</c:v>
                </c:pt>
                <c:pt idx="60">
                  <c:v>3571.4072979150992</c:v>
                </c:pt>
                <c:pt idx="61">
                  <c:v>3600.2437005479292</c:v>
                </c:pt>
                <c:pt idx="62">
                  <c:v>3635.642214756188</c:v>
                </c:pt>
                <c:pt idx="63">
                  <c:v>3648.122848450414</c:v>
                </c:pt>
                <c:pt idx="64">
                  <c:v>3672.889560886802</c:v>
                </c:pt>
                <c:pt idx="65">
                  <c:v>3682.6179643924288</c:v>
                </c:pt>
                <c:pt idx="66">
                  <c:v>3689.0076642334939</c:v>
                </c:pt>
                <c:pt idx="67">
                  <c:v>3696.6578552480169</c:v>
                </c:pt>
                <c:pt idx="68">
                  <c:v>3704.873890662413</c:v>
                </c:pt>
                <c:pt idx="69">
                  <c:v>3718.573104357165</c:v>
                </c:pt>
                <c:pt idx="70">
                  <c:v>3723.2852900100111</c:v>
                </c:pt>
                <c:pt idx="71">
                  <c:v>3732.0690323904792</c:v>
                </c:pt>
                <c:pt idx="72">
                  <c:v>3761.2952052735659</c:v>
                </c:pt>
                <c:pt idx="73">
                  <c:v>3778.7143996429581</c:v>
                </c:pt>
                <c:pt idx="74">
                  <c:v>3779.9243740040329</c:v>
                </c:pt>
                <c:pt idx="75">
                  <c:v>3808.8273171485462</c:v>
                </c:pt>
                <c:pt idx="76">
                  <c:v>3834.1736730354978</c:v>
                </c:pt>
                <c:pt idx="77">
                  <c:v>3850.0014830623049</c:v>
                </c:pt>
                <c:pt idx="78">
                  <c:v>3876.8409309189051</c:v>
                </c:pt>
                <c:pt idx="79">
                  <c:v>3915.7974149588808</c:v>
                </c:pt>
                <c:pt idx="80">
                  <c:v>3942.2269758253569</c:v>
                </c:pt>
                <c:pt idx="81">
                  <c:v>3951.2047204010209</c:v>
                </c:pt>
                <c:pt idx="82">
                  <c:v>3961.4129565340641</c:v>
                </c:pt>
                <c:pt idx="83">
                  <c:v>3985.9676927566779</c:v>
                </c:pt>
                <c:pt idx="84">
                  <c:v>4011.0372940846132</c:v>
                </c:pt>
                <c:pt idx="85">
                  <c:v>4035.5920742289659</c:v>
                </c:pt>
                <c:pt idx="86">
                  <c:v>4111.4915617105562</c:v>
                </c:pt>
                <c:pt idx="87">
                  <c:v>4127.8924198258019</c:v>
                </c:pt>
                <c:pt idx="88">
                  <c:v>4148.9677855173231</c:v>
                </c:pt>
                <c:pt idx="89">
                  <c:v>4160.6852918196446</c:v>
                </c:pt>
                <c:pt idx="90">
                  <c:v>4176.4753959289592</c:v>
                </c:pt>
                <c:pt idx="91">
                  <c:v>4178.30434766902</c:v>
                </c:pt>
                <c:pt idx="92">
                  <c:v>4257.2600654761709</c:v>
                </c:pt>
                <c:pt idx="93">
                  <c:v>4264.2593142801079</c:v>
                </c:pt>
                <c:pt idx="94">
                  <c:v>4302.3690237305091</c:v>
                </c:pt>
                <c:pt idx="95">
                  <c:v>4312.3096074069481</c:v>
                </c:pt>
                <c:pt idx="96">
                  <c:v>4312.986811198436</c:v>
                </c:pt>
                <c:pt idx="97">
                  <c:v>4339.7806157081459</c:v>
                </c:pt>
                <c:pt idx="98">
                  <c:v>4350.4097696055296</c:v>
                </c:pt>
                <c:pt idx="99">
                  <c:v>4359.3132392455918</c:v>
                </c:pt>
                <c:pt idx="100">
                  <c:v>4398.7095789565983</c:v>
                </c:pt>
                <c:pt idx="101">
                  <c:v>4493.2266060725988</c:v>
                </c:pt>
                <c:pt idx="102">
                  <c:v>4500.9321557625108</c:v>
                </c:pt>
                <c:pt idx="103">
                  <c:v>4588.9170367828992</c:v>
                </c:pt>
                <c:pt idx="104">
                  <c:v>4594.5598944577014</c:v>
                </c:pt>
                <c:pt idx="105">
                  <c:v>4615.2470220835476</c:v>
                </c:pt>
                <c:pt idx="106">
                  <c:v>4618.0054234464169</c:v>
                </c:pt>
                <c:pt idx="107">
                  <c:v>4652.4576927725238</c:v>
                </c:pt>
                <c:pt idx="108">
                  <c:v>4675.274719834546</c:v>
                </c:pt>
                <c:pt idx="109">
                  <c:v>4702.2301842719844</c:v>
                </c:pt>
                <c:pt idx="110">
                  <c:v>4734.3608776930996</c:v>
                </c:pt>
                <c:pt idx="111">
                  <c:v>4778.0368504880844</c:v>
                </c:pt>
                <c:pt idx="112">
                  <c:v>4811.745787712287</c:v>
                </c:pt>
                <c:pt idx="113">
                  <c:v>4835.6491750485166</c:v>
                </c:pt>
                <c:pt idx="114">
                  <c:v>4841.7770826055921</c:v>
                </c:pt>
                <c:pt idx="115">
                  <c:v>4890.757585739927</c:v>
                </c:pt>
                <c:pt idx="116">
                  <c:v>4908.5147002447429</c:v>
                </c:pt>
                <c:pt idx="117">
                  <c:v>4910.206466736995</c:v>
                </c:pt>
                <c:pt idx="118">
                  <c:v>4944.96732500092</c:v>
                </c:pt>
                <c:pt idx="119">
                  <c:v>4950.9740899708704</c:v>
                </c:pt>
                <c:pt idx="120">
                  <c:v>4960.8916703962677</c:v>
                </c:pt>
              </c:numCache>
            </c:numRef>
          </c:xVal>
          <c:yVal>
            <c:numRef>
              <c:f>Aux_graficos!$FY$2:$FY$122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A-44A2-AF45-7FCC77D56681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Aux_graficos!$GB$2:$GB$332</c:f>
              <c:numCache>
                <c:formatCode>General</c:formatCode>
                <c:ptCount val="331"/>
                <c:pt idx="0">
                  <c:v>2009.9450225683679</c:v>
                </c:pt>
                <c:pt idx="1">
                  <c:v>2026.7627517197891</c:v>
                </c:pt>
                <c:pt idx="2">
                  <c:v>2044.2419440197079</c:v>
                </c:pt>
                <c:pt idx="3">
                  <c:v>2048.6779538172118</c:v>
                </c:pt>
                <c:pt idx="4">
                  <c:v>2053.6846013053009</c:v>
                </c:pt>
                <c:pt idx="5">
                  <c:v>2064.353382930798</c:v>
                </c:pt>
                <c:pt idx="6">
                  <c:v>2074.152719983641</c:v>
                </c:pt>
                <c:pt idx="7">
                  <c:v>2076.5887165508439</c:v>
                </c:pt>
                <c:pt idx="8">
                  <c:v>2081.0523578992979</c:v>
                </c:pt>
                <c:pt idx="9">
                  <c:v>2081.421554425518</c:v>
                </c:pt>
                <c:pt idx="10">
                  <c:v>2092.4793058098921</c:v>
                </c:pt>
                <c:pt idx="11">
                  <c:v>2095.385835313507</c:v>
                </c:pt>
                <c:pt idx="12">
                  <c:v>2101.2816918460849</c:v>
                </c:pt>
                <c:pt idx="13">
                  <c:v>2105.9151852874488</c:v>
                </c:pt>
                <c:pt idx="14">
                  <c:v>2116.1045632783312</c:v>
                </c:pt>
                <c:pt idx="15">
                  <c:v>2120.168989719818</c:v>
                </c:pt>
                <c:pt idx="16">
                  <c:v>2126.0108743722071</c:v>
                </c:pt>
                <c:pt idx="17">
                  <c:v>2144.4218136633758</c:v>
                </c:pt>
                <c:pt idx="18">
                  <c:v>2145.67133721663</c:v>
                </c:pt>
                <c:pt idx="19">
                  <c:v>2160.485723338179</c:v>
                </c:pt>
                <c:pt idx="20">
                  <c:v>2171.6036634343031</c:v>
                </c:pt>
                <c:pt idx="21">
                  <c:v>2181.8805068243878</c:v>
                </c:pt>
                <c:pt idx="22">
                  <c:v>2189.372121129089</c:v>
                </c:pt>
                <c:pt idx="23">
                  <c:v>2193.4238288977081</c:v>
                </c:pt>
                <c:pt idx="24">
                  <c:v>2208.7617433056521</c:v>
                </c:pt>
                <c:pt idx="25">
                  <c:v>2222.4226206861749</c:v>
                </c:pt>
                <c:pt idx="26">
                  <c:v>2226.8232820928129</c:v>
                </c:pt>
                <c:pt idx="27">
                  <c:v>2230.116054462213</c:v>
                </c:pt>
                <c:pt idx="28">
                  <c:v>2240.751279883435</c:v>
                </c:pt>
                <c:pt idx="29">
                  <c:v>2248.475597248098</c:v>
                </c:pt>
                <c:pt idx="30">
                  <c:v>2251.395536928917</c:v>
                </c:pt>
                <c:pt idx="31">
                  <c:v>2258.175386945265</c:v>
                </c:pt>
                <c:pt idx="32">
                  <c:v>2271.3261105207771</c:v>
                </c:pt>
                <c:pt idx="33">
                  <c:v>2276.6919271033862</c:v>
                </c:pt>
                <c:pt idx="34">
                  <c:v>2291.8853120773801</c:v>
                </c:pt>
                <c:pt idx="35">
                  <c:v>2300.8535252729412</c:v>
                </c:pt>
                <c:pt idx="36">
                  <c:v>2303.1731477606122</c:v>
                </c:pt>
                <c:pt idx="37">
                  <c:v>2317.767297101228</c:v>
                </c:pt>
                <c:pt idx="38">
                  <c:v>2326.1825983553299</c:v>
                </c:pt>
                <c:pt idx="39">
                  <c:v>2329.3737216892282</c:v>
                </c:pt>
                <c:pt idx="40">
                  <c:v>2333.0929697254128</c:v>
                </c:pt>
                <c:pt idx="41">
                  <c:v>2335.0753592331339</c:v>
                </c:pt>
                <c:pt idx="42">
                  <c:v>2342.0387895466588</c:v>
                </c:pt>
                <c:pt idx="43">
                  <c:v>2354.43524953111</c:v>
                </c:pt>
                <c:pt idx="44">
                  <c:v>2365.348117495867</c:v>
                </c:pt>
                <c:pt idx="45">
                  <c:v>2372.3373250665541</c:v>
                </c:pt>
                <c:pt idx="46">
                  <c:v>2382.9398979445341</c:v>
                </c:pt>
                <c:pt idx="47">
                  <c:v>2384.0500626484618</c:v>
                </c:pt>
                <c:pt idx="48">
                  <c:v>2394.6215374954609</c:v>
                </c:pt>
                <c:pt idx="49">
                  <c:v>2399.0203936828798</c:v>
                </c:pt>
                <c:pt idx="50">
                  <c:v>2400.0708529909639</c:v>
                </c:pt>
                <c:pt idx="51">
                  <c:v>2410.5086122380399</c:v>
                </c:pt>
                <c:pt idx="52">
                  <c:v>2419.5677954772191</c:v>
                </c:pt>
                <c:pt idx="53">
                  <c:v>2443.769872928237</c:v>
                </c:pt>
                <c:pt idx="54">
                  <c:v>2450.9615500526988</c:v>
                </c:pt>
                <c:pt idx="55">
                  <c:v>2459.4817680450719</c:v>
                </c:pt>
                <c:pt idx="56">
                  <c:v>2467.3730047074559</c:v>
                </c:pt>
                <c:pt idx="57">
                  <c:v>2467.4838138183909</c:v>
                </c:pt>
                <c:pt idx="58">
                  <c:v>2479.2167479348659</c:v>
                </c:pt>
                <c:pt idx="59">
                  <c:v>2481.4397070734658</c:v>
                </c:pt>
                <c:pt idx="60">
                  <c:v>2493.3327406355402</c:v>
                </c:pt>
                <c:pt idx="61">
                  <c:v>2506.8360267557309</c:v>
                </c:pt>
                <c:pt idx="62">
                  <c:v>2507.7634878657841</c:v>
                </c:pt>
                <c:pt idx="63">
                  <c:v>2513.9998727900161</c:v>
                </c:pt>
                <c:pt idx="64">
                  <c:v>2529.1346364176538</c:v>
                </c:pt>
                <c:pt idx="65">
                  <c:v>2530.9916492860689</c:v>
                </c:pt>
                <c:pt idx="66">
                  <c:v>2531.4728399985038</c:v>
                </c:pt>
                <c:pt idx="67">
                  <c:v>2551.7393786212042</c:v>
                </c:pt>
                <c:pt idx="68">
                  <c:v>2559.785520070714</c:v>
                </c:pt>
                <c:pt idx="69">
                  <c:v>2580.8658736783491</c:v>
                </c:pt>
                <c:pt idx="70">
                  <c:v>2587.2804913964801</c:v>
                </c:pt>
                <c:pt idx="71">
                  <c:v>2596.9870283225532</c:v>
                </c:pt>
                <c:pt idx="72">
                  <c:v>2613.4807200676378</c:v>
                </c:pt>
                <c:pt idx="73">
                  <c:v>2621.4838022077211</c:v>
                </c:pt>
                <c:pt idx="74">
                  <c:v>2624.9808349607952</c:v>
                </c:pt>
                <c:pt idx="75">
                  <c:v>2632.4492773276461</c:v>
                </c:pt>
                <c:pt idx="76">
                  <c:v>2632.9326449020059</c:v>
                </c:pt>
                <c:pt idx="77">
                  <c:v>2650.571912221968</c:v>
                </c:pt>
                <c:pt idx="78">
                  <c:v>2654.7846173003281</c:v>
                </c:pt>
                <c:pt idx="79">
                  <c:v>2669.1746503511031</c:v>
                </c:pt>
                <c:pt idx="80">
                  <c:v>2674.482313309567</c:v>
                </c:pt>
                <c:pt idx="81">
                  <c:v>2676.464074572325</c:v>
                </c:pt>
                <c:pt idx="82">
                  <c:v>2683.0954820666002</c:v>
                </c:pt>
                <c:pt idx="83">
                  <c:v>2694.1191208584132</c:v>
                </c:pt>
                <c:pt idx="84">
                  <c:v>2697.1902563420481</c:v>
                </c:pt>
                <c:pt idx="85">
                  <c:v>2712.8597105407371</c:v>
                </c:pt>
                <c:pt idx="86">
                  <c:v>2718.1615875074322</c:v>
                </c:pt>
                <c:pt idx="87">
                  <c:v>2724.514536180277</c:v>
                </c:pt>
                <c:pt idx="88">
                  <c:v>2729.1353869547138</c:v>
                </c:pt>
                <c:pt idx="89">
                  <c:v>2733.3136168459582</c:v>
                </c:pt>
                <c:pt idx="90">
                  <c:v>2742.399639714884</c:v>
                </c:pt>
                <c:pt idx="91">
                  <c:v>2753.0406476009839</c:v>
                </c:pt>
                <c:pt idx="92">
                  <c:v>2770.7359086313959</c:v>
                </c:pt>
                <c:pt idx="93">
                  <c:v>2771.6865619785408</c:v>
                </c:pt>
                <c:pt idx="94">
                  <c:v>2789.3785397477268</c:v>
                </c:pt>
                <c:pt idx="95">
                  <c:v>2794.216855374882</c:v>
                </c:pt>
                <c:pt idx="96">
                  <c:v>2796.923069702998</c:v>
                </c:pt>
                <c:pt idx="97">
                  <c:v>2805.7997396632072</c:v>
                </c:pt>
                <c:pt idx="98">
                  <c:v>2813.6236840741781</c:v>
                </c:pt>
                <c:pt idx="99">
                  <c:v>2820.6316503974258</c:v>
                </c:pt>
                <c:pt idx="100">
                  <c:v>2828.6087405433559</c:v>
                </c:pt>
                <c:pt idx="101">
                  <c:v>2838.322250845551</c:v>
                </c:pt>
                <c:pt idx="102">
                  <c:v>2848.9165643215902</c:v>
                </c:pt>
                <c:pt idx="103">
                  <c:v>2855.587170748473</c:v>
                </c:pt>
                <c:pt idx="104">
                  <c:v>2871.547892208388</c:v>
                </c:pt>
                <c:pt idx="105">
                  <c:v>2878.0641233489009</c:v>
                </c:pt>
                <c:pt idx="106">
                  <c:v>2891.278952726228</c:v>
                </c:pt>
                <c:pt idx="107">
                  <c:v>2898.101622896409</c:v>
                </c:pt>
                <c:pt idx="108">
                  <c:v>2907.3580386071021</c:v>
                </c:pt>
                <c:pt idx="109">
                  <c:v>2909.8359720359081</c:v>
                </c:pt>
                <c:pt idx="110">
                  <c:v>2915.52601975683</c:v>
                </c:pt>
                <c:pt idx="111">
                  <c:v>2925.3270365484359</c:v>
                </c:pt>
                <c:pt idx="112">
                  <c:v>2946.5193009348682</c:v>
                </c:pt>
                <c:pt idx="113">
                  <c:v>2958.827926159463</c:v>
                </c:pt>
                <c:pt idx="114">
                  <c:v>2964.4761894108842</c:v>
                </c:pt>
                <c:pt idx="115">
                  <c:v>2973.4866912593739</c:v>
                </c:pt>
                <c:pt idx="116">
                  <c:v>2977.4879282495972</c:v>
                </c:pt>
                <c:pt idx="117">
                  <c:v>2984.8245512269091</c:v>
                </c:pt>
                <c:pt idx="118">
                  <c:v>2991.4327882586672</c:v>
                </c:pt>
                <c:pt idx="119">
                  <c:v>3001.7270513170679</c:v>
                </c:pt>
                <c:pt idx="120">
                  <c:v>3008.3968738697099</c:v>
                </c:pt>
                <c:pt idx="121">
                  <c:v>3018.4333594799518</c:v>
                </c:pt>
                <c:pt idx="122">
                  <c:v>3022.8216603286228</c:v>
                </c:pt>
                <c:pt idx="123">
                  <c:v>3024.0721919774542</c:v>
                </c:pt>
                <c:pt idx="124">
                  <c:v>3030.7086873052458</c:v>
                </c:pt>
                <c:pt idx="125">
                  <c:v>3039.9698345230449</c:v>
                </c:pt>
                <c:pt idx="126">
                  <c:v>3041.8780408894718</c:v>
                </c:pt>
                <c:pt idx="127">
                  <c:v>3053.2395980138208</c:v>
                </c:pt>
                <c:pt idx="128">
                  <c:v>3058.127230014456</c:v>
                </c:pt>
                <c:pt idx="129">
                  <c:v>3062.8827278166168</c:v>
                </c:pt>
                <c:pt idx="130">
                  <c:v>3078.5799568712609</c:v>
                </c:pt>
                <c:pt idx="131">
                  <c:v>3079.970124219652</c:v>
                </c:pt>
                <c:pt idx="132">
                  <c:v>3080.4022206731138</c:v>
                </c:pt>
                <c:pt idx="133">
                  <c:v>3093.8938294653271</c:v>
                </c:pt>
                <c:pt idx="134">
                  <c:v>3096.5167014227118</c:v>
                </c:pt>
                <c:pt idx="135">
                  <c:v>3103.3300846689931</c:v>
                </c:pt>
                <c:pt idx="136">
                  <c:v>3114.297461986203</c:v>
                </c:pt>
                <c:pt idx="137">
                  <c:v>3114.7963816152478</c:v>
                </c:pt>
                <c:pt idx="138">
                  <c:v>3126.873834830641</c:v>
                </c:pt>
                <c:pt idx="139">
                  <c:v>3132.991411849378</c:v>
                </c:pt>
                <c:pt idx="140">
                  <c:v>3139.5176862799522</c:v>
                </c:pt>
                <c:pt idx="141">
                  <c:v>3143.4102948421728</c:v>
                </c:pt>
                <c:pt idx="142">
                  <c:v>3146.6915822939359</c:v>
                </c:pt>
                <c:pt idx="143">
                  <c:v>3155.2021448280411</c:v>
                </c:pt>
                <c:pt idx="144">
                  <c:v>3156.2584628888731</c:v>
                </c:pt>
                <c:pt idx="145">
                  <c:v>3176.0833282751719</c:v>
                </c:pt>
                <c:pt idx="146">
                  <c:v>3180.6196960894022</c:v>
                </c:pt>
                <c:pt idx="147">
                  <c:v>3196.2116564753892</c:v>
                </c:pt>
                <c:pt idx="148">
                  <c:v>3206.4409362493971</c:v>
                </c:pt>
                <c:pt idx="149">
                  <c:v>3217.0920698307818</c:v>
                </c:pt>
                <c:pt idx="150">
                  <c:v>3228.7283343541671</c:v>
                </c:pt>
                <c:pt idx="151">
                  <c:v>3238.2629523563542</c:v>
                </c:pt>
                <c:pt idx="152">
                  <c:v>3241.5306940836108</c:v>
                </c:pt>
                <c:pt idx="153">
                  <c:v>3253.7226338168239</c:v>
                </c:pt>
                <c:pt idx="154">
                  <c:v>3271.965612358676</c:v>
                </c:pt>
                <c:pt idx="155">
                  <c:v>3281.0679180314919</c:v>
                </c:pt>
                <c:pt idx="156">
                  <c:v>3290.1780006679378</c:v>
                </c:pt>
                <c:pt idx="157">
                  <c:v>3297.487010782806</c:v>
                </c:pt>
                <c:pt idx="158">
                  <c:v>3303.8020977301112</c:v>
                </c:pt>
                <c:pt idx="159">
                  <c:v>3316.4638939990919</c:v>
                </c:pt>
                <c:pt idx="160">
                  <c:v>3316.5739454530558</c:v>
                </c:pt>
                <c:pt idx="161">
                  <c:v>3324.6313538754512</c:v>
                </c:pt>
                <c:pt idx="162">
                  <c:v>3331.0369526321811</c:v>
                </c:pt>
                <c:pt idx="163">
                  <c:v>3345.7527629838451</c:v>
                </c:pt>
                <c:pt idx="164">
                  <c:v>3353.0229282620662</c:v>
                </c:pt>
                <c:pt idx="165">
                  <c:v>3365.2356975293242</c:v>
                </c:pt>
                <c:pt idx="166">
                  <c:v>3368.976964654717</c:v>
                </c:pt>
                <c:pt idx="167">
                  <c:v>3373.492752583611</c:v>
                </c:pt>
                <c:pt idx="168">
                  <c:v>3381.4516893287878</c:v>
                </c:pt>
                <c:pt idx="169">
                  <c:v>3399.199210539763</c:v>
                </c:pt>
                <c:pt idx="170">
                  <c:v>3405.599188785769</c:v>
                </c:pt>
                <c:pt idx="171">
                  <c:v>3419.4736921177732</c:v>
                </c:pt>
                <c:pt idx="172">
                  <c:v>3427.8679644679351</c:v>
                </c:pt>
                <c:pt idx="173">
                  <c:v>3436.5153302454551</c:v>
                </c:pt>
                <c:pt idx="174">
                  <c:v>3440.0100955242892</c:v>
                </c:pt>
                <c:pt idx="175">
                  <c:v>3454.1609641972718</c:v>
                </c:pt>
                <c:pt idx="176">
                  <c:v>3458.207296458289</c:v>
                </c:pt>
                <c:pt idx="177">
                  <c:v>3460.363839446954</c:v>
                </c:pt>
                <c:pt idx="178">
                  <c:v>3497.9121428335402</c:v>
                </c:pt>
                <c:pt idx="179">
                  <c:v>3514.7013689886189</c:v>
                </c:pt>
                <c:pt idx="180">
                  <c:v>3525.8791397219461</c:v>
                </c:pt>
                <c:pt idx="181">
                  <c:v>3529.9691694074158</c:v>
                </c:pt>
                <c:pt idx="182">
                  <c:v>3532.720065619244</c:v>
                </c:pt>
                <c:pt idx="183">
                  <c:v>3540.032699498654</c:v>
                </c:pt>
                <c:pt idx="184">
                  <c:v>3569.5788322650392</c:v>
                </c:pt>
                <c:pt idx="185">
                  <c:v>3574.8374387542531</c:v>
                </c:pt>
                <c:pt idx="186">
                  <c:v>3577.6494919732422</c:v>
                </c:pt>
                <c:pt idx="187">
                  <c:v>3588.7479973588529</c:v>
                </c:pt>
                <c:pt idx="188">
                  <c:v>3598.295411482984</c:v>
                </c:pt>
                <c:pt idx="189">
                  <c:v>3600.0154292759512</c:v>
                </c:pt>
                <c:pt idx="190">
                  <c:v>3614.3386809128278</c:v>
                </c:pt>
                <c:pt idx="191">
                  <c:v>3614.6825239701971</c:v>
                </c:pt>
                <c:pt idx="192">
                  <c:v>3622.1218135104641</c:v>
                </c:pt>
                <c:pt idx="193">
                  <c:v>3626.1873604246471</c:v>
                </c:pt>
                <c:pt idx="194">
                  <c:v>3635.7903717331678</c:v>
                </c:pt>
                <c:pt idx="195">
                  <c:v>3654.2991540117559</c:v>
                </c:pt>
                <c:pt idx="196">
                  <c:v>3659.8997462232151</c:v>
                </c:pt>
                <c:pt idx="197">
                  <c:v>3665.962676103748</c:v>
                </c:pt>
                <c:pt idx="198">
                  <c:v>3678.498952336176</c:v>
                </c:pt>
                <c:pt idx="199">
                  <c:v>3697.4097324261611</c:v>
                </c:pt>
                <c:pt idx="200">
                  <c:v>3716.2500186053762</c:v>
                </c:pt>
                <c:pt idx="201">
                  <c:v>3738.6963398577218</c:v>
                </c:pt>
                <c:pt idx="202">
                  <c:v>3741.5573585584239</c:v>
                </c:pt>
                <c:pt idx="203">
                  <c:v>3742.291748310171</c:v>
                </c:pt>
                <c:pt idx="204">
                  <c:v>3755.3803760384062</c:v>
                </c:pt>
                <c:pt idx="205">
                  <c:v>3762.2850958509948</c:v>
                </c:pt>
                <c:pt idx="206">
                  <c:v>3782.8824133567869</c:v>
                </c:pt>
                <c:pt idx="207">
                  <c:v>3798.2657363311541</c:v>
                </c:pt>
                <c:pt idx="208">
                  <c:v>3808.0493928152732</c:v>
                </c:pt>
                <c:pt idx="209">
                  <c:v>3816.2869278333819</c:v>
                </c:pt>
                <c:pt idx="210">
                  <c:v>3819.2668134316768</c:v>
                </c:pt>
                <c:pt idx="211">
                  <c:v>3828.611837533173</c:v>
                </c:pt>
                <c:pt idx="212">
                  <c:v>3836.0134177842051</c:v>
                </c:pt>
                <c:pt idx="213">
                  <c:v>3844.1616697035438</c:v>
                </c:pt>
                <c:pt idx="214">
                  <c:v>3849.2694624235978</c:v>
                </c:pt>
                <c:pt idx="215">
                  <c:v>3869.926538190442</c:v>
                </c:pt>
                <c:pt idx="216">
                  <c:v>3873.5438933166611</c:v>
                </c:pt>
                <c:pt idx="217">
                  <c:v>3879.922616987305</c:v>
                </c:pt>
                <c:pt idx="218">
                  <c:v>3899.2251228320879</c:v>
                </c:pt>
                <c:pt idx="219">
                  <c:v>3900.724847004843</c:v>
                </c:pt>
                <c:pt idx="220">
                  <c:v>3916.9911055488178</c:v>
                </c:pt>
                <c:pt idx="221">
                  <c:v>3922.4585616753252</c:v>
                </c:pt>
                <c:pt idx="222">
                  <c:v>3930.850673891649</c:v>
                </c:pt>
                <c:pt idx="223">
                  <c:v>3931.4769638822299</c:v>
                </c:pt>
                <c:pt idx="224">
                  <c:v>3938.333618433051</c:v>
                </c:pt>
                <c:pt idx="225">
                  <c:v>3959.4110726562189</c:v>
                </c:pt>
                <c:pt idx="226">
                  <c:v>3971.8886772471969</c:v>
                </c:pt>
                <c:pt idx="227">
                  <c:v>3974.686253531494</c:v>
                </c:pt>
                <c:pt idx="228">
                  <c:v>3991.388142762185</c:v>
                </c:pt>
                <c:pt idx="229">
                  <c:v>3997.3959354411859</c:v>
                </c:pt>
                <c:pt idx="230">
                  <c:v>4005.0130795702589</c:v>
                </c:pt>
                <c:pt idx="231">
                  <c:v>4005.086734735974</c:v>
                </c:pt>
                <c:pt idx="232">
                  <c:v>4011.1948933267809</c:v>
                </c:pt>
                <c:pt idx="233">
                  <c:v>4020.0570555647082</c:v>
                </c:pt>
                <c:pt idx="234">
                  <c:v>4034.5099202175652</c:v>
                </c:pt>
                <c:pt idx="235">
                  <c:v>4043.992285696097</c:v>
                </c:pt>
                <c:pt idx="236">
                  <c:v>4049.1428201733061</c:v>
                </c:pt>
                <c:pt idx="237">
                  <c:v>4057.0009606294129</c:v>
                </c:pt>
                <c:pt idx="238">
                  <c:v>4057.762868975783</c:v>
                </c:pt>
                <c:pt idx="239">
                  <c:v>4065.738705868403</c:v>
                </c:pt>
                <c:pt idx="240">
                  <c:v>4074.3852917683948</c:v>
                </c:pt>
                <c:pt idx="241">
                  <c:v>4085.7081592492391</c:v>
                </c:pt>
                <c:pt idx="242">
                  <c:v>4088.0459899288371</c:v>
                </c:pt>
                <c:pt idx="243">
                  <c:v>4097.8797506023502</c:v>
                </c:pt>
                <c:pt idx="244">
                  <c:v>4107.3880994792844</c:v>
                </c:pt>
                <c:pt idx="245">
                  <c:v>4113.9467075226967</c:v>
                </c:pt>
                <c:pt idx="246">
                  <c:v>4134.1857033922206</c:v>
                </c:pt>
                <c:pt idx="247">
                  <c:v>4139.0756485346556</c:v>
                </c:pt>
                <c:pt idx="248">
                  <c:v>4145.8876742950724</c:v>
                </c:pt>
                <c:pt idx="249">
                  <c:v>4156.765910241249</c:v>
                </c:pt>
                <c:pt idx="250">
                  <c:v>4169.5340174751818</c:v>
                </c:pt>
                <c:pt idx="251">
                  <c:v>4185.1408442010761</c:v>
                </c:pt>
                <c:pt idx="252">
                  <c:v>4197.3915099250116</c:v>
                </c:pt>
                <c:pt idx="253">
                  <c:v>4202.0029205155051</c:v>
                </c:pt>
                <c:pt idx="254">
                  <c:v>4206.4269448387859</c:v>
                </c:pt>
                <c:pt idx="255">
                  <c:v>4209.3250018096278</c:v>
                </c:pt>
                <c:pt idx="256">
                  <c:v>4210.6480852472496</c:v>
                </c:pt>
                <c:pt idx="257">
                  <c:v>4221.2709021404407</c:v>
                </c:pt>
                <c:pt idx="258">
                  <c:v>4232.3146083145093</c:v>
                </c:pt>
                <c:pt idx="259">
                  <c:v>4236.2637219721682</c:v>
                </c:pt>
                <c:pt idx="260">
                  <c:v>4238.795622881742</c:v>
                </c:pt>
                <c:pt idx="261">
                  <c:v>4249.6334748563349</c:v>
                </c:pt>
                <c:pt idx="262">
                  <c:v>4255.1398485510472</c:v>
                </c:pt>
                <c:pt idx="263">
                  <c:v>4269.977630883368</c:v>
                </c:pt>
                <c:pt idx="264">
                  <c:v>4275.300864904254</c:v>
                </c:pt>
                <c:pt idx="265">
                  <c:v>4287.7263781485071</c:v>
                </c:pt>
                <c:pt idx="266">
                  <c:v>4288.4784288729388</c:v>
                </c:pt>
                <c:pt idx="267">
                  <c:v>4294.9672370021763</c:v>
                </c:pt>
                <c:pt idx="268">
                  <c:v>4309.7793039101853</c:v>
                </c:pt>
                <c:pt idx="269">
                  <c:v>4327.6913002017254</c:v>
                </c:pt>
                <c:pt idx="270">
                  <c:v>4344.1781891148576</c:v>
                </c:pt>
                <c:pt idx="271">
                  <c:v>4360.0740089428709</c:v>
                </c:pt>
                <c:pt idx="272">
                  <c:v>4366.2645945010754</c:v>
                </c:pt>
                <c:pt idx="273">
                  <c:v>4384.9317578869759</c:v>
                </c:pt>
                <c:pt idx="274">
                  <c:v>4386.3843412594697</c:v>
                </c:pt>
                <c:pt idx="275">
                  <c:v>4401.3673327341394</c:v>
                </c:pt>
                <c:pt idx="276">
                  <c:v>4409.1172533702629</c:v>
                </c:pt>
                <c:pt idx="277">
                  <c:v>4416.5759146917608</c:v>
                </c:pt>
                <c:pt idx="278">
                  <c:v>4421.4745824465554</c:v>
                </c:pt>
                <c:pt idx="279">
                  <c:v>4426.9571764584534</c:v>
                </c:pt>
                <c:pt idx="280">
                  <c:v>4430.8092664561082</c:v>
                </c:pt>
                <c:pt idx="281">
                  <c:v>4447.3091464378576</c:v>
                </c:pt>
                <c:pt idx="282">
                  <c:v>4454.7856126837569</c:v>
                </c:pt>
                <c:pt idx="283">
                  <c:v>4457.1334767294848</c:v>
                </c:pt>
                <c:pt idx="284">
                  <c:v>4460.0938097453654</c:v>
                </c:pt>
                <c:pt idx="285">
                  <c:v>4470.3297031075399</c:v>
                </c:pt>
                <c:pt idx="286">
                  <c:v>4480.4690512725447</c:v>
                </c:pt>
                <c:pt idx="287">
                  <c:v>4496.2536475938896</c:v>
                </c:pt>
                <c:pt idx="288">
                  <c:v>4519.5529706827838</c:v>
                </c:pt>
                <c:pt idx="289">
                  <c:v>4520.1571961858281</c:v>
                </c:pt>
                <c:pt idx="290">
                  <c:v>4527.0307020367136</c:v>
                </c:pt>
                <c:pt idx="291">
                  <c:v>4546.3400131625676</c:v>
                </c:pt>
                <c:pt idx="292">
                  <c:v>4546.8963063093861</c:v>
                </c:pt>
                <c:pt idx="293">
                  <c:v>4561.3068555756727</c:v>
                </c:pt>
                <c:pt idx="294">
                  <c:v>4565.5636648609761</c:v>
                </c:pt>
                <c:pt idx="295">
                  <c:v>4578.1609320619227</c:v>
                </c:pt>
                <c:pt idx="296">
                  <c:v>4578.7454571058825</c:v>
                </c:pt>
                <c:pt idx="297">
                  <c:v>4597.9451590572589</c:v>
                </c:pt>
                <c:pt idx="298">
                  <c:v>4605.6211540685063</c:v>
                </c:pt>
                <c:pt idx="299">
                  <c:v>4646.6535165245023</c:v>
                </c:pt>
                <c:pt idx="300">
                  <c:v>4663.4079501279521</c:v>
                </c:pt>
                <c:pt idx="301">
                  <c:v>4680.8931842474076</c:v>
                </c:pt>
                <c:pt idx="302">
                  <c:v>4691.4627483280929</c:v>
                </c:pt>
                <c:pt idx="303">
                  <c:v>4703.4062642109129</c:v>
                </c:pt>
                <c:pt idx="304">
                  <c:v>4717.3647698276627</c:v>
                </c:pt>
                <c:pt idx="305">
                  <c:v>4717.402847573444</c:v>
                </c:pt>
                <c:pt idx="306">
                  <c:v>4722.718648960963</c:v>
                </c:pt>
                <c:pt idx="307">
                  <c:v>4744.0477080877627</c:v>
                </c:pt>
                <c:pt idx="308">
                  <c:v>4750.1949283779759</c:v>
                </c:pt>
                <c:pt idx="309">
                  <c:v>4752.592547607569</c:v>
                </c:pt>
                <c:pt idx="310">
                  <c:v>4771.5080272120304</c:v>
                </c:pt>
                <c:pt idx="311">
                  <c:v>4771.9287158677535</c:v>
                </c:pt>
                <c:pt idx="312">
                  <c:v>4801.6441535930098</c:v>
                </c:pt>
                <c:pt idx="313">
                  <c:v>4817.7756322021942</c:v>
                </c:pt>
                <c:pt idx="314">
                  <c:v>4820.2222616725549</c:v>
                </c:pt>
                <c:pt idx="315">
                  <c:v>4824.7091835220554</c:v>
                </c:pt>
                <c:pt idx="316">
                  <c:v>4840.2231042553794</c:v>
                </c:pt>
                <c:pt idx="317">
                  <c:v>4863.5544448817755</c:v>
                </c:pt>
                <c:pt idx="318">
                  <c:v>4866.2286470012423</c:v>
                </c:pt>
                <c:pt idx="319">
                  <c:v>4870.9488600302229</c:v>
                </c:pt>
                <c:pt idx="320">
                  <c:v>4875.263783849653</c:v>
                </c:pt>
                <c:pt idx="321">
                  <c:v>4880.5118739549735</c:v>
                </c:pt>
                <c:pt idx="322">
                  <c:v>4887.5967029197154</c:v>
                </c:pt>
                <c:pt idx="323">
                  <c:v>4897.460721034211</c:v>
                </c:pt>
                <c:pt idx="324">
                  <c:v>4928.0234379088861</c:v>
                </c:pt>
                <c:pt idx="325">
                  <c:v>4960.171892946295</c:v>
                </c:pt>
                <c:pt idx="326">
                  <c:v>4975.8937320962395</c:v>
                </c:pt>
                <c:pt idx="327">
                  <c:v>4977.0441065072373</c:v>
                </c:pt>
                <c:pt idx="328">
                  <c:v>4983.5011692621592</c:v>
                </c:pt>
                <c:pt idx="329">
                  <c:v>4986.5635957990344</c:v>
                </c:pt>
                <c:pt idx="330">
                  <c:v>4991.2342408864988</c:v>
                </c:pt>
              </c:numCache>
            </c:numRef>
          </c:xVal>
          <c:yVal>
            <c:numRef>
              <c:f>Aux_graficos!$GA$2:$GA$332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A-44A2-AF45-7FCC77D56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000"/>
          <c:min val="200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00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P_baja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Aux_graficos!$GD$2:$GD$122</c:f>
              <c:numCache>
                <c:formatCode>General</c:formatCode>
                <c:ptCount val="121"/>
                <c:pt idx="0">
                  <c:v>546.97167496593806</c:v>
                </c:pt>
                <c:pt idx="1">
                  <c:v>558.16470135396094</c:v>
                </c:pt>
                <c:pt idx="2">
                  <c:v>607.32915360145648</c:v>
                </c:pt>
                <c:pt idx="3">
                  <c:v>634.29698301898202</c:v>
                </c:pt>
                <c:pt idx="4">
                  <c:v>668.3467653773705</c:v>
                </c:pt>
                <c:pt idx="5">
                  <c:v>681.06848800431487</c:v>
                </c:pt>
                <c:pt idx="6">
                  <c:v>683.16533660242283</c:v>
                </c:pt>
                <c:pt idx="7">
                  <c:v>688.24423852165376</c:v>
                </c:pt>
                <c:pt idx="8">
                  <c:v>691.77340073409539</c:v>
                </c:pt>
                <c:pt idx="9">
                  <c:v>709.6704518480492</c:v>
                </c:pt>
                <c:pt idx="10">
                  <c:v>715.19849393561185</c:v>
                </c:pt>
                <c:pt idx="11">
                  <c:v>769.12351004287825</c:v>
                </c:pt>
                <c:pt idx="12">
                  <c:v>775.80218347083269</c:v>
                </c:pt>
                <c:pt idx="13">
                  <c:v>805.10400139102603</c:v>
                </c:pt>
                <c:pt idx="14">
                  <c:v>808.34025773909616</c:v>
                </c:pt>
                <c:pt idx="15">
                  <c:v>812.78154242868038</c:v>
                </c:pt>
                <c:pt idx="16">
                  <c:v>834.16565567747534</c:v>
                </c:pt>
                <c:pt idx="17">
                  <c:v>858.32769409496518</c:v>
                </c:pt>
                <c:pt idx="18">
                  <c:v>858.71851834016627</c:v>
                </c:pt>
                <c:pt idx="19">
                  <c:v>873.42530629934674</c:v>
                </c:pt>
                <c:pt idx="20">
                  <c:v>882.80640309614409</c:v>
                </c:pt>
                <c:pt idx="21">
                  <c:v>885.59006331456192</c:v>
                </c:pt>
                <c:pt idx="22">
                  <c:v>889.99628330024234</c:v>
                </c:pt>
                <c:pt idx="23">
                  <c:v>912.8142076572916</c:v>
                </c:pt>
                <c:pt idx="24">
                  <c:v>918.04113005762099</c:v>
                </c:pt>
                <c:pt idx="25">
                  <c:v>920.14145857205085</c:v>
                </c:pt>
                <c:pt idx="26">
                  <c:v>930.49414987767796</c:v>
                </c:pt>
                <c:pt idx="27">
                  <c:v>935.60334638726977</c:v>
                </c:pt>
                <c:pt idx="28">
                  <c:v>936.88135157308</c:v>
                </c:pt>
                <c:pt idx="29">
                  <c:v>946.08833318626057</c:v>
                </c:pt>
                <c:pt idx="30">
                  <c:v>952.44158003742996</c:v>
                </c:pt>
                <c:pt idx="31">
                  <c:v>976.81384720259041</c:v>
                </c:pt>
                <c:pt idx="32">
                  <c:v>983.01720182054078</c:v>
                </c:pt>
                <c:pt idx="33">
                  <c:v>983.21752216010361</c:v>
                </c:pt>
                <c:pt idx="34">
                  <c:v>1004.773189877077</c:v>
                </c:pt>
                <c:pt idx="35">
                  <c:v>1016.729934867299</c:v>
                </c:pt>
                <c:pt idx="36">
                  <c:v>1026.5199091775389</c:v>
                </c:pt>
                <c:pt idx="37">
                  <c:v>1030.303377686404</c:v>
                </c:pt>
                <c:pt idx="38">
                  <c:v>1032.6542947214091</c:v>
                </c:pt>
                <c:pt idx="39">
                  <c:v>1037.5588806167009</c:v>
                </c:pt>
                <c:pt idx="40">
                  <c:v>1047.0921937041351</c:v>
                </c:pt>
                <c:pt idx="41">
                  <c:v>1049.983715480241</c:v>
                </c:pt>
                <c:pt idx="42">
                  <c:v>1054.1597165565561</c:v>
                </c:pt>
                <c:pt idx="43">
                  <c:v>1057.1053586906589</c:v>
                </c:pt>
                <c:pt idx="44">
                  <c:v>1074.270243330533</c:v>
                </c:pt>
                <c:pt idx="45">
                  <c:v>1074.925149433288</c:v>
                </c:pt>
                <c:pt idx="46">
                  <c:v>1090.2461419681731</c:v>
                </c:pt>
                <c:pt idx="47">
                  <c:v>1106.3390206251161</c:v>
                </c:pt>
                <c:pt idx="48">
                  <c:v>1106.6535202822031</c:v>
                </c:pt>
                <c:pt idx="49">
                  <c:v>1110.860657709698</c:v>
                </c:pt>
                <c:pt idx="50">
                  <c:v>1112.70454033647</c:v>
                </c:pt>
                <c:pt idx="51">
                  <c:v>1122.4565306097729</c:v>
                </c:pt>
                <c:pt idx="52">
                  <c:v>1134.585646055689</c:v>
                </c:pt>
                <c:pt idx="53">
                  <c:v>1139.94078496408</c:v>
                </c:pt>
                <c:pt idx="54">
                  <c:v>1142.2956162766111</c:v>
                </c:pt>
                <c:pt idx="55">
                  <c:v>1143.9190762883941</c:v>
                </c:pt>
                <c:pt idx="56">
                  <c:v>1150.635832573309</c:v>
                </c:pt>
                <c:pt idx="57">
                  <c:v>1152.816198561386</c:v>
                </c:pt>
                <c:pt idx="58">
                  <c:v>1159.6272852179691</c:v>
                </c:pt>
                <c:pt idx="59">
                  <c:v>1168.545778067049</c:v>
                </c:pt>
                <c:pt idx="60">
                  <c:v>1182.62103642894</c:v>
                </c:pt>
                <c:pt idx="61">
                  <c:v>1184.909450503314</c:v>
                </c:pt>
                <c:pt idx="62">
                  <c:v>1187.0294111923299</c:v>
                </c:pt>
                <c:pt idx="63">
                  <c:v>1190.441137421511</c:v>
                </c:pt>
                <c:pt idx="64">
                  <c:v>1194.3069859311011</c:v>
                </c:pt>
                <c:pt idx="65">
                  <c:v>1200.548312920992</c:v>
                </c:pt>
                <c:pt idx="66">
                  <c:v>1205.063074717169</c:v>
                </c:pt>
                <c:pt idx="67">
                  <c:v>1218.7801970745261</c:v>
                </c:pt>
                <c:pt idx="68">
                  <c:v>1219.5925573944701</c:v>
                </c:pt>
                <c:pt idx="69">
                  <c:v>1224.9496971742749</c:v>
                </c:pt>
                <c:pt idx="70">
                  <c:v>1228.609862350464</c:v>
                </c:pt>
                <c:pt idx="71">
                  <c:v>1229.3347696241351</c:v>
                </c:pt>
                <c:pt idx="72">
                  <c:v>1235.270961844453</c:v>
                </c:pt>
                <c:pt idx="73">
                  <c:v>1239.9385188619869</c:v>
                </c:pt>
                <c:pt idx="74">
                  <c:v>1241.446773162118</c:v>
                </c:pt>
                <c:pt idx="75">
                  <c:v>1245.2287267604811</c:v>
                </c:pt>
                <c:pt idx="76">
                  <c:v>1253.662661973812</c:v>
                </c:pt>
                <c:pt idx="77">
                  <c:v>1263.6062808013539</c:v>
                </c:pt>
                <c:pt idx="78">
                  <c:v>1267.6822819708709</c:v>
                </c:pt>
                <c:pt idx="79">
                  <c:v>1268.657707014368</c:v>
                </c:pt>
                <c:pt idx="80">
                  <c:v>1274.8935478485951</c:v>
                </c:pt>
                <c:pt idx="81">
                  <c:v>1275.004073771255</c:v>
                </c:pt>
                <c:pt idx="82">
                  <c:v>1277.817032372805</c:v>
                </c:pt>
                <c:pt idx="83">
                  <c:v>1280.658961349689</c:v>
                </c:pt>
                <c:pt idx="84">
                  <c:v>1295.157266668871</c:v>
                </c:pt>
                <c:pt idx="85">
                  <c:v>1303.645408011819</c:v>
                </c:pt>
                <c:pt idx="86">
                  <c:v>1304.5435172953751</c:v>
                </c:pt>
                <c:pt idx="87">
                  <c:v>1307.586825936962</c:v>
                </c:pt>
                <c:pt idx="88">
                  <c:v>1315.7871292156799</c:v>
                </c:pt>
                <c:pt idx="89">
                  <c:v>1316.0522888974849</c:v>
                </c:pt>
                <c:pt idx="90">
                  <c:v>1317.2084607469169</c:v>
                </c:pt>
                <c:pt idx="91">
                  <c:v>1322.5478820211731</c:v>
                </c:pt>
                <c:pt idx="92">
                  <c:v>1325.645944743025</c:v>
                </c:pt>
                <c:pt idx="93">
                  <c:v>1326.8056002018291</c:v>
                </c:pt>
                <c:pt idx="94">
                  <c:v>1336.435912200403</c:v>
                </c:pt>
                <c:pt idx="95">
                  <c:v>1354.066158881679</c:v>
                </c:pt>
                <c:pt idx="96">
                  <c:v>1358.986474025779</c:v>
                </c:pt>
                <c:pt idx="97">
                  <c:v>1372.2307387663011</c:v>
                </c:pt>
                <c:pt idx="98">
                  <c:v>1380.5462686491071</c:v>
                </c:pt>
                <c:pt idx="99">
                  <c:v>1384.324537102322</c:v>
                </c:pt>
                <c:pt idx="100">
                  <c:v>1403.6587964200589</c:v>
                </c:pt>
                <c:pt idx="101">
                  <c:v>1403.895909483831</c:v>
                </c:pt>
                <c:pt idx="102">
                  <c:v>1406.8932144172011</c:v>
                </c:pt>
                <c:pt idx="103">
                  <c:v>1413.172395788022</c:v>
                </c:pt>
                <c:pt idx="104">
                  <c:v>1416.577729466989</c:v>
                </c:pt>
                <c:pt idx="105">
                  <c:v>1425.5349156944339</c:v>
                </c:pt>
                <c:pt idx="106">
                  <c:v>1426.6337525685531</c:v>
                </c:pt>
                <c:pt idx="107">
                  <c:v>1434.311362270726</c:v>
                </c:pt>
                <c:pt idx="108">
                  <c:v>1438.218115492034</c:v>
                </c:pt>
                <c:pt idx="109">
                  <c:v>1440.710131756108</c:v>
                </c:pt>
                <c:pt idx="110">
                  <c:v>1451.6235933969581</c:v>
                </c:pt>
                <c:pt idx="111">
                  <c:v>1453.6943084220011</c:v>
                </c:pt>
                <c:pt idx="112">
                  <c:v>1454.83498234847</c:v>
                </c:pt>
                <c:pt idx="113">
                  <c:v>1459.363534615464</c:v>
                </c:pt>
                <c:pt idx="114">
                  <c:v>1460.7125851451451</c:v>
                </c:pt>
                <c:pt idx="115">
                  <c:v>1464.8674451240281</c:v>
                </c:pt>
                <c:pt idx="116">
                  <c:v>1467.2205222666009</c:v>
                </c:pt>
                <c:pt idx="117">
                  <c:v>1471.050689542086</c:v>
                </c:pt>
                <c:pt idx="118">
                  <c:v>1479.809375298441</c:v>
                </c:pt>
                <c:pt idx="119">
                  <c:v>1490.2004929419361</c:v>
                </c:pt>
                <c:pt idx="120">
                  <c:v>1493.200032708748</c:v>
                </c:pt>
              </c:numCache>
            </c:numRef>
          </c:xVal>
          <c:yVal>
            <c:numRef>
              <c:f>Aux_graficos!$GC$2:$GC$122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06-4703-B29C-392EF38796D6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Aux_graficos!$GF$2:$GF$332</c:f>
              <c:numCache>
                <c:formatCode>General</c:formatCode>
                <c:ptCount val="331"/>
                <c:pt idx="0">
                  <c:v>302.94922999750952</c:v>
                </c:pt>
                <c:pt idx="1">
                  <c:v>304.7409728147116</c:v>
                </c:pt>
                <c:pt idx="2">
                  <c:v>306.85918415783817</c:v>
                </c:pt>
                <c:pt idx="3">
                  <c:v>308.76194064180208</c:v>
                </c:pt>
                <c:pt idx="4">
                  <c:v>314.73215967940439</c:v>
                </c:pt>
                <c:pt idx="5">
                  <c:v>316.03367410039488</c:v>
                </c:pt>
                <c:pt idx="6">
                  <c:v>316.56991964023939</c:v>
                </c:pt>
                <c:pt idx="7">
                  <c:v>321.19623247250729</c:v>
                </c:pt>
                <c:pt idx="8">
                  <c:v>321.55920181741237</c:v>
                </c:pt>
                <c:pt idx="9">
                  <c:v>327.39144229250411</c:v>
                </c:pt>
                <c:pt idx="10">
                  <c:v>328.00459858047401</c:v>
                </c:pt>
                <c:pt idx="11">
                  <c:v>335.24030954492889</c:v>
                </c:pt>
                <c:pt idx="12">
                  <c:v>337.95542829113072</c:v>
                </c:pt>
                <c:pt idx="13">
                  <c:v>340.0984549393936</c:v>
                </c:pt>
                <c:pt idx="14">
                  <c:v>340.16206457801002</c:v>
                </c:pt>
                <c:pt idx="15">
                  <c:v>342.69578050168758</c:v>
                </c:pt>
                <c:pt idx="16">
                  <c:v>347.13542630991373</c:v>
                </c:pt>
                <c:pt idx="17">
                  <c:v>351.51524519365688</c:v>
                </c:pt>
                <c:pt idx="18">
                  <c:v>352.46538038875087</c:v>
                </c:pt>
                <c:pt idx="19">
                  <c:v>352.97752943221923</c:v>
                </c:pt>
                <c:pt idx="20">
                  <c:v>355.3037031327749</c:v>
                </c:pt>
                <c:pt idx="21">
                  <c:v>356.23691745028071</c:v>
                </c:pt>
                <c:pt idx="22">
                  <c:v>360.80345072159372</c:v>
                </c:pt>
                <c:pt idx="23">
                  <c:v>362.75858533845332</c:v>
                </c:pt>
                <c:pt idx="24">
                  <c:v>366.23079889621209</c:v>
                </c:pt>
                <c:pt idx="25">
                  <c:v>367.77141340825159</c:v>
                </c:pt>
                <c:pt idx="26">
                  <c:v>368.90350075581171</c:v>
                </c:pt>
                <c:pt idx="27">
                  <c:v>374.36934432207039</c:v>
                </c:pt>
                <c:pt idx="28">
                  <c:v>375.77747588491928</c:v>
                </c:pt>
                <c:pt idx="29">
                  <c:v>376.82839650482282</c:v>
                </c:pt>
                <c:pt idx="30">
                  <c:v>379.12659497671069</c:v>
                </c:pt>
                <c:pt idx="31">
                  <c:v>386.38139212852678</c:v>
                </c:pt>
                <c:pt idx="32">
                  <c:v>388.3976991566941</c:v>
                </c:pt>
                <c:pt idx="33">
                  <c:v>392.40097664156929</c:v>
                </c:pt>
                <c:pt idx="34">
                  <c:v>395.24024168871722</c:v>
                </c:pt>
                <c:pt idx="35">
                  <c:v>400.27464436978022</c:v>
                </c:pt>
                <c:pt idx="36">
                  <c:v>401.85024446344028</c:v>
                </c:pt>
                <c:pt idx="37">
                  <c:v>410.51752020458798</c:v>
                </c:pt>
                <c:pt idx="38">
                  <c:v>412.43068781447948</c:v>
                </c:pt>
                <c:pt idx="39">
                  <c:v>417.49418257396292</c:v>
                </c:pt>
                <c:pt idx="40">
                  <c:v>419.45825195615021</c:v>
                </c:pt>
                <c:pt idx="41">
                  <c:v>420.19107100649109</c:v>
                </c:pt>
                <c:pt idx="42">
                  <c:v>420.32728337968302</c:v>
                </c:pt>
                <c:pt idx="43">
                  <c:v>425.15595113974661</c:v>
                </c:pt>
                <c:pt idx="44">
                  <c:v>427.55238855600192</c:v>
                </c:pt>
                <c:pt idx="45">
                  <c:v>428.45592024197299</c:v>
                </c:pt>
                <c:pt idx="46">
                  <c:v>433.38898524424292</c:v>
                </c:pt>
                <c:pt idx="47">
                  <c:v>436.21329595773551</c:v>
                </c:pt>
                <c:pt idx="48">
                  <c:v>437.2631795050562</c:v>
                </c:pt>
                <c:pt idx="49">
                  <c:v>440.89117872893138</c:v>
                </c:pt>
                <c:pt idx="50">
                  <c:v>443.7957771416111</c:v>
                </c:pt>
                <c:pt idx="51">
                  <c:v>444.46482910916859</c:v>
                </c:pt>
                <c:pt idx="52">
                  <c:v>446.0033245334352</c:v>
                </c:pt>
                <c:pt idx="53">
                  <c:v>451.18496691954749</c:v>
                </c:pt>
                <c:pt idx="54">
                  <c:v>451.86047491645638</c:v>
                </c:pt>
                <c:pt idx="55">
                  <c:v>455.27469191456868</c:v>
                </c:pt>
                <c:pt idx="56">
                  <c:v>456.9459612600096</c:v>
                </c:pt>
                <c:pt idx="57">
                  <c:v>457.39442154550858</c:v>
                </c:pt>
                <c:pt idx="58">
                  <c:v>462.32781348839421</c:v>
                </c:pt>
                <c:pt idx="59">
                  <c:v>463.53699324956199</c:v>
                </c:pt>
                <c:pt idx="60">
                  <c:v>467.40073994903167</c:v>
                </c:pt>
                <c:pt idx="61">
                  <c:v>469.1778674819476</c:v>
                </c:pt>
                <c:pt idx="62">
                  <c:v>475.7328549409533</c:v>
                </c:pt>
                <c:pt idx="63">
                  <c:v>478.16193812099573</c:v>
                </c:pt>
                <c:pt idx="64">
                  <c:v>480.62848274879542</c:v>
                </c:pt>
                <c:pt idx="65">
                  <c:v>484.30095586927217</c:v>
                </c:pt>
                <c:pt idx="66">
                  <c:v>486.26016700516772</c:v>
                </c:pt>
                <c:pt idx="67">
                  <c:v>488.11572473594981</c:v>
                </c:pt>
                <c:pt idx="68">
                  <c:v>495.37017408384202</c:v>
                </c:pt>
                <c:pt idx="69">
                  <c:v>496.7649004882162</c:v>
                </c:pt>
                <c:pt idx="70">
                  <c:v>498.46904100200231</c:v>
                </c:pt>
                <c:pt idx="71">
                  <c:v>498.75181721501241</c:v>
                </c:pt>
                <c:pt idx="72">
                  <c:v>500.46140341435063</c:v>
                </c:pt>
                <c:pt idx="73">
                  <c:v>505.836818781852</c:v>
                </c:pt>
                <c:pt idx="74">
                  <c:v>510.79018712914331</c:v>
                </c:pt>
                <c:pt idx="75">
                  <c:v>512.45749891888499</c:v>
                </c:pt>
                <c:pt idx="76">
                  <c:v>515.73497574056341</c:v>
                </c:pt>
                <c:pt idx="77">
                  <c:v>516.17986149170144</c:v>
                </c:pt>
                <c:pt idx="78">
                  <c:v>518.89779731228361</c:v>
                </c:pt>
                <c:pt idx="79">
                  <c:v>520.21159086120542</c:v>
                </c:pt>
                <c:pt idx="80">
                  <c:v>526.5580681328704</c:v>
                </c:pt>
                <c:pt idx="81">
                  <c:v>531.94106813674637</c:v>
                </c:pt>
                <c:pt idx="82">
                  <c:v>532.98430683877609</c:v>
                </c:pt>
                <c:pt idx="83">
                  <c:v>536.15959117261582</c:v>
                </c:pt>
                <c:pt idx="84">
                  <c:v>539.73241595649017</c:v>
                </c:pt>
                <c:pt idx="85">
                  <c:v>540.40281323403997</c:v>
                </c:pt>
                <c:pt idx="86">
                  <c:v>540.55209269816214</c:v>
                </c:pt>
                <c:pt idx="87">
                  <c:v>547.28992499836443</c:v>
                </c:pt>
                <c:pt idx="88">
                  <c:v>551.55033902060268</c:v>
                </c:pt>
                <c:pt idx="89">
                  <c:v>552.27812540830928</c:v>
                </c:pt>
                <c:pt idx="90">
                  <c:v>555.61961736125511</c:v>
                </c:pt>
                <c:pt idx="91">
                  <c:v>558.53242026543444</c:v>
                </c:pt>
                <c:pt idx="92">
                  <c:v>563.00659889068857</c:v>
                </c:pt>
                <c:pt idx="93">
                  <c:v>566.94828673631537</c:v>
                </c:pt>
                <c:pt idx="94">
                  <c:v>568.29981551802894</c:v>
                </c:pt>
                <c:pt idx="95">
                  <c:v>569.76404112574767</c:v>
                </c:pt>
                <c:pt idx="96">
                  <c:v>573.75054738810513</c:v>
                </c:pt>
                <c:pt idx="97">
                  <c:v>575.65152525243207</c:v>
                </c:pt>
                <c:pt idx="98">
                  <c:v>576.22173662295086</c:v>
                </c:pt>
                <c:pt idx="99">
                  <c:v>577.37554436747882</c:v>
                </c:pt>
                <c:pt idx="100">
                  <c:v>581.28401561413625</c:v>
                </c:pt>
                <c:pt idx="101">
                  <c:v>584.58976948871555</c:v>
                </c:pt>
                <c:pt idx="102">
                  <c:v>586.93843388817209</c:v>
                </c:pt>
                <c:pt idx="103">
                  <c:v>588.59523952306631</c:v>
                </c:pt>
                <c:pt idx="104">
                  <c:v>590.03860154080292</c:v>
                </c:pt>
                <c:pt idx="105">
                  <c:v>594.1435862840151</c:v>
                </c:pt>
                <c:pt idx="106">
                  <c:v>598.02451446693021</c:v>
                </c:pt>
                <c:pt idx="107">
                  <c:v>599.39938385898768</c:v>
                </c:pt>
                <c:pt idx="108">
                  <c:v>603.39095639371396</c:v>
                </c:pt>
                <c:pt idx="109">
                  <c:v>608.51112644013438</c:v>
                </c:pt>
                <c:pt idx="110">
                  <c:v>609.91679894622234</c:v>
                </c:pt>
                <c:pt idx="111">
                  <c:v>613.54000904415113</c:v>
                </c:pt>
                <c:pt idx="112">
                  <c:v>616.36507070137463</c:v>
                </c:pt>
                <c:pt idx="113">
                  <c:v>617.50002578166254</c:v>
                </c:pt>
                <c:pt idx="114">
                  <c:v>622.60818471278344</c:v>
                </c:pt>
                <c:pt idx="115">
                  <c:v>623.1255034237613</c:v>
                </c:pt>
                <c:pt idx="116">
                  <c:v>625.48144048993618</c:v>
                </c:pt>
                <c:pt idx="117">
                  <c:v>626.52971477076812</c:v>
                </c:pt>
                <c:pt idx="118">
                  <c:v>631.90444681090526</c:v>
                </c:pt>
                <c:pt idx="119">
                  <c:v>632.74888493453545</c:v>
                </c:pt>
                <c:pt idx="120">
                  <c:v>637.57121294509466</c:v>
                </c:pt>
                <c:pt idx="121">
                  <c:v>642.78356589947543</c:v>
                </c:pt>
                <c:pt idx="122">
                  <c:v>645.22157818689175</c:v>
                </c:pt>
                <c:pt idx="123">
                  <c:v>646.8009595769654</c:v>
                </c:pt>
                <c:pt idx="124">
                  <c:v>648.45712322620807</c:v>
                </c:pt>
                <c:pt idx="125">
                  <c:v>649.18546080007081</c:v>
                </c:pt>
                <c:pt idx="126">
                  <c:v>658.54513093283606</c:v>
                </c:pt>
                <c:pt idx="127">
                  <c:v>659.3942285039368</c:v>
                </c:pt>
                <c:pt idx="128">
                  <c:v>662.41031193744834</c:v>
                </c:pt>
                <c:pt idx="129">
                  <c:v>665.1747174796385</c:v>
                </c:pt>
                <c:pt idx="130">
                  <c:v>665.93200053815008</c:v>
                </c:pt>
                <c:pt idx="131">
                  <c:v>668.82891753323088</c:v>
                </c:pt>
                <c:pt idx="132">
                  <c:v>674.2491416886387</c:v>
                </c:pt>
                <c:pt idx="133">
                  <c:v>674.5008913892616</c:v>
                </c:pt>
                <c:pt idx="134">
                  <c:v>676.15866438313469</c:v>
                </c:pt>
                <c:pt idx="135">
                  <c:v>686.17598792300953</c:v>
                </c:pt>
                <c:pt idx="136">
                  <c:v>692.77457708626184</c:v>
                </c:pt>
                <c:pt idx="137">
                  <c:v>692.94504186664994</c:v>
                </c:pt>
                <c:pt idx="138">
                  <c:v>696.77542875741051</c:v>
                </c:pt>
                <c:pt idx="139">
                  <c:v>697.83522600114543</c:v>
                </c:pt>
                <c:pt idx="140">
                  <c:v>702.24433246413651</c:v>
                </c:pt>
                <c:pt idx="141">
                  <c:v>705.04323211145129</c:v>
                </c:pt>
                <c:pt idx="142">
                  <c:v>707.90931813205134</c:v>
                </c:pt>
                <c:pt idx="143">
                  <c:v>711.23370881009214</c:v>
                </c:pt>
                <c:pt idx="144">
                  <c:v>717.88686396880337</c:v>
                </c:pt>
                <c:pt idx="145">
                  <c:v>719.41146523408065</c:v>
                </c:pt>
                <c:pt idx="146">
                  <c:v>720.74620366693352</c:v>
                </c:pt>
                <c:pt idx="147">
                  <c:v>722.85635415038394</c:v>
                </c:pt>
                <c:pt idx="148">
                  <c:v>726.34596005734966</c:v>
                </c:pt>
                <c:pt idx="149">
                  <c:v>726.46769530342635</c:v>
                </c:pt>
                <c:pt idx="150">
                  <c:v>729.64193002893887</c:v>
                </c:pt>
                <c:pt idx="151">
                  <c:v>734.33460914835246</c:v>
                </c:pt>
                <c:pt idx="152">
                  <c:v>735.72630951178712</c:v>
                </c:pt>
                <c:pt idx="153">
                  <c:v>736.06768581246274</c:v>
                </c:pt>
                <c:pt idx="154">
                  <c:v>742.44383258630216</c:v>
                </c:pt>
                <c:pt idx="155">
                  <c:v>743.46094839347859</c:v>
                </c:pt>
                <c:pt idx="156">
                  <c:v>745.03592289800804</c:v>
                </c:pt>
                <c:pt idx="157">
                  <c:v>745.63761687732017</c:v>
                </c:pt>
                <c:pt idx="158">
                  <c:v>750.24935332394148</c:v>
                </c:pt>
                <c:pt idx="159">
                  <c:v>752.45039440498363</c:v>
                </c:pt>
                <c:pt idx="160">
                  <c:v>754.99714544963854</c:v>
                </c:pt>
                <c:pt idx="161">
                  <c:v>756.85091463292724</c:v>
                </c:pt>
                <c:pt idx="162">
                  <c:v>759.86308015841973</c:v>
                </c:pt>
                <c:pt idx="163">
                  <c:v>762.10450879218024</c:v>
                </c:pt>
                <c:pt idx="164">
                  <c:v>764.25516764549627</c:v>
                </c:pt>
                <c:pt idx="165">
                  <c:v>767.04317894877761</c:v>
                </c:pt>
                <c:pt idx="166">
                  <c:v>769.41760071309363</c:v>
                </c:pt>
                <c:pt idx="167">
                  <c:v>778.49825461222599</c:v>
                </c:pt>
                <c:pt idx="168">
                  <c:v>779.70906277378231</c:v>
                </c:pt>
                <c:pt idx="169">
                  <c:v>782.52545153384744</c:v>
                </c:pt>
                <c:pt idx="170">
                  <c:v>783.78807287014092</c:v>
                </c:pt>
                <c:pt idx="171">
                  <c:v>786.24428223266159</c:v>
                </c:pt>
                <c:pt idx="172">
                  <c:v>787.44679610310823</c:v>
                </c:pt>
                <c:pt idx="173">
                  <c:v>792.86217315303668</c:v>
                </c:pt>
                <c:pt idx="174">
                  <c:v>796.50212897008078</c:v>
                </c:pt>
                <c:pt idx="175">
                  <c:v>796.50855284554268</c:v>
                </c:pt>
                <c:pt idx="176">
                  <c:v>799.31486239923765</c:v>
                </c:pt>
                <c:pt idx="177">
                  <c:v>801.12428992705441</c:v>
                </c:pt>
                <c:pt idx="178">
                  <c:v>815.77209617820529</c:v>
                </c:pt>
                <c:pt idx="179">
                  <c:v>817.33800223752814</c:v>
                </c:pt>
                <c:pt idx="180">
                  <c:v>820.08193500838001</c:v>
                </c:pt>
                <c:pt idx="181">
                  <c:v>827.11127531487443</c:v>
                </c:pt>
                <c:pt idx="182">
                  <c:v>828.3142548484592</c:v>
                </c:pt>
                <c:pt idx="183">
                  <c:v>830.47621839296403</c:v>
                </c:pt>
                <c:pt idx="184">
                  <c:v>836.05831694657627</c:v>
                </c:pt>
                <c:pt idx="185">
                  <c:v>838.66486664302386</c:v>
                </c:pt>
                <c:pt idx="186">
                  <c:v>841.0457733940583</c:v>
                </c:pt>
                <c:pt idx="187">
                  <c:v>841.64949983374345</c:v>
                </c:pt>
                <c:pt idx="188">
                  <c:v>847.13068235478227</c:v>
                </c:pt>
                <c:pt idx="189">
                  <c:v>853.35442767123982</c:v>
                </c:pt>
                <c:pt idx="190">
                  <c:v>857.33095370029355</c:v>
                </c:pt>
                <c:pt idx="191">
                  <c:v>861.98322112454161</c:v>
                </c:pt>
                <c:pt idx="192">
                  <c:v>867.10217362629533</c:v>
                </c:pt>
                <c:pt idx="193">
                  <c:v>867.75388844891245</c:v>
                </c:pt>
                <c:pt idx="194">
                  <c:v>871.91060596327191</c:v>
                </c:pt>
                <c:pt idx="195">
                  <c:v>872.20860390269002</c:v>
                </c:pt>
                <c:pt idx="196">
                  <c:v>879.44979149559902</c:v>
                </c:pt>
                <c:pt idx="197">
                  <c:v>887.93968167136313</c:v>
                </c:pt>
                <c:pt idx="198">
                  <c:v>890.64743267284507</c:v>
                </c:pt>
                <c:pt idx="199">
                  <c:v>894.05451334329746</c:v>
                </c:pt>
                <c:pt idx="200">
                  <c:v>894.32595495804526</c:v>
                </c:pt>
                <c:pt idx="201">
                  <c:v>899.11822816746815</c:v>
                </c:pt>
                <c:pt idx="202">
                  <c:v>902.19488853075541</c:v>
                </c:pt>
                <c:pt idx="203">
                  <c:v>905.05150523572115</c:v>
                </c:pt>
                <c:pt idx="204">
                  <c:v>905.09328195009596</c:v>
                </c:pt>
                <c:pt idx="205">
                  <c:v>909.42099471551683</c:v>
                </c:pt>
                <c:pt idx="206">
                  <c:v>911.75194407294634</c:v>
                </c:pt>
                <c:pt idx="207">
                  <c:v>913.581366835484</c:v>
                </c:pt>
                <c:pt idx="208">
                  <c:v>916.06358348158994</c:v>
                </c:pt>
                <c:pt idx="209">
                  <c:v>927.99894736538101</c:v>
                </c:pt>
                <c:pt idx="210">
                  <c:v>931.21055785901979</c:v>
                </c:pt>
                <c:pt idx="211">
                  <c:v>942.98083881707078</c:v>
                </c:pt>
                <c:pt idx="212">
                  <c:v>952.67903674035483</c:v>
                </c:pt>
                <c:pt idx="213">
                  <c:v>957.06160811266204</c:v>
                </c:pt>
                <c:pt idx="214">
                  <c:v>957.69158256323158</c:v>
                </c:pt>
                <c:pt idx="215">
                  <c:v>964.89582692552403</c:v>
                </c:pt>
                <c:pt idx="216">
                  <c:v>967.34254318297076</c:v>
                </c:pt>
                <c:pt idx="217">
                  <c:v>968.70859193346837</c:v>
                </c:pt>
                <c:pt idx="218">
                  <c:v>970.62874952287541</c:v>
                </c:pt>
                <c:pt idx="219">
                  <c:v>973.33512700297285</c:v>
                </c:pt>
                <c:pt idx="220">
                  <c:v>973.71170796292085</c:v>
                </c:pt>
                <c:pt idx="221">
                  <c:v>984.64872997643101</c:v>
                </c:pt>
                <c:pt idx="222">
                  <c:v>987.85461202038402</c:v>
                </c:pt>
                <c:pt idx="223">
                  <c:v>991.52080837900644</c:v>
                </c:pt>
                <c:pt idx="224">
                  <c:v>993.79608221399837</c:v>
                </c:pt>
                <c:pt idx="225">
                  <c:v>994.83343637337964</c:v>
                </c:pt>
                <c:pt idx="226">
                  <c:v>997.26313839175043</c:v>
                </c:pt>
                <c:pt idx="227">
                  <c:v>1002.139181562782</c:v>
                </c:pt>
                <c:pt idx="228">
                  <c:v>1004.95873018104</c:v>
                </c:pt>
                <c:pt idx="229">
                  <c:v>1008.827607153711</c:v>
                </c:pt>
                <c:pt idx="230">
                  <c:v>1013.429226631598</c:v>
                </c:pt>
                <c:pt idx="231">
                  <c:v>1013.86509483878</c:v>
                </c:pt>
                <c:pt idx="232">
                  <c:v>1015.9924472955061</c:v>
                </c:pt>
                <c:pt idx="233">
                  <c:v>1021.9229607726249</c:v>
                </c:pt>
                <c:pt idx="234">
                  <c:v>1023.255776400223</c:v>
                </c:pt>
                <c:pt idx="235">
                  <c:v>1027.942471087398</c:v>
                </c:pt>
                <c:pt idx="236">
                  <c:v>1038.3428151751759</c:v>
                </c:pt>
                <c:pt idx="237">
                  <c:v>1042.197856953135</c:v>
                </c:pt>
                <c:pt idx="238">
                  <c:v>1049.26403831999</c:v>
                </c:pt>
                <c:pt idx="239">
                  <c:v>1054.642460606296</c:v>
                </c:pt>
                <c:pt idx="240">
                  <c:v>1058.2553474703741</c:v>
                </c:pt>
                <c:pt idx="241">
                  <c:v>1063.3350922728739</c:v>
                </c:pt>
                <c:pt idx="242">
                  <c:v>1063.7010080151611</c:v>
                </c:pt>
                <c:pt idx="243">
                  <c:v>1067.248236821704</c:v>
                </c:pt>
                <c:pt idx="244">
                  <c:v>1068.7287212292019</c:v>
                </c:pt>
                <c:pt idx="245">
                  <c:v>1072.2610352197919</c:v>
                </c:pt>
                <c:pt idx="246">
                  <c:v>1078.9526693895129</c:v>
                </c:pt>
                <c:pt idx="247">
                  <c:v>1082.7528064791429</c:v>
                </c:pt>
                <c:pt idx="248">
                  <c:v>1084.441098746134</c:v>
                </c:pt>
                <c:pt idx="249">
                  <c:v>1089.357485633039</c:v>
                </c:pt>
                <c:pt idx="250">
                  <c:v>1094.4390403641489</c:v>
                </c:pt>
                <c:pt idx="251">
                  <c:v>1097.6457094238469</c:v>
                </c:pt>
                <c:pt idx="252">
                  <c:v>1101.886053225254</c:v>
                </c:pt>
                <c:pt idx="253">
                  <c:v>1103.05835450258</c:v>
                </c:pt>
                <c:pt idx="254">
                  <c:v>1112.256411872577</c:v>
                </c:pt>
                <c:pt idx="255">
                  <c:v>1119.3285801886609</c:v>
                </c:pt>
                <c:pt idx="256">
                  <c:v>1121.2688664833081</c:v>
                </c:pt>
                <c:pt idx="257">
                  <c:v>1124.420413302747</c:v>
                </c:pt>
                <c:pt idx="258">
                  <c:v>1130.3791760319129</c:v>
                </c:pt>
                <c:pt idx="259">
                  <c:v>1138.9439763450359</c:v>
                </c:pt>
                <c:pt idx="260">
                  <c:v>1145.6968651424461</c:v>
                </c:pt>
                <c:pt idx="261">
                  <c:v>1150.143753512928</c:v>
                </c:pt>
                <c:pt idx="262">
                  <c:v>1152.0911325165939</c:v>
                </c:pt>
                <c:pt idx="263">
                  <c:v>1159.0431504363009</c:v>
                </c:pt>
                <c:pt idx="264">
                  <c:v>1161.2752681388549</c:v>
                </c:pt>
                <c:pt idx="265">
                  <c:v>1165.1772642822559</c:v>
                </c:pt>
                <c:pt idx="266">
                  <c:v>1168.6771968935841</c:v>
                </c:pt>
                <c:pt idx="267">
                  <c:v>1171.4294401515101</c:v>
                </c:pt>
                <c:pt idx="268">
                  <c:v>1172.0821141990141</c:v>
                </c:pt>
                <c:pt idx="269">
                  <c:v>1181.9359841452101</c:v>
                </c:pt>
                <c:pt idx="270">
                  <c:v>1188.461165331636</c:v>
                </c:pt>
                <c:pt idx="271">
                  <c:v>1196.501615209263</c:v>
                </c:pt>
                <c:pt idx="272">
                  <c:v>1198.0715033697629</c:v>
                </c:pt>
                <c:pt idx="273">
                  <c:v>1200.8676998024521</c:v>
                </c:pt>
                <c:pt idx="274">
                  <c:v>1208.258783111841</c:v>
                </c:pt>
                <c:pt idx="275">
                  <c:v>1213.074960151908</c:v>
                </c:pt>
                <c:pt idx="276">
                  <c:v>1213.870757203076</c:v>
                </c:pt>
                <c:pt idx="277">
                  <c:v>1233.3481731655511</c:v>
                </c:pt>
                <c:pt idx="278">
                  <c:v>1240.754443539701</c:v>
                </c:pt>
                <c:pt idx="279">
                  <c:v>1247.611980786854</c:v>
                </c:pt>
                <c:pt idx="280">
                  <c:v>1248.24885800572</c:v>
                </c:pt>
                <c:pt idx="281">
                  <c:v>1251.20882915582</c:v>
                </c:pt>
                <c:pt idx="282">
                  <c:v>1254.520050129621</c:v>
                </c:pt>
                <c:pt idx="283">
                  <c:v>1257.8624160393749</c:v>
                </c:pt>
                <c:pt idx="284">
                  <c:v>1265.4748958349419</c:v>
                </c:pt>
                <c:pt idx="285">
                  <c:v>1284.2384330569739</c:v>
                </c:pt>
                <c:pt idx="286">
                  <c:v>1288.8254495376279</c:v>
                </c:pt>
                <c:pt idx="287">
                  <c:v>1291.098246882884</c:v>
                </c:pt>
                <c:pt idx="288">
                  <c:v>1291.3361311195069</c:v>
                </c:pt>
                <c:pt idx="289">
                  <c:v>1301.092690119161</c:v>
                </c:pt>
                <c:pt idx="290">
                  <c:v>1310.7399075267499</c:v>
                </c:pt>
                <c:pt idx="291">
                  <c:v>1312.976037108916</c:v>
                </c:pt>
                <c:pt idx="292">
                  <c:v>1321.240701376639</c:v>
                </c:pt>
                <c:pt idx="293">
                  <c:v>1329.3637888743431</c:v>
                </c:pt>
                <c:pt idx="294">
                  <c:v>1334.2338684319161</c:v>
                </c:pt>
                <c:pt idx="295">
                  <c:v>1335.5491559638799</c:v>
                </c:pt>
                <c:pt idx="296">
                  <c:v>1340.3058027406059</c:v>
                </c:pt>
                <c:pt idx="297">
                  <c:v>1344.9389442916331</c:v>
                </c:pt>
                <c:pt idx="298">
                  <c:v>1355.1835949536519</c:v>
                </c:pt>
                <c:pt idx="299">
                  <c:v>1356.4623282553241</c:v>
                </c:pt>
                <c:pt idx="300">
                  <c:v>1363.5481735925921</c:v>
                </c:pt>
                <c:pt idx="301">
                  <c:v>1365.887774483243</c:v>
                </c:pt>
                <c:pt idx="302">
                  <c:v>1366.330640150393</c:v>
                </c:pt>
                <c:pt idx="303">
                  <c:v>1369.5644733863919</c:v>
                </c:pt>
                <c:pt idx="304">
                  <c:v>1378.2294780991019</c:v>
                </c:pt>
                <c:pt idx="305">
                  <c:v>1381.1199823667009</c:v>
                </c:pt>
                <c:pt idx="306">
                  <c:v>1386.5014194316329</c:v>
                </c:pt>
                <c:pt idx="307">
                  <c:v>1389.747100071894</c:v>
                </c:pt>
                <c:pt idx="308">
                  <c:v>1392.707347050828</c:v>
                </c:pt>
                <c:pt idx="309">
                  <c:v>1392.940294092044</c:v>
                </c:pt>
                <c:pt idx="310">
                  <c:v>1399.190997438363</c:v>
                </c:pt>
                <c:pt idx="311">
                  <c:v>1408.8412684195271</c:v>
                </c:pt>
                <c:pt idx="312">
                  <c:v>1410.7019134577531</c:v>
                </c:pt>
                <c:pt idx="313">
                  <c:v>1413.2793064047571</c:v>
                </c:pt>
                <c:pt idx="314">
                  <c:v>1420.202265011503</c:v>
                </c:pt>
                <c:pt idx="315">
                  <c:v>1430.5547156754119</c:v>
                </c:pt>
                <c:pt idx="316">
                  <c:v>1431.58017366385</c:v>
                </c:pt>
                <c:pt idx="317">
                  <c:v>1438.2660417190521</c:v>
                </c:pt>
                <c:pt idx="318">
                  <c:v>1444.1201009951351</c:v>
                </c:pt>
                <c:pt idx="319">
                  <c:v>1445.7112446176379</c:v>
                </c:pt>
                <c:pt idx="320">
                  <c:v>1448.8852440251931</c:v>
                </c:pt>
                <c:pt idx="321">
                  <c:v>1459.893668561017</c:v>
                </c:pt>
                <c:pt idx="322">
                  <c:v>1471.103642271848</c:v>
                </c:pt>
                <c:pt idx="323">
                  <c:v>1472.987916922285</c:v>
                </c:pt>
                <c:pt idx="324">
                  <c:v>1477.9669025281239</c:v>
                </c:pt>
                <c:pt idx="325">
                  <c:v>1483.107052397032</c:v>
                </c:pt>
                <c:pt idx="326">
                  <c:v>1484.6243814641221</c:v>
                </c:pt>
                <c:pt idx="327">
                  <c:v>1485.3353842265569</c:v>
                </c:pt>
                <c:pt idx="328">
                  <c:v>1489.610249973807</c:v>
                </c:pt>
                <c:pt idx="329">
                  <c:v>1497.185787006144</c:v>
                </c:pt>
                <c:pt idx="330">
                  <c:v>1497.9965048542119</c:v>
                </c:pt>
              </c:numCache>
            </c:numRef>
          </c:xVal>
          <c:yVal>
            <c:numRef>
              <c:f>Aux_graficos!$GE$2:$GE$332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06-4703-B29C-392EF3879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500"/>
          <c:min val="25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250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x_b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Aux_graficos!$GH$2:$GH$122</c:f>
              <c:numCache>
                <c:formatCode>General</c:formatCode>
                <c:ptCount val="121"/>
                <c:pt idx="0">
                  <c:v>0.5071073020521002</c:v>
                </c:pt>
                <c:pt idx="1">
                  <c:v>0.50743555727804646</c:v>
                </c:pt>
                <c:pt idx="2">
                  <c:v>0.50989804151527252</c:v>
                </c:pt>
                <c:pt idx="3">
                  <c:v>0.5108428268721068</c:v>
                </c:pt>
                <c:pt idx="4">
                  <c:v>0.51100709602686334</c:v>
                </c:pt>
                <c:pt idx="5">
                  <c:v>0.51225172784230644</c:v>
                </c:pt>
                <c:pt idx="6">
                  <c:v>0.51415253416842666</c:v>
                </c:pt>
                <c:pt idx="7">
                  <c:v>0.51640470657971216</c:v>
                </c:pt>
                <c:pt idx="8">
                  <c:v>0.51844171619868995</c:v>
                </c:pt>
                <c:pt idx="9">
                  <c:v>0.51867265738364687</c:v>
                </c:pt>
                <c:pt idx="10">
                  <c:v>0.52429752892687709</c:v>
                </c:pt>
                <c:pt idx="11">
                  <c:v>0.52537546515263167</c:v>
                </c:pt>
                <c:pt idx="12">
                  <c:v>0.52707095730327747</c:v>
                </c:pt>
                <c:pt idx="13">
                  <c:v>0.52919020572614706</c:v>
                </c:pt>
                <c:pt idx="14">
                  <c:v>0.53175995550004507</c:v>
                </c:pt>
                <c:pt idx="15">
                  <c:v>0.53566822378856083</c:v>
                </c:pt>
                <c:pt idx="16">
                  <c:v>0.53568500458537538</c:v>
                </c:pt>
                <c:pt idx="17">
                  <c:v>0.53860077564305986</c:v>
                </c:pt>
                <c:pt idx="18">
                  <c:v>0.53951044400681569</c:v>
                </c:pt>
                <c:pt idx="19">
                  <c:v>0.54021767578909918</c:v>
                </c:pt>
                <c:pt idx="20">
                  <c:v>0.54030264945456574</c:v>
                </c:pt>
                <c:pt idx="21">
                  <c:v>0.54167721161661686</c:v>
                </c:pt>
                <c:pt idx="22">
                  <c:v>0.54382050970939155</c:v>
                </c:pt>
                <c:pt idx="23">
                  <c:v>0.54434907345719263</c:v>
                </c:pt>
                <c:pt idx="24">
                  <c:v>0.54644885055604331</c:v>
                </c:pt>
                <c:pt idx="25">
                  <c:v>0.54738173181763083</c:v>
                </c:pt>
                <c:pt idx="26">
                  <c:v>0.54763421312905414</c:v>
                </c:pt>
                <c:pt idx="27">
                  <c:v>0.55045529131118764</c:v>
                </c:pt>
                <c:pt idx="28">
                  <c:v>0.55068863189075734</c:v>
                </c:pt>
                <c:pt idx="29">
                  <c:v>0.5540502045846063</c:v>
                </c:pt>
                <c:pt idx="30">
                  <c:v>0.55644162847095036</c:v>
                </c:pt>
                <c:pt idx="31">
                  <c:v>0.55726919839467659</c:v>
                </c:pt>
                <c:pt idx="32">
                  <c:v>0.56049018126497419</c:v>
                </c:pt>
                <c:pt idx="33">
                  <c:v>0.56156434511400111</c:v>
                </c:pt>
                <c:pt idx="34">
                  <c:v>0.56705486723843657</c:v>
                </c:pt>
                <c:pt idx="35">
                  <c:v>0.56988156936211343</c:v>
                </c:pt>
                <c:pt idx="36">
                  <c:v>0.5703551029323306</c:v>
                </c:pt>
                <c:pt idx="37">
                  <c:v>0.57247319433572519</c:v>
                </c:pt>
                <c:pt idx="38">
                  <c:v>0.5727930247790437</c:v>
                </c:pt>
                <c:pt idx="39">
                  <c:v>0.57507910573551313</c:v>
                </c:pt>
                <c:pt idx="40">
                  <c:v>0.57648903080911851</c:v>
                </c:pt>
                <c:pt idx="41">
                  <c:v>0.57813603755992082</c:v>
                </c:pt>
                <c:pt idx="42">
                  <c:v>0.58086090217559816</c:v>
                </c:pt>
                <c:pt idx="43">
                  <c:v>0.5844227708410078</c:v>
                </c:pt>
                <c:pt idx="44">
                  <c:v>0.58448991706219633</c:v>
                </c:pt>
                <c:pt idx="45">
                  <c:v>0.58624052828224626</c:v>
                </c:pt>
                <c:pt idx="46">
                  <c:v>0.59596049039899957</c:v>
                </c:pt>
                <c:pt idx="47">
                  <c:v>0.5961702593981435</c:v>
                </c:pt>
                <c:pt idx="48">
                  <c:v>0.59918241442558928</c:v>
                </c:pt>
                <c:pt idx="49">
                  <c:v>0.60218844581848674</c:v>
                </c:pt>
                <c:pt idx="50">
                  <c:v>0.6055933834579269</c:v>
                </c:pt>
                <c:pt idx="51">
                  <c:v>0.61413296734675438</c:v>
                </c:pt>
                <c:pt idx="52">
                  <c:v>0.61488157406739241</c:v>
                </c:pt>
                <c:pt idx="53">
                  <c:v>0.61859067847805527</c:v>
                </c:pt>
                <c:pt idx="54">
                  <c:v>0.62290833132835388</c:v>
                </c:pt>
                <c:pt idx="55">
                  <c:v>0.62455433447845743</c:v>
                </c:pt>
                <c:pt idx="56">
                  <c:v>0.62618735686252591</c:v>
                </c:pt>
                <c:pt idx="57">
                  <c:v>0.62769737806523196</c:v>
                </c:pt>
                <c:pt idx="58">
                  <c:v>0.62947447780657817</c:v>
                </c:pt>
                <c:pt idx="59">
                  <c:v>0.63474897094989513</c:v>
                </c:pt>
                <c:pt idx="60">
                  <c:v>0.63673251149855425</c:v>
                </c:pt>
                <c:pt idx="61">
                  <c:v>0.63683336837797766</c:v>
                </c:pt>
                <c:pt idx="62">
                  <c:v>0.63878258724655201</c:v>
                </c:pt>
                <c:pt idx="63">
                  <c:v>0.64205869810001592</c:v>
                </c:pt>
                <c:pt idx="64">
                  <c:v>0.64357982762039123</c:v>
                </c:pt>
                <c:pt idx="65">
                  <c:v>0.64459257956660909</c:v>
                </c:pt>
                <c:pt idx="66">
                  <c:v>0.64570983755757638</c:v>
                </c:pt>
                <c:pt idx="67">
                  <c:v>0.65024356500045744</c:v>
                </c:pt>
                <c:pt idx="68">
                  <c:v>0.65916267493344016</c:v>
                </c:pt>
                <c:pt idx="69">
                  <c:v>0.66016838268168998</c:v>
                </c:pt>
                <c:pt idx="70">
                  <c:v>0.66318922582208684</c:v>
                </c:pt>
                <c:pt idx="71">
                  <c:v>0.66606706112464553</c:v>
                </c:pt>
                <c:pt idx="72">
                  <c:v>0.66930321305918672</c:v>
                </c:pt>
                <c:pt idx="73">
                  <c:v>0.67154196303888603</c:v>
                </c:pt>
                <c:pt idx="74">
                  <c:v>0.67204577776221985</c:v>
                </c:pt>
                <c:pt idx="75">
                  <c:v>0.67512277009229482</c:v>
                </c:pt>
                <c:pt idx="76">
                  <c:v>0.67667892114557038</c:v>
                </c:pt>
                <c:pt idx="77">
                  <c:v>0.67829733257299818</c:v>
                </c:pt>
                <c:pt idx="78">
                  <c:v>0.68652646407654161</c:v>
                </c:pt>
                <c:pt idx="79">
                  <c:v>0.68888708151587219</c:v>
                </c:pt>
                <c:pt idx="80">
                  <c:v>0.69153386432401975</c:v>
                </c:pt>
                <c:pt idx="81">
                  <c:v>0.69733215102558188</c:v>
                </c:pt>
                <c:pt idx="82">
                  <c:v>0.70167270814000071</c:v>
                </c:pt>
                <c:pt idx="83">
                  <c:v>0.70377263779995702</c:v>
                </c:pt>
                <c:pt idx="84">
                  <c:v>0.70401100111647019</c:v>
                </c:pt>
                <c:pt idx="85">
                  <c:v>0.70503660932993317</c:v>
                </c:pt>
                <c:pt idx="86">
                  <c:v>0.70508289010649283</c:v>
                </c:pt>
                <c:pt idx="87">
                  <c:v>0.70866050570089389</c:v>
                </c:pt>
                <c:pt idx="88">
                  <c:v>0.71208662202770356</c:v>
                </c:pt>
                <c:pt idx="89">
                  <c:v>0.71339571330921192</c:v>
                </c:pt>
                <c:pt idx="90">
                  <c:v>0.71428877394500123</c:v>
                </c:pt>
                <c:pt idx="91">
                  <c:v>0.71702002700931544</c:v>
                </c:pt>
                <c:pt idx="92">
                  <c:v>0.71944636017583519</c:v>
                </c:pt>
                <c:pt idx="93">
                  <c:v>0.72174685382309767</c:v>
                </c:pt>
                <c:pt idx="94">
                  <c:v>0.7235830504858638</c:v>
                </c:pt>
                <c:pt idx="95">
                  <c:v>0.72784316080113109</c:v>
                </c:pt>
                <c:pt idx="96">
                  <c:v>0.73196077033634221</c:v>
                </c:pt>
                <c:pt idx="97">
                  <c:v>0.73380220495551252</c:v>
                </c:pt>
                <c:pt idx="98">
                  <c:v>0.73544576419754049</c:v>
                </c:pt>
                <c:pt idx="99">
                  <c:v>0.74291670030413259</c:v>
                </c:pt>
                <c:pt idx="100">
                  <c:v>0.74945503937130242</c:v>
                </c:pt>
                <c:pt idx="101">
                  <c:v>0.75223186826669497</c:v>
                </c:pt>
                <c:pt idx="102">
                  <c:v>0.75428190536062811</c:v>
                </c:pt>
                <c:pt idx="103">
                  <c:v>0.75975331846867955</c:v>
                </c:pt>
                <c:pt idx="104">
                  <c:v>0.76402022919360157</c:v>
                </c:pt>
                <c:pt idx="105">
                  <c:v>0.77244675848515754</c:v>
                </c:pt>
                <c:pt idx="106">
                  <c:v>0.77329808042814041</c:v>
                </c:pt>
                <c:pt idx="107">
                  <c:v>0.77998932279625433</c:v>
                </c:pt>
                <c:pt idx="108">
                  <c:v>0.78233303490919615</c:v>
                </c:pt>
                <c:pt idx="109">
                  <c:v>0.79007107826674572</c:v>
                </c:pt>
                <c:pt idx="110">
                  <c:v>0.79298242659503004</c:v>
                </c:pt>
                <c:pt idx="111">
                  <c:v>0.79775648811718469</c:v>
                </c:pt>
                <c:pt idx="112">
                  <c:v>0.80283406970450666</c:v>
                </c:pt>
                <c:pt idx="113">
                  <c:v>0.808469517190753</c:v>
                </c:pt>
                <c:pt idx="114">
                  <c:v>0.81746601291172549</c:v>
                </c:pt>
                <c:pt idx="115">
                  <c:v>0.82054696675214434</c:v>
                </c:pt>
                <c:pt idx="116">
                  <c:v>0.82444026397392878</c:v>
                </c:pt>
                <c:pt idx="117">
                  <c:v>0.82469698677461878</c:v>
                </c:pt>
                <c:pt idx="118">
                  <c:v>0.82624501452189847</c:v>
                </c:pt>
                <c:pt idx="119">
                  <c:v>0.82752078087078262</c:v>
                </c:pt>
                <c:pt idx="120">
                  <c:v>0.84539052159424788</c:v>
                </c:pt>
              </c:numCache>
            </c:numRef>
          </c:xVal>
          <c:yVal>
            <c:numRef>
              <c:f>Aux_graficos!$GG$2:$GG$122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62-4818-A85A-1DF673CD3982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Aux_graficos!$GJ$2:$GJ$332</c:f>
              <c:numCache>
                <c:formatCode>General</c:formatCode>
                <c:ptCount val="331"/>
                <c:pt idx="0">
                  <c:v>0.50011543599578079</c:v>
                </c:pt>
                <c:pt idx="1">
                  <c:v>0.50016995973274325</c:v>
                </c:pt>
                <c:pt idx="2">
                  <c:v>0.50157280112969926</c:v>
                </c:pt>
                <c:pt idx="3">
                  <c:v>0.50238355311783867</c:v>
                </c:pt>
                <c:pt idx="4">
                  <c:v>0.50289026448000895</c:v>
                </c:pt>
                <c:pt idx="5">
                  <c:v>0.50360020753446699</c:v>
                </c:pt>
                <c:pt idx="6">
                  <c:v>0.50435089252548659</c:v>
                </c:pt>
                <c:pt idx="7">
                  <c:v>0.50632277123170177</c:v>
                </c:pt>
                <c:pt idx="8">
                  <c:v>0.50885435303368631</c:v>
                </c:pt>
                <c:pt idx="9">
                  <c:v>0.51299677131383736</c:v>
                </c:pt>
                <c:pt idx="10">
                  <c:v>0.51528526307811162</c:v>
                </c:pt>
                <c:pt idx="11">
                  <c:v>0.51616667692486828</c:v>
                </c:pt>
                <c:pt idx="12">
                  <c:v>0.51969585808667962</c:v>
                </c:pt>
                <c:pt idx="13">
                  <c:v>0.51986106439915736</c:v>
                </c:pt>
                <c:pt idx="14">
                  <c:v>0.52126025469447146</c:v>
                </c:pt>
                <c:pt idx="15">
                  <c:v>0.5232072908744213</c:v>
                </c:pt>
                <c:pt idx="16">
                  <c:v>0.52592586371704875</c:v>
                </c:pt>
                <c:pt idx="17">
                  <c:v>0.52827854264119078</c:v>
                </c:pt>
                <c:pt idx="18">
                  <c:v>0.52972988841868329</c:v>
                </c:pt>
                <c:pt idx="19">
                  <c:v>0.53059217931732061</c:v>
                </c:pt>
                <c:pt idx="20">
                  <c:v>0.53135515590883087</c:v>
                </c:pt>
                <c:pt idx="21">
                  <c:v>0.53225438066322195</c:v>
                </c:pt>
                <c:pt idx="22">
                  <c:v>0.53293391098760845</c:v>
                </c:pt>
                <c:pt idx="23">
                  <c:v>0.53428331231430404</c:v>
                </c:pt>
                <c:pt idx="24">
                  <c:v>0.53454280907428042</c:v>
                </c:pt>
                <c:pt idx="25">
                  <c:v>0.53630347470077955</c:v>
                </c:pt>
                <c:pt idx="26">
                  <c:v>0.53782640633498091</c:v>
                </c:pt>
                <c:pt idx="27">
                  <c:v>0.54231114459156748</c:v>
                </c:pt>
                <c:pt idx="28">
                  <c:v>0.54326091556160627</c:v>
                </c:pt>
                <c:pt idx="29">
                  <c:v>0.54502705307287402</c:v>
                </c:pt>
                <c:pt idx="30">
                  <c:v>0.54622266994522184</c:v>
                </c:pt>
                <c:pt idx="31">
                  <c:v>0.54991238191022207</c:v>
                </c:pt>
                <c:pt idx="32">
                  <c:v>0.55168317340371398</c:v>
                </c:pt>
                <c:pt idx="33">
                  <c:v>0.55259031681912862</c:v>
                </c:pt>
                <c:pt idx="34">
                  <c:v>0.55347665715374228</c:v>
                </c:pt>
                <c:pt idx="35">
                  <c:v>0.55459452131104903</c:v>
                </c:pt>
                <c:pt idx="36">
                  <c:v>0.55572875304609093</c:v>
                </c:pt>
                <c:pt idx="37">
                  <c:v>0.55727089381209793</c:v>
                </c:pt>
                <c:pt idx="38">
                  <c:v>0.55791715863288538</c:v>
                </c:pt>
                <c:pt idx="39">
                  <c:v>0.56023097590125603</c:v>
                </c:pt>
                <c:pt idx="40">
                  <c:v>0.5609096114881178</c:v>
                </c:pt>
                <c:pt idx="41">
                  <c:v>0.56256152776529977</c:v>
                </c:pt>
                <c:pt idx="42">
                  <c:v>0.56417643637646786</c:v>
                </c:pt>
                <c:pt idx="43">
                  <c:v>0.56459409128654392</c:v>
                </c:pt>
                <c:pt idx="44">
                  <c:v>0.56505371519251779</c:v>
                </c:pt>
                <c:pt idx="45">
                  <c:v>0.56659420731310717</c:v>
                </c:pt>
                <c:pt idx="46">
                  <c:v>0.56814116480429899</c:v>
                </c:pt>
                <c:pt idx="47">
                  <c:v>0.56959765249234406</c:v>
                </c:pt>
                <c:pt idx="48">
                  <c:v>0.57086807264621375</c:v>
                </c:pt>
                <c:pt idx="49">
                  <c:v>0.57149800509950199</c:v>
                </c:pt>
                <c:pt idx="50">
                  <c:v>0.57425897601366227</c:v>
                </c:pt>
                <c:pt idx="51">
                  <c:v>0.57499383535701964</c:v>
                </c:pt>
                <c:pt idx="52">
                  <c:v>0.57642669991558471</c:v>
                </c:pt>
                <c:pt idx="53">
                  <c:v>0.5779922827154379</c:v>
                </c:pt>
                <c:pt idx="54">
                  <c:v>0.57876118128741938</c:v>
                </c:pt>
                <c:pt idx="55">
                  <c:v>0.5804817754448367</c:v>
                </c:pt>
                <c:pt idx="56">
                  <c:v>0.58201938884009552</c:v>
                </c:pt>
                <c:pt idx="57">
                  <c:v>0.58362589893460015</c:v>
                </c:pt>
                <c:pt idx="58">
                  <c:v>0.58664257137513798</c:v>
                </c:pt>
                <c:pt idx="59">
                  <c:v>0.58717185561414575</c:v>
                </c:pt>
                <c:pt idx="60">
                  <c:v>0.58791090693586767</c:v>
                </c:pt>
                <c:pt idx="61">
                  <c:v>0.58814164084424148</c:v>
                </c:pt>
                <c:pt idx="62">
                  <c:v>0.58973069381185672</c:v>
                </c:pt>
                <c:pt idx="63">
                  <c:v>0.59043235658589621</c:v>
                </c:pt>
                <c:pt idx="64">
                  <c:v>0.59065405242733382</c:v>
                </c:pt>
                <c:pt idx="65">
                  <c:v>0.59144942968123093</c:v>
                </c:pt>
                <c:pt idx="66">
                  <c:v>0.59248042630641828</c:v>
                </c:pt>
                <c:pt idx="67">
                  <c:v>0.59270496239097126</c:v>
                </c:pt>
                <c:pt idx="68">
                  <c:v>0.59390492738144873</c:v>
                </c:pt>
                <c:pt idx="69">
                  <c:v>0.59391891819066145</c:v>
                </c:pt>
                <c:pt idx="70">
                  <c:v>0.59502674640895292</c:v>
                </c:pt>
                <c:pt idx="71">
                  <c:v>0.59733469170084275</c:v>
                </c:pt>
                <c:pt idx="72">
                  <c:v>0.59751504617812201</c:v>
                </c:pt>
                <c:pt idx="73">
                  <c:v>0.59899280003718414</c:v>
                </c:pt>
                <c:pt idx="74">
                  <c:v>0.59937898992681715</c:v>
                </c:pt>
                <c:pt idx="75">
                  <c:v>0.60051045641954326</c:v>
                </c:pt>
                <c:pt idx="76">
                  <c:v>0.60118498703255163</c:v>
                </c:pt>
                <c:pt idx="77">
                  <c:v>0.60263063892904079</c:v>
                </c:pt>
                <c:pt idx="78">
                  <c:v>0.60334102656597977</c:v>
                </c:pt>
                <c:pt idx="79">
                  <c:v>0.6044287127239425</c:v>
                </c:pt>
                <c:pt idx="80">
                  <c:v>0.60452207169050709</c:v>
                </c:pt>
                <c:pt idx="81">
                  <c:v>0.60597437292199596</c:v>
                </c:pt>
                <c:pt idx="82">
                  <c:v>0.60731630181958995</c:v>
                </c:pt>
                <c:pt idx="83">
                  <c:v>0.60771298564871301</c:v>
                </c:pt>
                <c:pt idx="84">
                  <c:v>0.6090664311879771</c:v>
                </c:pt>
                <c:pt idx="85">
                  <c:v>0.60923510814660586</c:v>
                </c:pt>
                <c:pt idx="86">
                  <c:v>0.61014710349561874</c:v>
                </c:pt>
                <c:pt idx="87">
                  <c:v>0.61100571122367686</c:v>
                </c:pt>
                <c:pt idx="88">
                  <c:v>0.61101471985341427</c:v>
                </c:pt>
                <c:pt idx="89">
                  <c:v>0.61241180791023009</c:v>
                </c:pt>
                <c:pt idx="90">
                  <c:v>0.61303284839831274</c:v>
                </c:pt>
                <c:pt idx="91">
                  <c:v>0.61467140459705338</c:v>
                </c:pt>
                <c:pt idx="92">
                  <c:v>0.61642598236718549</c:v>
                </c:pt>
                <c:pt idx="93">
                  <c:v>0.61697560218664749</c:v>
                </c:pt>
                <c:pt idx="94">
                  <c:v>0.61897324623039407</c:v>
                </c:pt>
                <c:pt idx="95">
                  <c:v>0.62031597021834972</c:v>
                </c:pt>
                <c:pt idx="96">
                  <c:v>0.62086534032833329</c:v>
                </c:pt>
                <c:pt idx="97">
                  <c:v>0.62212349515418197</c:v>
                </c:pt>
                <c:pt idx="98">
                  <c:v>0.62268607702413126</c:v>
                </c:pt>
                <c:pt idx="99">
                  <c:v>0.62524326398537822</c:v>
                </c:pt>
                <c:pt idx="100">
                  <c:v>0.62580066906056186</c:v>
                </c:pt>
                <c:pt idx="101">
                  <c:v>0.62670196931533728</c:v>
                </c:pt>
                <c:pt idx="102">
                  <c:v>0.62969591114682233</c:v>
                </c:pt>
                <c:pt idx="103">
                  <c:v>0.63022147350721691</c:v>
                </c:pt>
                <c:pt idx="104">
                  <c:v>0.63142586208664753</c:v>
                </c:pt>
                <c:pt idx="105">
                  <c:v>0.6324914494117202</c:v>
                </c:pt>
                <c:pt idx="106">
                  <c:v>0.63279093460744584</c:v>
                </c:pt>
                <c:pt idx="107">
                  <c:v>0.63312316974422034</c:v>
                </c:pt>
                <c:pt idx="108">
                  <c:v>0.63407655146262787</c:v>
                </c:pt>
                <c:pt idx="109">
                  <c:v>0.63533991957217995</c:v>
                </c:pt>
                <c:pt idx="110">
                  <c:v>0.63560287782403802</c:v>
                </c:pt>
                <c:pt idx="111">
                  <c:v>0.63840331156057539</c:v>
                </c:pt>
                <c:pt idx="112">
                  <c:v>0.63938330757877837</c:v>
                </c:pt>
                <c:pt idx="113">
                  <c:v>0.64063305222819733</c:v>
                </c:pt>
                <c:pt idx="114">
                  <c:v>0.64146330690106768</c:v>
                </c:pt>
                <c:pt idx="115">
                  <c:v>0.64185918464893321</c:v>
                </c:pt>
                <c:pt idx="116">
                  <c:v>0.64249264954043961</c:v>
                </c:pt>
                <c:pt idx="117">
                  <c:v>0.64629131107906723</c:v>
                </c:pt>
                <c:pt idx="118">
                  <c:v>0.6464566062009004</c:v>
                </c:pt>
                <c:pt idx="119">
                  <c:v>0.64772277229578312</c:v>
                </c:pt>
                <c:pt idx="120">
                  <c:v>0.64779999441844272</c:v>
                </c:pt>
                <c:pt idx="121">
                  <c:v>0.64881154285583076</c:v>
                </c:pt>
                <c:pt idx="122">
                  <c:v>0.64889257772812448</c:v>
                </c:pt>
                <c:pt idx="123">
                  <c:v>0.65104753672589666</c:v>
                </c:pt>
                <c:pt idx="124">
                  <c:v>0.65118172662291218</c:v>
                </c:pt>
                <c:pt idx="125">
                  <c:v>0.65217642137213527</c:v>
                </c:pt>
                <c:pt idx="126">
                  <c:v>0.65262079019941865</c:v>
                </c:pt>
                <c:pt idx="127">
                  <c:v>0.65287469746934568</c:v>
                </c:pt>
                <c:pt idx="128">
                  <c:v>0.65454266019598262</c:v>
                </c:pt>
                <c:pt idx="129">
                  <c:v>0.65480186045689837</c:v>
                </c:pt>
                <c:pt idx="130">
                  <c:v>0.65559367643344024</c:v>
                </c:pt>
                <c:pt idx="131">
                  <c:v>0.65628883883021716</c:v>
                </c:pt>
                <c:pt idx="132">
                  <c:v>0.65743186678368692</c:v>
                </c:pt>
                <c:pt idx="133">
                  <c:v>0.6583016866431044</c:v>
                </c:pt>
                <c:pt idx="134">
                  <c:v>0.65915142365844837</c:v>
                </c:pt>
                <c:pt idx="135">
                  <c:v>0.66037518202378143</c:v>
                </c:pt>
                <c:pt idx="136">
                  <c:v>0.66100676256843782</c:v>
                </c:pt>
                <c:pt idx="137">
                  <c:v>0.66112738689492034</c:v>
                </c:pt>
                <c:pt idx="138">
                  <c:v>0.66347752291062945</c:v>
                </c:pt>
                <c:pt idx="139">
                  <c:v>0.66448204321978921</c:v>
                </c:pt>
                <c:pt idx="140">
                  <c:v>0.66466356509542113</c:v>
                </c:pt>
                <c:pt idx="141">
                  <c:v>0.66685225291119732</c:v>
                </c:pt>
                <c:pt idx="142">
                  <c:v>0.66772668622606979</c:v>
                </c:pt>
                <c:pt idx="143">
                  <c:v>0.66947841336195524</c:v>
                </c:pt>
                <c:pt idx="144">
                  <c:v>0.67063065719370873</c:v>
                </c:pt>
                <c:pt idx="145">
                  <c:v>0.67082747327641123</c:v>
                </c:pt>
                <c:pt idx="146">
                  <c:v>0.67362752221366029</c:v>
                </c:pt>
                <c:pt idx="147">
                  <c:v>0.67446010186014571</c:v>
                </c:pt>
                <c:pt idx="148">
                  <c:v>0.67494179260210463</c:v>
                </c:pt>
                <c:pt idx="149">
                  <c:v>0.67539027410104857</c:v>
                </c:pt>
                <c:pt idx="150">
                  <c:v>0.67849306416110478</c:v>
                </c:pt>
                <c:pt idx="151">
                  <c:v>0.67874715111347905</c:v>
                </c:pt>
                <c:pt idx="152">
                  <c:v>0.680135051288416</c:v>
                </c:pt>
                <c:pt idx="153">
                  <c:v>0.68063733094861834</c:v>
                </c:pt>
                <c:pt idx="154">
                  <c:v>0.68090284100868415</c:v>
                </c:pt>
                <c:pt idx="155">
                  <c:v>0.68161790672482647</c:v>
                </c:pt>
                <c:pt idx="156">
                  <c:v>0.68203879601871942</c:v>
                </c:pt>
                <c:pt idx="157">
                  <c:v>0.68246722561199602</c:v>
                </c:pt>
                <c:pt idx="158">
                  <c:v>0.68383819990859462</c:v>
                </c:pt>
                <c:pt idx="159">
                  <c:v>0.68516420359575647</c:v>
                </c:pt>
                <c:pt idx="160">
                  <c:v>0.68530771357005682</c:v>
                </c:pt>
                <c:pt idx="161">
                  <c:v>0.68568991860484296</c:v>
                </c:pt>
                <c:pt idx="162">
                  <c:v>0.68694111396728263</c:v>
                </c:pt>
                <c:pt idx="163">
                  <c:v>0.68879643124317225</c:v>
                </c:pt>
                <c:pt idx="164">
                  <c:v>0.68973675364363274</c:v>
                </c:pt>
                <c:pt idx="165">
                  <c:v>0.69059167617926687</c:v>
                </c:pt>
                <c:pt idx="166">
                  <c:v>0.69067636448073411</c:v>
                </c:pt>
                <c:pt idx="167">
                  <c:v>0.69246490393881788</c:v>
                </c:pt>
                <c:pt idx="168">
                  <c:v>0.69341085571641059</c:v>
                </c:pt>
                <c:pt idx="169">
                  <c:v>0.69421435296672418</c:v>
                </c:pt>
                <c:pt idx="170">
                  <c:v>0.69435682099576868</c:v>
                </c:pt>
                <c:pt idx="171">
                  <c:v>0.69548477594891389</c:v>
                </c:pt>
                <c:pt idx="172">
                  <c:v>0.69577303607536722</c:v>
                </c:pt>
                <c:pt idx="173">
                  <c:v>0.69623418879768417</c:v>
                </c:pt>
                <c:pt idx="174">
                  <c:v>0.69706108725208349</c:v>
                </c:pt>
                <c:pt idx="175">
                  <c:v>0.69940567196737535</c:v>
                </c:pt>
                <c:pt idx="176">
                  <c:v>0.70041444070059</c:v>
                </c:pt>
                <c:pt idx="177">
                  <c:v>0.70121594867776116</c:v>
                </c:pt>
                <c:pt idx="178">
                  <c:v>0.70183647543332739</c:v>
                </c:pt>
                <c:pt idx="179">
                  <c:v>0.70582987172504652</c:v>
                </c:pt>
                <c:pt idx="180">
                  <c:v>0.70665647882428273</c:v>
                </c:pt>
                <c:pt idx="181">
                  <c:v>0.70767431712851492</c:v>
                </c:pt>
                <c:pt idx="182">
                  <c:v>0.70820396100065786</c:v>
                </c:pt>
                <c:pt idx="183">
                  <c:v>0.70919328969059581</c:v>
                </c:pt>
                <c:pt idx="184">
                  <c:v>0.71036211785535175</c:v>
                </c:pt>
                <c:pt idx="185">
                  <c:v>0.71243521629747009</c:v>
                </c:pt>
                <c:pt idx="186">
                  <c:v>0.71432108492113533</c:v>
                </c:pt>
                <c:pt idx="187">
                  <c:v>0.7149155642590479</c:v>
                </c:pt>
                <c:pt idx="188">
                  <c:v>0.71592959156803893</c:v>
                </c:pt>
                <c:pt idx="189">
                  <c:v>0.71649655924093003</c:v>
                </c:pt>
                <c:pt idx="190">
                  <c:v>0.71771086338682766</c:v>
                </c:pt>
                <c:pt idx="191">
                  <c:v>0.71895768341017419</c:v>
                </c:pt>
                <c:pt idx="192">
                  <c:v>0.7194128491740428</c:v>
                </c:pt>
                <c:pt idx="193">
                  <c:v>0.7214007806199999</c:v>
                </c:pt>
                <c:pt idx="194">
                  <c:v>0.72175803751061196</c:v>
                </c:pt>
                <c:pt idx="195">
                  <c:v>0.72292958414076181</c:v>
                </c:pt>
                <c:pt idx="196">
                  <c:v>0.72423354055683009</c:v>
                </c:pt>
                <c:pt idx="197">
                  <c:v>0.72451810009948991</c:v>
                </c:pt>
                <c:pt idx="198">
                  <c:v>0.72586769499630921</c:v>
                </c:pt>
                <c:pt idx="199">
                  <c:v>0.72735970589055043</c:v>
                </c:pt>
                <c:pt idx="200">
                  <c:v>0.7274956709884961</c:v>
                </c:pt>
                <c:pt idx="201">
                  <c:v>0.72750514869797911</c:v>
                </c:pt>
                <c:pt idx="202">
                  <c:v>0.72933169069200399</c:v>
                </c:pt>
                <c:pt idx="203">
                  <c:v>0.72953224693698626</c:v>
                </c:pt>
                <c:pt idx="204">
                  <c:v>0.73062595374899719</c:v>
                </c:pt>
                <c:pt idx="205">
                  <c:v>0.73161100443828075</c:v>
                </c:pt>
                <c:pt idx="206">
                  <c:v>0.73270323675142379</c:v>
                </c:pt>
                <c:pt idx="207">
                  <c:v>0.73440856087348816</c:v>
                </c:pt>
                <c:pt idx="208">
                  <c:v>0.73577113245885883</c:v>
                </c:pt>
                <c:pt idx="209">
                  <c:v>0.7360224427459281</c:v>
                </c:pt>
                <c:pt idx="210">
                  <c:v>0.73725607308819285</c:v>
                </c:pt>
                <c:pt idx="211">
                  <c:v>0.73746482059834184</c:v>
                </c:pt>
                <c:pt idx="212">
                  <c:v>0.73854140150911007</c:v>
                </c:pt>
                <c:pt idx="213">
                  <c:v>0.73893832819538874</c:v>
                </c:pt>
                <c:pt idx="214">
                  <c:v>0.73966943799973051</c:v>
                </c:pt>
                <c:pt idx="215">
                  <c:v>0.74086081222995381</c:v>
                </c:pt>
                <c:pt idx="216">
                  <c:v>0.74133724630603193</c:v>
                </c:pt>
                <c:pt idx="217">
                  <c:v>0.74259114564889395</c:v>
                </c:pt>
                <c:pt idx="218">
                  <c:v>0.74335069828199707</c:v>
                </c:pt>
                <c:pt idx="219">
                  <c:v>0.7441371210625175</c:v>
                </c:pt>
                <c:pt idx="220">
                  <c:v>0.74572373801432779</c:v>
                </c:pt>
                <c:pt idx="221">
                  <c:v>0.74610663806741073</c:v>
                </c:pt>
                <c:pt idx="222">
                  <c:v>0.74680847215686996</c:v>
                </c:pt>
                <c:pt idx="223">
                  <c:v>0.74695954798255715</c:v>
                </c:pt>
                <c:pt idx="224">
                  <c:v>0.74777880906644389</c:v>
                </c:pt>
                <c:pt idx="225">
                  <c:v>0.75001682697098482</c:v>
                </c:pt>
                <c:pt idx="226">
                  <c:v>0.7503205813715339</c:v>
                </c:pt>
                <c:pt idx="227">
                  <c:v>0.75104106424901695</c:v>
                </c:pt>
                <c:pt idx="228">
                  <c:v>0.75202757430549161</c:v>
                </c:pt>
                <c:pt idx="229">
                  <c:v>0.75327108981667701</c:v>
                </c:pt>
                <c:pt idx="230">
                  <c:v>0.75505454431174845</c:v>
                </c:pt>
                <c:pt idx="231">
                  <c:v>0.75552698677470587</c:v>
                </c:pt>
                <c:pt idx="232">
                  <c:v>0.75705201355847396</c:v>
                </c:pt>
                <c:pt idx="233">
                  <c:v>0.75738191946954581</c:v>
                </c:pt>
                <c:pt idx="234">
                  <c:v>0.75775658151363179</c:v>
                </c:pt>
                <c:pt idx="235">
                  <c:v>0.75910812757519608</c:v>
                </c:pt>
                <c:pt idx="236">
                  <c:v>0.76060486291714047</c:v>
                </c:pt>
                <c:pt idx="237">
                  <c:v>0.7610685373551318</c:v>
                </c:pt>
                <c:pt idx="238">
                  <c:v>0.76216380472809409</c:v>
                </c:pt>
                <c:pt idx="239">
                  <c:v>0.76288636451674885</c:v>
                </c:pt>
                <c:pt idx="240">
                  <c:v>0.76343214807911464</c:v>
                </c:pt>
                <c:pt idx="241">
                  <c:v>0.76510693100767679</c:v>
                </c:pt>
                <c:pt idx="242">
                  <c:v>0.76577903187918661</c:v>
                </c:pt>
                <c:pt idx="243">
                  <c:v>0.76684145484304689</c:v>
                </c:pt>
                <c:pt idx="244">
                  <c:v>0.76712869997619859</c:v>
                </c:pt>
                <c:pt idx="245">
                  <c:v>0.76810469656328073</c:v>
                </c:pt>
                <c:pt idx="246">
                  <c:v>0.76881997885350484</c:v>
                </c:pt>
                <c:pt idx="247">
                  <c:v>0.76941093255691317</c:v>
                </c:pt>
                <c:pt idx="248">
                  <c:v>0.7699090154945063</c:v>
                </c:pt>
                <c:pt idx="249">
                  <c:v>0.77020977777055133</c:v>
                </c:pt>
                <c:pt idx="250">
                  <c:v>0.77233185551227512</c:v>
                </c:pt>
                <c:pt idx="251">
                  <c:v>0.77478046316297711</c:v>
                </c:pt>
                <c:pt idx="252">
                  <c:v>0.77635796129595636</c:v>
                </c:pt>
                <c:pt idx="253">
                  <c:v>0.77698761169122899</c:v>
                </c:pt>
                <c:pt idx="254">
                  <c:v>0.77816099608216527</c:v>
                </c:pt>
                <c:pt idx="255">
                  <c:v>0.77876449733269659</c:v>
                </c:pt>
                <c:pt idx="256">
                  <c:v>0.7795878271247525</c:v>
                </c:pt>
                <c:pt idx="257">
                  <c:v>0.78049194768801278</c:v>
                </c:pt>
                <c:pt idx="258">
                  <c:v>0.78126642868830598</c:v>
                </c:pt>
                <c:pt idx="259">
                  <c:v>0.7814981646791771</c:v>
                </c:pt>
                <c:pt idx="260">
                  <c:v>0.78308144178843109</c:v>
                </c:pt>
                <c:pt idx="261">
                  <c:v>0.78365896926547363</c:v>
                </c:pt>
                <c:pt idx="262">
                  <c:v>0.78478410168230117</c:v>
                </c:pt>
                <c:pt idx="263">
                  <c:v>0.78555085842354844</c:v>
                </c:pt>
                <c:pt idx="264">
                  <c:v>0.78567742167242005</c:v>
                </c:pt>
                <c:pt idx="265">
                  <c:v>0.7866456227613865</c:v>
                </c:pt>
                <c:pt idx="266">
                  <c:v>0.78827015791507393</c:v>
                </c:pt>
                <c:pt idx="267">
                  <c:v>0.78961660723938432</c:v>
                </c:pt>
                <c:pt idx="268">
                  <c:v>0.79088584187529598</c:v>
                </c:pt>
                <c:pt idx="269">
                  <c:v>0.79187131171445091</c:v>
                </c:pt>
                <c:pt idx="270">
                  <c:v>0.79191619859986573</c:v>
                </c:pt>
                <c:pt idx="271">
                  <c:v>0.79395557837618025</c:v>
                </c:pt>
                <c:pt idx="272">
                  <c:v>0.79494506131218612</c:v>
                </c:pt>
                <c:pt idx="273">
                  <c:v>0.79539364723718187</c:v>
                </c:pt>
                <c:pt idx="274">
                  <c:v>0.79558193832275581</c:v>
                </c:pt>
                <c:pt idx="275">
                  <c:v>0.79716137287470679</c:v>
                </c:pt>
                <c:pt idx="276">
                  <c:v>0.79727800113740732</c:v>
                </c:pt>
                <c:pt idx="277">
                  <c:v>0.79851522620269444</c:v>
                </c:pt>
                <c:pt idx="278">
                  <c:v>0.80000303188199862</c:v>
                </c:pt>
                <c:pt idx="279">
                  <c:v>0.80001336778214949</c:v>
                </c:pt>
                <c:pt idx="280">
                  <c:v>0.80100728423070444</c:v>
                </c:pt>
                <c:pt idx="281">
                  <c:v>0.80163704591439622</c:v>
                </c:pt>
                <c:pt idx="282">
                  <c:v>0.80345145521916772</c:v>
                </c:pt>
                <c:pt idx="283">
                  <c:v>0.80427864642538904</c:v>
                </c:pt>
                <c:pt idx="284">
                  <c:v>0.80494190504008123</c:v>
                </c:pt>
                <c:pt idx="285">
                  <c:v>0.80618557273218383</c:v>
                </c:pt>
                <c:pt idx="286">
                  <c:v>0.80627215737664415</c:v>
                </c:pt>
                <c:pt idx="287">
                  <c:v>0.80676290862506295</c:v>
                </c:pt>
                <c:pt idx="288">
                  <c:v>0.80704473186184766</c:v>
                </c:pt>
                <c:pt idx="289">
                  <c:v>0.80894441844712739</c:v>
                </c:pt>
                <c:pt idx="290">
                  <c:v>0.81112549056057248</c:v>
                </c:pt>
                <c:pt idx="291">
                  <c:v>0.81123409585128792</c:v>
                </c:pt>
                <c:pt idx="292">
                  <c:v>0.81178186136053099</c:v>
                </c:pt>
                <c:pt idx="293">
                  <c:v>0.81220379476867344</c:v>
                </c:pt>
                <c:pt idx="294">
                  <c:v>0.81356697199494876</c:v>
                </c:pt>
                <c:pt idx="295">
                  <c:v>0.81397021659295099</c:v>
                </c:pt>
                <c:pt idx="296">
                  <c:v>0.81445363048546859</c:v>
                </c:pt>
                <c:pt idx="297">
                  <c:v>0.81556924566002609</c:v>
                </c:pt>
                <c:pt idx="298">
                  <c:v>0.81607302055131803</c:v>
                </c:pt>
                <c:pt idx="299">
                  <c:v>0.81678937708954913</c:v>
                </c:pt>
                <c:pt idx="300">
                  <c:v>0.81750884150488257</c:v>
                </c:pt>
                <c:pt idx="301">
                  <c:v>0.81912007300419187</c:v>
                </c:pt>
                <c:pt idx="302">
                  <c:v>0.82053297189799901</c:v>
                </c:pt>
                <c:pt idx="303">
                  <c:v>0.82197568980958613</c:v>
                </c:pt>
                <c:pt idx="304">
                  <c:v>0.82214173561740289</c:v>
                </c:pt>
                <c:pt idx="305">
                  <c:v>0.82326763475338571</c:v>
                </c:pt>
                <c:pt idx="306">
                  <c:v>0.82609188761215302</c:v>
                </c:pt>
                <c:pt idx="307">
                  <c:v>0.82733420888886222</c:v>
                </c:pt>
                <c:pt idx="308">
                  <c:v>0.82881188512319648</c:v>
                </c:pt>
                <c:pt idx="309">
                  <c:v>0.82915280552807658</c:v>
                </c:pt>
                <c:pt idx="310">
                  <c:v>0.83056759157044824</c:v>
                </c:pt>
                <c:pt idx="311">
                  <c:v>0.83081053022764495</c:v>
                </c:pt>
                <c:pt idx="312">
                  <c:v>0.83181781857102344</c:v>
                </c:pt>
                <c:pt idx="313">
                  <c:v>0.83365869038210338</c:v>
                </c:pt>
                <c:pt idx="314">
                  <c:v>0.83368429858171855</c:v>
                </c:pt>
                <c:pt idx="315">
                  <c:v>0.83575785563700455</c:v>
                </c:pt>
                <c:pt idx="316">
                  <c:v>0.83675082369802178</c:v>
                </c:pt>
                <c:pt idx="317">
                  <c:v>0.83745770230567129</c:v>
                </c:pt>
                <c:pt idx="318">
                  <c:v>0.83835767920041437</c:v>
                </c:pt>
                <c:pt idx="319">
                  <c:v>0.83836061279561758</c:v>
                </c:pt>
                <c:pt idx="320">
                  <c:v>0.83991927769978392</c:v>
                </c:pt>
                <c:pt idx="321">
                  <c:v>0.84084380850069951</c:v>
                </c:pt>
                <c:pt idx="322">
                  <c:v>0.84127850672797089</c:v>
                </c:pt>
                <c:pt idx="323">
                  <c:v>0.84177458188315246</c:v>
                </c:pt>
                <c:pt idx="324">
                  <c:v>0.84333633037629396</c:v>
                </c:pt>
                <c:pt idx="325">
                  <c:v>0.84400992758193039</c:v>
                </c:pt>
                <c:pt idx="326">
                  <c:v>0.84480581050373449</c:v>
                </c:pt>
                <c:pt idx="327">
                  <c:v>0.8449659051310846</c:v>
                </c:pt>
                <c:pt idx="328">
                  <c:v>0.84656253659817193</c:v>
                </c:pt>
                <c:pt idx="329">
                  <c:v>0.84708559149077045</c:v>
                </c:pt>
                <c:pt idx="330">
                  <c:v>0.84879477320250918</c:v>
                </c:pt>
              </c:numCache>
            </c:numRef>
          </c:xVal>
          <c:yVal>
            <c:numRef>
              <c:f>Aux_graficos!$GI$2:$GI$332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62-4818-A85A-1DF673CD3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"/>
          <c:min val="0.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Aux_graficos!$GL$2:$GL$122</c:f>
              <c:numCache>
                <c:formatCode>General</c:formatCode>
                <c:ptCount val="121"/>
                <c:pt idx="0">
                  <c:v>0.75035791345160696</c:v>
                </c:pt>
                <c:pt idx="1">
                  <c:v>0.7507729107346055</c:v>
                </c:pt>
                <c:pt idx="2">
                  <c:v>0.75164087646984312</c:v>
                </c:pt>
                <c:pt idx="3">
                  <c:v>0.75388535475435947</c:v>
                </c:pt>
                <c:pt idx="4">
                  <c:v>0.75650698076306933</c:v>
                </c:pt>
                <c:pt idx="5">
                  <c:v>0.75763655435068511</c:v>
                </c:pt>
                <c:pt idx="6">
                  <c:v>0.75837539967638579</c:v>
                </c:pt>
                <c:pt idx="7">
                  <c:v>0.76008472564464791</c:v>
                </c:pt>
                <c:pt idx="8">
                  <c:v>0.76020215474112518</c:v>
                </c:pt>
                <c:pt idx="9">
                  <c:v>0.76173121187744097</c:v>
                </c:pt>
                <c:pt idx="10">
                  <c:v>0.76274883596293863</c:v>
                </c:pt>
                <c:pt idx="11">
                  <c:v>0.76486758710316671</c:v>
                </c:pt>
                <c:pt idx="12">
                  <c:v>0.76549323249310108</c:v>
                </c:pt>
                <c:pt idx="13">
                  <c:v>0.76629526371224821</c:v>
                </c:pt>
                <c:pt idx="14">
                  <c:v>0.76935497811274245</c:v>
                </c:pt>
                <c:pt idx="15">
                  <c:v>0.77012707007603287</c:v>
                </c:pt>
                <c:pt idx="16">
                  <c:v>0.77105226930905069</c:v>
                </c:pt>
                <c:pt idx="17">
                  <c:v>0.77169741165513583</c:v>
                </c:pt>
                <c:pt idx="18">
                  <c:v>0.77245934613725054</c:v>
                </c:pt>
                <c:pt idx="19">
                  <c:v>0.77271299047580233</c:v>
                </c:pt>
                <c:pt idx="20">
                  <c:v>0.77547619785640498</c:v>
                </c:pt>
                <c:pt idx="21">
                  <c:v>0.77576662819331388</c:v>
                </c:pt>
                <c:pt idx="22">
                  <c:v>0.77597512149218639</c:v>
                </c:pt>
                <c:pt idx="23">
                  <c:v>0.78070884618188474</c:v>
                </c:pt>
                <c:pt idx="24">
                  <c:v>0.78223511970000625</c:v>
                </c:pt>
                <c:pt idx="25">
                  <c:v>0.78241746242915455</c:v>
                </c:pt>
                <c:pt idx="26">
                  <c:v>0.78329167695042157</c:v>
                </c:pt>
                <c:pt idx="27">
                  <c:v>0.78404499124169902</c:v>
                </c:pt>
                <c:pt idx="28">
                  <c:v>0.78616028701265195</c:v>
                </c:pt>
                <c:pt idx="29">
                  <c:v>0.78629643734139743</c:v>
                </c:pt>
                <c:pt idx="30">
                  <c:v>0.7882533720560152</c:v>
                </c:pt>
                <c:pt idx="31">
                  <c:v>0.78999176124603221</c:v>
                </c:pt>
                <c:pt idx="32">
                  <c:v>0.79119303807527341</c:v>
                </c:pt>
                <c:pt idx="33">
                  <c:v>0.79209457660947769</c:v>
                </c:pt>
                <c:pt idx="34">
                  <c:v>0.7940529658547778</c:v>
                </c:pt>
                <c:pt idx="35">
                  <c:v>0.79540022597919169</c:v>
                </c:pt>
                <c:pt idx="36">
                  <c:v>0.79650447046816608</c:v>
                </c:pt>
                <c:pt idx="37">
                  <c:v>0.79895287684230865</c:v>
                </c:pt>
                <c:pt idx="38">
                  <c:v>0.79969359630259507</c:v>
                </c:pt>
                <c:pt idx="39">
                  <c:v>0.80144975245100936</c:v>
                </c:pt>
                <c:pt idx="40">
                  <c:v>0.80180292912888984</c:v>
                </c:pt>
                <c:pt idx="41">
                  <c:v>0.80362284671289286</c:v>
                </c:pt>
                <c:pt idx="42">
                  <c:v>0.80389464636451347</c:v>
                </c:pt>
                <c:pt idx="43">
                  <c:v>0.80552325907381617</c:v>
                </c:pt>
                <c:pt idx="44">
                  <c:v>0.80612925910517719</c:v>
                </c:pt>
                <c:pt idx="45">
                  <c:v>0.81030959304680417</c:v>
                </c:pt>
                <c:pt idx="46">
                  <c:v>0.81207628504874041</c:v>
                </c:pt>
                <c:pt idx="47">
                  <c:v>0.81287772199734187</c:v>
                </c:pt>
                <c:pt idx="48">
                  <c:v>0.81366294443795462</c:v>
                </c:pt>
                <c:pt idx="49">
                  <c:v>0.814750343547199</c:v>
                </c:pt>
                <c:pt idx="50">
                  <c:v>0.81601240090633231</c:v>
                </c:pt>
                <c:pt idx="51">
                  <c:v>0.8165518125435598</c:v>
                </c:pt>
                <c:pt idx="52">
                  <c:v>0.81788878788607777</c:v>
                </c:pt>
                <c:pt idx="53">
                  <c:v>0.81845428546195897</c:v>
                </c:pt>
                <c:pt idx="54">
                  <c:v>0.81911710296966223</c:v>
                </c:pt>
                <c:pt idx="55">
                  <c:v>0.82091075727869323</c:v>
                </c:pt>
                <c:pt idx="56">
                  <c:v>0.82122790641706833</c:v>
                </c:pt>
                <c:pt idx="57">
                  <c:v>0.82150195641716217</c:v>
                </c:pt>
                <c:pt idx="58">
                  <c:v>0.82293466199817467</c:v>
                </c:pt>
                <c:pt idx="59">
                  <c:v>0.82494086383744847</c:v>
                </c:pt>
                <c:pt idx="60">
                  <c:v>0.82547660141018386</c:v>
                </c:pt>
                <c:pt idx="61">
                  <c:v>0.8264975762861092</c:v>
                </c:pt>
                <c:pt idx="62">
                  <c:v>0.82742150043540019</c:v>
                </c:pt>
                <c:pt idx="63">
                  <c:v>0.83017625854674904</c:v>
                </c:pt>
                <c:pt idx="64">
                  <c:v>0.83591167349029605</c:v>
                </c:pt>
                <c:pt idx="65">
                  <c:v>0.83865958937614538</c:v>
                </c:pt>
                <c:pt idx="66">
                  <c:v>0.83916682609728233</c:v>
                </c:pt>
                <c:pt idx="67">
                  <c:v>0.84026904451868045</c:v>
                </c:pt>
                <c:pt idx="68">
                  <c:v>0.84040517964703443</c:v>
                </c:pt>
                <c:pt idx="69">
                  <c:v>0.84211065130342266</c:v>
                </c:pt>
                <c:pt idx="70">
                  <c:v>0.84730309137132209</c:v>
                </c:pt>
                <c:pt idx="71">
                  <c:v>0.848154575125184</c:v>
                </c:pt>
                <c:pt idx="72">
                  <c:v>0.85036626586656316</c:v>
                </c:pt>
                <c:pt idx="73">
                  <c:v>0.85242884036425748</c:v>
                </c:pt>
                <c:pt idx="74">
                  <c:v>0.85276727275122977</c:v>
                </c:pt>
                <c:pt idx="75">
                  <c:v>0.85291936871779905</c:v>
                </c:pt>
                <c:pt idx="76">
                  <c:v>0.85406744537401791</c:v>
                </c:pt>
                <c:pt idx="77">
                  <c:v>0.85459895277690112</c:v>
                </c:pt>
                <c:pt idx="78">
                  <c:v>0.85911831608421485</c:v>
                </c:pt>
                <c:pt idx="79">
                  <c:v>0.86110352872557172</c:v>
                </c:pt>
                <c:pt idx="80">
                  <c:v>0.86135494499297904</c:v>
                </c:pt>
                <c:pt idx="81">
                  <c:v>0.86239600966452989</c:v>
                </c:pt>
                <c:pt idx="82">
                  <c:v>0.86270950967805271</c:v>
                </c:pt>
                <c:pt idx="83">
                  <c:v>0.86314736297965866</c:v>
                </c:pt>
                <c:pt idx="84">
                  <c:v>0.86382696418635652</c:v>
                </c:pt>
                <c:pt idx="85">
                  <c:v>0.86665139384828793</c:v>
                </c:pt>
                <c:pt idx="86">
                  <c:v>0.86915438321063143</c:v>
                </c:pt>
                <c:pt idx="87">
                  <c:v>0.87066024742256576</c:v>
                </c:pt>
                <c:pt idx="88">
                  <c:v>0.87075714824646255</c:v>
                </c:pt>
                <c:pt idx="89">
                  <c:v>0.87418811383097439</c:v>
                </c:pt>
                <c:pt idx="90">
                  <c:v>0.87587695798273124</c:v>
                </c:pt>
                <c:pt idx="91">
                  <c:v>0.87620788944394579</c:v>
                </c:pt>
                <c:pt idx="92">
                  <c:v>0.87636916093881179</c:v>
                </c:pt>
                <c:pt idx="93">
                  <c:v>0.87809672318769894</c:v>
                </c:pt>
                <c:pt idx="94">
                  <c:v>0.87837210033584268</c:v>
                </c:pt>
                <c:pt idx="95">
                  <c:v>0.87943415438467354</c:v>
                </c:pt>
                <c:pt idx="96">
                  <c:v>0.88224216956720869</c:v>
                </c:pt>
                <c:pt idx="97">
                  <c:v>0.88266025486198108</c:v>
                </c:pt>
                <c:pt idx="98">
                  <c:v>0.88411257980489788</c:v>
                </c:pt>
                <c:pt idx="99">
                  <c:v>0.88505272973525229</c:v>
                </c:pt>
                <c:pt idx="100">
                  <c:v>0.88663169447043599</c:v>
                </c:pt>
                <c:pt idx="101">
                  <c:v>0.88885593701671484</c:v>
                </c:pt>
                <c:pt idx="102">
                  <c:v>0.89109008090647124</c:v>
                </c:pt>
                <c:pt idx="103">
                  <c:v>0.89299685749003477</c:v>
                </c:pt>
                <c:pt idx="104">
                  <c:v>0.89361292067835341</c:v>
                </c:pt>
                <c:pt idx="105">
                  <c:v>0.89473786027893421</c:v>
                </c:pt>
                <c:pt idx="106">
                  <c:v>0.89808890734261959</c:v>
                </c:pt>
                <c:pt idx="107">
                  <c:v>0.90377733384072778</c:v>
                </c:pt>
                <c:pt idx="108">
                  <c:v>0.90551854846114843</c:v>
                </c:pt>
                <c:pt idx="109">
                  <c:v>0.9059458071668296</c:v>
                </c:pt>
                <c:pt idx="110">
                  <c:v>0.90708873832322678</c:v>
                </c:pt>
                <c:pt idx="111">
                  <c:v>0.90832170337099882</c:v>
                </c:pt>
                <c:pt idx="112">
                  <c:v>0.90951364321031558</c:v>
                </c:pt>
                <c:pt idx="113">
                  <c:v>0.9097924384713304</c:v>
                </c:pt>
                <c:pt idx="114">
                  <c:v>0.909963801220393</c:v>
                </c:pt>
                <c:pt idx="115">
                  <c:v>0.91022343444918719</c:v>
                </c:pt>
                <c:pt idx="116">
                  <c:v>0.91192500975012658</c:v>
                </c:pt>
                <c:pt idx="117">
                  <c:v>0.91312019148602241</c:v>
                </c:pt>
                <c:pt idx="118">
                  <c:v>0.91372824484058479</c:v>
                </c:pt>
                <c:pt idx="119">
                  <c:v>0.91848298050287225</c:v>
                </c:pt>
                <c:pt idx="120">
                  <c:v>0.91968778442935362</c:v>
                </c:pt>
              </c:numCache>
            </c:numRef>
          </c:xVal>
          <c:yVal>
            <c:numRef>
              <c:f>Aux_graficos!$GK$2:$GK$122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8C-4EC9-8B83-2AA8F8937135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Aux_graficos!$GN$2:$GN$332</c:f>
              <c:numCache>
                <c:formatCode>General</c:formatCode>
                <c:ptCount val="331"/>
                <c:pt idx="0">
                  <c:v>0.75191201895300219</c:v>
                </c:pt>
                <c:pt idx="1">
                  <c:v>0.75247122142857514</c:v>
                </c:pt>
                <c:pt idx="2">
                  <c:v>0.7524825912187727</c:v>
                </c:pt>
                <c:pt idx="3">
                  <c:v>0.75275387019349549</c:v>
                </c:pt>
                <c:pt idx="4">
                  <c:v>0.75337832711584929</c:v>
                </c:pt>
                <c:pt idx="5">
                  <c:v>0.75351851412518212</c:v>
                </c:pt>
                <c:pt idx="6">
                  <c:v>0.75451788988097845</c:v>
                </c:pt>
                <c:pt idx="7">
                  <c:v>0.75494845818198553</c:v>
                </c:pt>
                <c:pt idx="8">
                  <c:v>0.75506118686038293</c:v>
                </c:pt>
                <c:pt idx="9">
                  <c:v>0.75515601939696941</c:v>
                </c:pt>
                <c:pt idx="10">
                  <c:v>0.75532296534489984</c:v>
                </c:pt>
                <c:pt idx="11">
                  <c:v>0.75616834413025424</c:v>
                </c:pt>
                <c:pt idx="12">
                  <c:v>0.75624980525542029</c:v>
                </c:pt>
                <c:pt idx="13">
                  <c:v>0.75680896488624327</c:v>
                </c:pt>
                <c:pt idx="14">
                  <c:v>0.75811162490235817</c:v>
                </c:pt>
                <c:pt idx="15">
                  <c:v>0.75871441590285016</c:v>
                </c:pt>
                <c:pt idx="16">
                  <c:v>0.75877187958979597</c:v>
                </c:pt>
                <c:pt idx="17">
                  <c:v>0.75957733936495764</c:v>
                </c:pt>
                <c:pt idx="18">
                  <c:v>0.75998524154415004</c:v>
                </c:pt>
                <c:pt idx="19">
                  <c:v>0.76049114388669836</c:v>
                </c:pt>
                <c:pt idx="20">
                  <c:v>0.76123890531707539</c:v>
                </c:pt>
                <c:pt idx="21">
                  <c:v>0.76196862643591146</c:v>
                </c:pt>
                <c:pt idx="22">
                  <c:v>0.7631213196379093</c:v>
                </c:pt>
                <c:pt idx="23">
                  <c:v>0.76356700083125661</c:v>
                </c:pt>
                <c:pt idx="24">
                  <c:v>0.76385411885359189</c:v>
                </c:pt>
                <c:pt idx="25">
                  <c:v>0.76414887209762639</c:v>
                </c:pt>
                <c:pt idx="26">
                  <c:v>0.76441808391045685</c:v>
                </c:pt>
                <c:pt idx="27">
                  <c:v>0.76529434725906165</c:v>
                </c:pt>
                <c:pt idx="28">
                  <c:v>0.76575873172457387</c:v>
                </c:pt>
                <c:pt idx="29">
                  <c:v>0.76664150489205229</c:v>
                </c:pt>
                <c:pt idx="30">
                  <c:v>0.76692115198197675</c:v>
                </c:pt>
                <c:pt idx="31">
                  <c:v>0.76747836039416917</c:v>
                </c:pt>
                <c:pt idx="32">
                  <c:v>0.7677851796066395</c:v>
                </c:pt>
                <c:pt idx="33">
                  <c:v>0.76795416343778777</c:v>
                </c:pt>
                <c:pt idx="34">
                  <c:v>0.76808229075088008</c:v>
                </c:pt>
                <c:pt idx="35">
                  <c:v>0.76826370703477753</c:v>
                </c:pt>
                <c:pt idx="36">
                  <c:v>0.76903541516927487</c:v>
                </c:pt>
                <c:pt idx="37">
                  <c:v>0.76921417091357358</c:v>
                </c:pt>
                <c:pt idx="38">
                  <c:v>0.76985440461032784</c:v>
                </c:pt>
                <c:pt idx="39">
                  <c:v>0.77108234910004736</c:v>
                </c:pt>
                <c:pt idx="40">
                  <c:v>0.77169017478684243</c:v>
                </c:pt>
                <c:pt idx="41">
                  <c:v>0.77264590808616684</c:v>
                </c:pt>
                <c:pt idx="42">
                  <c:v>0.77298934314530143</c:v>
                </c:pt>
                <c:pt idx="43">
                  <c:v>0.77330987701098297</c:v>
                </c:pt>
                <c:pt idx="44">
                  <c:v>0.77419766534496448</c:v>
                </c:pt>
                <c:pt idx="45">
                  <c:v>0.77431982224976492</c:v>
                </c:pt>
                <c:pt idx="46">
                  <c:v>0.77477697651739863</c:v>
                </c:pt>
                <c:pt idx="47">
                  <c:v>0.77493663121809031</c:v>
                </c:pt>
                <c:pt idx="48">
                  <c:v>0.77651861541172473</c:v>
                </c:pt>
                <c:pt idx="49">
                  <c:v>0.77693588616046483</c:v>
                </c:pt>
                <c:pt idx="50">
                  <c:v>0.7770092817925025</c:v>
                </c:pt>
                <c:pt idx="51">
                  <c:v>0.77724661233159931</c:v>
                </c:pt>
                <c:pt idx="52">
                  <c:v>0.77732472533019126</c:v>
                </c:pt>
                <c:pt idx="53">
                  <c:v>0.77816229717093421</c:v>
                </c:pt>
                <c:pt idx="54">
                  <c:v>0.77826037539103488</c:v>
                </c:pt>
                <c:pt idx="55">
                  <c:v>0.77869062928975841</c:v>
                </c:pt>
                <c:pt idx="56">
                  <c:v>0.77890831618459255</c:v>
                </c:pt>
                <c:pt idx="57">
                  <c:v>0.77918147209291344</c:v>
                </c:pt>
                <c:pt idx="58">
                  <c:v>0.77984349198305369</c:v>
                </c:pt>
                <c:pt idx="59">
                  <c:v>0.7800044475207355</c:v>
                </c:pt>
                <c:pt idx="60">
                  <c:v>0.78070526434600307</c:v>
                </c:pt>
                <c:pt idx="61">
                  <c:v>0.78155208771237972</c:v>
                </c:pt>
                <c:pt idx="62">
                  <c:v>0.78182537929533602</c:v>
                </c:pt>
                <c:pt idx="63">
                  <c:v>0.78255147752809673</c:v>
                </c:pt>
                <c:pt idx="64">
                  <c:v>0.78333776066795546</c:v>
                </c:pt>
                <c:pt idx="65">
                  <c:v>0.78397968359501502</c:v>
                </c:pt>
                <c:pt idx="66">
                  <c:v>0.78464533400116032</c:v>
                </c:pt>
                <c:pt idx="67">
                  <c:v>0.78464879347275129</c:v>
                </c:pt>
                <c:pt idx="68">
                  <c:v>0.78509136297016302</c:v>
                </c:pt>
                <c:pt idx="69">
                  <c:v>0.78563660969457982</c:v>
                </c:pt>
                <c:pt idx="70">
                  <c:v>0.78684553991524375</c:v>
                </c:pt>
                <c:pt idx="71">
                  <c:v>0.78720112707984824</c:v>
                </c:pt>
                <c:pt idx="72">
                  <c:v>0.78842354353266264</c:v>
                </c:pt>
                <c:pt idx="73">
                  <c:v>0.78895836193579338</c:v>
                </c:pt>
                <c:pt idx="74">
                  <c:v>0.7895818535383291</c:v>
                </c:pt>
                <c:pt idx="75">
                  <c:v>0.78976493785851765</c:v>
                </c:pt>
                <c:pt idx="76">
                  <c:v>0.79047482851673156</c:v>
                </c:pt>
                <c:pt idx="77">
                  <c:v>0.79068677101349594</c:v>
                </c:pt>
                <c:pt idx="78">
                  <c:v>0.79134951766694761</c:v>
                </c:pt>
                <c:pt idx="79">
                  <c:v>0.79183944901013981</c:v>
                </c:pt>
                <c:pt idx="80">
                  <c:v>0.7924105494227881</c:v>
                </c:pt>
                <c:pt idx="81">
                  <c:v>0.79283379178887747</c:v>
                </c:pt>
                <c:pt idx="82">
                  <c:v>0.79298650196014631</c:v>
                </c:pt>
                <c:pt idx="83">
                  <c:v>0.79317868067233765</c:v>
                </c:pt>
                <c:pt idx="84">
                  <c:v>0.79408550784671672</c:v>
                </c:pt>
                <c:pt idx="85">
                  <c:v>0.7946672817351057</c:v>
                </c:pt>
                <c:pt idx="86">
                  <c:v>0.7946920393361766</c:v>
                </c:pt>
                <c:pt idx="87">
                  <c:v>0.79496753644496099</c:v>
                </c:pt>
                <c:pt idx="88">
                  <c:v>0.79545031530917654</c:v>
                </c:pt>
                <c:pt idx="89">
                  <c:v>0.795983080818772</c:v>
                </c:pt>
                <c:pt idx="90">
                  <c:v>0.79651734165913046</c:v>
                </c:pt>
                <c:pt idx="91">
                  <c:v>0.79738182164563898</c:v>
                </c:pt>
                <c:pt idx="92">
                  <c:v>0.79756465109963359</c:v>
                </c:pt>
                <c:pt idx="93">
                  <c:v>0.798069887034488</c:v>
                </c:pt>
                <c:pt idx="94">
                  <c:v>0.7984816979160112</c:v>
                </c:pt>
                <c:pt idx="95">
                  <c:v>0.79924858781701591</c:v>
                </c:pt>
                <c:pt idx="96">
                  <c:v>0.79995682912084576</c:v>
                </c:pt>
                <c:pt idx="97">
                  <c:v>0.80003539717509342</c:v>
                </c:pt>
                <c:pt idx="98">
                  <c:v>0.80026757782404956</c:v>
                </c:pt>
                <c:pt idx="99">
                  <c:v>0.80224434276212842</c:v>
                </c:pt>
                <c:pt idx="100">
                  <c:v>0.80249665752334942</c:v>
                </c:pt>
                <c:pt idx="101">
                  <c:v>0.80291364795363873</c:v>
                </c:pt>
                <c:pt idx="102">
                  <c:v>0.80325930961879277</c:v>
                </c:pt>
                <c:pt idx="103">
                  <c:v>0.80367275205716526</c:v>
                </c:pt>
                <c:pt idx="104">
                  <c:v>0.8048204890627807</c:v>
                </c:pt>
                <c:pt idx="105">
                  <c:v>0.80506443147029616</c:v>
                </c:pt>
                <c:pt idx="106">
                  <c:v>0.80590705058093526</c:v>
                </c:pt>
                <c:pt idx="107">
                  <c:v>0.80597315623721877</c:v>
                </c:pt>
                <c:pt idx="108">
                  <c:v>0.80640784447146618</c:v>
                </c:pt>
                <c:pt idx="109">
                  <c:v>0.80694492207148427</c:v>
                </c:pt>
                <c:pt idx="110">
                  <c:v>0.80703789100765411</c:v>
                </c:pt>
                <c:pt idx="111">
                  <c:v>0.80736821321725238</c:v>
                </c:pt>
                <c:pt idx="112">
                  <c:v>0.80805170391826109</c:v>
                </c:pt>
                <c:pt idx="113">
                  <c:v>0.80859799713222524</c:v>
                </c:pt>
                <c:pt idx="114">
                  <c:v>0.80872981904010954</c:v>
                </c:pt>
                <c:pt idx="115">
                  <c:v>0.80892214936243023</c:v>
                </c:pt>
                <c:pt idx="116">
                  <c:v>0.80915184810508511</c:v>
                </c:pt>
                <c:pt idx="117">
                  <c:v>0.80955447582905882</c:v>
                </c:pt>
                <c:pt idx="118">
                  <c:v>0.80976646048007705</c:v>
                </c:pt>
                <c:pt idx="119">
                  <c:v>0.8110089865729434</c:v>
                </c:pt>
                <c:pt idx="120">
                  <c:v>0.81131138156855742</c:v>
                </c:pt>
                <c:pt idx="121">
                  <c:v>0.81163997553078004</c:v>
                </c:pt>
                <c:pt idx="122">
                  <c:v>0.81285243622877978</c:v>
                </c:pt>
                <c:pt idx="123">
                  <c:v>0.81293591010349953</c:v>
                </c:pt>
                <c:pt idx="124">
                  <c:v>0.81366975642731842</c:v>
                </c:pt>
                <c:pt idx="125">
                  <c:v>0.8142092382625209</c:v>
                </c:pt>
                <c:pt idx="126">
                  <c:v>0.8143443193014166</c:v>
                </c:pt>
                <c:pt idx="127">
                  <c:v>0.81475671754218681</c:v>
                </c:pt>
                <c:pt idx="128">
                  <c:v>0.81536798549662726</c:v>
                </c:pt>
                <c:pt idx="129">
                  <c:v>0.81622820846360677</c:v>
                </c:pt>
                <c:pt idx="130">
                  <c:v>0.81637632213907396</c:v>
                </c:pt>
                <c:pt idx="131">
                  <c:v>0.81734384307700136</c:v>
                </c:pt>
                <c:pt idx="132">
                  <c:v>0.81781771414148852</c:v>
                </c:pt>
                <c:pt idx="133">
                  <c:v>0.81832163207145758</c:v>
                </c:pt>
                <c:pt idx="134">
                  <c:v>0.8189319041783818</c:v>
                </c:pt>
                <c:pt idx="135">
                  <c:v>0.81948930532735154</c:v>
                </c:pt>
                <c:pt idx="136">
                  <c:v>0.82009238060562495</c:v>
                </c:pt>
                <c:pt idx="137">
                  <c:v>0.82036100217665953</c:v>
                </c:pt>
                <c:pt idx="138">
                  <c:v>0.82048888149869026</c:v>
                </c:pt>
                <c:pt idx="139">
                  <c:v>0.82145663729328955</c:v>
                </c:pt>
                <c:pt idx="140">
                  <c:v>0.82225412355197047</c:v>
                </c:pt>
                <c:pt idx="141">
                  <c:v>0.82270458158735416</c:v>
                </c:pt>
                <c:pt idx="142">
                  <c:v>0.82318743619994872</c:v>
                </c:pt>
                <c:pt idx="143">
                  <c:v>0.82330060774423131</c:v>
                </c:pt>
                <c:pt idx="144">
                  <c:v>0.82415986230880511</c:v>
                </c:pt>
                <c:pt idx="145">
                  <c:v>0.82436977050881743</c:v>
                </c:pt>
                <c:pt idx="146">
                  <c:v>0.82491334974074326</c:v>
                </c:pt>
                <c:pt idx="147">
                  <c:v>0.82601693161529244</c:v>
                </c:pt>
                <c:pt idx="148">
                  <c:v>0.8270971577737074</c:v>
                </c:pt>
                <c:pt idx="149">
                  <c:v>0.82746551871053164</c:v>
                </c:pt>
                <c:pt idx="150">
                  <c:v>0.8281186344496253</c:v>
                </c:pt>
                <c:pt idx="151">
                  <c:v>0.82827555852026358</c:v>
                </c:pt>
                <c:pt idx="152">
                  <c:v>0.82856667502125259</c:v>
                </c:pt>
                <c:pt idx="153">
                  <c:v>0.82907741659785861</c:v>
                </c:pt>
                <c:pt idx="154">
                  <c:v>0.82912951265502788</c:v>
                </c:pt>
                <c:pt idx="155">
                  <c:v>0.82994411683249414</c:v>
                </c:pt>
                <c:pt idx="156">
                  <c:v>0.83053900234450051</c:v>
                </c:pt>
                <c:pt idx="157">
                  <c:v>0.8310880721811732</c:v>
                </c:pt>
                <c:pt idx="158">
                  <c:v>0.83137419989891559</c:v>
                </c:pt>
                <c:pt idx="159">
                  <c:v>0.83178138976735649</c:v>
                </c:pt>
                <c:pt idx="160">
                  <c:v>0.83198105976318337</c:v>
                </c:pt>
                <c:pt idx="161">
                  <c:v>0.83262621772047574</c:v>
                </c:pt>
                <c:pt idx="162">
                  <c:v>0.83269324423055202</c:v>
                </c:pt>
                <c:pt idx="163">
                  <c:v>0.83309454790749493</c:v>
                </c:pt>
                <c:pt idx="164">
                  <c:v>0.83332791270721951</c:v>
                </c:pt>
                <c:pt idx="165">
                  <c:v>0.83375896093715196</c:v>
                </c:pt>
                <c:pt idx="166">
                  <c:v>0.83456035093342695</c:v>
                </c:pt>
                <c:pt idx="167">
                  <c:v>0.83486121021715576</c:v>
                </c:pt>
                <c:pt idx="168">
                  <c:v>0.83507664628254363</c:v>
                </c:pt>
                <c:pt idx="169">
                  <c:v>0.83545935226139856</c:v>
                </c:pt>
                <c:pt idx="170">
                  <c:v>0.83559756217851455</c:v>
                </c:pt>
                <c:pt idx="171">
                  <c:v>0.83637419105503319</c:v>
                </c:pt>
                <c:pt idx="172">
                  <c:v>0.83679039835224389</c:v>
                </c:pt>
                <c:pt idx="173">
                  <c:v>0.83699168918631983</c:v>
                </c:pt>
                <c:pt idx="174">
                  <c:v>0.8380289722419727</c:v>
                </c:pt>
                <c:pt idx="175">
                  <c:v>0.83825251138000045</c:v>
                </c:pt>
                <c:pt idx="176">
                  <c:v>0.83864170021626738</c:v>
                </c:pt>
                <c:pt idx="177">
                  <c:v>0.83926546324438678</c:v>
                </c:pt>
                <c:pt idx="178">
                  <c:v>0.83999590691185</c:v>
                </c:pt>
                <c:pt idx="179">
                  <c:v>0.84100172630511794</c:v>
                </c:pt>
                <c:pt idx="180">
                  <c:v>0.84118452336787086</c:v>
                </c:pt>
                <c:pt idx="181">
                  <c:v>0.84152074197312221</c:v>
                </c:pt>
                <c:pt idx="182">
                  <c:v>0.8421334524264773</c:v>
                </c:pt>
                <c:pt idx="183">
                  <c:v>0.84248789306897287</c:v>
                </c:pt>
                <c:pt idx="184">
                  <c:v>0.84317013345425051</c:v>
                </c:pt>
                <c:pt idx="185">
                  <c:v>0.84358399303407117</c:v>
                </c:pt>
                <c:pt idx="186">
                  <c:v>0.8439427943173331</c:v>
                </c:pt>
                <c:pt idx="187">
                  <c:v>0.84408844357037216</c:v>
                </c:pt>
                <c:pt idx="188">
                  <c:v>0.8446366487144541</c:v>
                </c:pt>
                <c:pt idx="189">
                  <c:v>0.84479553896066673</c:v>
                </c:pt>
                <c:pt idx="190">
                  <c:v>0.84555989900543382</c:v>
                </c:pt>
                <c:pt idx="191">
                  <c:v>0.8456920991708452</c:v>
                </c:pt>
                <c:pt idx="192">
                  <c:v>0.8458840167558298</c:v>
                </c:pt>
                <c:pt idx="193">
                  <c:v>0.84662792447960822</c:v>
                </c:pt>
                <c:pt idx="194">
                  <c:v>0.84675692259449886</c:v>
                </c:pt>
                <c:pt idx="195">
                  <c:v>0.84694890831375902</c:v>
                </c:pt>
                <c:pt idx="196">
                  <c:v>0.84788070276619121</c:v>
                </c:pt>
                <c:pt idx="197">
                  <c:v>0.84867643558564687</c:v>
                </c:pt>
                <c:pt idx="198">
                  <c:v>0.84944141528808825</c:v>
                </c:pt>
                <c:pt idx="199">
                  <c:v>0.84976327591880707</c:v>
                </c:pt>
                <c:pt idx="200">
                  <c:v>0.84986557304838206</c:v>
                </c:pt>
                <c:pt idx="201">
                  <c:v>0.85127616793263261</c:v>
                </c:pt>
                <c:pt idx="202">
                  <c:v>0.85147028009742309</c:v>
                </c:pt>
                <c:pt idx="203">
                  <c:v>0.85319790913623783</c:v>
                </c:pt>
                <c:pt idx="204">
                  <c:v>0.85328561505428535</c:v>
                </c:pt>
                <c:pt idx="205">
                  <c:v>0.8542706001302639</c:v>
                </c:pt>
                <c:pt idx="206">
                  <c:v>0.85442979718078083</c:v>
                </c:pt>
                <c:pt idx="207">
                  <c:v>0.85496059166930749</c:v>
                </c:pt>
                <c:pt idx="208">
                  <c:v>0.85560250656408687</c:v>
                </c:pt>
                <c:pt idx="209">
                  <c:v>0.85581432790436507</c:v>
                </c:pt>
                <c:pt idx="210">
                  <c:v>0.8561282865390647</c:v>
                </c:pt>
                <c:pt idx="211">
                  <c:v>0.85627394430196702</c:v>
                </c:pt>
                <c:pt idx="212">
                  <c:v>0.85689259860861289</c:v>
                </c:pt>
                <c:pt idx="213">
                  <c:v>0.85731524848219487</c:v>
                </c:pt>
                <c:pt idx="214">
                  <c:v>0.85734500335676933</c:v>
                </c:pt>
                <c:pt idx="215">
                  <c:v>0.85781213582827698</c:v>
                </c:pt>
                <c:pt idx="216">
                  <c:v>0.8580648942853627</c:v>
                </c:pt>
                <c:pt idx="217">
                  <c:v>0.8586511313333115</c:v>
                </c:pt>
                <c:pt idx="218">
                  <c:v>0.85934144333748852</c:v>
                </c:pt>
                <c:pt idx="219">
                  <c:v>0.85984698967211259</c:v>
                </c:pt>
                <c:pt idx="220">
                  <c:v>0.8599410143276075</c:v>
                </c:pt>
                <c:pt idx="221">
                  <c:v>0.859950700936426</c:v>
                </c:pt>
                <c:pt idx="222">
                  <c:v>0.86128056681660881</c:v>
                </c:pt>
                <c:pt idx="223">
                  <c:v>0.86165836468073986</c:v>
                </c:pt>
                <c:pt idx="224">
                  <c:v>0.86357834037541681</c:v>
                </c:pt>
                <c:pt idx="225">
                  <c:v>0.86420075016979192</c:v>
                </c:pt>
                <c:pt idx="226">
                  <c:v>0.86441555247577717</c:v>
                </c:pt>
                <c:pt idx="227">
                  <c:v>0.86491825636773745</c:v>
                </c:pt>
                <c:pt idx="228">
                  <c:v>0.86510721718699313</c:v>
                </c:pt>
                <c:pt idx="229">
                  <c:v>0.86537867156130166</c:v>
                </c:pt>
                <c:pt idx="230">
                  <c:v>0.86594524229317049</c:v>
                </c:pt>
                <c:pt idx="231">
                  <c:v>0.8672646795531308</c:v>
                </c:pt>
                <c:pt idx="232">
                  <c:v>0.86743363456792089</c:v>
                </c:pt>
                <c:pt idx="233">
                  <c:v>0.86784292973677091</c:v>
                </c:pt>
                <c:pt idx="234">
                  <c:v>0.86799029050371157</c:v>
                </c:pt>
                <c:pt idx="235">
                  <c:v>0.86872711672175662</c:v>
                </c:pt>
                <c:pt idx="236">
                  <c:v>0.86888061419470874</c:v>
                </c:pt>
                <c:pt idx="237">
                  <c:v>0.86955170138282833</c:v>
                </c:pt>
                <c:pt idx="238">
                  <c:v>0.86992612603920927</c:v>
                </c:pt>
                <c:pt idx="239">
                  <c:v>0.86993299455045048</c:v>
                </c:pt>
                <c:pt idx="240">
                  <c:v>0.87119020759975074</c:v>
                </c:pt>
                <c:pt idx="241">
                  <c:v>0.87146494503349325</c:v>
                </c:pt>
                <c:pt idx="242">
                  <c:v>0.87209970377632196</c:v>
                </c:pt>
                <c:pt idx="243">
                  <c:v>0.8721635771384133</c:v>
                </c:pt>
                <c:pt idx="244">
                  <c:v>0.87271501495964299</c:v>
                </c:pt>
                <c:pt idx="245">
                  <c:v>0.87315007589326499</c:v>
                </c:pt>
                <c:pt idx="246">
                  <c:v>0.87328200410514123</c:v>
                </c:pt>
                <c:pt idx="247">
                  <c:v>0.87395435003720934</c:v>
                </c:pt>
                <c:pt idx="248">
                  <c:v>0.87479119032297725</c:v>
                </c:pt>
                <c:pt idx="249">
                  <c:v>0.87501928658570394</c:v>
                </c:pt>
                <c:pt idx="250">
                  <c:v>0.8755358751158604</c:v>
                </c:pt>
                <c:pt idx="251">
                  <c:v>0.87694624151041434</c:v>
                </c:pt>
                <c:pt idx="252">
                  <c:v>0.87729268074792599</c:v>
                </c:pt>
                <c:pt idx="253">
                  <c:v>0.8778184034728318</c:v>
                </c:pt>
                <c:pt idx="254">
                  <c:v>0.87875380752054733</c:v>
                </c:pt>
                <c:pt idx="255">
                  <c:v>0.87993521447698952</c:v>
                </c:pt>
                <c:pt idx="256">
                  <c:v>0.88024126509260203</c:v>
                </c:pt>
                <c:pt idx="257">
                  <c:v>0.88026119213688014</c:v>
                </c:pt>
                <c:pt idx="258">
                  <c:v>0.88054273177881015</c:v>
                </c:pt>
                <c:pt idx="259">
                  <c:v>0.88095032139632745</c:v>
                </c:pt>
                <c:pt idx="260">
                  <c:v>0.88192448484517927</c:v>
                </c:pt>
                <c:pt idx="261">
                  <c:v>0.88196948765787553</c:v>
                </c:pt>
                <c:pt idx="262">
                  <c:v>0.88289956680675874</c:v>
                </c:pt>
                <c:pt idx="263">
                  <c:v>0.88365072367917796</c:v>
                </c:pt>
                <c:pt idx="264">
                  <c:v>0.88367291379037816</c:v>
                </c:pt>
                <c:pt idx="265">
                  <c:v>0.8846519286123975</c:v>
                </c:pt>
                <c:pt idx="266">
                  <c:v>0.8847424993071954</c:v>
                </c:pt>
                <c:pt idx="267">
                  <c:v>0.88564636499910832</c:v>
                </c:pt>
                <c:pt idx="268">
                  <c:v>0.88607890427514602</c:v>
                </c:pt>
                <c:pt idx="269">
                  <c:v>0.88652951362971777</c:v>
                </c:pt>
                <c:pt idx="270">
                  <c:v>0.88705992823712754</c:v>
                </c:pt>
                <c:pt idx="271">
                  <c:v>0.88762862716453828</c:v>
                </c:pt>
                <c:pt idx="272">
                  <c:v>0.88783101298528166</c:v>
                </c:pt>
                <c:pt idx="273">
                  <c:v>0.88794376181445789</c:v>
                </c:pt>
                <c:pt idx="274">
                  <c:v>0.88827011498770236</c:v>
                </c:pt>
                <c:pt idx="275">
                  <c:v>0.88920676692502054</c:v>
                </c:pt>
                <c:pt idx="276">
                  <c:v>0.88979702862715515</c:v>
                </c:pt>
                <c:pt idx="277">
                  <c:v>0.89040369200934966</c:v>
                </c:pt>
                <c:pt idx="278">
                  <c:v>0.89044215763638812</c:v>
                </c:pt>
                <c:pt idx="279">
                  <c:v>0.89165327318346799</c:v>
                </c:pt>
                <c:pt idx="280">
                  <c:v>0.89246459550357859</c:v>
                </c:pt>
                <c:pt idx="281">
                  <c:v>0.89252791928627417</c:v>
                </c:pt>
                <c:pt idx="282">
                  <c:v>0.89350937839757105</c:v>
                </c:pt>
                <c:pt idx="283">
                  <c:v>0.89407088519873923</c:v>
                </c:pt>
                <c:pt idx="284">
                  <c:v>0.89463431050002429</c:v>
                </c:pt>
                <c:pt idx="285">
                  <c:v>0.89526216647130774</c:v>
                </c:pt>
                <c:pt idx="286">
                  <c:v>0.8954303811508364</c:v>
                </c:pt>
                <c:pt idx="287">
                  <c:v>0.8956370966717202</c:v>
                </c:pt>
                <c:pt idx="288">
                  <c:v>0.89634983306591276</c:v>
                </c:pt>
                <c:pt idx="289">
                  <c:v>0.89676874779993065</c:v>
                </c:pt>
                <c:pt idx="290">
                  <c:v>0.8969903906138067</c:v>
                </c:pt>
                <c:pt idx="291">
                  <c:v>0.89779092507108649</c:v>
                </c:pt>
                <c:pt idx="292">
                  <c:v>0.8978543870316863</c:v>
                </c:pt>
                <c:pt idx="293">
                  <c:v>0.89830741684930293</c:v>
                </c:pt>
                <c:pt idx="294">
                  <c:v>0.89928503359134659</c:v>
                </c:pt>
                <c:pt idx="295">
                  <c:v>0.89945003376295918</c:v>
                </c:pt>
                <c:pt idx="296">
                  <c:v>0.89964829845634398</c:v>
                </c:pt>
                <c:pt idx="297">
                  <c:v>0.89993986395104608</c:v>
                </c:pt>
                <c:pt idx="298">
                  <c:v>0.90048624758508156</c:v>
                </c:pt>
                <c:pt idx="299">
                  <c:v>0.90089037513476578</c:v>
                </c:pt>
                <c:pt idx="300">
                  <c:v>0.90121674796503515</c:v>
                </c:pt>
                <c:pt idx="301">
                  <c:v>0.90204314089458559</c:v>
                </c:pt>
                <c:pt idx="302">
                  <c:v>0.90325435541669241</c:v>
                </c:pt>
                <c:pt idx="303">
                  <c:v>0.90349958721677659</c:v>
                </c:pt>
                <c:pt idx="304">
                  <c:v>0.9041437920706612</c:v>
                </c:pt>
                <c:pt idx="305">
                  <c:v>0.90439887132010621</c:v>
                </c:pt>
                <c:pt idx="306">
                  <c:v>0.90518542095035082</c:v>
                </c:pt>
                <c:pt idx="307">
                  <c:v>0.9061544433733868</c:v>
                </c:pt>
                <c:pt idx="308">
                  <c:v>0.90644683607716836</c:v>
                </c:pt>
                <c:pt idx="309">
                  <c:v>0.90714135990347999</c:v>
                </c:pt>
                <c:pt idx="310">
                  <c:v>0.90806186965366342</c:v>
                </c:pt>
                <c:pt idx="311">
                  <c:v>0.90840886186051395</c:v>
                </c:pt>
                <c:pt idx="312">
                  <c:v>0.90904881630632162</c:v>
                </c:pt>
                <c:pt idx="313">
                  <c:v>0.91081923968305323</c:v>
                </c:pt>
                <c:pt idx="314">
                  <c:v>0.91165194427052298</c:v>
                </c:pt>
                <c:pt idx="315">
                  <c:v>0.91208331827229561</c:v>
                </c:pt>
                <c:pt idx="316">
                  <c:v>0.91239537534181836</c:v>
                </c:pt>
                <c:pt idx="317">
                  <c:v>0.91356073205750843</c:v>
                </c:pt>
                <c:pt idx="318">
                  <c:v>0.91380547569404502</c:v>
                </c:pt>
                <c:pt idx="319">
                  <c:v>0.9143951864056632</c:v>
                </c:pt>
                <c:pt idx="320">
                  <c:v>0.91499101495914559</c:v>
                </c:pt>
                <c:pt idx="321">
                  <c:v>0.91515395079097495</c:v>
                </c:pt>
                <c:pt idx="322">
                  <c:v>0.91587032339978602</c:v>
                </c:pt>
                <c:pt idx="323">
                  <c:v>0.91631624526540423</c:v>
                </c:pt>
                <c:pt idx="324">
                  <c:v>0.91716015300666942</c:v>
                </c:pt>
                <c:pt idx="325">
                  <c:v>0.91735975643023804</c:v>
                </c:pt>
                <c:pt idx="326">
                  <c:v>0.91741053413391438</c:v>
                </c:pt>
                <c:pt idx="327">
                  <c:v>0.91789057884559</c:v>
                </c:pt>
                <c:pt idx="328">
                  <c:v>0.91825767484402743</c:v>
                </c:pt>
                <c:pt idx="329">
                  <c:v>0.91861946622438495</c:v>
                </c:pt>
                <c:pt idx="330">
                  <c:v>0.91950081711863141</c:v>
                </c:pt>
              </c:numCache>
            </c:numRef>
          </c:xVal>
          <c:yVal>
            <c:numRef>
              <c:f>Aux_graficos!$GM$2:$GM$332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8C-4EC9-8B83-2AA8F8937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5000000000000007"/>
          <c:min val="0.7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5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Aux_graficos!$GP$2:$GP$122</c:f>
              <c:numCache>
                <c:formatCode>General</c:formatCode>
                <c:ptCount val="121"/>
                <c:pt idx="0">
                  <c:v>0.65312518081106918</c:v>
                </c:pt>
                <c:pt idx="1">
                  <c:v>0.65399172998531518</c:v>
                </c:pt>
                <c:pt idx="2">
                  <c:v>0.65473135376191693</c:v>
                </c:pt>
                <c:pt idx="3">
                  <c:v>0.65487452823960668</c:v>
                </c:pt>
                <c:pt idx="4">
                  <c:v>0.65616233626590148</c:v>
                </c:pt>
                <c:pt idx="5">
                  <c:v>0.65695891190392131</c:v>
                </c:pt>
                <c:pt idx="6">
                  <c:v>0.66309602976715831</c:v>
                </c:pt>
                <c:pt idx="7">
                  <c:v>0.66376147712183364</c:v>
                </c:pt>
                <c:pt idx="8">
                  <c:v>0.66467399149604423</c:v>
                </c:pt>
                <c:pt idx="9">
                  <c:v>0.66481927652450978</c:v>
                </c:pt>
                <c:pt idx="10">
                  <c:v>0.66643616157665486</c:v>
                </c:pt>
                <c:pt idx="11">
                  <c:v>0.66688691311772319</c:v>
                </c:pt>
                <c:pt idx="12">
                  <c:v>0.67144183093903309</c:v>
                </c:pt>
                <c:pt idx="13">
                  <c:v>0.67546734824656784</c:v>
                </c:pt>
                <c:pt idx="14">
                  <c:v>0.68648046892964876</c:v>
                </c:pt>
                <c:pt idx="15">
                  <c:v>0.6877651083416968</c:v>
                </c:pt>
                <c:pt idx="16">
                  <c:v>0.68876351371728717</c:v>
                </c:pt>
                <c:pt idx="17">
                  <c:v>0.69456089718245917</c:v>
                </c:pt>
                <c:pt idx="18">
                  <c:v>0.6946353868407199</c:v>
                </c:pt>
                <c:pt idx="19">
                  <c:v>0.69774540604230062</c:v>
                </c:pt>
                <c:pt idx="20">
                  <c:v>0.69966242364195386</c:v>
                </c:pt>
                <c:pt idx="21">
                  <c:v>0.70336948362015861</c:v>
                </c:pt>
                <c:pt idx="22">
                  <c:v>0.70651460593808835</c:v>
                </c:pt>
                <c:pt idx="23">
                  <c:v>0.70817171858349859</c:v>
                </c:pt>
                <c:pt idx="24">
                  <c:v>0.70991658276897307</c:v>
                </c:pt>
                <c:pt idx="25">
                  <c:v>0.71155045300633812</c:v>
                </c:pt>
                <c:pt idx="26">
                  <c:v>0.71355147682260278</c:v>
                </c:pt>
                <c:pt idx="27">
                  <c:v>0.7178384774827048</c:v>
                </c:pt>
                <c:pt idx="28">
                  <c:v>0.71802928257959964</c:v>
                </c:pt>
                <c:pt idx="29">
                  <c:v>0.71926669094903783</c:v>
                </c:pt>
                <c:pt idx="30">
                  <c:v>0.72145942930883356</c:v>
                </c:pt>
                <c:pt idx="31">
                  <c:v>0.72318822652185255</c:v>
                </c:pt>
                <c:pt idx="32">
                  <c:v>0.72788005139887546</c:v>
                </c:pt>
                <c:pt idx="33">
                  <c:v>0.7303113672003082</c:v>
                </c:pt>
                <c:pt idx="34">
                  <c:v>0.73432396717898851</c:v>
                </c:pt>
                <c:pt idx="35">
                  <c:v>0.73817476711197194</c:v>
                </c:pt>
                <c:pt idx="36">
                  <c:v>0.73976150149850117</c:v>
                </c:pt>
                <c:pt idx="37">
                  <c:v>0.74466290963680581</c:v>
                </c:pt>
                <c:pt idx="38">
                  <c:v>0.74608148390036433</c:v>
                </c:pt>
                <c:pt idx="39">
                  <c:v>0.74736410427623545</c:v>
                </c:pt>
                <c:pt idx="40">
                  <c:v>0.74890748219062075</c:v>
                </c:pt>
                <c:pt idx="41">
                  <c:v>0.74942242618416466</c:v>
                </c:pt>
                <c:pt idx="42">
                  <c:v>0.75100361373925306</c:v>
                </c:pt>
                <c:pt idx="43">
                  <c:v>0.75477128374733815</c:v>
                </c:pt>
                <c:pt idx="44">
                  <c:v>0.75524508877349839</c:v>
                </c:pt>
                <c:pt idx="45">
                  <c:v>0.75718416600540706</c:v>
                </c:pt>
                <c:pt idx="46">
                  <c:v>0.75846594650592913</c:v>
                </c:pt>
                <c:pt idx="47">
                  <c:v>0.75947979459921044</c:v>
                </c:pt>
                <c:pt idx="48">
                  <c:v>0.76248441026595992</c:v>
                </c:pt>
                <c:pt idx="49">
                  <c:v>0.76581480273343061</c:v>
                </c:pt>
                <c:pt idx="50">
                  <c:v>0.7697905616124896</c:v>
                </c:pt>
                <c:pt idx="51">
                  <c:v>0.77100302228177031</c:v>
                </c:pt>
                <c:pt idx="52">
                  <c:v>0.77124488356109111</c:v>
                </c:pt>
                <c:pt idx="53">
                  <c:v>0.77347640145951113</c:v>
                </c:pt>
                <c:pt idx="54">
                  <c:v>0.77478703380570446</c:v>
                </c:pt>
                <c:pt idx="55">
                  <c:v>0.7760612436887373</c:v>
                </c:pt>
                <c:pt idx="56">
                  <c:v>0.7783911378101156</c:v>
                </c:pt>
                <c:pt idx="57">
                  <c:v>0.7800222209546599</c:v>
                </c:pt>
                <c:pt idx="58">
                  <c:v>0.78116279873267935</c:v>
                </c:pt>
                <c:pt idx="59">
                  <c:v>0.78190651967307911</c:v>
                </c:pt>
                <c:pt idx="60">
                  <c:v>0.78390786838197102</c:v>
                </c:pt>
                <c:pt idx="61">
                  <c:v>0.78647825130167548</c:v>
                </c:pt>
                <c:pt idx="62">
                  <c:v>0.79022685373371182</c:v>
                </c:pt>
                <c:pt idx="63">
                  <c:v>0.79121558825239791</c:v>
                </c:pt>
                <c:pt idx="64">
                  <c:v>0.79132171536866325</c:v>
                </c:pt>
                <c:pt idx="65">
                  <c:v>0.79476608304417262</c:v>
                </c:pt>
                <c:pt idx="66">
                  <c:v>0.79952390971956011</c:v>
                </c:pt>
                <c:pt idx="67">
                  <c:v>0.79977227155621344</c:v>
                </c:pt>
                <c:pt idx="68">
                  <c:v>0.80137261603731746</c:v>
                </c:pt>
                <c:pt idx="69">
                  <c:v>0.80457061312074096</c:v>
                </c:pt>
                <c:pt idx="70">
                  <c:v>0.80722111439543709</c:v>
                </c:pt>
                <c:pt idx="71">
                  <c:v>0.80727380150496475</c:v>
                </c:pt>
                <c:pt idx="72">
                  <c:v>0.81161333577164396</c:v>
                </c:pt>
                <c:pt idx="73">
                  <c:v>0.81202170516567729</c:v>
                </c:pt>
                <c:pt idx="74">
                  <c:v>0.81355875493056584</c:v>
                </c:pt>
                <c:pt idx="75">
                  <c:v>0.81471647879682774</c:v>
                </c:pt>
                <c:pt idx="76">
                  <c:v>0.81821222919362391</c:v>
                </c:pt>
                <c:pt idx="77">
                  <c:v>0.81984963310316405</c:v>
                </c:pt>
                <c:pt idx="78">
                  <c:v>0.81998163879033981</c:v>
                </c:pt>
                <c:pt idx="79">
                  <c:v>0.82069703400291893</c:v>
                </c:pt>
                <c:pt idx="80">
                  <c:v>0.82314281915994525</c:v>
                </c:pt>
                <c:pt idx="81">
                  <c:v>0.82445157108653044</c:v>
                </c:pt>
                <c:pt idx="82">
                  <c:v>0.82483247096026757</c:v>
                </c:pt>
                <c:pt idx="83">
                  <c:v>0.82522828862121977</c:v>
                </c:pt>
                <c:pt idx="84">
                  <c:v>0.82604280668633889</c:v>
                </c:pt>
                <c:pt idx="85">
                  <c:v>0.82654776488482185</c:v>
                </c:pt>
                <c:pt idx="86">
                  <c:v>0.82712290651355724</c:v>
                </c:pt>
                <c:pt idx="87">
                  <c:v>0.82849503660886781</c:v>
                </c:pt>
                <c:pt idx="88">
                  <c:v>0.83165550679538136</c:v>
                </c:pt>
                <c:pt idx="89">
                  <c:v>0.83231625938493714</c:v>
                </c:pt>
                <c:pt idx="90">
                  <c:v>0.83233289327901505</c:v>
                </c:pt>
                <c:pt idx="91">
                  <c:v>0.83440758926193614</c:v>
                </c:pt>
                <c:pt idx="92">
                  <c:v>0.83730040117556059</c:v>
                </c:pt>
                <c:pt idx="93">
                  <c:v>0.83925613625830664</c:v>
                </c:pt>
                <c:pt idx="94">
                  <c:v>0.84145001053162849</c:v>
                </c:pt>
                <c:pt idx="95">
                  <c:v>0.84283220121427505</c:v>
                </c:pt>
                <c:pt idx="96">
                  <c:v>0.84825568044511945</c:v>
                </c:pt>
                <c:pt idx="97">
                  <c:v>0.84910639966975443</c:v>
                </c:pt>
                <c:pt idx="98">
                  <c:v>0.8562499150210342</c:v>
                </c:pt>
                <c:pt idx="99">
                  <c:v>0.85779709458521425</c:v>
                </c:pt>
                <c:pt idx="100">
                  <c:v>0.85990471424501214</c:v>
                </c:pt>
                <c:pt idx="101">
                  <c:v>0.86002032616813417</c:v>
                </c:pt>
                <c:pt idx="102">
                  <c:v>0.86091982437252135</c:v>
                </c:pt>
                <c:pt idx="103">
                  <c:v>0.8666441069626174</c:v>
                </c:pt>
                <c:pt idx="104">
                  <c:v>0.86723206068701442</c:v>
                </c:pt>
                <c:pt idx="105">
                  <c:v>0.86782117971414896</c:v>
                </c:pt>
                <c:pt idx="106">
                  <c:v>0.87017987511079586</c:v>
                </c:pt>
                <c:pt idx="107">
                  <c:v>0.87192118271815566</c:v>
                </c:pt>
                <c:pt idx="108">
                  <c:v>0.87309527248431662</c:v>
                </c:pt>
                <c:pt idx="109">
                  <c:v>0.87379678608802092</c:v>
                </c:pt>
                <c:pt idx="110">
                  <c:v>0.87863473004114989</c:v>
                </c:pt>
                <c:pt idx="111">
                  <c:v>0.87940671253111935</c:v>
                </c:pt>
                <c:pt idx="112">
                  <c:v>0.88070540299942357</c:v>
                </c:pt>
                <c:pt idx="113">
                  <c:v>0.88490292201497178</c:v>
                </c:pt>
                <c:pt idx="114">
                  <c:v>0.88689568227291837</c:v>
                </c:pt>
                <c:pt idx="115">
                  <c:v>0.88841820932230409</c:v>
                </c:pt>
                <c:pt idx="116">
                  <c:v>0.88958680145576263</c:v>
                </c:pt>
                <c:pt idx="117">
                  <c:v>0.8910199078653952</c:v>
                </c:pt>
                <c:pt idx="118">
                  <c:v>0.89181423876952859</c:v>
                </c:pt>
                <c:pt idx="119">
                  <c:v>0.89453678144921267</c:v>
                </c:pt>
                <c:pt idx="120">
                  <c:v>0.89513856398288982</c:v>
                </c:pt>
              </c:numCache>
            </c:numRef>
          </c:xVal>
          <c:yVal>
            <c:numRef>
              <c:f>Aux_graficos!$GO$2:$GO$122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F9-4755-A0F9-2E99741D7A19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Aux_graficos!$GR$2:$GR$332</c:f>
              <c:numCache>
                <c:formatCode>General</c:formatCode>
                <c:ptCount val="331"/>
                <c:pt idx="0">
                  <c:v>0.65039981855507967</c:v>
                </c:pt>
                <c:pt idx="1">
                  <c:v>0.65091984214234255</c:v>
                </c:pt>
                <c:pt idx="2">
                  <c:v>0.65190659910705817</c:v>
                </c:pt>
                <c:pt idx="3">
                  <c:v>0.65269198884521962</c:v>
                </c:pt>
                <c:pt idx="4">
                  <c:v>0.6551314137133597</c:v>
                </c:pt>
                <c:pt idx="5">
                  <c:v>0.65572014804229239</c:v>
                </c:pt>
                <c:pt idx="6">
                  <c:v>0.65689771258456253</c:v>
                </c:pt>
                <c:pt idx="7">
                  <c:v>0.65753887588056548</c:v>
                </c:pt>
                <c:pt idx="8">
                  <c:v>0.65770431196137902</c:v>
                </c:pt>
                <c:pt idx="9">
                  <c:v>0.65845245387788287</c:v>
                </c:pt>
                <c:pt idx="10">
                  <c:v>0.65970183396412085</c:v>
                </c:pt>
                <c:pt idx="11">
                  <c:v>0.65980809913816829</c:v>
                </c:pt>
                <c:pt idx="12">
                  <c:v>0.66016265485981285</c:v>
                </c:pt>
                <c:pt idx="13">
                  <c:v>0.6602593480267952</c:v>
                </c:pt>
                <c:pt idx="14">
                  <c:v>0.66105495074185194</c:v>
                </c:pt>
                <c:pt idx="15">
                  <c:v>0.66205948671997961</c:v>
                </c:pt>
                <c:pt idx="16">
                  <c:v>0.66228961464255676</c:v>
                </c:pt>
                <c:pt idx="17">
                  <c:v>0.66327691866607508</c:v>
                </c:pt>
                <c:pt idx="18">
                  <c:v>0.66511840210749662</c:v>
                </c:pt>
                <c:pt idx="19">
                  <c:v>0.6654198584019837</c:v>
                </c:pt>
                <c:pt idx="20">
                  <c:v>0.66597977610457626</c:v>
                </c:pt>
                <c:pt idx="21">
                  <c:v>0.6678182115196547</c:v>
                </c:pt>
                <c:pt idx="22">
                  <c:v>0.66786518782427784</c:v>
                </c:pt>
                <c:pt idx="23">
                  <c:v>0.6689582066494304</c:v>
                </c:pt>
                <c:pt idx="24">
                  <c:v>0.66927773723525497</c:v>
                </c:pt>
                <c:pt idx="25">
                  <c:v>0.6695722469835903</c:v>
                </c:pt>
                <c:pt idx="26">
                  <c:v>0.6705585423130217</c:v>
                </c:pt>
                <c:pt idx="27">
                  <c:v>0.67146075773552172</c:v>
                </c:pt>
                <c:pt idx="28">
                  <c:v>0.67230885601215118</c:v>
                </c:pt>
                <c:pt idx="29">
                  <c:v>0.67259517777577316</c:v>
                </c:pt>
                <c:pt idx="30">
                  <c:v>0.673309008657485</c:v>
                </c:pt>
                <c:pt idx="31">
                  <c:v>0.67368005556442867</c:v>
                </c:pt>
                <c:pt idx="32">
                  <c:v>0.67417403539461629</c:v>
                </c:pt>
                <c:pt idx="33">
                  <c:v>0.67445344807527219</c:v>
                </c:pt>
                <c:pt idx="34">
                  <c:v>0.67574283369205579</c:v>
                </c:pt>
                <c:pt idx="35">
                  <c:v>0.67615320478103336</c:v>
                </c:pt>
                <c:pt idx="36">
                  <c:v>0.67718995649924096</c:v>
                </c:pt>
                <c:pt idx="37">
                  <c:v>0.67731089424487545</c:v>
                </c:pt>
                <c:pt idx="38">
                  <c:v>0.6777266498343405</c:v>
                </c:pt>
                <c:pt idx="39">
                  <c:v>0.67787519192225887</c:v>
                </c:pt>
                <c:pt idx="40">
                  <c:v>0.67889807398279423</c:v>
                </c:pt>
                <c:pt idx="41">
                  <c:v>0.67941800178763445</c:v>
                </c:pt>
                <c:pt idx="42">
                  <c:v>0.6801127354551314</c:v>
                </c:pt>
                <c:pt idx="43">
                  <c:v>0.68062054756487234</c:v>
                </c:pt>
                <c:pt idx="44">
                  <c:v>0.68101023163916474</c:v>
                </c:pt>
                <c:pt idx="45">
                  <c:v>0.68232212722144059</c:v>
                </c:pt>
                <c:pt idx="46">
                  <c:v>0.6823537805757488</c:v>
                </c:pt>
                <c:pt idx="47">
                  <c:v>0.68293259475974855</c:v>
                </c:pt>
                <c:pt idx="48">
                  <c:v>0.68331765605660588</c:v>
                </c:pt>
                <c:pt idx="49">
                  <c:v>0.68388403803932429</c:v>
                </c:pt>
                <c:pt idx="50">
                  <c:v>0.68441566735484072</c:v>
                </c:pt>
                <c:pt idx="51">
                  <c:v>0.684882767281219</c:v>
                </c:pt>
                <c:pt idx="52">
                  <c:v>0.68522914704345017</c:v>
                </c:pt>
                <c:pt idx="53">
                  <c:v>0.68555821212480283</c:v>
                </c:pt>
                <c:pt idx="54">
                  <c:v>0.68616807240862032</c:v>
                </c:pt>
                <c:pt idx="55">
                  <c:v>0.68749882735014833</c:v>
                </c:pt>
                <c:pt idx="56">
                  <c:v>0.68758917826562849</c:v>
                </c:pt>
                <c:pt idx="57">
                  <c:v>0.68921283132294497</c:v>
                </c:pt>
                <c:pt idx="58">
                  <c:v>0.68924786609617239</c:v>
                </c:pt>
                <c:pt idx="59">
                  <c:v>0.69048368152875261</c:v>
                </c:pt>
                <c:pt idx="60">
                  <c:v>0.69081902558152031</c:v>
                </c:pt>
                <c:pt idx="61">
                  <c:v>0.69219297824065273</c:v>
                </c:pt>
                <c:pt idx="62">
                  <c:v>0.69239974271190941</c:v>
                </c:pt>
                <c:pt idx="63">
                  <c:v>0.69290471132793297</c:v>
                </c:pt>
                <c:pt idx="64">
                  <c:v>0.69297763720827887</c:v>
                </c:pt>
                <c:pt idx="65">
                  <c:v>0.69344941498837576</c:v>
                </c:pt>
                <c:pt idx="66">
                  <c:v>0.69502142493404206</c:v>
                </c:pt>
                <c:pt idx="67">
                  <c:v>0.6954427274585242</c:v>
                </c:pt>
                <c:pt idx="68">
                  <c:v>0.69609712245695998</c:v>
                </c:pt>
                <c:pt idx="69">
                  <c:v>0.69691594006762303</c:v>
                </c:pt>
                <c:pt idx="70">
                  <c:v>0.69714069061336681</c:v>
                </c:pt>
                <c:pt idx="71">
                  <c:v>0.6986365150886138</c:v>
                </c:pt>
                <c:pt idx="72">
                  <c:v>0.70059009590721499</c:v>
                </c:pt>
                <c:pt idx="73">
                  <c:v>0.70164104525368376</c:v>
                </c:pt>
                <c:pt idx="74">
                  <c:v>0.70218368293851641</c:v>
                </c:pt>
                <c:pt idx="75">
                  <c:v>0.70231272614894658</c:v>
                </c:pt>
                <c:pt idx="76">
                  <c:v>0.70412056277425972</c:v>
                </c:pt>
                <c:pt idx="77">
                  <c:v>0.70431065660993541</c:v>
                </c:pt>
                <c:pt idx="78">
                  <c:v>0.70458540023326521</c:v>
                </c:pt>
                <c:pt idx="79">
                  <c:v>0.70561147501794541</c:v>
                </c:pt>
                <c:pt idx="80">
                  <c:v>0.70612462656708797</c:v>
                </c:pt>
                <c:pt idx="81">
                  <c:v>0.70676850567348015</c:v>
                </c:pt>
                <c:pt idx="82">
                  <c:v>0.70781639313879474</c:v>
                </c:pt>
                <c:pt idx="83">
                  <c:v>0.70900681152254053</c:v>
                </c:pt>
                <c:pt idx="84">
                  <c:v>0.7095609148066363</c:v>
                </c:pt>
                <c:pt idx="85">
                  <c:v>0.71020337857719584</c:v>
                </c:pt>
                <c:pt idx="86">
                  <c:v>0.71124637310093219</c:v>
                </c:pt>
                <c:pt idx="87">
                  <c:v>0.71143724936467367</c:v>
                </c:pt>
                <c:pt idx="88">
                  <c:v>0.71227888730617761</c:v>
                </c:pt>
                <c:pt idx="89">
                  <c:v>0.71277924130634207</c:v>
                </c:pt>
                <c:pt idx="90">
                  <c:v>0.71384198369848484</c:v>
                </c:pt>
                <c:pt idx="91">
                  <c:v>0.714459882917308</c:v>
                </c:pt>
                <c:pt idx="92">
                  <c:v>0.71555261111591217</c:v>
                </c:pt>
                <c:pt idx="93">
                  <c:v>0.71607258794730377</c:v>
                </c:pt>
                <c:pt idx="94">
                  <c:v>0.71613455445172258</c:v>
                </c:pt>
                <c:pt idx="95">
                  <c:v>0.71705170759187831</c:v>
                </c:pt>
                <c:pt idx="96">
                  <c:v>0.71705788064675635</c:v>
                </c:pt>
                <c:pt idx="97">
                  <c:v>0.71840357128084908</c:v>
                </c:pt>
                <c:pt idx="98">
                  <c:v>0.71925670708822009</c:v>
                </c:pt>
                <c:pt idx="99">
                  <c:v>0.72010018588064195</c:v>
                </c:pt>
                <c:pt idx="100">
                  <c:v>0.72036377492527759</c:v>
                </c:pt>
                <c:pt idx="101">
                  <c:v>0.72175940047237019</c:v>
                </c:pt>
                <c:pt idx="102">
                  <c:v>0.72221269192622017</c:v>
                </c:pt>
                <c:pt idx="103">
                  <c:v>0.72253298654557296</c:v>
                </c:pt>
                <c:pt idx="104">
                  <c:v>0.72351673192686594</c:v>
                </c:pt>
                <c:pt idx="105">
                  <c:v>0.72468303310649496</c:v>
                </c:pt>
                <c:pt idx="106">
                  <c:v>0.72492830210180104</c:v>
                </c:pt>
                <c:pt idx="107">
                  <c:v>0.72525412987363325</c:v>
                </c:pt>
                <c:pt idx="108">
                  <c:v>0.72595372211657794</c:v>
                </c:pt>
                <c:pt idx="109">
                  <c:v>0.72664321199638726</c:v>
                </c:pt>
                <c:pt idx="110">
                  <c:v>0.72697852669009144</c:v>
                </c:pt>
                <c:pt idx="111">
                  <c:v>0.7271676099957175</c:v>
                </c:pt>
                <c:pt idx="112">
                  <c:v>0.72783121663743389</c:v>
                </c:pt>
                <c:pt idx="113">
                  <c:v>0.72850725559380813</c:v>
                </c:pt>
                <c:pt idx="114">
                  <c:v>0.72956374459425255</c:v>
                </c:pt>
                <c:pt idx="115">
                  <c:v>0.72977960774518391</c:v>
                </c:pt>
                <c:pt idx="116">
                  <c:v>0.73052775019277749</c:v>
                </c:pt>
                <c:pt idx="117">
                  <c:v>0.73159230850535872</c:v>
                </c:pt>
                <c:pt idx="118">
                  <c:v>0.73165430163970269</c:v>
                </c:pt>
                <c:pt idx="119">
                  <c:v>0.732383676124711</c:v>
                </c:pt>
                <c:pt idx="120">
                  <c:v>0.73294974008728397</c:v>
                </c:pt>
                <c:pt idx="121">
                  <c:v>0.73329599540163359</c:v>
                </c:pt>
                <c:pt idx="122">
                  <c:v>0.73367908558307027</c:v>
                </c:pt>
                <c:pt idx="123">
                  <c:v>0.73451722175802781</c:v>
                </c:pt>
                <c:pt idx="124">
                  <c:v>0.73589995160237776</c:v>
                </c:pt>
                <c:pt idx="125">
                  <c:v>0.73653099729117133</c:v>
                </c:pt>
                <c:pt idx="126">
                  <c:v>0.73728221369003011</c:v>
                </c:pt>
                <c:pt idx="127">
                  <c:v>0.73736800254754054</c:v>
                </c:pt>
                <c:pt idx="128">
                  <c:v>0.73862875825203733</c:v>
                </c:pt>
                <c:pt idx="129">
                  <c:v>0.73915357865244991</c:v>
                </c:pt>
                <c:pt idx="130">
                  <c:v>0.74021858531537854</c:v>
                </c:pt>
                <c:pt idx="131">
                  <c:v>0.74066155992042249</c:v>
                </c:pt>
                <c:pt idx="132">
                  <c:v>0.74096272580654099</c:v>
                </c:pt>
                <c:pt idx="133">
                  <c:v>0.74205430151181906</c:v>
                </c:pt>
                <c:pt idx="134">
                  <c:v>0.74240877018847606</c:v>
                </c:pt>
                <c:pt idx="135">
                  <c:v>0.74356806794049168</c:v>
                </c:pt>
                <c:pt idx="136">
                  <c:v>0.7439813570048186</c:v>
                </c:pt>
                <c:pt idx="137">
                  <c:v>0.74574423844369031</c:v>
                </c:pt>
                <c:pt idx="138">
                  <c:v>0.7457533692445284</c:v>
                </c:pt>
                <c:pt idx="139">
                  <c:v>0.74673146857281902</c:v>
                </c:pt>
                <c:pt idx="140">
                  <c:v>0.74758728734780444</c:v>
                </c:pt>
                <c:pt idx="141">
                  <c:v>0.7478276319958933</c:v>
                </c:pt>
                <c:pt idx="142">
                  <c:v>0.74894965532939595</c:v>
                </c:pt>
                <c:pt idx="143">
                  <c:v>0.75031831552831862</c:v>
                </c:pt>
                <c:pt idx="144">
                  <c:v>0.75140322154329064</c:v>
                </c:pt>
                <c:pt idx="145">
                  <c:v>0.75154273506480229</c:v>
                </c:pt>
                <c:pt idx="146">
                  <c:v>0.75283073608173956</c:v>
                </c:pt>
                <c:pt idx="147">
                  <c:v>0.75301128702971143</c:v>
                </c:pt>
                <c:pt idx="148">
                  <c:v>0.75389303827663445</c:v>
                </c:pt>
                <c:pt idx="149">
                  <c:v>0.75455033317371001</c:v>
                </c:pt>
                <c:pt idx="150">
                  <c:v>0.75502510042124726</c:v>
                </c:pt>
                <c:pt idx="151">
                  <c:v>0.7563686298506922</c:v>
                </c:pt>
                <c:pt idx="152">
                  <c:v>0.75722252203636553</c:v>
                </c:pt>
                <c:pt idx="153">
                  <c:v>0.75786121364162207</c:v>
                </c:pt>
                <c:pt idx="154">
                  <c:v>0.76014445653161977</c:v>
                </c:pt>
                <c:pt idx="155">
                  <c:v>0.76032901097688188</c:v>
                </c:pt>
                <c:pt idx="156">
                  <c:v>0.76120212689057287</c:v>
                </c:pt>
                <c:pt idx="157">
                  <c:v>0.76189461776818523</c:v>
                </c:pt>
                <c:pt idx="158">
                  <c:v>0.76313131540902901</c:v>
                </c:pt>
                <c:pt idx="159">
                  <c:v>0.76366523446865087</c:v>
                </c:pt>
                <c:pt idx="160">
                  <c:v>0.76380626951895525</c:v>
                </c:pt>
                <c:pt idx="161">
                  <c:v>0.76419596822507474</c:v>
                </c:pt>
                <c:pt idx="162">
                  <c:v>0.76571567817319697</c:v>
                </c:pt>
                <c:pt idx="163">
                  <c:v>0.76598737387005977</c:v>
                </c:pt>
                <c:pt idx="164">
                  <c:v>0.76739162273474992</c:v>
                </c:pt>
                <c:pt idx="165">
                  <c:v>0.76820933393569857</c:v>
                </c:pt>
                <c:pt idx="166">
                  <c:v>0.76855071339164382</c:v>
                </c:pt>
                <c:pt idx="167">
                  <c:v>0.76855920924087651</c:v>
                </c:pt>
                <c:pt idx="168">
                  <c:v>0.76910325941663826</c:v>
                </c:pt>
                <c:pt idx="169">
                  <c:v>0.77051591065109826</c:v>
                </c:pt>
                <c:pt idx="170">
                  <c:v>0.77172100171849511</c:v>
                </c:pt>
                <c:pt idx="171">
                  <c:v>0.77318370461555463</c:v>
                </c:pt>
                <c:pt idx="172">
                  <c:v>0.77487125790098743</c:v>
                </c:pt>
                <c:pt idx="173">
                  <c:v>0.77505503140556309</c:v>
                </c:pt>
                <c:pt idx="174">
                  <c:v>0.775732205685845</c:v>
                </c:pt>
                <c:pt idx="175">
                  <c:v>0.77671790558042386</c:v>
                </c:pt>
                <c:pt idx="176">
                  <c:v>0.77742207938678209</c:v>
                </c:pt>
                <c:pt idx="177">
                  <c:v>0.77755263393975105</c:v>
                </c:pt>
                <c:pt idx="178">
                  <c:v>0.77802992126054782</c:v>
                </c:pt>
                <c:pt idx="179">
                  <c:v>0.77891317702318397</c:v>
                </c:pt>
                <c:pt idx="180">
                  <c:v>0.77988237067874966</c:v>
                </c:pt>
                <c:pt idx="181">
                  <c:v>0.78081298036575342</c:v>
                </c:pt>
                <c:pt idx="182">
                  <c:v>0.78149735203968163</c:v>
                </c:pt>
                <c:pt idx="183">
                  <c:v>0.78251229069101513</c:v>
                </c:pt>
                <c:pt idx="184">
                  <c:v>0.78261338651447732</c:v>
                </c:pt>
                <c:pt idx="185">
                  <c:v>0.78487341300348734</c:v>
                </c:pt>
                <c:pt idx="186">
                  <c:v>0.78534143681291835</c:v>
                </c:pt>
                <c:pt idx="187">
                  <c:v>0.78569621543407564</c:v>
                </c:pt>
                <c:pt idx="188">
                  <c:v>0.78672351056528422</c:v>
                </c:pt>
                <c:pt idx="189">
                  <c:v>0.7874468451395461</c:v>
                </c:pt>
                <c:pt idx="190">
                  <c:v>0.78773558832684387</c:v>
                </c:pt>
                <c:pt idx="191">
                  <c:v>0.78844179094206712</c:v>
                </c:pt>
                <c:pt idx="192">
                  <c:v>0.78878088559630621</c:v>
                </c:pt>
                <c:pt idx="193">
                  <c:v>0.78927575227954849</c:v>
                </c:pt>
                <c:pt idx="194">
                  <c:v>0.78991267127186005</c:v>
                </c:pt>
                <c:pt idx="195">
                  <c:v>0.79125806705382451</c:v>
                </c:pt>
                <c:pt idx="196">
                  <c:v>0.79169888674157285</c:v>
                </c:pt>
                <c:pt idx="197">
                  <c:v>0.79262313392092976</c:v>
                </c:pt>
                <c:pt idx="198">
                  <c:v>0.79273176532360956</c:v>
                </c:pt>
                <c:pt idx="199">
                  <c:v>0.79413529775336089</c:v>
                </c:pt>
                <c:pt idx="200">
                  <c:v>0.79458396422090494</c:v>
                </c:pt>
                <c:pt idx="201">
                  <c:v>0.79544785415059938</c:v>
                </c:pt>
                <c:pt idx="202">
                  <c:v>0.79581573982230258</c:v>
                </c:pt>
                <c:pt idx="203">
                  <c:v>0.79660392262610091</c:v>
                </c:pt>
                <c:pt idx="204">
                  <c:v>0.797267225013916</c:v>
                </c:pt>
                <c:pt idx="205">
                  <c:v>0.79777006365874237</c:v>
                </c:pt>
                <c:pt idx="206">
                  <c:v>0.79872490739762492</c:v>
                </c:pt>
                <c:pt idx="207">
                  <c:v>0.80038054007492176</c:v>
                </c:pt>
                <c:pt idx="208">
                  <c:v>0.80069381169830778</c:v>
                </c:pt>
                <c:pt idx="209">
                  <c:v>0.80185512429819839</c:v>
                </c:pt>
                <c:pt idx="210">
                  <c:v>0.80295816985097057</c:v>
                </c:pt>
                <c:pt idx="211">
                  <c:v>0.80371522956426822</c:v>
                </c:pt>
                <c:pt idx="212">
                  <c:v>0.80372734036760085</c:v>
                </c:pt>
                <c:pt idx="213">
                  <c:v>0.80466143702612114</c:v>
                </c:pt>
                <c:pt idx="214">
                  <c:v>0.8057786989452852</c:v>
                </c:pt>
                <c:pt idx="215">
                  <c:v>0.80594625892825189</c:v>
                </c:pt>
                <c:pt idx="216">
                  <c:v>0.80659128655779011</c:v>
                </c:pt>
                <c:pt idx="217">
                  <c:v>0.80812275357703034</c:v>
                </c:pt>
                <c:pt idx="218">
                  <c:v>0.80835503856092217</c:v>
                </c:pt>
                <c:pt idx="219">
                  <c:v>0.80875189841000983</c:v>
                </c:pt>
                <c:pt idx="220">
                  <c:v>0.80971557596323263</c:v>
                </c:pt>
                <c:pt idx="221">
                  <c:v>0.80984133256634339</c:v>
                </c:pt>
                <c:pt idx="222">
                  <c:v>0.81035177894932509</c:v>
                </c:pt>
                <c:pt idx="223">
                  <c:v>0.81162266219312718</c:v>
                </c:pt>
                <c:pt idx="224">
                  <c:v>0.81328210304017179</c:v>
                </c:pt>
                <c:pt idx="225">
                  <c:v>0.81360080789470457</c:v>
                </c:pt>
                <c:pt idx="226">
                  <c:v>0.81451109937249189</c:v>
                </c:pt>
                <c:pt idx="227">
                  <c:v>0.81569800050068586</c:v>
                </c:pt>
                <c:pt idx="228">
                  <c:v>0.81611045759508771</c:v>
                </c:pt>
                <c:pt idx="229">
                  <c:v>0.81695267036439656</c:v>
                </c:pt>
                <c:pt idx="230">
                  <c:v>0.81717441653139522</c:v>
                </c:pt>
                <c:pt idx="231">
                  <c:v>0.81858995068130214</c:v>
                </c:pt>
                <c:pt idx="232">
                  <c:v>0.81873109964110802</c:v>
                </c:pt>
                <c:pt idx="233">
                  <c:v>0.82035620223460359</c:v>
                </c:pt>
                <c:pt idx="234">
                  <c:v>0.82105042085503466</c:v>
                </c:pt>
                <c:pt idx="235">
                  <c:v>0.82240726543545395</c:v>
                </c:pt>
                <c:pt idx="236">
                  <c:v>0.82242985871577923</c:v>
                </c:pt>
                <c:pt idx="237">
                  <c:v>0.82308742333188833</c:v>
                </c:pt>
                <c:pt idx="238">
                  <c:v>0.82762136743715642</c:v>
                </c:pt>
                <c:pt idx="239">
                  <c:v>0.82764312576135912</c:v>
                </c:pt>
                <c:pt idx="240">
                  <c:v>0.82889791869106344</c:v>
                </c:pt>
                <c:pt idx="241">
                  <c:v>0.82993015266854908</c:v>
                </c:pt>
                <c:pt idx="242">
                  <c:v>0.83031722358672289</c:v>
                </c:pt>
                <c:pt idx="243">
                  <c:v>0.830641274391128</c:v>
                </c:pt>
                <c:pt idx="244">
                  <c:v>0.83291909585788848</c:v>
                </c:pt>
                <c:pt idx="245">
                  <c:v>0.83389385279256734</c:v>
                </c:pt>
                <c:pt idx="246">
                  <c:v>0.83423260012054279</c:v>
                </c:pt>
                <c:pt idx="247">
                  <c:v>0.83584643029673678</c:v>
                </c:pt>
                <c:pt idx="248">
                  <c:v>0.83693828439279683</c:v>
                </c:pt>
                <c:pt idx="249">
                  <c:v>0.83759877301321695</c:v>
                </c:pt>
                <c:pt idx="250">
                  <c:v>0.83783393931989381</c:v>
                </c:pt>
                <c:pt idx="251">
                  <c:v>0.83911731257357425</c:v>
                </c:pt>
                <c:pt idx="252">
                  <c:v>0.83939645576571098</c:v>
                </c:pt>
                <c:pt idx="253">
                  <c:v>0.84004468262901966</c:v>
                </c:pt>
                <c:pt idx="254">
                  <c:v>0.84112798582155146</c:v>
                </c:pt>
                <c:pt idx="255">
                  <c:v>0.84155513333587673</c:v>
                </c:pt>
                <c:pt idx="256">
                  <c:v>0.84245310604343104</c:v>
                </c:pt>
                <c:pt idx="257">
                  <c:v>0.84309340204455552</c:v>
                </c:pt>
                <c:pt idx="258">
                  <c:v>0.84374913368125926</c:v>
                </c:pt>
                <c:pt idx="259">
                  <c:v>0.8438229692172371</c:v>
                </c:pt>
                <c:pt idx="260">
                  <c:v>0.84434745407203238</c:v>
                </c:pt>
                <c:pt idx="261">
                  <c:v>0.84505169850319362</c:v>
                </c:pt>
                <c:pt idx="262">
                  <c:v>0.84543599918385659</c:v>
                </c:pt>
                <c:pt idx="263">
                  <c:v>0.84660617725749709</c:v>
                </c:pt>
                <c:pt idx="264">
                  <c:v>0.84674349484704803</c:v>
                </c:pt>
                <c:pt idx="265">
                  <c:v>0.84684512857594063</c:v>
                </c:pt>
                <c:pt idx="266">
                  <c:v>0.8480432265501372</c:v>
                </c:pt>
                <c:pt idx="267">
                  <c:v>0.84953088511873776</c:v>
                </c:pt>
                <c:pt idx="268">
                  <c:v>0.85003720298562591</c:v>
                </c:pt>
                <c:pt idx="269">
                  <c:v>0.85017726156809981</c:v>
                </c:pt>
                <c:pt idx="270">
                  <c:v>0.85125838016952016</c:v>
                </c:pt>
                <c:pt idx="271">
                  <c:v>0.8520223793409154</c:v>
                </c:pt>
                <c:pt idx="272">
                  <c:v>0.85234680607022073</c:v>
                </c:pt>
                <c:pt idx="273">
                  <c:v>0.85306996185023265</c:v>
                </c:pt>
                <c:pt idx="274">
                  <c:v>0.85332918343711517</c:v>
                </c:pt>
                <c:pt idx="275">
                  <c:v>0.8539235906834084</c:v>
                </c:pt>
                <c:pt idx="276">
                  <c:v>0.85394407417224594</c:v>
                </c:pt>
                <c:pt idx="277">
                  <c:v>0.85533523709832571</c:v>
                </c:pt>
                <c:pt idx="278">
                  <c:v>0.85565473229479061</c:v>
                </c:pt>
                <c:pt idx="279">
                  <c:v>0.85715476824208425</c:v>
                </c:pt>
                <c:pt idx="280">
                  <c:v>0.85724571686464035</c:v>
                </c:pt>
                <c:pt idx="281">
                  <c:v>0.85851318459351977</c:v>
                </c:pt>
                <c:pt idx="282">
                  <c:v>0.85950833349314082</c:v>
                </c:pt>
                <c:pt idx="283">
                  <c:v>0.86157135672296503</c:v>
                </c:pt>
                <c:pt idx="284">
                  <c:v>0.86246221729004535</c:v>
                </c:pt>
                <c:pt idx="285">
                  <c:v>0.86254242744660892</c:v>
                </c:pt>
                <c:pt idx="286">
                  <c:v>0.86288734141805323</c:v>
                </c:pt>
                <c:pt idx="287">
                  <c:v>0.86396653166047843</c:v>
                </c:pt>
                <c:pt idx="288">
                  <c:v>0.86442980124901814</c:v>
                </c:pt>
                <c:pt idx="289">
                  <c:v>0.8652385775493403</c:v>
                </c:pt>
                <c:pt idx="290">
                  <c:v>0.86545961528306026</c:v>
                </c:pt>
                <c:pt idx="291">
                  <c:v>0.86717051370355458</c:v>
                </c:pt>
                <c:pt idx="292">
                  <c:v>0.86905993778571888</c:v>
                </c:pt>
                <c:pt idx="293">
                  <c:v>0.86979048836696771</c:v>
                </c:pt>
                <c:pt idx="294">
                  <c:v>0.86997247932558508</c:v>
                </c:pt>
                <c:pt idx="295">
                  <c:v>0.87116818314804867</c:v>
                </c:pt>
                <c:pt idx="296">
                  <c:v>0.87185167437081545</c:v>
                </c:pt>
                <c:pt idx="297">
                  <c:v>0.87423082045847345</c:v>
                </c:pt>
                <c:pt idx="298">
                  <c:v>0.875794102129831</c:v>
                </c:pt>
                <c:pt idx="299">
                  <c:v>0.87596659861382287</c:v>
                </c:pt>
                <c:pt idx="300">
                  <c:v>0.877019551656681</c:v>
                </c:pt>
                <c:pt idx="301">
                  <c:v>0.87745434311938442</c:v>
                </c:pt>
                <c:pt idx="302">
                  <c:v>0.87798253345230803</c:v>
                </c:pt>
                <c:pt idx="303">
                  <c:v>0.87853286346304049</c:v>
                </c:pt>
                <c:pt idx="304">
                  <c:v>0.87877855253299497</c:v>
                </c:pt>
                <c:pt idx="305">
                  <c:v>0.8806025504532341</c:v>
                </c:pt>
                <c:pt idx="306">
                  <c:v>0.88095672097944311</c:v>
                </c:pt>
                <c:pt idx="307">
                  <c:v>0.88228440491314108</c:v>
                </c:pt>
                <c:pt idx="308">
                  <c:v>0.88317688710635633</c:v>
                </c:pt>
                <c:pt idx="309">
                  <c:v>0.88348349743000487</c:v>
                </c:pt>
                <c:pt idx="310">
                  <c:v>0.88411835333973909</c:v>
                </c:pt>
                <c:pt idx="311">
                  <c:v>0.88578650016222715</c:v>
                </c:pt>
                <c:pt idx="312">
                  <c:v>0.88655831637241456</c:v>
                </c:pt>
                <c:pt idx="313">
                  <c:v>0.88703879757948501</c:v>
                </c:pt>
                <c:pt idx="314">
                  <c:v>0.88758360341887221</c:v>
                </c:pt>
                <c:pt idx="315">
                  <c:v>0.88816910029748708</c:v>
                </c:pt>
                <c:pt idx="316">
                  <c:v>0.88980877723089014</c:v>
                </c:pt>
                <c:pt idx="317">
                  <c:v>0.89057722228533964</c:v>
                </c:pt>
                <c:pt idx="318">
                  <c:v>0.89122428242083762</c:v>
                </c:pt>
                <c:pt idx="319">
                  <c:v>0.89232565797476771</c:v>
                </c:pt>
                <c:pt idx="320">
                  <c:v>0.89256408906932494</c:v>
                </c:pt>
                <c:pt idx="321">
                  <c:v>0.89269937464112448</c:v>
                </c:pt>
                <c:pt idx="322">
                  <c:v>0.8934280885636271</c:v>
                </c:pt>
                <c:pt idx="323">
                  <c:v>0.89565996627452482</c:v>
                </c:pt>
                <c:pt idx="324">
                  <c:v>0.8971704475963842</c:v>
                </c:pt>
                <c:pt idx="325">
                  <c:v>0.89735481408571816</c:v>
                </c:pt>
                <c:pt idx="326">
                  <c:v>0.89811688953820246</c:v>
                </c:pt>
                <c:pt idx="327">
                  <c:v>0.89845312148391954</c:v>
                </c:pt>
                <c:pt idx="328">
                  <c:v>0.89860237499233164</c:v>
                </c:pt>
                <c:pt idx="329">
                  <c:v>0.89885770095765483</c:v>
                </c:pt>
                <c:pt idx="330">
                  <c:v>0.89919418056265343</c:v>
                </c:pt>
              </c:numCache>
            </c:numRef>
          </c:xVal>
          <c:yVal>
            <c:numRef>
              <c:f>Aux_graficos!$GQ$2:$GQ$332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F9-4755-A0F9-2E99741D7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"/>
          <c:min val="0.6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5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ε_HRVG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Aux_graficos!$GT$2:$GT$122</c:f>
              <c:numCache>
                <c:formatCode>General</c:formatCode>
                <c:ptCount val="121"/>
                <c:pt idx="0">
                  <c:v>0.60003885546679037</c:v>
                </c:pt>
                <c:pt idx="1">
                  <c:v>0.60413871873976766</c:v>
                </c:pt>
                <c:pt idx="2">
                  <c:v>0.60674561131960192</c:v>
                </c:pt>
                <c:pt idx="3">
                  <c:v>0.60867781306245305</c:v>
                </c:pt>
                <c:pt idx="4">
                  <c:v>0.61111157902885627</c:v>
                </c:pt>
                <c:pt idx="5">
                  <c:v>0.61205630391648147</c:v>
                </c:pt>
                <c:pt idx="6">
                  <c:v>0.61722628882729536</c:v>
                </c:pt>
                <c:pt idx="7">
                  <c:v>0.61768503731499036</c:v>
                </c:pt>
                <c:pt idx="8">
                  <c:v>0.61909726456303282</c:v>
                </c:pt>
                <c:pt idx="9">
                  <c:v>0.62323308573166625</c:v>
                </c:pt>
                <c:pt idx="10">
                  <c:v>0.62597914875267691</c:v>
                </c:pt>
                <c:pt idx="11">
                  <c:v>0.62618210208602032</c:v>
                </c:pt>
                <c:pt idx="12">
                  <c:v>0.62727787519691924</c:v>
                </c:pt>
                <c:pt idx="13">
                  <c:v>0.63109644907987639</c:v>
                </c:pt>
                <c:pt idx="14">
                  <c:v>0.63187629919294153</c:v>
                </c:pt>
                <c:pt idx="15">
                  <c:v>0.63723443124343282</c:v>
                </c:pt>
                <c:pt idx="16">
                  <c:v>0.63981822213251527</c:v>
                </c:pt>
                <c:pt idx="17">
                  <c:v>0.6438503926601179</c:v>
                </c:pt>
                <c:pt idx="18">
                  <c:v>0.65055280400278159</c:v>
                </c:pt>
                <c:pt idx="19">
                  <c:v>0.65198181443043146</c:v>
                </c:pt>
                <c:pt idx="20">
                  <c:v>0.65246190439369722</c:v>
                </c:pt>
                <c:pt idx="21">
                  <c:v>0.65254073900159115</c:v>
                </c:pt>
                <c:pt idx="22">
                  <c:v>0.65282923099110168</c:v>
                </c:pt>
                <c:pt idx="23">
                  <c:v>0.65683769399807934</c:v>
                </c:pt>
                <c:pt idx="24">
                  <c:v>0.66144695292129119</c:v>
                </c:pt>
                <c:pt idx="25">
                  <c:v>0.66409426901115276</c:v>
                </c:pt>
                <c:pt idx="26">
                  <c:v>0.66574934577185652</c:v>
                </c:pt>
                <c:pt idx="27">
                  <c:v>0.67124721876279803</c:v>
                </c:pt>
                <c:pt idx="28">
                  <c:v>0.67206266860463193</c:v>
                </c:pt>
                <c:pt idx="29">
                  <c:v>0.67586134370453699</c:v>
                </c:pt>
                <c:pt idx="30">
                  <c:v>0.67591268967088947</c:v>
                </c:pt>
                <c:pt idx="31">
                  <c:v>0.67773110852065166</c:v>
                </c:pt>
                <c:pt idx="32">
                  <c:v>0.6807163880278051</c:v>
                </c:pt>
                <c:pt idx="33">
                  <c:v>0.69022438650859308</c:v>
                </c:pt>
                <c:pt idx="34">
                  <c:v>0.69085123196897236</c:v>
                </c:pt>
                <c:pt idx="35">
                  <c:v>0.69111296230790364</c:v>
                </c:pt>
                <c:pt idx="36">
                  <c:v>0.69430687064494256</c:v>
                </c:pt>
                <c:pt idx="37">
                  <c:v>0.69661936110465339</c:v>
                </c:pt>
                <c:pt idx="38">
                  <c:v>0.69702495987220825</c:v>
                </c:pt>
                <c:pt idx="39">
                  <c:v>0.69817794909168107</c:v>
                </c:pt>
                <c:pt idx="40">
                  <c:v>0.70475996569828181</c:v>
                </c:pt>
                <c:pt idx="41">
                  <c:v>0.70574619891711932</c:v>
                </c:pt>
                <c:pt idx="42">
                  <c:v>0.70604169778650716</c:v>
                </c:pt>
                <c:pt idx="43">
                  <c:v>0.71009457007934951</c:v>
                </c:pt>
                <c:pt idx="44">
                  <c:v>0.71470254032339986</c:v>
                </c:pt>
                <c:pt idx="45">
                  <c:v>0.71740666071542691</c:v>
                </c:pt>
                <c:pt idx="46">
                  <c:v>0.7236997155909346</c:v>
                </c:pt>
                <c:pt idx="47">
                  <c:v>0.73023354854986544</c:v>
                </c:pt>
                <c:pt idx="48">
                  <c:v>0.73607995945116445</c:v>
                </c:pt>
                <c:pt idx="49">
                  <c:v>0.73872467941255338</c:v>
                </c:pt>
                <c:pt idx="50">
                  <c:v>0.73884542827599753</c:v>
                </c:pt>
                <c:pt idx="51">
                  <c:v>0.74096468002348082</c:v>
                </c:pt>
                <c:pt idx="52">
                  <c:v>0.74632777326816147</c:v>
                </c:pt>
                <c:pt idx="53">
                  <c:v>0.74757051471012936</c:v>
                </c:pt>
                <c:pt idx="54">
                  <c:v>0.74989966865744651</c:v>
                </c:pt>
                <c:pt idx="55">
                  <c:v>0.75096442973831445</c:v>
                </c:pt>
                <c:pt idx="56">
                  <c:v>0.75135615845304093</c:v>
                </c:pt>
                <c:pt idx="57">
                  <c:v>0.75638087082998451</c:v>
                </c:pt>
                <c:pt idx="58">
                  <c:v>0.75792226368468163</c:v>
                </c:pt>
                <c:pt idx="59">
                  <c:v>0.76084362115587467</c:v>
                </c:pt>
                <c:pt idx="60">
                  <c:v>0.76185994455753092</c:v>
                </c:pt>
                <c:pt idx="61">
                  <c:v>0.7685140722635736</c:v>
                </c:pt>
                <c:pt idx="62">
                  <c:v>0.76883394584333131</c:v>
                </c:pt>
                <c:pt idx="63">
                  <c:v>0.77076145809918972</c:v>
                </c:pt>
                <c:pt idx="64">
                  <c:v>0.77117786273985278</c:v>
                </c:pt>
                <c:pt idx="65">
                  <c:v>0.77457149177287732</c:v>
                </c:pt>
                <c:pt idx="66">
                  <c:v>0.77579360046232837</c:v>
                </c:pt>
                <c:pt idx="67">
                  <c:v>0.77689610012677179</c:v>
                </c:pt>
                <c:pt idx="68">
                  <c:v>0.78332797172925972</c:v>
                </c:pt>
                <c:pt idx="69">
                  <c:v>0.78893858966403618</c:v>
                </c:pt>
                <c:pt idx="70">
                  <c:v>0.79396656318761083</c:v>
                </c:pt>
                <c:pt idx="71">
                  <c:v>0.80081322169296898</c:v>
                </c:pt>
                <c:pt idx="72">
                  <c:v>0.80155775219427217</c:v>
                </c:pt>
                <c:pt idx="73">
                  <c:v>0.80281376892058431</c:v>
                </c:pt>
                <c:pt idx="74">
                  <c:v>0.80431442104505513</c:v>
                </c:pt>
                <c:pt idx="75">
                  <c:v>0.80450885510996462</c:v>
                </c:pt>
                <c:pt idx="76">
                  <c:v>0.80599156780683734</c:v>
                </c:pt>
                <c:pt idx="77">
                  <c:v>0.80839708749853512</c:v>
                </c:pt>
                <c:pt idx="78">
                  <c:v>0.81128754168921591</c:v>
                </c:pt>
                <c:pt idx="79">
                  <c:v>0.81779040319081608</c:v>
                </c:pt>
                <c:pt idx="80">
                  <c:v>0.81969009325014497</c:v>
                </c:pt>
                <c:pt idx="81">
                  <c:v>0.82285755032759389</c:v>
                </c:pt>
                <c:pt idx="82">
                  <c:v>0.82468776877702255</c:v>
                </c:pt>
                <c:pt idx="83">
                  <c:v>0.82742474159389334</c:v>
                </c:pt>
                <c:pt idx="84">
                  <c:v>0.82964229146414958</c:v>
                </c:pt>
                <c:pt idx="85">
                  <c:v>0.83702127012380023</c:v>
                </c:pt>
                <c:pt idx="86">
                  <c:v>0.85068528758542694</c:v>
                </c:pt>
                <c:pt idx="87">
                  <c:v>0.85173555922375921</c:v>
                </c:pt>
                <c:pt idx="88">
                  <c:v>0.85309419406128151</c:v>
                </c:pt>
                <c:pt idx="89">
                  <c:v>0.85545320687884463</c:v>
                </c:pt>
                <c:pt idx="90">
                  <c:v>0.85928503260863653</c:v>
                </c:pt>
                <c:pt idx="91">
                  <c:v>0.86438046823269865</c:v>
                </c:pt>
                <c:pt idx="92">
                  <c:v>0.86689597896364545</c:v>
                </c:pt>
                <c:pt idx="93">
                  <c:v>0.86862088307897789</c:v>
                </c:pt>
                <c:pt idx="94">
                  <c:v>0.86916411208435751</c:v>
                </c:pt>
                <c:pt idx="95">
                  <c:v>0.87416589316480142</c:v>
                </c:pt>
                <c:pt idx="96">
                  <c:v>0.87440543421971939</c:v>
                </c:pt>
                <c:pt idx="97">
                  <c:v>0.87700318650954068</c:v>
                </c:pt>
                <c:pt idx="98">
                  <c:v>0.87755702833756277</c:v>
                </c:pt>
                <c:pt idx="99">
                  <c:v>0.88140143386691694</c:v>
                </c:pt>
                <c:pt idx="100">
                  <c:v>0.8904357018266732</c:v>
                </c:pt>
                <c:pt idx="101">
                  <c:v>0.89195028950826238</c:v>
                </c:pt>
                <c:pt idx="102">
                  <c:v>0.89677055806203398</c:v>
                </c:pt>
                <c:pt idx="103">
                  <c:v>0.90197596370403921</c:v>
                </c:pt>
                <c:pt idx="104">
                  <c:v>0.90317936586022318</c:v>
                </c:pt>
                <c:pt idx="105">
                  <c:v>0.9042096691906758</c:v>
                </c:pt>
                <c:pt idx="106">
                  <c:v>0.90629202492594596</c:v>
                </c:pt>
                <c:pt idx="107">
                  <c:v>0.90917743203233481</c:v>
                </c:pt>
                <c:pt idx="108">
                  <c:v>0.90949433406137259</c:v>
                </c:pt>
                <c:pt idx="109">
                  <c:v>0.91735729494827545</c:v>
                </c:pt>
                <c:pt idx="110">
                  <c:v>0.92045809376111565</c:v>
                </c:pt>
                <c:pt idx="111">
                  <c:v>0.92058897470937884</c:v>
                </c:pt>
                <c:pt idx="112">
                  <c:v>0.92311956089323155</c:v>
                </c:pt>
                <c:pt idx="113">
                  <c:v>0.92502791907213744</c:v>
                </c:pt>
                <c:pt idx="114">
                  <c:v>0.92992776747875816</c:v>
                </c:pt>
                <c:pt idx="115">
                  <c:v>0.93152941732864281</c:v>
                </c:pt>
                <c:pt idx="116">
                  <c:v>0.93348463919593483</c:v>
                </c:pt>
                <c:pt idx="117">
                  <c:v>0.93581723485141921</c:v>
                </c:pt>
                <c:pt idx="118">
                  <c:v>0.94160474540905081</c:v>
                </c:pt>
                <c:pt idx="119">
                  <c:v>0.94563553978653203</c:v>
                </c:pt>
                <c:pt idx="120">
                  <c:v>0.94732642674936418</c:v>
                </c:pt>
              </c:numCache>
            </c:numRef>
          </c:xVal>
          <c:yVal>
            <c:numRef>
              <c:f>Aux_graficos!$GS$2:$GS$122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4-471A-9200-7D650AD39243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Aux_graficos!$GV$2:$GV$332</c:f>
              <c:numCache>
                <c:formatCode>General</c:formatCode>
                <c:ptCount val="331"/>
                <c:pt idx="0">
                  <c:v>0.60060518810752117</c:v>
                </c:pt>
                <c:pt idx="1">
                  <c:v>0.60122387118141185</c:v>
                </c:pt>
                <c:pt idx="2">
                  <c:v>0.6025373210719519</c:v>
                </c:pt>
                <c:pt idx="3">
                  <c:v>0.6031970463922085</c:v>
                </c:pt>
                <c:pt idx="4">
                  <c:v>0.60495287697320344</c:v>
                </c:pt>
                <c:pt idx="5">
                  <c:v>0.60556542995339679</c:v>
                </c:pt>
                <c:pt idx="6">
                  <c:v>0.60756495692601353</c:v>
                </c:pt>
                <c:pt idx="7">
                  <c:v>0.60856950896926887</c:v>
                </c:pt>
                <c:pt idx="8">
                  <c:v>0.60983425654406842</c:v>
                </c:pt>
                <c:pt idx="9">
                  <c:v>0.60992366019432354</c:v>
                </c:pt>
                <c:pt idx="10">
                  <c:v>0.61237760193152324</c:v>
                </c:pt>
                <c:pt idx="11">
                  <c:v>0.61301029574804911</c:v>
                </c:pt>
                <c:pt idx="12">
                  <c:v>0.61437738400701558</c:v>
                </c:pt>
                <c:pt idx="13">
                  <c:v>0.61463051481071029</c:v>
                </c:pt>
                <c:pt idx="14">
                  <c:v>0.61606694737015788</c:v>
                </c:pt>
                <c:pt idx="15">
                  <c:v>0.61976922267371493</c:v>
                </c:pt>
                <c:pt idx="16">
                  <c:v>0.62029381051553267</c:v>
                </c:pt>
                <c:pt idx="17">
                  <c:v>0.62041948843682992</c:v>
                </c:pt>
                <c:pt idx="18">
                  <c:v>0.62104400654137104</c:v>
                </c:pt>
                <c:pt idx="19">
                  <c:v>0.62130531503327557</c:v>
                </c:pt>
                <c:pt idx="20">
                  <c:v>0.62367695977167481</c:v>
                </c:pt>
                <c:pt idx="21">
                  <c:v>0.62401767051788726</c:v>
                </c:pt>
                <c:pt idx="22">
                  <c:v>0.62514462912580238</c:v>
                </c:pt>
                <c:pt idx="23">
                  <c:v>0.62714430715686165</c:v>
                </c:pt>
                <c:pt idx="24">
                  <c:v>0.62847297214371467</c:v>
                </c:pt>
                <c:pt idx="25">
                  <c:v>0.62856453760811215</c:v>
                </c:pt>
                <c:pt idx="26">
                  <c:v>0.62924804178560068</c:v>
                </c:pt>
                <c:pt idx="27">
                  <c:v>0.6313090123679227</c:v>
                </c:pt>
                <c:pt idx="28">
                  <c:v>0.63291231221119759</c:v>
                </c:pt>
                <c:pt idx="29">
                  <c:v>0.63486893522383703</c:v>
                </c:pt>
                <c:pt idx="30">
                  <c:v>0.6349773734073737</c:v>
                </c:pt>
                <c:pt idx="31">
                  <c:v>0.63544077495514451</c:v>
                </c:pt>
                <c:pt idx="32">
                  <c:v>0.63617140076642265</c:v>
                </c:pt>
                <c:pt idx="33">
                  <c:v>0.6364974366703936</c:v>
                </c:pt>
                <c:pt idx="34">
                  <c:v>0.63738442473986701</c:v>
                </c:pt>
                <c:pt idx="35">
                  <c:v>0.63979070517912084</c:v>
                </c:pt>
                <c:pt idx="36">
                  <c:v>0.64091614865428481</c:v>
                </c:pt>
                <c:pt idx="37">
                  <c:v>0.64126241758162261</c:v>
                </c:pt>
                <c:pt idx="38">
                  <c:v>0.64252505895703493</c:v>
                </c:pt>
                <c:pt idx="39">
                  <c:v>0.64485432704008028</c:v>
                </c:pt>
                <c:pt idx="40">
                  <c:v>0.64551569155633159</c:v>
                </c:pt>
                <c:pt idx="41">
                  <c:v>0.6467229048247698</c:v>
                </c:pt>
                <c:pt idx="42">
                  <c:v>0.64799904208748882</c:v>
                </c:pt>
                <c:pt idx="43">
                  <c:v>0.64817386550608302</c:v>
                </c:pt>
                <c:pt idx="44">
                  <c:v>0.65007649756737773</c:v>
                </c:pt>
                <c:pt idx="45">
                  <c:v>0.65011046053647159</c:v>
                </c:pt>
                <c:pt idx="46">
                  <c:v>0.65405110382314957</c:v>
                </c:pt>
                <c:pt idx="47">
                  <c:v>0.65575130200470799</c:v>
                </c:pt>
                <c:pt idx="48">
                  <c:v>0.65578315509980012</c:v>
                </c:pt>
                <c:pt idx="49">
                  <c:v>0.65804673000488922</c:v>
                </c:pt>
                <c:pt idx="50">
                  <c:v>0.65938373202226397</c:v>
                </c:pt>
                <c:pt idx="51">
                  <c:v>0.65959854162743992</c:v>
                </c:pt>
                <c:pt idx="52">
                  <c:v>0.66015864441169447</c:v>
                </c:pt>
                <c:pt idx="53">
                  <c:v>0.66191010280052964</c:v>
                </c:pt>
                <c:pt idx="54">
                  <c:v>0.66332076843591559</c:v>
                </c:pt>
                <c:pt idx="55">
                  <c:v>0.66712878162112044</c:v>
                </c:pt>
                <c:pt idx="56">
                  <c:v>0.66770159473730784</c:v>
                </c:pt>
                <c:pt idx="57">
                  <c:v>0.66785302336164099</c:v>
                </c:pt>
                <c:pt idx="58">
                  <c:v>0.66879662793281547</c:v>
                </c:pt>
                <c:pt idx="59">
                  <c:v>0.66921211731685071</c:v>
                </c:pt>
                <c:pt idx="60">
                  <c:v>0.67272846962129962</c:v>
                </c:pt>
                <c:pt idx="61">
                  <c:v>0.6732491460165646</c:v>
                </c:pt>
                <c:pt idx="62">
                  <c:v>0.67371001627143257</c:v>
                </c:pt>
                <c:pt idx="63">
                  <c:v>0.67410017216038787</c:v>
                </c:pt>
                <c:pt idx="64">
                  <c:v>0.67575770403451929</c:v>
                </c:pt>
                <c:pt idx="65">
                  <c:v>0.67848709827934195</c:v>
                </c:pt>
                <c:pt idx="66">
                  <c:v>0.67849943827054371</c:v>
                </c:pt>
                <c:pt idx="67">
                  <c:v>0.67987588076150884</c:v>
                </c:pt>
                <c:pt idx="68">
                  <c:v>0.68129741061922089</c:v>
                </c:pt>
                <c:pt idx="69">
                  <c:v>0.68238979460715288</c:v>
                </c:pt>
                <c:pt idx="70">
                  <c:v>0.68286215819677232</c:v>
                </c:pt>
                <c:pt idx="71">
                  <c:v>0.68327367779030368</c:v>
                </c:pt>
                <c:pt idx="72">
                  <c:v>0.68405919501030643</c:v>
                </c:pt>
                <c:pt idx="73">
                  <c:v>0.68571788920719434</c:v>
                </c:pt>
                <c:pt idx="74">
                  <c:v>0.68581226705106291</c:v>
                </c:pt>
                <c:pt idx="75">
                  <c:v>0.68599283887688445</c:v>
                </c:pt>
                <c:pt idx="76">
                  <c:v>0.68688562160482192</c:v>
                </c:pt>
                <c:pt idx="77">
                  <c:v>0.68844246265398545</c:v>
                </c:pt>
                <c:pt idx="78">
                  <c:v>0.68868877793996475</c:v>
                </c:pt>
                <c:pt idx="79">
                  <c:v>0.6897940450180331</c:v>
                </c:pt>
                <c:pt idx="80">
                  <c:v>0.69211028297484944</c:v>
                </c:pt>
                <c:pt idx="81">
                  <c:v>0.69230964106021453</c:v>
                </c:pt>
                <c:pt idx="82">
                  <c:v>0.69282570727617354</c:v>
                </c:pt>
                <c:pt idx="83">
                  <c:v>0.69473466102674031</c:v>
                </c:pt>
                <c:pt idx="84">
                  <c:v>0.6951904466992288</c:v>
                </c:pt>
                <c:pt idx="85">
                  <c:v>0.69795723482884187</c:v>
                </c:pt>
                <c:pt idx="86">
                  <c:v>0.69882493493282927</c:v>
                </c:pt>
                <c:pt idx="87">
                  <c:v>0.70031607841883214</c:v>
                </c:pt>
                <c:pt idx="88">
                  <c:v>0.70288927773369902</c:v>
                </c:pt>
                <c:pt idx="89">
                  <c:v>0.7033995822660104</c:v>
                </c:pt>
                <c:pt idx="90">
                  <c:v>0.70726845737080646</c:v>
                </c:pt>
                <c:pt idx="91">
                  <c:v>0.7091119085257297</c:v>
                </c:pt>
                <c:pt idx="92">
                  <c:v>0.70926612932097244</c:v>
                </c:pt>
                <c:pt idx="93">
                  <c:v>0.71163081546544826</c:v>
                </c:pt>
                <c:pt idx="94">
                  <c:v>0.71312616166007015</c:v>
                </c:pt>
                <c:pt idx="95">
                  <c:v>0.71315475368150449</c:v>
                </c:pt>
                <c:pt idx="96">
                  <c:v>0.71368870919032545</c:v>
                </c:pt>
                <c:pt idx="97">
                  <c:v>0.71438893732678532</c:v>
                </c:pt>
                <c:pt idx="98">
                  <c:v>0.71630655513770058</c:v>
                </c:pt>
                <c:pt idx="99">
                  <c:v>0.71663954956314979</c:v>
                </c:pt>
                <c:pt idx="100">
                  <c:v>0.71694743196486399</c:v>
                </c:pt>
                <c:pt idx="101">
                  <c:v>0.71811486697090332</c:v>
                </c:pt>
                <c:pt idx="102">
                  <c:v>0.72010773406942341</c:v>
                </c:pt>
                <c:pt idx="103">
                  <c:v>0.72016300217390905</c:v>
                </c:pt>
                <c:pt idx="104">
                  <c:v>0.72063255859516451</c:v>
                </c:pt>
                <c:pt idx="105">
                  <c:v>0.72133589207864712</c:v>
                </c:pt>
                <c:pt idx="106">
                  <c:v>0.72148729824908719</c:v>
                </c:pt>
                <c:pt idx="107">
                  <c:v>0.72268256965746291</c:v>
                </c:pt>
                <c:pt idx="108">
                  <c:v>0.72348000354414543</c:v>
                </c:pt>
                <c:pt idx="109">
                  <c:v>0.72500340415597764</c:v>
                </c:pt>
                <c:pt idx="110">
                  <c:v>0.72506260745405915</c:v>
                </c:pt>
                <c:pt idx="111">
                  <c:v>0.72617644107132506</c:v>
                </c:pt>
                <c:pt idx="112">
                  <c:v>0.72699722693597568</c:v>
                </c:pt>
                <c:pt idx="113">
                  <c:v>0.72817033737851644</c:v>
                </c:pt>
                <c:pt idx="114">
                  <c:v>0.72841396046383911</c:v>
                </c:pt>
                <c:pt idx="115">
                  <c:v>0.72907878434805296</c:v>
                </c:pt>
                <c:pt idx="116">
                  <c:v>0.72968408543049967</c:v>
                </c:pt>
                <c:pt idx="117">
                  <c:v>0.73093814689487135</c:v>
                </c:pt>
                <c:pt idx="118">
                  <c:v>0.73163251054809408</c:v>
                </c:pt>
                <c:pt idx="119">
                  <c:v>0.7319672186009154</c:v>
                </c:pt>
                <c:pt idx="120">
                  <c:v>0.73324255273420347</c:v>
                </c:pt>
                <c:pt idx="121">
                  <c:v>0.73371612735574221</c:v>
                </c:pt>
                <c:pt idx="122">
                  <c:v>0.73527306103436441</c:v>
                </c:pt>
                <c:pt idx="123">
                  <c:v>0.73666148195345094</c:v>
                </c:pt>
                <c:pt idx="124">
                  <c:v>0.73692833223459286</c:v>
                </c:pt>
                <c:pt idx="125">
                  <c:v>0.7383783073414355</c:v>
                </c:pt>
                <c:pt idx="126">
                  <c:v>0.74117903880077862</c:v>
                </c:pt>
                <c:pt idx="127">
                  <c:v>0.74155724915944454</c:v>
                </c:pt>
                <c:pt idx="128">
                  <c:v>0.74319865318183687</c:v>
                </c:pt>
                <c:pt idx="129">
                  <c:v>0.74338114916346543</c:v>
                </c:pt>
                <c:pt idx="130">
                  <c:v>0.74463262953805198</c:v>
                </c:pt>
                <c:pt idx="131">
                  <c:v>0.74504366576134062</c:v>
                </c:pt>
                <c:pt idx="132">
                  <c:v>0.74515370927020841</c:v>
                </c:pt>
                <c:pt idx="133">
                  <c:v>0.74647573796332622</c:v>
                </c:pt>
                <c:pt idx="134">
                  <c:v>0.74828031618578816</c:v>
                </c:pt>
                <c:pt idx="135">
                  <c:v>0.75021832953705281</c:v>
                </c:pt>
                <c:pt idx="136">
                  <c:v>0.75337163714887656</c:v>
                </c:pt>
                <c:pt idx="137">
                  <c:v>0.75351448696245993</c:v>
                </c:pt>
                <c:pt idx="138">
                  <c:v>0.75505330735749399</c:v>
                </c:pt>
                <c:pt idx="139">
                  <c:v>0.75534482198476971</c:v>
                </c:pt>
                <c:pt idx="140">
                  <c:v>0.75588762511547081</c:v>
                </c:pt>
                <c:pt idx="141">
                  <c:v>0.75664247091750469</c:v>
                </c:pt>
                <c:pt idx="142">
                  <c:v>0.75862013804522399</c:v>
                </c:pt>
                <c:pt idx="143">
                  <c:v>0.7591979176321435</c:v>
                </c:pt>
                <c:pt idx="144">
                  <c:v>0.76015547449348064</c:v>
                </c:pt>
                <c:pt idx="145">
                  <c:v>0.76113801974703765</c:v>
                </c:pt>
                <c:pt idx="146">
                  <c:v>0.76313539792591667</c:v>
                </c:pt>
                <c:pt idx="147">
                  <c:v>0.76330884357078832</c:v>
                </c:pt>
                <c:pt idx="148">
                  <c:v>0.76402765856566712</c:v>
                </c:pt>
                <c:pt idx="149">
                  <c:v>0.76456340412363533</c:v>
                </c:pt>
                <c:pt idx="150">
                  <c:v>0.76552421790799507</c:v>
                </c:pt>
                <c:pt idx="151">
                  <c:v>0.76665428587780893</c:v>
                </c:pt>
                <c:pt idx="152">
                  <c:v>0.76747031497778484</c:v>
                </c:pt>
                <c:pt idx="153">
                  <c:v>0.77200541722048621</c:v>
                </c:pt>
                <c:pt idx="154">
                  <c:v>0.77297451153458496</c:v>
                </c:pt>
                <c:pt idx="155">
                  <c:v>0.7735089549851204</c:v>
                </c:pt>
                <c:pt idx="156">
                  <c:v>0.77464444230297602</c:v>
                </c:pt>
                <c:pt idx="157">
                  <c:v>0.77537168555775327</c:v>
                </c:pt>
                <c:pt idx="158">
                  <c:v>0.77729309649776179</c:v>
                </c:pt>
                <c:pt idx="159">
                  <c:v>0.77772376897025841</c:v>
                </c:pt>
                <c:pt idx="160">
                  <c:v>0.77898522179589957</c:v>
                </c:pt>
                <c:pt idx="161">
                  <c:v>0.77943919901687408</c:v>
                </c:pt>
                <c:pt idx="162">
                  <c:v>0.78094709735735135</c:v>
                </c:pt>
                <c:pt idx="163">
                  <c:v>0.78211754284614921</c:v>
                </c:pt>
                <c:pt idx="164">
                  <c:v>0.78214068296554839</c:v>
                </c:pt>
                <c:pt idx="165">
                  <c:v>0.78429500144831443</c:v>
                </c:pt>
                <c:pt idx="166">
                  <c:v>0.78481607296017009</c:v>
                </c:pt>
                <c:pt idx="167">
                  <c:v>0.78577082010540711</c:v>
                </c:pt>
                <c:pt idx="168">
                  <c:v>0.78618847410283077</c:v>
                </c:pt>
                <c:pt idx="169">
                  <c:v>0.78762834087714861</c:v>
                </c:pt>
                <c:pt idx="170">
                  <c:v>0.78997810642959787</c:v>
                </c:pt>
                <c:pt idx="171">
                  <c:v>0.79010474650867335</c:v>
                </c:pt>
                <c:pt idx="172">
                  <c:v>0.79048509808235856</c:v>
                </c:pt>
                <c:pt idx="173">
                  <c:v>0.79117187597646632</c:v>
                </c:pt>
                <c:pt idx="174">
                  <c:v>0.79178452445963887</c:v>
                </c:pt>
                <c:pt idx="175">
                  <c:v>0.79319508767913405</c:v>
                </c:pt>
                <c:pt idx="176">
                  <c:v>0.79350947176196851</c:v>
                </c:pt>
                <c:pt idx="177">
                  <c:v>0.79437935974924645</c:v>
                </c:pt>
                <c:pt idx="178">
                  <c:v>0.79585418957697895</c:v>
                </c:pt>
                <c:pt idx="179">
                  <c:v>0.79669195142997384</c:v>
                </c:pt>
                <c:pt idx="180">
                  <c:v>0.79675299161579116</c:v>
                </c:pt>
                <c:pt idx="181">
                  <c:v>0.79768815972876972</c:v>
                </c:pt>
                <c:pt idx="182">
                  <c:v>0.79906922208262687</c:v>
                </c:pt>
                <c:pt idx="183">
                  <c:v>0.79935960308300591</c:v>
                </c:pt>
                <c:pt idx="184">
                  <c:v>0.79960575021110292</c:v>
                </c:pt>
                <c:pt idx="185">
                  <c:v>0.80185390571094883</c:v>
                </c:pt>
                <c:pt idx="186">
                  <c:v>0.805766255847298</c:v>
                </c:pt>
                <c:pt idx="187">
                  <c:v>0.80658857838568565</c:v>
                </c:pt>
                <c:pt idx="188">
                  <c:v>0.80868410348138342</c:v>
                </c:pt>
                <c:pt idx="189">
                  <c:v>0.80964582902399973</c:v>
                </c:pt>
                <c:pt idx="190">
                  <c:v>0.81043112666589256</c:v>
                </c:pt>
                <c:pt idx="191">
                  <c:v>0.81080597612916672</c:v>
                </c:pt>
                <c:pt idx="192">
                  <c:v>0.81235260883404048</c:v>
                </c:pt>
                <c:pt idx="193">
                  <c:v>0.81270248304542969</c:v>
                </c:pt>
                <c:pt idx="194">
                  <c:v>0.81357724650878527</c:v>
                </c:pt>
                <c:pt idx="195">
                  <c:v>0.81432419021673885</c:v>
                </c:pt>
                <c:pt idx="196">
                  <c:v>0.81470356451565196</c:v>
                </c:pt>
                <c:pt idx="197">
                  <c:v>0.81570197341765005</c:v>
                </c:pt>
                <c:pt idx="198">
                  <c:v>0.81598978294657187</c:v>
                </c:pt>
                <c:pt idx="199">
                  <c:v>0.81792317665380199</c:v>
                </c:pt>
                <c:pt idx="200">
                  <c:v>0.81907508566211518</c:v>
                </c:pt>
                <c:pt idx="201">
                  <c:v>0.81913049078891054</c:v>
                </c:pt>
                <c:pt idx="202">
                  <c:v>0.82093886702417418</c:v>
                </c:pt>
                <c:pt idx="203">
                  <c:v>0.82143857449363211</c:v>
                </c:pt>
                <c:pt idx="204">
                  <c:v>0.82182422915058417</c:v>
                </c:pt>
                <c:pt idx="205">
                  <c:v>0.82346993806099344</c:v>
                </c:pt>
                <c:pt idx="206">
                  <c:v>0.82491477807385671</c:v>
                </c:pt>
                <c:pt idx="207">
                  <c:v>0.82574155888382184</c:v>
                </c:pt>
                <c:pt idx="208">
                  <c:v>0.82779112913679354</c:v>
                </c:pt>
                <c:pt idx="209">
                  <c:v>0.82919153280507074</c:v>
                </c:pt>
                <c:pt idx="210">
                  <c:v>0.83019950674110332</c:v>
                </c:pt>
                <c:pt idx="211">
                  <c:v>0.8307642660096316</c:v>
                </c:pt>
                <c:pt idx="212">
                  <c:v>0.83173421059814212</c:v>
                </c:pt>
                <c:pt idx="213">
                  <c:v>0.83186581045580454</c:v>
                </c:pt>
                <c:pt idx="214">
                  <c:v>0.83232193797700171</c:v>
                </c:pt>
                <c:pt idx="215">
                  <c:v>0.83304431282846747</c:v>
                </c:pt>
                <c:pt idx="216">
                  <c:v>0.83380008926887161</c:v>
                </c:pt>
                <c:pt idx="217">
                  <c:v>0.83487459588311708</c:v>
                </c:pt>
                <c:pt idx="218">
                  <c:v>0.83568727778992546</c:v>
                </c:pt>
                <c:pt idx="219">
                  <c:v>0.83586447772254446</c:v>
                </c:pt>
                <c:pt idx="220">
                  <c:v>0.8384746840278483</c:v>
                </c:pt>
                <c:pt idx="221">
                  <c:v>0.83921824325071848</c:v>
                </c:pt>
                <c:pt idx="222">
                  <c:v>0.83960162010381867</c:v>
                </c:pt>
                <c:pt idx="223">
                  <c:v>0.84078963844675203</c:v>
                </c:pt>
                <c:pt idx="224">
                  <c:v>0.84080375596298551</c:v>
                </c:pt>
                <c:pt idx="225">
                  <c:v>0.84227990008894205</c:v>
                </c:pt>
                <c:pt idx="226">
                  <c:v>0.84241975540375802</c:v>
                </c:pt>
                <c:pt idx="227">
                  <c:v>0.84359880543513621</c:v>
                </c:pt>
                <c:pt idx="228">
                  <c:v>0.8436107120242694</c:v>
                </c:pt>
                <c:pt idx="229">
                  <c:v>0.84558507939837591</c:v>
                </c:pt>
                <c:pt idx="230">
                  <c:v>0.84663653854657139</c:v>
                </c:pt>
                <c:pt idx="231">
                  <c:v>0.84677833714639683</c:v>
                </c:pt>
                <c:pt idx="232">
                  <c:v>0.84799180893422532</c:v>
                </c:pt>
                <c:pt idx="233">
                  <c:v>0.8500148514540169</c:v>
                </c:pt>
                <c:pt idx="234">
                  <c:v>0.85079754970189214</c:v>
                </c:pt>
                <c:pt idx="235">
                  <c:v>0.85212045994825525</c:v>
                </c:pt>
                <c:pt idx="236">
                  <c:v>0.85382399293688471</c:v>
                </c:pt>
                <c:pt idx="237">
                  <c:v>0.85464642262307278</c:v>
                </c:pt>
                <c:pt idx="238">
                  <c:v>0.85579162662884722</c:v>
                </c:pt>
                <c:pt idx="239">
                  <c:v>0.85762117743546784</c:v>
                </c:pt>
                <c:pt idx="240">
                  <c:v>0.85879559815050732</c:v>
                </c:pt>
                <c:pt idx="241">
                  <c:v>0.85883842804405774</c:v>
                </c:pt>
                <c:pt idx="242">
                  <c:v>0.86073704607842783</c:v>
                </c:pt>
                <c:pt idx="243">
                  <c:v>0.86156830444367793</c:v>
                </c:pt>
                <c:pt idx="244">
                  <c:v>0.86197557438012473</c:v>
                </c:pt>
                <c:pt idx="245">
                  <c:v>0.8628960897448319</c:v>
                </c:pt>
                <c:pt idx="246">
                  <c:v>0.86298422160526589</c:v>
                </c:pt>
                <c:pt idx="247">
                  <c:v>0.86526029469898758</c:v>
                </c:pt>
                <c:pt idx="248">
                  <c:v>0.86556495422937774</c:v>
                </c:pt>
                <c:pt idx="249">
                  <c:v>0.8672773086401192</c:v>
                </c:pt>
                <c:pt idx="250">
                  <c:v>0.8674102586305763</c:v>
                </c:pt>
                <c:pt idx="251">
                  <c:v>0.86975389173799678</c:v>
                </c:pt>
                <c:pt idx="252">
                  <c:v>0.87086888713116595</c:v>
                </c:pt>
                <c:pt idx="253">
                  <c:v>0.87133373730410091</c:v>
                </c:pt>
                <c:pt idx="254">
                  <c:v>0.87149860951888725</c:v>
                </c:pt>
                <c:pt idx="255">
                  <c:v>0.87224897311235838</c:v>
                </c:pt>
                <c:pt idx="256">
                  <c:v>0.87361300598074987</c:v>
                </c:pt>
                <c:pt idx="257">
                  <c:v>0.87547641300642853</c:v>
                </c:pt>
                <c:pt idx="258">
                  <c:v>0.87580331074440299</c:v>
                </c:pt>
                <c:pt idx="259">
                  <c:v>0.87779909110300935</c:v>
                </c:pt>
                <c:pt idx="260">
                  <c:v>0.87988209105192317</c:v>
                </c:pt>
                <c:pt idx="261">
                  <c:v>0.88227584036394835</c:v>
                </c:pt>
                <c:pt idx="262">
                  <c:v>0.8834220512221207</c:v>
                </c:pt>
                <c:pt idx="263">
                  <c:v>0.8836094116215305</c:v>
                </c:pt>
                <c:pt idx="264">
                  <c:v>0.8841634753152201</c:v>
                </c:pt>
                <c:pt idx="265">
                  <c:v>0.88556585186473902</c:v>
                </c:pt>
                <c:pt idx="266">
                  <c:v>0.88596618410040762</c:v>
                </c:pt>
                <c:pt idx="267">
                  <c:v>0.88666969325379208</c:v>
                </c:pt>
                <c:pt idx="268">
                  <c:v>0.88753478572667932</c:v>
                </c:pt>
                <c:pt idx="269">
                  <c:v>0.88839690560828632</c:v>
                </c:pt>
                <c:pt idx="270">
                  <c:v>0.88862225111250692</c:v>
                </c:pt>
                <c:pt idx="271">
                  <c:v>0.88964821217964329</c:v>
                </c:pt>
                <c:pt idx="272">
                  <c:v>0.89149470791637597</c:v>
                </c:pt>
                <c:pt idx="273">
                  <c:v>0.89222605691587953</c:v>
                </c:pt>
                <c:pt idx="274">
                  <c:v>0.89269125711870101</c:v>
                </c:pt>
                <c:pt idx="275">
                  <c:v>0.89324387575792019</c:v>
                </c:pt>
                <c:pt idx="276">
                  <c:v>0.89451683325113285</c:v>
                </c:pt>
                <c:pt idx="277">
                  <c:v>0.89543618798897184</c:v>
                </c:pt>
                <c:pt idx="278">
                  <c:v>0.89557618547671969</c:v>
                </c:pt>
                <c:pt idx="279">
                  <c:v>0.89739684282601928</c:v>
                </c:pt>
                <c:pt idx="280">
                  <c:v>0.89799739620082197</c:v>
                </c:pt>
                <c:pt idx="281">
                  <c:v>0.89842309754468697</c:v>
                </c:pt>
                <c:pt idx="282">
                  <c:v>0.89903230764928388</c:v>
                </c:pt>
                <c:pt idx="283">
                  <c:v>0.90081833410109524</c:v>
                </c:pt>
                <c:pt idx="284">
                  <c:v>0.90170101409155035</c:v>
                </c:pt>
                <c:pt idx="285">
                  <c:v>0.90310453635735755</c:v>
                </c:pt>
                <c:pt idx="286">
                  <c:v>0.90507379203373395</c:v>
                </c:pt>
                <c:pt idx="287">
                  <c:v>0.90612659938329598</c:v>
                </c:pt>
                <c:pt idx="288">
                  <c:v>0.90614984729905801</c:v>
                </c:pt>
                <c:pt idx="289">
                  <c:v>0.90797628115042961</c:v>
                </c:pt>
                <c:pt idx="290">
                  <c:v>0.91095374924579819</c:v>
                </c:pt>
                <c:pt idx="291">
                  <c:v>0.91231315782489841</c:v>
                </c:pt>
                <c:pt idx="292">
                  <c:v>0.91270881469497323</c:v>
                </c:pt>
                <c:pt idx="293">
                  <c:v>0.9129861528748624</c:v>
                </c:pt>
                <c:pt idx="294">
                  <c:v>0.91471953172383602</c:v>
                </c:pt>
                <c:pt idx="295">
                  <c:v>0.91493872698298695</c:v>
                </c:pt>
                <c:pt idx="296">
                  <c:v>0.91589229597654298</c:v>
                </c:pt>
                <c:pt idx="297">
                  <c:v>0.91654734877555244</c:v>
                </c:pt>
                <c:pt idx="298">
                  <c:v>0.91701747048592763</c:v>
                </c:pt>
                <c:pt idx="299">
                  <c:v>0.91723389915978115</c:v>
                </c:pt>
                <c:pt idx="300">
                  <c:v>0.91887845455532602</c:v>
                </c:pt>
                <c:pt idx="301">
                  <c:v>0.92010590052830243</c:v>
                </c:pt>
                <c:pt idx="302">
                  <c:v>0.92161534968492365</c:v>
                </c:pt>
                <c:pt idx="303">
                  <c:v>0.92257230012645197</c:v>
                </c:pt>
                <c:pt idx="304">
                  <c:v>0.92414910408658801</c:v>
                </c:pt>
                <c:pt idx="305">
                  <c:v>0.92476687236466182</c:v>
                </c:pt>
                <c:pt idx="306">
                  <c:v>0.92620649591539517</c:v>
                </c:pt>
                <c:pt idx="307">
                  <c:v>0.92632801559076539</c:v>
                </c:pt>
                <c:pt idx="308">
                  <c:v>0.92730628498191481</c:v>
                </c:pt>
                <c:pt idx="309">
                  <c:v>0.92829518182242876</c:v>
                </c:pt>
                <c:pt idx="310">
                  <c:v>0.92864542439848119</c:v>
                </c:pt>
                <c:pt idx="311">
                  <c:v>0.92976739063724279</c:v>
                </c:pt>
                <c:pt idx="312">
                  <c:v>0.93086413287358161</c:v>
                </c:pt>
                <c:pt idx="313">
                  <c:v>0.9312546673056904</c:v>
                </c:pt>
                <c:pt idx="314">
                  <c:v>0.93539625696262818</c:v>
                </c:pt>
                <c:pt idx="315">
                  <c:v>0.93701642366075522</c:v>
                </c:pt>
                <c:pt idx="316">
                  <c:v>0.93745032846649945</c:v>
                </c:pt>
                <c:pt idx="317">
                  <c:v>0.93775092770931057</c:v>
                </c:pt>
                <c:pt idx="318">
                  <c:v>0.93797176364628443</c:v>
                </c:pt>
                <c:pt idx="319">
                  <c:v>0.9392069407816942</c:v>
                </c:pt>
                <c:pt idx="320">
                  <c:v>0.93957472719739277</c:v>
                </c:pt>
                <c:pt idx="321">
                  <c:v>0.93988603941687077</c:v>
                </c:pt>
                <c:pt idx="322">
                  <c:v>0.94202757811259885</c:v>
                </c:pt>
                <c:pt idx="323">
                  <c:v>0.94235384700842983</c:v>
                </c:pt>
                <c:pt idx="324">
                  <c:v>0.94334541040545883</c:v>
                </c:pt>
                <c:pt idx="325">
                  <c:v>0.94336897624802984</c:v>
                </c:pt>
                <c:pt idx="326">
                  <c:v>0.94475722929219264</c:v>
                </c:pt>
                <c:pt idx="327">
                  <c:v>0.94628951006092321</c:v>
                </c:pt>
                <c:pt idx="328">
                  <c:v>0.94700615319347203</c:v>
                </c:pt>
                <c:pt idx="329">
                  <c:v>0.94783195381624119</c:v>
                </c:pt>
                <c:pt idx="330">
                  <c:v>0.94833930818838885</c:v>
                </c:pt>
              </c:numCache>
            </c:numRef>
          </c:xVal>
          <c:yVal>
            <c:numRef>
              <c:f>Aux_graficos!$GU$2:$GU$332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04-471A-9200-7D650AD3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60000000000000009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ε_reg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Aux_graficos!$GX$2:$GX$122</c:f>
              <c:numCache>
                <c:formatCode>General</c:formatCode>
                <c:ptCount val="121"/>
                <c:pt idx="0">
                  <c:v>0.60348838916202419</c:v>
                </c:pt>
                <c:pt idx="1">
                  <c:v>0.60415546361995565</c:v>
                </c:pt>
                <c:pt idx="2">
                  <c:v>0.60530428826708049</c:v>
                </c:pt>
                <c:pt idx="3">
                  <c:v>0.6189841475039134</c:v>
                </c:pt>
                <c:pt idx="4">
                  <c:v>0.62140172147372374</c:v>
                </c:pt>
                <c:pt idx="5">
                  <c:v>0.62254211255764191</c:v>
                </c:pt>
                <c:pt idx="6">
                  <c:v>0.62403616253737948</c:v>
                </c:pt>
                <c:pt idx="7">
                  <c:v>0.6245865402818106</c:v>
                </c:pt>
                <c:pt idx="8">
                  <c:v>0.62882510443148476</c:v>
                </c:pt>
                <c:pt idx="9">
                  <c:v>0.63380723527561555</c:v>
                </c:pt>
                <c:pt idx="10">
                  <c:v>0.63481699659524182</c:v>
                </c:pt>
                <c:pt idx="11">
                  <c:v>0.64136930611248466</c:v>
                </c:pt>
                <c:pt idx="12">
                  <c:v>0.64295787248600977</c:v>
                </c:pt>
                <c:pt idx="13">
                  <c:v>0.64617556828722633</c:v>
                </c:pt>
                <c:pt idx="14">
                  <c:v>0.65016417024029427</c:v>
                </c:pt>
                <c:pt idx="15">
                  <c:v>0.65241173736271496</c:v>
                </c:pt>
                <c:pt idx="16">
                  <c:v>0.6526669076160373</c:v>
                </c:pt>
                <c:pt idx="17">
                  <c:v>0.65405853504533518</c:v>
                </c:pt>
                <c:pt idx="18">
                  <c:v>0.65468249735975115</c:v>
                </c:pt>
                <c:pt idx="19">
                  <c:v>0.65532266780850634</c:v>
                </c:pt>
                <c:pt idx="20">
                  <c:v>0.65667460768605446</c:v>
                </c:pt>
                <c:pt idx="21">
                  <c:v>0.66026426210382727</c:v>
                </c:pt>
                <c:pt idx="22">
                  <c:v>0.66200193689819076</c:v>
                </c:pt>
                <c:pt idx="23">
                  <c:v>0.66672354052411675</c:v>
                </c:pt>
                <c:pt idx="24">
                  <c:v>0.67371593442283673</c:v>
                </c:pt>
                <c:pt idx="25">
                  <c:v>0.68004522345632201</c:v>
                </c:pt>
                <c:pt idx="26">
                  <c:v>0.68511193380249169</c:v>
                </c:pt>
                <c:pt idx="27">
                  <c:v>0.69148125692507578</c:v>
                </c:pt>
                <c:pt idx="28">
                  <c:v>0.69171774390836083</c:v>
                </c:pt>
                <c:pt idx="29">
                  <c:v>0.69225478441463706</c:v>
                </c:pt>
                <c:pt idx="30">
                  <c:v>0.6929020388441528</c:v>
                </c:pt>
                <c:pt idx="31">
                  <c:v>0.69502332152039714</c:v>
                </c:pt>
                <c:pt idx="32">
                  <c:v>0.69975014501957367</c:v>
                </c:pt>
                <c:pt idx="33">
                  <c:v>0.70115878794823505</c:v>
                </c:pt>
                <c:pt idx="34">
                  <c:v>0.70893282720685713</c:v>
                </c:pt>
                <c:pt idx="35">
                  <c:v>0.71031587650353478</c:v>
                </c:pt>
                <c:pt idx="36">
                  <c:v>0.71083465404853852</c:v>
                </c:pt>
                <c:pt idx="37">
                  <c:v>0.7198635434736419</c:v>
                </c:pt>
                <c:pt idx="38">
                  <c:v>0.72474007250549966</c:v>
                </c:pt>
                <c:pt idx="39">
                  <c:v>0.72543322409998778</c:v>
                </c:pt>
                <c:pt idx="40">
                  <c:v>0.72774431406165052</c:v>
                </c:pt>
                <c:pt idx="41">
                  <c:v>0.72997308659075788</c:v>
                </c:pt>
                <c:pt idx="42">
                  <c:v>0.73003017252707458</c:v>
                </c:pt>
                <c:pt idx="43">
                  <c:v>0.73211608862088973</c:v>
                </c:pt>
                <c:pt idx="44">
                  <c:v>0.73227565601014</c:v>
                </c:pt>
                <c:pt idx="45">
                  <c:v>0.73337069956520529</c:v>
                </c:pt>
                <c:pt idx="46">
                  <c:v>0.73679749195202227</c:v>
                </c:pt>
                <c:pt idx="47">
                  <c:v>0.73819931082128032</c:v>
                </c:pt>
                <c:pt idx="48">
                  <c:v>0.74348763910866555</c:v>
                </c:pt>
                <c:pt idx="49">
                  <c:v>0.74407965060485814</c:v>
                </c:pt>
                <c:pt idx="50">
                  <c:v>0.74514050831239254</c:v>
                </c:pt>
                <c:pt idx="51">
                  <c:v>0.74785357738122205</c:v>
                </c:pt>
                <c:pt idx="52">
                  <c:v>0.75357828012422312</c:v>
                </c:pt>
                <c:pt idx="53">
                  <c:v>0.75502243457549845</c:v>
                </c:pt>
                <c:pt idx="54">
                  <c:v>0.75716456418726874</c:v>
                </c:pt>
                <c:pt idx="55">
                  <c:v>0.76336968025280938</c:v>
                </c:pt>
                <c:pt idx="56">
                  <c:v>0.76764591383440439</c:v>
                </c:pt>
                <c:pt idx="57">
                  <c:v>0.77110964913592739</c:v>
                </c:pt>
                <c:pt idx="58">
                  <c:v>0.77450464469571667</c:v>
                </c:pt>
                <c:pt idx="59">
                  <c:v>0.77528775781324311</c:v>
                </c:pt>
                <c:pt idx="60">
                  <c:v>0.78589821462912579</c:v>
                </c:pt>
                <c:pt idx="61">
                  <c:v>0.78773679114671291</c:v>
                </c:pt>
                <c:pt idx="62">
                  <c:v>0.80119046398238458</c:v>
                </c:pt>
                <c:pt idx="63">
                  <c:v>0.80159917458322372</c:v>
                </c:pt>
                <c:pt idx="64">
                  <c:v>0.8032745911722724</c:v>
                </c:pt>
                <c:pt idx="65">
                  <c:v>0.80583804099352352</c:v>
                </c:pt>
                <c:pt idx="66">
                  <c:v>0.80841890709138287</c:v>
                </c:pt>
                <c:pt idx="67">
                  <c:v>0.81131503701073415</c:v>
                </c:pt>
                <c:pt idx="68">
                  <c:v>0.81754099709401407</c:v>
                </c:pt>
                <c:pt idx="69">
                  <c:v>0.82191330161403386</c:v>
                </c:pt>
                <c:pt idx="70">
                  <c:v>0.82623796363490576</c:v>
                </c:pt>
                <c:pt idx="71">
                  <c:v>0.82717520841510173</c:v>
                </c:pt>
                <c:pt idx="72">
                  <c:v>0.83028330162721442</c:v>
                </c:pt>
                <c:pt idx="73">
                  <c:v>0.83110045700871638</c:v>
                </c:pt>
                <c:pt idx="74">
                  <c:v>0.84012794816685066</c:v>
                </c:pt>
                <c:pt idx="75">
                  <c:v>0.84864030452222805</c:v>
                </c:pt>
                <c:pt idx="76">
                  <c:v>0.84998468176827957</c:v>
                </c:pt>
                <c:pt idx="77">
                  <c:v>0.85251219762806529</c:v>
                </c:pt>
                <c:pt idx="78">
                  <c:v>0.85776439298141127</c:v>
                </c:pt>
                <c:pt idx="79">
                  <c:v>0.8579546181046328</c:v>
                </c:pt>
                <c:pt idx="80">
                  <c:v>0.85907313591134926</c:v>
                </c:pt>
                <c:pt idx="81">
                  <c:v>0.8647668218353417</c:v>
                </c:pt>
                <c:pt idx="82">
                  <c:v>0.86586698187173594</c:v>
                </c:pt>
                <c:pt idx="83">
                  <c:v>0.86858691318603209</c:v>
                </c:pt>
                <c:pt idx="84">
                  <c:v>0.87000916575746112</c:v>
                </c:pt>
                <c:pt idx="85">
                  <c:v>0.87288129085893973</c:v>
                </c:pt>
                <c:pt idx="86">
                  <c:v>0.87330688210151586</c:v>
                </c:pt>
                <c:pt idx="87">
                  <c:v>0.87614723474275513</c:v>
                </c:pt>
                <c:pt idx="88">
                  <c:v>0.87617119651273079</c:v>
                </c:pt>
                <c:pt idx="89">
                  <c:v>0.87764825041600392</c:v>
                </c:pt>
                <c:pt idx="90">
                  <c:v>0.87856757296879362</c:v>
                </c:pt>
                <c:pt idx="91">
                  <c:v>0.88064551989595918</c:v>
                </c:pt>
                <c:pt idx="92">
                  <c:v>0.88281366976765896</c:v>
                </c:pt>
                <c:pt idx="93">
                  <c:v>0.89033635231485664</c:v>
                </c:pt>
                <c:pt idx="94">
                  <c:v>0.89148214629363154</c:v>
                </c:pt>
                <c:pt idx="95">
                  <c:v>0.89396413711153178</c:v>
                </c:pt>
                <c:pt idx="96">
                  <c:v>0.89961402094278164</c:v>
                </c:pt>
                <c:pt idx="97">
                  <c:v>0.90109629057488283</c:v>
                </c:pt>
                <c:pt idx="98">
                  <c:v>0.90126230666842422</c:v>
                </c:pt>
                <c:pt idx="99">
                  <c:v>0.90271333444718316</c:v>
                </c:pt>
                <c:pt idx="100">
                  <c:v>0.90436972583019037</c:v>
                </c:pt>
                <c:pt idx="101">
                  <c:v>0.90620839136664944</c:v>
                </c:pt>
                <c:pt idx="102">
                  <c:v>0.90862056200821917</c:v>
                </c:pt>
                <c:pt idx="103">
                  <c:v>0.91247702367173222</c:v>
                </c:pt>
                <c:pt idx="104">
                  <c:v>0.91305232909812317</c:v>
                </c:pt>
                <c:pt idx="105">
                  <c:v>0.91965478828807201</c:v>
                </c:pt>
                <c:pt idx="106">
                  <c:v>0.92019682739511577</c:v>
                </c:pt>
                <c:pt idx="107">
                  <c:v>0.9213041607672976</c:v>
                </c:pt>
                <c:pt idx="108">
                  <c:v>0.92276086983462624</c:v>
                </c:pt>
                <c:pt idx="109">
                  <c:v>0.92425594054562199</c:v>
                </c:pt>
                <c:pt idx="110">
                  <c:v>0.92637668841839116</c:v>
                </c:pt>
                <c:pt idx="111">
                  <c:v>0.92765074833758798</c:v>
                </c:pt>
                <c:pt idx="112">
                  <c:v>0.93060835956037358</c:v>
                </c:pt>
                <c:pt idx="113">
                  <c:v>0.93086769278404724</c:v>
                </c:pt>
                <c:pt idx="114">
                  <c:v>0.93310181363286804</c:v>
                </c:pt>
                <c:pt idx="115">
                  <c:v>0.93552260874858262</c:v>
                </c:pt>
                <c:pt idx="116">
                  <c:v>0.9389302087151592</c:v>
                </c:pt>
                <c:pt idx="117">
                  <c:v>0.93933444403660415</c:v>
                </c:pt>
                <c:pt idx="118">
                  <c:v>0.94152981924933021</c:v>
                </c:pt>
                <c:pt idx="119">
                  <c:v>0.94175462602754823</c:v>
                </c:pt>
                <c:pt idx="120">
                  <c:v>0.94409000409311961</c:v>
                </c:pt>
              </c:numCache>
            </c:numRef>
          </c:xVal>
          <c:yVal>
            <c:numRef>
              <c:f>Aux_graficos!$GW$2:$GW$122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A0-4B23-B24D-09396E13FBEF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Aux_graficos!$GZ$2:$GZ$332</c:f>
              <c:numCache>
                <c:formatCode>General</c:formatCode>
                <c:ptCount val="331"/>
                <c:pt idx="0">
                  <c:v>0.60097311873103787</c:v>
                </c:pt>
                <c:pt idx="1">
                  <c:v>0.60167189622596307</c:v>
                </c:pt>
                <c:pt idx="2">
                  <c:v>0.60185249475661173</c:v>
                </c:pt>
                <c:pt idx="3">
                  <c:v>0.60320655684245839</c:v>
                </c:pt>
                <c:pt idx="4">
                  <c:v>0.60357856889285444</c:v>
                </c:pt>
                <c:pt idx="5">
                  <c:v>0.60545512268625412</c:v>
                </c:pt>
                <c:pt idx="6">
                  <c:v>0.6069622906904949</c:v>
                </c:pt>
                <c:pt idx="7">
                  <c:v>0.60752077357831225</c:v>
                </c:pt>
                <c:pt idx="8">
                  <c:v>0.6085215381089808</c:v>
                </c:pt>
                <c:pt idx="9">
                  <c:v>0.60938489828812603</c:v>
                </c:pt>
                <c:pt idx="10">
                  <c:v>0.61043630502798263</c:v>
                </c:pt>
                <c:pt idx="11">
                  <c:v>0.61064541409075324</c:v>
                </c:pt>
                <c:pt idx="12">
                  <c:v>0.61067394305301148</c:v>
                </c:pt>
                <c:pt idx="13">
                  <c:v>0.61258191651247396</c:v>
                </c:pt>
                <c:pt idx="14">
                  <c:v>0.61259914598143217</c:v>
                </c:pt>
                <c:pt idx="15">
                  <c:v>0.61315346606490628</c:v>
                </c:pt>
                <c:pt idx="16">
                  <c:v>0.61426070634352226</c:v>
                </c:pt>
                <c:pt idx="17">
                  <c:v>0.61510339120313529</c:v>
                </c:pt>
                <c:pt idx="18">
                  <c:v>0.61593048504593162</c:v>
                </c:pt>
                <c:pt idx="19">
                  <c:v>0.61608904022668776</c:v>
                </c:pt>
                <c:pt idx="20">
                  <c:v>0.61731866192701035</c:v>
                </c:pt>
                <c:pt idx="21">
                  <c:v>0.61860757486963502</c:v>
                </c:pt>
                <c:pt idx="22">
                  <c:v>0.6186657466922999</c:v>
                </c:pt>
                <c:pt idx="23">
                  <c:v>0.62071358668707566</c:v>
                </c:pt>
                <c:pt idx="24">
                  <c:v>0.62085448926379094</c:v>
                </c:pt>
                <c:pt idx="25">
                  <c:v>0.62315837578961575</c:v>
                </c:pt>
                <c:pt idx="26">
                  <c:v>0.62488694418632695</c:v>
                </c:pt>
                <c:pt idx="27">
                  <c:v>0.626629626351764</c:v>
                </c:pt>
                <c:pt idx="28">
                  <c:v>0.62675374413014084</c:v>
                </c:pt>
                <c:pt idx="29">
                  <c:v>0.62797441859609837</c:v>
                </c:pt>
                <c:pt idx="30">
                  <c:v>0.62857924773090812</c:v>
                </c:pt>
                <c:pt idx="31">
                  <c:v>0.63029689789416354</c:v>
                </c:pt>
                <c:pt idx="32">
                  <c:v>0.63039904525021317</c:v>
                </c:pt>
                <c:pt idx="33">
                  <c:v>0.63086651495541946</c:v>
                </c:pt>
                <c:pt idx="34">
                  <c:v>0.63166102086372911</c:v>
                </c:pt>
                <c:pt idx="35">
                  <c:v>0.63180741253918349</c:v>
                </c:pt>
                <c:pt idx="36">
                  <c:v>0.63458692857755206</c:v>
                </c:pt>
                <c:pt idx="37">
                  <c:v>0.63540340081915725</c:v>
                </c:pt>
                <c:pt idx="38">
                  <c:v>0.63628831051197932</c:v>
                </c:pt>
                <c:pt idx="39">
                  <c:v>0.63666443318260624</c:v>
                </c:pt>
                <c:pt idx="40">
                  <c:v>0.63734126851433581</c:v>
                </c:pt>
                <c:pt idx="41">
                  <c:v>0.63764827325598161</c:v>
                </c:pt>
                <c:pt idx="42">
                  <c:v>0.63909438133323837</c:v>
                </c:pt>
                <c:pt idx="43">
                  <c:v>0.63909517008272554</c:v>
                </c:pt>
                <c:pt idx="44">
                  <c:v>0.64001888850659661</c:v>
                </c:pt>
                <c:pt idx="45">
                  <c:v>0.6418483745740059</c:v>
                </c:pt>
                <c:pt idx="46">
                  <c:v>0.64412637000768214</c:v>
                </c:pt>
                <c:pt idx="47">
                  <c:v>0.6443979835417516</c:v>
                </c:pt>
                <c:pt idx="48">
                  <c:v>0.64497648850272882</c:v>
                </c:pt>
                <c:pt idx="49">
                  <c:v>0.64611829335026305</c:v>
                </c:pt>
                <c:pt idx="50">
                  <c:v>0.64743885080120667</c:v>
                </c:pt>
                <c:pt idx="51">
                  <c:v>0.64782937737839741</c:v>
                </c:pt>
                <c:pt idx="52">
                  <c:v>0.64841403197595349</c:v>
                </c:pt>
                <c:pt idx="53">
                  <c:v>0.64939495911202871</c:v>
                </c:pt>
                <c:pt idx="54">
                  <c:v>0.65057463854610198</c:v>
                </c:pt>
                <c:pt idx="55">
                  <c:v>0.65242511692178262</c:v>
                </c:pt>
                <c:pt idx="56">
                  <c:v>0.65548200608727814</c:v>
                </c:pt>
                <c:pt idx="57">
                  <c:v>0.65606691144914853</c:v>
                </c:pt>
                <c:pt idx="58">
                  <c:v>0.65804257872680127</c:v>
                </c:pt>
                <c:pt idx="59">
                  <c:v>0.65832251439749201</c:v>
                </c:pt>
                <c:pt idx="60">
                  <c:v>0.65897166047301103</c:v>
                </c:pt>
                <c:pt idx="61">
                  <c:v>0.65968287077956256</c:v>
                </c:pt>
                <c:pt idx="62">
                  <c:v>0.66124379760658358</c:v>
                </c:pt>
                <c:pt idx="63">
                  <c:v>0.66282820295539813</c:v>
                </c:pt>
                <c:pt idx="64">
                  <c:v>0.66316443704929184</c:v>
                </c:pt>
                <c:pt idx="65">
                  <c:v>0.66319016780156348</c:v>
                </c:pt>
                <c:pt idx="66">
                  <c:v>0.66450872913189041</c:v>
                </c:pt>
                <c:pt idx="67">
                  <c:v>0.66629762696673811</c:v>
                </c:pt>
                <c:pt idx="68">
                  <c:v>0.66652416356048372</c:v>
                </c:pt>
                <c:pt idx="69">
                  <c:v>0.66848990085445337</c:v>
                </c:pt>
                <c:pt idx="70">
                  <c:v>0.6687830978321061</c:v>
                </c:pt>
                <c:pt idx="71">
                  <c:v>0.66954932149248148</c:v>
                </c:pt>
                <c:pt idx="72">
                  <c:v>0.67016945957915652</c:v>
                </c:pt>
                <c:pt idx="73">
                  <c:v>0.67167795682799325</c:v>
                </c:pt>
                <c:pt idx="74">
                  <c:v>0.67171289319558636</c:v>
                </c:pt>
                <c:pt idx="75">
                  <c:v>0.67283335038924907</c:v>
                </c:pt>
                <c:pt idx="76">
                  <c:v>0.67336547935612689</c:v>
                </c:pt>
                <c:pt idx="77">
                  <c:v>0.67404374791933486</c:v>
                </c:pt>
                <c:pt idx="78">
                  <c:v>0.67560015812801799</c:v>
                </c:pt>
                <c:pt idx="79">
                  <c:v>0.67622602500734053</c:v>
                </c:pt>
                <c:pt idx="80">
                  <c:v>0.67681237892985724</c:v>
                </c:pt>
                <c:pt idx="81">
                  <c:v>0.6770708312582564</c:v>
                </c:pt>
                <c:pt idx="82">
                  <c:v>0.67759074615370329</c:v>
                </c:pt>
                <c:pt idx="83">
                  <c:v>0.67936830815885607</c:v>
                </c:pt>
                <c:pt idx="84">
                  <c:v>0.68183941178479812</c:v>
                </c:pt>
                <c:pt idx="85">
                  <c:v>0.68252416156764151</c:v>
                </c:pt>
                <c:pt idx="86">
                  <c:v>0.68306947707132404</c:v>
                </c:pt>
                <c:pt idx="87">
                  <c:v>0.68547603779622235</c:v>
                </c:pt>
                <c:pt idx="88">
                  <c:v>0.68574337166721377</c:v>
                </c:pt>
                <c:pt idx="89">
                  <c:v>0.68609529033969696</c:v>
                </c:pt>
                <c:pt idx="90">
                  <c:v>0.68841245215058555</c:v>
                </c:pt>
                <c:pt idx="91">
                  <c:v>0.68847396847916964</c:v>
                </c:pt>
                <c:pt idx="92">
                  <c:v>0.69029538556786763</c:v>
                </c:pt>
                <c:pt idx="93">
                  <c:v>0.69505884015148256</c:v>
                </c:pt>
                <c:pt idx="94">
                  <c:v>0.6962843991609351</c:v>
                </c:pt>
                <c:pt idx="95">
                  <c:v>0.6979638465461564</c:v>
                </c:pt>
                <c:pt idx="96">
                  <c:v>0.69877724334025726</c:v>
                </c:pt>
                <c:pt idx="97">
                  <c:v>0.70136531056637652</c:v>
                </c:pt>
                <c:pt idx="98">
                  <c:v>0.70206117476772723</c:v>
                </c:pt>
                <c:pt idx="99">
                  <c:v>0.70293299815247701</c:v>
                </c:pt>
                <c:pt idx="100">
                  <c:v>0.70326458616347531</c:v>
                </c:pt>
                <c:pt idx="101">
                  <c:v>0.70443006495164706</c:v>
                </c:pt>
                <c:pt idx="102">
                  <c:v>0.70492240037881981</c:v>
                </c:pt>
                <c:pt idx="103">
                  <c:v>0.70565504905049004</c:v>
                </c:pt>
                <c:pt idx="104">
                  <c:v>0.70733301607249077</c:v>
                </c:pt>
                <c:pt idx="105">
                  <c:v>0.70776849736172076</c:v>
                </c:pt>
                <c:pt idx="106">
                  <c:v>0.7078869448285835</c:v>
                </c:pt>
                <c:pt idx="107">
                  <c:v>0.7095129647968299</c:v>
                </c:pt>
                <c:pt idx="108">
                  <c:v>0.710777780426184</c:v>
                </c:pt>
                <c:pt idx="109">
                  <c:v>0.71230697276956956</c:v>
                </c:pt>
                <c:pt idx="110">
                  <c:v>0.71339563046676968</c:v>
                </c:pt>
                <c:pt idx="111">
                  <c:v>0.71346973063846164</c:v>
                </c:pt>
                <c:pt idx="112">
                  <c:v>0.71378786803695882</c:v>
                </c:pt>
                <c:pt idx="113">
                  <c:v>0.71454084714483734</c:v>
                </c:pt>
                <c:pt idx="114">
                  <c:v>0.71705682238335211</c:v>
                </c:pt>
                <c:pt idx="115">
                  <c:v>0.71766223622987368</c:v>
                </c:pt>
                <c:pt idx="116">
                  <c:v>0.7177940744370952</c:v>
                </c:pt>
                <c:pt idx="117">
                  <c:v>0.71895169912653589</c:v>
                </c:pt>
                <c:pt idx="118">
                  <c:v>0.71999352737010525</c:v>
                </c:pt>
                <c:pt idx="119">
                  <c:v>0.72157323858768652</c:v>
                </c:pt>
                <c:pt idx="120">
                  <c:v>0.72315515809518738</c:v>
                </c:pt>
                <c:pt idx="121">
                  <c:v>0.72352981190632004</c:v>
                </c:pt>
                <c:pt idx="122">
                  <c:v>0.7244610232792964</c:v>
                </c:pt>
                <c:pt idx="123">
                  <c:v>0.72670085337011503</c:v>
                </c:pt>
                <c:pt idx="124">
                  <c:v>0.72829048852702294</c:v>
                </c:pt>
                <c:pt idx="125">
                  <c:v>0.72835355597907248</c:v>
                </c:pt>
                <c:pt idx="126">
                  <c:v>0.7335223372480757</c:v>
                </c:pt>
                <c:pt idx="127">
                  <c:v>0.73459728956171311</c:v>
                </c:pt>
                <c:pt idx="128">
                  <c:v>0.73576968168155665</c:v>
                </c:pt>
                <c:pt idx="129">
                  <c:v>0.73609881147486556</c:v>
                </c:pt>
                <c:pt idx="130">
                  <c:v>0.73863207692728994</c:v>
                </c:pt>
                <c:pt idx="131">
                  <c:v>0.73992243260128732</c:v>
                </c:pt>
                <c:pt idx="132">
                  <c:v>0.74034630624146636</c:v>
                </c:pt>
                <c:pt idx="133">
                  <c:v>0.74118011215203361</c:v>
                </c:pt>
                <c:pt idx="134">
                  <c:v>0.74313785579767677</c:v>
                </c:pt>
                <c:pt idx="135">
                  <c:v>0.74660959954765305</c:v>
                </c:pt>
                <c:pt idx="136">
                  <c:v>0.74679859438332352</c:v>
                </c:pt>
                <c:pt idx="137">
                  <c:v>0.74787579029559126</c:v>
                </c:pt>
                <c:pt idx="138">
                  <c:v>0.74876473190454496</c:v>
                </c:pt>
                <c:pt idx="139">
                  <c:v>0.74981670422136426</c:v>
                </c:pt>
                <c:pt idx="140">
                  <c:v>0.75070515873372279</c:v>
                </c:pt>
                <c:pt idx="141">
                  <c:v>0.75249209552873364</c:v>
                </c:pt>
                <c:pt idx="142">
                  <c:v>0.75390793408188017</c:v>
                </c:pt>
                <c:pt idx="143">
                  <c:v>0.75431746950083256</c:v>
                </c:pt>
                <c:pt idx="144">
                  <c:v>0.7561767878215887</c:v>
                </c:pt>
                <c:pt idx="145">
                  <c:v>0.75706060132325637</c:v>
                </c:pt>
                <c:pt idx="146">
                  <c:v>0.7580022080146166</c:v>
                </c:pt>
                <c:pt idx="147">
                  <c:v>0.75905631296505272</c:v>
                </c:pt>
                <c:pt idx="148">
                  <c:v>0.75926789621721325</c:v>
                </c:pt>
                <c:pt idx="149">
                  <c:v>0.76019062554654782</c:v>
                </c:pt>
                <c:pt idx="150">
                  <c:v>0.76031299648234363</c:v>
                </c:pt>
                <c:pt idx="151">
                  <c:v>0.76116884169590371</c:v>
                </c:pt>
                <c:pt idx="152">
                  <c:v>0.76151260644318353</c:v>
                </c:pt>
                <c:pt idx="153">
                  <c:v>0.76239947858110879</c:v>
                </c:pt>
                <c:pt idx="154">
                  <c:v>0.76404169441938707</c:v>
                </c:pt>
                <c:pt idx="155">
                  <c:v>0.76467646970441105</c:v>
                </c:pt>
                <c:pt idx="156">
                  <c:v>0.76654364937244757</c:v>
                </c:pt>
                <c:pt idx="157">
                  <c:v>0.76761364635198936</c:v>
                </c:pt>
                <c:pt idx="158">
                  <c:v>0.76861429853478547</c:v>
                </c:pt>
                <c:pt idx="159">
                  <c:v>0.76913708383613366</c:v>
                </c:pt>
                <c:pt idx="160">
                  <c:v>0.77051445177106292</c:v>
                </c:pt>
                <c:pt idx="161">
                  <c:v>0.77194852549162274</c:v>
                </c:pt>
                <c:pt idx="162">
                  <c:v>0.77277920875012229</c:v>
                </c:pt>
                <c:pt idx="163">
                  <c:v>0.77339638913824782</c:v>
                </c:pt>
                <c:pt idx="164">
                  <c:v>0.77510445886868551</c:v>
                </c:pt>
                <c:pt idx="165">
                  <c:v>0.77669678797225317</c:v>
                </c:pt>
                <c:pt idx="166">
                  <c:v>0.77688522111602742</c:v>
                </c:pt>
                <c:pt idx="167">
                  <c:v>0.7782156958096228</c:v>
                </c:pt>
                <c:pt idx="168">
                  <c:v>0.77903631578516253</c:v>
                </c:pt>
                <c:pt idx="169">
                  <c:v>0.77932412113972904</c:v>
                </c:pt>
                <c:pt idx="170">
                  <c:v>0.77973202202620073</c:v>
                </c:pt>
                <c:pt idx="171">
                  <c:v>0.78111549604159491</c:v>
                </c:pt>
                <c:pt idx="172">
                  <c:v>0.78128033370390182</c:v>
                </c:pt>
                <c:pt idx="173">
                  <c:v>0.78268260547139967</c:v>
                </c:pt>
                <c:pt idx="174">
                  <c:v>0.7827759631177218</c:v>
                </c:pt>
                <c:pt idx="175">
                  <c:v>0.7841985020116683</c:v>
                </c:pt>
                <c:pt idx="176">
                  <c:v>0.78467071206658667</c:v>
                </c:pt>
                <c:pt idx="177">
                  <c:v>0.78503494476913882</c:v>
                </c:pt>
                <c:pt idx="178">
                  <c:v>0.78605168250205804</c:v>
                </c:pt>
                <c:pt idx="179">
                  <c:v>0.78802247196836051</c:v>
                </c:pt>
                <c:pt idx="180">
                  <c:v>0.78950721023963344</c:v>
                </c:pt>
                <c:pt idx="181">
                  <c:v>0.79010742760184138</c:v>
                </c:pt>
                <c:pt idx="182">
                  <c:v>0.79080486815462048</c:v>
                </c:pt>
                <c:pt idx="183">
                  <c:v>0.79147488389772458</c:v>
                </c:pt>
                <c:pt idx="184">
                  <c:v>0.79165459508171088</c:v>
                </c:pt>
                <c:pt idx="185">
                  <c:v>0.79321783229987997</c:v>
                </c:pt>
                <c:pt idx="186">
                  <c:v>0.79323378079405482</c:v>
                </c:pt>
                <c:pt idx="187">
                  <c:v>0.79507665345952816</c:v>
                </c:pt>
                <c:pt idx="188">
                  <c:v>0.79508712988869323</c:v>
                </c:pt>
                <c:pt idx="189">
                  <c:v>0.79683548019542239</c:v>
                </c:pt>
                <c:pt idx="190">
                  <c:v>0.79723460044925554</c:v>
                </c:pt>
                <c:pt idx="191">
                  <c:v>0.79793126014084637</c:v>
                </c:pt>
                <c:pt idx="192">
                  <c:v>0.80011279353511977</c:v>
                </c:pt>
                <c:pt idx="193">
                  <c:v>0.80103529769621362</c:v>
                </c:pt>
                <c:pt idx="194">
                  <c:v>0.80249984122673257</c:v>
                </c:pt>
                <c:pt idx="195">
                  <c:v>0.80330306739747737</c:v>
                </c:pt>
                <c:pt idx="196">
                  <c:v>0.80465579647248608</c:v>
                </c:pt>
                <c:pt idx="197">
                  <c:v>0.80624329641824011</c:v>
                </c:pt>
                <c:pt idx="198">
                  <c:v>0.80679928762479902</c:v>
                </c:pt>
                <c:pt idx="199">
                  <c:v>0.80707786068978304</c:v>
                </c:pt>
                <c:pt idx="200">
                  <c:v>0.80980202949654845</c:v>
                </c:pt>
                <c:pt idx="201">
                  <c:v>0.81041804039000476</c:v>
                </c:pt>
                <c:pt idx="202">
                  <c:v>0.81071102681942087</c:v>
                </c:pt>
                <c:pt idx="203">
                  <c:v>0.8127164669238599</c:v>
                </c:pt>
                <c:pt idx="204">
                  <c:v>0.81418861587884139</c:v>
                </c:pt>
                <c:pt idx="205">
                  <c:v>0.81490383063507299</c:v>
                </c:pt>
                <c:pt idx="206">
                  <c:v>0.8154770952282242</c:v>
                </c:pt>
                <c:pt idx="207">
                  <c:v>0.81685616315936571</c:v>
                </c:pt>
                <c:pt idx="208">
                  <c:v>0.81761591317268811</c:v>
                </c:pt>
                <c:pt idx="209">
                  <c:v>0.81890368092697052</c:v>
                </c:pt>
                <c:pt idx="210">
                  <c:v>0.81980403618195863</c:v>
                </c:pt>
                <c:pt idx="211">
                  <c:v>0.82047298539055935</c:v>
                </c:pt>
                <c:pt idx="212">
                  <c:v>0.82122985886939137</c:v>
                </c:pt>
                <c:pt idx="213">
                  <c:v>0.8217848724278437</c:v>
                </c:pt>
                <c:pt idx="214">
                  <c:v>0.8233966236661252</c:v>
                </c:pt>
                <c:pt idx="215">
                  <c:v>0.82392161313726575</c:v>
                </c:pt>
                <c:pt idx="216">
                  <c:v>0.8246836317309969</c:v>
                </c:pt>
                <c:pt idx="217">
                  <c:v>0.82470417662472917</c:v>
                </c:pt>
                <c:pt idx="218">
                  <c:v>0.82792503369078241</c:v>
                </c:pt>
                <c:pt idx="219">
                  <c:v>0.82836613973778495</c:v>
                </c:pt>
                <c:pt idx="220">
                  <c:v>0.82908309366845168</c:v>
                </c:pt>
                <c:pt idx="221">
                  <c:v>0.83054697699016877</c:v>
                </c:pt>
                <c:pt idx="222">
                  <c:v>0.83270096410761096</c:v>
                </c:pt>
                <c:pt idx="223">
                  <c:v>0.83374651666459365</c:v>
                </c:pt>
                <c:pt idx="224">
                  <c:v>0.83391461391217692</c:v>
                </c:pt>
                <c:pt idx="225">
                  <c:v>0.83503120721440593</c:v>
                </c:pt>
                <c:pt idx="226">
                  <c:v>0.83565521533139819</c:v>
                </c:pt>
                <c:pt idx="227">
                  <c:v>0.83589720822802882</c:v>
                </c:pt>
                <c:pt idx="228">
                  <c:v>0.83731349503312746</c:v>
                </c:pt>
                <c:pt idx="229">
                  <c:v>0.83769876996160175</c:v>
                </c:pt>
                <c:pt idx="230">
                  <c:v>0.83814513061903928</c:v>
                </c:pt>
                <c:pt idx="231">
                  <c:v>0.83990772662413182</c:v>
                </c:pt>
                <c:pt idx="232">
                  <c:v>0.84054867208132944</c:v>
                </c:pt>
                <c:pt idx="233">
                  <c:v>0.8421781140655128</c:v>
                </c:pt>
                <c:pt idx="234">
                  <c:v>0.84245000290403294</c:v>
                </c:pt>
                <c:pt idx="235">
                  <c:v>0.84285092982672338</c:v>
                </c:pt>
                <c:pt idx="236">
                  <c:v>0.84410473631884342</c:v>
                </c:pt>
                <c:pt idx="237">
                  <c:v>0.8450648797390854</c:v>
                </c:pt>
                <c:pt idx="238">
                  <c:v>0.84550014375057758</c:v>
                </c:pt>
                <c:pt idx="239">
                  <c:v>0.84739386864584942</c:v>
                </c:pt>
                <c:pt idx="240">
                  <c:v>0.84812627637945481</c:v>
                </c:pt>
                <c:pt idx="241">
                  <c:v>0.84857566223178993</c:v>
                </c:pt>
                <c:pt idx="242">
                  <c:v>0.85069379531554157</c:v>
                </c:pt>
                <c:pt idx="243">
                  <c:v>0.85182543645389797</c:v>
                </c:pt>
                <c:pt idx="244">
                  <c:v>0.85213051485345304</c:v>
                </c:pt>
                <c:pt idx="245">
                  <c:v>0.85415877192935752</c:v>
                </c:pt>
                <c:pt idx="246">
                  <c:v>0.85470876726071188</c:v>
                </c:pt>
                <c:pt idx="247">
                  <c:v>0.85489997782990779</c:v>
                </c:pt>
                <c:pt idx="248">
                  <c:v>0.85625491868893433</c:v>
                </c:pt>
                <c:pt idx="249">
                  <c:v>0.8565995350543445</c:v>
                </c:pt>
                <c:pt idx="250">
                  <c:v>0.85891548550679819</c:v>
                </c:pt>
                <c:pt idx="251">
                  <c:v>0.85965881104218</c:v>
                </c:pt>
                <c:pt idx="252">
                  <c:v>0.86105257081464526</c:v>
                </c:pt>
                <c:pt idx="253">
                  <c:v>0.861327116039456</c:v>
                </c:pt>
                <c:pt idx="254">
                  <c:v>0.8623433728026878</c:v>
                </c:pt>
                <c:pt idx="255">
                  <c:v>0.86339090491641213</c:v>
                </c:pt>
                <c:pt idx="256">
                  <c:v>0.86351040450579264</c:v>
                </c:pt>
                <c:pt idx="257">
                  <c:v>0.86613708449688209</c:v>
                </c:pt>
                <c:pt idx="258">
                  <c:v>0.86690094542003715</c:v>
                </c:pt>
                <c:pt idx="259">
                  <c:v>0.8675492684641708</c:v>
                </c:pt>
                <c:pt idx="260">
                  <c:v>0.86897755073004124</c:v>
                </c:pt>
                <c:pt idx="261">
                  <c:v>0.87055227590073048</c:v>
                </c:pt>
                <c:pt idx="262">
                  <c:v>0.87108251244163293</c:v>
                </c:pt>
                <c:pt idx="263">
                  <c:v>0.87258344860149417</c:v>
                </c:pt>
                <c:pt idx="264">
                  <c:v>0.87387854903978812</c:v>
                </c:pt>
                <c:pt idx="265">
                  <c:v>0.87483229341580027</c:v>
                </c:pt>
                <c:pt idx="266">
                  <c:v>0.87675901944318824</c:v>
                </c:pt>
                <c:pt idx="267">
                  <c:v>0.87912580174066557</c:v>
                </c:pt>
                <c:pt idx="268">
                  <c:v>0.88126010672993771</c:v>
                </c:pt>
                <c:pt idx="269">
                  <c:v>0.88226718535121007</c:v>
                </c:pt>
                <c:pt idx="270">
                  <c:v>0.88301149057207451</c:v>
                </c:pt>
                <c:pt idx="271">
                  <c:v>0.88370400936745375</c:v>
                </c:pt>
                <c:pt idx="272">
                  <c:v>0.88375526872486465</c:v>
                </c:pt>
                <c:pt idx="273">
                  <c:v>0.88535625904330995</c:v>
                </c:pt>
                <c:pt idx="274">
                  <c:v>0.8856990818856223</c:v>
                </c:pt>
                <c:pt idx="275">
                  <c:v>0.88691992246766671</c:v>
                </c:pt>
                <c:pt idx="276">
                  <c:v>0.8872536842044505</c:v>
                </c:pt>
                <c:pt idx="277">
                  <c:v>0.88836284460988046</c:v>
                </c:pt>
                <c:pt idx="278">
                  <c:v>0.8888330792509469</c:v>
                </c:pt>
                <c:pt idx="279">
                  <c:v>0.88962825354935415</c:v>
                </c:pt>
                <c:pt idx="280">
                  <c:v>0.89053633856674697</c:v>
                </c:pt>
                <c:pt idx="281">
                  <c:v>0.89253960974429258</c:v>
                </c:pt>
                <c:pt idx="282">
                  <c:v>0.89266383214527267</c:v>
                </c:pt>
                <c:pt idx="283">
                  <c:v>0.89476507502728442</c:v>
                </c:pt>
                <c:pt idx="284">
                  <c:v>0.89580243712589769</c:v>
                </c:pt>
                <c:pt idx="285">
                  <c:v>0.89637034890799594</c:v>
                </c:pt>
                <c:pt idx="286">
                  <c:v>0.89680711823838877</c:v>
                </c:pt>
                <c:pt idx="287">
                  <c:v>0.89779245414729836</c:v>
                </c:pt>
                <c:pt idx="288">
                  <c:v>0.89816961471360601</c:v>
                </c:pt>
                <c:pt idx="289">
                  <c:v>0.89968030874839255</c:v>
                </c:pt>
                <c:pt idx="290">
                  <c:v>0.89988132263293807</c:v>
                </c:pt>
                <c:pt idx="291">
                  <c:v>0.90314778571770582</c:v>
                </c:pt>
                <c:pt idx="292">
                  <c:v>0.90470641516383243</c:v>
                </c:pt>
                <c:pt idx="293">
                  <c:v>0.90524644675998844</c:v>
                </c:pt>
                <c:pt idx="294">
                  <c:v>0.90658219113518479</c:v>
                </c:pt>
                <c:pt idx="295">
                  <c:v>0.90714491258545638</c:v>
                </c:pt>
                <c:pt idx="296">
                  <c:v>0.90861090587542559</c:v>
                </c:pt>
                <c:pt idx="297">
                  <c:v>0.90946447863731883</c:v>
                </c:pt>
                <c:pt idx="298">
                  <c:v>0.91062554120242878</c:v>
                </c:pt>
                <c:pt idx="299">
                  <c:v>0.9112664234728336</c:v>
                </c:pt>
                <c:pt idx="300">
                  <c:v>0.912361249688876</c:v>
                </c:pt>
                <c:pt idx="301">
                  <c:v>0.9146440184834046</c:v>
                </c:pt>
                <c:pt idx="302">
                  <c:v>0.91491710640769763</c:v>
                </c:pt>
                <c:pt idx="303">
                  <c:v>0.9160128549615616</c:v>
                </c:pt>
                <c:pt idx="304">
                  <c:v>0.91657840644928446</c:v>
                </c:pt>
                <c:pt idx="305">
                  <c:v>0.91757839473524039</c:v>
                </c:pt>
                <c:pt idx="306">
                  <c:v>0.91832686865985724</c:v>
                </c:pt>
                <c:pt idx="307">
                  <c:v>0.91877713121378524</c:v>
                </c:pt>
                <c:pt idx="308">
                  <c:v>0.9219119278582486</c:v>
                </c:pt>
                <c:pt idx="309">
                  <c:v>0.92331590634593241</c:v>
                </c:pt>
                <c:pt idx="310">
                  <c:v>0.92517300229426602</c:v>
                </c:pt>
                <c:pt idx="311">
                  <c:v>0.92605259150748942</c:v>
                </c:pt>
                <c:pt idx="312">
                  <c:v>0.9270267883025668</c:v>
                </c:pt>
                <c:pt idx="313">
                  <c:v>0.9281927647860454</c:v>
                </c:pt>
                <c:pt idx="314">
                  <c:v>0.92941148689502717</c:v>
                </c:pt>
                <c:pt idx="315">
                  <c:v>0.92963432549622604</c:v>
                </c:pt>
                <c:pt idx="316">
                  <c:v>0.93368997634502615</c:v>
                </c:pt>
                <c:pt idx="317">
                  <c:v>0.93391700559323576</c:v>
                </c:pt>
                <c:pt idx="318">
                  <c:v>0.93492713044013842</c:v>
                </c:pt>
                <c:pt idx="319">
                  <c:v>0.93630625807207801</c:v>
                </c:pt>
                <c:pt idx="320">
                  <c:v>0.93644954479765963</c:v>
                </c:pt>
                <c:pt idx="321">
                  <c:v>0.93754087660916996</c:v>
                </c:pt>
                <c:pt idx="322">
                  <c:v>0.93984866586918481</c:v>
                </c:pt>
                <c:pt idx="323">
                  <c:v>0.94029235389824017</c:v>
                </c:pt>
                <c:pt idx="324">
                  <c:v>0.94279028613222882</c:v>
                </c:pt>
                <c:pt idx="325">
                  <c:v>0.9435165264483294</c:v>
                </c:pt>
                <c:pt idx="326">
                  <c:v>0.9445971550633816</c:v>
                </c:pt>
                <c:pt idx="327">
                  <c:v>0.94736709966209043</c:v>
                </c:pt>
                <c:pt idx="328">
                  <c:v>0.94798505613637996</c:v>
                </c:pt>
                <c:pt idx="329">
                  <c:v>0.94915723295008403</c:v>
                </c:pt>
                <c:pt idx="330">
                  <c:v>0.94996519072068342</c:v>
                </c:pt>
              </c:numCache>
            </c:numRef>
          </c:xVal>
          <c:yVal>
            <c:numRef>
              <c:f>Aux_graficos!$GY$2:$GY$332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A0-4B23-B24D-09396E13F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60000000000000009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ε_cond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121)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none"/>
          </c:marker>
          <c:xVal>
            <c:numRef>
              <c:f>Aux_graficos!$HB$2:$HB$122</c:f>
              <c:numCache>
                <c:formatCode>General</c:formatCode>
                <c:ptCount val="121"/>
                <c:pt idx="0">
                  <c:v>0.70340137546158799</c:v>
                </c:pt>
                <c:pt idx="1">
                  <c:v>0.70345709550958657</c:v>
                </c:pt>
                <c:pt idx="2">
                  <c:v>0.70439826807863259</c:v>
                </c:pt>
                <c:pt idx="3">
                  <c:v>0.70784310130544226</c:v>
                </c:pt>
                <c:pt idx="4">
                  <c:v>0.71264502710596944</c:v>
                </c:pt>
                <c:pt idx="5">
                  <c:v>0.71758453749904583</c:v>
                </c:pt>
                <c:pt idx="6">
                  <c:v>0.73973386165475241</c:v>
                </c:pt>
                <c:pt idx="7">
                  <c:v>0.74143121179559601</c:v>
                </c:pt>
                <c:pt idx="8">
                  <c:v>0.76054615582130991</c:v>
                </c:pt>
                <c:pt idx="9">
                  <c:v>0.76458598037669878</c:v>
                </c:pt>
                <c:pt idx="10">
                  <c:v>0.77022765894571332</c:v>
                </c:pt>
                <c:pt idx="11">
                  <c:v>0.77972921800657491</c:v>
                </c:pt>
                <c:pt idx="12">
                  <c:v>0.78924067695503919</c:v>
                </c:pt>
                <c:pt idx="13">
                  <c:v>0.79304469471170569</c:v>
                </c:pt>
                <c:pt idx="14">
                  <c:v>0.79486200357184333</c:v>
                </c:pt>
                <c:pt idx="15">
                  <c:v>0.79541296263889527</c:v>
                </c:pt>
                <c:pt idx="16">
                  <c:v>0.79869267488746987</c:v>
                </c:pt>
                <c:pt idx="17">
                  <c:v>0.79994744044557153</c:v>
                </c:pt>
                <c:pt idx="18">
                  <c:v>0.80201592283660883</c:v>
                </c:pt>
                <c:pt idx="19">
                  <c:v>0.80808488012651347</c:v>
                </c:pt>
                <c:pt idx="20">
                  <c:v>0.80897257460044636</c:v>
                </c:pt>
                <c:pt idx="21">
                  <c:v>0.81248375123483341</c:v>
                </c:pt>
                <c:pt idx="22">
                  <c:v>0.81518256455605853</c:v>
                </c:pt>
                <c:pt idx="23">
                  <c:v>0.81972529284133511</c:v>
                </c:pt>
                <c:pt idx="24">
                  <c:v>0.82986597624479219</c:v>
                </c:pt>
                <c:pt idx="25">
                  <c:v>0.83069305484869616</c:v>
                </c:pt>
                <c:pt idx="26">
                  <c:v>0.8347179987830845</c:v>
                </c:pt>
                <c:pt idx="27">
                  <c:v>0.83574727484445699</c:v>
                </c:pt>
                <c:pt idx="28">
                  <c:v>0.83664435526499803</c:v>
                </c:pt>
                <c:pt idx="29">
                  <c:v>0.83678585437820407</c:v>
                </c:pt>
                <c:pt idx="30">
                  <c:v>0.83787178276931595</c:v>
                </c:pt>
                <c:pt idx="31">
                  <c:v>0.83962097686314419</c:v>
                </c:pt>
                <c:pt idx="32">
                  <c:v>0.84021854387045869</c:v>
                </c:pt>
                <c:pt idx="33">
                  <c:v>0.84154607545571836</c:v>
                </c:pt>
                <c:pt idx="34">
                  <c:v>0.84182625850716208</c:v>
                </c:pt>
                <c:pt idx="35">
                  <c:v>0.84948909172396569</c:v>
                </c:pt>
                <c:pt idx="36">
                  <c:v>0.8514220777509669</c:v>
                </c:pt>
                <c:pt idx="37">
                  <c:v>0.85158474031121145</c:v>
                </c:pt>
                <c:pt idx="38">
                  <c:v>0.8535233065529394</c:v>
                </c:pt>
                <c:pt idx="39">
                  <c:v>0.85531301685086991</c:v>
                </c:pt>
                <c:pt idx="40">
                  <c:v>0.85693865187693496</c:v>
                </c:pt>
                <c:pt idx="41">
                  <c:v>0.85766113930472931</c:v>
                </c:pt>
                <c:pt idx="42">
                  <c:v>0.86360432633538453</c:v>
                </c:pt>
                <c:pt idx="43">
                  <c:v>0.86434527636255576</c:v>
                </c:pt>
                <c:pt idx="44">
                  <c:v>0.86649564797319423</c:v>
                </c:pt>
                <c:pt idx="45">
                  <c:v>0.86748356191717746</c:v>
                </c:pt>
                <c:pt idx="46">
                  <c:v>0.86750530033877904</c:v>
                </c:pt>
                <c:pt idx="47">
                  <c:v>0.86995981696144331</c:v>
                </c:pt>
                <c:pt idx="48">
                  <c:v>0.87064698613975677</c:v>
                </c:pt>
                <c:pt idx="49">
                  <c:v>0.87096245611530709</c:v>
                </c:pt>
                <c:pt idx="50">
                  <c:v>0.8714601439843408</c:v>
                </c:pt>
                <c:pt idx="51">
                  <c:v>0.87768159489932529</c:v>
                </c:pt>
                <c:pt idx="52">
                  <c:v>0.8789548877363722</c:v>
                </c:pt>
                <c:pt idx="53">
                  <c:v>0.88042268869207874</c:v>
                </c:pt>
                <c:pt idx="54">
                  <c:v>0.88319020668799153</c:v>
                </c:pt>
                <c:pt idx="55">
                  <c:v>0.88801863255697477</c:v>
                </c:pt>
                <c:pt idx="56">
                  <c:v>0.88862969063226183</c:v>
                </c:pt>
                <c:pt idx="57">
                  <c:v>0.88881500124024604</c:v>
                </c:pt>
                <c:pt idx="58">
                  <c:v>0.88923153560245949</c:v>
                </c:pt>
                <c:pt idx="59">
                  <c:v>0.89263490551189473</c:v>
                </c:pt>
                <c:pt idx="60">
                  <c:v>0.8938899452924145</c:v>
                </c:pt>
                <c:pt idx="61">
                  <c:v>0.89552542484861652</c:v>
                </c:pt>
                <c:pt idx="62">
                  <c:v>0.89591838443870842</c:v>
                </c:pt>
                <c:pt idx="63">
                  <c:v>0.8971636458689306</c:v>
                </c:pt>
                <c:pt idx="64">
                  <c:v>0.89772430568590933</c:v>
                </c:pt>
                <c:pt idx="65">
                  <c:v>0.89973834696030819</c:v>
                </c:pt>
                <c:pt idx="66">
                  <c:v>0.90156119364429677</c:v>
                </c:pt>
                <c:pt idx="67">
                  <c:v>0.90370523526106517</c:v>
                </c:pt>
                <c:pt idx="68">
                  <c:v>0.90393827096828516</c:v>
                </c:pt>
                <c:pt idx="69">
                  <c:v>0.90468162839005661</c:v>
                </c:pt>
                <c:pt idx="70">
                  <c:v>0.90527365660496362</c:v>
                </c:pt>
                <c:pt idx="71">
                  <c:v>0.90544595079044843</c:v>
                </c:pt>
                <c:pt idx="72">
                  <c:v>0.90613140624528798</c:v>
                </c:pt>
                <c:pt idx="73">
                  <c:v>0.9067118010842522</c:v>
                </c:pt>
                <c:pt idx="74">
                  <c:v>0.90817065240486683</c:v>
                </c:pt>
                <c:pt idx="75">
                  <c:v>0.91113900442557305</c:v>
                </c:pt>
                <c:pt idx="76">
                  <c:v>0.91142899157147483</c:v>
                </c:pt>
                <c:pt idx="77">
                  <c:v>0.91329280216279363</c:v>
                </c:pt>
                <c:pt idx="78">
                  <c:v>0.91482567596030817</c:v>
                </c:pt>
                <c:pt idx="79">
                  <c:v>0.91730416220585376</c:v>
                </c:pt>
                <c:pt idx="80">
                  <c:v>0.91800386345254803</c:v>
                </c:pt>
                <c:pt idx="81">
                  <c:v>0.91984267086155436</c:v>
                </c:pt>
                <c:pt idx="82">
                  <c:v>0.92016848334469836</c:v>
                </c:pt>
                <c:pt idx="83">
                  <c:v>0.92189280771659399</c:v>
                </c:pt>
                <c:pt idx="84">
                  <c:v>0.92243331351188196</c:v>
                </c:pt>
                <c:pt idx="85">
                  <c:v>0.92334529739237758</c:v>
                </c:pt>
                <c:pt idx="86">
                  <c:v>0.92418548389185795</c:v>
                </c:pt>
                <c:pt idx="87">
                  <c:v>0.9248300932670368</c:v>
                </c:pt>
                <c:pt idx="88">
                  <c:v>0.92520924636162916</c:v>
                </c:pt>
                <c:pt idx="89">
                  <c:v>0.92527705416925765</c:v>
                </c:pt>
                <c:pt idx="90">
                  <c:v>0.92647102504340784</c:v>
                </c:pt>
                <c:pt idx="91">
                  <c:v>0.92794069988095917</c:v>
                </c:pt>
                <c:pt idx="92">
                  <c:v>0.92936907429130555</c:v>
                </c:pt>
                <c:pt idx="93">
                  <c:v>0.9308272945162116</c:v>
                </c:pt>
                <c:pt idx="94">
                  <c:v>0.93087034273782643</c:v>
                </c:pt>
                <c:pt idx="95">
                  <c:v>0.93190774333421</c:v>
                </c:pt>
                <c:pt idx="96">
                  <c:v>0.93197298207797885</c:v>
                </c:pt>
                <c:pt idx="97">
                  <c:v>0.93394703234999277</c:v>
                </c:pt>
                <c:pt idx="98">
                  <c:v>0.93451842764214399</c:v>
                </c:pt>
                <c:pt idx="99">
                  <c:v>0.93534694341556357</c:v>
                </c:pt>
                <c:pt idx="100">
                  <c:v>0.93644374278829445</c:v>
                </c:pt>
                <c:pt idx="101">
                  <c:v>0.93761364484973664</c:v>
                </c:pt>
                <c:pt idx="102">
                  <c:v>0.93919754429236402</c:v>
                </c:pt>
                <c:pt idx="103">
                  <c:v>0.93976695955022482</c:v>
                </c:pt>
                <c:pt idx="104">
                  <c:v>0.94002885192097918</c:v>
                </c:pt>
                <c:pt idx="105">
                  <c:v>0.94103721673707685</c:v>
                </c:pt>
                <c:pt idx="106">
                  <c:v>0.94160277563415196</c:v>
                </c:pt>
                <c:pt idx="107">
                  <c:v>0.94175297805228675</c:v>
                </c:pt>
                <c:pt idx="108">
                  <c:v>0.94254728386761244</c:v>
                </c:pt>
                <c:pt idx="109">
                  <c:v>0.94278633336400441</c:v>
                </c:pt>
                <c:pt idx="110">
                  <c:v>0.94335825047986244</c:v>
                </c:pt>
                <c:pt idx="111">
                  <c:v>0.94439056201713056</c:v>
                </c:pt>
                <c:pt idx="112">
                  <c:v>0.94456971418572477</c:v>
                </c:pt>
                <c:pt idx="113">
                  <c:v>0.94512856011804081</c:v>
                </c:pt>
                <c:pt idx="114">
                  <c:v>0.94577644142482264</c:v>
                </c:pt>
                <c:pt idx="115">
                  <c:v>0.94598246425027399</c:v>
                </c:pt>
                <c:pt idx="116">
                  <c:v>0.94680208549516642</c:v>
                </c:pt>
                <c:pt idx="117">
                  <c:v>0.9474141011869216</c:v>
                </c:pt>
                <c:pt idx="118">
                  <c:v>0.94830417532849964</c:v>
                </c:pt>
                <c:pt idx="119">
                  <c:v>0.94859062397255078</c:v>
                </c:pt>
                <c:pt idx="120">
                  <c:v>0.94921339359024637</c:v>
                </c:pt>
              </c:numCache>
            </c:numRef>
          </c:xVal>
          <c:yVal>
            <c:numRef>
              <c:f>Aux_graficos!$HA$2:$HA$122</c:f>
              <c:numCache>
                <c:formatCode>General</c:formatCode>
                <c:ptCount val="121"/>
                <c:pt idx="0">
                  <c:v>8.2644628099173556E-3</c:v>
                </c:pt>
                <c:pt idx="1">
                  <c:v>1.6528925619834711E-2</c:v>
                </c:pt>
                <c:pt idx="2">
                  <c:v>2.479338842975207E-2</c:v>
                </c:pt>
                <c:pt idx="3">
                  <c:v>3.3057851239669422E-2</c:v>
                </c:pt>
                <c:pt idx="4">
                  <c:v>4.1322314049586778E-2</c:v>
                </c:pt>
                <c:pt idx="5">
                  <c:v>4.9586776859504127E-2</c:v>
                </c:pt>
                <c:pt idx="6">
                  <c:v>5.7851239669421489E-2</c:v>
                </c:pt>
                <c:pt idx="7">
                  <c:v>6.6115702479338845E-2</c:v>
                </c:pt>
                <c:pt idx="8">
                  <c:v>7.43801652892562E-2</c:v>
                </c:pt>
                <c:pt idx="9">
                  <c:v>8.2644628099173556E-2</c:v>
                </c:pt>
                <c:pt idx="10">
                  <c:v>9.0909090909090912E-2</c:v>
                </c:pt>
                <c:pt idx="11">
                  <c:v>9.9173553719008267E-2</c:v>
                </c:pt>
                <c:pt idx="12">
                  <c:v>0.1074380165289256</c:v>
                </c:pt>
                <c:pt idx="13">
                  <c:v>0.11570247933884301</c:v>
                </c:pt>
                <c:pt idx="14">
                  <c:v>0.12396694214876031</c:v>
                </c:pt>
                <c:pt idx="15">
                  <c:v>0.13223140495867769</c:v>
                </c:pt>
                <c:pt idx="16">
                  <c:v>0.14049586776859499</c:v>
                </c:pt>
                <c:pt idx="17">
                  <c:v>0.1487603305785124</c:v>
                </c:pt>
                <c:pt idx="18">
                  <c:v>0.15702479338842981</c:v>
                </c:pt>
                <c:pt idx="19">
                  <c:v>0.16528925619834711</c:v>
                </c:pt>
                <c:pt idx="20">
                  <c:v>0.1735537190082645</c:v>
                </c:pt>
                <c:pt idx="21">
                  <c:v>0.1818181818181818</c:v>
                </c:pt>
                <c:pt idx="22">
                  <c:v>0.19008264462809921</c:v>
                </c:pt>
                <c:pt idx="23">
                  <c:v>0.19834710743801651</c:v>
                </c:pt>
                <c:pt idx="24">
                  <c:v>0.20661157024793389</c:v>
                </c:pt>
                <c:pt idx="25">
                  <c:v>0.21487603305785119</c:v>
                </c:pt>
                <c:pt idx="26">
                  <c:v>0.2231404958677686</c:v>
                </c:pt>
                <c:pt idx="27">
                  <c:v>0.23140495867768601</c:v>
                </c:pt>
                <c:pt idx="28">
                  <c:v>0.23966942148760331</c:v>
                </c:pt>
                <c:pt idx="29">
                  <c:v>0.2479338842975207</c:v>
                </c:pt>
                <c:pt idx="30">
                  <c:v>0.256198347107438</c:v>
                </c:pt>
                <c:pt idx="31">
                  <c:v>0.26446280991735538</c:v>
                </c:pt>
                <c:pt idx="32">
                  <c:v>0.27272727272727271</c:v>
                </c:pt>
                <c:pt idx="33">
                  <c:v>0.28099173553719009</c:v>
                </c:pt>
                <c:pt idx="34">
                  <c:v>0.28925619834710742</c:v>
                </c:pt>
                <c:pt idx="35">
                  <c:v>0.2975206611570248</c:v>
                </c:pt>
                <c:pt idx="36">
                  <c:v>0.30578512396694207</c:v>
                </c:pt>
                <c:pt idx="37">
                  <c:v>0.31404958677685951</c:v>
                </c:pt>
                <c:pt idx="38">
                  <c:v>0.32231404958677679</c:v>
                </c:pt>
                <c:pt idx="39">
                  <c:v>0.33057851239669422</c:v>
                </c:pt>
                <c:pt idx="40">
                  <c:v>0.33884297520661161</c:v>
                </c:pt>
                <c:pt idx="41">
                  <c:v>0.34710743801652888</c:v>
                </c:pt>
                <c:pt idx="42">
                  <c:v>0.35537190082644632</c:v>
                </c:pt>
                <c:pt idx="43">
                  <c:v>0.36363636363636359</c:v>
                </c:pt>
                <c:pt idx="44">
                  <c:v>0.37190082644628097</c:v>
                </c:pt>
                <c:pt idx="45">
                  <c:v>0.38016528925619841</c:v>
                </c:pt>
                <c:pt idx="46">
                  <c:v>0.38842975206611569</c:v>
                </c:pt>
                <c:pt idx="47">
                  <c:v>0.39669421487603312</c:v>
                </c:pt>
                <c:pt idx="48">
                  <c:v>0.4049586776859504</c:v>
                </c:pt>
                <c:pt idx="49">
                  <c:v>0.41322314049586778</c:v>
                </c:pt>
                <c:pt idx="50">
                  <c:v>0.42148760330578511</c:v>
                </c:pt>
                <c:pt idx="51">
                  <c:v>0.42975206611570249</c:v>
                </c:pt>
                <c:pt idx="52">
                  <c:v>0.43801652892561982</c:v>
                </c:pt>
                <c:pt idx="53">
                  <c:v>0.4462809917355372</c:v>
                </c:pt>
                <c:pt idx="54">
                  <c:v>0.45454545454545447</c:v>
                </c:pt>
                <c:pt idx="55">
                  <c:v>0.46280991735537191</c:v>
                </c:pt>
                <c:pt idx="56">
                  <c:v>0.47107438016528919</c:v>
                </c:pt>
                <c:pt idx="57">
                  <c:v>0.47933884297520662</c:v>
                </c:pt>
                <c:pt idx="58">
                  <c:v>0.48760330578512401</c:v>
                </c:pt>
                <c:pt idx="59">
                  <c:v>0.49586776859504128</c:v>
                </c:pt>
                <c:pt idx="60">
                  <c:v>0.50413223140495866</c:v>
                </c:pt>
                <c:pt idx="61">
                  <c:v>0.51239669421487599</c:v>
                </c:pt>
                <c:pt idx="62">
                  <c:v>0.52066115702479343</c:v>
                </c:pt>
                <c:pt idx="63">
                  <c:v>0.52892561983471076</c:v>
                </c:pt>
                <c:pt idx="64">
                  <c:v>0.53719008264462809</c:v>
                </c:pt>
                <c:pt idx="65">
                  <c:v>0.54545454545454541</c:v>
                </c:pt>
                <c:pt idx="66">
                  <c:v>0.55371900826446285</c:v>
                </c:pt>
                <c:pt idx="67">
                  <c:v>0.56198347107438018</c:v>
                </c:pt>
                <c:pt idx="68">
                  <c:v>0.57024793388429751</c:v>
                </c:pt>
                <c:pt idx="69">
                  <c:v>0.57851239669421484</c:v>
                </c:pt>
                <c:pt idx="70">
                  <c:v>0.58677685950413228</c:v>
                </c:pt>
                <c:pt idx="71">
                  <c:v>0.5950413223140496</c:v>
                </c:pt>
                <c:pt idx="72">
                  <c:v>0.60330578512396693</c:v>
                </c:pt>
                <c:pt idx="73">
                  <c:v>0.61157024793388426</c:v>
                </c:pt>
                <c:pt idx="74">
                  <c:v>0.6198347107438017</c:v>
                </c:pt>
                <c:pt idx="75">
                  <c:v>0.62809917355371903</c:v>
                </c:pt>
                <c:pt idx="76">
                  <c:v>0.63636363636363635</c:v>
                </c:pt>
                <c:pt idx="77">
                  <c:v>0.64462809917355368</c:v>
                </c:pt>
                <c:pt idx="78">
                  <c:v>0.65289256198347112</c:v>
                </c:pt>
                <c:pt idx="79">
                  <c:v>0.66115702479338845</c:v>
                </c:pt>
                <c:pt idx="80">
                  <c:v>0.66942148760330578</c:v>
                </c:pt>
                <c:pt idx="81">
                  <c:v>0.6776859504132231</c:v>
                </c:pt>
                <c:pt idx="82">
                  <c:v>0.68595041322314054</c:v>
                </c:pt>
                <c:pt idx="83">
                  <c:v>0.69421487603305787</c:v>
                </c:pt>
                <c:pt idx="84">
                  <c:v>0.7024793388429752</c:v>
                </c:pt>
                <c:pt idx="85">
                  <c:v>0.71074380165289253</c:v>
                </c:pt>
                <c:pt idx="86">
                  <c:v>0.71900826446280997</c:v>
                </c:pt>
                <c:pt idx="87">
                  <c:v>0.72727272727272729</c:v>
                </c:pt>
                <c:pt idx="88">
                  <c:v>0.73553719008264462</c:v>
                </c:pt>
                <c:pt idx="89">
                  <c:v>0.74380165289256195</c:v>
                </c:pt>
                <c:pt idx="90">
                  <c:v>0.75206611570247939</c:v>
                </c:pt>
                <c:pt idx="91">
                  <c:v>0.76033057851239672</c:v>
                </c:pt>
                <c:pt idx="92">
                  <c:v>0.76859504132231404</c:v>
                </c:pt>
                <c:pt idx="93">
                  <c:v>0.77685950413223137</c:v>
                </c:pt>
                <c:pt idx="94">
                  <c:v>0.78512396694214881</c:v>
                </c:pt>
                <c:pt idx="95">
                  <c:v>0.79338842975206614</c:v>
                </c:pt>
                <c:pt idx="96">
                  <c:v>0.80165289256198347</c:v>
                </c:pt>
                <c:pt idx="97">
                  <c:v>0.80991735537190079</c:v>
                </c:pt>
                <c:pt idx="98">
                  <c:v>0.81818181818181823</c:v>
                </c:pt>
                <c:pt idx="99">
                  <c:v>0.82644628099173556</c:v>
                </c:pt>
                <c:pt idx="100">
                  <c:v>0.83471074380165289</c:v>
                </c:pt>
                <c:pt idx="101">
                  <c:v>0.84297520661157022</c:v>
                </c:pt>
                <c:pt idx="102">
                  <c:v>0.85123966942148765</c:v>
                </c:pt>
                <c:pt idx="103">
                  <c:v>0.85950413223140498</c:v>
                </c:pt>
                <c:pt idx="104">
                  <c:v>0.86776859504132231</c:v>
                </c:pt>
                <c:pt idx="105">
                  <c:v>0.87603305785123964</c:v>
                </c:pt>
                <c:pt idx="106">
                  <c:v>0.88429752066115708</c:v>
                </c:pt>
                <c:pt idx="107">
                  <c:v>0.8925619834710744</c:v>
                </c:pt>
                <c:pt idx="108">
                  <c:v>0.90082644628099173</c:v>
                </c:pt>
                <c:pt idx="109">
                  <c:v>0.90909090909090906</c:v>
                </c:pt>
                <c:pt idx="110">
                  <c:v>0.9173553719008265</c:v>
                </c:pt>
                <c:pt idx="111">
                  <c:v>0.92561983471074383</c:v>
                </c:pt>
                <c:pt idx="112">
                  <c:v>0.93388429752066116</c:v>
                </c:pt>
                <c:pt idx="113">
                  <c:v>0.94214876033057848</c:v>
                </c:pt>
                <c:pt idx="114">
                  <c:v>0.95041322314049592</c:v>
                </c:pt>
                <c:pt idx="115">
                  <c:v>0.95867768595041325</c:v>
                </c:pt>
                <c:pt idx="116">
                  <c:v>0.96694214876033058</c:v>
                </c:pt>
                <c:pt idx="117">
                  <c:v>0.97520661157024791</c:v>
                </c:pt>
                <c:pt idx="118">
                  <c:v>0.98347107438016534</c:v>
                </c:pt>
                <c:pt idx="119">
                  <c:v>0.99173553719008267</c:v>
                </c:pt>
                <c:pt idx="1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1-41DA-8B31-9E4586D17947}"/>
            </c:ext>
          </c:extLst>
        </c:ser>
        <c:ser>
          <c:idx val="1"/>
          <c:order val="1"/>
          <c:tx>
            <c:v>resto genuino (n = 331)</c:v>
          </c:tx>
          <c:spPr>
            <a:ln w="22000">
              <a:solidFill>
                <a:srgbClr val="9E9E9E"/>
              </a:solidFill>
              <a:prstDash val="dash"/>
            </a:ln>
          </c:spPr>
          <c:marker>
            <c:symbol val="none"/>
          </c:marker>
          <c:xVal>
            <c:numRef>
              <c:f>Aux_graficos!$HD$2:$HD$332</c:f>
              <c:numCache>
                <c:formatCode>General</c:formatCode>
                <c:ptCount val="331"/>
                <c:pt idx="0">
                  <c:v>0.70013632301175088</c:v>
                </c:pt>
                <c:pt idx="1">
                  <c:v>0.70051810182539953</c:v>
                </c:pt>
                <c:pt idx="2">
                  <c:v>0.70134963013532436</c:v>
                </c:pt>
                <c:pt idx="3">
                  <c:v>0.70172118386648663</c:v>
                </c:pt>
                <c:pt idx="4">
                  <c:v>0.7023015170719189</c:v>
                </c:pt>
                <c:pt idx="5">
                  <c:v>0.70268915643598817</c:v>
                </c:pt>
                <c:pt idx="6">
                  <c:v>0.70470594528389463</c:v>
                </c:pt>
                <c:pt idx="7">
                  <c:v>0.70512996470572609</c:v>
                </c:pt>
                <c:pt idx="8">
                  <c:v>0.70521737431346898</c:v>
                </c:pt>
                <c:pt idx="9">
                  <c:v>0.70602639837238912</c:v>
                </c:pt>
                <c:pt idx="10">
                  <c:v>0.70733665489715603</c:v>
                </c:pt>
                <c:pt idx="11">
                  <c:v>0.70735883808981626</c:v>
                </c:pt>
                <c:pt idx="12">
                  <c:v>0.7075778626462661</c:v>
                </c:pt>
                <c:pt idx="13">
                  <c:v>0.70895132615984002</c:v>
                </c:pt>
                <c:pt idx="14">
                  <c:v>0.70950811491511312</c:v>
                </c:pt>
                <c:pt idx="15">
                  <c:v>0.71023580061804237</c:v>
                </c:pt>
                <c:pt idx="16">
                  <c:v>0.71086869301280808</c:v>
                </c:pt>
                <c:pt idx="17">
                  <c:v>0.71153808020150699</c:v>
                </c:pt>
                <c:pt idx="18">
                  <c:v>0.71161162311402992</c:v>
                </c:pt>
                <c:pt idx="19">
                  <c:v>0.71268111955042912</c:v>
                </c:pt>
                <c:pt idx="20">
                  <c:v>0.71394413607586171</c:v>
                </c:pt>
                <c:pt idx="21">
                  <c:v>0.71485654663129727</c:v>
                </c:pt>
                <c:pt idx="22">
                  <c:v>0.71499043789243821</c:v>
                </c:pt>
                <c:pt idx="23">
                  <c:v>0.71508516979644565</c:v>
                </c:pt>
                <c:pt idx="24">
                  <c:v>0.71605865819766734</c:v>
                </c:pt>
                <c:pt idx="25">
                  <c:v>0.71686300601658903</c:v>
                </c:pt>
                <c:pt idx="26">
                  <c:v>0.71688211294336579</c:v>
                </c:pt>
                <c:pt idx="27">
                  <c:v>0.71810209823438542</c:v>
                </c:pt>
                <c:pt idx="28">
                  <c:v>0.71883567381577818</c:v>
                </c:pt>
                <c:pt idx="29">
                  <c:v>0.71922198368612744</c:v>
                </c:pt>
                <c:pt idx="30">
                  <c:v>0.71948875580768401</c:v>
                </c:pt>
                <c:pt idx="31">
                  <c:v>0.72031272434200988</c:v>
                </c:pt>
                <c:pt idx="32">
                  <c:v>0.72040634862772479</c:v>
                </c:pt>
                <c:pt idx="33">
                  <c:v>0.7208655934775472</c:v>
                </c:pt>
                <c:pt idx="34">
                  <c:v>0.72189462468438159</c:v>
                </c:pt>
                <c:pt idx="35">
                  <c:v>0.72201401498801543</c:v>
                </c:pt>
                <c:pt idx="36">
                  <c:v>0.72325686608880202</c:v>
                </c:pt>
                <c:pt idx="37">
                  <c:v>0.72353740080511153</c:v>
                </c:pt>
                <c:pt idx="38">
                  <c:v>0.72406544921202853</c:v>
                </c:pt>
                <c:pt idx="39">
                  <c:v>0.7243673056913783</c:v>
                </c:pt>
                <c:pt idx="40">
                  <c:v>0.72464446615829725</c:v>
                </c:pt>
                <c:pt idx="41">
                  <c:v>0.72521212825121228</c:v>
                </c:pt>
                <c:pt idx="42">
                  <c:v>0.72642482563356436</c:v>
                </c:pt>
                <c:pt idx="43">
                  <c:v>0.72711873727953213</c:v>
                </c:pt>
                <c:pt idx="44">
                  <c:v>0.72726444665013146</c:v>
                </c:pt>
                <c:pt idx="45">
                  <c:v>0.72805689127828555</c:v>
                </c:pt>
                <c:pt idx="46">
                  <c:v>0.72870681469392229</c:v>
                </c:pt>
                <c:pt idx="47">
                  <c:v>0.72878893344991647</c:v>
                </c:pt>
                <c:pt idx="48">
                  <c:v>0.72978429138645984</c:v>
                </c:pt>
                <c:pt idx="49">
                  <c:v>0.73015998223522782</c:v>
                </c:pt>
                <c:pt idx="50">
                  <c:v>0.73027202443310157</c:v>
                </c:pt>
                <c:pt idx="51">
                  <c:v>0.73095079326565282</c:v>
                </c:pt>
                <c:pt idx="52">
                  <c:v>0.73125363428086798</c:v>
                </c:pt>
                <c:pt idx="53">
                  <c:v>0.73237791371759819</c:v>
                </c:pt>
                <c:pt idx="54">
                  <c:v>0.73266020631803863</c:v>
                </c:pt>
                <c:pt idx="55">
                  <c:v>0.73282230176512175</c:v>
                </c:pt>
                <c:pt idx="56">
                  <c:v>0.73333499298149918</c:v>
                </c:pt>
                <c:pt idx="57">
                  <c:v>0.73460400355542621</c:v>
                </c:pt>
                <c:pt idx="58">
                  <c:v>0.73468813230945795</c:v>
                </c:pt>
                <c:pt idx="59">
                  <c:v>0.73556704966905584</c:v>
                </c:pt>
                <c:pt idx="60">
                  <c:v>0.73560029725881271</c:v>
                </c:pt>
                <c:pt idx="61">
                  <c:v>0.73592687388045774</c:v>
                </c:pt>
                <c:pt idx="62">
                  <c:v>0.7370878264061369</c:v>
                </c:pt>
                <c:pt idx="63">
                  <c:v>0.73782136712277058</c:v>
                </c:pt>
                <c:pt idx="64">
                  <c:v>0.73827468586079048</c:v>
                </c:pt>
                <c:pt idx="65">
                  <c:v>0.73907231802581996</c:v>
                </c:pt>
                <c:pt idx="66">
                  <c:v>0.73914017091107553</c:v>
                </c:pt>
                <c:pt idx="67">
                  <c:v>0.74001625791331715</c:v>
                </c:pt>
                <c:pt idx="68">
                  <c:v>0.74187222418862098</c:v>
                </c:pt>
                <c:pt idx="69">
                  <c:v>0.74252870426116624</c:v>
                </c:pt>
                <c:pt idx="70">
                  <c:v>0.74287325588550812</c:v>
                </c:pt>
                <c:pt idx="71">
                  <c:v>0.74408169018806325</c:v>
                </c:pt>
                <c:pt idx="72">
                  <c:v>0.74417965831505373</c:v>
                </c:pt>
                <c:pt idx="73">
                  <c:v>0.74460186316201371</c:v>
                </c:pt>
                <c:pt idx="74">
                  <c:v>0.7452686343424072</c:v>
                </c:pt>
                <c:pt idx="75">
                  <c:v>0.74574588603580194</c:v>
                </c:pt>
                <c:pt idx="76">
                  <c:v>0.74625398442177715</c:v>
                </c:pt>
                <c:pt idx="77">
                  <c:v>0.74630049563448386</c:v>
                </c:pt>
                <c:pt idx="78">
                  <c:v>0.74671839945557072</c:v>
                </c:pt>
                <c:pt idx="79">
                  <c:v>0.74766947169333164</c:v>
                </c:pt>
                <c:pt idx="80">
                  <c:v>0.74879037583631192</c:v>
                </c:pt>
                <c:pt idx="81">
                  <c:v>0.74908367993983371</c:v>
                </c:pt>
                <c:pt idx="82">
                  <c:v>0.74963912312184089</c:v>
                </c:pt>
                <c:pt idx="83">
                  <c:v>0.75087222547705246</c:v>
                </c:pt>
                <c:pt idx="84">
                  <c:v>0.75092401245865148</c:v>
                </c:pt>
                <c:pt idx="85">
                  <c:v>0.75179667906833358</c:v>
                </c:pt>
                <c:pt idx="86">
                  <c:v>0.75193993183095476</c:v>
                </c:pt>
                <c:pt idx="87">
                  <c:v>0.75264184831093084</c:v>
                </c:pt>
                <c:pt idx="88">
                  <c:v>0.75331554872013762</c:v>
                </c:pt>
                <c:pt idx="89">
                  <c:v>0.75378385338709508</c:v>
                </c:pt>
                <c:pt idx="90">
                  <c:v>0.75416327788795623</c:v>
                </c:pt>
                <c:pt idx="91">
                  <c:v>0.75456143607312298</c:v>
                </c:pt>
                <c:pt idx="92">
                  <c:v>0.7553688583192818</c:v>
                </c:pt>
                <c:pt idx="93">
                  <c:v>0.75583023699651808</c:v>
                </c:pt>
                <c:pt idx="94">
                  <c:v>0.75619270257754967</c:v>
                </c:pt>
                <c:pt idx="95">
                  <c:v>0.75649536087942726</c:v>
                </c:pt>
                <c:pt idx="96">
                  <c:v>0.75695848602160931</c:v>
                </c:pt>
                <c:pt idx="97">
                  <c:v>0.75784027500913898</c:v>
                </c:pt>
                <c:pt idx="98">
                  <c:v>0.75814808823212787</c:v>
                </c:pt>
                <c:pt idx="99">
                  <c:v>0.75875690483393743</c:v>
                </c:pt>
                <c:pt idx="100">
                  <c:v>0.75973677461823819</c:v>
                </c:pt>
                <c:pt idx="101">
                  <c:v>0.76077356736182233</c:v>
                </c:pt>
                <c:pt idx="102">
                  <c:v>0.76108376716996806</c:v>
                </c:pt>
                <c:pt idx="103">
                  <c:v>0.76145625127334637</c:v>
                </c:pt>
                <c:pt idx="104">
                  <c:v>0.76247433642268636</c:v>
                </c:pt>
                <c:pt idx="105">
                  <c:v>0.76293794910995016</c:v>
                </c:pt>
                <c:pt idx="106">
                  <c:v>0.76319962247865569</c:v>
                </c:pt>
                <c:pt idx="107">
                  <c:v>0.76472504902796135</c:v>
                </c:pt>
                <c:pt idx="108">
                  <c:v>0.76514726724376625</c:v>
                </c:pt>
                <c:pt idx="109">
                  <c:v>0.76551623640178679</c:v>
                </c:pt>
                <c:pt idx="110">
                  <c:v>0.76592436909718298</c:v>
                </c:pt>
                <c:pt idx="111">
                  <c:v>0.76658105485481187</c:v>
                </c:pt>
                <c:pt idx="112">
                  <c:v>0.76702560848047352</c:v>
                </c:pt>
                <c:pt idx="113">
                  <c:v>0.76800025418775641</c:v>
                </c:pt>
                <c:pt idx="114">
                  <c:v>0.76801960329594454</c:v>
                </c:pt>
                <c:pt idx="115">
                  <c:v>0.76856865977678546</c:v>
                </c:pt>
                <c:pt idx="116">
                  <c:v>0.76935791597747305</c:v>
                </c:pt>
                <c:pt idx="117">
                  <c:v>0.76983075025247327</c:v>
                </c:pt>
                <c:pt idx="118">
                  <c:v>0.770468091184632</c:v>
                </c:pt>
                <c:pt idx="119">
                  <c:v>0.7712453349726458</c:v>
                </c:pt>
                <c:pt idx="120">
                  <c:v>0.77185683739376176</c:v>
                </c:pt>
                <c:pt idx="121">
                  <c:v>0.77190759743232817</c:v>
                </c:pt>
                <c:pt idx="122">
                  <c:v>0.77265858160104139</c:v>
                </c:pt>
                <c:pt idx="123">
                  <c:v>0.7733067189926649</c:v>
                </c:pt>
                <c:pt idx="124">
                  <c:v>0.77408176820896013</c:v>
                </c:pt>
                <c:pt idx="125">
                  <c:v>0.77442724079208414</c:v>
                </c:pt>
                <c:pt idx="126">
                  <c:v>0.77459620509246807</c:v>
                </c:pt>
                <c:pt idx="127">
                  <c:v>0.77562137411630028</c:v>
                </c:pt>
                <c:pt idx="128">
                  <c:v>0.77567210532932696</c:v>
                </c:pt>
                <c:pt idx="129">
                  <c:v>0.77721216249841674</c:v>
                </c:pt>
                <c:pt idx="130">
                  <c:v>0.77723831114195918</c:v>
                </c:pt>
                <c:pt idx="131">
                  <c:v>0.77770217528347207</c:v>
                </c:pt>
                <c:pt idx="132">
                  <c:v>0.77888148657217959</c:v>
                </c:pt>
                <c:pt idx="133">
                  <c:v>0.77910944634827306</c:v>
                </c:pt>
                <c:pt idx="134">
                  <c:v>0.78002108490717548</c:v>
                </c:pt>
                <c:pt idx="135">
                  <c:v>0.78097888988156527</c:v>
                </c:pt>
                <c:pt idx="136">
                  <c:v>0.78109857649568293</c:v>
                </c:pt>
                <c:pt idx="137">
                  <c:v>0.78135821737148625</c:v>
                </c:pt>
                <c:pt idx="138">
                  <c:v>0.7824844345107167</c:v>
                </c:pt>
                <c:pt idx="139">
                  <c:v>0.78265827157027679</c:v>
                </c:pt>
                <c:pt idx="140">
                  <c:v>0.78320965855711844</c:v>
                </c:pt>
                <c:pt idx="141">
                  <c:v>0.7835781237049394</c:v>
                </c:pt>
                <c:pt idx="142">
                  <c:v>0.78455265552048403</c:v>
                </c:pt>
                <c:pt idx="143">
                  <c:v>0.78466365547746197</c:v>
                </c:pt>
                <c:pt idx="144">
                  <c:v>0.78580297298186175</c:v>
                </c:pt>
                <c:pt idx="145">
                  <c:v>0.78591782661920928</c:v>
                </c:pt>
                <c:pt idx="146">
                  <c:v>0.78598354475487398</c:v>
                </c:pt>
                <c:pt idx="147">
                  <c:v>0.78732921077419338</c:v>
                </c:pt>
                <c:pt idx="148">
                  <c:v>0.7875498437801165</c:v>
                </c:pt>
                <c:pt idx="149">
                  <c:v>0.78787616619361911</c:v>
                </c:pt>
                <c:pt idx="150">
                  <c:v>0.78879293337974665</c:v>
                </c:pt>
                <c:pt idx="151">
                  <c:v>0.78959877980886894</c:v>
                </c:pt>
                <c:pt idx="152">
                  <c:v>0.79035424281145683</c:v>
                </c:pt>
                <c:pt idx="153">
                  <c:v>0.79082077912859838</c:v>
                </c:pt>
                <c:pt idx="154">
                  <c:v>0.79094687525413776</c:v>
                </c:pt>
                <c:pt idx="155">
                  <c:v>0.7919351667229676</c:v>
                </c:pt>
                <c:pt idx="156">
                  <c:v>0.79239542573218003</c:v>
                </c:pt>
                <c:pt idx="157">
                  <c:v>0.79366809217741063</c:v>
                </c:pt>
                <c:pt idx="158">
                  <c:v>0.7939744566804865</c:v>
                </c:pt>
                <c:pt idx="159">
                  <c:v>0.79570191109045518</c:v>
                </c:pt>
                <c:pt idx="160">
                  <c:v>0.79675116038335747</c:v>
                </c:pt>
                <c:pt idx="161">
                  <c:v>0.79790908513815695</c:v>
                </c:pt>
                <c:pt idx="162">
                  <c:v>0.79796670041889639</c:v>
                </c:pt>
                <c:pt idx="163">
                  <c:v>0.79876663471468401</c:v>
                </c:pt>
                <c:pt idx="164">
                  <c:v>0.80021750238793443</c:v>
                </c:pt>
                <c:pt idx="165">
                  <c:v>0.80043775793391347</c:v>
                </c:pt>
                <c:pt idx="166">
                  <c:v>0.80152552323904658</c:v>
                </c:pt>
                <c:pt idx="167">
                  <c:v>0.80296052077100266</c:v>
                </c:pt>
                <c:pt idx="168">
                  <c:v>0.80442557636948564</c:v>
                </c:pt>
                <c:pt idx="169">
                  <c:v>0.80533410294323726</c:v>
                </c:pt>
                <c:pt idx="170">
                  <c:v>0.80543696820053579</c:v>
                </c:pt>
                <c:pt idx="171">
                  <c:v>0.80614931346625474</c:v>
                </c:pt>
                <c:pt idx="172">
                  <c:v>0.80692367373397589</c:v>
                </c:pt>
                <c:pt idx="173">
                  <c:v>0.80697152099167602</c:v>
                </c:pt>
                <c:pt idx="174">
                  <c:v>0.80799343485830288</c:v>
                </c:pt>
                <c:pt idx="175">
                  <c:v>0.80966546312975962</c:v>
                </c:pt>
                <c:pt idx="176">
                  <c:v>0.81045874015027997</c:v>
                </c:pt>
                <c:pt idx="177">
                  <c:v>0.81110089249857298</c:v>
                </c:pt>
                <c:pt idx="178">
                  <c:v>0.81176103619006568</c:v>
                </c:pt>
                <c:pt idx="179">
                  <c:v>0.81330602449083045</c:v>
                </c:pt>
                <c:pt idx="180">
                  <c:v>0.8133959038739641</c:v>
                </c:pt>
                <c:pt idx="181">
                  <c:v>0.81388625685745963</c:v>
                </c:pt>
                <c:pt idx="182">
                  <c:v>0.81430190652222101</c:v>
                </c:pt>
                <c:pt idx="183">
                  <c:v>0.81469550995180606</c:v>
                </c:pt>
                <c:pt idx="184">
                  <c:v>0.81556760917656168</c:v>
                </c:pt>
                <c:pt idx="185">
                  <c:v>0.81629374292707935</c:v>
                </c:pt>
                <c:pt idx="186">
                  <c:v>0.81651476830528258</c:v>
                </c:pt>
                <c:pt idx="187">
                  <c:v>0.81672090674089448</c:v>
                </c:pt>
                <c:pt idx="188">
                  <c:v>0.81861782756414359</c:v>
                </c:pt>
                <c:pt idx="189">
                  <c:v>0.81960948785830268</c:v>
                </c:pt>
                <c:pt idx="190">
                  <c:v>0.82010741976686308</c:v>
                </c:pt>
                <c:pt idx="191">
                  <c:v>0.82069268404072249</c:v>
                </c:pt>
                <c:pt idx="192">
                  <c:v>0.82116389744075635</c:v>
                </c:pt>
                <c:pt idx="193">
                  <c:v>0.82149992334063815</c:v>
                </c:pt>
                <c:pt idx="194">
                  <c:v>0.82198290055444356</c:v>
                </c:pt>
                <c:pt idx="195">
                  <c:v>0.82313234257378598</c:v>
                </c:pt>
                <c:pt idx="196">
                  <c:v>0.82314396755788255</c:v>
                </c:pt>
                <c:pt idx="197">
                  <c:v>0.8244892781239832</c:v>
                </c:pt>
                <c:pt idx="198">
                  <c:v>0.8248687813684582</c:v>
                </c:pt>
                <c:pt idx="199">
                  <c:v>0.82564215240347139</c:v>
                </c:pt>
                <c:pt idx="200">
                  <c:v>0.8257511402651535</c:v>
                </c:pt>
                <c:pt idx="201">
                  <c:v>0.8266604829802835</c:v>
                </c:pt>
                <c:pt idx="202">
                  <c:v>0.82709568681823109</c:v>
                </c:pt>
                <c:pt idx="203">
                  <c:v>0.827365073608614</c:v>
                </c:pt>
                <c:pt idx="204">
                  <c:v>0.82763510707964205</c:v>
                </c:pt>
                <c:pt idx="205">
                  <c:v>0.82764700721867968</c:v>
                </c:pt>
                <c:pt idx="206">
                  <c:v>0.82903512844766714</c:v>
                </c:pt>
                <c:pt idx="207">
                  <c:v>0.83158419655345861</c:v>
                </c:pt>
                <c:pt idx="208">
                  <c:v>0.8321824999167774</c:v>
                </c:pt>
                <c:pt idx="209">
                  <c:v>0.83293054387366905</c:v>
                </c:pt>
                <c:pt idx="210">
                  <c:v>0.83342486633720447</c:v>
                </c:pt>
                <c:pt idx="211">
                  <c:v>0.83350341626021363</c:v>
                </c:pt>
                <c:pt idx="212">
                  <c:v>0.83384423857118517</c:v>
                </c:pt>
                <c:pt idx="213">
                  <c:v>0.8360542520587132</c:v>
                </c:pt>
                <c:pt idx="214">
                  <c:v>0.83621676021211799</c:v>
                </c:pt>
                <c:pt idx="215">
                  <c:v>0.83813040236830683</c:v>
                </c:pt>
                <c:pt idx="216">
                  <c:v>0.8385004615508842</c:v>
                </c:pt>
                <c:pt idx="217">
                  <c:v>0.83957416553041908</c:v>
                </c:pt>
                <c:pt idx="218">
                  <c:v>0.84066144820980893</c:v>
                </c:pt>
                <c:pt idx="219">
                  <c:v>0.84128892074134931</c:v>
                </c:pt>
                <c:pt idx="220">
                  <c:v>0.8434232271668114</c:v>
                </c:pt>
                <c:pt idx="221">
                  <c:v>0.84391548508741121</c:v>
                </c:pt>
                <c:pt idx="222">
                  <c:v>0.84459817305422169</c:v>
                </c:pt>
                <c:pt idx="223">
                  <c:v>0.84466616127205141</c:v>
                </c:pt>
                <c:pt idx="224">
                  <c:v>0.84573461073080303</c:v>
                </c:pt>
                <c:pt idx="225">
                  <c:v>0.84594977214868106</c:v>
                </c:pt>
                <c:pt idx="226">
                  <c:v>0.84651502889383468</c:v>
                </c:pt>
                <c:pt idx="227">
                  <c:v>0.84674202625063277</c:v>
                </c:pt>
                <c:pt idx="228">
                  <c:v>0.84821997381306713</c:v>
                </c:pt>
                <c:pt idx="229">
                  <c:v>0.8484689094718818</c:v>
                </c:pt>
                <c:pt idx="230">
                  <c:v>0.84869851141340424</c:v>
                </c:pt>
                <c:pt idx="231">
                  <c:v>0.84999113311532248</c:v>
                </c:pt>
                <c:pt idx="232">
                  <c:v>0.85045556650117649</c:v>
                </c:pt>
                <c:pt idx="233">
                  <c:v>0.85073777772898596</c:v>
                </c:pt>
                <c:pt idx="234">
                  <c:v>0.85236966320617036</c:v>
                </c:pt>
                <c:pt idx="235">
                  <c:v>0.85279975550171971</c:v>
                </c:pt>
                <c:pt idx="236">
                  <c:v>0.85342877691340457</c:v>
                </c:pt>
                <c:pt idx="237">
                  <c:v>0.85418478241122142</c:v>
                </c:pt>
                <c:pt idx="238">
                  <c:v>0.8548740360431456</c:v>
                </c:pt>
                <c:pt idx="239">
                  <c:v>0.85507146628490938</c:v>
                </c:pt>
                <c:pt idx="240">
                  <c:v>0.85746248526157709</c:v>
                </c:pt>
                <c:pt idx="241">
                  <c:v>0.85761076420051208</c:v>
                </c:pt>
                <c:pt idx="242">
                  <c:v>0.85874404315817188</c:v>
                </c:pt>
                <c:pt idx="243">
                  <c:v>0.85956332474362918</c:v>
                </c:pt>
                <c:pt idx="244">
                  <c:v>0.85962075765314072</c:v>
                </c:pt>
                <c:pt idx="245">
                  <c:v>0.86082014714183686</c:v>
                </c:pt>
                <c:pt idx="246">
                  <c:v>0.86118537047212973</c:v>
                </c:pt>
                <c:pt idx="247">
                  <c:v>0.86151145535263529</c:v>
                </c:pt>
                <c:pt idx="248">
                  <c:v>0.86183987245927951</c:v>
                </c:pt>
                <c:pt idx="249">
                  <c:v>0.8624057748393652</c:v>
                </c:pt>
                <c:pt idx="250">
                  <c:v>0.86283259702528459</c:v>
                </c:pt>
                <c:pt idx="251">
                  <c:v>0.86340796042385493</c:v>
                </c:pt>
                <c:pt idx="252">
                  <c:v>0.86442279804682642</c:v>
                </c:pt>
                <c:pt idx="253">
                  <c:v>0.86800097518779884</c:v>
                </c:pt>
                <c:pt idx="254">
                  <c:v>0.87173238246950024</c:v>
                </c:pt>
                <c:pt idx="255">
                  <c:v>0.87178339562398866</c:v>
                </c:pt>
                <c:pt idx="256">
                  <c:v>0.87296881080188304</c:v>
                </c:pt>
                <c:pt idx="257">
                  <c:v>0.87301231132403756</c:v>
                </c:pt>
                <c:pt idx="258">
                  <c:v>0.8747194993501255</c:v>
                </c:pt>
                <c:pt idx="259">
                  <c:v>0.87484007590587376</c:v>
                </c:pt>
                <c:pt idx="260">
                  <c:v>0.87582854691237366</c:v>
                </c:pt>
                <c:pt idx="261">
                  <c:v>0.87615367665590727</c:v>
                </c:pt>
                <c:pt idx="262">
                  <c:v>0.87654641139303591</c:v>
                </c:pt>
                <c:pt idx="263">
                  <c:v>0.8767528344266583</c:v>
                </c:pt>
                <c:pt idx="264">
                  <c:v>0.87711287410855188</c:v>
                </c:pt>
                <c:pt idx="265">
                  <c:v>0.87797708088547688</c:v>
                </c:pt>
                <c:pt idx="266">
                  <c:v>0.87846016929553217</c:v>
                </c:pt>
                <c:pt idx="267">
                  <c:v>0.87919229188546488</c:v>
                </c:pt>
                <c:pt idx="268">
                  <c:v>0.88024600978807999</c:v>
                </c:pt>
                <c:pt idx="269">
                  <c:v>0.88090476327062239</c:v>
                </c:pt>
                <c:pt idx="270">
                  <c:v>0.88194901937199321</c:v>
                </c:pt>
                <c:pt idx="271">
                  <c:v>0.88196065469268226</c:v>
                </c:pt>
                <c:pt idx="272">
                  <c:v>0.88269525139839644</c:v>
                </c:pt>
                <c:pt idx="273">
                  <c:v>0.88391465527018975</c:v>
                </c:pt>
                <c:pt idx="274">
                  <c:v>0.88406322530786496</c:v>
                </c:pt>
                <c:pt idx="275">
                  <c:v>0.88476586759096276</c:v>
                </c:pt>
                <c:pt idx="276">
                  <c:v>0.88601854488599774</c:v>
                </c:pt>
                <c:pt idx="277">
                  <c:v>0.88630069828316693</c:v>
                </c:pt>
                <c:pt idx="278">
                  <c:v>0.88716602629779873</c:v>
                </c:pt>
                <c:pt idx="279">
                  <c:v>0.88730899611661962</c:v>
                </c:pt>
                <c:pt idx="280">
                  <c:v>0.88982625258756964</c:v>
                </c:pt>
                <c:pt idx="281">
                  <c:v>0.89008953196016005</c:v>
                </c:pt>
                <c:pt idx="282">
                  <c:v>0.89098289754106885</c:v>
                </c:pt>
                <c:pt idx="283">
                  <c:v>0.89104757235076371</c:v>
                </c:pt>
                <c:pt idx="284">
                  <c:v>0.89149778288650328</c:v>
                </c:pt>
                <c:pt idx="285">
                  <c:v>0.89222474215350656</c:v>
                </c:pt>
                <c:pt idx="286">
                  <c:v>0.89266625061633653</c:v>
                </c:pt>
                <c:pt idx="287">
                  <c:v>0.89398048141139963</c:v>
                </c:pt>
                <c:pt idx="288">
                  <c:v>0.89489962857232763</c:v>
                </c:pt>
                <c:pt idx="289">
                  <c:v>0.89553576533059098</c:v>
                </c:pt>
                <c:pt idx="290">
                  <c:v>0.89725800027849323</c:v>
                </c:pt>
                <c:pt idx="291">
                  <c:v>0.89760306054474037</c:v>
                </c:pt>
                <c:pt idx="292">
                  <c:v>0.89865127924430055</c:v>
                </c:pt>
                <c:pt idx="293">
                  <c:v>0.89999420520434037</c:v>
                </c:pt>
                <c:pt idx="294">
                  <c:v>0.9001919053297861</c:v>
                </c:pt>
                <c:pt idx="295">
                  <c:v>0.90083008266929365</c:v>
                </c:pt>
                <c:pt idx="296">
                  <c:v>0.90093223058488903</c:v>
                </c:pt>
                <c:pt idx="297">
                  <c:v>0.9017784540574294</c:v>
                </c:pt>
                <c:pt idx="298">
                  <c:v>0.9033320958877632</c:v>
                </c:pt>
                <c:pt idx="299">
                  <c:v>0.90455680492183599</c:v>
                </c:pt>
                <c:pt idx="300">
                  <c:v>0.90671712143463223</c:v>
                </c:pt>
                <c:pt idx="301">
                  <c:v>0.90817424502603539</c:v>
                </c:pt>
                <c:pt idx="302">
                  <c:v>0.90909352798229781</c:v>
                </c:pt>
                <c:pt idx="303">
                  <c:v>0.90969846308197555</c:v>
                </c:pt>
                <c:pt idx="304">
                  <c:v>0.91111731666871765</c:v>
                </c:pt>
                <c:pt idx="305">
                  <c:v>0.91239291855358096</c:v>
                </c:pt>
                <c:pt idx="306">
                  <c:v>0.91342312077524102</c:v>
                </c:pt>
                <c:pt idx="307">
                  <c:v>0.91489355759480595</c:v>
                </c:pt>
                <c:pt idx="308">
                  <c:v>0.91536120368661478</c:v>
                </c:pt>
                <c:pt idx="309">
                  <c:v>0.91617857903657096</c:v>
                </c:pt>
                <c:pt idx="310">
                  <c:v>0.91647193534408877</c:v>
                </c:pt>
                <c:pt idx="311">
                  <c:v>0.91694154404467199</c:v>
                </c:pt>
                <c:pt idx="312">
                  <c:v>0.91797600742200958</c:v>
                </c:pt>
                <c:pt idx="313">
                  <c:v>0.91990953503470119</c:v>
                </c:pt>
                <c:pt idx="314">
                  <c:v>0.9208580431192992</c:v>
                </c:pt>
                <c:pt idx="315">
                  <c:v>0.92096489384279523</c:v>
                </c:pt>
                <c:pt idx="316">
                  <c:v>0.92320578602576497</c:v>
                </c:pt>
                <c:pt idx="317">
                  <c:v>0.92367980192079879</c:v>
                </c:pt>
                <c:pt idx="318">
                  <c:v>0.92716767150927881</c:v>
                </c:pt>
                <c:pt idx="319">
                  <c:v>0.92892456048779137</c:v>
                </c:pt>
                <c:pt idx="320">
                  <c:v>0.92920665661479984</c:v>
                </c:pt>
                <c:pt idx="321">
                  <c:v>0.93112301126049157</c:v>
                </c:pt>
                <c:pt idx="322">
                  <c:v>0.93361722029957905</c:v>
                </c:pt>
                <c:pt idx="323">
                  <c:v>0.93592170602119518</c:v>
                </c:pt>
                <c:pt idx="324">
                  <c:v>0.93710653725421122</c:v>
                </c:pt>
                <c:pt idx="325">
                  <c:v>0.93711495148153323</c:v>
                </c:pt>
                <c:pt idx="326">
                  <c:v>0.93761288158879685</c:v>
                </c:pt>
                <c:pt idx="327">
                  <c:v>0.93840956328161562</c:v>
                </c:pt>
                <c:pt idx="328">
                  <c:v>0.94248194068561797</c:v>
                </c:pt>
                <c:pt idx="329">
                  <c:v>0.94762753898565155</c:v>
                </c:pt>
                <c:pt idx="330">
                  <c:v>0.94940937119279323</c:v>
                </c:pt>
              </c:numCache>
            </c:numRef>
          </c:xVal>
          <c:yVal>
            <c:numRef>
              <c:f>Aux_graficos!$HC$2:$HC$332</c:f>
              <c:numCache>
                <c:formatCode>General</c:formatCode>
                <c:ptCount val="331"/>
                <c:pt idx="0">
                  <c:v>3.021148036253776E-3</c:v>
                </c:pt>
                <c:pt idx="1">
                  <c:v>6.0422960725075529E-3</c:v>
                </c:pt>
                <c:pt idx="2">
                  <c:v>9.0634441087613302E-3</c:v>
                </c:pt>
                <c:pt idx="3">
                  <c:v>1.2084592145015109E-2</c:v>
                </c:pt>
                <c:pt idx="4">
                  <c:v>1.510574018126888E-2</c:v>
                </c:pt>
                <c:pt idx="5">
                  <c:v>1.812688821752266E-2</c:v>
                </c:pt>
                <c:pt idx="6">
                  <c:v>2.1148036253776439E-2</c:v>
                </c:pt>
                <c:pt idx="7">
                  <c:v>2.4169184290030211E-2</c:v>
                </c:pt>
                <c:pt idx="8">
                  <c:v>2.719033232628399E-2</c:v>
                </c:pt>
                <c:pt idx="9">
                  <c:v>3.021148036253777E-2</c:v>
                </c:pt>
                <c:pt idx="10">
                  <c:v>3.3232628398791542E-2</c:v>
                </c:pt>
                <c:pt idx="11">
                  <c:v>3.6253776435045321E-2</c:v>
                </c:pt>
                <c:pt idx="12">
                  <c:v>3.9274924471299093E-2</c:v>
                </c:pt>
                <c:pt idx="13">
                  <c:v>4.2296072507552872E-2</c:v>
                </c:pt>
                <c:pt idx="14">
                  <c:v>4.5317220543806637E-2</c:v>
                </c:pt>
                <c:pt idx="15">
                  <c:v>4.8338368580060423E-2</c:v>
                </c:pt>
                <c:pt idx="16">
                  <c:v>5.1359516616314202E-2</c:v>
                </c:pt>
                <c:pt idx="17">
                  <c:v>5.4380664652567967E-2</c:v>
                </c:pt>
                <c:pt idx="18">
                  <c:v>5.7401812688821753E-2</c:v>
                </c:pt>
                <c:pt idx="19">
                  <c:v>6.0422960725075532E-2</c:v>
                </c:pt>
                <c:pt idx="20">
                  <c:v>6.3444108761329304E-2</c:v>
                </c:pt>
                <c:pt idx="21">
                  <c:v>6.6465256797583083E-2</c:v>
                </c:pt>
                <c:pt idx="22">
                  <c:v>6.9486404833836862E-2</c:v>
                </c:pt>
                <c:pt idx="23">
                  <c:v>7.2507552870090641E-2</c:v>
                </c:pt>
                <c:pt idx="24">
                  <c:v>7.5528700906344406E-2</c:v>
                </c:pt>
                <c:pt idx="25">
                  <c:v>7.8549848942598186E-2</c:v>
                </c:pt>
                <c:pt idx="26">
                  <c:v>8.1570996978851965E-2</c:v>
                </c:pt>
                <c:pt idx="27">
                  <c:v>8.4592145015105744E-2</c:v>
                </c:pt>
                <c:pt idx="28">
                  <c:v>8.7613293051359523E-2</c:v>
                </c:pt>
                <c:pt idx="29">
                  <c:v>9.0634441087613288E-2</c:v>
                </c:pt>
                <c:pt idx="30">
                  <c:v>9.3655589123867067E-2</c:v>
                </c:pt>
                <c:pt idx="31">
                  <c:v>9.6676737160120846E-2</c:v>
                </c:pt>
                <c:pt idx="32">
                  <c:v>9.9697885196374625E-2</c:v>
                </c:pt>
                <c:pt idx="33">
                  <c:v>0.1027190332326284</c:v>
                </c:pt>
                <c:pt idx="34">
                  <c:v>0.1057401812688822</c:v>
                </c:pt>
                <c:pt idx="35">
                  <c:v>0.10876132930513591</c:v>
                </c:pt>
                <c:pt idx="36">
                  <c:v>0.1117824773413897</c:v>
                </c:pt>
                <c:pt idx="37">
                  <c:v>0.11480362537764351</c:v>
                </c:pt>
                <c:pt idx="38">
                  <c:v>0.1178247734138973</c:v>
                </c:pt>
                <c:pt idx="39">
                  <c:v>0.12084592145015111</c:v>
                </c:pt>
                <c:pt idx="40">
                  <c:v>0.1238670694864048</c:v>
                </c:pt>
                <c:pt idx="41">
                  <c:v>0.12688821752265861</c:v>
                </c:pt>
                <c:pt idx="42">
                  <c:v>0.12990936555891239</c:v>
                </c:pt>
                <c:pt idx="43">
                  <c:v>0.13293051359516619</c:v>
                </c:pt>
                <c:pt idx="44">
                  <c:v>0.13595166163141989</c:v>
                </c:pt>
                <c:pt idx="45">
                  <c:v>0.1389728096676737</c:v>
                </c:pt>
                <c:pt idx="46">
                  <c:v>0.1419939577039275</c:v>
                </c:pt>
                <c:pt idx="47">
                  <c:v>0.14501510574018131</c:v>
                </c:pt>
                <c:pt idx="48">
                  <c:v>0.14803625377643501</c:v>
                </c:pt>
                <c:pt idx="49">
                  <c:v>0.15105740181268881</c:v>
                </c:pt>
                <c:pt idx="50">
                  <c:v>0.15407854984894259</c:v>
                </c:pt>
                <c:pt idx="51">
                  <c:v>0.1570996978851964</c:v>
                </c:pt>
                <c:pt idx="52">
                  <c:v>0.16012084592145021</c:v>
                </c:pt>
                <c:pt idx="53">
                  <c:v>0.1631419939577039</c:v>
                </c:pt>
                <c:pt idx="54">
                  <c:v>0.16616314199395771</c:v>
                </c:pt>
                <c:pt idx="55">
                  <c:v>0.16918429003021149</c:v>
                </c:pt>
                <c:pt idx="56">
                  <c:v>0.17220543806646529</c:v>
                </c:pt>
                <c:pt idx="57">
                  <c:v>0.17522658610271899</c:v>
                </c:pt>
                <c:pt idx="58">
                  <c:v>0.1782477341389728</c:v>
                </c:pt>
                <c:pt idx="59">
                  <c:v>0.1812688821752266</c:v>
                </c:pt>
                <c:pt idx="60">
                  <c:v>0.18429003021148041</c:v>
                </c:pt>
                <c:pt idx="61">
                  <c:v>0.18731117824773411</c:v>
                </c:pt>
                <c:pt idx="62">
                  <c:v>0.19033232628398791</c:v>
                </c:pt>
                <c:pt idx="63">
                  <c:v>0.19335347432024169</c:v>
                </c:pt>
                <c:pt idx="64">
                  <c:v>0.1963746223564955</c:v>
                </c:pt>
                <c:pt idx="65">
                  <c:v>0.19939577039274919</c:v>
                </c:pt>
                <c:pt idx="66">
                  <c:v>0.202416918429003</c:v>
                </c:pt>
                <c:pt idx="67">
                  <c:v>0.20543806646525681</c:v>
                </c:pt>
                <c:pt idx="68">
                  <c:v>0.20845921450151059</c:v>
                </c:pt>
                <c:pt idx="69">
                  <c:v>0.21148036253776431</c:v>
                </c:pt>
                <c:pt idx="70">
                  <c:v>0.21450151057401809</c:v>
                </c:pt>
                <c:pt idx="71">
                  <c:v>0.2175226586102719</c:v>
                </c:pt>
                <c:pt idx="72">
                  <c:v>0.2205438066465257</c:v>
                </c:pt>
                <c:pt idx="73">
                  <c:v>0.22356495468277951</c:v>
                </c:pt>
                <c:pt idx="74">
                  <c:v>0.22658610271903321</c:v>
                </c:pt>
                <c:pt idx="75">
                  <c:v>0.22960725075528701</c:v>
                </c:pt>
                <c:pt idx="76">
                  <c:v>0.23262839879154079</c:v>
                </c:pt>
                <c:pt idx="77">
                  <c:v>0.2356495468277946</c:v>
                </c:pt>
                <c:pt idx="78">
                  <c:v>0.23867069486404829</c:v>
                </c:pt>
                <c:pt idx="79">
                  <c:v>0.2416918429003021</c:v>
                </c:pt>
                <c:pt idx="80">
                  <c:v>0.24471299093655591</c:v>
                </c:pt>
                <c:pt idx="81">
                  <c:v>0.24773413897280969</c:v>
                </c:pt>
                <c:pt idx="82">
                  <c:v>0.25075528700906352</c:v>
                </c:pt>
                <c:pt idx="83">
                  <c:v>0.25377643504531722</c:v>
                </c:pt>
                <c:pt idx="84">
                  <c:v>0.25679758308157102</c:v>
                </c:pt>
                <c:pt idx="85">
                  <c:v>0.25981873111782477</c:v>
                </c:pt>
                <c:pt idx="86">
                  <c:v>0.26283987915407853</c:v>
                </c:pt>
                <c:pt idx="87">
                  <c:v>0.26586102719033228</c:v>
                </c:pt>
                <c:pt idx="88">
                  <c:v>0.26888217522658608</c:v>
                </c:pt>
                <c:pt idx="89">
                  <c:v>0.27190332326283989</c:v>
                </c:pt>
                <c:pt idx="90">
                  <c:v>0.27492447129909359</c:v>
                </c:pt>
                <c:pt idx="91">
                  <c:v>0.27794561933534739</c:v>
                </c:pt>
                <c:pt idx="92">
                  <c:v>0.2809667673716012</c:v>
                </c:pt>
                <c:pt idx="93">
                  <c:v>0.28398791540785501</c:v>
                </c:pt>
                <c:pt idx="94">
                  <c:v>0.28700906344410881</c:v>
                </c:pt>
                <c:pt idx="95">
                  <c:v>0.29003021148036262</c:v>
                </c:pt>
                <c:pt idx="96">
                  <c:v>0.29305135951661632</c:v>
                </c:pt>
                <c:pt idx="97">
                  <c:v>0.29607250755287012</c:v>
                </c:pt>
                <c:pt idx="98">
                  <c:v>0.29909365558912387</c:v>
                </c:pt>
                <c:pt idx="99">
                  <c:v>0.30211480362537763</c:v>
                </c:pt>
                <c:pt idx="100">
                  <c:v>0.30513595166163138</c:v>
                </c:pt>
                <c:pt idx="101">
                  <c:v>0.30815709969788518</c:v>
                </c:pt>
                <c:pt idx="102">
                  <c:v>0.31117824773413899</c:v>
                </c:pt>
                <c:pt idx="103">
                  <c:v>0.31419939577039269</c:v>
                </c:pt>
                <c:pt idx="104">
                  <c:v>0.31722054380664649</c:v>
                </c:pt>
                <c:pt idx="105">
                  <c:v>0.3202416918429003</c:v>
                </c:pt>
                <c:pt idx="106">
                  <c:v>0.32326283987915411</c:v>
                </c:pt>
                <c:pt idx="107">
                  <c:v>0.32628398791540791</c:v>
                </c:pt>
                <c:pt idx="108">
                  <c:v>0.32930513595166161</c:v>
                </c:pt>
                <c:pt idx="109">
                  <c:v>0.33232628398791542</c:v>
                </c:pt>
                <c:pt idx="110">
                  <c:v>0.33534743202416922</c:v>
                </c:pt>
                <c:pt idx="111">
                  <c:v>0.33836858006042297</c:v>
                </c:pt>
                <c:pt idx="112">
                  <c:v>0.34138972809667673</c:v>
                </c:pt>
                <c:pt idx="113">
                  <c:v>0.34441087613293048</c:v>
                </c:pt>
                <c:pt idx="114">
                  <c:v>0.34743202416918428</c:v>
                </c:pt>
                <c:pt idx="115">
                  <c:v>0.35045317220543809</c:v>
                </c:pt>
                <c:pt idx="116">
                  <c:v>0.35347432024169179</c:v>
                </c:pt>
                <c:pt idx="117">
                  <c:v>0.35649546827794559</c:v>
                </c:pt>
                <c:pt idx="118">
                  <c:v>0.3595166163141994</c:v>
                </c:pt>
                <c:pt idx="119">
                  <c:v>0.36253776435045321</c:v>
                </c:pt>
                <c:pt idx="120">
                  <c:v>0.36555891238670701</c:v>
                </c:pt>
                <c:pt idx="121">
                  <c:v>0.36858006042296071</c:v>
                </c:pt>
                <c:pt idx="122">
                  <c:v>0.37160120845921452</c:v>
                </c:pt>
                <c:pt idx="123">
                  <c:v>0.37462235649546832</c:v>
                </c:pt>
                <c:pt idx="124">
                  <c:v>0.37764350453172207</c:v>
                </c:pt>
                <c:pt idx="125">
                  <c:v>0.38066465256797583</c:v>
                </c:pt>
                <c:pt idx="126">
                  <c:v>0.38368580060422958</c:v>
                </c:pt>
                <c:pt idx="127">
                  <c:v>0.38670694864048338</c:v>
                </c:pt>
                <c:pt idx="128">
                  <c:v>0.38972809667673708</c:v>
                </c:pt>
                <c:pt idx="129">
                  <c:v>0.39274924471299089</c:v>
                </c:pt>
                <c:pt idx="130">
                  <c:v>0.39577039274924469</c:v>
                </c:pt>
                <c:pt idx="131">
                  <c:v>0.3987915407854985</c:v>
                </c:pt>
                <c:pt idx="132">
                  <c:v>0.40181268882175231</c:v>
                </c:pt>
                <c:pt idx="133">
                  <c:v>0.40483383685800611</c:v>
                </c:pt>
                <c:pt idx="134">
                  <c:v>0.40785498489425981</c:v>
                </c:pt>
                <c:pt idx="135">
                  <c:v>0.41087613293051362</c:v>
                </c:pt>
                <c:pt idx="136">
                  <c:v>0.41389728096676742</c:v>
                </c:pt>
                <c:pt idx="137">
                  <c:v>0.41691842900302117</c:v>
                </c:pt>
                <c:pt idx="138">
                  <c:v>0.41993957703927492</c:v>
                </c:pt>
                <c:pt idx="139">
                  <c:v>0.42296072507552868</c:v>
                </c:pt>
                <c:pt idx="140">
                  <c:v>0.42598187311178248</c:v>
                </c:pt>
                <c:pt idx="141">
                  <c:v>0.42900302114803618</c:v>
                </c:pt>
                <c:pt idx="142">
                  <c:v>0.43202416918428999</c:v>
                </c:pt>
                <c:pt idx="143">
                  <c:v>0.43504531722054379</c:v>
                </c:pt>
                <c:pt idx="144">
                  <c:v>0.4380664652567976</c:v>
                </c:pt>
                <c:pt idx="145">
                  <c:v>0.44108761329305141</c:v>
                </c:pt>
                <c:pt idx="146">
                  <c:v>0.44410876132930521</c:v>
                </c:pt>
                <c:pt idx="147">
                  <c:v>0.44712990936555891</c:v>
                </c:pt>
                <c:pt idx="148">
                  <c:v>0.45015105740181272</c:v>
                </c:pt>
                <c:pt idx="149">
                  <c:v>0.45317220543806652</c:v>
                </c:pt>
                <c:pt idx="150">
                  <c:v>0.45619335347432022</c:v>
                </c:pt>
                <c:pt idx="151">
                  <c:v>0.45921450151057402</c:v>
                </c:pt>
                <c:pt idx="152">
                  <c:v>0.46223564954682778</c:v>
                </c:pt>
                <c:pt idx="153">
                  <c:v>0.46525679758308158</c:v>
                </c:pt>
                <c:pt idx="154">
                  <c:v>0.46827794561933528</c:v>
                </c:pt>
                <c:pt idx="155">
                  <c:v>0.47129909365558909</c:v>
                </c:pt>
                <c:pt idx="156">
                  <c:v>0.47432024169184289</c:v>
                </c:pt>
                <c:pt idx="157">
                  <c:v>0.4773413897280967</c:v>
                </c:pt>
                <c:pt idx="158">
                  <c:v>0.48036253776435051</c:v>
                </c:pt>
                <c:pt idx="159">
                  <c:v>0.48338368580060431</c:v>
                </c:pt>
                <c:pt idx="160">
                  <c:v>0.48640483383685801</c:v>
                </c:pt>
                <c:pt idx="161">
                  <c:v>0.48942598187311182</c:v>
                </c:pt>
                <c:pt idx="162">
                  <c:v>0.49244712990936562</c:v>
                </c:pt>
                <c:pt idx="163">
                  <c:v>0.49546827794561932</c:v>
                </c:pt>
                <c:pt idx="164">
                  <c:v>0.49848942598187312</c:v>
                </c:pt>
                <c:pt idx="165">
                  <c:v>0.50151057401812693</c:v>
                </c:pt>
                <c:pt idx="166">
                  <c:v>0.50453172205438068</c:v>
                </c:pt>
                <c:pt idx="167">
                  <c:v>0.50755287009063443</c:v>
                </c:pt>
                <c:pt idx="168">
                  <c:v>0.51057401812688818</c:v>
                </c:pt>
                <c:pt idx="169">
                  <c:v>0.51359516616314205</c:v>
                </c:pt>
                <c:pt idx="170">
                  <c:v>0.5166163141993958</c:v>
                </c:pt>
                <c:pt idx="171">
                  <c:v>0.51963746223564955</c:v>
                </c:pt>
                <c:pt idx="172">
                  <c:v>0.5226586102719033</c:v>
                </c:pt>
                <c:pt idx="173">
                  <c:v>0.52567975830815705</c:v>
                </c:pt>
                <c:pt idx="174">
                  <c:v>0.52870090634441091</c:v>
                </c:pt>
                <c:pt idx="175">
                  <c:v>0.53172205438066467</c:v>
                </c:pt>
                <c:pt idx="176">
                  <c:v>0.53474320241691842</c:v>
                </c:pt>
                <c:pt idx="177">
                  <c:v>0.53776435045317217</c:v>
                </c:pt>
                <c:pt idx="178">
                  <c:v>0.54078549848942603</c:v>
                </c:pt>
                <c:pt idx="179">
                  <c:v>0.54380664652567978</c:v>
                </c:pt>
                <c:pt idx="180">
                  <c:v>0.54682779456193353</c:v>
                </c:pt>
                <c:pt idx="181">
                  <c:v>0.54984894259818728</c:v>
                </c:pt>
                <c:pt idx="182">
                  <c:v>0.55287009063444104</c:v>
                </c:pt>
                <c:pt idx="183">
                  <c:v>0.5558912386706949</c:v>
                </c:pt>
                <c:pt idx="184">
                  <c:v>0.55891238670694865</c:v>
                </c:pt>
                <c:pt idx="185">
                  <c:v>0.5619335347432024</c:v>
                </c:pt>
                <c:pt idx="186">
                  <c:v>0.56495468277945615</c:v>
                </c:pt>
                <c:pt idx="187">
                  <c:v>0.56797583081571001</c:v>
                </c:pt>
                <c:pt idx="188">
                  <c:v>0.57099697885196377</c:v>
                </c:pt>
                <c:pt idx="189">
                  <c:v>0.57401812688821752</c:v>
                </c:pt>
                <c:pt idx="190">
                  <c:v>0.57703927492447127</c:v>
                </c:pt>
                <c:pt idx="191">
                  <c:v>0.58006042296072513</c:v>
                </c:pt>
                <c:pt idx="192">
                  <c:v>0.58308157099697888</c:v>
                </c:pt>
                <c:pt idx="193">
                  <c:v>0.58610271903323263</c:v>
                </c:pt>
                <c:pt idx="194">
                  <c:v>0.58912386706948638</c:v>
                </c:pt>
                <c:pt idx="195">
                  <c:v>0.59214501510574014</c:v>
                </c:pt>
                <c:pt idx="196">
                  <c:v>0.595166163141994</c:v>
                </c:pt>
                <c:pt idx="197">
                  <c:v>0.59818731117824775</c:v>
                </c:pt>
                <c:pt idx="198">
                  <c:v>0.6012084592145015</c:v>
                </c:pt>
                <c:pt idx="199">
                  <c:v>0.60422960725075525</c:v>
                </c:pt>
                <c:pt idx="200">
                  <c:v>0.60725075528700911</c:v>
                </c:pt>
                <c:pt idx="201">
                  <c:v>0.61027190332326287</c:v>
                </c:pt>
                <c:pt idx="202">
                  <c:v>0.61329305135951662</c:v>
                </c:pt>
                <c:pt idx="203">
                  <c:v>0.61631419939577037</c:v>
                </c:pt>
                <c:pt idx="204">
                  <c:v>0.61933534743202412</c:v>
                </c:pt>
                <c:pt idx="205">
                  <c:v>0.62235649546827798</c:v>
                </c:pt>
                <c:pt idx="206">
                  <c:v>0.62537764350453173</c:v>
                </c:pt>
                <c:pt idx="207">
                  <c:v>0.62839879154078548</c:v>
                </c:pt>
                <c:pt idx="208">
                  <c:v>0.63141993957703924</c:v>
                </c:pt>
                <c:pt idx="209">
                  <c:v>0.6344410876132931</c:v>
                </c:pt>
                <c:pt idx="210">
                  <c:v>0.63746223564954685</c:v>
                </c:pt>
                <c:pt idx="211">
                  <c:v>0.6404833836858006</c:v>
                </c:pt>
                <c:pt idx="212">
                  <c:v>0.64350453172205435</c:v>
                </c:pt>
                <c:pt idx="213">
                  <c:v>0.6465256797583081</c:v>
                </c:pt>
                <c:pt idx="214">
                  <c:v>0.64954682779456197</c:v>
                </c:pt>
                <c:pt idx="215">
                  <c:v>0.65256797583081572</c:v>
                </c:pt>
                <c:pt idx="216">
                  <c:v>0.65558912386706947</c:v>
                </c:pt>
                <c:pt idx="217">
                  <c:v>0.65861027190332322</c:v>
                </c:pt>
                <c:pt idx="218">
                  <c:v>0.66163141993957708</c:v>
                </c:pt>
                <c:pt idx="219">
                  <c:v>0.66465256797583083</c:v>
                </c:pt>
                <c:pt idx="220">
                  <c:v>0.66767371601208458</c:v>
                </c:pt>
                <c:pt idx="221">
                  <c:v>0.67069486404833834</c:v>
                </c:pt>
                <c:pt idx="222">
                  <c:v>0.6737160120845922</c:v>
                </c:pt>
                <c:pt idx="223">
                  <c:v>0.67673716012084595</c:v>
                </c:pt>
                <c:pt idx="224">
                  <c:v>0.6797583081570997</c:v>
                </c:pt>
                <c:pt idx="225">
                  <c:v>0.68277945619335345</c:v>
                </c:pt>
                <c:pt idx="226">
                  <c:v>0.6858006042296072</c:v>
                </c:pt>
                <c:pt idx="227">
                  <c:v>0.68882175226586106</c:v>
                </c:pt>
                <c:pt idx="228">
                  <c:v>0.69184290030211482</c:v>
                </c:pt>
                <c:pt idx="229">
                  <c:v>0.69486404833836857</c:v>
                </c:pt>
                <c:pt idx="230">
                  <c:v>0.69788519637462232</c:v>
                </c:pt>
                <c:pt idx="231">
                  <c:v>0.70090634441087618</c:v>
                </c:pt>
                <c:pt idx="232">
                  <c:v>0.70392749244712993</c:v>
                </c:pt>
                <c:pt idx="233">
                  <c:v>0.70694864048338368</c:v>
                </c:pt>
                <c:pt idx="234">
                  <c:v>0.70996978851963743</c:v>
                </c:pt>
                <c:pt idx="235">
                  <c:v>0.71299093655589119</c:v>
                </c:pt>
                <c:pt idx="236">
                  <c:v>0.71601208459214505</c:v>
                </c:pt>
                <c:pt idx="237">
                  <c:v>0.7190332326283988</c:v>
                </c:pt>
                <c:pt idx="238">
                  <c:v>0.72205438066465255</c:v>
                </c:pt>
                <c:pt idx="239">
                  <c:v>0.7250755287009063</c:v>
                </c:pt>
                <c:pt idx="240">
                  <c:v>0.72809667673716016</c:v>
                </c:pt>
                <c:pt idx="241">
                  <c:v>0.73111782477341392</c:v>
                </c:pt>
                <c:pt idx="242">
                  <c:v>0.73413897280966767</c:v>
                </c:pt>
                <c:pt idx="243">
                  <c:v>0.73716012084592142</c:v>
                </c:pt>
                <c:pt idx="244">
                  <c:v>0.74018126888217528</c:v>
                </c:pt>
                <c:pt idx="245">
                  <c:v>0.74320241691842903</c:v>
                </c:pt>
                <c:pt idx="246">
                  <c:v>0.74622356495468278</c:v>
                </c:pt>
                <c:pt idx="247">
                  <c:v>0.74924471299093653</c:v>
                </c:pt>
                <c:pt idx="248">
                  <c:v>0.75226586102719029</c:v>
                </c:pt>
                <c:pt idx="249">
                  <c:v>0.75528700906344415</c:v>
                </c:pt>
                <c:pt idx="250">
                  <c:v>0.7583081570996979</c:v>
                </c:pt>
                <c:pt idx="251">
                  <c:v>0.76132930513595165</c:v>
                </c:pt>
                <c:pt idx="252">
                  <c:v>0.7643504531722054</c:v>
                </c:pt>
                <c:pt idx="253">
                  <c:v>0.76737160120845926</c:v>
                </c:pt>
                <c:pt idx="254">
                  <c:v>0.77039274924471302</c:v>
                </c:pt>
                <c:pt idx="255">
                  <c:v>0.77341389728096677</c:v>
                </c:pt>
                <c:pt idx="256">
                  <c:v>0.77643504531722052</c:v>
                </c:pt>
                <c:pt idx="257">
                  <c:v>0.77945619335347427</c:v>
                </c:pt>
                <c:pt idx="258">
                  <c:v>0.78247734138972813</c:v>
                </c:pt>
                <c:pt idx="259">
                  <c:v>0.78549848942598188</c:v>
                </c:pt>
                <c:pt idx="260">
                  <c:v>0.78851963746223563</c:v>
                </c:pt>
                <c:pt idx="261">
                  <c:v>0.79154078549848939</c:v>
                </c:pt>
                <c:pt idx="262">
                  <c:v>0.79456193353474325</c:v>
                </c:pt>
                <c:pt idx="263">
                  <c:v>0.797583081570997</c:v>
                </c:pt>
                <c:pt idx="264">
                  <c:v>0.80060422960725075</c:v>
                </c:pt>
                <c:pt idx="265">
                  <c:v>0.8036253776435045</c:v>
                </c:pt>
                <c:pt idx="266">
                  <c:v>0.80664652567975825</c:v>
                </c:pt>
                <c:pt idx="267">
                  <c:v>0.80966767371601212</c:v>
                </c:pt>
                <c:pt idx="268">
                  <c:v>0.81268882175226587</c:v>
                </c:pt>
                <c:pt idx="269">
                  <c:v>0.81570996978851962</c:v>
                </c:pt>
                <c:pt idx="270">
                  <c:v>0.81873111782477337</c:v>
                </c:pt>
                <c:pt idx="271">
                  <c:v>0.82175226586102723</c:v>
                </c:pt>
                <c:pt idx="272">
                  <c:v>0.82477341389728098</c:v>
                </c:pt>
                <c:pt idx="273">
                  <c:v>0.82779456193353473</c:v>
                </c:pt>
                <c:pt idx="274">
                  <c:v>0.83081570996978849</c:v>
                </c:pt>
                <c:pt idx="275">
                  <c:v>0.83383685800604235</c:v>
                </c:pt>
                <c:pt idx="276">
                  <c:v>0.8368580060422961</c:v>
                </c:pt>
                <c:pt idx="277">
                  <c:v>0.83987915407854985</c:v>
                </c:pt>
                <c:pt idx="278">
                  <c:v>0.8429003021148036</c:v>
                </c:pt>
                <c:pt idx="279">
                  <c:v>0.84592145015105735</c:v>
                </c:pt>
                <c:pt idx="280">
                  <c:v>0.84894259818731121</c:v>
                </c:pt>
                <c:pt idx="281">
                  <c:v>0.85196374622356497</c:v>
                </c:pt>
                <c:pt idx="282">
                  <c:v>0.85498489425981872</c:v>
                </c:pt>
                <c:pt idx="283">
                  <c:v>0.85800604229607247</c:v>
                </c:pt>
                <c:pt idx="284">
                  <c:v>0.86102719033232633</c:v>
                </c:pt>
                <c:pt idx="285">
                  <c:v>0.86404833836858008</c:v>
                </c:pt>
                <c:pt idx="286">
                  <c:v>0.86706948640483383</c:v>
                </c:pt>
                <c:pt idx="287">
                  <c:v>0.87009063444108758</c:v>
                </c:pt>
                <c:pt idx="288">
                  <c:v>0.87311178247734134</c:v>
                </c:pt>
                <c:pt idx="289">
                  <c:v>0.8761329305135952</c:v>
                </c:pt>
                <c:pt idx="290">
                  <c:v>0.87915407854984895</c:v>
                </c:pt>
                <c:pt idx="291">
                  <c:v>0.8821752265861027</c:v>
                </c:pt>
                <c:pt idx="292">
                  <c:v>0.88519637462235645</c:v>
                </c:pt>
                <c:pt idx="293">
                  <c:v>0.88821752265861031</c:v>
                </c:pt>
                <c:pt idx="294">
                  <c:v>0.89123867069486407</c:v>
                </c:pt>
                <c:pt idx="295">
                  <c:v>0.89425981873111782</c:v>
                </c:pt>
                <c:pt idx="296">
                  <c:v>0.89728096676737157</c:v>
                </c:pt>
                <c:pt idx="297">
                  <c:v>0.90030211480362543</c:v>
                </c:pt>
                <c:pt idx="298">
                  <c:v>0.90332326283987918</c:v>
                </c:pt>
                <c:pt idx="299">
                  <c:v>0.90634441087613293</c:v>
                </c:pt>
                <c:pt idx="300">
                  <c:v>0.90936555891238668</c:v>
                </c:pt>
                <c:pt idx="301">
                  <c:v>0.91238670694864044</c:v>
                </c:pt>
                <c:pt idx="302">
                  <c:v>0.9154078549848943</c:v>
                </c:pt>
                <c:pt idx="303">
                  <c:v>0.91842900302114805</c:v>
                </c:pt>
                <c:pt idx="304">
                  <c:v>0.9214501510574018</c:v>
                </c:pt>
                <c:pt idx="305">
                  <c:v>0.92447129909365555</c:v>
                </c:pt>
                <c:pt idx="306">
                  <c:v>0.92749244712990941</c:v>
                </c:pt>
                <c:pt idx="307">
                  <c:v>0.93051359516616317</c:v>
                </c:pt>
                <c:pt idx="308">
                  <c:v>0.93353474320241692</c:v>
                </c:pt>
                <c:pt idx="309">
                  <c:v>0.93655589123867067</c:v>
                </c:pt>
                <c:pt idx="310">
                  <c:v>0.93957703927492442</c:v>
                </c:pt>
                <c:pt idx="311">
                  <c:v>0.94259818731117828</c:v>
                </c:pt>
                <c:pt idx="312">
                  <c:v>0.94561933534743203</c:v>
                </c:pt>
                <c:pt idx="313">
                  <c:v>0.94864048338368578</c:v>
                </c:pt>
                <c:pt idx="314">
                  <c:v>0.95166163141993954</c:v>
                </c:pt>
                <c:pt idx="315">
                  <c:v>0.9546827794561934</c:v>
                </c:pt>
                <c:pt idx="316">
                  <c:v>0.95770392749244715</c:v>
                </c:pt>
                <c:pt idx="317">
                  <c:v>0.9607250755287009</c:v>
                </c:pt>
                <c:pt idx="318">
                  <c:v>0.96374622356495465</c:v>
                </c:pt>
                <c:pt idx="319">
                  <c:v>0.96676737160120851</c:v>
                </c:pt>
                <c:pt idx="320">
                  <c:v>0.96978851963746227</c:v>
                </c:pt>
                <c:pt idx="321">
                  <c:v>0.97280966767371602</c:v>
                </c:pt>
                <c:pt idx="322">
                  <c:v>0.97583081570996977</c:v>
                </c:pt>
                <c:pt idx="323">
                  <c:v>0.97885196374622352</c:v>
                </c:pt>
                <c:pt idx="324">
                  <c:v>0.98187311178247738</c:v>
                </c:pt>
                <c:pt idx="325">
                  <c:v>0.98489425981873113</c:v>
                </c:pt>
                <c:pt idx="326">
                  <c:v>0.98791540785498488</c:v>
                </c:pt>
                <c:pt idx="327">
                  <c:v>0.99093655589123864</c:v>
                </c:pt>
                <c:pt idx="328">
                  <c:v>0.9939577039274925</c:v>
                </c:pt>
                <c:pt idx="329">
                  <c:v>0.99697885196374625</c:v>
                </c:pt>
                <c:pt idx="3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11-41DA-8B31-9E4586D17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5000000000000007"/>
          <c:min val="0.70000000000000007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5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F(x)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El 90 % de los KALINA tiene razón de presiones entre 1.7 y 5.3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83)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Aux_graficos!$HF$2:$HF$84</c:f>
              <c:numCache>
                <c:formatCode>General</c:formatCode>
                <c:ptCount val="83"/>
                <c:pt idx="0">
                  <c:v>4011.0372940846132</c:v>
                </c:pt>
                <c:pt idx="1">
                  <c:v>2967.685564843559</c:v>
                </c:pt>
                <c:pt idx="2">
                  <c:v>3682.6179643924288</c:v>
                </c:pt>
                <c:pt idx="3">
                  <c:v>3558.4432046992929</c:v>
                </c:pt>
                <c:pt idx="4">
                  <c:v>4841.7770826055921</c:v>
                </c:pt>
                <c:pt idx="5">
                  <c:v>4160.6852918196446</c:v>
                </c:pt>
                <c:pt idx="6">
                  <c:v>3732.0690323904792</c:v>
                </c:pt>
                <c:pt idx="7">
                  <c:v>3160.356416844596</c:v>
                </c:pt>
                <c:pt idx="8">
                  <c:v>2867.3077316380732</c:v>
                </c:pt>
                <c:pt idx="9">
                  <c:v>2017.4898535705829</c:v>
                </c:pt>
                <c:pt idx="10">
                  <c:v>4398.7095789565983</c:v>
                </c:pt>
                <c:pt idx="11">
                  <c:v>3723.2852900100111</c:v>
                </c:pt>
                <c:pt idx="12">
                  <c:v>3429.232588331723</c:v>
                </c:pt>
                <c:pt idx="13">
                  <c:v>4148.9677855173231</c:v>
                </c:pt>
                <c:pt idx="14">
                  <c:v>4908.5147002447429</c:v>
                </c:pt>
                <c:pt idx="15">
                  <c:v>3915.7974149588808</c:v>
                </c:pt>
                <c:pt idx="16">
                  <c:v>3672.889560886802</c:v>
                </c:pt>
                <c:pt idx="17">
                  <c:v>2155.0565788625609</c:v>
                </c:pt>
                <c:pt idx="18">
                  <c:v>4111.4915617105562</c:v>
                </c:pt>
                <c:pt idx="19">
                  <c:v>2583.2439378012932</c:v>
                </c:pt>
                <c:pt idx="20">
                  <c:v>4960.8916703962677</c:v>
                </c:pt>
                <c:pt idx="21">
                  <c:v>2032.2164942189361</c:v>
                </c:pt>
                <c:pt idx="22">
                  <c:v>3500.262718794284</c:v>
                </c:pt>
                <c:pt idx="23">
                  <c:v>4127.8924198258019</c:v>
                </c:pt>
                <c:pt idx="24">
                  <c:v>2438.757091722845</c:v>
                </c:pt>
                <c:pt idx="25">
                  <c:v>3778.7143996429581</c:v>
                </c:pt>
                <c:pt idx="26">
                  <c:v>3478.2171267138501</c:v>
                </c:pt>
                <c:pt idx="27">
                  <c:v>4910.206466736995</c:v>
                </c:pt>
                <c:pt idx="28">
                  <c:v>3648.122848450414</c:v>
                </c:pt>
                <c:pt idx="29">
                  <c:v>4264.2593142801079</c:v>
                </c:pt>
                <c:pt idx="30">
                  <c:v>2604.9446364231212</c:v>
                </c:pt>
                <c:pt idx="31">
                  <c:v>2139.236516373478</c:v>
                </c:pt>
                <c:pt idx="32">
                  <c:v>4734.3608776930996</c:v>
                </c:pt>
                <c:pt idx="33">
                  <c:v>3353.2346775751012</c:v>
                </c:pt>
                <c:pt idx="34">
                  <c:v>3635.642214756188</c:v>
                </c:pt>
                <c:pt idx="35">
                  <c:v>3985.9676927566779</c:v>
                </c:pt>
                <c:pt idx="36">
                  <c:v>4312.3096074069481</c:v>
                </c:pt>
                <c:pt idx="37">
                  <c:v>3272.744306362581</c:v>
                </c:pt>
                <c:pt idx="38">
                  <c:v>4500.9321557625108</c:v>
                </c:pt>
                <c:pt idx="39">
                  <c:v>4302.3690237305091</c:v>
                </c:pt>
                <c:pt idx="40">
                  <c:v>3262.8767695283041</c:v>
                </c:pt>
                <c:pt idx="41">
                  <c:v>3175.483333911347</c:v>
                </c:pt>
                <c:pt idx="42">
                  <c:v>2563.3423125394911</c:v>
                </c:pt>
                <c:pt idx="43">
                  <c:v>4702.2301842719844</c:v>
                </c:pt>
                <c:pt idx="44">
                  <c:v>3327.7722388455691</c:v>
                </c:pt>
                <c:pt idx="45">
                  <c:v>4588.9170367828992</c:v>
                </c:pt>
                <c:pt idx="46">
                  <c:v>3491.4291474903262</c:v>
                </c:pt>
                <c:pt idx="47">
                  <c:v>2761.6869955712159</c:v>
                </c:pt>
                <c:pt idx="48">
                  <c:v>2005.3950733036199</c:v>
                </c:pt>
                <c:pt idx="49">
                  <c:v>2422.6693076928009</c:v>
                </c:pt>
                <c:pt idx="50">
                  <c:v>4359.3132392455918</c:v>
                </c:pt>
                <c:pt idx="51">
                  <c:v>2219.0482717092532</c:v>
                </c:pt>
                <c:pt idx="52">
                  <c:v>2291.415835900696</c:v>
                </c:pt>
                <c:pt idx="53">
                  <c:v>3481.8230245237678</c:v>
                </c:pt>
                <c:pt idx="54">
                  <c:v>4890.757585739927</c:v>
                </c:pt>
                <c:pt idx="55">
                  <c:v>4950.9740899708704</c:v>
                </c:pt>
                <c:pt idx="56">
                  <c:v>3396.524525340546</c:v>
                </c:pt>
                <c:pt idx="57">
                  <c:v>2352.4545851847129</c:v>
                </c:pt>
                <c:pt idx="58">
                  <c:v>4652.4576927725238</c:v>
                </c:pt>
                <c:pt idx="59">
                  <c:v>3779.9243740040329</c:v>
                </c:pt>
                <c:pt idx="60">
                  <c:v>4675.274719834546</c:v>
                </c:pt>
                <c:pt idx="61">
                  <c:v>4312.986811198436</c:v>
                </c:pt>
                <c:pt idx="62">
                  <c:v>3203.7064805170362</c:v>
                </c:pt>
                <c:pt idx="63">
                  <c:v>3382.467325858066</c:v>
                </c:pt>
                <c:pt idx="64">
                  <c:v>4811.745787712287</c:v>
                </c:pt>
                <c:pt idx="65">
                  <c:v>3285.1841476987302</c:v>
                </c:pt>
                <c:pt idx="66">
                  <c:v>3689.0076642334939</c:v>
                </c:pt>
                <c:pt idx="67">
                  <c:v>3951.2047204010209</c:v>
                </c:pt>
                <c:pt idx="68">
                  <c:v>2605.8238290022982</c:v>
                </c:pt>
                <c:pt idx="69">
                  <c:v>4339.7806157081459</c:v>
                </c:pt>
                <c:pt idx="70">
                  <c:v>3253.987855848156</c:v>
                </c:pt>
                <c:pt idx="71">
                  <c:v>4257.2600654761709</c:v>
                </c:pt>
                <c:pt idx="72">
                  <c:v>4944.96732500092</c:v>
                </c:pt>
                <c:pt idx="73">
                  <c:v>2844.5887866886478</c:v>
                </c:pt>
                <c:pt idx="74">
                  <c:v>3001.0147499036138</c:v>
                </c:pt>
                <c:pt idx="75">
                  <c:v>2688.4873424370239</c:v>
                </c:pt>
                <c:pt idx="76">
                  <c:v>2547.8802072856461</c:v>
                </c:pt>
                <c:pt idx="77">
                  <c:v>2488.805528706217</c:v>
                </c:pt>
                <c:pt idx="78">
                  <c:v>3547.1506419983548</c:v>
                </c:pt>
                <c:pt idx="79">
                  <c:v>3416.9200649321838</c:v>
                </c:pt>
                <c:pt idx="80">
                  <c:v>4618.0054234464169</c:v>
                </c:pt>
                <c:pt idx="81">
                  <c:v>2921.798925985498</c:v>
                </c:pt>
                <c:pt idx="82">
                  <c:v>3718.573104357165</c:v>
                </c:pt>
              </c:numCache>
            </c:numRef>
          </c:xVal>
          <c:yVal>
            <c:numRef>
              <c:f>Aux_graficos!$HE$2:$HE$84</c:f>
              <c:numCache>
                <c:formatCode>General</c:formatCode>
                <c:ptCount val="83"/>
                <c:pt idx="0">
                  <c:v>1460.7125851451451</c:v>
                </c:pt>
                <c:pt idx="1">
                  <c:v>885.59006331456192</c:v>
                </c:pt>
                <c:pt idx="2">
                  <c:v>1434.311362270726</c:v>
                </c:pt>
                <c:pt idx="3">
                  <c:v>668.3467653773705</c:v>
                </c:pt>
                <c:pt idx="4">
                  <c:v>1106.6535202822031</c:v>
                </c:pt>
                <c:pt idx="5">
                  <c:v>1168.545778067049</c:v>
                </c:pt>
                <c:pt idx="6">
                  <c:v>858.71851834016627</c:v>
                </c:pt>
                <c:pt idx="7">
                  <c:v>930.49414987767796</c:v>
                </c:pt>
                <c:pt idx="8">
                  <c:v>683.16533660242283</c:v>
                </c:pt>
                <c:pt idx="9">
                  <c:v>1032.6542947214091</c:v>
                </c:pt>
                <c:pt idx="10">
                  <c:v>634.29698301898202</c:v>
                </c:pt>
                <c:pt idx="11">
                  <c:v>1030.303377686404</c:v>
                </c:pt>
                <c:pt idx="12">
                  <c:v>1190.441137421511</c:v>
                </c:pt>
                <c:pt idx="13">
                  <c:v>1026.5199091775389</c:v>
                </c:pt>
                <c:pt idx="14">
                  <c:v>1268.657707014368</c:v>
                </c:pt>
                <c:pt idx="15">
                  <c:v>1047.0921937041351</c:v>
                </c:pt>
                <c:pt idx="16">
                  <c:v>1143.9190762883941</c:v>
                </c:pt>
                <c:pt idx="17">
                  <c:v>1187.0294111923299</c:v>
                </c:pt>
                <c:pt idx="18">
                  <c:v>1493.200032708748</c:v>
                </c:pt>
                <c:pt idx="19">
                  <c:v>1235.270961844453</c:v>
                </c:pt>
                <c:pt idx="20">
                  <c:v>1384.324537102322</c:v>
                </c:pt>
                <c:pt idx="21">
                  <c:v>912.8142076572916</c:v>
                </c:pt>
                <c:pt idx="22">
                  <c:v>1263.6062808013539</c:v>
                </c:pt>
                <c:pt idx="23">
                  <c:v>882.80640309614409</c:v>
                </c:pt>
                <c:pt idx="24">
                  <c:v>1459.363534615464</c:v>
                </c:pt>
                <c:pt idx="25">
                  <c:v>1057.1053586906589</c:v>
                </c:pt>
                <c:pt idx="26">
                  <c:v>935.60334638726977</c:v>
                </c:pt>
                <c:pt idx="27">
                  <c:v>1139.94078496408</c:v>
                </c:pt>
                <c:pt idx="28">
                  <c:v>1303.645408011819</c:v>
                </c:pt>
                <c:pt idx="29">
                  <c:v>1277.817032372805</c:v>
                </c:pt>
                <c:pt idx="30">
                  <c:v>1241.446773162118</c:v>
                </c:pt>
                <c:pt idx="31">
                  <c:v>1322.5478820211731</c:v>
                </c:pt>
                <c:pt idx="32">
                  <c:v>1016.729934867299</c:v>
                </c:pt>
                <c:pt idx="33">
                  <c:v>1224.9496971742749</c:v>
                </c:pt>
                <c:pt idx="34">
                  <c:v>1074.270243330533</c:v>
                </c:pt>
                <c:pt idx="35">
                  <c:v>946.08833318626057</c:v>
                </c:pt>
                <c:pt idx="36">
                  <c:v>691.77340073409539</c:v>
                </c:pt>
                <c:pt idx="37">
                  <c:v>1274.8935478485951</c:v>
                </c:pt>
                <c:pt idx="38">
                  <c:v>715.19849393561185</c:v>
                </c:pt>
                <c:pt idx="39">
                  <c:v>1037.5588806167009</c:v>
                </c:pt>
                <c:pt idx="40">
                  <c:v>1336.435912200403</c:v>
                </c:pt>
                <c:pt idx="41">
                  <c:v>1200.548312920992</c:v>
                </c:pt>
                <c:pt idx="42">
                  <c:v>1440.710131756108</c:v>
                </c:pt>
                <c:pt idx="43">
                  <c:v>1464.8674451240281</c:v>
                </c:pt>
                <c:pt idx="44">
                  <c:v>1205.063074717169</c:v>
                </c:pt>
                <c:pt idx="45">
                  <c:v>976.81384720259041</c:v>
                </c:pt>
                <c:pt idx="46">
                  <c:v>1122.4565306097729</c:v>
                </c:pt>
                <c:pt idx="47">
                  <c:v>709.6704518480492</c:v>
                </c:pt>
                <c:pt idx="48">
                  <c:v>1295.157266668871</c:v>
                </c:pt>
                <c:pt idx="49">
                  <c:v>1218.7801970745261</c:v>
                </c:pt>
                <c:pt idx="50">
                  <c:v>1425.5349156944339</c:v>
                </c:pt>
                <c:pt idx="51">
                  <c:v>1316.0522888974849</c:v>
                </c:pt>
                <c:pt idx="52">
                  <c:v>1253.662661973812</c:v>
                </c:pt>
                <c:pt idx="53">
                  <c:v>808.34025773909616</c:v>
                </c:pt>
                <c:pt idx="54">
                  <c:v>834.16565567747534</c:v>
                </c:pt>
                <c:pt idx="55">
                  <c:v>1307.586825936962</c:v>
                </c:pt>
                <c:pt idx="56">
                  <c:v>775.80218347083269</c:v>
                </c:pt>
                <c:pt idx="57">
                  <c:v>1380.5462686491071</c:v>
                </c:pt>
                <c:pt idx="58">
                  <c:v>1112.70454033647</c:v>
                </c:pt>
                <c:pt idx="59">
                  <c:v>1467.2205222666009</c:v>
                </c:pt>
                <c:pt idx="60">
                  <c:v>558.16470135396094</c:v>
                </c:pt>
                <c:pt idx="61">
                  <c:v>873.42530629934674</c:v>
                </c:pt>
                <c:pt idx="62">
                  <c:v>1219.5925573944701</c:v>
                </c:pt>
                <c:pt idx="63">
                  <c:v>1326.8056002018291</c:v>
                </c:pt>
                <c:pt idx="64">
                  <c:v>1159.6272852179691</c:v>
                </c:pt>
                <c:pt idx="65">
                  <c:v>1416.577729466989</c:v>
                </c:pt>
                <c:pt idx="66">
                  <c:v>1471.050689542086</c:v>
                </c:pt>
                <c:pt idx="67">
                  <c:v>1054.1597165565561</c:v>
                </c:pt>
                <c:pt idx="68">
                  <c:v>1106.3390206251161</c:v>
                </c:pt>
                <c:pt idx="69">
                  <c:v>812.78154242868038</c:v>
                </c:pt>
                <c:pt idx="70">
                  <c:v>681.06848800431487</c:v>
                </c:pt>
                <c:pt idx="71">
                  <c:v>1490.2004929419361</c:v>
                </c:pt>
                <c:pt idx="72">
                  <c:v>1267.6822819708709</c:v>
                </c:pt>
                <c:pt idx="73">
                  <c:v>952.44158003742996</c:v>
                </c:pt>
                <c:pt idx="74">
                  <c:v>858.32769409496518</c:v>
                </c:pt>
                <c:pt idx="75">
                  <c:v>1304.5435172953751</c:v>
                </c:pt>
                <c:pt idx="76">
                  <c:v>1152.816198561386</c:v>
                </c:pt>
                <c:pt idx="77">
                  <c:v>1074.925149433288</c:v>
                </c:pt>
                <c:pt idx="78">
                  <c:v>546.97167496593806</c:v>
                </c:pt>
                <c:pt idx="79">
                  <c:v>1245.2287267604811</c:v>
                </c:pt>
                <c:pt idx="80">
                  <c:v>1275.004073771255</c:v>
                </c:pt>
                <c:pt idx="81">
                  <c:v>1142.2956162766111</c:v>
                </c:pt>
                <c:pt idx="82">
                  <c:v>1438.218115492034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7E-4B37-90CE-C7DCD33F48EF}"/>
            </c:ext>
          </c:extLst>
        </c:ser>
        <c:ser>
          <c:idx val="1"/>
          <c:order val="1"/>
          <c:tx>
            <c:v>KALINA, fuera de rango (n = 38)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Aux_graficos!$HH$2:$HH$39</c:f>
              <c:numCache>
                <c:formatCode>General</c:formatCode>
                <c:ptCount val="38"/>
                <c:pt idx="0">
                  <c:v>2367.2023772947241</c:v>
                </c:pt>
                <c:pt idx="1">
                  <c:v>3600.2437005479292</c:v>
                </c:pt>
                <c:pt idx="2">
                  <c:v>3704.873890662413</c:v>
                </c:pt>
                <c:pt idx="3">
                  <c:v>3850.0014830623049</c:v>
                </c:pt>
                <c:pt idx="4">
                  <c:v>4594.5598944577014</c:v>
                </c:pt>
                <c:pt idx="5">
                  <c:v>2262.4701685262412</c:v>
                </c:pt>
                <c:pt idx="6">
                  <c:v>3349.66301260008</c:v>
                </c:pt>
                <c:pt idx="7">
                  <c:v>4615.2470220835476</c:v>
                </c:pt>
                <c:pt idx="8">
                  <c:v>3961.4129565340641</c:v>
                </c:pt>
                <c:pt idx="9">
                  <c:v>4835.6491750485166</c:v>
                </c:pt>
                <c:pt idx="10">
                  <c:v>3213.4260138138861</c:v>
                </c:pt>
                <c:pt idx="11">
                  <c:v>3942.2269758253569</c:v>
                </c:pt>
                <c:pt idx="12">
                  <c:v>4493.2266060725988</c:v>
                </c:pt>
                <c:pt idx="13">
                  <c:v>4178.30434766902</c:v>
                </c:pt>
                <c:pt idx="14">
                  <c:v>2230.392431952534</c:v>
                </c:pt>
                <c:pt idx="15">
                  <c:v>2646.096710846009</c:v>
                </c:pt>
                <c:pt idx="16">
                  <c:v>2548.097371659946</c:v>
                </c:pt>
                <c:pt idx="17">
                  <c:v>3761.2952052735659</c:v>
                </c:pt>
                <c:pt idx="18">
                  <c:v>2280.9971422651902</c:v>
                </c:pt>
                <c:pt idx="19">
                  <c:v>2155.6888499665752</c:v>
                </c:pt>
                <c:pt idx="20">
                  <c:v>4350.4097696055296</c:v>
                </c:pt>
                <c:pt idx="21">
                  <c:v>4035.5920742289659</c:v>
                </c:pt>
                <c:pt idx="22">
                  <c:v>3696.6578552480169</c:v>
                </c:pt>
                <c:pt idx="23">
                  <c:v>2949.653534082217</c:v>
                </c:pt>
                <c:pt idx="24">
                  <c:v>4778.0368504880844</c:v>
                </c:pt>
                <c:pt idx="25">
                  <c:v>4176.4753959289592</c:v>
                </c:pt>
                <c:pt idx="26">
                  <c:v>3473.563613239317</c:v>
                </c:pt>
                <c:pt idx="27">
                  <c:v>2815.7803137651981</c:v>
                </c:pt>
                <c:pt idx="28">
                  <c:v>2521.2615369554428</c:v>
                </c:pt>
                <c:pt idx="29">
                  <c:v>3808.8273171485462</c:v>
                </c:pt>
                <c:pt idx="30">
                  <c:v>2435.1929066201642</c:v>
                </c:pt>
                <c:pt idx="31">
                  <c:v>3571.4072979150992</c:v>
                </c:pt>
                <c:pt idx="32">
                  <c:v>2046.947027378186</c:v>
                </c:pt>
                <c:pt idx="33">
                  <c:v>3834.1736730354978</c:v>
                </c:pt>
                <c:pt idx="34">
                  <c:v>3876.8409309189051</c:v>
                </c:pt>
                <c:pt idx="35">
                  <c:v>3199.6845467170469</c:v>
                </c:pt>
                <c:pt idx="36">
                  <c:v>3539.5313497682992</c:v>
                </c:pt>
                <c:pt idx="37">
                  <c:v>3514.4151254074941</c:v>
                </c:pt>
              </c:numCache>
            </c:numRef>
          </c:xVal>
          <c:yVal>
            <c:numRef>
              <c:f>Aux_graficos!$HG$2:$HG$39</c:f>
              <c:numCache>
                <c:formatCode>General</c:formatCode>
                <c:ptCount val="38"/>
                <c:pt idx="0">
                  <c:v>1372.2307387663011</c:v>
                </c:pt>
                <c:pt idx="1">
                  <c:v>1228.609862350464</c:v>
                </c:pt>
                <c:pt idx="2">
                  <c:v>920.14145857205085</c:v>
                </c:pt>
                <c:pt idx="3">
                  <c:v>1479.809375298441</c:v>
                </c:pt>
                <c:pt idx="4">
                  <c:v>1315.7871292156799</c:v>
                </c:pt>
                <c:pt idx="5">
                  <c:v>1454.83498234847</c:v>
                </c:pt>
                <c:pt idx="6">
                  <c:v>1354.066158881679</c:v>
                </c:pt>
                <c:pt idx="7">
                  <c:v>1406.8932144172011</c:v>
                </c:pt>
                <c:pt idx="8">
                  <c:v>889.99628330024234</c:v>
                </c:pt>
                <c:pt idx="9">
                  <c:v>1403.6587964200589</c:v>
                </c:pt>
                <c:pt idx="10">
                  <c:v>607.32915360145648</c:v>
                </c:pt>
                <c:pt idx="11">
                  <c:v>1239.9385188619869</c:v>
                </c:pt>
                <c:pt idx="12">
                  <c:v>983.01720182054078</c:v>
                </c:pt>
                <c:pt idx="13">
                  <c:v>1182.62103642894</c:v>
                </c:pt>
                <c:pt idx="14">
                  <c:v>1325.645944743025</c:v>
                </c:pt>
                <c:pt idx="15">
                  <c:v>805.10400139102603</c:v>
                </c:pt>
                <c:pt idx="16">
                  <c:v>1110.860657709698</c:v>
                </c:pt>
                <c:pt idx="17">
                  <c:v>1134.585646055689</c:v>
                </c:pt>
                <c:pt idx="18">
                  <c:v>1194.3069859311011</c:v>
                </c:pt>
                <c:pt idx="19">
                  <c:v>918.04113005762099</c:v>
                </c:pt>
                <c:pt idx="20">
                  <c:v>1317.2084607469169</c:v>
                </c:pt>
                <c:pt idx="21">
                  <c:v>1453.6943084220011</c:v>
                </c:pt>
                <c:pt idx="22">
                  <c:v>1229.3347696241351</c:v>
                </c:pt>
                <c:pt idx="23">
                  <c:v>983.21752216010361</c:v>
                </c:pt>
                <c:pt idx="24">
                  <c:v>1451.6235933969581</c:v>
                </c:pt>
                <c:pt idx="25">
                  <c:v>1358.986474025779</c:v>
                </c:pt>
                <c:pt idx="26">
                  <c:v>1403.895909483831</c:v>
                </c:pt>
                <c:pt idx="27">
                  <c:v>1090.2461419681731</c:v>
                </c:pt>
                <c:pt idx="28">
                  <c:v>1004.773189877077</c:v>
                </c:pt>
                <c:pt idx="29">
                  <c:v>1426.6337525685531</c:v>
                </c:pt>
                <c:pt idx="30">
                  <c:v>1049.983715480241</c:v>
                </c:pt>
                <c:pt idx="31">
                  <c:v>688.24423852165376</c:v>
                </c:pt>
                <c:pt idx="32">
                  <c:v>1280.658961349689</c:v>
                </c:pt>
                <c:pt idx="33">
                  <c:v>1150.635832573309</c:v>
                </c:pt>
                <c:pt idx="34">
                  <c:v>1413.172395788022</c:v>
                </c:pt>
                <c:pt idx="35">
                  <c:v>769.12351004287825</c:v>
                </c:pt>
                <c:pt idx="36">
                  <c:v>1184.909450503314</c:v>
                </c:pt>
                <c:pt idx="37">
                  <c:v>936.88135157308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7E-4B37-90CE-C7DCD33F48EF}"/>
            </c:ext>
          </c:extLst>
        </c:ser>
        <c:ser>
          <c:idx val="2"/>
          <c:order val="2"/>
          <c:tx>
            <c:v>Corregible (n = 132)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Aux_graficos!$HJ$2:$HJ$133</c:f>
              <c:numCache>
                <c:formatCode>General</c:formatCode>
                <c:ptCount val="132"/>
                <c:pt idx="0">
                  <c:v>3659.8997462232151</c:v>
                </c:pt>
                <c:pt idx="1">
                  <c:v>2317.767297101228</c:v>
                </c:pt>
                <c:pt idx="2">
                  <c:v>4074.3852917683948</c:v>
                </c:pt>
                <c:pt idx="3">
                  <c:v>3368.976964654717</c:v>
                </c:pt>
                <c:pt idx="4">
                  <c:v>4185.1408442010761</c:v>
                </c:pt>
                <c:pt idx="5">
                  <c:v>2596.9870283225532</c:v>
                </c:pt>
                <c:pt idx="6">
                  <c:v>3569.5788322650392</c:v>
                </c:pt>
                <c:pt idx="7">
                  <c:v>3540.032699498654</c:v>
                </c:pt>
                <c:pt idx="8">
                  <c:v>2160.485723338179</c:v>
                </c:pt>
                <c:pt idx="9">
                  <c:v>4680.8931842474076</c:v>
                </c:pt>
                <c:pt idx="10">
                  <c:v>2513.9998727900161</c:v>
                </c:pt>
                <c:pt idx="11">
                  <c:v>2450.9615500526988</c:v>
                </c:pt>
                <c:pt idx="12">
                  <c:v>4255.1398485510472</c:v>
                </c:pt>
                <c:pt idx="13">
                  <c:v>3574.8374387542531</c:v>
                </c:pt>
                <c:pt idx="14">
                  <c:v>3303.8020977301112</c:v>
                </c:pt>
                <c:pt idx="15">
                  <c:v>2676.464074572325</c:v>
                </c:pt>
                <c:pt idx="16">
                  <c:v>2838.322250845551</c:v>
                </c:pt>
                <c:pt idx="17">
                  <c:v>2733.3136168459582</c:v>
                </c:pt>
                <c:pt idx="18">
                  <c:v>3598.295411482984</c:v>
                </c:pt>
                <c:pt idx="19">
                  <c:v>4401.3673327341394</c:v>
                </c:pt>
                <c:pt idx="20">
                  <c:v>2116.1045632783312</c:v>
                </c:pt>
                <c:pt idx="21">
                  <c:v>2354.43524953111</c:v>
                </c:pt>
                <c:pt idx="22">
                  <c:v>3180.6196960894022</c:v>
                </c:pt>
                <c:pt idx="23">
                  <c:v>2276.6919271033862</c:v>
                </c:pt>
                <c:pt idx="24">
                  <c:v>4209.3250018096278</c:v>
                </c:pt>
                <c:pt idx="25">
                  <c:v>3532.720065619244</c:v>
                </c:pt>
                <c:pt idx="26">
                  <c:v>4480.4690512725447</c:v>
                </c:pt>
                <c:pt idx="27">
                  <c:v>2342.0387895466588</c:v>
                </c:pt>
                <c:pt idx="28">
                  <c:v>3103.3300846689931</c:v>
                </c:pt>
                <c:pt idx="29">
                  <c:v>2946.5193009348682</c:v>
                </c:pt>
                <c:pt idx="30">
                  <c:v>2813.6236840741781</c:v>
                </c:pt>
                <c:pt idx="31">
                  <c:v>3742.291748310171</c:v>
                </c:pt>
                <c:pt idx="32">
                  <c:v>4049.1428201733061</c:v>
                </c:pt>
                <c:pt idx="33">
                  <c:v>2531.4728399985038</c:v>
                </c:pt>
                <c:pt idx="34">
                  <c:v>3808.0493928152732</c:v>
                </c:pt>
                <c:pt idx="35">
                  <c:v>3155.2021448280411</c:v>
                </c:pt>
                <c:pt idx="36">
                  <c:v>3419.4736921177732</c:v>
                </c:pt>
                <c:pt idx="37">
                  <c:v>2613.4807200676378</c:v>
                </c:pt>
                <c:pt idx="38">
                  <c:v>4565.5636648609761</c:v>
                </c:pt>
                <c:pt idx="39">
                  <c:v>2076.5887165508439</c:v>
                </c:pt>
                <c:pt idx="40">
                  <c:v>3080.4022206731138</c:v>
                </c:pt>
                <c:pt idx="41">
                  <c:v>3114.297461986203</c:v>
                </c:pt>
                <c:pt idx="42">
                  <c:v>2053.6846013053009</c:v>
                </c:pt>
                <c:pt idx="43">
                  <c:v>4520.1571961858281</c:v>
                </c:pt>
                <c:pt idx="44">
                  <c:v>2848.9165643215902</c:v>
                </c:pt>
                <c:pt idx="45">
                  <c:v>2529.1346364176538</c:v>
                </c:pt>
                <c:pt idx="46">
                  <c:v>2712.8597105407371</c:v>
                </c:pt>
                <c:pt idx="47">
                  <c:v>2064.353382930798</c:v>
                </c:pt>
                <c:pt idx="48">
                  <c:v>4578.7454571058825</c:v>
                </c:pt>
                <c:pt idx="49">
                  <c:v>2820.6316503974258</c:v>
                </c:pt>
                <c:pt idx="50">
                  <c:v>2382.9398979445341</c:v>
                </c:pt>
                <c:pt idx="51">
                  <c:v>2770.7359086313959</c:v>
                </c:pt>
                <c:pt idx="52">
                  <c:v>4447.3091464378576</c:v>
                </c:pt>
                <c:pt idx="53">
                  <c:v>4722.718648960963</c:v>
                </c:pt>
                <c:pt idx="54">
                  <c:v>3997.3959354411859</c:v>
                </c:pt>
                <c:pt idx="55">
                  <c:v>4646.6535165245023</c:v>
                </c:pt>
                <c:pt idx="56">
                  <c:v>4750.1949283779759</c:v>
                </c:pt>
                <c:pt idx="57">
                  <c:v>4460.0938097453654</c:v>
                </c:pt>
                <c:pt idx="58">
                  <c:v>2898.101622896409</c:v>
                </c:pt>
                <c:pt idx="59">
                  <c:v>2126.0108743722071</c:v>
                </c:pt>
                <c:pt idx="60">
                  <c:v>3614.6825239701971</c:v>
                </c:pt>
                <c:pt idx="61">
                  <c:v>2669.1746503511031</c:v>
                </c:pt>
                <c:pt idx="62">
                  <c:v>2372.3373250665541</c:v>
                </c:pt>
                <c:pt idx="63">
                  <c:v>4057.0009606294129</c:v>
                </c:pt>
                <c:pt idx="64">
                  <c:v>4744.0477080877627</c:v>
                </c:pt>
                <c:pt idx="65">
                  <c:v>2181.8805068243878</c:v>
                </c:pt>
                <c:pt idx="66">
                  <c:v>2694.1191208584132</c:v>
                </c:pt>
                <c:pt idx="67">
                  <c:v>2683.0954820666002</c:v>
                </c:pt>
                <c:pt idx="68">
                  <c:v>3626.1873604246471</c:v>
                </c:pt>
                <c:pt idx="69">
                  <c:v>3062.8827278166168</c:v>
                </c:pt>
                <c:pt idx="70">
                  <c:v>3132.991411849378</c:v>
                </c:pt>
                <c:pt idx="71">
                  <c:v>2394.6215374954609</c:v>
                </c:pt>
                <c:pt idx="72">
                  <c:v>3844.1616697035438</c:v>
                </c:pt>
                <c:pt idx="73">
                  <c:v>3436.5153302454551</c:v>
                </c:pt>
                <c:pt idx="74">
                  <c:v>2507.7634878657841</c:v>
                </c:pt>
                <c:pt idx="75">
                  <c:v>3622.1218135104641</c:v>
                </c:pt>
                <c:pt idx="76">
                  <c:v>3577.6494919732422</c:v>
                </c:pt>
                <c:pt idx="77">
                  <c:v>4703.4062642109129</c:v>
                </c:pt>
                <c:pt idx="78">
                  <c:v>2271.3261105207771</c:v>
                </c:pt>
                <c:pt idx="79">
                  <c:v>3762.2850958509948</c:v>
                </c:pt>
                <c:pt idx="80">
                  <c:v>2026.7627517197891</c:v>
                </c:pt>
                <c:pt idx="81">
                  <c:v>2530.9916492860689</c:v>
                </c:pt>
                <c:pt idx="82">
                  <c:v>2222.4226206861749</c:v>
                </c:pt>
                <c:pt idx="83">
                  <c:v>3738.6963398577218</c:v>
                </c:pt>
                <c:pt idx="84">
                  <c:v>2044.2419440197079</c:v>
                </c:pt>
                <c:pt idx="85">
                  <c:v>2632.4492773276461</c:v>
                </c:pt>
                <c:pt idx="86">
                  <c:v>3991.388142762185</c:v>
                </c:pt>
                <c:pt idx="87">
                  <c:v>3139.5176862799522</c:v>
                </c:pt>
                <c:pt idx="88">
                  <c:v>4409.1172533702629</c:v>
                </c:pt>
                <c:pt idx="89">
                  <c:v>2240.751279883435</c:v>
                </c:pt>
                <c:pt idx="90">
                  <c:v>2891.278952726228</c:v>
                </c:pt>
                <c:pt idx="91">
                  <c:v>4527.0307020367136</c:v>
                </c:pt>
                <c:pt idx="92">
                  <c:v>4870.9488600302229</c:v>
                </c:pt>
                <c:pt idx="93">
                  <c:v>3024.0721919774542</c:v>
                </c:pt>
                <c:pt idx="94">
                  <c:v>4561.3068555756727</c:v>
                </c:pt>
                <c:pt idx="95">
                  <c:v>3365.2356975293242</c:v>
                </c:pt>
                <c:pt idx="96">
                  <c:v>3096.5167014227118</c:v>
                </c:pt>
                <c:pt idx="97">
                  <c:v>2009.9450225683679</c:v>
                </c:pt>
                <c:pt idx="98">
                  <c:v>3427.8679644679351</c:v>
                </c:pt>
                <c:pt idx="99">
                  <c:v>4309.7793039101853</c:v>
                </c:pt>
                <c:pt idx="100">
                  <c:v>2467.4838138183909</c:v>
                </c:pt>
                <c:pt idx="101">
                  <c:v>2144.4218136633758</c:v>
                </c:pt>
                <c:pt idx="102">
                  <c:v>3324.6313538754512</c:v>
                </c:pt>
                <c:pt idx="103">
                  <c:v>3271.965612358676</c:v>
                </c:pt>
                <c:pt idx="104">
                  <c:v>3849.2694624235978</c:v>
                </c:pt>
                <c:pt idx="105">
                  <c:v>2291.8853120773801</c:v>
                </c:pt>
                <c:pt idx="106">
                  <c:v>3114.7963816152478</c:v>
                </c:pt>
                <c:pt idx="107">
                  <c:v>3497.9121428335402</c:v>
                </c:pt>
                <c:pt idx="108">
                  <c:v>2796.923069702998</c:v>
                </c:pt>
                <c:pt idx="109">
                  <c:v>3316.4638939990919</c:v>
                </c:pt>
                <c:pt idx="110">
                  <c:v>4232.3146083145093</c:v>
                </c:pt>
                <c:pt idx="111">
                  <c:v>2189.372121129089</c:v>
                </c:pt>
                <c:pt idx="112">
                  <c:v>4005.0130795702589</c:v>
                </c:pt>
                <c:pt idx="113">
                  <c:v>4960.171892946295</c:v>
                </c:pt>
                <c:pt idx="114">
                  <c:v>3635.7903717331678</c:v>
                </c:pt>
                <c:pt idx="115">
                  <c:v>4840.2231042553794</c:v>
                </c:pt>
                <c:pt idx="116">
                  <c:v>4771.5080272120304</c:v>
                </c:pt>
                <c:pt idx="117">
                  <c:v>2384.0500626484618</c:v>
                </c:pt>
                <c:pt idx="118">
                  <c:v>2258.175386945265</c:v>
                </c:pt>
                <c:pt idx="119">
                  <c:v>2964.4761894108842</c:v>
                </c:pt>
                <c:pt idx="120">
                  <c:v>4085.7081592492391</c:v>
                </c:pt>
                <c:pt idx="121">
                  <c:v>3399.199210539763</c:v>
                </c:pt>
                <c:pt idx="122">
                  <c:v>4519.5529706827838</c:v>
                </c:pt>
                <c:pt idx="123">
                  <c:v>4977.0441065072373</c:v>
                </c:pt>
                <c:pt idx="124">
                  <c:v>3079.970124219652</c:v>
                </c:pt>
                <c:pt idx="125">
                  <c:v>2587.2804913964801</c:v>
                </c:pt>
                <c:pt idx="126">
                  <c:v>4421.4745824465554</c:v>
                </c:pt>
                <c:pt idx="127">
                  <c:v>3241.5306940836108</c:v>
                </c:pt>
                <c:pt idx="128">
                  <c:v>2230.116054462213</c:v>
                </c:pt>
                <c:pt idx="129">
                  <c:v>2300.8535252729412</c:v>
                </c:pt>
                <c:pt idx="130">
                  <c:v>2871.547892208388</c:v>
                </c:pt>
                <c:pt idx="131">
                  <c:v>2120.168989719818</c:v>
                </c:pt>
              </c:numCache>
            </c:numRef>
          </c:xVal>
          <c:yVal>
            <c:numRef>
              <c:f>Aux_graficos!$HI$2:$HI$133</c:f>
              <c:numCache>
                <c:formatCode>General</c:formatCode>
                <c:ptCount val="132"/>
                <c:pt idx="0">
                  <c:v>1152.0911325165939</c:v>
                </c:pt>
                <c:pt idx="1">
                  <c:v>1489.610249973807</c:v>
                </c:pt>
                <c:pt idx="2">
                  <c:v>752.45039440498363</c:v>
                </c:pt>
                <c:pt idx="3">
                  <c:v>853.35442767123982</c:v>
                </c:pt>
                <c:pt idx="4">
                  <c:v>425.15595113974661</c:v>
                </c:pt>
                <c:pt idx="5">
                  <c:v>1392.940294092044</c:v>
                </c:pt>
                <c:pt idx="6">
                  <c:v>649.18546080007081</c:v>
                </c:pt>
                <c:pt idx="7">
                  <c:v>665.93200053815008</c:v>
                </c:pt>
                <c:pt idx="8">
                  <c:v>451.18496691954749</c:v>
                </c:pt>
                <c:pt idx="9">
                  <c:v>1389.747100071894</c:v>
                </c:pt>
                <c:pt idx="10">
                  <c:v>1369.5644733863919</c:v>
                </c:pt>
                <c:pt idx="11">
                  <c:v>558.53242026543444</c:v>
                </c:pt>
                <c:pt idx="12">
                  <c:v>1356.4623282553241</c:v>
                </c:pt>
                <c:pt idx="13">
                  <c:v>692.94504186664994</c:v>
                </c:pt>
                <c:pt idx="14">
                  <c:v>1291.098246882884</c:v>
                </c:pt>
                <c:pt idx="15">
                  <c:v>872.20860390269002</c:v>
                </c:pt>
                <c:pt idx="16">
                  <c:v>686.17598792300953</c:v>
                </c:pt>
                <c:pt idx="17">
                  <c:v>573.75054738810513</c:v>
                </c:pt>
                <c:pt idx="18">
                  <c:v>894.05451334329746</c:v>
                </c:pt>
                <c:pt idx="19">
                  <c:v>1159.0431504363009</c:v>
                </c:pt>
                <c:pt idx="20">
                  <c:v>676.15866438313469</c:v>
                </c:pt>
                <c:pt idx="21">
                  <c:v>437.2631795050562</c:v>
                </c:pt>
                <c:pt idx="22">
                  <c:v>1381.1199823667009</c:v>
                </c:pt>
                <c:pt idx="23">
                  <c:v>539.73241595649017</c:v>
                </c:pt>
                <c:pt idx="24">
                  <c:v>927.99894736538101</c:v>
                </c:pt>
                <c:pt idx="25">
                  <c:v>626.52971477076812</c:v>
                </c:pt>
                <c:pt idx="26">
                  <c:v>1198.0715033697629</c:v>
                </c:pt>
                <c:pt idx="27">
                  <c:v>321.55920181741237</c:v>
                </c:pt>
                <c:pt idx="28">
                  <c:v>750.24935332394148</c:v>
                </c:pt>
                <c:pt idx="29">
                  <c:v>1472.987916922285</c:v>
                </c:pt>
                <c:pt idx="30">
                  <c:v>909.42099471551683</c:v>
                </c:pt>
                <c:pt idx="31">
                  <c:v>1413.2793064047571</c:v>
                </c:pt>
                <c:pt idx="32">
                  <c:v>942.98083881707078</c:v>
                </c:pt>
                <c:pt idx="33">
                  <c:v>581.28401561413625</c:v>
                </c:pt>
                <c:pt idx="34">
                  <c:v>1021.9229607726249</c:v>
                </c:pt>
                <c:pt idx="35">
                  <c:v>1068.7287212292019</c:v>
                </c:pt>
                <c:pt idx="36">
                  <c:v>762.10450879218024</c:v>
                </c:pt>
                <c:pt idx="37">
                  <c:v>374.36934432207039</c:v>
                </c:pt>
                <c:pt idx="38">
                  <c:v>1067.248236821704</c:v>
                </c:pt>
                <c:pt idx="39">
                  <c:v>428.45592024197299</c:v>
                </c:pt>
                <c:pt idx="40">
                  <c:v>722.85635415038394</c:v>
                </c:pt>
                <c:pt idx="41">
                  <c:v>444.46482910916859</c:v>
                </c:pt>
                <c:pt idx="42">
                  <c:v>588.59523952306631</c:v>
                </c:pt>
                <c:pt idx="43">
                  <c:v>433.38898524424292</c:v>
                </c:pt>
                <c:pt idx="44">
                  <c:v>735.72630951178712</c:v>
                </c:pt>
                <c:pt idx="45">
                  <c:v>1431.58017366385</c:v>
                </c:pt>
                <c:pt idx="46">
                  <c:v>659.3942285039368</c:v>
                </c:pt>
                <c:pt idx="47">
                  <c:v>792.86217315303668</c:v>
                </c:pt>
                <c:pt idx="48">
                  <c:v>861.98322112454161</c:v>
                </c:pt>
                <c:pt idx="49">
                  <c:v>316.56991964023939</c:v>
                </c:pt>
                <c:pt idx="50">
                  <c:v>871.91060596327191</c:v>
                </c:pt>
                <c:pt idx="51">
                  <c:v>769.41760071309363</c:v>
                </c:pt>
                <c:pt idx="52">
                  <c:v>1329.3637888743431</c:v>
                </c:pt>
                <c:pt idx="53">
                  <c:v>478.16193812099573</c:v>
                </c:pt>
                <c:pt idx="54">
                  <c:v>631.90444681090526</c:v>
                </c:pt>
                <c:pt idx="55">
                  <c:v>337.95542829113072</c:v>
                </c:pt>
                <c:pt idx="56">
                  <c:v>613.54000904415113</c:v>
                </c:pt>
                <c:pt idx="57">
                  <c:v>1112.256411872577</c:v>
                </c:pt>
                <c:pt idx="58">
                  <c:v>1485.3353842265569</c:v>
                </c:pt>
                <c:pt idx="59">
                  <c:v>796.50855284554268</c:v>
                </c:pt>
                <c:pt idx="60">
                  <c:v>500.46140341435063</c:v>
                </c:pt>
                <c:pt idx="61">
                  <c:v>608.51112644013438</c:v>
                </c:pt>
                <c:pt idx="62">
                  <c:v>1284.2384330569739</c:v>
                </c:pt>
                <c:pt idx="63">
                  <c:v>1438.2660417190521</c:v>
                </c:pt>
                <c:pt idx="64">
                  <c:v>1310.7399075267499</c:v>
                </c:pt>
                <c:pt idx="65">
                  <c:v>1089.357485633039</c:v>
                </c:pt>
                <c:pt idx="66">
                  <c:v>957.69158256323158</c:v>
                </c:pt>
                <c:pt idx="67">
                  <c:v>308.76194064180208</c:v>
                </c:pt>
                <c:pt idx="68">
                  <c:v>540.55209269816214</c:v>
                </c:pt>
                <c:pt idx="69">
                  <c:v>1172.0821141990141</c:v>
                </c:pt>
                <c:pt idx="70">
                  <c:v>1004.95873018104</c:v>
                </c:pt>
                <c:pt idx="71">
                  <c:v>830.47621839296403</c:v>
                </c:pt>
                <c:pt idx="72">
                  <c:v>510.79018712914331</c:v>
                </c:pt>
                <c:pt idx="73">
                  <c:v>743.46094839347859</c:v>
                </c:pt>
                <c:pt idx="74">
                  <c:v>787.44679610310823</c:v>
                </c:pt>
                <c:pt idx="75">
                  <c:v>827.11127531487443</c:v>
                </c:pt>
                <c:pt idx="76">
                  <c:v>1200.8676998024521</c:v>
                </c:pt>
                <c:pt idx="77">
                  <c:v>1181.9359841452101</c:v>
                </c:pt>
                <c:pt idx="78">
                  <c:v>1444.1201009951351</c:v>
                </c:pt>
                <c:pt idx="79">
                  <c:v>1023.255776400223</c:v>
                </c:pt>
                <c:pt idx="80">
                  <c:v>1301.092690119161</c:v>
                </c:pt>
                <c:pt idx="81">
                  <c:v>997.26313839175043</c:v>
                </c:pt>
                <c:pt idx="82">
                  <c:v>668.82891753323088</c:v>
                </c:pt>
                <c:pt idx="83">
                  <c:v>536.15959117261582</c:v>
                </c:pt>
                <c:pt idx="84">
                  <c:v>1038.3428151751759</c:v>
                </c:pt>
                <c:pt idx="85">
                  <c:v>1082.7528064791429</c:v>
                </c:pt>
                <c:pt idx="86">
                  <c:v>576.22173662295086</c:v>
                </c:pt>
                <c:pt idx="87">
                  <c:v>964.89582692552403</c:v>
                </c:pt>
                <c:pt idx="88">
                  <c:v>1171.4294401515101</c:v>
                </c:pt>
                <c:pt idx="89">
                  <c:v>1477.9669025281239</c:v>
                </c:pt>
                <c:pt idx="90">
                  <c:v>913.581366835484</c:v>
                </c:pt>
                <c:pt idx="91">
                  <c:v>1072.2610352197919</c:v>
                </c:pt>
                <c:pt idx="92">
                  <c:v>1097.6457094238469</c:v>
                </c:pt>
                <c:pt idx="93">
                  <c:v>456.9459612600096</c:v>
                </c:pt>
                <c:pt idx="94">
                  <c:v>316.03367410039488</c:v>
                </c:pt>
                <c:pt idx="95">
                  <c:v>427.55238855600192</c:v>
                </c:pt>
                <c:pt idx="96">
                  <c:v>836.05831694657627</c:v>
                </c:pt>
                <c:pt idx="97">
                  <c:v>1355.1835949536519</c:v>
                </c:pt>
                <c:pt idx="98">
                  <c:v>590.03860154080292</c:v>
                </c:pt>
                <c:pt idx="99">
                  <c:v>847.13068235478227</c:v>
                </c:pt>
                <c:pt idx="100">
                  <c:v>598.02451446693021</c:v>
                </c:pt>
                <c:pt idx="101">
                  <c:v>1168.6771968935841</c:v>
                </c:pt>
                <c:pt idx="102">
                  <c:v>462.32781348839421</c:v>
                </c:pt>
                <c:pt idx="103">
                  <c:v>696.77542875741051</c:v>
                </c:pt>
                <c:pt idx="104">
                  <c:v>1378.2294780991019</c:v>
                </c:pt>
                <c:pt idx="105">
                  <c:v>603.39095639371396</c:v>
                </c:pt>
                <c:pt idx="106">
                  <c:v>720.74620366693352</c:v>
                </c:pt>
                <c:pt idx="107">
                  <c:v>719.41146523408065</c:v>
                </c:pt>
                <c:pt idx="108">
                  <c:v>1430.5547156754119</c:v>
                </c:pt>
                <c:pt idx="109">
                  <c:v>609.91679894622234</c:v>
                </c:pt>
                <c:pt idx="110">
                  <c:v>726.46769530342635</c:v>
                </c:pt>
                <c:pt idx="111">
                  <c:v>957.06160811266204</c:v>
                </c:pt>
                <c:pt idx="112">
                  <c:v>1312.976037108916</c:v>
                </c:pt>
                <c:pt idx="113">
                  <c:v>1124.420413302747</c:v>
                </c:pt>
                <c:pt idx="114">
                  <c:v>973.71170796292085</c:v>
                </c:pt>
                <c:pt idx="115">
                  <c:v>692.77457708626184</c:v>
                </c:pt>
                <c:pt idx="116">
                  <c:v>648.45712322620807</c:v>
                </c:pt>
                <c:pt idx="117">
                  <c:v>674.2491416886387</c:v>
                </c:pt>
                <c:pt idx="118">
                  <c:v>857.33095370029355</c:v>
                </c:pt>
                <c:pt idx="119">
                  <c:v>1063.3350922728739</c:v>
                </c:pt>
                <c:pt idx="120">
                  <c:v>783.78807287014092</c:v>
                </c:pt>
                <c:pt idx="121">
                  <c:v>375.77747588491928</c:v>
                </c:pt>
                <c:pt idx="122">
                  <c:v>488.11572473594981</c:v>
                </c:pt>
                <c:pt idx="123">
                  <c:v>887.93968167136313</c:v>
                </c:pt>
                <c:pt idx="124">
                  <c:v>569.76404112574767</c:v>
                </c:pt>
                <c:pt idx="125">
                  <c:v>1013.86509483878</c:v>
                </c:pt>
                <c:pt idx="126">
                  <c:v>436.21329595773551</c:v>
                </c:pt>
                <c:pt idx="127">
                  <c:v>1213.870757203076</c:v>
                </c:pt>
                <c:pt idx="128">
                  <c:v>890.64743267284507</c:v>
                </c:pt>
                <c:pt idx="129">
                  <c:v>734.33460914835246</c:v>
                </c:pt>
                <c:pt idx="130">
                  <c:v>518.89779731228361</c:v>
                </c:pt>
                <c:pt idx="131">
                  <c:v>745.63761687732017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7E-4B37-90CE-C7DCD33F48EF}"/>
            </c:ext>
          </c:extLst>
        </c:ser>
        <c:ser>
          <c:idx val="3"/>
          <c:order val="3"/>
          <c:tx>
            <c:v>Corregible, fuera de rango (n = 176)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Aux_graficos!$HL$2:$HL$177</c:f>
              <c:numCache>
                <c:formatCode>General</c:formatCode>
                <c:ptCount val="176"/>
                <c:pt idx="0">
                  <c:v>3665.962676103748</c:v>
                </c:pt>
                <c:pt idx="1">
                  <c:v>4020.0570555647082</c:v>
                </c:pt>
                <c:pt idx="2">
                  <c:v>3440.0100955242892</c:v>
                </c:pt>
                <c:pt idx="3">
                  <c:v>2081.421554425518</c:v>
                </c:pt>
                <c:pt idx="4">
                  <c:v>3959.4110726562189</c:v>
                </c:pt>
                <c:pt idx="5">
                  <c:v>4887.5967029197154</c:v>
                </c:pt>
                <c:pt idx="6">
                  <c:v>2092.4793058098921</c:v>
                </c:pt>
                <c:pt idx="7">
                  <c:v>4360.0740089428709</c:v>
                </c:pt>
                <c:pt idx="8">
                  <c:v>2419.5677954772191</c:v>
                </c:pt>
                <c:pt idx="9">
                  <c:v>4430.8092664561082</c:v>
                </c:pt>
                <c:pt idx="10">
                  <c:v>2551.7393786212042</c:v>
                </c:pt>
                <c:pt idx="11">
                  <c:v>3206.4409362493971</c:v>
                </c:pt>
                <c:pt idx="12">
                  <c:v>3899.2251228320879</c:v>
                </c:pt>
                <c:pt idx="13">
                  <c:v>3514.7013689886189</c:v>
                </c:pt>
                <c:pt idx="14">
                  <c:v>4546.3400131625676</c:v>
                </c:pt>
                <c:pt idx="15">
                  <c:v>4238.795622881742</c:v>
                </c:pt>
                <c:pt idx="16">
                  <c:v>4294.9672370021763</c:v>
                </c:pt>
                <c:pt idx="17">
                  <c:v>4249.6334748563349</c:v>
                </c:pt>
                <c:pt idx="18">
                  <c:v>4991.2342408864988</c:v>
                </c:pt>
                <c:pt idx="19">
                  <c:v>3922.4585616753252</c:v>
                </c:pt>
                <c:pt idx="20">
                  <c:v>3078.5799568712609</c:v>
                </c:pt>
                <c:pt idx="21">
                  <c:v>2400.0708529909639</c:v>
                </c:pt>
                <c:pt idx="22">
                  <c:v>3405.599188785769</c:v>
                </c:pt>
                <c:pt idx="23">
                  <c:v>3030.7086873052458</c:v>
                </c:pt>
                <c:pt idx="24">
                  <c:v>2481.4397070734658</c:v>
                </c:pt>
                <c:pt idx="25">
                  <c:v>2443.769872928237</c:v>
                </c:pt>
                <c:pt idx="26">
                  <c:v>3018.4333594799518</c:v>
                </c:pt>
                <c:pt idx="27">
                  <c:v>3281.0679180314919</c:v>
                </c:pt>
                <c:pt idx="28">
                  <c:v>4005.086734735974</c:v>
                </c:pt>
                <c:pt idx="29">
                  <c:v>3228.7283343541671</c:v>
                </c:pt>
                <c:pt idx="30">
                  <c:v>4928.0234379088861</c:v>
                </c:pt>
                <c:pt idx="31">
                  <c:v>3316.5739454530558</c:v>
                </c:pt>
                <c:pt idx="32">
                  <c:v>3143.4102948421728</c:v>
                </c:pt>
                <c:pt idx="33">
                  <c:v>2506.8360267557309</c:v>
                </c:pt>
                <c:pt idx="34">
                  <c:v>2650.571912221968</c:v>
                </c:pt>
                <c:pt idx="35">
                  <c:v>2915.52601975683</c:v>
                </c:pt>
                <c:pt idx="36">
                  <c:v>4717.402847573444</c:v>
                </c:pt>
                <c:pt idx="37">
                  <c:v>3836.0134177842051</c:v>
                </c:pt>
                <c:pt idx="38">
                  <c:v>3053.2395980138208</c:v>
                </c:pt>
                <c:pt idx="39">
                  <c:v>2248.475597248098</c:v>
                </c:pt>
                <c:pt idx="40">
                  <c:v>3755.3803760384062</c:v>
                </c:pt>
                <c:pt idx="41">
                  <c:v>4470.3297031075399</c:v>
                </c:pt>
                <c:pt idx="42">
                  <c:v>2226.8232820928129</c:v>
                </c:pt>
                <c:pt idx="43">
                  <c:v>4088.0459899288371</c:v>
                </c:pt>
                <c:pt idx="44">
                  <c:v>3588.7479973588529</c:v>
                </c:pt>
                <c:pt idx="45">
                  <c:v>4771.9287158677535</c:v>
                </c:pt>
                <c:pt idx="46">
                  <c:v>4983.5011692621592</c:v>
                </c:pt>
                <c:pt idx="47">
                  <c:v>2333.0929697254128</c:v>
                </c:pt>
                <c:pt idx="48">
                  <c:v>2101.2816918460849</c:v>
                </c:pt>
                <c:pt idx="49">
                  <c:v>4386.3843412594697</c:v>
                </c:pt>
                <c:pt idx="50">
                  <c:v>3879.922616987305</c:v>
                </c:pt>
                <c:pt idx="51">
                  <c:v>3716.2500186053762</c:v>
                </c:pt>
                <c:pt idx="52">
                  <c:v>4457.1334767294848</c:v>
                </c:pt>
                <c:pt idx="53">
                  <c:v>4875.263783849653</c:v>
                </c:pt>
                <c:pt idx="54">
                  <c:v>3697.4097324261611</c:v>
                </c:pt>
                <c:pt idx="55">
                  <c:v>3458.207296458289</c:v>
                </c:pt>
                <c:pt idx="56">
                  <c:v>4210.6480852472496</c:v>
                </c:pt>
                <c:pt idx="57">
                  <c:v>4416.5759146917608</c:v>
                </c:pt>
                <c:pt idx="58">
                  <c:v>2878.0641233489009</c:v>
                </c:pt>
                <c:pt idx="59">
                  <c:v>2048.6779538172118</c:v>
                </c:pt>
                <c:pt idx="60">
                  <c:v>3238.2629523563542</c:v>
                </c:pt>
                <c:pt idx="61">
                  <c:v>4817.7756322021942</c:v>
                </c:pt>
                <c:pt idx="62">
                  <c:v>4156.765910241249</c:v>
                </c:pt>
                <c:pt idx="63">
                  <c:v>3869.926538190442</c:v>
                </c:pt>
                <c:pt idx="64">
                  <c:v>3001.7270513170679</c:v>
                </c:pt>
                <c:pt idx="65">
                  <c:v>2925.3270365484359</c:v>
                </c:pt>
                <c:pt idx="66">
                  <c:v>4426.9571764584534</c:v>
                </c:pt>
                <c:pt idx="67">
                  <c:v>2958.827926159463</c:v>
                </c:pt>
                <c:pt idx="68">
                  <c:v>4197.3915099250116</c:v>
                </c:pt>
                <c:pt idx="69">
                  <c:v>4605.6211540685063</c:v>
                </c:pt>
                <c:pt idx="70">
                  <c:v>2621.4838022077211</c:v>
                </c:pt>
                <c:pt idx="71">
                  <c:v>2742.399639714884</c:v>
                </c:pt>
                <c:pt idx="72">
                  <c:v>3974.686253531494</c:v>
                </c:pt>
                <c:pt idx="73">
                  <c:v>4065.738705868403</c:v>
                </c:pt>
                <c:pt idx="74">
                  <c:v>4327.6913002017254</c:v>
                </c:pt>
                <c:pt idx="75">
                  <c:v>3373.492752583611</c:v>
                </c:pt>
                <c:pt idx="76">
                  <c:v>3828.611837533173</c:v>
                </c:pt>
                <c:pt idx="77">
                  <c:v>4287.7263781485071</c:v>
                </c:pt>
                <c:pt idx="78">
                  <c:v>4820.2222616725549</c:v>
                </c:pt>
                <c:pt idx="79">
                  <c:v>2193.4238288977081</c:v>
                </c:pt>
                <c:pt idx="80">
                  <c:v>3782.8824133567869</c:v>
                </c:pt>
                <c:pt idx="81">
                  <c:v>4034.5099202175652</c:v>
                </c:pt>
                <c:pt idx="82">
                  <c:v>3931.4769638822299</c:v>
                </c:pt>
                <c:pt idx="83">
                  <c:v>2326.1825983553299</c:v>
                </c:pt>
                <c:pt idx="84">
                  <c:v>3529.9691694074158</c:v>
                </c:pt>
                <c:pt idx="85">
                  <c:v>2479.2167479348659</c:v>
                </c:pt>
                <c:pt idx="86">
                  <c:v>3381.4516893287878</c:v>
                </c:pt>
                <c:pt idx="87">
                  <c:v>2493.3327406355402</c:v>
                </c:pt>
                <c:pt idx="88">
                  <c:v>3196.2116564753892</c:v>
                </c:pt>
                <c:pt idx="89">
                  <c:v>3041.8780408894718</c:v>
                </c:pt>
                <c:pt idx="90">
                  <c:v>2991.4327882586672</c:v>
                </c:pt>
                <c:pt idx="91">
                  <c:v>2251.395536928917</c:v>
                </c:pt>
                <c:pt idx="92">
                  <c:v>2467.3730047074559</c:v>
                </c:pt>
                <c:pt idx="93">
                  <c:v>3297.487010782806</c:v>
                </c:pt>
                <c:pt idx="94">
                  <c:v>4134.1857033922206</c:v>
                </c:pt>
                <c:pt idx="95">
                  <c:v>4097.8797506023502</c:v>
                </c:pt>
                <c:pt idx="96">
                  <c:v>2973.4866912593739</c:v>
                </c:pt>
                <c:pt idx="97">
                  <c:v>3331.0369526321811</c:v>
                </c:pt>
                <c:pt idx="98">
                  <c:v>2632.9326449020059</c:v>
                </c:pt>
                <c:pt idx="99">
                  <c:v>4107.3880994792844</c:v>
                </c:pt>
                <c:pt idx="100">
                  <c:v>2303.1731477606122</c:v>
                </c:pt>
                <c:pt idx="101">
                  <c:v>2789.3785397477268</c:v>
                </c:pt>
                <c:pt idx="102">
                  <c:v>2907.3580386071021</c:v>
                </c:pt>
                <c:pt idx="103">
                  <c:v>3816.2869278333819</c:v>
                </c:pt>
                <c:pt idx="104">
                  <c:v>2145.67133721663</c:v>
                </c:pt>
                <c:pt idx="105">
                  <c:v>4975.8937320962395</c:v>
                </c:pt>
                <c:pt idx="106">
                  <c:v>3253.7226338168239</c:v>
                </c:pt>
                <c:pt idx="107">
                  <c:v>2674.482313309567</c:v>
                </c:pt>
                <c:pt idx="108">
                  <c:v>2459.4817680450719</c:v>
                </c:pt>
                <c:pt idx="109">
                  <c:v>3345.7527629838451</c:v>
                </c:pt>
                <c:pt idx="110">
                  <c:v>3460.363839446954</c:v>
                </c:pt>
                <c:pt idx="111">
                  <c:v>2559.785520070714</c:v>
                </c:pt>
                <c:pt idx="112">
                  <c:v>3146.6915822939359</c:v>
                </c:pt>
                <c:pt idx="113">
                  <c:v>4202.0029205155051</c:v>
                </c:pt>
                <c:pt idx="114">
                  <c:v>2399.0203936828798</c:v>
                </c:pt>
                <c:pt idx="115">
                  <c:v>4597.9451590572589</c:v>
                </c:pt>
                <c:pt idx="116">
                  <c:v>4236.2637219721682</c:v>
                </c:pt>
                <c:pt idx="117">
                  <c:v>2654.7846173003281</c:v>
                </c:pt>
                <c:pt idx="118">
                  <c:v>2171.6036634343031</c:v>
                </c:pt>
                <c:pt idx="119">
                  <c:v>3039.9698345230449</c:v>
                </c:pt>
                <c:pt idx="120">
                  <c:v>4863.5544448817755</c:v>
                </c:pt>
                <c:pt idx="121">
                  <c:v>4366.2645945010754</c:v>
                </c:pt>
                <c:pt idx="122">
                  <c:v>2105.9151852874488</c:v>
                </c:pt>
                <c:pt idx="123">
                  <c:v>3058.127230014456</c:v>
                </c:pt>
                <c:pt idx="124">
                  <c:v>4717.3647698276627</c:v>
                </c:pt>
                <c:pt idx="125">
                  <c:v>3873.5438933166611</c:v>
                </c:pt>
                <c:pt idx="126">
                  <c:v>3971.8886772471969</c:v>
                </c:pt>
                <c:pt idx="127">
                  <c:v>3614.3386809128278</c:v>
                </c:pt>
                <c:pt idx="128">
                  <c:v>3741.5573585584239</c:v>
                </c:pt>
                <c:pt idx="129">
                  <c:v>3525.8791397219461</c:v>
                </c:pt>
                <c:pt idx="130">
                  <c:v>2828.6087405433559</c:v>
                </c:pt>
                <c:pt idx="131">
                  <c:v>4206.4269448387859</c:v>
                </c:pt>
                <c:pt idx="132">
                  <c:v>4269.977630883368</c:v>
                </c:pt>
                <c:pt idx="133">
                  <c:v>4169.5340174751818</c:v>
                </c:pt>
                <c:pt idx="134">
                  <c:v>4454.7856126837569</c:v>
                </c:pt>
                <c:pt idx="135">
                  <c:v>4752.592547607569</c:v>
                </c:pt>
                <c:pt idx="136">
                  <c:v>4384.9317578869759</c:v>
                </c:pt>
                <c:pt idx="137">
                  <c:v>2329.3737216892282</c:v>
                </c:pt>
                <c:pt idx="138">
                  <c:v>3176.0833282751719</c:v>
                </c:pt>
                <c:pt idx="139">
                  <c:v>3654.2991540117559</c:v>
                </c:pt>
                <c:pt idx="140">
                  <c:v>4801.6441535930098</c:v>
                </c:pt>
                <c:pt idx="141">
                  <c:v>3600.0154292759512</c:v>
                </c:pt>
                <c:pt idx="142">
                  <c:v>3819.2668134316768</c:v>
                </c:pt>
                <c:pt idx="143">
                  <c:v>2753.0406476009839</c:v>
                </c:pt>
                <c:pt idx="144">
                  <c:v>4113.9467075226967</c:v>
                </c:pt>
                <c:pt idx="145">
                  <c:v>2095.385835313507</c:v>
                </c:pt>
                <c:pt idx="146">
                  <c:v>3290.1780006679378</c:v>
                </c:pt>
                <c:pt idx="147">
                  <c:v>2580.8658736783491</c:v>
                </c:pt>
                <c:pt idx="148">
                  <c:v>3798.2657363311541</c:v>
                </c:pt>
                <c:pt idx="149">
                  <c:v>3353.0229282620662</c:v>
                </c:pt>
                <c:pt idx="150">
                  <c:v>3916.9911055488178</c:v>
                </c:pt>
                <c:pt idx="151">
                  <c:v>2208.7617433056521</c:v>
                </c:pt>
                <c:pt idx="152">
                  <c:v>2729.1353869547138</c:v>
                </c:pt>
                <c:pt idx="153">
                  <c:v>3156.2584628888731</c:v>
                </c:pt>
                <c:pt idx="154">
                  <c:v>3217.0920698307818</c:v>
                </c:pt>
                <c:pt idx="155">
                  <c:v>4496.2536475938896</c:v>
                </c:pt>
                <c:pt idx="156">
                  <c:v>2335.0753592331339</c:v>
                </c:pt>
                <c:pt idx="157">
                  <c:v>2074.152719983641</c:v>
                </c:pt>
                <c:pt idx="158">
                  <c:v>4546.8963063093861</c:v>
                </c:pt>
                <c:pt idx="159">
                  <c:v>4880.5118739549735</c:v>
                </c:pt>
                <c:pt idx="160">
                  <c:v>2794.216855374882</c:v>
                </c:pt>
                <c:pt idx="161">
                  <c:v>3008.3968738697099</c:v>
                </c:pt>
                <c:pt idx="162">
                  <c:v>2909.8359720359081</c:v>
                </c:pt>
                <c:pt idx="163">
                  <c:v>2624.9808349607952</c:v>
                </c:pt>
                <c:pt idx="164">
                  <c:v>4011.1948933267809</c:v>
                </c:pt>
                <c:pt idx="165">
                  <c:v>3900.724847004843</c:v>
                </c:pt>
                <c:pt idx="166">
                  <c:v>4691.4627483280929</c:v>
                </c:pt>
                <c:pt idx="167">
                  <c:v>2977.4879282495972</c:v>
                </c:pt>
                <c:pt idx="168">
                  <c:v>4145.8876742950724</c:v>
                </c:pt>
                <c:pt idx="169">
                  <c:v>3938.333618433051</c:v>
                </c:pt>
                <c:pt idx="170">
                  <c:v>4663.4079501279521</c:v>
                </c:pt>
                <c:pt idx="171">
                  <c:v>2855.587170748473</c:v>
                </c:pt>
                <c:pt idx="172">
                  <c:v>4043.992285696097</c:v>
                </c:pt>
                <c:pt idx="173">
                  <c:v>3093.8938294653271</c:v>
                </c:pt>
                <c:pt idx="174">
                  <c:v>2365.348117495867</c:v>
                </c:pt>
                <c:pt idx="175">
                  <c:v>4897.460721034211</c:v>
                </c:pt>
              </c:numCache>
            </c:numRef>
          </c:xVal>
          <c:yVal>
            <c:numRef>
              <c:f>Aux_graficos!$HK$2:$HK$177</c:f>
              <c:numCache>
                <c:formatCode>General</c:formatCode>
                <c:ptCount val="176"/>
                <c:pt idx="0">
                  <c:v>662.41031193744834</c:v>
                </c:pt>
                <c:pt idx="1">
                  <c:v>1483.107052397032</c:v>
                </c:pt>
                <c:pt idx="2">
                  <c:v>1334.2338684319161</c:v>
                </c:pt>
                <c:pt idx="3">
                  <c:v>366.23079889621209</c:v>
                </c:pt>
                <c:pt idx="4">
                  <c:v>551.55033902060268</c:v>
                </c:pt>
                <c:pt idx="5">
                  <c:v>1145.6968651424461</c:v>
                </c:pt>
                <c:pt idx="6">
                  <c:v>1165.1772642822559</c:v>
                </c:pt>
                <c:pt idx="7">
                  <c:v>1363.5481735925921</c:v>
                </c:pt>
                <c:pt idx="8">
                  <c:v>376.82839650482282</c:v>
                </c:pt>
                <c:pt idx="9">
                  <c:v>440.89117872893138</c:v>
                </c:pt>
                <c:pt idx="10">
                  <c:v>705.04323211145129</c:v>
                </c:pt>
                <c:pt idx="11">
                  <c:v>577.37554436747882</c:v>
                </c:pt>
                <c:pt idx="12">
                  <c:v>987.85461202038402</c:v>
                </c:pt>
                <c:pt idx="13">
                  <c:v>586.93843388817209</c:v>
                </c:pt>
                <c:pt idx="14">
                  <c:v>495.37017408384202</c:v>
                </c:pt>
                <c:pt idx="15">
                  <c:v>1208.258783111841</c:v>
                </c:pt>
                <c:pt idx="16">
                  <c:v>1497.9965048542119</c:v>
                </c:pt>
                <c:pt idx="17">
                  <c:v>759.86308015841973</c:v>
                </c:pt>
                <c:pt idx="18">
                  <c:v>516.17986149170144</c:v>
                </c:pt>
                <c:pt idx="19">
                  <c:v>1248.24885800572</c:v>
                </c:pt>
                <c:pt idx="20">
                  <c:v>352.97752943221923</c:v>
                </c:pt>
                <c:pt idx="21">
                  <c:v>420.32728337968302</c:v>
                </c:pt>
                <c:pt idx="22">
                  <c:v>360.80345072159372</c:v>
                </c:pt>
                <c:pt idx="23">
                  <c:v>646.8009595769654</c:v>
                </c:pt>
                <c:pt idx="24">
                  <c:v>563.00659889068857</c:v>
                </c:pt>
                <c:pt idx="25">
                  <c:v>867.75388844891245</c:v>
                </c:pt>
                <c:pt idx="26">
                  <c:v>1078.9526693895129</c:v>
                </c:pt>
                <c:pt idx="27">
                  <c:v>817.33800223752814</c:v>
                </c:pt>
                <c:pt idx="28">
                  <c:v>455.27469191456868</c:v>
                </c:pt>
                <c:pt idx="29">
                  <c:v>905.05150523572115</c:v>
                </c:pt>
                <c:pt idx="30">
                  <c:v>642.78356589947543</c:v>
                </c:pt>
                <c:pt idx="31">
                  <c:v>356.23691745028071</c:v>
                </c:pt>
                <c:pt idx="32">
                  <c:v>879.44979149559902</c:v>
                </c:pt>
                <c:pt idx="33">
                  <c:v>351.51524519365688</c:v>
                </c:pt>
                <c:pt idx="34">
                  <c:v>916.06358348158994</c:v>
                </c:pt>
                <c:pt idx="35">
                  <c:v>1410.7019134577531</c:v>
                </c:pt>
                <c:pt idx="36">
                  <c:v>1094.4390403641489</c:v>
                </c:pt>
                <c:pt idx="37">
                  <c:v>457.39442154550858</c:v>
                </c:pt>
                <c:pt idx="38">
                  <c:v>520.21159086120542</c:v>
                </c:pt>
                <c:pt idx="39">
                  <c:v>400.27464436978022</c:v>
                </c:pt>
                <c:pt idx="40">
                  <c:v>967.34254318297076</c:v>
                </c:pt>
                <c:pt idx="41">
                  <c:v>778.49825461222599</c:v>
                </c:pt>
                <c:pt idx="42">
                  <c:v>838.66486664302386</c:v>
                </c:pt>
                <c:pt idx="43">
                  <c:v>993.79608221399837</c:v>
                </c:pt>
                <c:pt idx="44">
                  <c:v>1365.887774483243</c:v>
                </c:pt>
                <c:pt idx="45">
                  <c:v>729.64193002893887</c:v>
                </c:pt>
                <c:pt idx="46">
                  <c:v>412.43068781447948</c:v>
                </c:pt>
                <c:pt idx="47">
                  <c:v>786.24428223266159</c:v>
                </c:pt>
                <c:pt idx="48">
                  <c:v>1054.642460606296</c:v>
                </c:pt>
                <c:pt idx="49">
                  <c:v>1008.827607153711</c:v>
                </c:pt>
                <c:pt idx="50">
                  <c:v>637.57121294509466</c:v>
                </c:pt>
                <c:pt idx="51">
                  <c:v>1063.7010080151611</c:v>
                </c:pt>
                <c:pt idx="52">
                  <c:v>368.90350075581171</c:v>
                </c:pt>
                <c:pt idx="53">
                  <c:v>547.28992499836443</c:v>
                </c:pt>
                <c:pt idx="54">
                  <c:v>568.29981551802894</c:v>
                </c:pt>
                <c:pt idx="55">
                  <c:v>702.24433246413651</c:v>
                </c:pt>
                <c:pt idx="56">
                  <c:v>952.67903674035483</c:v>
                </c:pt>
                <c:pt idx="57">
                  <c:v>566.94828673631537</c:v>
                </c:pt>
                <c:pt idx="58">
                  <c:v>410.51752020458798</c:v>
                </c:pt>
                <c:pt idx="59">
                  <c:v>717.88686396880337</c:v>
                </c:pt>
                <c:pt idx="60">
                  <c:v>1013.429226631598</c:v>
                </c:pt>
                <c:pt idx="61">
                  <c:v>1002.139181562782</c:v>
                </c:pt>
                <c:pt idx="62">
                  <c:v>1150.143753512928</c:v>
                </c:pt>
                <c:pt idx="63">
                  <c:v>616.36507070137463</c:v>
                </c:pt>
                <c:pt idx="64">
                  <c:v>1257.8624160393749</c:v>
                </c:pt>
                <c:pt idx="65">
                  <c:v>697.83522600114543</c:v>
                </c:pt>
                <c:pt idx="66">
                  <c:v>555.61961736125511</c:v>
                </c:pt>
                <c:pt idx="67">
                  <c:v>1445.7112446176379</c:v>
                </c:pt>
                <c:pt idx="68">
                  <c:v>1213.074960151908</c:v>
                </c:pt>
                <c:pt idx="69">
                  <c:v>515.73497574056341</c:v>
                </c:pt>
                <c:pt idx="70">
                  <c:v>327.39144229250411</c:v>
                </c:pt>
                <c:pt idx="71">
                  <c:v>674.5008913892616</c:v>
                </c:pt>
                <c:pt idx="72">
                  <c:v>764.25516764549627</c:v>
                </c:pt>
                <c:pt idx="73">
                  <c:v>531.94106813674637</c:v>
                </c:pt>
                <c:pt idx="74">
                  <c:v>1448.8852440251931</c:v>
                </c:pt>
                <c:pt idx="75">
                  <c:v>726.34596005734966</c:v>
                </c:pt>
                <c:pt idx="76">
                  <c:v>991.52080837900644</c:v>
                </c:pt>
                <c:pt idx="77">
                  <c:v>486.26016700516772</c:v>
                </c:pt>
                <c:pt idx="78">
                  <c:v>623.1255034237613</c:v>
                </c:pt>
                <c:pt idx="79">
                  <c:v>1471.103642271848</c:v>
                </c:pt>
                <c:pt idx="80">
                  <c:v>1420.202265011503</c:v>
                </c:pt>
                <c:pt idx="81">
                  <c:v>480.62848274879542</c:v>
                </c:pt>
                <c:pt idx="82">
                  <c:v>899.11822816746815</c:v>
                </c:pt>
                <c:pt idx="83">
                  <c:v>1084.441098746134</c:v>
                </c:pt>
                <c:pt idx="84">
                  <c:v>1042.197856953135</c:v>
                </c:pt>
                <c:pt idx="85">
                  <c:v>302.94922999750952</c:v>
                </c:pt>
                <c:pt idx="86">
                  <c:v>841.64949983374345</c:v>
                </c:pt>
                <c:pt idx="87">
                  <c:v>973.33512700297285</c:v>
                </c:pt>
                <c:pt idx="88">
                  <c:v>801.12428992705441</c:v>
                </c:pt>
                <c:pt idx="89">
                  <c:v>1161.2752681388549</c:v>
                </c:pt>
                <c:pt idx="90">
                  <c:v>467.40073994903167</c:v>
                </c:pt>
                <c:pt idx="91">
                  <c:v>1340.3058027406059</c:v>
                </c:pt>
                <c:pt idx="92">
                  <c:v>1119.3285801886609</c:v>
                </c:pt>
                <c:pt idx="93">
                  <c:v>815.77209617820529</c:v>
                </c:pt>
                <c:pt idx="94">
                  <c:v>1399.190997438363</c:v>
                </c:pt>
                <c:pt idx="95">
                  <c:v>599.39938385898768</c:v>
                </c:pt>
                <c:pt idx="96">
                  <c:v>745.03592289800804</c:v>
                </c:pt>
                <c:pt idx="97">
                  <c:v>594.1435862840151</c:v>
                </c:pt>
                <c:pt idx="98">
                  <c:v>340.0984549393936</c:v>
                </c:pt>
                <c:pt idx="99">
                  <c:v>1049.26403831999</c:v>
                </c:pt>
                <c:pt idx="100">
                  <c:v>902.19488853075541</c:v>
                </c:pt>
                <c:pt idx="101">
                  <c:v>526.5580681328704</c:v>
                </c:pt>
                <c:pt idx="102">
                  <c:v>1103.05835450258</c:v>
                </c:pt>
                <c:pt idx="103">
                  <c:v>968.70859193346837</c:v>
                </c:pt>
                <c:pt idx="104">
                  <c:v>736.06768581246274</c:v>
                </c:pt>
                <c:pt idx="105">
                  <c:v>386.38139212852678</c:v>
                </c:pt>
                <c:pt idx="106">
                  <c:v>469.1778674819476</c:v>
                </c:pt>
                <c:pt idx="107">
                  <c:v>498.75181721501241</c:v>
                </c:pt>
                <c:pt idx="108">
                  <c:v>451.86047491645638</c:v>
                </c:pt>
                <c:pt idx="109">
                  <c:v>1408.8412684195271</c:v>
                </c:pt>
                <c:pt idx="110">
                  <c:v>1251.20882915582</c:v>
                </c:pt>
                <c:pt idx="111">
                  <c:v>512.45749891888499</c:v>
                </c:pt>
                <c:pt idx="112">
                  <c:v>994.83343637337964</c:v>
                </c:pt>
                <c:pt idx="113">
                  <c:v>894.32595495804526</c:v>
                </c:pt>
                <c:pt idx="114">
                  <c:v>575.65152525243207</c:v>
                </c:pt>
                <c:pt idx="115">
                  <c:v>1027.942471087398</c:v>
                </c:pt>
                <c:pt idx="116">
                  <c:v>754.99714544963854</c:v>
                </c:pt>
                <c:pt idx="117">
                  <c:v>328.00459858047401</c:v>
                </c:pt>
                <c:pt idx="118">
                  <c:v>820.08193500838001</c:v>
                </c:pt>
                <c:pt idx="119">
                  <c:v>1459.893668561017</c:v>
                </c:pt>
                <c:pt idx="120">
                  <c:v>1386.5014194316329</c:v>
                </c:pt>
                <c:pt idx="121">
                  <c:v>867.10217362629533</c:v>
                </c:pt>
                <c:pt idx="122">
                  <c:v>984.64872997643101</c:v>
                </c:pt>
                <c:pt idx="123">
                  <c:v>532.98430683877609</c:v>
                </c:pt>
                <c:pt idx="124">
                  <c:v>1335.5491559638799</c:v>
                </c:pt>
                <c:pt idx="125">
                  <c:v>911.75194407294634</c:v>
                </c:pt>
                <c:pt idx="126">
                  <c:v>420.19107100649109</c:v>
                </c:pt>
                <c:pt idx="127">
                  <c:v>1138.9439763450359</c:v>
                </c:pt>
                <c:pt idx="128">
                  <c:v>1015.9924472955061</c:v>
                </c:pt>
                <c:pt idx="129">
                  <c:v>799.31486239923765</c:v>
                </c:pt>
                <c:pt idx="130">
                  <c:v>625.48144048993618</c:v>
                </c:pt>
                <c:pt idx="131">
                  <c:v>970.62874952287541</c:v>
                </c:pt>
                <c:pt idx="132">
                  <c:v>905.09328195009596</c:v>
                </c:pt>
                <c:pt idx="133">
                  <c:v>1321.240701376639</c:v>
                </c:pt>
                <c:pt idx="134">
                  <c:v>632.74888493453545</c:v>
                </c:pt>
                <c:pt idx="135">
                  <c:v>658.54513093283606</c:v>
                </c:pt>
                <c:pt idx="136">
                  <c:v>1058.2553474703741</c:v>
                </c:pt>
                <c:pt idx="137">
                  <c:v>1188.461165331636</c:v>
                </c:pt>
                <c:pt idx="138">
                  <c:v>540.40281323403997</c:v>
                </c:pt>
                <c:pt idx="139">
                  <c:v>505.836818781852</c:v>
                </c:pt>
                <c:pt idx="140">
                  <c:v>1130.3791760319129</c:v>
                </c:pt>
                <c:pt idx="141">
                  <c:v>321.19623247250729</c:v>
                </c:pt>
                <c:pt idx="142">
                  <c:v>711.23370881009214</c:v>
                </c:pt>
                <c:pt idx="143">
                  <c:v>742.44383258630216</c:v>
                </c:pt>
                <c:pt idx="144">
                  <c:v>622.60818471278344</c:v>
                </c:pt>
                <c:pt idx="145">
                  <c:v>756.85091463292724</c:v>
                </c:pt>
                <c:pt idx="146">
                  <c:v>475.7328549409533</c:v>
                </c:pt>
                <c:pt idx="147">
                  <c:v>779.70906277378231</c:v>
                </c:pt>
                <c:pt idx="148">
                  <c:v>484.30095586927217</c:v>
                </c:pt>
                <c:pt idx="149">
                  <c:v>1497.185787006144</c:v>
                </c:pt>
                <c:pt idx="150">
                  <c:v>1121.2688664833081</c:v>
                </c:pt>
                <c:pt idx="151">
                  <c:v>1291.3361311195069</c:v>
                </c:pt>
                <c:pt idx="152">
                  <c:v>1265.4748958349419</c:v>
                </c:pt>
                <c:pt idx="153">
                  <c:v>707.90931813205134</c:v>
                </c:pt>
                <c:pt idx="154">
                  <c:v>1484.6243814641221</c:v>
                </c:pt>
                <c:pt idx="155">
                  <c:v>617.50002578166254</c:v>
                </c:pt>
                <c:pt idx="156">
                  <c:v>446.0033245334352</c:v>
                </c:pt>
                <c:pt idx="157">
                  <c:v>796.50212897008078</c:v>
                </c:pt>
                <c:pt idx="158">
                  <c:v>1101.886053225254</c:v>
                </c:pt>
                <c:pt idx="159">
                  <c:v>931.21055785901979</c:v>
                </c:pt>
                <c:pt idx="160">
                  <c:v>1392.707347050828</c:v>
                </c:pt>
                <c:pt idx="161">
                  <c:v>584.58976948871555</c:v>
                </c:pt>
                <c:pt idx="162">
                  <c:v>1288.8254495376279</c:v>
                </c:pt>
                <c:pt idx="163">
                  <c:v>1344.9389442916331</c:v>
                </c:pt>
                <c:pt idx="164">
                  <c:v>392.40097664156929</c:v>
                </c:pt>
                <c:pt idx="165">
                  <c:v>552.27812540830928</c:v>
                </c:pt>
                <c:pt idx="166">
                  <c:v>645.22157818689175</c:v>
                </c:pt>
                <c:pt idx="167">
                  <c:v>665.1747174796385</c:v>
                </c:pt>
                <c:pt idx="168">
                  <c:v>1240.754443539701</c:v>
                </c:pt>
                <c:pt idx="169">
                  <c:v>1233.3481731655511</c:v>
                </c:pt>
                <c:pt idx="170">
                  <c:v>841.0457733940583</c:v>
                </c:pt>
                <c:pt idx="171">
                  <c:v>767.04317894877761</c:v>
                </c:pt>
                <c:pt idx="172">
                  <c:v>828.3142548484592</c:v>
                </c:pt>
                <c:pt idx="173">
                  <c:v>352.46538038875087</c:v>
                </c:pt>
                <c:pt idx="174">
                  <c:v>419.45825195615021</c:v>
                </c:pt>
                <c:pt idx="175">
                  <c:v>496.7649004882162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7E-4B37-90CE-C7DCD33F48EF}"/>
            </c:ext>
          </c:extLst>
        </c:ser>
        <c:ser>
          <c:idx val="4"/>
          <c:order val="4"/>
          <c:tx>
            <c:v>Inviable (n = 18)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Aux_graficos!$HN$2:$HN$19</c:f>
              <c:numCache>
                <c:formatCode>General</c:formatCode>
                <c:ptCount val="18"/>
                <c:pt idx="0">
                  <c:v>2805.7997396632072</c:v>
                </c:pt>
                <c:pt idx="1">
                  <c:v>4344.1781891148576</c:v>
                </c:pt>
                <c:pt idx="2">
                  <c:v>4275.300864904254</c:v>
                </c:pt>
                <c:pt idx="3">
                  <c:v>4866.2286470012423</c:v>
                </c:pt>
                <c:pt idx="4">
                  <c:v>2724.514536180277</c:v>
                </c:pt>
                <c:pt idx="5">
                  <c:v>2984.8245512269091</c:v>
                </c:pt>
                <c:pt idx="6">
                  <c:v>3126.873834830641</c:v>
                </c:pt>
                <c:pt idx="7">
                  <c:v>4221.2709021404407</c:v>
                </c:pt>
                <c:pt idx="8">
                  <c:v>4986.5635957990344</c:v>
                </c:pt>
                <c:pt idx="9">
                  <c:v>4288.4784288729388</c:v>
                </c:pt>
                <c:pt idx="10">
                  <c:v>2718.1615875074322</c:v>
                </c:pt>
                <c:pt idx="11">
                  <c:v>4578.1609320619227</c:v>
                </c:pt>
                <c:pt idx="12">
                  <c:v>2697.1902563420481</c:v>
                </c:pt>
                <c:pt idx="13">
                  <c:v>3930.850673891649</c:v>
                </c:pt>
                <c:pt idx="14">
                  <c:v>4057.762868975783</c:v>
                </c:pt>
                <c:pt idx="15">
                  <c:v>2081.0523578992979</c:v>
                </c:pt>
                <c:pt idx="16">
                  <c:v>4824.7091835220554</c:v>
                </c:pt>
                <c:pt idx="17">
                  <c:v>2410.5086122380399</c:v>
                </c:pt>
              </c:numCache>
            </c:numRef>
          </c:xVal>
          <c:yVal>
            <c:numRef>
              <c:f>Aux_graficos!$HM$2:$HM$19</c:f>
              <c:numCache>
                <c:formatCode>General</c:formatCode>
                <c:ptCount val="18"/>
                <c:pt idx="0">
                  <c:v>395.24024168871722</c:v>
                </c:pt>
                <c:pt idx="1">
                  <c:v>347.13542630991373</c:v>
                </c:pt>
                <c:pt idx="2">
                  <c:v>782.52545153384744</c:v>
                </c:pt>
                <c:pt idx="3">
                  <c:v>463.53699324956199</c:v>
                </c:pt>
                <c:pt idx="4">
                  <c:v>314.73215967940439</c:v>
                </c:pt>
                <c:pt idx="5">
                  <c:v>498.46904100200231</c:v>
                </c:pt>
                <c:pt idx="6">
                  <c:v>1247.611980786854</c:v>
                </c:pt>
                <c:pt idx="7">
                  <c:v>417.49418257396292</c:v>
                </c:pt>
                <c:pt idx="8">
                  <c:v>1254.520050129621</c:v>
                </c:pt>
                <c:pt idx="9">
                  <c:v>355.3037031327749</c:v>
                </c:pt>
                <c:pt idx="10">
                  <c:v>342.69578050168758</c:v>
                </c:pt>
                <c:pt idx="11">
                  <c:v>1366.330640150393</c:v>
                </c:pt>
                <c:pt idx="12">
                  <c:v>335.24030954492889</c:v>
                </c:pt>
                <c:pt idx="13">
                  <c:v>1196.501615209263</c:v>
                </c:pt>
                <c:pt idx="14">
                  <c:v>443.7957771416111</c:v>
                </c:pt>
                <c:pt idx="15">
                  <c:v>401.85024446344028</c:v>
                </c:pt>
                <c:pt idx="16">
                  <c:v>340.16206457801002</c:v>
                </c:pt>
                <c:pt idx="17">
                  <c:v>362.75858533845332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7E-4B37-90CE-C7DCD33F48EF}"/>
            </c:ext>
          </c:extLst>
        </c:ser>
        <c:ser>
          <c:idx val="5"/>
          <c:order val="5"/>
          <c:tx>
            <c:v>Inviable, fuera de rango (n = 5)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noFill/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Aux_graficos!$HP$2:$HP$6</c:f>
              <c:numCache>
                <c:formatCode>General</c:formatCode>
                <c:ptCount val="5"/>
                <c:pt idx="0">
                  <c:v>3022.8216603286228</c:v>
                </c:pt>
                <c:pt idx="1">
                  <c:v>3678.498952336176</c:v>
                </c:pt>
                <c:pt idx="2">
                  <c:v>3454.1609641972718</c:v>
                </c:pt>
                <c:pt idx="3">
                  <c:v>2771.6865619785408</c:v>
                </c:pt>
                <c:pt idx="4">
                  <c:v>4139.0756485346556</c:v>
                </c:pt>
              </c:numCache>
            </c:numRef>
          </c:xVal>
          <c:yVal>
            <c:numRef>
              <c:f>Aux_graficos!$HO$2:$HO$6</c:f>
              <c:numCache>
                <c:formatCode>General</c:formatCode>
                <c:ptCount val="5"/>
                <c:pt idx="0">
                  <c:v>388.3976991566941</c:v>
                </c:pt>
                <c:pt idx="1">
                  <c:v>304.7409728147116</c:v>
                </c:pt>
                <c:pt idx="2">
                  <c:v>306.85918415783817</c:v>
                </c:pt>
                <c:pt idx="3">
                  <c:v>367.77141340825159</c:v>
                </c:pt>
                <c:pt idx="4">
                  <c:v>379.12659497671069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7E-4B37-90CE-C7DCD33F48EF}"/>
            </c:ext>
          </c:extLst>
        </c:ser>
        <c:ser>
          <c:idx val="6"/>
          <c:order val="6"/>
          <c:tx>
            <c:v>No convergió (n = 35)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Aux_graficos!$HR$2:$HR$36</c:f>
              <c:numCache>
                <c:formatCode>General</c:formatCode>
                <c:ptCount val="35"/>
                <c:pt idx="0">
                  <c:v>4932.9941049818726</c:v>
                </c:pt>
                <c:pt idx="1">
                  <c:v>3466.398943143784</c:v>
                </c:pt>
                <c:pt idx="2">
                  <c:v>4631.0351358272801</c:v>
                </c:pt>
                <c:pt idx="3">
                  <c:v>2851.532116984768</c:v>
                </c:pt>
                <c:pt idx="4">
                  <c:v>2791.884670335216</c:v>
                </c:pt>
                <c:pt idx="5">
                  <c:v>4669.085636046515</c:v>
                </c:pt>
                <c:pt idx="6">
                  <c:v>2882.245216868926</c:v>
                </c:pt>
                <c:pt idx="7">
                  <c:v>3791.1020076979848</c:v>
                </c:pt>
                <c:pt idx="8">
                  <c:v>3094.0818694726422</c:v>
                </c:pt>
                <c:pt idx="9">
                  <c:v>4808.6258123185271</c:v>
                </c:pt>
                <c:pt idx="10">
                  <c:v>2579.4107798939558</c:v>
                </c:pt>
                <c:pt idx="11">
                  <c:v>2022.172409622757</c:v>
                </c:pt>
                <c:pt idx="12">
                  <c:v>4513.5865976184787</c:v>
                </c:pt>
                <c:pt idx="13">
                  <c:v>2171.2918927956262</c:v>
                </c:pt>
                <c:pt idx="14">
                  <c:v>4946.5693647241069</c:v>
                </c:pt>
                <c:pt idx="15">
                  <c:v>4851.7531111188709</c:v>
                </c:pt>
                <c:pt idx="16">
                  <c:v>2753.6006857557418</c:v>
                </c:pt>
                <c:pt idx="17">
                  <c:v>4536.4543133991274</c:v>
                </c:pt>
                <c:pt idx="18">
                  <c:v>2931.4705712881041</c:v>
                </c:pt>
                <c:pt idx="19">
                  <c:v>4784.5106025892464</c:v>
                </c:pt>
                <c:pt idx="20">
                  <c:v>3240.6004886381088</c:v>
                </c:pt>
                <c:pt idx="21">
                  <c:v>2706.7207150210079</c:v>
                </c:pt>
                <c:pt idx="22">
                  <c:v>4557.9368490783618</c:v>
                </c:pt>
                <c:pt idx="23">
                  <c:v>4762.457995218927</c:v>
                </c:pt>
                <c:pt idx="24">
                  <c:v>4374.2543917335888</c:v>
                </c:pt>
                <c:pt idx="25">
                  <c:v>2203.171124899518</c:v>
                </c:pt>
                <c:pt idx="26">
                  <c:v>4792.7421395355723</c:v>
                </c:pt>
                <c:pt idx="27">
                  <c:v>4467.2329289926574</c:v>
                </c:pt>
                <c:pt idx="28">
                  <c:v>4732.2769043324506</c:v>
                </c:pt>
                <c:pt idx="29">
                  <c:v>2944.9293216149358</c:v>
                </c:pt>
                <c:pt idx="30">
                  <c:v>4475.5589101845726</c:v>
                </c:pt>
                <c:pt idx="31">
                  <c:v>4120.8665446055484</c:v>
                </c:pt>
                <c:pt idx="32">
                  <c:v>4920.8803809184628</c:v>
                </c:pt>
                <c:pt idx="33">
                  <c:v>4593.339295432349</c:v>
                </c:pt>
                <c:pt idx="34">
                  <c:v>4079.3051310880769</c:v>
                </c:pt>
              </c:numCache>
            </c:numRef>
          </c:xVal>
          <c:yVal>
            <c:numRef>
              <c:f>Aux_graficos!$HQ$2:$HQ$36</c:f>
              <c:numCache>
                <c:formatCode>General</c:formatCode>
                <c:ptCount val="35"/>
                <c:pt idx="0">
                  <c:v>405.24034988169097</c:v>
                </c:pt>
                <c:pt idx="1">
                  <c:v>1350.2081524096679</c:v>
                </c:pt>
                <c:pt idx="2">
                  <c:v>1377.5145963458781</c:v>
                </c:pt>
                <c:pt idx="3">
                  <c:v>790.34816799795499</c:v>
                </c:pt>
                <c:pt idx="4">
                  <c:v>1344.8912614436899</c:v>
                </c:pt>
                <c:pt idx="5">
                  <c:v>1082.7540516489121</c:v>
                </c:pt>
                <c:pt idx="6">
                  <c:v>1296.884032185822</c:v>
                </c:pt>
                <c:pt idx="7">
                  <c:v>534.84921037824859</c:v>
                </c:pt>
                <c:pt idx="8">
                  <c:v>1098.026134950806</c:v>
                </c:pt>
                <c:pt idx="9">
                  <c:v>999.02813437823045</c:v>
                </c:pt>
                <c:pt idx="10">
                  <c:v>1129.3774894379501</c:v>
                </c:pt>
                <c:pt idx="11">
                  <c:v>851.25298658896372</c:v>
                </c:pt>
                <c:pt idx="12">
                  <c:v>1176.425328460281</c:v>
                </c:pt>
                <c:pt idx="13">
                  <c:v>962.64098893772598</c:v>
                </c:pt>
                <c:pt idx="14">
                  <c:v>948.77538894936515</c:v>
                </c:pt>
                <c:pt idx="15">
                  <c:v>821.59959528053378</c:v>
                </c:pt>
                <c:pt idx="16">
                  <c:v>1280.721496143582</c:v>
                </c:pt>
                <c:pt idx="17">
                  <c:v>328.58436098782579</c:v>
                </c:pt>
                <c:pt idx="18">
                  <c:v>1223.3270620521289</c:v>
                </c:pt>
                <c:pt idx="19">
                  <c:v>507.54537312511752</c:v>
                </c:pt>
                <c:pt idx="20">
                  <c:v>653.41981308364711</c:v>
                </c:pt>
                <c:pt idx="21">
                  <c:v>306.72838758274241</c:v>
                </c:pt>
                <c:pt idx="22">
                  <c:v>846.28201304261927</c:v>
                </c:pt>
                <c:pt idx="23">
                  <c:v>1418.5836332336439</c:v>
                </c:pt>
                <c:pt idx="24">
                  <c:v>1125.918556943843</c:v>
                </c:pt>
                <c:pt idx="25">
                  <c:v>938.90576560086004</c:v>
                </c:pt>
                <c:pt idx="26">
                  <c:v>333.56397417930879</c:v>
                </c:pt>
                <c:pt idx="27">
                  <c:v>641.81456661137645</c:v>
                </c:pt>
                <c:pt idx="28">
                  <c:v>947.20567007283955</c:v>
                </c:pt>
                <c:pt idx="29">
                  <c:v>1208.291031742486</c:v>
                </c:pt>
                <c:pt idx="30">
                  <c:v>925.98910726832196</c:v>
                </c:pt>
                <c:pt idx="31">
                  <c:v>527.03133707969459</c:v>
                </c:pt>
                <c:pt idx="32">
                  <c:v>1032.970525554797</c:v>
                </c:pt>
                <c:pt idx="33">
                  <c:v>1341.797200075589</c:v>
                </c:pt>
                <c:pt idx="34">
                  <c:v>472.88901566860011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7E-4B37-90CE-C7DCD33F48EF}"/>
            </c:ext>
          </c:extLst>
        </c:ser>
        <c:ser>
          <c:idx val="7"/>
          <c:order val="7"/>
          <c:tx>
            <c:v>Falso convergido (N2) (n = 13)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Aux_graficos!$HT$2:$HT$14</c:f>
              <c:numCache>
                <c:formatCode>General</c:formatCode>
                <c:ptCount val="13"/>
                <c:pt idx="0">
                  <c:v>3885.3970774790569</c:v>
                </c:pt>
                <c:pt idx="1">
                  <c:v>4629.4250474273622</c:v>
                </c:pt>
                <c:pt idx="2">
                  <c:v>4333.1156789015231</c:v>
                </c:pt>
                <c:pt idx="3">
                  <c:v>4672.0487492358943</c:v>
                </c:pt>
                <c:pt idx="4">
                  <c:v>4698.781225353001</c:v>
                </c:pt>
                <c:pt idx="5">
                  <c:v>4652.9592945739541</c:v>
                </c:pt>
                <c:pt idx="6">
                  <c:v>3904.2144688682488</c:v>
                </c:pt>
                <c:pt idx="7">
                  <c:v>2748.1891092757151</c:v>
                </c:pt>
                <c:pt idx="8">
                  <c:v>4432.8290325803346</c:v>
                </c:pt>
                <c:pt idx="9">
                  <c:v>4393.1005855979838</c:v>
                </c:pt>
                <c:pt idx="10">
                  <c:v>4636.0960996746398</c:v>
                </c:pt>
                <c:pt idx="11">
                  <c:v>2421.900119820586</c:v>
                </c:pt>
                <c:pt idx="12">
                  <c:v>4929.4334245506598</c:v>
                </c:pt>
              </c:numCache>
            </c:numRef>
          </c:xVal>
          <c:yVal>
            <c:numRef>
              <c:f>Aux_graficos!$HS$2:$HS$14</c:f>
              <c:numCache>
                <c:formatCode>General</c:formatCode>
                <c:ptCount val="13"/>
                <c:pt idx="0">
                  <c:v>490.84358744158521</c:v>
                </c:pt>
                <c:pt idx="1">
                  <c:v>473.45227107083252</c:v>
                </c:pt>
                <c:pt idx="2">
                  <c:v>398.5432911679855</c:v>
                </c:pt>
                <c:pt idx="3">
                  <c:v>383.19197587115201</c:v>
                </c:pt>
                <c:pt idx="4">
                  <c:v>826.73492297940311</c:v>
                </c:pt>
                <c:pt idx="5">
                  <c:v>600.67212900421248</c:v>
                </c:pt>
                <c:pt idx="6">
                  <c:v>1266.7706719379189</c:v>
                </c:pt>
                <c:pt idx="7">
                  <c:v>410.36577506406331</c:v>
                </c:pt>
                <c:pt idx="8">
                  <c:v>806.09390228266875</c:v>
                </c:pt>
                <c:pt idx="9">
                  <c:v>1370.024784885569</c:v>
                </c:pt>
                <c:pt idx="10">
                  <c:v>387.41923802042197</c:v>
                </c:pt>
                <c:pt idx="11">
                  <c:v>876.2542343533936</c:v>
                </c:pt>
                <c:pt idx="12">
                  <c:v>407.31624011368939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7E-4B37-90CE-C7DCD33F48EF}"/>
            </c:ext>
          </c:extLst>
        </c:ser>
        <c:ser>
          <c:idx val="8"/>
          <c:order val="8"/>
          <c:tx>
            <c:v>r_P = 1.69</c:v>
          </c:tx>
          <c:spPr>
            <a:ln w="220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Aux_graficos!$HV$2:$HV$3</c:f>
              <c:numCache>
                <c:formatCode>General</c:formatCode>
                <c:ptCount val="2"/>
                <c:pt idx="0">
                  <c:v>2005.3950733036199</c:v>
                </c:pt>
                <c:pt idx="1">
                  <c:v>4991.2342408864988</c:v>
                </c:pt>
              </c:numCache>
            </c:numRef>
          </c:xVal>
          <c:yVal>
            <c:numRef>
              <c:f>Aux_graficos!$HU$2:$HU$3</c:f>
              <c:numCache>
                <c:formatCode>General</c:formatCode>
                <c:ptCount val="2"/>
                <c:pt idx="0">
                  <c:v>1189.3408584267011</c:v>
                </c:pt>
                <c:pt idx="1">
                  <c:v>2960.154283657168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7E-4B37-90CE-C7DCD33F48EF}"/>
            </c:ext>
          </c:extLst>
        </c:ser>
        <c:ser>
          <c:idx val="9"/>
          <c:order val="9"/>
          <c:tx>
            <c:v>r_P = 5.34</c:v>
          </c:tx>
          <c:spPr>
            <a:ln w="220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Aux_graficos!$HX$2:$HX$3</c:f>
              <c:numCache>
                <c:formatCode>General</c:formatCode>
                <c:ptCount val="2"/>
                <c:pt idx="0">
                  <c:v>2005.3950733036199</c:v>
                </c:pt>
                <c:pt idx="1">
                  <c:v>4991.2342408864988</c:v>
                </c:pt>
              </c:numCache>
            </c:numRef>
          </c:xVal>
          <c:yVal>
            <c:numRef>
              <c:f>Aux_graficos!$HW$2:$HW$3</c:f>
              <c:numCache>
                <c:formatCode>General</c:formatCode>
                <c:ptCount val="2"/>
                <c:pt idx="0">
                  <c:v>375.58306402837019</c:v>
                </c:pt>
                <c:pt idx="1">
                  <c:v>934.78989473494494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7E-4B37-90CE-C7DCD33F4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000"/>
          <c:min val="200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500"/>
      </c:valAx>
      <c:valAx>
        <c:axId val="20"/>
        <c:scaling>
          <c:orientation val="minMax"/>
          <c:max val="1500"/>
          <c:min val="25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250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Influencia de cada variable sobre η (PRCC, 430 puntos)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PRCC sobre η [–]</c:v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AA9-43AA-A6A6-9483E3ABBCC6}"/>
              </c:ext>
            </c:extLst>
          </c:dPt>
          <c:dPt>
            <c:idx val="1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AA9-43AA-A6A6-9483E3ABBCC6}"/>
              </c:ext>
            </c:extLst>
          </c:dPt>
          <c:dPt>
            <c:idx val="2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AA9-43AA-A6A6-9483E3ABBCC6}"/>
              </c:ext>
            </c:extLst>
          </c:dPt>
          <c:dPt>
            <c:idx val="3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AA9-43AA-A6A6-9483E3ABBCC6}"/>
              </c:ext>
            </c:extLst>
          </c:dPt>
          <c:dPt>
            <c:idx val="4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AA9-43AA-A6A6-9483E3ABBCC6}"/>
              </c:ext>
            </c:extLst>
          </c:dPt>
          <c:dPt>
            <c:idx val="5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2AA9-43AA-A6A6-9483E3ABBCC6}"/>
              </c:ext>
            </c:extLst>
          </c:dPt>
          <c:dPt>
            <c:idx val="6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2AA9-43AA-A6A6-9483E3ABBCC6}"/>
              </c:ext>
            </c:extLst>
          </c:dPt>
          <c:dPt>
            <c:idx val="7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2AA9-43AA-A6A6-9483E3ABBCC6}"/>
              </c:ext>
            </c:extLst>
          </c:dPt>
          <c:dPt>
            <c:idx val="8"/>
            <c:invertIfNegative val="0"/>
            <c:bubble3D val="0"/>
            <c:spPr>
              <a:solidFill>
                <a:srgbClr val="2E7D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2AA9-43AA-A6A6-9483E3ABBCC6}"/>
              </c:ext>
            </c:extLst>
          </c:dPt>
          <c:dPt>
            <c:idx val="9"/>
            <c:invertIfNegative val="0"/>
            <c:bubble3D val="0"/>
            <c:spPr>
              <a:solidFill>
                <a:srgbClr val="C6282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AA9-43AA-A6A6-9483E3ABBCC6}"/>
              </c:ext>
            </c:extLst>
          </c:dPt>
          <c:cat>
            <c:strRef>
              <c:f>Aux_graficos!$HY$2:$HY$11</c:f>
              <c:strCache>
                <c:ptCount val="10"/>
                <c:pt idx="0">
                  <c:v>ε_HRVG</c:v>
                </c:pt>
                <c:pt idx="1">
                  <c:v>η_p</c:v>
                </c:pt>
                <c:pt idx="2">
                  <c:v>T_sumidero</c:v>
                </c:pt>
                <c:pt idx="3">
                  <c:v>ε_cond</c:v>
                </c:pt>
                <c:pt idx="4">
                  <c:v>x_b</c:v>
                </c:pt>
                <c:pt idx="5">
                  <c:v>ε_reg</c:v>
                </c:pt>
                <c:pt idx="6">
                  <c:v>T_fuente</c:v>
                </c:pt>
                <c:pt idx="7">
                  <c:v>η_t</c:v>
                </c:pt>
                <c:pt idx="8">
                  <c:v>P_alta</c:v>
                </c:pt>
                <c:pt idx="9">
                  <c:v>P_baja</c:v>
                </c:pt>
              </c:strCache>
            </c:strRef>
          </c:cat>
          <c:val>
            <c:numRef>
              <c:f>Aux_graficos!$HZ$2:$HZ$11</c:f>
              <c:numCache>
                <c:formatCode>General</c:formatCode>
                <c:ptCount val="10"/>
                <c:pt idx="0">
                  <c:v>8.2153099035861994E-3</c:v>
                </c:pt>
                <c:pt idx="1">
                  <c:v>9.5668594169822999E-3</c:v>
                </c:pt>
                <c:pt idx="2">
                  <c:v>-4.13820152979485E-2</c:v>
                </c:pt>
                <c:pt idx="3">
                  <c:v>8.3141722768132004E-2</c:v>
                </c:pt>
                <c:pt idx="4">
                  <c:v>0.23597628100633819</c:v>
                </c:pt>
                <c:pt idx="5">
                  <c:v>0.2665628772264057</c:v>
                </c:pt>
                <c:pt idx="6">
                  <c:v>0.29135392904585961</c:v>
                </c:pt>
                <c:pt idx="7">
                  <c:v>0.37516039029968368</c:v>
                </c:pt>
                <c:pt idx="8">
                  <c:v>0.58315508576315966</c:v>
                </c:pt>
                <c:pt idx="9">
                  <c:v>-0.68066346019492341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AA9-43AA-A6A6-9483E3ABB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Variable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PRCC sobre η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Diferencia de presiones, ΔP [kPa]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KALINA (n = 121)</c:v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0"/>
          <c:cat>
            <c:strRef>
              <c:f>Aux_graficos!$IA$2:$IA$21</c:f>
              <c:strCache>
                <c:ptCount val="20"/>
                <c:pt idx="0">
                  <c:v>655–851</c:v>
                </c:pt>
                <c:pt idx="1">
                  <c:v>851–1048</c:v>
                </c:pt>
                <c:pt idx="2">
                  <c:v>1048–1245</c:v>
                </c:pt>
                <c:pt idx="3">
                  <c:v>1245–1442</c:v>
                </c:pt>
                <c:pt idx="4">
                  <c:v>1442–1638</c:v>
                </c:pt>
                <c:pt idx="5">
                  <c:v>1638–1835</c:v>
                </c:pt>
                <c:pt idx="6">
                  <c:v>1835–2032</c:v>
                </c:pt>
                <c:pt idx="7">
                  <c:v>2032–2229</c:v>
                </c:pt>
                <c:pt idx="8">
                  <c:v>2229–2425</c:v>
                </c:pt>
                <c:pt idx="9">
                  <c:v>2425–2622</c:v>
                </c:pt>
                <c:pt idx="10">
                  <c:v>2622–2819</c:v>
                </c:pt>
                <c:pt idx="11">
                  <c:v>2819–3016</c:v>
                </c:pt>
                <c:pt idx="12">
                  <c:v>3016–3212</c:v>
                </c:pt>
                <c:pt idx="13">
                  <c:v>3212–3409</c:v>
                </c:pt>
                <c:pt idx="14">
                  <c:v>3409–3606</c:v>
                </c:pt>
                <c:pt idx="15">
                  <c:v>3606–3803</c:v>
                </c:pt>
                <c:pt idx="16">
                  <c:v>3803–3999</c:v>
                </c:pt>
                <c:pt idx="17">
                  <c:v>3999–4196</c:v>
                </c:pt>
                <c:pt idx="18">
                  <c:v>4196–4393</c:v>
                </c:pt>
                <c:pt idx="19">
                  <c:v>4393–4590</c:v>
                </c:pt>
              </c:strCache>
            </c:strRef>
          </c:cat>
          <c:val>
            <c:numRef>
              <c:f>Aux_graficos!$IB$2:$IB$21</c:f>
              <c:numCache>
                <c:formatCode>General</c:formatCode>
                <c:ptCount val="20"/>
                <c:pt idx="0">
                  <c:v>4</c:v>
                </c:pt>
                <c:pt idx="1">
                  <c:v>8</c:v>
                </c:pt>
                <c:pt idx="2">
                  <c:v>5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13</c:v>
                </c:pt>
                <c:pt idx="10">
                  <c:v>9</c:v>
                </c:pt>
                <c:pt idx="11">
                  <c:v>10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11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9-40F0-B883-6F864CDD5D93}"/>
            </c:ext>
          </c:extLst>
        </c:ser>
        <c:ser>
          <c:idx val="1"/>
          <c:order val="1"/>
          <c:tx>
            <c:v>resto (n = 331)</c:v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0"/>
          <c:cat>
            <c:strRef>
              <c:f>Aux_graficos!$IA$2:$IA$21</c:f>
              <c:strCache>
                <c:ptCount val="20"/>
                <c:pt idx="0">
                  <c:v>655–851</c:v>
                </c:pt>
                <c:pt idx="1">
                  <c:v>851–1048</c:v>
                </c:pt>
                <c:pt idx="2">
                  <c:v>1048–1245</c:v>
                </c:pt>
                <c:pt idx="3">
                  <c:v>1245–1442</c:v>
                </c:pt>
                <c:pt idx="4">
                  <c:v>1442–1638</c:v>
                </c:pt>
                <c:pt idx="5">
                  <c:v>1638–1835</c:v>
                </c:pt>
                <c:pt idx="6">
                  <c:v>1835–2032</c:v>
                </c:pt>
                <c:pt idx="7">
                  <c:v>2032–2229</c:v>
                </c:pt>
                <c:pt idx="8">
                  <c:v>2229–2425</c:v>
                </c:pt>
                <c:pt idx="9">
                  <c:v>2425–2622</c:v>
                </c:pt>
                <c:pt idx="10">
                  <c:v>2622–2819</c:v>
                </c:pt>
                <c:pt idx="11">
                  <c:v>2819–3016</c:v>
                </c:pt>
                <c:pt idx="12">
                  <c:v>3016–3212</c:v>
                </c:pt>
                <c:pt idx="13">
                  <c:v>3212–3409</c:v>
                </c:pt>
                <c:pt idx="14">
                  <c:v>3409–3606</c:v>
                </c:pt>
                <c:pt idx="15">
                  <c:v>3606–3803</c:v>
                </c:pt>
                <c:pt idx="16">
                  <c:v>3803–3999</c:v>
                </c:pt>
                <c:pt idx="17">
                  <c:v>3999–4196</c:v>
                </c:pt>
                <c:pt idx="18">
                  <c:v>4196–4393</c:v>
                </c:pt>
                <c:pt idx="19">
                  <c:v>4393–4590</c:v>
                </c:pt>
              </c:strCache>
            </c:strRef>
          </c:cat>
          <c:val>
            <c:numRef>
              <c:f>Aux_graficos!$IC$2:$IC$21</c:f>
              <c:numCache>
                <c:formatCode>General</c:formatCode>
                <c:ptCount val="20"/>
                <c:pt idx="0">
                  <c:v>6</c:v>
                </c:pt>
                <c:pt idx="1">
                  <c:v>6</c:v>
                </c:pt>
                <c:pt idx="2">
                  <c:v>9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25</c:v>
                </c:pt>
                <c:pt idx="7">
                  <c:v>24</c:v>
                </c:pt>
                <c:pt idx="8">
                  <c:v>25</c:v>
                </c:pt>
                <c:pt idx="9">
                  <c:v>20</c:v>
                </c:pt>
                <c:pt idx="10">
                  <c:v>31</c:v>
                </c:pt>
                <c:pt idx="11">
                  <c:v>21</c:v>
                </c:pt>
                <c:pt idx="12">
                  <c:v>17</c:v>
                </c:pt>
                <c:pt idx="13">
                  <c:v>26</c:v>
                </c:pt>
                <c:pt idx="14">
                  <c:v>20</c:v>
                </c:pt>
                <c:pt idx="15">
                  <c:v>12</c:v>
                </c:pt>
                <c:pt idx="16">
                  <c:v>13</c:v>
                </c:pt>
                <c:pt idx="17">
                  <c:v>12</c:v>
                </c:pt>
                <c:pt idx="18">
                  <c:v>6</c:v>
                </c:pt>
                <c:pt idx="1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9-40F0-B883-6F864CDD5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Diferencia de presiones, ΔP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Razón de presiones, r_P [–]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KALINA (n = 121)</c:v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0"/>
          <c:cat>
            <c:strRef>
              <c:f>Aux_graficos!$ID$2:$ID$21</c:f>
              <c:strCache>
                <c:ptCount val="20"/>
                <c:pt idx="0">
                  <c:v>1.5–2.1</c:v>
                </c:pt>
                <c:pt idx="1">
                  <c:v>2.1–2.8</c:v>
                </c:pt>
                <c:pt idx="2">
                  <c:v>2.8–3.4</c:v>
                </c:pt>
                <c:pt idx="3">
                  <c:v>3.4–4.1</c:v>
                </c:pt>
                <c:pt idx="4">
                  <c:v>4.1–4.7</c:v>
                </c:pt>
                <c:pt idx="5">
                  <c:v>4.7–5.4</c:v>
                </c:pt>
                <c:pt idx="6">
                  <c:v>5.4–6.0</c:v>
                </c:pt>
                <c:pt idx="7">
                  <c:v>6.0–6.7</c:v>
                </c:pt>
                <c:pt idx="8">
                  <c:v>6.7–7.3</c:v>
                </c:pt>
                <c:pt idx="9">
                  <c:v>7.3–8.0</c:v>
                </c:pt>
                <c:pt idx="10">
                  <c:v>8.0–8.6</c:v>
                </c:pt>
                <c:pt idx="11">
                  <c:v>8.6–9.3</c:v>
                </c:pt>
                <c:pt idx="12">
                  <c:v>9.3–9.9</c:v>
                </c:pt>
                <c:pt idx="13">
                  <c:v>9.9–10.5</c:v>
                </c:pt>
                <c:pt idx="14">
                  <c:v>10.5–11.2</c:v>
                </c:pt>
                <c:pt idx="15">
                  <c:v>11.2–11.8</c:v>
                </c:pt>
                <c:pt idx="16">
                  <c:v>11.8–12.5</c:v>
                </c:pt>
                <c:pt idx="17">
                  <c:v>12.5–13.1</c:v>
                </c:pt>
                <c:pt idx="18">
                  <c:v>13.1–13.8</c:v>
                </c:pt>
                <c:pt idx="19">
                  <c:v>13.8–14.4</c:v>
                </c:pt>
              </c:strCache>
            </c:strRef>
          </c:cat>
          <c:val>
            <c:numRef>
              <c:f>Aux_graficos!$IE$2:$IE$21</c:f>
              <c:numCache>
                <c:formatCode>General</c:formatCode>
                <c:ptCount val="20"/>
                <c:pt idx="0">
                  <c:v>18</c:v>
                </c:pt>
                <c:pt idx="1">
                  <c:v>32</c:v>
                </c:pt>
                <c:pt idx="2">
                  <c:v>24</c:v>
                </c:pt>
                <c:pt idx="3">
                  <c:v>19</c:v>
                </c:pt>
                <c:pt idx="4">
                  <c:v>16</c:v>
                </c:pt>
                <c:pt idx="5">
                  <c:v>6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57-4CE4-81F2-911AC85931FC}"/>
            </c:ext>
          </c:extLst>
        </c:ser>
        <c:ser>
          <c:idx val="1"/>
          <c:order val="1"/>
          <c:tx>
            <c:v>resto (n = 331)</c:v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0"/>
          <c:cat>
            <c:strRef>
              <c:f>Aux_graficos!$ID$2:$ID$21</c:f>
              <c:strCache>
                <c:ptCount val="20"/>
                <c:pt idx="0">
                  <c:v>1.5–2.1</c:v>
                </c:pt>
                <c:pt idx="1">
                  <c:v>2.1–2.8</c:v>
                </c:pt>
                <c:pt idx="2">
                  <c:v>2.8–3.4</c:v>
                </c:pt>
                <c:pt idx="3">
                  <c:v>3.4–4.1</c:v>
                </c:pt>
                <c:pt idx="4">
                  <c:v>4.1–4.7</c:v>
                </c:pt>
                <c:pt idx="5">
                  <c:v>4.7–5.4</c:v>
                </c:pt>
                <c:pt idx="6">
                  <c:v>5.4–6.0</c:v>
                </c:pt>
                <c:pt idx="7">
                  <c:v>6.0–6.7</c:v>
                </c:pt>
                <c:pt idx="8">
                  <c:v>6.7–7.3</c:v>
                </c:pt>
                <c:pt idx="9">
                  <c:v>7.3–8.0</c:v>
                </c:pt>
                <c:pt idx="10">
                  <c:v>8.0–8.6</c:v>
                </c:pt>
                <c:pt idx="11">
                  <c:v>8.6–9.3</c:v>
                </c:pt>
                <c:pt idx="12">
                  <c:v>9.3–9.9</c:v>
                </c:pt>
                <c:pt idx="13">
                  <c:v>9.9–10.5</c:v>
                </c:pt>
                <c:pt idx="14">
                  <c:v>10.5–11.2</c:v>
                </c:pt>
                <c:pt idx="15">
                  <c:v>11.2–11.8</c:v>
                </c:pt>
                <c:pt idx="16">
                  <c:v>11.8–12.5</c:v>
                </c:pt>
                <c:pt idx="17">
                  <c:v>12.5–13.1</c:v>
                </c:pt>
                <c:pt idx="18">
                  <c:v>13.1–13.8</c:v>
                </c:pt>
                <c:pt idx="19">
                  <c:v>13.8–14.4</c:v>
                </c:pt>
              </c:strCache>
            </c:strRef>
          </c:cat>
          <c:val>
            <c:numRef>
              <c:f>Aux_graficos!$IF$2:$IF$21</c:f>
              <c:numCache>
                <c:formatCode>General</c:formatCode>
                <c:ptCount val="20"/>
                <c:pt idx="0">
                  <c:v>26</c:v>
                </c:pt>
                <c:pt idx="1">
                  <c:v>37</c:v>
                </c:pt>
                <c:pt idx="2">
                  <c:v>43</c:v>
                </c:pt>
                <c:pt idx="3">
                  <c:v>42</c:v>
                </c:pt>
                <c:pt idx="4">
                  <c:v>43</c:v>
                </c:pt>
                <c:pt idx="5">
                  <c:v>21</c:v>
                </c:pt>
                <c:pt idx="6">
                  <c:v>29</c:v>
                </c:pt>
                <c:pt idx="7">
                  <c:v>10</c:v>
                </c:pt>
                <c:pt idx="8">
                  <c:v>22</c:v>
                </c:pt>
                <c:pt idx="9">
                  <c:v>13</c:v>
                </c:pt>
                <c:pt idx="10">
                  <c:v>7</c:v>
                </c:pt>
                <c:pt idx="11">
                  <c:v>12</c:v>
                </c:pt>
                <c:pt idx="12">
                  <c:v>8</c:v>
                </c:pt>
                <c:pt idx="13">
                  <c:v>6</c:v>
                </c:pt>
                <c:pt idx="14">
                  <c:v>1</c:v>
                </c:pt>
                <c:pt idx="15">
                  <c:v>2</c:v>
                </c:pt>
                <c:pt idx="16">
                  <c:v>4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57-4CE4-81F2-911AC8593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Razón de presiones, r_P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Fracción de KALINA al subir P_baja entre 1500 y 2500 kPa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de puntos KALINA</c:v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0"/>
          <c:cat>
            <c:strRef>
              <c:f>Aux_graficos!$IG$2:$IG$11</c:f>
              <c:strCache>
                <c:ptCount val="10"/>
                <c:pt idx="0">
                  <c:v>1500–1600</c:v>
                </c:pt>
                <c:pt idx="1">
                  <c:v>1600–1700</c:v>
                </c:pt>
                <c:pt idx="2">
                  <c:v>1700–1800</c:v>
                </c:pt>
                <c:pt idx="3">
                  <c:v>1800–1900</c:v>
                </c:pt>
                <c:pt idx="4">
                  <c:v>1900–2000</c:v>
                </c:pt>
                <c:pt idx="5">
                  <c:v>2000–2100</c:v>
                </c:pt>
                <c:pt idx="6">
                  <c:v>2100–2200</c:v>
                </c:pt>
                <c:pt idx="7">
                  <c:v>2200–2300</c:v>
                </c:pt>
                <c:pt idx="8">
                  <c:v>2300–2400</c:v>
                </c:pt>
                <c:pt idx="9">
                  <c:v>2400–2500</c:v>
                </c:pt>
              </c:strCache>
            </c:strRef>
          </c:cat>
          <c:val>
            <c:numRef>
              <c:f>Aux_graficos!$IH$2:$IH$11</c:f>
              <c:numCache>
                <c:formatCode>General</c:formatCode>
                <c:ptCount val="10"/>
                <c:pt idx="0">
                  <c:v>33.333333333333329</c:v>
                </c:pt>
                <c:pt idx="1">
                  <c:v>53.333333333333343</c:v>
                </c:pt>
                <c:pt idx="2">
                  <c:v>50</c:v>
                </c:pt>
                <c:pt idx="3">
                  <c:v>66.666666666666657</c:v>
                </c:pt>
                <c:pt idx="4">
                  <c:v>69.230769230769226</c:v>
                </c:pt>
                <c:pt idx="5">
                  <c:v>61.53846153846154</c:v>
                </c:pt>
                <c:pt idx="6">
                  <c:v>50</c:v>
                </c:pt>
                <c:pt idx="7">
                  <c:v>35.714285714285722</c:v>
                </c:pt>
                <c:pt idx="8">
                  <c:v>70</c:v>
                </c:pt>
                <c:pt idx="9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63-4CF1-B89B-F953C949C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Franja de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Escenario S1 (conserva sus temperaturas, T_fuente y T_sumidero): 4 KALINA de 119 evaluados, 2 confiables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2)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Aux_graficos!$IJ$2:$IJ$3</c:f>
              <c:numCache>
                <c:formatCode>General</c:formatCode>
                <c:ptCount val="2"/>
                <c:pt idx="0">
                  <c:v>3905.950043184831</c:v>
                </c:pt>
                <c:pt idx="1">
                  <c:v>3207.5192377314611</c:v>
                </c:pt>
              </c:numCache>
            </c:numRef>
          </c:xVal>
          <c:yVal>
            <c:numRef>
              <c:f>Aux_graficos!$II$2:$II$3</c:f>
              <c:numCache>
                <c:formatCode>General</c:formatCode>
                <c:ptCount val="2"/>
                <c:pt idx="0">
                  <c:v>1359.5567020080759</c:v>
                </c:pt>
                <c:pt idx="1">
                  <c:v>1965.6210847776449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95-42E7-A300-E002F94C3785}"/>
            </c:ext>
          </c:extLst>
        </c:ser>
        <c:ser>
          <c:idx val="1"/>
          <c:order val="1"/>
          <c:tx>
            <c:v>KALINA, fuera de rango (n = 2)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Aux_graficos!$IL$2:$IL$3</c:f>
              <c:numCache>
                <c:formatCode>General</c:formatCode>
                <c:ptCount val="2"/>
                <c:pt idx="0">
                  <c:v>2102.1987016533749</c:v>
                </c:pt>
                <c:pt idx="1">
                  <c:v>4719.6773890534396</c:v>
                </c:pt>
              </c:numCache>
            </c:numRef>
          </c:xVal>
          <c:yVal>
            <c:numRef>
              <c:f>Aux_graficos!$IK$2:$IK$3</c:f>
              <c:numCache>
                <c:formatCode>General</c:formatCode>
                <c:ptCount val="2"/>
                <c:pt idx="0">
                  <c:v>1591.9647958138869</c:v>
                </c:pt>
                <c:pt idx="1">
                  <c:v>1879.350696110967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A95-42E7-A300-E002F94C3785}"/>
            </c:ext>
          </c:extLst>
        </c:ser>
        <c:ser>
          <c:idx val="2"/>
          <c:order val="2"/>
          <c:tx>
            <c:v>Corregible (n = 5)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Aux_graficos!$IN$2:$IN$6</c:f>
              <c:numCache>
                <c:formatCode>General</c:formatCode>
                <c:ptCount val="5"/>
                <c:pt idx="0">
                  <c:v>3323.3369754558812</c:v>
                </c:pt>
                <c:pt idx="1">
                  <c:v>2085.1158458045138</c:v>
                </c:pt>
                <c:pt idx="2">
                  <c:v>3136.9064640869392</c:v>
                </c:pt>
                <c:pt idx="3">
                  <c:v>2398.19249006572</c:v>
                </c:pt>
                <c:pt idx="4">
                  <c:v>2203.3715211215681</c:v>
                </c:pt>
              </c:numCache>
            </c:numRef>
          </c:xVal>
          <c:yVal>
            <c:numRef>
              <c:f>Aux_graficos!$IM$2:$IM$6</c:f>
              <c:numCache>
                <c:formatCode>General</c:formatCode>
                <c:ptCount val="5"/>
                <c:pt idx="0">
                  <c:v>1307.691395215046</c:v>
                </c:pt>
                <c:pt idx="1">
                  <c:v>976.77855636983804</c:v>
                </c:pt>
                <c:pt idx="2">
                  <c:v>1720.241460276859</c:v>
                </c:pt>
                <c:pt idx="3">
                  <c:v>724.92788439780691</c:v>
                </c:pt>
                <c:pt idx="4">
                  <c:v>1311.578702812739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A95-42E7-A300-E002F94C3785}"/>
            </c:ext>
          </c:extLst>
        </c:ser>
        <c:ser>
          <c:idx val="3"/>
          <c:order val="3"/>
          <c:tx>
            <c:v>Corregible, fuera de rango (n = 35)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Aux_graficos!$IP$2:$IP$36</c:f>
              <c:numCache>
                <c:formatCode>General</c:formatCode>
                <c:ptCount val="35"/>
                <c:pt idx="0">
                  <c:v>3882.966114501743</c:v>
                </c:pt>
                <c:pt idx="1">
                  <c:v>3787.564501720889</c:v>
                </c:pt>
                <c:pt idx="2">
                  <c:v>3497.2603113745322</c:v>
                </c:pt>
                <c:pt idx="3">
                  <c:v>3943.3302381233789</c:v>
                </c:pt>
                <c:pt idx="4">
                  <c:v>4513.9973433807081</c:v>
                </c:pt>
                <c:pt idx="5">
                  <c:v>3522.0527527975041</c:v>
                </c:pt>
                <c:pt idx="6">
                  <c:v>4364.2983752583114</c:v>
                </c:pt>
                <c:pt idx="7">
                  <c:v>4153.5937530817946</c:v>
                </c:pt>
                <c:pt idx="8">
                  <c:v>3767.5371996639169</c:v>
                </c:pt>
                <c:pt idx="9">
                  <c:v>3161.9950305429411</c:v>
                </c:pt>
                <c:pt idx="10">
                  <c:v>3588.1085940089679</c:v>
                </c:pt>
                <c:pt idx="11">
                  <c:v>4755.8144696435311</c:v>
                </c:pt>
                <c:pt idx="12">
                  <c:v>3666.4066377897238</c:v>
                </c:pt>
                <c:pt idx="13">
                  <c:v>4229.8713196477647</c:v>
                </c:pt>
                <c:pt idx="14">
                  <c:v>3818.851880522423</c:v>
                </c:pt>
                <c:pt idx="15">
                  <c:v>3411.4154865030209</c:v>
                </c:pt>
                <c:pt idx="16">
                  <c:v>3358.3685752459028</c:v>
                </c:pt>
                <c:pt idx="17">
                  <c:v>4699.5621073220318</c:v>
                </c:pt>
                <c:pt idx="18">
                  <c:v>4453.2411436965631</c:v>
                </c:pt>
                <c:pt idx="19">
                  <c:v>4278.9352897957579</c:v>
                </c:pt>
                <c:pt idx="20">
                  <c:v>2917.9898505253632</c:v>
                </c:pt>
                <c:pt idx="21">
                  <c:v>2281.4903904499838</c:v>
                </c:pt>
                <c:pt idx="22">
                  <c:v>2576.2668072982478</c:v>
                </c:pt>
                <c:pt idx="23">
                  <c:v>3471.4825750997111</c:v>
                </c:pt>
                <c:pt idx="24">
                  <c:v>2044.1956790557761</c:v>
                </c:pt>
                <c:pt idx="25">
                  <c:v>2859.1180891237491</c:v>
                </c:pt>
                <c:pt idx="26">
                  <c:v>4538.0031523353919</c:v>
                </c:pt>
                <c:pt idx="27">
                  <c:v>4986.5809584552844</c:v>
                </c:pt>
                <c:pt idx="28">
                  <c:v>3573.8737340319458</c:v>
                </c:pt>
                <c:pt idx="29">
                  <c:v>4484.3217009826258</c:v>
                </c:pt>
                <c:pt idx="30">
                  <c:v>3625.8740492182528</c:v>
                </c:pt>
                <c:pt idx="31">
                  <c:v>2944.813164884155</c:v>
                </c:pt>
                <c:pt idx="32">
                  <c:v>3376.2539666928842</c:v>
                </c:pt>
                <c:pt idx="33">
                  <c:v>2722.778835331379</c:v>
                </c:pt>
                <c:pt idx="34">
                  <c:v>4840.6600453590399</c:v>
                </c:pt>
              </c:numCache>
            </c:numRef>
          </c:xVal>
          <c:yVal>
            <c:numRef>
              <c:f>Aux_graficos!$IO$2:$IO$36</c:f>
              <c:numCache>
                <c:formatCode>General</c:formatCode>
                <c:ptCount val="35"/>
                <c:pt idx="0">
                  <c:v>641.705417603971</c:v>
                </c:pt>
                <c:pt idx="1">
                  <c:v>934.08408169163738</c:v>
                </c:pt>
                <c:pt idx="2">
                  <c:v>955.74260065658677</c:v>
                </c:pt>
                <c:pt idx="3">
                  <c:v>1253.143857069151</c:v>
                </c:pt>
                <c:pt idx="4">
                  <c:v>343.52641303737693</c:v>
                </c:pt>
                <c:pt idx="5">
                  <c:v>1009.088868917098</c:v>
                </c:pt>
                <c:pt idx="6">
                  <c:v>888.02863922215488</c:v>
                </c:pt>
                <c:pt idx="7">
                  <c:v>1563.2807048180921</c:v>
                </c:pt>
                <c:pt idx="8">
                  <c:v>1927.8763965249991</c:v>
                </c:pt>
                <c:pt idx="9">
                  <c:v>1610.4523326951839</c:v>
                </c:pt>
                <c:pt idx="10">
                  <c:v>490.29057995806511</c:v>
                </c:pt>
                <c:pt idx="11">
                  <c:v>608.87070010766729</c:v>
                </c:pt>
                <c:pt idx="12">
                  <c:v>1028.4055409520649</c:v>
                </c:pt>
                <c:pt idx="13">
                  <c:v>804.46743440728301</c:v>
                </c:pt>
                <c:pt idx="14">
                  <c:v>1488.6910757713449</c:v>
                </c:pt>
                <c:pt idx="15">
                  <c:v>540.32768673923829</c:v>
                </c:pt>
                <c:pt idx="16">
                  <c:v>829.18018042678943</c:v>
                </c:pt>
                <c:pt idx="17">
                  <c:v>1861.4695625761731</c:v>
                </c:pt>
                <c:pt idx="18">
                  <c:v>481.31084552041091</c:v>
                </c:pt>
                <c:pt idx="19">
                  <c:v>1072.4232045456299</c:v>
                </c:pt>
                <c:pt idx="20">
                  <c:v>1215.632736319139</c:v>
                </c:pt>
                <c:pt idx="21">
                  <c:v>1492.1548126823359</c:v>
                </c:pt>
                <c:pt idx="22">
                  <c:v>301.32416839733878</c:v>
                </c:pt>
                <c:pt idx="23">
                  <c:v>1793.187018980638</c:v>
                </c:pt>
                <c:pt idx="24">
                  <c:v>576.26265014812168</c:v>
                </c:pt>
                <c:pt idx="25">
                  <c:v>383.60213310572698</c:v>
                </c:pt>
                <c:pt idx="26">
                  <c:v>1240.3974833641321</c:v>
                </c:pt>
                <c:pt idx="27">
                  <c:v>1979.5829147989909</c:v>
                </c:pt>
                <c:pt idx="28">
                  <c:v>1471.5215527779931</c:v>
                </c:pt>
                <c:pt idx="29">
                  <c:v>1543.290566990481</c:v>
                </c:pt>
                <c:pt idx="30">
                  <c:v>1517.0347020429469</c:v>
                </c:pt>
                <c:pt idx="31">
                  <c:v>524.98762556535814</c:v>
                </c:pt>
                <c:pt idx="32">
                  <c:v>1761.009657813463</c:v>
                </c:pt>
                <c:pt idx="33">
                  <c:v>1645.570825960443</c:v>
                </c:pt>
                <c:pt idx="34">
                  <c:v>1104.2787357679661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A95-42E7-A300-E002F94C3785}"/>
            </c:ext>
          </c:extLst>
        </c:ser>
        <c:ser>
          <c:idx val="4"/>
          <c:order val="4"/>
          <c:tx>
            <c:v>Inviable (n = 1)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Aux_graficos!$IR$2</c:f>
              <c:numCache>
                <c:formatCode>General</c:formatCode>
                <c:ptCount val="1"/>
                <c:pt idx="0">
                  <c:v>3193.3347924182631</c:v>
                </c:pt>
              </c:numCache>
            </c:numRef>
          </c:xVal>
          <c:yVal>
            <c:numRef>
              <c:f>Aux_graficos!$IQ$2</c:f>
              <c:numCache>
                <c:formatCode>General</c:formatCode>
                <c:ptCount val="1"/>
                <c:pt idx="0">
                  <c:v>755.94732973170017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A95-42E7-A300-E002F94C3785}"/>
            </c:ext>
          </c:extLst>
        </c:ser>
        <c:ser>
          <c:idx val="5"/>
          <c:order val="5"/>
          <c:tx>
            <c:v>Inviable, fuera de rango (n = 14)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noFill/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Aux_graficos!$IT$2:$IT$15</c:f>
              <c:numCache>
                <c:formatCode>General</c:formatCode>
                <c:ptCount val="14"/>
                <c:pt idx="0">
                  <c:v>2226.6090759620479</c:v>
                </c:pt>
                <c:pt idx="1">
                  <c:v>4003.360745790174</c:v>
                </c:pt>
                <c:pt idx="2">
                  <c:v>3038.1124234767881</c:v>
                </c:pt>
                <c:pt idx="3">
                  <c:v>2350.886432513078</c:v>
                </c:pt>
                <c:pt idx="4">
                  <c:v>4588.4618524778034</c:v>
                </c:pt>
                <c:pt idx="5">
                  <c:v>4556.6254645829122</c:v>
                </c:pt>
                <c:pt idx="6">
                  <c:v>4324.3518189810384</c:v>
                </c:pt>
                <c:pt idx="7">
                  <c:v>4119.2945345377893</c:v>
                </c:pt>
                <c:pt idx="8">
                  <c:v>2342.9523307605332</c:v>
                </c:pt>
                <c:pt idx="9">
                  <c:v>4644.311816525058</c:v>
                </c:pt>
                <c:pt idx="10">
                  <c:v>4131.499397817609</c:v>
                </c:pt>
                <c:pt idx="11">
                  <c:v>4933.0203256811355</c:v>
                </c:pt>
                <c:pt idx="12">
                  <c:v>3706.4376180252571</c:v>
                </c:pt>
                <c:pt idx="13">
                  <c:v>2841.6571478536471</c:v>
                </c:pt>
              </c:numCache>
            </c:numRef>
          </c:xVal>
          <c:yVal>
            <c:numRef>
              <c:f>Aux_graficos!$IS$2:$IS$15</c:f>
              <c:numCache>
                <c:formatCode>General</c:formatCode>
                <c:ptCount val="14"/>
                <c:pt idx="0">
                  <c:v>1736.317338473599</c:v>
                </c:pt>
                <c:pt idx="1">
                  <c:v>1169.543677446062</c:v>
                </c:pt>
                <c:pt idx="2">
                  <c:v>424.87524523048648</c:v>
                </c:pt>
                <c:pt idx="3">
                  <c:v>990.15000075526723</c:v>
                </c:pt>
                <c:pt idx="4">
                  <c:v>914.86920989947441</c:v>
                </c:pt>
                <c:pt idx="5">
                  <c:v>267.99083606100612</c:v>
                </c:pt>
                <c:pt idx="6">
                  <c:v>572.2184244159414</c:v>
                </c:pt>
                <c:pt idx="7">
                  <c:v>457.14303078273218</c:v>
                </c:pt>
                <c:pt idx="8">
                  <c:v>1136.0496655919201</c:v>
                </c:pt>
                <c:pt idx="9">
                  <c:v>1686.266109972614</c:v>
                </c:pt>
                <c:pt idx="10">
                  <c:v>1523.7656013583189</c:v>
                </c:pt>
                <c:pt idx="11">
                  <c:v>1753.3988631352399</c:v>
                </c:pt>
                <c:pt idx="12">
                  <c:v>202.1395101625765</c:v>
                </c:pt>
                <c:pt idx="13">
                  <c:v>1989.7169217922819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A95-42E7-A300-E002F94C3785}"/>
            </c:ext>
          </c:extLst>
        </c:ser>
        <c:ser>
          <c:idx val="6"/>
          <c:order val="6"/>
          <c:tx>
            <c:v>No convergió (n = 58)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Aux_graficos!$IV$2:$IV$59</c:f>
              <c:numCache>
                <c:formatCode>General</c:formatCode>
                <c:ptCount val="58"/>
                <c:pt idx="0">
                  <c:v>2511.3317796086549</c:v>
                </c:pt>
                <c:pt idx="1">
                  <c:v>3259.9230274503079</c:v>
                </c:pt>
                <c:pt idx="2">
                  <c:v>3051.570071415058</c:v>
                </c:pt>
                <c:pt idx="3">
                  <c:v>4414.5098926984574</c:v>
                </c:pt>
                <c:pt idx="4">
                  <c:v>3425.0932647520358</c:v>
                </c:pt>
                <c:pt idx="5">
                  <c:v>4621.8590884989044</c:v>
                </c:pt>
                <c:pt idx="6">
                  <c:v>2172.751910283414</c:v>
                </c:pt>
                <c:pt idx="7">
                  <c:v>4399.5373831666748</c:v>
                </c:pt>
                <c:pt idx="8">
                  <c:v>3836.4381922866692</c:v>
                </c:pt>
                <c:pt idx="9">
                  <c:v>4062.5786916976908</c:v>
                </c:pt>
                <c:pt idx="10">
                  <c:v>4196.4934311734396</c:v>
                </c:pt>
                <c:pt idx="11">
                  <c:v>2135.608310660421</c:v>
                </c:pt>
                <c:pt idx="12">
                  <c:v>4215.0666718714647</c:v>
                </c:pt>
                <c:pt idx="13">
                  <c:v>2448.346429314513</c:v>
                </c:pt>
                <c:pt idx="14">
                  <c:v>2074.429700505631</c:v>
                </c:pt>
                <c:pt idx="15">
                  <c:v>3676.2897409722582</c:v>
                </c:pt>
                <c:pt idx="16">
                  <c:v>2528.2341278414051</c:v>
                </c:pt>
                <c:pt idx="17">
                  <c:v>3237.8035114396489</c:v>
                </c:pt>
                <c:pt idx="18">
                  <c:v>2736.0798772012981</c:v>
                </c:pt>
                <c:pt idx="19">
                  <c:v>3010.748483926257</c:v>
                </c:pt>
                <c:pt idx="20">
                  <c:v>4893.4643993845821</c:v>
                </c:pt>
                <c:pt idx="21">
                  <c:v>4918.1127765862821</c:v>
                </c:pt>
                <c:pt idx="22">
                  <c:v>4963.5686201974167</c:v>
                </c:pt>
                <c:pt idx="23">
                  <c:v>3743.7894630672322</c:v>
                </c:pt>
                <c:pt idx="24">
                  <c:v>4674.0676638283448</c:v>
                </c:pt>
                <c:pt idx="25">
                  <c:v>2820.7482964229648</c:v>
                </c:pt>
                <c:pt idx="26">
                  <c:v>3531.2922655746152</c:v>
                </c:pt>
                <c:pt idx="27">
                  <c:v>4813.7012463992087</c:v>
                </c:pt>
                <c:pt idx="28">
                  <c:v>3086.1250396980731</c:v>
                </c:pt>
                <c:pt idx="29">
                  <c:v>2484.3314837722401</c:v>
                </c:pt>
                <c:pt idx="30">
                  <c:v>2559.6658226555769</c:v>
                </c:pt>
                <c:pt idx="31">
                  <c:v>4729.6521810664108</c:v>
                </c:pt>
                <c:pt idx="32">
                  <c:v>3333.0941200475008</c:v>
                </c:pt>
                <c:pt idx="33">
                  <c:v>3965.7227335249208</c:v>
                </c:pt>
                <c:pt idx="34">
                  <c:v>3615.6213288970248</c:v>
                </c:pt>
                <c:pt idx="35">
                  <c:v>4798.2442926640542</c:v>
                </c:pt>
                <c:pt idx="36">
                  <c:v>2955.0200224440882</c:v>
                </c:pt>
                <c:pt idx="37">
                  <c:v>4334.2913017448254</c:v>
                </c:pt>
                <c:pt idx="38">
                  <c:v>2633.296027164602</c:v>
                </c:pt>
                <c:pt idx="39">
                  <c:v>2401.477527370052</c:v>
                </c:pt>
                <c:pt idx="40">
                  <c:v>4872.5953378383219</c:v>
                </c:pt>
                <c:pt idx="41">
                  <c:v>2196.6390627249971</c:v>
                </c:pt>
                <c:pt idx="42">
                  <c:v>2776.727436590294</c:v>
                </c:pt>
                <c:pt idx="43">
                  <c:v>2884.7954406049612</c:v>
                </c:pt>
                <c:pt idx="44">
                  <c:v>2611.522347354427</c:v>
                </c:pt>
                <c:pt idx="45">
                  <c:v>2270.238421742054</c:v>
                </c:pt>
                <c:pt idx="46">
                  <c:v>4094.9566647205888</c:v>
                </c:pt>
                <c:pt idx="47">
                  <c:v>3112.6688341816189</c:v>
                </c:pt>
                <c:pt idx="48">
                  <c:v>2979.3880036330202</c:v>
                </c:pt>
                <c:pt idx="49">
                  <c:v>4258.4414246327578</c:v>
                </c:pt>
                <c:pt idx="50">
                  <c:v>2670.2140366660728</c:v>
                </c:pt>
                <c:pt idx="51">
                  <c:v>4440.0006621728153</c:v>
                </c:pt>
                <c:pt idx="52">
                  <c:v>2317.5183035960299</c:v>
                </c:pt>
                <c:pt idx="53">
                  <c:v>2682.8190813152951</c:v>
                </c:pt>
                <c:pt idx="54">
                  <c:v>3979.868505329629</c:v>
                </c:pt>
                <c:pt idx="55">
                  <c:v>3855.385770241006</c:v>
                </c:pt>
                <c:pt idx="56">
                  <c:v>2460.910170068099</c:v>
                </c:pt>
                <c:pt idx="57">
                  <c:v>3297.3283611920788</c:v>
                </c:pt>
              </c:numCache>
            </c:numRef>
          </c:xVal>
          <c:yVal>
            <c:numRef>
              <c:f>Aux_graficos!$IU$2:$IU$59</c:f>
              <c:numCache>
                <c:formatCode>General</c:formatCode>
                <c:ptCount val="58"/>
                <c:pt idx="0">
                  <c:v>1714.1356685979979</c:v>
                </c:pt>
                <c:pt idx="1">
                  <c:v>257.70407658169597</c:v>
                </c:pt>
                <c:pt idx="2">
                  <c:v>1373.1686249731081</c:v>
                </c:pt>
                <c:pt idx="3">
                  <c:v>858.82421908959827</c:v>
                </c:pt>
                <c:pt idx="4">
                  <c:v>1815.5791228306341</c:v>
                </c:pt>
                <c:pt idx="5">
                  <c:v>680.4407400432583</c:v>
                </c:pt>
                <c:pt idx="6">
                  <c:v>397.63843524985691</c:v>
                </c:pt>
                <c:pt idx="7">
                  <c:v>1043.7881249224879</c:v>
                </c:pt>
                <c:pt idx="8">
                  <c:v>662.985062927439</c:v>
                </c:pt>
                <c:pt idx="9">
                  <c:v>244.36318747548921</c:v>
                </c:pt>
                <c:pt idx="10">
                  <c:v>1838.6820288874089</c:v>
                </c:pt>
                <c:pt idx="11">
                  <c:v>1348.7364938803289</c:v>
                </c:pt>
                <c:pt idx="12">
                  <c:v>1569.905076069427</c:v>
                </c:pt>
                <c:pt idx="13">
                  <c:v>331.10254336888289</c:v>
                </c:pt>
                <c:pt idx="14">
                  <c:v>453.88861908087853</c:v>
                </c:pt>
                <c:pt idx="15">
                  <c:v>1059.918723065527</c:v>
                </c:pt>
                <c:pt idx="16">
                  <c:v>1954.272502093258</c:v>
                </c:pt>
                <c:pt idx="17">
                  <c:v>1880.5098189903799</c:v>
                </c:pt>
                <c:pt idx="18">
                  <c:v>861.03575315996932</c:v>
                </c:pt>
                <c:pt idx="19">
                  <c:v>1093.290578471443</c:v>
                </c:pt>
                <c:pt idx="20">
                  <c:v>1786.4112878574911</c:v>
                </c:pt>
                <c:pt idx="21">
                  <c:v>1635.2715696706921</c:v>
                </c:pt>
                <c:pt idx="22">
                  <c:v>700.60688950545796</c:v>
                </c:pt>
                <c:pt idx="23">
                  <c:v>1177.6895047512739</c:v>
                </c:pt>
                <c:pt idx="24">
                  <c:v>1126.8867559930129</c:v>
                </c:pt>
                <c:pt idx="25">
                  <c:v>314.62968974670162</c:v>
                </c:pt>
                <c:pt idx="26">
                  <c:v>1662.0208720773489</c:v>
                </c:pt>
                <c:pt idx="27">
                  <c:v>1414.3485262397601</c:v>
                </c:pt>
                <c:pt idx="28">
                  <c:v>1223.093120281681</c:v>
                </c:pt>
                <c:pt idx="29">
                  <c:v>376.99807064192601</c:v>
                </c:pt>
                <c:pt idx="30">
                  <c:v>1386.2169145668099</c:v>
                </c:pt>
                <c:pt idx="31">
                  <c:v>621.49546668698667</c:v>
                </c:pt>
                <c:pt idx="32">
                  <c:v>1430.7702948312169</c:v>
                </c:pt>
                <c:pt idx="33">
                  <c:v>1280.1866654652081</c:v>
                </c:pt>
                <c:pt idx="34">
                  <c:v>899.15775650685055</c:v>
                </c:pt>
                <c:pt idx="35">
                  <c:v>1194.619977855655</c:v>
                </c:pt>
                <c:pt idx="36">
                  <c:v>1023.011635302588</c:v>
                </c:pt>
                <c:pt idx="37">
                  <c:v>1915.5735069014661</c:v>
                </c:pt>
                <c:pt idx="38">
                  <c:v>1420.672726862932</c:v>
                </c:pt>
                <c:pt idx="39">
                  <c:v>553.83370347515915</c:v>
                </c:pt>
                <c:pt idx="40">
                  <c:v>1335.256319448823</c:v>
                </c:pt>
                <c:pt idx="41">
                  <c:v>677.46804704846124</c:v>
                </c:pt>
                <c:pt idx="42">
                  <c:v>439.75750084010292</c:v>
                </c:pt>
                <c:pt idx="43">
                  <c:v>726.31676841161914</c:v>
                </c:pt>
                <c:pt idx="44">
                  <c:v>222.47859140792281</c:v>
                </c:pt>
                <c:pt idx="45">
                  <c:v>796.80535791092836</c:v>
                </c:pt>
                <c:pt idx="46">
                  <c:v>780.69535184295637</c:v>
                </c:pt>
                <c:pt idx="47">
                  <c:v>1896.9266868107779</c:v>
                </c:pt>
                <c:pt idx="48">
                  <c:v>508.00009975005651</c:v>
                </c:pt>
                <c:pt idx="49">
                  <c:v>1153.1459118808541</c:v>
                </c:pt>
                <c:pt idx="50">
                  <c:v>597.21508964360532</c:v>
                </c:pt>
                <c:pt idx="51">
                  <c:v>1682.8471164232919</c:v>
                </c:pt>
                <c:pt idx="52">
                  <c:v>1447.740268610238</c:v>
                </c:pt>
                <c:pt idx="53">
                  <c:v>948.73280083851921</c:v>
                </c:pt>
                <c:pt idx="54">
                  <c:v>278.50025888780038</c:v>
                </c:pt>
                <c:pt idx="55">
                  <c:v>1607.4257967410599</c:v>
                </c:pt>
                <c:pt idx="56">
                  <c:v>843.60076443149728</c:v>
                </c:pt>
                <c:pt idx="57">
                  <c:v>359.40880579484872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A95-42E7-A300-E002F94C3785}"/>
            </c:ext>
          </c:extLst>
        </c:ser>
        <c:ser>
          <c:idx val="7"/>
          <c:order val="7"/>
          <c:tx>
            <c:v>Falso convergido (N2) (n = 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Aux_graficos!$IX$2:$IX$3</c:f>
              <c:numCache>
                <c:formatCode>General</c:formatCode>
                <c:ptCount val="2"/>
                <c:pt idx="0">
                  <c:v>2774.908884424553</c:v>
                </c:pt>
                <c:pt idx="1">
                  <c:v>4027.7327712390052</c:v>
                </c:pt>
              </c:numCache>
            </c:numRef>
          </c:xVal>
          <c:yVal>
            <c:numRef>
              <c:f>Aux_graficos!$IW$2:$IW$3</c:f>
              <c:numCache>
                <c:formatCode>General</c:formatCode>
                <c:ptCount val="2"/>
                <c:pt idx="0">
                  <c:v>745.8991327141955</c:v>
                </c:pt>
                <c:pt idx="1">
                  <c:v>1267.927605355789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A95-42E7-A300-E002F94C3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000"/>
          <c:min val="200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500"/>
      </c:valAx>
      <c:valAx>
        <c:axId val="20"/>
        <c:scaling>
          <c:orientation val="minMax"/>
          <c:max val="2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500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Escenario S2 (conserva sus presiones, P_alta y P_baja): 0 KALINA de 120 evaluados, 0 confiables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Corregible (n = 12)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Aux_graficos!$IZ$2:$IZ$13</c:f>
              <c:numCache>
                <c:formatCode>General</c:formatCode>
                <c:ptCount val="12"/>
                <c:pt idx="0">
                  <c:v>413.42092850499682</c:v>
                </c:pt>
                <c:pt idx="1">
                  <c:v>385.1452257523793</c:v>
                </c:pt>
                <c:pt idx="2">
                  <c:v>399.04622143462939</c:v>
                </c:pt>
                <c:pt idx="3">
                  <c:v>391.15834678542791</c:v>
                </c:pt>
                <c:pt idx="4">
                  <c:v>404.25537762404372</c:v>
                </c:pt>
                <c:pt idx="5">
                  <c:v>550.59100860337048</c:v>
                </c:pt>
                <c:pt idx="6">
                  <c:v>455.52707300844918</c:v>
                </c:pt>
                <c:pt idx="7">
                  <c:v>448.82503694376612</c:v>
                </c:pt>
                <c:pt idx="8">
                  <c:v>534.0815165655772</c:v>
                </c:pt>
                <c:pt idx="9">
                  <c:v>450.66451020521242</c:v>
                </c:pt>
                <c:pt idx="10">
                  <c:v>407.55318811460552</c:v>
                </c:pt>
                <c:pt idx="11">
                  <c:v>483.55051319640239</c:v>
                </c:pt>
              </c:numCache>
            </c:numRef>
          </c:xVal>
          <c:yVal>
            <c:numRef>
              <c:f>Aux_graficos!$IY$2:$IY$13</c:f>
              <c:numCache>
                <c:formatCode>General</c:formatCode>
                <c:ptCount val="12"/>
                <c:pt idx="0">
                  <c:v>0.9416846745237536</c:v>
                </c:pt>
                <c:pt idx="1">
                  <c:v>0.75529828443009328</c:v>
                </c:pt>
                <c:pt idx="2">
                  <c:v>0.78217533477418999</c:v>
                </c:pt>
                <c:pt idx="3">
                  <c:v>0.92344951664261243</c:v>
                </c:pt>
                <c:pt idx="4">
                  <c:v>0.84208240100270437</c:v>
                </c:pt>
                <c:pt idx="5">
                  <c:v>0.91024202082384642</c:v>
                </c:pt>
                <c:pt idx="6">
                  <c:v>0.9351120758519712</c:v>
                </c:pt>
                <c:pt idx="7">
                  <c:v>0.70180621063578519</c:v>
                </c:pt>
                <c:pt idx="8">
                  <c:v>0.72944795210936575</c:v>
                </c:pt>
                <c:pt idx="9">
                  <c:v>0.63410556742878532</c:v>
                </c:pt>
                <c:pt idx="10">
                  <c:v>0.89029001631679794</c:v>
                </c:pt>
                <c:pt idx="11">
                  <c:v>0.59531416973377493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59-49BC-AA9D-80B2EB56BA61}"/>
            </c:ext>
          </c:extLst>
        </c:ser>
        <c:ser>
          <c:idx val="1"/>
          <c:order val="1"/>
          <c:tx>
            <c:v>Corregible, fuera de rango (n = 45)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Aux_graficos!$JB$2:$JB$46</c:f>
              <c:numCache>
                <c:formatCode>General</c:formatCode>
                <c:ptCount val="45"/>
                <c:pt idx="0">
                  <c:v>479.26013938846057</c:v>
                </c:pt>
                <c:pt idx="1">
                  <c:v>545.04147996965071</c:v>
                </c:pt>
                <c:pt idx="2">
                  <c:v>531.40863723418909</c:v>
                </c:pt>
                <c:pt idx="3">
                  <c:v>520.06747828813002</c:v>
                </c:pt>
                <c:pt idx="4">
                  <c:v>612.16005710929983</c:v>
                </c:pt>
                <c:pt idx="5">
                  <c:v>473.7371693257702</c:v>
                </c:pt>
                <c:pt idx="6">
                  <c:v>492.02216833928412</c:v>
                </c:pt>
                <c:pt idx="7">
                  <c:v>580.47844662147099</c:v>
                </c:pt>
                <c:pt idx="8">
                  <c:v>481.74456532978422</c:v>
                </c:pt>
                <c:pt idx="9">
                  <c:v>432.95427781061568</c:v>
                </c:pt>
                <c:pt idx="10">
                  <c:v>435.4917432016901</c:v>
                </c:pt>
                <c:pt idx="11">
                  <c:v>526.02816518554141</c:v>
                </c:pt>
                <c:pt idx="12">
                  <c:v>465.04661619855068</c:v>
                </c:pt>
                <c:pt idx="13">
                  <c:v>619.49988337114337</c:v>
                </c:pt>
                <c:pt idx="14">
                  <c:v>575.46626507455471</c:v>
                </c:pt>
                <c:pt idx="15">
                  <c:v>566.44310063500461</c:v>
                </c:pt>
                <c:pt idx="16">
                  <c:v>621.7738417497867</c:v>
                </c:pt>
                <c:pt idx="17">
                  <c:v>502.21927353802408</c:v>
                </c:pt>
                <c:pt idx="18">
                  <c:v>541.36811716596605</c:v>
                </c:pt>
                <c:pt idx="19">
                  <c:v>466.57956014236407</c:v>
                </c:pt>
                <c:pt idx="20">
                  <c:v>516.51537253024503</c:v>
                </c:pt>
                <c:pt idx="21">
                  <c:v>607.84431513036827</c:v>
                </c:pt>
                <c:pt idx="22">
                  <c:v>507.71743931533831</c:v>
                </c:pt>
                <c:pt idx="23">
                  <c:v>451.64778430061011</c:v>
                </c:pt>
                <c:pt idx="24">
                  <c:v>461.60229667701572</c:v>
                </c:pt>
                <c:pt idx="25">
                  <c:v>460.4262103026266</c:v>
                </c:pt>
                <c:pt idx="26">
                  <c:v>616.85286317373436</c:v>
                </c:pt>
                <c:pt idx="27">
                  <c:v>588.24921431409507</c:v>
                </c:pt>
                <c:pt idx="28">
                  <c:v>536.71622129793479</c:v>
                </c:pt>
                <c:pt idx="29">
                  <c:v>559.72628479505659</c:v>
                </c:pt>
                <c:pt idx="30">
                  <c:v>490.29665978829178</c:v>
                </c:pt>
                <c:pt idx="31">
                  <c:v>458.05889656030593</c:v>
                </c:pt>
                <c:pt idx="32">
                  <c:v>572.10966690996554</c:v>
                </c:pt>
                <c:pt idx="33">
                  <c:v>505.72674089419331</c:v>
                </c:pt>
                <c:pt idx="34">
                  <c:v>609.66623554292119</c:v>
                </c:pt>
                <c:pt idx="35">
                  <c:v>529.08078960558726</c:v>
                </c:pt>
                <c:pt idx="36">
                  <c:v>582.67834635602037</c:v>
                </c:pt>
                <c:pt idx="37">
                  <c:v>468.32922473909559</c:v>
                </c:pt>
                <c:pt idx="38">
                  <c:v>578.2386804758994</c:v>
                </c:pt>
                <c:pt idx="39">
                  <c:v>471.6864310558455</c:v>
                </c:pt>
                <c:pt idx="40">
                  <c:v>538.48762033133971</c:v>
                </c:pt>
                <c:pt idx="41">
                  <c:v>443.68001648511188</c:v>
                </c:pt>
                <c:pt idx="42">
                  <c:v>499.60190482529839</c:v>
                </c:pt>
                <c:pt idx="43">
                  <c:v>589.46987491276684</c:v>
                </c:pt>
                <c:pt idx="44">
                  <c:v>513.73839219943375</c:v>
                </c:pt>
              </c:numCache>
            </c:numRef>
          </c:xVal>
          <c:yVal>
            <c:numRef>
              <c:f>Aux_graficos!$JA$2:$JA$46</c:f>
              <c:numCache>
                <c:formatCode>General</c:formatCode>
                <c:ptCount val="45"/>
                <c:pt idx="0">
                  <c:v>0.58432321247586216</c:v>
                </c:pt>
                <c:pt idx="1">
                  <c:v>0.89166414141511008</c:v>
                </c:pt>
                <c:pt idx="2">
                  <c:v>0.90282205960506279</c:v>
                </c:pt>
                <c:pt idx="3">
                  <c:v>0.69501754038255226</c:v>
                </c:pt>
                <c:pt idx="4">
                  <c:v>0.74967041438256343</c:v>
                </c:pt>
                <c:pt idx="5">
                  <c:v>0.64366373015482348</c:v>
                </c:pt>
                <c:pt idx="6">
                  <c:v>0.93721507399332837</c:v>
                </c:pt>
                <c:pt idx="7">
                  <c:v>0.92882756790203758</c:v>
                </c:pt>
                <c:pt idx="8">
                  <c:v>0.40992949101159309</c:v>
                </c:pt>
                <c:pt idx="9">
                  <c:v>0.57293192879444188</c:v>
                </c:pt>
                <c:pt idx="10">
                  <c:v>0.64915219213337871</c:v>
                </c:pt>
                <c:pt idx="11">
                  <c:v>0.87351021880896629</c:v>
                </c:pt>
                <c:pt idx="12">
                  <c:v>0.66669016552415405</c:v>
                </c:pt>
                <c:pt idx="13">
                  <c:v>0.60181460277289056</c:v>
                </c:pt>
                <c:pt idx="14">
                  <c:v>0.61772041121977805</c:v>
                </c:pt>
                <c:pt idx="15">
                  <c:v>0.70414469388298639</c:v>
                </c:pt>
                <c:pt idx="16">
                  <c:v>0.63069014026925174</c:v>
                </c:pt>
                <c:pt idx="17">
                  <c:v>0.42680631687175441</c:v>
                </c:pt>
                <c:pt idx="18">
                  <c:v>0.80693242516553754</c:v>
                </c:pt>
                <c:pt idx="19">
                  <c:v>0.52454936733219226</c:v>
                </c:pt>
                <c:pt idx="20">
                  <c:v>0.91961968927136062</c:v>
                </c:pt>
                <c:pt idx="21">
                  <c:v>0.55686886847518613</c:v>
                </c:pt>
                <c:pt idx="22">
                  <c:v>0.78569680136205911</c:v>
                </c:pt>
                <c:pt idx="23">
                  <c:v>0.91755540214984321</c:v>
                </c:pt>
                <c:pt idx="24">
                  <c:v>0.48459481867409782</c:v>
                </c:pt>
                <c:pt idx="25">
                  <c:v>0.79724725151310505</c:v>
                </c:pt>
                <c:pt idx="26">
                  <c:v>0.71322396242592545</c:v>
                </c:pt>
                <c:pt idx="27">
                  <c:v>0.81813182560715214</c:v>
                </c:pt>
                <c:pt idx="28">
                  <c:v>0.77863360210470001</c:v>
                </c:pt>
                <c:pt idx="29">
                  <c:v>0.7089066144148638</c:v>
                </c:pt>
                <c:pt idx="30">
                  <c:v>0.482092233996396</c:v>
                </c:pt>
                <c:pt idx="31">
                  <c:v>0.8815891332302126</c:v>
                </c:pt>
                <c:pt idx="32">
                  <c:v>0.62474334655536179</c:v>
                </c:pt>
                <c:pt idx="33">
                  <c:v>0.72040182151991616</c:v>
                </c:pt>
                <c:pt idx="34">
                  <c:v>0.5305130062838842</c:v>
                </c:pt>
                <c:pt idx="35">
                  <c:v>0.65480178030100777</c:v>
                </c:pt>
                <c:pt idx="36">
                  <c:v>0.86205520156008819</c:v>
                </c:pt>
                <c:pt idx="37">
                  <c:v>0.79908825988313392</c:v>
                </c:pt>
                <c:pt idx="38">
                  <c:v>0.83148102804778068</c:v>
                </c:pt>
                <c:pt idx="39">
                  <c:v>0.63956127217065928</c:v>
                </c:pt>
                <c:pt idx="40">
                  <c:v>0.8661478979222853</c:v>
                </c:pt>
                <c:pt idx="41">
                  <c:v>0.67222635270133657</c:v>
                </c:pt>
                <c:pt idx="42">
                  <c:v>0.82748534500520488</c:v>
                </c:pt>
                <c:pt idx="43">
                  <c:v>0.7678992029010272</c:v>
                </c:pt>
                <c:pt idx="44">
                  <c:v>0.73188226018078528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59-49BC-AA9D-80B2EB56BA61}"/>
            </c:ext>
          </c:extLst>
        </c:ser>
        <c:ser>
          <c:idx val="2"/>
          <c:order val="2"/>
          <c:tx>
            <c:v>Inviable (n = 19)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Aux_graficos!$JD$2:$JD$20</c:f>
              <c:numCache>
                <c:formatCode>General</c:formatCode>
                <c:ptCount val="19"/>
                <c:pt idx="0">
                  <c:v>396.95683267994082</c:v>
                </c:pt>
                <c:pt idx="1">
                  <c:v>438.1549755980534</c:v>
                </c:pt>
                <c:pt idx="2">
                  <c:v>387.11693445952147</c:v>
                </c:pt>
                <c:pt idx="3">
                  <c:v>381.6092851157166</c:v>
                </c:pt>
                <c:pt idx="4">
                  <c:v>405.48937597249591</c:v>
                </c:pt>
                <c:pt idx="5">
                  <c:v>411.13254868204018</c:v>
                </c:pt>
                <c:pt idx="6">
                  <c:v>394.83401234756047</c:v>
                </c:pt>
                <c:pt idx="7">
                  <c:v>393.43663022883732</c:v>
                </c:pt>
                <c:pt idx="8">
                  <c:v>439.75303373080982</c:v>
                </c:pt>
                <c:pt idx="9">
                  <c:v>495.24745407003508</c:v>
                </c:pt>
                <c:pt idx="10">
                  <c:v>420.45743517585282</c:v>
                </c:pt>
                <c:pt idx="11">
                  <c:v>415.02068474468092</c:v>
                </c:pt>
                <c:pt idx="12">
                  <c:v>408.79278112425942</c:v>
                </c:pt>
                <c:pt idx="13">
                  <c:v>382.34577497964148</c:v>
                </c:pt>
                <c:pt idx="14">
                  <c:v>388.99481467179089</c:v>
                </c:pt>
                <c:pt idx="15">
                  <c:v>423.2946973235567</c:v>
                </c:pt>
                <c:pt idx="16">
                  <c:v>401.15735585519099</c:v>
                </c:pt>
                <c:pt idx="17">
                  <c:v>453.62923912111012</c:v>
                </c:pt>
                <c:pt idx="18">
                  <c:v>420.75872882161099</c:v>
                </c:pt>
              </c:numCache>
            </c:numRef>
          </c:xVal>
          <c:yVal>
            <c:numRef>
              <c:f>Aux_graficos!$JC$2:$JC$20</c:f>
              <c:numCache>
                <c:formatCode>General</c:formatCode>
                <c:ptCount val="19"/>
                <c:pt idx="0">
                  <c:v>0.54529952609590537</c:v>
                </c:pt>
                <c:pt idx="1">
                  <c:v>0.73933118490619076</c:v>
                </c:pt>
                <c:pt idx="2">
                  <c:v>0.76294601843647913</c:v>
                </c:pt>
                <c:pt idx="3">
                  <c:v>0.87178429859530771</c:v>
                </c:pt>
                <c:pt idx="4">
                  <c:v>0.54883784806069025</c:v>
                </c:pt>
                <c:pt idx="5">
                  <c:v>0.94739581196719758</c:v>
                </c:pt>
                <c:pt idx="6">
                  <c:v>0.79291780881995766</c:v>
                </c:pt>
                <c:pt idx="7">
                  <c:v>0.54076830477682536</c:v>
                </c:pt>
                <c:pt idx="8">
                  <c:v>0.82511392666819772</c:v>
                </c:pt>
                <c:pt idx="9">
                  <c:v>0.75930521867269285</c:v>
                </c:pt>
                <c:pt idx="10">
                  <c:v>0.44822897937823503</c:v>
                </c:pt>
                <c:pt idx="11">
                  <c:v>0.67755626332963437</c:v>
                </c:pt>
                <c:pt idx="12">
                  <c:v>0.56878803310063497</c:v>
                </c:pt>
                <c:pt idx="13">
                  <c:v>0.44358473841368617</c:v>
                </c:pt>
                <c:pt idx="14">
                  <c:v>0.90794805867511796</c:v>
                </c:pt>
                <c:pt idx="15">
                  <c:v>0.57431402739415438</c:v>
                </c:pt>
                <c:pt idx="16">
                  <c:v>0.83992646976094032</c:v>
                </c:pt>
                <c:pt idx="17">
                  <c:v>0.80899675904554424</c:v>
                </c:pt>
                <c:pt idx="18">
                  <c:v>0.68572438774181743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59-49BC-AA9D-80B2EB56BA61}"/>
            </c:ext>
          </c:extLst>
        </c:ser>
        <c:ser>
          <c:idx val="3"/>
          <c:order val="3"/>
          <c:tx>
            <c:v>Inviable, fuera de rango (n = 19)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noFill/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Aux_graficos!$JF$2:$JF$20</c:f>
              <c:numCache>
                <c:formatCode>General</c:formatCode>
                <c:ptCount val="19"/>
                <c:pt idx="0">
                  <c:v>581.6667809300933</c:v>
                </c:pt>
                <c:pt idx="1">
                  <c:v>480.15852434812871</c:v>
                </c:pt>
                <c:pt idx="2">
                  <c:v>542.90149199609311</c:v>
                </c:pt>
                <c:pt idx="3">
                  <c:v>486.71119117593929</c:v>
                </c:pt>
                <c:pt idx="4">
                  <c:v>563.52126352390428</c:v>
                </c:pt>
                <c:pt idx="5">
                  <c:v>523.98198563738583</c:v>
                </c:pt>
                <c:pt idx="6">
                  <c:v>512.38970393975296</c:v>
                </c:pt>
                <c:pt idx="7">
                  <c:v>425.89212479468182</c:v>
                </c:pt>
                <c:pt idx="8">
                  <c:v>489.41416794950169</c:v>
                </c:pt>
                <c:pt idx="9">
                  <c:v>510.8444477059914</c:v>
                </c:pt>
                <c:pt idx="10">
                  <c:v>503.83652268951488</c:v>
                </c:pt>
                <c:pt idx="11">
                  <c:v>603.54562119817967</c:v>
                </c:pt>
                <c:pt idx="12">
                  <c:v>446.00155831467731</c:v>
                </c:pt>
                <c:pt idx="13">
                  <c:v>614.60725298957937</c:v>
                </c:pt>
                <c:pt idx="14">
                  <c:v>561.0248394093602</c:v>
                </c:pt>
                <c:pt idx="15">
                  <c:v>426.704005403172</c:v>
                </c:pt>
                <c:pt idx="16">
                  <c:v>441.40671225527342</c:v>
                </c:pt>
                <c:pt idx="17">
                  <c:v>432.51320802326921</c:v>
                </c:pt>
                <c:pt idx="18">
                  <c:v>498.13356719065638</c:v>
                </c:pt>
              </c:numCache>
            </c:numRef>
          </c:xVal>
          <c:yVal>
            <c:numRef>
              <c:f>Aux_graficos!$JE$2:$JE$20</c:f>
              <c:numCache>
                <c:formatCode>General</c:formatCode>
                <c:ptCount val="19"/>
                <c:pt idx="0">
                  <c:v>0.51754507062524513</c:v>
                </c:pt>
                <c:pt idx="1">
                  <c:v>0.85028305147975514</c:v>
                </c:pt>
                <c:pt idx="2">
                  <c:v>0.60631466680317059</c:v>
                </c:pt>
                <c:pt idx="3">
                  <c:v>0.40209211182061588</c:v>
                </c:pt>
                <c:pt idx="4">
                  <c:v>0.53680191174620528</c:v>
                </c:pt>
                <c:pt idx="5">
                  <c:v>0.898134992690655</c:v>
                </c:pt>
                <c:pt idx="6">
                  <c:v>0.49705637455372448</c:v>
                </c:pt>
                <c:pt idx="7">
                  <c:v>0.43481809279942552</c:v>
                </c:pt>
                <c:pt idx="8">
                  <c:v>0.55234614292460338</c:v>
                </c:pt>
                <c:pt idx="9">
                  <c:v>0.51041135046882602</c:v>
                </c:pt>
                <c:pt idx="10">
                  <c:v>0.68246076345038942</c:v>
                </c:pt>
                <c:pt idx="11">
                  <c:v>0.49450864651510518</c:v>
                </c:pt>
                <c:pt idx="12">
                  <c:v>0.43814407672426409</c:v>
                </c:pt>
                <c:pt idx="13">
                  <c:v>0.81622021408755363</c:v>
                </c:pt>
                <c:pt idx="14">
                  <c:v>0.50261756468801588</c:v>
                </c:pt>
                <c:pt idx="15">
                  <c:v>0.61526047954980156</c:v>
                </c:pt>
                <c:pt idx="16">
                  <c:v>0.50606105369560772</c:v>
                </c:pt>
                <c:pt idx="17">
                  <c:v>0.49081465316681699</c:v>
                </c:pt>
                <c:pt idx="18">
                  <c:v>0.42169567253341661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59-49BC-AA9D-80B2EB56BA61}"/>
            </c:ext>
          </c:extLst>
        </c:ser>
        <c:ser>
          <c:idx val="4"/>
          <c:order val="4"/>
          <c:tx>
            <c:v>No convergió (n = 23)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Aux_graficos!$JH$2:$JH$24</c:f>
              <c:numCache>
                <c:formatCode>General</c:formatCode>
                <c:ptCount val="23"/>
                <c:pt idx="0">
                  <c:v>497.19890464505391</c:v>
                </c:pt>
                <c:pt idx="1">
                  <c:v>565.63231634089698</c:v>
                </c:pt>
                <c:pt idx="2">
                  <c:v>605.22765330639606</c:v>
                </c:pt>
                <c:pt idx="3">
                  <c:v>592.56785175048071</c:v>
                </c:pt>
                <c:pt idx="4">
                  <c:v>553.44113165670615</c:v>
                </c:pt>
                <c:pt idx="5">
                  <c:v>597.49145336307856</c:v>
                </c:pt>
                <c:pt idx="6">
                  <c:v>523.24929485428561</c:v>
                </c:pt>
                <c:pt idx="7">
                  <c:v>599.95278401568555</c:v>
                </c:pt>
                <c:pt idx="8">
                  <c:v>593.77476234538199</c:v>
                </c:pt>
                <c:pt idx="9">
                  <c:v>518.0648900131556</c:v>
                </c:pt>
                <c:pt idx="10">
                  <c:v>548.86958920014649</c:v>
                </c:pt>
                <c:pt idx="11">
                  <c:v>554.81087254867703</c:v>
                </c:pt>
                <c:pt idx="12">
                  <c:v>531.98714895608066</c:v>
                </c:pt>
                <c:pt idx="13">
                  <c:v>618.85711179238001</c:v>
                </c:pt>
                <c:pt idx="14">
                  <c:v>573.96772965513355</c:v>
                </c:pt>
                <c:pt idx="15">
                  <c:v>546.28619767822738</c:v>
                </c:pt>
                <c:pt idx="16">
                  <c:v>417.55521469908621</c:v>
                </c:pt>
                <c:pt idx="17">
                  <c:v>601.04909419520959</c:v>
                </c:pt>
                <c:pt idx="18">
                  <c:v>429.92521065109088</c:v>
                </c:pt>
                <c:pt idx="19">
                  <c:v>557.19890213596727</c:v>
                </c:pt>
                <c:pt idx="20">
                  <c:v>470.21055509050223</c:v>
                </c:pt>
                <c:pt idx="21">
                  <c:v>596.04316243164203</c:v>
                </c:pt>
                <c:pt idx="22">
                  <c:v>475.6980483654508</c:v>
                </c:pt>
              </c:numCache>
            </c:numRef>
          </c:xVal>
          <c:yVal>
            <c:numRef>
              <c:f>Aux_graficos!$JG$2:$JG$24</c:f>
              <c:numCache>
                <c:formatCode>General</c:formatCode>
                <c:ptCount val="23"/>
                <c:pt idx="0">
                  <c:v>0.46164277754956801</c:v>
                </c:pt>
                <c:pt idx="1">
                  <c:v>0.58271157632968351</c:v>
                </c:pt>
                <c:pt idx="2">
                  <c:v>0.77541054245042607</c:v>
                </c:pt>
                <c:pt idx="3">
                  <c:v>0.85433083223018236</c:v>
                </c:pt>
                <c:pt idx="4">
                  <c:v>0.6611472387809112</c:v>
                </c:pt>
                <c:pt idx="5">
                  <c:v>0.47296640818679619</c:v>
                </c:pt>
                <c:pt idx="6">
                  <c:v>0.62333475025048113</c:v>
                </c:pt>
                <c:pt idx="7">
                  <c:v>0.40842392045292819</c:v>
                </c:pt>
                <c:pt idx="8">
                  <c:v>0.46529717958150629</c:v>
                </c:pt>
                <c:pt idx="9">
                  <c:v>0.45341200600653458</c:v>
                </c:pt>
                <c:pt idx="10">
                  <c:v>0.66543010696364457</c:v>
                </c:pt>
                <c:pt idx="11">
                  <c:v>0.73633202657326402</c:v>
                </c:pt>
                <c:pt idx="12">
                  <c:v>0.4594105827690198</c:v>
                </c:pt>
                <c:pt idx="13">
                  <c:v>0.598200270088872</c:v>
                </c:pt>
                <c:pt idx="14">
                  <c:v>0.4177815647847824</c:v>
                </c:pt>
                <c:pt idx="15">
                  <c:v>0.68910670126558293</c:v>
                </c:pt>
                <c:pt idx="16">
                  <c:v>0.42970132821990298</c:v>
                </c:pt>
                <c:pt idx="17">
                  <c:v>0.52252972938513564</c:v>
                </c:pt>
                <c:pt idx="18">
                  <c:v>0.56223025885627176</c:v>
                </c:pt>
                <c:pt idx="19">
                  <c:v>0.72263233019562212</c:v>
                </c:pt>
                <c:pt idx="20">
                  <c:v>0.58853185866297542</c:v>
                </c:pt>
                <c:pt idx="21">
                  <c:v>0.7479482534664148</c:v>
                </c:pt>
                <c:pt idx="22">
                  <c:v>0.47548535110790402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859-49BC-AA9D-80B2EB56BA61}"/>
            </c:ext>
          </c:extLst>
        </c:ser>
        <c:ser>
          <c:idx val="5"/>
          <c:order val="5"/>
          <c:tx>
            <c:v>Falso convergido (N2) (n = 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Aux_graficos!$JJ$2:$JJ$3</c:f>
              <c:numCache>
                <c:formatCode>General</c:formatCode>
                <c:ptCount val="2"/>
                <c:pt idx="0">
                  <c:v>569.31732118404807</c:v>
                </c:pt>
                <c:pt idx="1">
                  <c:v>585.21365528485887</c:v>
                </c:pt>
              </c:numCache>
            </c:numRef>
          </c:xVal>
          <c:yVal>
            <c:numRef>
              <c:f>Aux_graficos!$JI$2:$JI$3</c:f>
              <c:numCache>
                <c:formatCode>General</c:formatCode>
                <c:ptCount val="2"/>
                <c:pt idx="0">
                  <c:v>0.84590690872202257</c:v>
                </c:pt>
                <c:pt idx="1">
                  <c:v>0.8789817569559063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859-49BC-AA9D-80B2EB56B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50"/>
          <c:min val="35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50"/>
      </c:valAx>
      <c:valAx>
        <c:axId val="20"/>
        <c:scaling>
          <c:orientation val="minMax"/>
          <c:max val="1"/>
          <c:min val="0.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0.1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Escenario S3 (conserva sus presiones y su clima): 0 KALINA de 120 evaluados, 0 confiables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Corregible (n = 6)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Aux_graficos!$JL$2:$JL$7</c:f>
              <c:numCache>
                <c:formatCode>General</c:formatCode>
                <c:ptCount val="6"/>
                <c:pt idx="0">
                  <c:v>407.84617584397159</c:v>
                </c:pt>
                <c:pt idx="1">
                  <c:v>452.67255589245582</c:v>
                </c:pt>
                <c:pt idx="2">
                  <c:v>423.9356102567582</c:v>
                </c:pt>
                <c:pt idx="3">
                  <c:v>398.18507032709613</c:v>
                </c:pt>
                <c:pt idx="4">
                  <c:v>412.10892515567701</c:v>
                </c:pt>
                <c:pt idx="5">
                  <c:v>427.8966608009917</c:v>
                </c:pt>
              </c:numCache>
            </c:numRef>
          </c:xVal>
          <c:yVal>
            <c:numRef>
              <c:f>Aux_graficos!$JK$2:$JK$7</c:f>
              <c:numCache>
                <c:formatCode>General</c:formatCode>
                <c:ptCount val="6"/>
                <c:pt idx="0">
                  <c:v>0.88049207187001577</c:v>
                </c:pt>
                <c:pt idx="1">
                  <c:v>0.94089478178502717</c:v>
                </c:pt>
                <c:pt idx="2">
                  <c:v>0.67273042484333367</c:v>
                </c:pt>
                <c:pt idx="3">
                  <c:v>0.84037595665846576</c:v>
                </c:pt>
                <c:pt idx="4">
                  <c:v>0.79740759180049292</c:v>
                </c:pt>
                <c:pt idx="5">
                  <c:v>0.93593893062949296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B1-4EF0-94DA-B097F4739432}"/>
            </c:ext>
          </c:extLst>
        </c:ser>
        <c:ser>
          <c:idx val="1"/>
          <c:order val="1"/>
          <c:tx>
            <c:v>Corregible, fuera de rango (n = 23)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Aux_graficos!$JN$2:$JN$24</c:f>
              <c:numCache>
                <c:formatCode>General</c:formatCode>
                <c:ptCount val="23"/>
                <c:pt idx="0">
                  <c:v>518.457465398208</c:v>
                </c:pt>
                <c:pt idx="1">
                  <c:v>507.09485430448223</c:v>
                </c:pt>
                <c:pt idx="2">
                  <c:v>590.46188992077271</c:v>
                </c:pt>
                <c:pt idx="3">
                  <c:v>551.00908429314654</c:v>
                </c:pt>
                <c:pt idx="4">
                  <c:v>553.80820390528072</c:v>
                </c:pt>
                <c:pt idx="5">
                  <c:v>443.5165061523125</c:v>
                </c:pt>
                <c:pt idx="6">
                  <c:v>474.97579015001787</c:v>
                </c:pt>
                <c:pt idx="7">
                  <c:v>455.43375306717979</c:v>
                </c:pt>
                <c:pt idx="8">
                  <c:v>469.93266254693663</c:v>
                </c:pt>
                <c:pt idx="9">
                  <c:v>461.50440625822051</c:v>
                </c:pt>
                <c:pt idx="10">
                  <c:v>560.18792329992357</c:v>
                </c:pt>
                <c:pt idx="11">
                  <c:v>622.40103948422188</c:v>
                </c:pt>
                <c:pt idx="12">
                  <c:v>457.22165774429737</c:v>
                </c:pt>
                <c:pt idx="13">
                  <c:v>446.66109907770158</c:v>
                </c:pt>
                <c:pt idx="14">
                  <c:v>472.9886584414233</c:v>
                </c:pt>
                <c:pt idx="15">
                  <c:v>562.61069417123349</c:v>
                </c:pt>
                <c:pt idx="16">
                  <c:v>524.44701181421476</c:v>
                </c:pt>
                <c:pt idx="17">
                  <c:v>516.59468822510667</c:v>
                </c:pt>
                <c:pt idx="18">
                  <c:v>587.85848894731032</c:v>
                </c:pt>
                <c:pt idx="19">
                  <c:v>584.27327726778697</c:v>
                </c:pt>
                <c:pt idx="20">
                  <c:v>574.73264511376965</c:v>
                </c:pt>
                <c:pt idx="21">
                  <c:v>528.12532835010757</c:v>
                </c:pt>
                <c:pt idx="22">
                  <c:v>501.58385757203382</c:v>
                </c:pt>
              </c:numCache>
            </c:numRef>
          </c:xVal>
          <c:yVal>
            <c:numRef>
              <c:f>Aux_graficos!$JM$2:$JM$24</c:f>
              <c:numCache>
                <c:formatCode>General</c:formatCode>
                <c:ptCount val="23"/>
                <c:pt idx="0">
                  <c:v>0.7990911381897311</c:v>
                </c:pt>
                <c:pt idx="1">
                  <c:v>0.6699698035893451</c:v>
                </c:pt>
                <c:pt idx="2">
                  <c:v>0.77695326138124154</c:v>
                </c:pt>
                <c:pt idx="3">
                  <c:v>0.78760998277328598</c:v>
                </c:pt>
                <c:pt idx="4">
                  <c:v>0.4792143232393099</c:v>
                </c:pt>
                <c:pt idx="5">
                  <c:v>0.85534089985208606</c:v>
                </c:pt>
                <c:pt idx="6">
                  <c:v>0.68837594708791972</c:v>
                </c:pt>
                <c:pt idx="7">
                  <c:v>0.89837922174821383</c:v>
                </c:pt>
                <c:pt idx="8">
                  <c:v>0.75788147214477286</c:v>
                </c:pt>
                <c:pt idx="9">
                  <c:v>0.78051477879563469</c:v>
                </c:pt>
                <c:pt idx="10">
                  <c:v>0.76517248970850116</c:v>
                </c:pt>
                <c:pt idx="11">
                  <c:v>0.93029141139126725</c:v>
                </c:pt>
                <c:pt idx="12">
                  <c:v>0.55900273468302286</c:v>
                </c:pt>
                <c:pt idx="13">
                  <c:v>0.90518191535637804</c:v>
                </c:pt>
                <c:pt idx="14">
                  <c:v>0.63745228355136807</c:v>
                </c:pt>
                <c:pt idx="15">
                  <c:v>0.93763003734165717</c:v>
                </c:pt>
                <c:pt idx="16">
                  <c:v>0.89962069960817215</c:v>
                </c:pt>
                <c:pt idx="17">
                  <c:v>0.92093864196845876</c:v>
                </c:pt>
                <c:pt idx="18">
                  <c:v>0.64946528457025599</c:v>
                </c:pt>
                <c:pt idx="19">
                  <c:v>0.59038970249287148</c:v>
                </c:pt>
                <c:pt idx="20">
                  <c:v>0.72369984060241355</c:v>
                </c:pt>
                <c:pt idx="21">
                  <c:v>0.92517725236218185</c:v>
                </c:pt>
                <c:pt idx="22">
                  <c:v>0.52701412394157487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BB1-4EF0-94DA-B097F4739432}"/>
            </c:ext>
          </c:extLst>
        </c:ser>
        <c:ser>
          <c:idx val="2"/>
          <c:order val="2"/>
          <c:tx>
            <c:v>Inviable (n = 20)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Aux_graficos!$JP$2:$JP$21</c:f>
              <c:numCache>
                <c:formatCode>General</c:formatCode>
                <c:ptCount val="20"/>
                <c:pt idx="0">
                  <c:v>405.82572243121899</c:v>
                </c:pt>
                <c:pt idx="1">
                  <c:v>412.94615419908803</c:v>
                </c:pt>
                <c:pt idx="2">
                  <c:v>390.60563403731862</c:v>
                </c:pt>
                <c:pt idx="3">
                  <c:v>425.00564053262377</c:v>
                </c:pt>
                <c:pt idx="4">
                  <c:v>399.9921037351105</c:v>
                </c:pt>
                <c:pt idx="5">
                  <c:v>408.91862767774683</c:v>
                </c:pt>
                <c:pt idx="6">
                  <c:v>388.44108627587519</c:v>
                </c:pt>
                <c:pt idx="7">
                  <c:v>386.85322392000222</c:v>
                </c:pt>
                <c:pt idx="8">
                  <c:v>437.25725306514931</c:v>
                </c:pt>
                <c:pt idx="9">
                  <c:v>400.66316037582772</c:v>
                </c:pt>
                <c:pt idx="10">
                  <c:v>421.66968407926049</c:v>
                </c:pt>
                <c:pt idx="11">
                  <c:v>380.23379705491311</c:v>
                </c:pt>
                <c:pt idx="12">
                  <c:v>420.10428772022982</c:v>
                </c:pt>
                <c:pt idx="13">
                  <c:v>415.63354957701051</c:v>
                </c:pt>
                <c:pt idx="14">
                  <c:v>416.48545800380788</c:v>
                </c:pt>
                <c:pt idx="15">
                  <c:v>382.64794445173771</c:v>
                </c:pt>
                <c:pt idx="16">
                  <c:v>433.53039065993329</c:v>
                </c:pt>
                <c:pt idx="17">
                  <c:v>393.39180815852097</c:v>
                </c:pt>
                <c:pt idx="18">
                  <c:v>402.75811047216803</c:v>
                </c:pt>
                <c:pt idx="19">
                  <c:v>395.13315270932378</c:v>
                </c:pt>
              </c:numCache>
            </c:numRef>
          </c:xVal>
          <c:yVal>
            <c:numRef>
              <c:f>Aux_graficos!$JO$2:$JO$21</c:f>
              <c:numCache>
                <c:formatCode>General</c:formatCode>
                <c:ptCount val="20"/>
                <c:pt idx="0">
                  <c:v>0.4432245237636992</c:v>
                </c:pt>
                <c:pt idx="1">
                  <c:v>0.63310956218371772</c:v>
                </c:pt>
                <c:pt idx="2">
                  <c:v>0.64108221852415648</c:v>
                </c:pt>
                <c:pt idx="3">
                  <c:v>0.76741785449911193</c:v>
                </c:pt>
                <c:pt idx="4">
                  <c:v>0.83779662549058886</c:v>
                </c:pt>
                <c:pt idx="5">
                  <c:v>0.64406926104012108</c:v>
                </c:pt>
                <c:pt idx="6">
                  <c:v>0.41212510727489621</c:v>
                </c:pt>
                <c:pt idx="7">
                  <c:v>0.7022080786761189</c:v>
                </c:pt>
                <c:pt idx="8">
                  <c:v>0.72629607144166686</c:v>
                </c:pt>
                <c:pt idx="9">
                  <c:v>0.74612732560698003</c:v>
                </c:pt>
                <c:pt idx="10">
                  <c:v>0.6628464970628869</c:v>
                </c:pt>
                <c:pt idx="11">
                  <c:v>0.70969172530444968</c:v>
                </c:pt>
                <c:pt idx="12">
                  <c:v>0.48342561553461638</c:v>
                </c:pt>
                <c:pt idx="13">
                  <c:v>0.90991285672105116</c:v>
                </c:pt>
                <c:pt idx="14">
                  <c:v>0.77500972501549614</c:v>
                </c:pt>
                <c:pt idx="15">
                  <c:v>0.71742789971300014</c:v>
                </c:pt>
                <c:pt idx="16">
                  <c:v>0.86542566599091253</c:v>
                </c:pt>
                <c:pt idx="17">
                  <c:v>0.87329369833544657</c:v>
                </c:pt>
                <c:pt idx="18">
                  <c:v>0.43348972102199518</c:v>
                </c:pt>
                <c:pt idx="19">
                  <c:v>0.68946607741634192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BB1-4EF0-94DA-B097F4739432}"/>
            </c:ext>
          </c:extLst>
        </c:ser>
        <c:ser>
          <c:idx val="3"/>
          <c:order val="3"/>
          <c:tx>
            <c:v>Inviable, fuera de rango (n = 35)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noFill/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Aux_graficos!$JR$2:$JR$36</c:f>
              <c:numCache>
                <c:formatCode>General</c:formatCode>
                <c:ptCount val="35"/>
                <c:pt idx="0">
                  <c:v>572.75272974187601</c:v>
                </c:pt>
                <c:pt idx="1">
                  <c:v>475.28121849647238</c:v>
                </c:pt>
                <c:pt idx="2">
                  <c:v>568.24473711013059</c:v>
                </c:pt>
                <c:pt idx="3">
                  <c:v>491.4082682154102</c:v>
                </c:pt>
                <c:pt idx="4">
                  <c:v>609.10638082513947</c:v>
                </c:pt>
                <c:pt idx="5">
                  <c:v>532.67510810646581</c:v>
                </c:pt>
                <c:pt idx="6">
                  <c:v>511.65306483909569</c:v>
                </c:pt>
                <c:pt idx="7">
                  <c:v>447.96339849884851</c:v>
                </c:pt>
                <c:pt idx="8">
                  <c:v>504.2386608542011</c:v>
                </c:pt>
                <c:pt idx="9">
                  <c:v>522.4346026969514</c:v>
                </c:pt>
                <c:pt idx="10">
                  <c:v>612.84750579547926</c:v>
                </c:pt>
                <c:pt idx="11">
                  <c:v>460.41299915954812</c:v>
                </c:pt>
                <c:pt idx="12">
                  <c:v>613.96059935417043</c:v>
                </c:pt>
                <c:pt idx="13">
                  <c:v>592.09766944740738</c:v>
                </c:pt>
                <c:pt idx="14">
                  <c:v>442.21304913984881</c:v>
                </c:pt>
                <c:pt idx="15">
                  <c:v>429.7796200077704</c:v>
                </c:pt>
                <c:pt idx="16">
                  <c:v>494.3066263771658</c:v>
                </c:pt>
                <c:pt idx="17">
                  <c:v>492.33751570517512</c:v>
                </c:pt>
                <c:pt idx="18">
                  <c:v>485.28162173820061</c:v>
                </c:pt>
                <c:pt idx="19">
                  <c:v>535.18989469237886</c:v>
                </c:pt>
                <c:pt idx="20">
                  <c:v>453.31810477144052</c:v>
                </c:pt>
                <c:pt idx="21">
                  <c:v>435.93044297262088</c:v>
                </c:pt>
                <c:pt idx="22">
                  <c:v>562.01258442987682</c:v>
                </c:pt>
                <c:pt idx="23">
                  <c:v>495.97069586319861</c:v>
                </c:pt>
                <c:pt idx="24">
                  <c:v>466.22481999362498</c:v>
                </c:pt>
                <c:pt idx="25">
                  <c:v>554.84501806762455</c:v>
                </c:pt>
                <c:pt idx="26">
                  <c:v>520.34088345665066</c:v>
                </c:pt>
                <c:pt idx="27">
                  <c:v>581.89650593158467</c:v>
                </c:pt>
                <c:pt idx="28">
                  <c:v>450.17171109409128</c:v>
                </c:pt>
                <c:pt idx="29">
                  <c:v>544.31570802291026</c:v>
                </c:pt>
                <c:pt idx="30">
                  <c:v>577.43546769458089</c:v>
                </c:pt>
                <c:pt idx="31">
                  <c:v>530.09768766858747</c:v>
                </c:pt>
                <c:pt idx="32">
                  <c:v>479.63862677562588</c:v>
                </c:pt>
                <c:pt idx="33">
                  <c:v>481.83361332595581</c:v>
                </c:pt>
                <c:pt idx="34">
                  <c:v>477.4454846923756</c:v>
                </c:pt>
              </c:numCache>
            </c:numRef>
          </c:xVal>
          <c:yVal>
            <c:numRef>
              <c:f>Aux_graficos!$JQ$2:$JQ$36</c:f>
              <c:numCache>
                <c:formatCode>General</c:formatCode>
                <c:ptCount val="35"/>
                <c:pt idx="0">
                  <c:v>0.91630368859689204</c:v>
                </c:pt>
                <c:pt idx="1">
                  <c:v>0.73815251839393858</c:v>
                </c:pt>
                <c:pt idx="2">
                  <c:v>0.94685105384449797</c:v>
                </c:pt>
                <c:pt idx="3">
                  <c:v>0.53237204585097397</c:v>
                </c:pt>
                <c:pt idx="4">
                  <c:v>0.4975210361061862</c:v>
                </c:pt>
                <c:pt idx="5">
                  <c:v>0.86100346702334418</c:v>
                </c:pt>
                <c:pt idx="6">
                  <c:v>0.47598752074927458</c:v>
                </c:pt>
                <c:pt idx="7">
                  <c:v>0.58149540872489947</c:v>
                </c:pt>
                <c:pt idx="8">
                  <c:v>0.57105983275683736</c:v>
                </c:pt>
                <c:pt idx="9">
                  <c:v>0.88637744703511456</c:v>
                </c:pt>
                <c:pt idx="10">
                  <c:v>0.79285971515751774</c:v>
                </c:pt>
                <c:pt idx="11">
                  <c:v>0.71449659994219283</c:v>
                </c:pt>
                <c:pt idx="12">
                  <c:v>0.46852195759733128</c:v>
                </c:pt>
                <c:pt idx="13">
                  <c:v>0.80419935845544954</c:v>
                </c:pt>
                <c:pt idx="14">
                  <c:v>0.69383847158688483</c:v>
                </c:pt>
                <c:pt idx="15">
                  <c:v>0.56081198539652644</c:v>
                </c:pt>
                <c:pt idx="16">
                  <c:v>0.753288797747387</c:v>
                </c:pt>
                <c:pt idx="17">
                  <c:v>0.54156191461618464</c:v>
                </c:pt>
                <c:pt idx="18">
                  <c:v>0.60421733995681493</c:v>
                </c:pt>
                <c:pt idx="19">
                  <c:v>0.5353311010793006</c:v>
                </c:pt>
                <c:pt idx="20">
                  <c:v>0.51751077349826058</c:v>
                </c:pt>
                <c:pt idx="21">
                  <c:v>0.67891560635696624</c:v>
                </c:pt>
                <c:pt idx="22">
                  <c:v>0.85337468819259843</c:v>
                </c:pt>
                <c:pt idx="23">
                  <c:v>0.74170309221121655</c:v>
                </c:pt>
                <c:pt idx="24">
                  <c:v>0.4515971396370731</c:v>
                </c:pt>
                <c:pt idx="25">
                  <c:v>0.51185362710489146</c:v>
                </c:pt>
                <c:pt idx="26">
                  <c:v>0.81759814980377077</c:v>
                </c:pt>
                <c:pt idx="27">
                  <c:v>0.81268075765061565</c:v>
                </c:pt>
                <c:pt idx="28">
                  <c:v>0.66099168235668082</c:v>
                </c:pt>
                <c:pt idx="29">
                  <c:v>0.73435955516526596</c:v>
                </c:pt>
                <c:pt idx="30">
                  <c:v>0.62587483312296832</c:v>
                </c:pt>
                <c:pt idx="31">
                  <c:v>0.81130521261627941</c:v>
                </c:pt>
                <c:pt idx="32">
                  <c:v>0.42767838522408802</c:v>
                </c:pt>
                <c:pt idx="33">
                  <c:v>0.57625387850409648</c:v>
                </c:pt>
                <c:pt idx="34">
                  <c:v>0.46915658835237689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BB1-4EF0-94DA-B097F4739432}"/>
            </c:ext>
          </c:extLst>
        </c:ser>
        <c:ser>
          <c:idx val="4"/>
          <c:order val="4"/>
          <c:tx>
            <c:v>No convergió (n = 30)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Aux_graficos!$JT$2:$JT$31</c:f>
              <c:numCache>
                <c:formatCode>General</c:formatCode>
                <c:ptCount val="30"/>
                <c:pt idx="0">
                  <c:v>543.29523370687764</c:v>
                </c:pt>
                <c:pt idx="1">
                  <c:v>600.78403148276834</c:v>
                </c:pt>
                <c:pt idx="2">
                  <c:v>556.57310435850991</c:v>
                </c:pt>
                <c:pt idx="3">
                  <c:v>594.17324603531767</c:v>
                </c:pt>
                <c:pt idx="4">
                  <c:v>537.16135826369202</c:v>
                </c:pt>
                <c:pt idx="5">
                  <c:v>606.71878499640513</c:v>
                </c:pt>
                <c:pt idx="6">
                  <c:v>580.5216256422342</c:v>
                </c:pt>
                <c:pt idx="7">
                  <c:v>603.55879562576399</c:v>
                </c:pt>
                <c:pt idx="8">
                  <c:v>598.28449969767144</c:v>
                </c:pt>
                <c:pt idx="9">
                  <c:v>619.53162227354744</c:v>
                </c:pt>
                <c:pt idx="10">
                  <c:v>468.41371532842049</c:v>
                </c:pt>
                <c:pt idx="11">
                  <c:v>615.5396472523812</c:v>
                </c:pt>
                <c:pt idx="12">
                  <c:v>566.3083206757484</c:v>
                </c:pt>
                <c:pt idx="13">
                  <c:v>515.14893502381824</c:v>
                </c:pt>
                <c:pt idx="14">
                  <c:v>540.43375788941773</c:v>
                </c:pt>
                <c:pt idx="15">
                  <c:v>547.08163262208984</c:v>
                </c:pt>
                <c:pt idx="16">
                  <c:v>432.51787924004702</c:v>
                </c:pt>
                <c:pt idx="17">
                  <c:v>509.04920409439808</c:v>
                </c:pt>
                <c:pt idx="18">
                  <c:v>489.28806415754462</c:v>
                </c:pt>
                <c:pt idx="19">
                  <c:v>586.09273894960961</c:v>
                </c:pt>
                <c:pt idx="20">
                  <c:v>384.39268332823377</c:v>
                </c:pt>
                <c:pt idx="21">
                  <c:v>464.57063408720609</c:v>
                </c:pt>
                <c:pt idx="22">
                  <c:v>602.11234344341483</c:v>
                </c:pt>
                <c:pt idx="23">
                  <c:v>568.55614935087704</c:v>
                </c:pt>
                <c:pt idx="24">
                  <c:v>607.02673914744014</c:v>
                </c:pt>
                <c:pt idx="25">
                  <c:v>538.64106045800781</c:v>
                </c:pt>
                <c:pt idx="26">
                  <c:v>549.55919489674284</c:v>
                </c:pt>
                <c:pt idx="27">
                  <c:v>594.88441375083153</c:v>
                </c:pt>
                <c:pt idx="28">
                  <c:v>617.23369632799665</c:v>
                </c:pt>
                <c:pt idx="29">
                  <c:v>499.19737627595367</c:v>
                </c:pt>
              </c:numCache>
            </c:numRef>
          </c:xVal>
          <c:yVal>
            <c:numRef>
              <c:f>Aux_graficos!$JS$2:$JS$31</c:f>
              <c:numCache>
                <c:formatCode>General</c:formatCode>
                <c:ptCount val="30"/>
                <c:pt idx="0">
                  <c:v>0.84694732219896507</c:v>
                </c:pt>
                <c:pt idx="1">
                  <c:v>0.70282155892970177</c:v>
                </c:pt>
                <c:pt idx="2">
                  <c:v>0.5847588182307909</c:v>
                </c:pt>
                <c:pt idx="3">
                  <c:v>0.54714041658184298</c:v>
                </c:pt>
                <c:pt idx="4">
                  <c:v>0.4954552647771493</c:v>
                </c:pt>
                <c:pt idx="5">
                  <c:v>0.68031856351677233</c:v>
                </c:pt>
                <c:pt idx="6">
                  <c:v>0.5936550177608475</c:v>
                </c:pt>
                <c:pt idx="7">
                  <c:v>0.62027178914072623</c:v>
                </c:pt>
                <c:pt idx="8">
                  <c:v>0.59773298291857191</c:v>
                </c:pt>
                <c:pt idx="9">
                  <c:v>0.55238671654709381</c:v>
                </c:pt>
                <c:pt idx="10">
                  <c:v>0.56720755151602154</c:v>
                </c:pt>
                <c:pt idx="11">
                  <c:v>0.8294856231527955</c:v>
                </c:pt>
                <c:pt idx="12">
                  <c:v>0.50455499088949729</c:v>
                </c:pt>
                <c:pt idx="13">
                  <c:v>0.88133679265341958</c:v>
                </c:pt>
                <c:pt idx="14">
                  <c:v>0.6086988494967287</c:v>
                </c:pt>
                <c:pt idx="15">
                  <c:v>0.41400221482838262</c:v>
                </c:pt>
                <c:pt idx="16">
                  <c:v>0.4563326169588417</c:v>
                </c:pt>
                <c:pt idx="17">
                  <c:v>0.46153706286268131</c:v>
                </c:pt>
                <c:pt idx="18">
                  <c:v>0.4470695728281453</c:v>
                </c:pt>
                <c:pt idx="19">
                  <c:v>0.86905173954599801</c:v>
                </c:pt>
                <c:pt idx="20">
                  <c:v>0.50899798754615988</c:v>
                </c:pt>
                <c:pt idx="21">
                  <c:v>0.4213182007378839</c:v>
                </c:pt>
                <c:pt idx="22">
                  <c:v>0.52007986721560939</c:v>
                </c:pt>
                <c:pt idx="23">
                  <c:v>0.61603135397168163</c:v>
                </c:pt>
                <c:pt idx="24">
                  <c:v>0.54414905945761882</c:v>
                </c:pt>
                <c:pt idx="25">
                  <c:v>0.40727205925182519</c:v>
                </c:pt>
                <c:pt idx="26">
                  <c:v>0.48993468513572802</c:v>
                </c:pt>
                <c:pt idx="27">
                  <c:v>0.43779243193753209</c:v>
                </c:pt>
                <c:pt idx="28">
                  <c:v>0.4231226004293428</c:v>
                </c:pt>
                <c:pt idx="29">
                  <c:v>0.40423657507285521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BB1-4EF0-94DA-B097F4739432}"/>
            </c:ext>
          </c:extLst>
        </c:ser>
        <c:ser>
          <c:idx val="5"/>
          <c:order val="5"/>
          <c:tx>
            <c:v>Falso convergido (N2) (n = 6)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Aux_graficos!$JV$2:$JV$7</c:f>
              <c:numCache>
                <c:formatCode>General</c:formatCode>
                <c:ptCount val="6"/>
                <c:pt idx="0">
                  <c:v>512.45782474410726</c:v>
                </c:pt>
                <c:pt idx="1">
                  <c:v>439.63264632872182</c:v>
                </c:pt>
                <c:pt idx="2">
                  <c:v>500.51430313310141</c:v>
                </c:pt>
                <c:pt idx="3">
                  <c:v>486.35540685896638</c:v>
                </c:pt>
                <c:pt idx="4">
                  <c:v>571.95577240864225</c:v>
                </c:pt>
                <c:pt idx="5">
                  <c:v>526.0791871154097</c:v>
                </c:pt>
              </c:numCache>
            </c:numRef>
          </c:xVal>
          <c:yVal>
            <c:numRef>
              <c:f>Aux_graficos!$JU$2:$JU$7</c:f>
              <c:numCache>
                <c:formatCode>General</c:formatCode>
                <c:ptCount val="6"/>
                <c:pt idx="0">
                  <c:v>0.74959244914843115</c:v>
                </c:pt>
                <c:pt idx="1">
                  <c:v>0.6537626443852611</c:v>
                </c:pt>
                <c:pt idx="2">
                  <c:v>0.61160711350013386</c:v>
                </c:pt>
                <c:pt idx="3">
                  <c:v>0.825126637493099</c:v>
                </c:pt>
                <c:pt idx="4">
                  <c:v>0.835300370975252</c:v>
                </c:pt>
                <c:pt idx="5">
                  <c:v>0.89383999635793687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BB1-4EF0-94DA-B097F47394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50"/>
          <c:min val="35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50"/>
      </c:valAx>
      <c:valAx>
        <c:axId val="20"/>
        <c:scaling>
          <c:orientation val="minMax"/>
          <c:max val="1"/>
          <c:min val="0.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0.1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Escenario S4 (conserva su P_alta y sus temperaturas): 6 KALINA de 120 evaluados, 0 confiables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KALINA, fuera de rango (n = 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Aux_graficos!$JX$2:$JX$7</c:f>
              <c:numCache>
                <c:formatCode>General</c:formatCode>
                <c:ptCount val="6"/>
                <c:pt idx="0">
                  <c:v>0.57014862897281027</c:v>
                </c:pt>
                <c:pt idx="1">
                  <c:v>0.62145524900639881</c:v>
                </c:pt>
                <c:pt idx="2">
                  <c:v>0.52171967635703898</c:v>
                </c:pt>
                <c:pt idx="3">
                  <c:v>0.67228893140282153</c:v>
                </c:pt>
                <c:pt idx="4">
                  <c:v>0.54429868285052929</c:v>
                </c:pt>
                <c:pt idx="5">
                  <c:v>0.52010647705356261</c:v>
                </c:pt>
              </c:numCache>
            </c:numRef>
          </c:xVal>
          <c:yVal>
            <c:numRef>
              <c:f>Aux_graficos!$JW$2:$JW$7</c:f>
              <c:numCache>
                <c:formatCode>General</c:formatCode>
                <c:ptCount val="6"/>
                <c:pt idx="0">
                  <c:v>1912.454775916088</c:v>
                </c:pt>
                <c:pt idx="1">
                  <c:v>1932.6666732727331</c:v>
                </c:pt>
                <c:pt idx="2">
                  <c:v>1564.5774499356071</c:v>
                </c:pt>
                <c:pt idx="3">
                  <c:v>1901.5702917430101</c:v>
                </c:pt>
                <c:pt idx="4">
                  <c:v>955.2858388867096</c:v>
                </c:pt>
                <c:pt idx="5">
                  <c:v>1105.0222509409191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19-4BD1-BC04-5BD466D7FF84}"/>
            </c:ext>
          </c:extLst>
        </c:ser>
        <c:ser>
          <c:idx val="1"/>
          <c:order val="1"/>
          <c:tx>
            <c:v>Corregible (n = 7)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Aux_graficos!$JZ$2:$JZ$8</c:f>
              <c:numCache>
                <c:formatCode>General</c:formatCode>
                <c:ptCount val="7"/>
                <c:pt idx="0">
                  <c:v>0.70744907017138159</c:v>
                </c:pt>
                <c:pt idx="1">
                  <c:v>0.8164712982669472</c:v>
                </c:pt>
                <c:pt idx="2">
                  <c:v>0.81434107163125402</c:v>
                </c:pt>
                <c:pt idx="3">
                  <c:v>0.71009774279764859</c:v>
                </c:pt>
                <c:pt idx="4">
                  <c:v>0.8309115464628688</c:v>
                </c:pt>
                <c:pt idx="5">
                  <c:v>0.83803326480463869</c:v>
                </c:pt>
                <c:pt idx="6">
                  <c:v>0.82084419975741552</c:v>
                </c:pt>
              </c:numCache>
            </c:numRef>
          </c:xVal>
          <c:yVal>
            <c:numRef>
              <c:f>Aux_graficos!$JY$2:$JY$8</c:f>
              <c:numCache>
                <c:formatCode>General</c:formatCode>
                <c:ptCount val="7"/>
                <c:pt idx="0">
                  <c:v>717.49765607468464</c:v>
                </c:pt>
                <c:pt idx="1">
                  <c:v>1265.4304229482609</c:v>
                </c:pt>
                <c:pt idx="2">
                  <c:v>1632.870834697738</c:v>
                </c:pt>
                <c:pt idx="3">
                  <c:v>1363.683993216255</c:v>
                </c:pt>
                <c:pt idx="4">
                  <c:v>1250.8027658505639</c:v>
                </c:pt>
                <c:pt idx="5">
                  <c:v>1812.737713808277</c:v>
                </c:pt>
                <c:pt idx="6">
                  <c:v>1967.4206376207419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119-4BD1-BC04-5BD466D7FF84}"/>
            </c:ext>
          </c:extLst>
        </c:ser>
        <c:ser>
          <c:idx val="2"/>
          <c:order val="2"/>
          <c:tx>
            <c:v>Corregible, fuera de rango (n = 31)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Aux_graficos!$KB$2:$KB$32</c:f>
              <c:numCache>
                <c:formatCode>General</c:formatCode>
                <c:ptCount val="31"/>
                <c:pt idx="0">
                  <c:v>0.66748528230148152</c:v>
                </c:pt>
                <c:pt idx="1">
                  <c:v>0.59833794342131263</c:v>
                </c:pt>
                <c:pt idx="2">
                  <c:v>0.69590442031010069</c:v>
                </c:pt>
                <c:pt idx="3">
                  <c:v>0.53808781431731612</c:v>
                </c:pt>
                <c:pt idx="4">
                  <c:v>0.70625141138347003</c:v>
                </c:pt>
                <c:pt idx="5">
                  <c:v>0.66530636198378601</c:v>
                </c:pt>
                <c:pt idx="6">
                  <c:v>0.54945094533079752</c:v>
                </c:pt>
                <c:pt idx="7">
                  <c:v>0.61531975399832317</c:v>
                </c:pt>
                <c:pt idx="8">
                  <c:v>0.74062595070103499</c:v>
                </c:pt>
                <c:pt idx="9">
                  <c:v>0.58470035172169965</c:v>
                </c:pt>
                <c:pt idx="10">
                  <c:v>0.60257171626829886</c:v>
                </c:pt>
                <c:pt idx="11">
                  <c:v>0.62531654123406266</c:v>
                </c:pt>
                <c:pt idx="12">
                  <c:v>0.51118226779122011</c:v>
                </c:pt>
                <c:pt idx="13">
                  <c:v>0.80402974879328859</c:v>
                </c:pt>
                <c:pt idx="14">
                  <c:v>0.65100512197262561</c:v>
                </c:pt>
                <c:pt idx="15">
                  <c:v>0.53214547404164236</c:v>
                </c:pt>
                <c:pt idx="16">
                  <c:v>0.60578176259434779</c:v>
                </c:pt>
                <c:pt idx="17">
                  <c:v>0.78892957091959448</c:v>
                </c:pt>
                <c:pt idx="18">
                  <c:v>0.73125292138063536</c:v>
                </c:pt>
                <c:pt idx="19">
                  <c:v>0.60851033545627264</c:v>
                </c:pt>
                <c:pt idx="20">
                  <c:v>0.50472446966725149</c:v>
                </c:pt>
                <c:pt idx="21">
                  <c:v>0.56499620980943999</c:v>
                </c:pt>
                <c:pt idx="22">
                  <c:v>0.71558096032290075</c:v>
                </c:pt>
                <c:pt idx="23">
                  <c:v>0.57436982396530256</c:v>
                </c:pt>
                <c:pt idx="24">
                  <c:v>0.68684892153944932</c:v>
                </c:pt>
                <c:pt idx="25">
                  <c:v>0.74658766839822976</c:v>
                </c:pt>
                <c:pt idx="26">
                  <c:v>0.55676919502812139</c:v>
                </c:pt>
                <c:pt idx="27">
                  <c:v>0.6550402161790907</c:v>
                </c:pt>
                <c:pt idx="28">
                  <c:v>0.68318518351643687</c:v>
                </c:pt>
                <c:pt idx="29">
                  <c:v>0.80988260145519386</c:v>
                </c:pt>
                <c:pt idx="30">
                  <c:v>0.67891782702462433</c:v>
                </c:pt>
              </c:numCache>
            </c:numRef>
          </c:xVal>
          <c:yVal>
            <c:numRef>
              <c:f>Aux_graficos!$KA$2:$KA$32</c:f>
              <c:numCache>
                <c:formatCode>General</c:formatCode>
                <c:ptCount val="31"/>
                <c:pt idx="0">
                  <c:v>1985.5685830750249</c:v>
                </c:pt>
                <c:pt idx="1">
                  <c:v>1294.9319706275751</c:v>
                </c:pt>
                <c:pt idx="2">
                  <c:v>1389.4417941046049</c:v>
                </c:pt>
                <c:pt idx="3">
                  <c:v>634.73010691149636</c:v>
                </c:pt>
                <c:pt idx="4">
                  <c:v>613.73547788105714</c:v>
                </c:pt>
                <c:pt idx="5">
                  <c:v>857.4331502762775</c:v>
                </c:pt>
                <c:pt idx="6">
                  <c:v>534.62023011747669</c:v>
                </c:pt>
                <c:pt idx="7">
                  <c:v>550.60355430147877</c:v>
                </c:pt>
                <c:pt idx="8">
                  <c:v>916.06004469776997</c:v>
                </c:pt>
                <c:pt idx="9">
                  <c:v>640.69837807788326</c:v>
                </c:pt>
                <c:pt idx="10">
                  <c:v>1371.6732234206081</c:v>
                </c:pt>
                <c:pt idx="11">
                  <c:v>1453.2527675756271</c:v>
                </c:pt>
                <c:pt idx="12">
                  <c:v>1401.1040022163429</c:v>
                </c:pt>
                <c:pt idx="13">
                  <c:v>1219.800534846232</c:v>
                </c:pt>
                <c:pt idx="14">
                  <c:v>1038.5780192705261</c:v>
                </c:pt>
                <c:pt idx="15">
                  <c:v>304.45500055856502</c:v>
                </c:pt>
                <c:pt idx="16">
                  <c:v>403.1456792546187</c:v>
                </c:pt>
                <c:pt idx="17">
                  <c:v>1168.2722221935619</c:v>
                </c:pt>
                <c:pt idx="18">
                  <c:v>693.36599155219608</c:v>
                </c:pt>
                <c:pt idx="19">
                  <c:v>1417.0309684811509</c:v>
                </c:pt>
                <c:pt idx="20">
                  <c:v>574.1498330490839</c:v>
                </c:pt>
                <c:pt idx="21">
                  <c:v>1623.2849381842429</c:v>
                </c:pt>
                <c:pt idx="22">
                  <c:v>667.39373325066572</c:v>
                </c:pt>
                <c:pt idx="23">
                  <c:v>788.28462124752423</c:v>
                </c:pt>
                <c:pt idx="24">
                  <c:v>491.52386714836649</c:v>
                </c:pt>
                <c:pt idx="25">
                  <c:v>732.82340294424</c:v>
                </c:pt>
                <c:pt idx="26">
                  <c:v>1481.0289434630431</c:v>
                </c:pt>
                <c:pt idx="27">
                  <c:v>836.37435230652693</c:v>
                </c:pt>
                <c:pt idx="28">
                  <c:v>1774.563414524257</c:v>
                </c:pt>
                <c:pt idx="29">
                  <c:v>1569.8582438253329</c:v>
                </c:pt>
                <c:pt idx="30">
                  <c:v>1046.3657156796489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119-4BD1-BC04-5BD466D7FF84}"/>
            </c:ext>
          </c:extLst>
        </c:ser>
        <c:ser>
          <c:idx val="3"/>
          <c:order val="3"/>
          <c:tx>
            <c:v>Inviable, fuera de rango (n = 18)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noFill/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Aux_graficos!$KD$2:$KD$19</c:f>
              <c:numCache>
                <c:formatCode>General</c:formatCode>
                <c:ptCount val="18"/>
                <c:pt idx="0">
                  <c:v>0.72451586307410309</c:v>
                </c:pt>
                <c:pt idx="1">
                  <c:v>0.72988515941546839</c:v>
                </c:pt>
                <c:pt idx="2">
                  <c:v>0.59082193380124393</c:v>
                </c:pt>
                <c:pt idx="3">
                  <c:v>0.51304542732066238</c:v>
                </c:pt>
                <c:pt idx="4">
                  <c:v>0.62618869730516158</c:v>
                </c:pt>
                <c:pt idx="5">
                  <c:v>0.72073907874265819</c:v>
                </c:pt>
                <c:pt idx="6">
                  <c:v>0.59458349481043826</c:v>
                </c:pt>
                <c:pt idx="7">
                  <c:v>0.52680184983860634</c:v>
                </c:pt>
                <c:pt idx="8">
                  <c:v>0.69074576491882667</c:v>
                </c:pt>
                <c:pt idx="9">
                  <c:v>0.51570317577898384</c:v>
                </c:pt>
                <c:pt idx="10">
                  <c:v>0.76824894437186653</c:v>
                </c:pt>
                <c:pt idx="11">
                  <c:v>0.70344384832675133</c:v>
                </c:pt>
                <c:pt idx="12">
                  <c:v>0.57689010937210961</c:v>
                </c:pt>
                <c:pt idx="13">
                  <c:v>0.55122079058546469</c:v>
                </c:pt>
                <c:pt idx="14">
                  <c:v>0.63744727170114779</c:v>
                </c:pt>
                <c:pt idx="15">
                  <c:v>0.74231695223098582</c:v>
                </c:pt>
                <c:pt idx="16">
                  <c:v>0.68508744005790456</c:v>
                </c:pt>
                <c:pt idx="17">
                  <c:v>0.76531729295362738</c:v>
                </c:pt>
              </c:numCache>
            </c:numRef>
          </c:xVal>
          <c:yVal>
            <c:numRef>
              <c:f>Aux_graficos!$KC$2:$KC$19</c:f>
              <c:numCache>
                <c:formatCode>General</c:formatCode>
                <c:ptCount val="18"/>
                <c:pt idx="0">
                  <c:v>1603.6227697890411</c:v>
                </c:pt>
                <c:pt idx="1">
                  <c:v>437.28537169327842</c:v>
                </c:pt>
                <c:pt idx="2">
                  <c:v>1870.145025266477</c:v>
                </c:pt>
                <c:pt idx="3">
                  <c:v>1855.9109619085441</c:v>
                </c:pt>
                <c:pt idx="4">
                  <c:v>1516.723891032618</c:v>
                </c:pt>
                <c:pt idx="5">
                  <c:v>743.84906965584776</c:v>
                </c:pt>
                <c:pt idx="6">
                  <c:v>248.95915732771991</c:v>
                </c:pt>
                <c:pt idx="7">
                  <c:v>761.77879072772521</c:v>
                </c:pt>
                <c:pt idx="8">
                  <c:v>326.76899043148308</c:v>
                </c:pt>
                <c:pt idx="9">
                  <c:v>1336.5946334101279</c:v>
                </c:pt>
                <c:pt idx="10">
                  <c:v>1200.7035918734091</c:v>
                </c:pt>
                <c:pt idx="11">
                  <c:v>580.17882946253792</c:v>
                </c:pt>
                <c:pt idx="12">
                  <c:v>812.50089306288385</c:v>
                </c:pt>
                <c:pt idx="13">
                  <c:v>1187.2513241313629</c:v>
                </c:pt>
                <c:pt idx="14">
                  <c:v>1116.1464184310821</c:v>
                </c:pt>
                <c:pt idx="15">
                  <c:v>518.49350355066338</c:v>
                </c:pt>
                <c:pt idx="16">
                  <c:v>340.48056053274269</c:v>
                </c:pt>
                <c:pt idx="17">
                  <c:v>1092.779970317365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119-4BD1-BC04-5BD466D7FF84}"/>
            </c:ext>
          </c:extLst>
        </c:ser>
        <c:ser>
          <c:idx val="4"/>
          <c:order val="4"/>
          <c:tx>
            <c:v>No convergió (n = 56)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Aux_graficos!$KF$2:$KF$57</c:f>
              <c:numCache>
                <c:formatCode>General</c:formatCode>
                <c:ptCount val="56"/>
                <c:pt idx="0">
                  <c:v>0.83342711013974169</c:v>
                </c:pt>
                <c:pt idx="1">
                  <c:v>0.78081462524155221</c:v>
                </c:pt>
                <c:pt idx="2">
                  <c:v>0.79931333513456071</c:v>
                </c:pt>
                <c:pt idx="3">
                  <c:v>0.77958950991192122</c:v>
                </c:pt>
                <c:pt idx="4">
                  <c:v>0.60189273011043265</c:v>
                </c:pt>
                <c:pt idx="5">
                  <c:v>0.80294672081252572</c:v>
                </c:pt>
                <c:pt idx="6">
                  <c:v>0.64561818976637475</c:v>
                </c:pt>
                <c:pt idx="7">
                  <c:v>0.82422042469470569</c:v>
                </c:pt>
                <c:pt idx="8">
                  <c:v>0.75407331106703301</c:v>
                </c:pt>
                <c:pt idx="9">
                  <c:v>0.61331140159843112</c:v>
                </c:pt>
                <c:pt idx="10">
                  <c:v>0.54181172467028194</c:v>
                </c:pt>
                <c:pt idx="11">
                  <c:v>0.67616765454052241</c:v>
                </c:pt>
                <c:pt idx="12">
                  <c:v>0.6531644423108921</c:v>
                </c:pt>
                <c:pt idx="13">
                  <c:v>0.79526251811667048</c:v>
                </c:pt>
                <c:pt idx="14">
                  <c:v>0.76000065222236701</c:v>
                </c:pt>
                <c:pt idx="15">
                  <c:v>0.84058475947863731</c:v>
                </c:pt>
                <c:pt idx="16">
                  <c:v>0.81829187739818132</c:v>
                </c:pt>
                <c:pt idx="17">
                  <c:v>0.55954695484709605</c:v>
                </c:pt>
                <c:pt idx="18">
                  <c:v>0.50226077958240245</c:v>
                </c:pt>
                <c:pt idx="19">
                  <c:v>0.64680685769367996</c:v>
                </c:pt>
                <c:pt idx="20">
                  <c:v>0.67108146578724082</c:v>
                </c:pt>
                <c:pt idx="21">
                  <c:v>0.78721242607280284</c:v>
                </c:pt>
                <c:pt idx="22">
                  <c:v>0.75681390019218675</c:v>
                </c:pt>
                <c:pt idx="23">
                  <c:v>0.82802266354813114</c:v>
                </c:pt>
                <c:pt idx="24">
                  <c:v>0.78390776854018029</c:v>
                </c:pt>
                <c:pt idx="25">
                  <c:v>0.72574937759465119</c:v>
                </c:pt>
                <c:pt idx="26">
                  <c:v>0.53036744144899028</c:v>
                </c:pt>
                <c:pt idx="27">
                  <c:v>0.5691225270379997</c:v>
                </c:pt>
                <c:pt idx="28">
                  <c:v>0.63144614691366807</c:v>
                </c:pt>
                <c:pt idx="29">
                  <c:v>0.73592689572323877</c:v>
                </c:pt>
                <c:pt idx="30">
                  <c:v>0.50731792318938351</c:v>
                </c:pt>
                <c:pt idx="31">
                  <c:v>0.64217870307716085</c:v>
                </c:pt>
                <c:pt idx="32">
                  <c:v>0.77081819643033511</c:v>
                </c:pt>
                <c:pt idx="33">
                  <c:v>0.53785881557820714</c:v>
                </c:pt>
                <c:pt idx="34">
                  <c:v>0.62913142905474939</c:v>
                </c:pt>
                <c:pt idx="35">
                  <c:v>0.74871083722482168</c:v>
                </c:pt>
                <c:pt idx="36">
                  <c:v>0.69863431842614099</c:v>
                </c:pt>
                <c:pt idx="37">
                  <c:v>0.75238245717999708</c:v>
                </c:pt>
                <c:pt idx="38">
                  <c:v>0.63450414388685061</c:v>
                </c:pt>
                <c:pt idx="39">
                  <c:v>0.69381537208713207</c:v>
                </c:pt>
                <c:pt idx="40">
                  <c:v>0.7943290478947429</c:v>
                </c:pt>
                <c:pt idx="41">
                  <c:v>0.58352086625342303</c:v>
                </c:pt>
                <c:pt idx="42">
                  <c:v>0.73796159817506191</c:v>
                </c:pt>
                <c:pt idx="43">
                  <c:v>0.77267643990798596</c:v>
                </c:pt>
                <c:pt idx="44">
                  <c:v>0.58856812185684915</c:v>
                </c:pt>
                <c:pt idx="45">
                  <c:v>0.84451935292790692</c:v>
                </c:pt>
                <c:pt idx="46">
                  <c:v>0.56150296822458812</c:v>
                </c:pt>
                <c:pt idx="47">
                  <c:v>0.61724596416677491</c:v>
                </c:pt>
                <c:pt idx="48">
                  <c:v>0.66135043066693955</c:v>
                </c:pt>
                <c:pt idx="49">
                  <c:v>0.84794134158988443</c:v>
                </c:pt>
                <c:pt idx="50">
                  <c:v>0.84176658861814402</c:v>
                </c:pt>
                <c:pt idx="51">
                  <c:v>0.5244297991410477</c:v>
                </c:pt>
                <c:pt idx="52">
                  <c:v>0.80760915253804066</c:v>
                </c:pt>
                <c:pt idx="53">
                  <c:v>0.55258846119480798</c:v>
                </c:pt>
                <c:pt idx="54">
                  <c:v>0.65997730865410009</c:v>
                </c:pt>
                <c:pt idx="55">
                  <c:v>0.77584287598350987</c:v>
                </c:pt>
              </c:numCache>
            </c:numRef>
          </c:xVal>
          <c:yVal>
            <c:numRef>
              <c:f>Aux_graficos!$KE$2:$KE$57</c:f>
              <c:numCache>
                <c:formatCode>General</c:formatCode>
                <c:ptCount val="56"/>
                <c:pt idx="0">
                  <c:v>277.73249598963008</c:v>
                </c:pt>
                <c:pt idx="1">
                  <c:v>658.48729043467495</c:v>
                </c:pt>
                <c:pt idx="2">
                  <c:v>1689.3700736307101</c:v>
                </c:pt>
                <c:pt idx="3">
                  <c:v>1644.8681932368729</c:v>
                </c:pt>
                <c:pt idx="4">
                  <c:v>311.9501833670746</c:v>
                </c:pt>
                <c:pt idx="5">
                  <c:v>1735.891137527924</c:v>
                </c:pt>
                <c:pt idx="6">
                  <c:v>1138.3181276292539</c:v>
                </c:pt>
                <c:pt idx="7">
                  <c:v>1660.614434685504</c:v>
                </c:pt>
                <c:pt idx="8">
                  <c:v>1705.63498112856</c:v>
                </c:pt>
                <c:pt idx="9">
                  <c:v>1465.4850472286871</c:v>
                </c:pt>
                <c:pt idx="10">
                  <c:v>1977.7845400767901</c:v>
                </c:pt>
                <c:pt idx="11">
                  <c:v>1838.875486340434</c:v>
                </c:pt>
                <c:pt idx="12">
                  <c:v>393.84924973180711</c:v>
                </c:pt>
                <c:pt idx="13">
                  <c:v>784.40588109479859</c:v>
                </c:pt>
                <c:pt idx="14">
                  <c:v>1148.958789217814</c:v>
                </c:pt>
                <c:pt idx="15">
                  <c:v>940.52621610099743</c:v>
                </c:pt>
                <c:pt idx="16">
                  <c:v>697.41511069086664</c:v>
                </c:pt>
                <c:pt idx="17">
                  <c:v>1542.557353209985</c:v>
                </c:pt>
                <c:pt idx="18">
                  <c:v>1532.097235550491</c:v>
                </c:pt>
                <c:pt idx="19">
                  <c:v>926.48801974819139</c:v>
                </c:pt>
                <c:pt idx="20">
                  <c:v>1244.77913727849</c:v>
                </c:pt>
                <c:pt idx="21">
                  <c:v>242.23288705667659</c:v>
                </c:pt>
                <c:pt idx="22">
                  <c:v>1354.960781701227</c:v>
                </c:pt>
                <c:pt idx="23">
                  <c:v>984.78206921214917</c:v>
                </c:pt>
                <c:pt idx="24">
                  <c:v>379.95876982266623</c:v>
                </c:pt>
                <c:pt idx="25">
                  <c:v>1880.028816148849</c:v>
                </c:pt>
                <c:pt idx="26">
                  <c:v>410.23803467196541</c:v>
                </c:pt>
                <c:pt idx="27">
                  <c:v>868.60651219772456</c:v>
                </c:pt>
                <c:pt idx="28">
                  <c:v>215.74974485984791</c:v>
                </c:pt>
                <c:pt idx="29">
                  <c:v>597.14312857495156</c:v>
                </c:pt>
                <c:pt idx="30">
                  <c:v>211.4165689488047</c:v>
                </c:pt>
                <c:pt idx="31">
                  <c:v>1322.9138852525091</c:v>
                </c:pt>
                <c:pt idx="32">
                  <c:v>1061.882493709157</c:v>
                </c:pt>
                <c:pt idx="33">
                  <c:v>1781.454783781435</c:v>
                </c:pt>
                <c:pt idx="34">
                  <c:v>264.98890171890719</c:v>
                </c:pt>
                <c:pt idx="35">
                  <c:v>824.41864946174667</c:v>
                </c:pt>
                <c:pt idx="36">
                  <c:v>1297.39077862042</c:v>
                </c:pt>
                <c:pt idx="37">
                  <c:v>474.5501690374976</c:v>
                </c:pt>
                <c:pt idx="38">
                  <c:v>1012.8466115997541</c:v>
                </c:pt>
                <c:pt idx="39">
                  <c:v>1944.788545631179</c:v>
                </c:pt>
                <c:pt idx="40">
                  <c:v>998.57596618585842</c:v>
                </c:pt>
                <c:pt idx="41">
                  <c:v>1746.6896656109179</c:v>
                </c:pt>
                <c:pt idx="42">
                  <c:v>358.8222479218133</c:v>
                </c:pt>
                <c:pt idx="43">
                  <c:v>1584.0063760563639</c:v>
                </c:pt>
                <c:pt idx="44">
                  <c:v>1495.349823108638</c:v>
                </c:pt>
                <c:pt idx="45">
                  <c:v>875.80031927500045</c:v>
                </c:pt>
                <c:pt idx="46">
                  <c:v>508.9121396980824</c:v>
                </c:pt>
                <c:pt idx="47">
                  <c:v>1820.487842189958</c:v>
                </c:pt>
                <c:pt idx="48">
                  <c:v>893.06640696951501</c:v>
                </c:pt>
                <c:pt idx="49">
                  <c:v>969.11098839840236</c:v>
                </c:pt>
                <c:pt idx="50">
                  <c:v>1231.2108518172799</c:v>
                </c:pt>
                <c:pt idx="51">
                  <c:v>442.84815451284868</c:v>
                </c:pt>
                <c:pt idx="52">
                  <c:v>1801.3018866003281</c:v>
                </c:pt>
                <c:pt idx="53">
                  <c:v>1078.4002433663661</c:v>
                </c:pt>
                <c:pt idx="54">
                  <c:v>1677.964427433408</c:v>
                </c:pt>
                <c:pt idx="55">
                  <c:v>461.31535520633139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119-4BD1-BC04-5BD466D7FF84}"/>
            </c:ext>
          </c:extLst>
        </c:ser>
        <c:ser>
          <c:idx val="5"/>
          <c:order val="5"/>
          <c:tx>
            <c:v>Falso convergido (N2) (n = 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Aux_graficos!$KH$2:$KH$3</c:f>
              <c:numCache>
                <c:formatCode>General</c:formatCode>
                <c:ptCount val="2"/>
                <c:pt idx="0">
                  <c:v>0.71797430889596192</c:v>
                </c:pt>
                <c:pt idx="1">
                  <c:v>0.58097422057185621</c:v>
                </c:pt>
              </c:numCache>
            </c:numRef>
          </c:xVal>
          <c:yVal>
            <c:numRef>
              <c:f>Aux_graficos!$KG$2:$KG$3</c:f>
              <c:numCache>
                <c:formatCode>General</c:formatCode>
                <c:ptCount val="2"/>
                <c:pt idx="0">
                  <c:v>1443.808752355641</c:v>
                </c:pt>
                <c:pt idx="1">
                  <c:v>1721.464243854768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119-4BD1-BC04-5BD466D7F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"/>
          <c:min val="0.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2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500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Escenario S5 (conserva su fuente y su composición, T_fuente y x_b): 10 KALINA de 119 evaluados, 0 confiables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KALINA, fuera de rango (n = 10)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Aux_graficos!$KJ$2:$KJ$11</c:f>
              <c:numCache>
                <c:formatCode>General</c:formatCode>
                <c:ptCount val="10"/>
                <c:pt idx="0">
                  <c:v>2581.218399638949</c:v>
                </c:pt>
                <c:pt idx="1">
                  <c:v>4808.3419580395002</c:v>
                </c:pt>
                <c:pt idx="2">
                  <c:v>4753.3451451620222</c:v>
                </c:pt>
                <c:pt idx="3">
                  <c:v>2523.4186201739399</c:v>
                </c:pt>
                <c:pt idx="4">
                  <c:v>2932.4110364673661</c:v>
                </c:pt>
                <c:pt idx="5">
                  <c:v>4163.6042610773366</c:v>
                </c:pt>
                <c:pt idx="6">
                  <c:v>3976.4935991862671</c:v>
                </c:pt>
                <c:pt idx="7">
                  <c:v>4623.7628862233723</c:v>
                </c:pt>
                <c:pt idx="8">
                  <c:v>3634.0038787952658</c:v>
                </c:pt>
                <c:pt idx="9">
                  <c:v>4186.2545848627014</c:v>
                </c:pt>
              </c:numCache>
            </c:numRef>
          </c:xVal>
          <c:yVal>
            <c:numRef>
              <c:f>Aux_graficos!$KI$2:$KI$11</c:f>
              <c:numCache>
                <c:formatCode>General</c:formatCode>
                <c:ptCount val="10"/>
                <c:pt idx="0">
                  <c:v>1452.540849569594</c:v>
                </c:pt>
                <c:pt idx="1">
                  <c:v>1242.2743898072649</c:v>
                </c:pt>
                <c:pt idx="2">
                  <c:v>1482.1204041787539</c:v>
                </c:pt>
                <c:pt idx="3">
                  <c:v>1318.3171169146381</c:v>
                </c:pt>
                <c:pt idx="4">
                  <c:v>1174.954452581969</c:v>
                </c:pt>
                <c:pt idx="5">
                  <c:v>1723.9220227702169</c:v>
                </c:pt>
                <c:pt idx="6">
                  <c:v>1810.585321724594</c:v>
                </c:pt>
                <c:pt idx="7">
                  <c:v>1594.8984118004039</c:v>
                </c:pt>
                <c:pt idx="8">
                  <c:v>654.55302031238375</c:v>
                </c:pt>
                <c:pt idx="9">
                  <c:v>1421.8869426174369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8F-44C7-B906-40DC9DB94406}"/>
            </c:ext>
          </c:extLst>
        </c:ser>
        <c:ser>
          <c:idx val="1"/>
          <c:order val="1"/>
          <c:tx>
            <c:v>Corregible, fuera de rango (n = 55)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noFill/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Aux_graficos!$KL$2:$KL$56</c:f>
              <c:numCache>
                <c:formatCode>General</c:formatCode>
                <c:ptCount val="55"/>
                <c:pt idx="0">
                  <c:v>3850.822822006674</c:v>
                </c:pt>
                <c:pt idx="1">
                  <c:v>4954.9351047237542</c:v>
                </c:pt>
                <c:pt idx="2">
                  <c:v>3375.5572293165328</c:v>
                </c:pt>
                <c:pt idx="3">
                  <c:v>2660.445962270247</c:v>
                </c:pt>
                <c:pt idx="4">
                  <c:v>4216.0812910319091</c:v>
                </c:pt>
                <c:pt idx="5">
                  <c:v>2642.853838582022</c:v>
                </c:pt>
                <c:pt idx="6">
                  <c:v>2982.6058302238789</c:v>
                </c:pt>
                <c:pt idx="7">
                  <c:v>3744.982058753154</c:v>
                </c:pt>
                <c:pt idx="8">
                  <c:v>4356.2972937429577</c:v>
                </c:pt>
                <c:pt idx="9">
                  <c:v>2497.5607377003271</c:v>
                </c:pt>
                <c:pt idx="10">
                  <c:v>3550.099941914199</c:v>
                </c:pt>
                <c:pt idx="11">
                  <c:v>2448.353776692386</c:v>
                </c:pt>
                <c:pt idx="12">
                  <c:v>4726.1064346450858</c:v>
                </c:pt>
                <c:pt idx="13">
                  <c:v>2241.170492303871</c:v>
                </c:pt>
                <c:pt idx="14">
                  <c:v>2956.5012670959941</c:v>
                </c:pt>
                <c:pt idx="15">
                  <c:v>3015.7633963010762</c:v>
                </c:pt>
                <c:pt idx="16">
                  <c:v>4689.4621166219722</c:v>
                </c:pt>
                <c:pt idx="17">
                  <c:v>4444.1942595090131</c:v>
                </c:pt>
                <c:pt idx="18">
                  <c:v>2556.312813189159</c:v>
                </c:pt>
                <c:pt idx="19">
                  <c:v>2533.5867398280479</c:v>
                </c:pt>
                <c:pt idx="20">
                  <c:v>2053.9324959287819</c:v>
                </c:pt>
                <c:pt idx="21">
                  <c:v>2221.5808474651758</c:v>
                </c:pt>
                <c:pt idx="22">
                  <c:v>4229.7026443505383</c:v>
                </c:pt>
                <c:pt idx="23">
                  <c:v>4654.5595451602203</c:v>
                </c:pt>
                <c:pt idx="24">
                  <c:v>4642.2245574396911</c:v>
                </c:pt>
                <c:pt idx="25">
                  <c:v>3085.144476148409</c:v>
                </c:pt>
                <c:pt idx="26">
                  <c:v>2037.930113333558</c:v>
                </c:pt>
                <c:pt idx="27">
                  <c:v>3954.2350852255781</c:v>
                </c:pt>
                <c:pt idx="28">
                  <c:v>4711.298436297966</c:v>
                </c:pt>
                <c:pt idx="29">
                  <c:v>3225.4038557023191</c:v>
                </c:pt>
                <c:pt idx="30">
                  <c:v>2741.5050400331352</c:v>
                </c:pt>
                <c:pt idx="31">
                  <c:v>2251.2930581187488</c:v>
                </c:pt>
                <c:pt idx="32">
                  <c:v>2101.2531700651889</c:v>
                </c:pt>
                <c:pt idx="33">
                  <c:v>3437.3042290855792</c:v>
                </c:pt>
                <c:pt idx="34">
                  <c:v>3215.8219494221298</c:v>
                </c:pt>
                <c:pt idx="35">
                  <c:v>4008.190899044529</c:v>
                </c:pt>
                <c:pt idx="36">
                  <c:v>4070.499094943948</c:v>
                </c:pt>
                <c:pt idx="37">
                  <c:v>3314.4008247885481</c:v>
                </c:pt>
                <c:pt idx="38">
                  <c:v>3761.3471549453488</c:v>
                </c:pt>
                <c:pt idx="39">
                  <c:v>3788.4118388261031</c:v>
                </c:pt>
                <c:pt idx="40">
                  <c:v>3845.309923918609</c:v>
                </c:pt>
                <c:pt idx="41">
                  <c:v>3069.1943727159201</c:v>
                </c:pt>
                <c:pt idx="42">
                  <c:v>2923.8459890556928</c:v>
                </c:pt>
                <c:pt idx="43">
                  <c:v>3479.4891550376169</c:v>
                </c:pt>
                <c:pt idx="44">
                  <c:v>4826.0114461448247</c:v>
                </c:pt>
                <c:pt idx="45">
                  <c:v>2097.8080807033689</c:v>
                </c:pt>
                <c:pt idx="46">
                  <c:v>4483.9874639660939</c:v>
                </c:pt>
                <c:pt idx="47">
                  <c:v>3345.5467934611488</c:v>
                </c:pt>
                <c:pt idx="48">
                  <c:v>2842.222597328956</c:v>
                </c:pt>
                <c:pt idx="49">
                  <c:v>4890.4362412959854</c:v>
                </c:pt>
                <c:pt idx="50">
                  <c:v>3936.1532367528371</c:v>
                </c:pt>
                <c:pt idx="51">
                  <c:v>4927.0690120782401</c:v>
                </c:pt>
                <c:pt idx="52">
                  <c:v>2615.3973673685318</c:v>
                </c:pt>
                <c:pt idx="53">
                  <c:v>4452.3228008327187</c:v>
                </c:pt>
                <c:pt idx="54">
                  <c:v>3469.3655058838581</c:v>
                </c:pt>
              </c:numCache>
            </c:numRef>
          </c:xVal>
          <c:yVal>
            <c:numRef>
              <c:f>Aux_graficos!$KK$2:$KK$56</c:f>
              <c:numCache>
                <c:formatCode>General</c:formatCode>
                <c:ptCount val="55"/>
                <c:pt idx="0">
                  <c:v>417.94093331748007</c:v>
                </c:pt>
                <c:pt idx="1">
                  <c:v>300.78468468562818</c:v>
                </c:pt>
                <c:pt idx="2">
                  <c:v>1918.0919845881469</c:v>
                </c:pt>
                <c:pt idx="3">
                  <c:v>1765.702530021576</c:v>
                </c:pt>
                <c:pt idx="4">
                  <c:v>1470.4748041985331</c:v>
                </c:pt>
                <c:pt idx="5">
                  <c:v>331.0852826081823</c:v>
                </c:pt>
                <c:pt idx="6">
                  <c:v>1019.5043147904061</c:v>
                </c:pt>
                <c:pt idx="7">
                  <c:v>1439.657166970303</c:v>
                </c:pt>
                <c:pt idx="8">
                  <c:v>1545.0069741552541</c:v>
                </c:pt>
                <c:pt idx="9">
                  <c:v>285.35293835911472</c:v>
                </c:pt>
                <c:pt idx="10">
                  <c:v>1652.5372687303379</c:v>
                </c:pt>
                <c:pt idx="11">
                  <c:v>1180.8985655398919</c:v>
                </c:pt>
                <c:pt idx="12">
                  <c:v>308.33872276456037</c:v>
                </c:pt>
                <c:pt idx="13">
                  <c:v>1936.380869402984</c:v>
                </c:pt>
                <c:pt idx="14">
                  <c:v>990.12072324071858</c:v>
                </c:pt>
                <c:pt idx="15">
                  <c:v>268.3560550221556</c:v>
                </c:pt>
                <c:pt idx="16">
                  <c:v>1898.977479582325</c:v>
                </c:pt>
                <c:pt idx="17">
                  <c:v>929.59995376861116</c:v>
                </c:pt>
                <c:pt idx="18">
                  <c:v>573.59047503824013</c:v>
                </c:pt>
                <c:pt idx="19">
                  <c:v>1555.389057277024</c:v>
                </c:pt>
                <c:pt idx="20">
                  <c:v>1698.2690537172141</c:v>
                </c:pt>
                <c:pt idx="21">
                  <c:v>1007.0137314659059</c:v>
                </c:pt>
                <c:pt idx="22">
                  <c:v>788.28923071692464</c:v>
                </c:pt>
                <c:pt idx="23">
                  <c:v>1363.193773342409</c:v>
                </c:pt>
                <c:pt idx="24">
                  <c:v>380.03069491222931</c:v>
                </c:pt>
                <c:pt idx="25">
                  <c:v>1782.9854213850999</c:v>
                </c:pt>
                <c:pt idx="26">
                  <c:v>941.28500656203323</c:v>
                </c:pt>
                <c:pt idx="27">
                  <c:v>442.26242031171938</c:v>
                </c:pt>
                <c:pt idx="28">
                  <c:v>1675.8109269944739</c:v>
                </c:pt>
                <c:pt idx="29">
                  <c:v>767.52827241250418</c:v>
                </c:pt>
                <c:pt idx="30">
                  <c:v>1411.7108027182651</c:v>
                </c:pt>
                <c:pt idx="31">
                  <c:v>223.2731954599453</c:v>
                </c:pt>
                <c:pt idx="32">
                  <c:v>906.73836867701596</c:v>
                </c:pt>
                <c:pt idx="33">
                  <c:v>850.41359455326631</c:v>
                </c:pt>
                <c:pt idx="34">
                  <c:v>253.2073328472934</c:v>
                </c:pt>
                <c:pt idx="35">
                  <c:v>366.91104038818651</c:v>
                </c:pt>
                <c:pt idx="36">
                  <c:v>1191.521270757587</c:v>
                </c:pt>
                <c:pt idx="37">
                  <c:v>1272.290929718981</c:v>
                </c:pt>
                <c:pt idx="38">
                  <c:v>1533.9062064953389</c:v>
                </c:pt>
                <c:pt idx="39">
                  <c:v>353.25442524265208</c:v>
                </c:pt>
                <c:pt idx="40">
                  <c:v>872.79649937010845</c:v>
                </c:pt>
                <c:pt idx="41">
                  <c:v>1353.0666895390279</c:v>
                </c:pt>
                <c:pt idx="42">
                  <c:v>809.10072952384576</c:v>
                </c:pt>
                <c:pt idx="43">
                  <c:v>521.3504864564843</c:v>
                </c:pt>
                <c:pt idx="44">
                  <c:v>1837.459855400399</c:v>
                </c:pt>
                <c:pt idx="45">
                  <c:v>240.565599861495</c:v>
                </c:pt>
                <c:pt idx="46">
                  <c:v>1660.2219786159519</c:v>
                </c:pt>
                <c:pt idx="47">
                  <c:v>1233.8873437627251</c:v>
                </c:pt>
                <c:pt idx="48">
                  <c:v>348.3356244134676</c:v>
                </c:pt>
                <c:pt idx="49">
                  <c:v>899.63899210198167</c:v>
                </c:pt>
                <c:pt idx="50">
                  <c:v>1577.8514694888829</c:v>
                </c:pt>
                <c:pt idx="51">
                  <c:v>1950.31158710057</c:v>
                </c:pt>
                <c:pt idx="52">
                  <c:v>1382.20115223934</c:v>
                </c:pt>
                <c:pt idx="53">
                  <c:v>1147.987597075097</c:v>
                </c:pt>
                <c:pt idx="54">
                  <c:v>750.21412814444864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F8F-44C7-B906-40DC9DB94406}"/>
            </c:ext>
          </c:extLst>
        </c:ser>
        <c:ser>
          <c:idx val="2"/>
          <c:order val="2"/>
          <c:tx>
            <c:v>Inviable, fuera de rango (n = 17)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noFill/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Aux_graficos!$KN$2:$KN$18</c:f>
              <c:numCache>
                <c:formatCode>General</c:formatCode>
                <c:ptCount val="17"/>
                <c:pt idx="0">
                  <c:v>4134.7489664125242</c:v>
                </c:pt>
                <c:pt idx="1">
                  <c:v>4547.9978017276799</c:v>
                </c:pt>
                <c:pt idx="2">
                  <c:v>3280.6646797063681</c:v>
                </c:pt>
                <c:pt idx="3">
                  <c:v>2881.6161930208809</c:v>
                </c:pt>
                <c:pt idx="4">
                  <c:v>3112.0881760106331</c:v>
                </c:pt>
                <c:pt idx="5">
                  <c:v>3541.3895908071399</c:v>
                </c:pt>
                <c:pt idx="6">
                  <c:v>2693.8799259506059</c:v>
                </c:pt>
                <c:pt idx="7">
                  <c:v>2402.8867477266799</c:v>
                </c:pt>
                <c:pt idx="8">
                  <c:v>3418.4110681208581</c:v>
                </c:pt>
                <c:pt idx="9">
                  <c:v>3172.4968286513158</c:v>
                </c:pt>
                <c:pt idx="10">
                  <c:v>2143.916760886475</c:v>
                </c:pt>
                <c:pt idx="11">
                  <c:v>2469.131631958141</c:v>
                </c:pt>
                <c:pt idx="12">
                  <c:v>3175.4446032415431</c:v>
                </c:pt>
                <c:pt idx="13">
                  <c:v>4901.7469279369907</c:v>
                </c:pt>
                <c:pt idx="14">
                  <c:v>4786.7473616901489</c:v>
                </c:pt>
                <c:pt idx="15">
                  <c:v>3802.571323382816</c:v>
                </c:pt>
                <c:pt idx="16">
                  <c:v>2341.3153084838282</c:v>
                </c:pt>
              </c:numCache>
            </c:numRef>
          </c:xVal>
          <c:yVal>
            <c:numRef>
              <c:f>Aux_graficos!$KM$2:$KM$18</c:f>
              <c:numCache>
                <c:formatCode>General</c:formatCode>
                <c:ptCount val="17"/>
                <c:pt idx="0">
                  <c:v>689.60208419368189</c:v>
                </c:pt>
                <c:pt idx="1">
                  <c:v>437.41919159985281</c:v>
                </c:pt>
                <c:pt idx="2">
                  <c:v>1504.0078626409979</c:v>
                </c:pt>
                <c:pt idx="3">
                  <c:v>1063.7013208656419</c:v>
                </c:pt>
                <c:pt idx="4">
                  <c:v>463.01121867217262</c:v>
                </c:pt>
                <c:pt idx="5">
                  <c:v>1708.0071453584869</c:v>
                </c:pt>
                <c:pt idx="6">
                  <c:v>1080.9642673817709</c:v>
                </c:pt>
                <c:pt idx="7">
                  <c:v>729.9780860451657</c:v>
                </c:pt>
                <c:pt idx="8">
                  <c:v>666.5971493891202</c:v>
                </c:pt>
                <c:pt idx="9">
                  <c:v>1085.807565682524</c:v>
                </c:pt>
                <c:pt idx="10">
                  <c:v>1207.7747526183009</c:v>
                </c:pt>
                <c:pt idx="11">
                  <c:v>206.1261602277809</c:v>
                </c:pt>
                <c:pt idx="12">
                  <c:v>1831.3106001856779</c:v>
                </c:pt>
                <c:pt idx="13">
                  <c:v>960.87012586224159</c:v>
                </c:pt>
                <c:pt idx="14">
                  <c:v>1034.2649143604799</c:v>
                </c:pt>
                <c:pt idx="15">
                  <c:v>723.83436202449741</c:v>
                </c:pt>
                <c:pt idx="16">
                  <c:v>1258.007650790563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F8F-44C7-B906-40DC9DB94406}"/>
            </c:ext>
          </c:extLst>
        </c:ser>
        <c:ser>
          <c:idx val="3"/>
          <c:order val="3"/>
          <c:tx>
            <c:v>No convergió (n = 37)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Aux_graficos!$KP$2:$KP$38</c:f>
              <c:numCache>
                <c:formatCode>General</c:formatCode>
                <c:ptCount val="37"/>
                <c:pt idx="0">
                  <c:v>3696.521691421201</c:v>
                </c:pt>
                <c:pt idx="1">
                  <c:v>4259.7354851577074</c:v>
                </c:pt>
                <c:pt idx="2">
                  <c:v>2398.9007336073232</c:v>
                </c:pt>
                <c:pt idx="3">
                  <c:v>3898.3140407682449</c:v>
                </c:pt>
                <c:pt idx="4">
                  <c:v>3703.5246019328852</c:v>
                </c:pt>
                <c:pt idx="5">
                  <c:v>2763.2480233489291</c:v>
                </c:pt>
                <c:pt idx="6">
                  <c:v>2307.164343100957</c:v>
                </c:pt>
                <c:pt idx="7">
                  <c:v>2023.003329493351</c:v>
                </c:pt>
                <c:pt idx="8">
                  <c:v>4414.9417031704479</c:v>
                </c:pt>
                <c:pt idx="9">
                  <c:v>3039.543245538026</c:v>
                </c:pt>
                <c:pt idx="10">
                  <c:v>4390.6197882503666</c:v>
                </c:pt>
                <c:pt idx="11">
                  <c:v>4277.6389093380303</c:v>
                </c:pt>
                <c:pt idx="12">
                  <c:v>3266.690846925424</c:v>
                </c:pt>
                <c:pt idx="13">
                  <c:v>4349.5613789632089</c:v>
                </c:pt>
                <c:pt idx="14">
                  <c:v>4997.4735065549557</c:v>
                </c:pt>
                <c:pt idx="15">
                  <c:v>4048.8416849973169</c:v>
                </c:pt>
                <c:pt idx="16">
                  <c:v>2801.4623156303192</c:v>
                </c:pt>
                <c:pt idx="17">
                  <c:v>2858.0552235147629</c:v>
                </c:pt>
                <c:pt idx="18">
                  <c:v>3138.1741803285622</c:v>
                </c:pt>
                <c:pt idx="19">
                  <c:v>3592.8487942407519</c:v>
                </c:pt>
                <c:pt idx="20">
                  <c:v>4597.2100868740736</c:v>
                </c:pt>
                <c:pt idx="21">
                  <c:v>2717.2409486955312</c:v>
                </c:pt>
                <c:pt idx="22">
                  <c:v>3914.4647998363998</c:v>
                </c:pt>
                <c:pt idx="23">
                  <c:v>4873.2433961331153</c:v>
                </c:pt>
                <c:pt idx="24">
                  <c:v>3609.8337794232239</c:v>
                </c:pt>
                <c:pt idx="25">
                  <c:v>4115.1609226677592</c:v>
                </c:pt>
                <c:pt idx="26">
                  <c:v>3668.556329404948</c:v>
                </c:pt>
                <c:pt idx="27">
                  <c:v>2775.6101154672779</c:v>
                </c:pt>
                <c:pt idx="28">
                  <c:v>2363.516210743458</c:v>
                </c:pt>
                <c:pt idx="29">
                  <c:v>4305.5790010917153</c:v>
                </c:pt>
                <c:pt idx="30">
                  <c:v>4513.291469633039</c:v>
                </c:pt>
                <c:pt idx="31">
                  <c:v>4096.793341717359</c:v>
                </c:pt>
                <c:pt idx="32">
                  <c:v>3503.4075898564338</c:v>
                </c:pt>
                <c:pt idx="33">
                  <c:v>3363.033421545289</c:v>
                </c:pt>
                <c:pt idx="34">
                  <c:v>4569.9792399247162</c:v>
                </c:pt>
                <c:pt idx="35">
                  <c:v>2156.5047433630411</c:v>
                </c:pt>
                <c:pt idx="36">
                  <c:v>2296.829804719318</c:v>
                </c:pt>
              </c:numCache>
            </c:numRef>
          </c:xVal>
          <c:yVal>
            <c:numRef>
              <c:f>Aux_graficos!$KO$2:$KO$38</c:f>
              <c:numCache>
                <c:formatCode>General</c:formatCode>
                <c:ptCount val="37"/>
                <c:pt idx="0">
                  <c:v>1623.3333340506231</c:v>
                </c:pt>
                <c:pt idx="1">
                  <c:v>1333.8122038909471</c:v>
                </c:pt>
                <c:pt idx="2">
                  <c:v>1999.256496404628</c:v>
                </c:pt>
                <c:pt idx="3">
                  <c:v>482.25144750581683</c:v>
                </c:pt>
                <c:pt idx="4">
                  <c:v>1293.7537955694479</c:v>
                </c:pt>
                <c:pt idx="5">
                  <c:v>843.01113013602867</c:v>
                </c:pt>
                <c:pt idx="6">
                  <c:v>1892.756759088737</c:v>
                </c:pt>
                <c:pt idx="7">
                  <c:v>398.00124030770269</c:v>
                </c:pt>
                <c:pt idx="8">
                  <c:v>633.33883396056558</c:v>
                </c:pt>
                <c:pt idx="9">
                  <c:v>1394.9557496090999</c:v>
                </c:pt>
                <c:pt idx="10">
                  <c:v>1508.955169217455</c:v>
                </c:pt>
                <c:pt idx="11">
                  <c:v>1607.875625516594</c:v>
                </c:pt>
                <c:pt idx="12">
                  <c:v>1873.2646297852079</c:v>
                </c:pt>
                <c:pt idx="13">
                  <c:v>511.99763645994261</c:v>
                </c:pt>
                <c:pt idx="14">
                  <c:v>490.81330897623332</c:v>
                </c:pt>
                <c:pt idx="15">
                  <c:v>1110.4172058461811</c:v>
                </c:pt>
                <c:pt idx="16">
                  <c:v>1137.7155945229199</c:v>
                </c:pt>
                <c:pt idx="17">
                  <c:v>602.06033520868755</c:v>
                </c:pt>
                <c:pt idx="18">
                  <c:v>705.59593013491599</c:v>
                </c:pt>
                <c:pt idx="19">
                  <c:v>887.80968567785874</c:v>
                </c:pt>
                <c:pt idx="20">
                  <c:v>1965.7826174441579</c:v>
                </c:pt>
                <c:pt idx="21">
                  <c:v>1629.4517469263051</c:v>
                </c:pt>
                <c:pt idx="22">
                  <c:v>583.38897236680009</c:v>
                </c:pt>
                <c:pt idx="23">
                  <c:v>1850.891366576983</c:v>
                </c:pt>
                <c:pt idx="24">
                  <c:v>640.33602155286655</c:v>
                </c:pt>
                <c:pt idx="25">
                  <c:v>1120.85803084535</c:v>
                </c:pt>
                <c:pt idx="26">
                  <c:v>554.01514512085896</c:v>
                </c:pt>
                <c:pt idx="27">
                  <c:v>614.20077660810512</c:v>
                </c:pt>
                <c:pt idx="28">
                  <c:v>531.23351156505225</c:v>
                </c:pt>
                <c:pt idx="29">
                  <c:v>772.3960756385934</c:v>
                </c:pt>
                <c:pt idx="30">
                  <c:v>820.7067047694444</c:v>
                </c:pt>
                <c:pt idx="31">
                  <c:v>1308.688046656212</c:v>
                </c:pt>
                <c:pt idx="32">
                  <c:v>1052.8638467769031</c:v>
                </c:pt>
                <c:pt idx="33">
                  <c:v>968.35094044936159</c:v>
                </c:pt>
                <c:pt idx="34">
                  <c:v>1798.6269920365239</c:v>
                </c:pt>
                <c:pt idx="35">
                  <c:v>1735.8106558117399</c:v>
                </c:pt>
                <c:pt idx="36">
                  <c:v>1749.264719203607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F8F-44C7-B906-40DC9DB94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000"/>
          <c:min val="200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500"/>
      </c:valAx>
      <c:valAx>
        <c:axId val="20"/>
        <c:scaling>
          <c:orientation val="minMax"/>
          <c:max val="20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500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T_sumidero = piso de O2 = 278.15 K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44)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Aux_graficos!$KR$2:$KR$45</c:f>
              <c:numCache>
                <c:formatCode>General</c:formatCode>
                <c:ptCount val="44"/>
                <c:pt idx="0">
                  <c:v>400</c:v>
                </c:pt>
                <c:pt idx="1">
                  <c:v>397.5</c:v>
                </c:pt>
                <c:pt idx="2">
                  <c:v>395</c:v>
                </c:pt>
                <c:pt idx="3">
                  <c:v>392.5</c:v>
                </c:pt>
                <c:pt idx="4">
                  <c:v>390</c:v>
                </c:pt>
                <c:pt idx="5">
                  <c:v>405</c:v>
                </c:pt>
                <c:pt idx="6">
                  <c:v>402.5</c:v>
                </c:pt>
                <c:pt idx="7">
                  <c:v>407.5</c:v>
                </c:pt>
                <c:pt idx="8">
                  <c:v>390</c:v>
                </c:pt>
                <c:pt idx="9">
                  <c:v>392.5</c:v>
                </c:pt>
                <c:pt idx="10">
                  <c:v>400</c:v>
                </c:pt>
                <c:pt idx="11">
                  <c:v>395</c:v>
                </c:pt>
                <c:pt idx="12">
                  <c:v>397.5</c:v>
                </c:pt>
                <c:pt idx="13">
                  <c:v>405</c:v>
                </c:pt>
                <c:pt idx="14">
                  <c:v>402.5</c:v>
                </c:pt>
                <c:pt idx="15">
                  <c:v>407.5</c:v>
                </c:pt>
                <c:pt idx="16">
                  <c:v>410</c:v>
                </c:pt>
                <c:pt idx="17">
                  <c:v>390</c:v>
                </c:pt>
                <c:pt idx="18">
                  <c:v>392.5</c:v>
                </c:pt>
                <c:pt idx="19">
                  <c:v>395</c:v>
                </c:pt>
                <c:pt idx="20">
                  <c:v>397.5</c:v>
                </c:pt>
                <c:pt idx="21">
                  <c:v>400</c:v>
                </c:pt>
                <c:pt idx="22">
                  <c:v>402.5</c:v>
                </c:pt>
                <c:pt idx="23">
                  <c:v>405</c:v>
                </c:pt>
                <c:pt idx="24">
                  <c:v>407.5</c:v>
                </c:pt>
                <c:pt idx="25">
                  <c:v>410</c:v>
                </c:pt>
                <c:pt idx="26">
                  <c:v>390</c:v>
                </c:pt>
                <c:pt idx="27">
                  <c:v>392.5</c:v>
                </c:pt>
                <c:pt idx="28">
                  <c:v>395</c:v>
                </c:pt>
                <c:pt idx="29">
                  <c:v>397.5</c:v>
                </c:pt>
                <c:pt idx="30">
                  <c:v>400</c:v>
                </c:pt>
                <c:pt idx="31">
                  <c:v>402.5</c:v>
                </c:pt>
                <c:pt idx="32">
                  <c:v>405</c:v>
                </c:pt>
                <c:pt idx="33">
                  <c:v>407.5</c:v>
                </c:pt>
                <c:pt idx="34">
                  <c:v>410</c:v>
                </c:pt>
                <c:pt idx="35">
                  <c:v>390</c:v>
                </c:pt>
                <c:pt idx="36">
                  <c:v>392.5</c:v>
                </c:pt>
                <c:pt idx="37">
                  <c:v>395</c:v>
                </c:pt>
                <c:pt idx="38">
                  <c:v>397.5</c:v>
                </c:pt>
                <c:pt idx="39">
                  <c:v>400</c:v>
                </c:pt>
                <c:pt idx="40">
                  <c:v>407.5</c:v>
                </c:pt>
                <c:pt idx="41">
                  <c:v>402.5</c:v>
                </c:pt>
                <c:pt idx="42">
                  <c:v>405</c:v>
                </c:pt>
                <c:pt idx="43">
                  <c:v>410</c:v>
                </c:pt>
              </c:numCache>
            </c:numRef>
          </c:xVal>
          <c:yVal>
            <c:numRef>
              <c:f>Aux_graficos!$KQ$2:$KQ$45</c:f>
              <c:numCache>
                <c:formatCode>General</c:formatCode>
                <c:ptCount val="44"/>
                <c:pt idx="0">
                  <c:v>0.85</c:v>
                </c:pt>
                <c:pt idx="1">
                  <c:v>0.85</c:v>
                </c:pt>
                <c:pt idx="2">
                  <c:v>0.85</c:v>
                </c:pt>
                <c:pt idx="3">
                  <c:v>0.85</c:v>
                </c:pt>
                <c:pt idx="4">
                  <c:v>0.85</c:v>
                </c:pt>
                <c:pt idx="5">
                  <c:v>0.85</c:v>
                </c:pt>
                <c:pt idx="6">
                  <c:v>0.85</c:v>
                </c:pt>
                <c:pt idx="7">
                  <c:v>0.85</c:v>
                </c:pt>
                <c:pt idx="8">
                  <c:v>0.875</c:v>
                </c:pt>
                <c:pt idx="9">
                  <c:v>0.875</c:v>
                </c:pt>
                <c:pt idx="10">
                  <c:v>0.875</c:v>
                </c:pt>
                <c:pt idx="11">
                  <c:v>0.875</c:v>
                </c:pt>
                <c:pt idx="12">
                  <c:v>0.875</c:v>
                </c:pt>
                <c:pt idx="13">
                  <c:v>0.875</c:v>
                </c:pt>
                <c:pt idx="14">
                  <c:v>0.875</c:v>
                </c:pt>
                <c:pt idx="15">
                  <c:v>0.875</c:v>
                </c:pt>
                <c:pt idx="16">
                  <c:v>0.875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0.92500000000000004</c:v>
                </c:pt>
                <c:pt idx="27">
                  <c:v>0.92500000000000004</c:v>
                </c:pt>
                <c:pt idx="28">
                  <c:v>0.92500000000000004</c:v>
                </c:pt>
                <c:pt idx="29">
                  <c:v>0.92500000000000004</c:v>
                </c:pt>
                <c:pt idx="30">
                  <c:v>0.92500000000000004</c:v>
                </c:pt>
                <c:pt idx="31">
                  <c:v>0.92500000000000004</c:v>
                </c:pt>
                <c:pt idx="32">
                  <c:v>0.92500000000000004</c:v>
                </c:pt>
                <c:pt idx="33">
                  <c:v>0.92500000000000004</c:v>
                </c:pt>
                <c:pt idx="34">
                  <c:v>0.92500000000000004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AF-456A-8AB3-966EDFD1D2E2}"/>
            </c:ext>
          </c:extLst>
        </c:ser>
        <c:ser>
          <c:idx val="1"/>
          <c:order val="1"/>
          <c:tx>
            <c:v>Inviable (n = 5)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Aux_graficos!$KT$2:$KT$6</c:f>
              <c:numCache>
                <c:formatCode>General</c:formatCode>
                <c:ptCount val="5"/>
                <c:pt idx="0">
                  <c:v>387.5</c:v>
                </c:pt>
                <c:pt idx="1">
                  <c:v>387.5</c:v>
                </c:pt>
                <c:pt idx="2">
                  <c:v>387.5</c:v>
                </c:pt>
                <c:pt idx="3">
                  <c:v>387.5</c:v>
                </c:pt>
                <c:pt idx="4">
                  <c:v>387.5</c:v>
                </c:pt>
              </c:numCache>
            </c:numRef>
          </c:xVal>
          <c:yVal>
            <c:numRef>
              <c:f>Aux_graficos!$KS$2:$KS$6</c:f>
              <c:numCache>
                <c:formatCode>General</c:formatCode>
                <c:ptCount val="5"/>
                <c:pt idx="0">
                  <c:v>0.85</c:v>
                </c:pt>
                <c:pt idx="1">
                  <c:v>0.875</c:v>
                </c:pt>
                <c:pt idx="2">
                  <c:v>0.9</c:v>
                </c:pt>
                <c:pt idx="3">
                  <c:v>0.92500000000000004</c:v>
                </c:pt>
                <c:pt idx="4">
                  <c:v>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AF-456A-8AB3-966EDFD1D2E2}"/>
            </c:ext>
          </c:extLst>
        </c:ser>
        <c:ser>
          <c:idx val="2"/>
          <c:order val="2"/>
          <c:tx>
            <c:v>No convergió (n = 1)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Aux_graficos!$KV$2</c:f>
              <c:numCache>
                <c:formatCode>General</c:formatCode>
                <c:ptCount val="1"/>
                <c:pt idx="0">
                  <c:v>410</c:v>
                </c:pt>
              </c:numCache>
            </c:numRef>
          </c:xVal>
          <c:yVal>
            <c:numRef>
              <c:f>Aux_graficos!$KU$2</c:f>
              <c:numCache>
                <c:formatCode>General</c:formatCode>
                <c:ptCount val="1"/>
                <c:pt idx="0">
                  <c:v>0.85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BAF-456A-8AB3-966EDFD1D2E2}"/>
            </c:ext>
          </c:extLst>
        </c:ser>
        <c:ser>
          <c:idx val="3"/>
          <c:order val="3"/>
          <c:tx>
            <c:v>Falso convergido (N2) (n = 5)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Aux_graficos!$KX$2:$KX$6</c:f>
              <c:numCache>
                <c:formatCode>General</c:formatCode>
                <c:ptCount val="5"/>
                <c:pt idx="0">
                  <c:v>385</c:v>
                </c:pt>
                <c:pt idx="1">
                  <c:v>385</c:v>
                </c:pt>
                <c:pt idx="2">
                  <c:v>385</c:v>
                </c:pt>
                <c:pt idx="3">
                  <c:v>385</c:v>
                </c:pt>
                <c:pt idx="4">
                  <c:v>385</c:v>
                </c:pt>
              </c:numCache>
            </c:numRef>
          </c:xVal>
          <c:yVal>
            <c:numRef>
              <c:f>Aux_graficos!$KW$2:$KW$6</c:f>
              <c:numCache>
                <c:formatCode>General</c:formatCode>
                <c:ptCount val="5"/>
                <c:pt idx="0">
                  <c:v>0.85</c:v>
                </c:pt>
                <c:pt idx="1">
                  <c:v>0.875</c:v>
                </c:pt>
                <c:pt idx="2">
                  <c:v>0.9</c:v>
                </c:pt>
                <c:pt idx="3">
                  <c:v>0.92500000000000004</c:v>
                </c:pt>
                <c:pt idx="4">
                  <c:v>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BAF-456A-8AB3-966EDFD1D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410"/>
          <c:min val="38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"/>
      </c:valAx>
      <c:valAx>
        <c:axId val="20"/>
        <c:scaling>
          <c:orientation val="minMax"/>
          <c:max val="0.96"/>
          <c:min val="0.8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0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T_sumidero = piso de O2 = 290.65 K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44)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Aux_graficos!$KZ$2:$KZ$45</c:f>
              <c:numCache>
                <c:formatCode>General</c:formatCode>
                <c:ptCount val="44"/>
                <c:pt idx="0">
                  <c:v>390</c:v>
                </c:pt>
                <c:pt idx="1">
                  <c:v>392.5</c:v>
                </c:pt>
                <c:pt idx="2">
                  <c:v>397.5</c:v>
                </c:pt>
                <c:pt idx="3">
                  <c:v>395</c:v>
                </c:pt>
                <c:pt idx="4">
                  <c:v>400</c:v>
                </c:pt>
                <c:pt idx="5">
                  <c:v>402.5</c:v>
                </c:pt>
                <c:pt idx="6">
                  <c:v>407.5</c:v>
                </c:pt>
                <c:pt idx="7">
                  <c:v>405</c:v>
                </c:pt>
                <c:pt idx="8">
                  <c:v>390</c:v>
                </c:pt>
                <c:pt idx="9">
                  <c:v>397.5</c:v>
                </c:pt>
                <c:pt idx="10">
                  <c:v>392.5</c:v>
                </c:pt>
                <c:pt idx="11">
                  <c:v>395</c:v>
                </c:pt>
                <c:pt idx="12">
                  <c:v>400</c:v>
                </c:pt>
                <c:pt idx="13">
                  <c:v>405</c:v>
                </c:pt>
                <c:pt idx="14">
                  <c:v>402.5</c:v>
                </c:pt>
                <c:pt idx="15">
                  <c:v>407.5</c:v>
                </c:pt>
                <c:pt idx="16">
                  <c:v>410</c:v>
                </c:pt>
                <c:pt idx="17">
                  <c:v>390</c:v>
                </c:pt>
                <c:pt idx="18">
                  <c:v>392.5</c:v>
                </c:pt>
                <c:pt idx="19">
                  <c:v>395</c:v>
                </c:pt>
                <c:pt idx="20">
                  <c:v>397.5</c:v>
                </c:pt>
                <c:pt idx="21">
                  <c:v>400</c:v>
                </c:pt>
                <c:pt idx="22">
                  <c:v>402.5</c:v>
                </c:pt>
                <c:pt idx="23">
                  <c:v>407.5</c:v>
                </c:pt>
                <c:pt idx="24">
                  <c:v>405</c:v>
                </c:pt>
                <c:pt idx="25">
                  <c:v>410</c:v>
                </c:pt>
                <c:pt idx="26">
                  <c:v>390</c:v>
                </c:pt>
                <c:pt idx="27">
                  <c:v>397.5</c:v>
                </c:pt>
                <c:pt idx="28">
                  <c:v>395</c:v>
                </c:pt>
                <c:pt idx="29">
                  <c:v>392.5</c:v>
                </c:pt>
                <c:pt idx="30">
                  <c:v>400</c:v>
                </c:pt>
                <c:pt idx="31">
                  <c:v>405</c:v>
                </c:pt>
                <c:pt idx="32">
                  <c:v>402.5</c:v>
                </c:pt>
                <c:pt idx="33">
                  <c:v>407.5</c:v>
                </c:pt>
                <c:pt idx="34">
                  <c:v>410</c:v>
                </c:pt>
                <c:pt idx="35">
                  <c:v>390</c:v>
                </c:pt>
                <c:pt idx="36">
                  <c:v>392.5</c:v>
                </c:pt>
                <c:pt idx="37">
                  <c:v>395</c:v>
                </c:pt>
                <c:pt idx="38">
                  <c:v>397.5</c:v>
                </c:pt>
                <c:pt idx="39">
                  <c:v>400</c:v>
                </c:pt>
                <c:pt idx="40">
                  <c:v>405</c:v>
                </c:pt>
                <c:pt idx="41">
                  <c:v>402.5</c:v>
                </c:pt>
                <c:pt idx="42">
                  <c:v>407.5</c:v>
                </c:pt>
                <c:pt idx="43">
                  <c:v>410</c:v>
                </c:pt>
              </c:numCache>
            </c:numRef>
          </c:xVal>
          <c:yVal>
            <c:numRef>
              <c:f>Aux_graficos!$KY$2:$KY$45</c:f>
              <c:numCache>
                <c:formatCode>General</c:formatCode>
                <c:ptCount val="44"/>
                <c:pt idx="0">
                  <c:v>0.85</c:v>
                </c:pt>
                <c:pt idx="1">
                  <c:v>0.85</c:v>
                </c:pt>
                <c:pt idx="2">
                  <c:v>0.85</c:v>
                </c:pt>
                <c:pt idx="3">
                  <c:v>0.85</c:v>
                </c:pt>
                <c:pt idx="4">
                  <c:v>0.85</c:v>
                </c:pt>
                <c:pt idx="5">
                  <c:v>0.85</c:v>
                </c:pt>
                <c:pt idx="6">
                  <c:v>0.85</c:v>
                </c:pt>
                <c:pt idx="7">
                  <c:v>0.85</c:v>
                </c:pt>
                <c:pt idx="8">
                  <c:v>0.875</c:v>
                </c:pt>
                <c:pt idx="9">
                  <c:v>0.875</c:v>
                </c:pt>
                <c:pt idx="10">
                  <c:v>0.875</c:v>
                </c:pt>
                <c:pt idx="11">
                  <c:v>0.875</c:v>
                </c:pt>
                <c:pt idx="12">
                  <c:v>0.875</c:v>
                </c:pt>
                <c:pt idx="13">
                  <c:v>0.875</c:v>
                </c:pt>
                <c:pt idx="14">
                  <c:v>0.875</c:v>
                </c:pt>
                <c:pt idx="15">
                  <c:v>0.875</c:v>
                </c:pt>
                <c:pt idx="16">
                  <c:v>0.875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0.92500000000000004</c:v>
                </c:pt>
                <c:pt idx="27">
                  <c:v>0.92500000000000004</c:v>
                </c:pt>
                <c:pt idx="28">
                  <c:v>0.92500000000000004</c:v>
                </c:pt>
                <c:pt idx="29">
                  <c:v>0.92500000000000004</c:v>
                </c:pt>
                <c:pt idx="30">
                  <c:v>0.92500000000000004</c:v>
                </c:pt>
                <c:pt idx="31">
                  <c:v>0.92500000000000004</c:v>
                </c:pt>
                <c:pt idx="32">
                  <c:v>0.92500000000000004</c:v>
                </c:pt>
                <c:pt idx="33">
                  <c:v>0.92500000000000004</c:v>
                </c:pt>
                <c:pt idx="34">
                  <c:v>0.92500000000000004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AE-410B-A211-3738CA32C282}"/>
            </c:ext>
          </c:extLst>
        </c:ser>
        <c:ser>
          <c:idx val="1"/>
          <c:order val="1"/>
          <c:tx>
            <c:v>Corregible (n = 1)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Aux_graficos!$LB$2</c:f>
              <c:numCache>
                <c:formatCode>General</c:formatCode>
                <c:ptCount val="1"/>
                <c:pt idx="0">
                  <c:v>410</c:v>
                </c:pt>
              </c:numCache>
            </c:numRef>
          </c:xVal>
          <c:yVal>
            <c:numRef>
              <c:f>Aux_graficos!$LA$2</c:f>
              <c:numCache>
                <c:formatCode>General</c:formatCode>
                <c:ptCount val="1"/>
                <c:pt idx="0">
                  <c:v>0.85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AE-410B-A211-3738CA32C282}"/>
            </c:ext>
          </c:extLst>
        </c:ser>
        <c:ser>
          <c:idx val="2"/>
          <c:order val="2"/>
          <c:tx>
            <c:v>Inviable (n = 5)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Aux_graficos!$LD$2:$LD$6</c:f>
              <c:numCache>
                <c:formatCode>General</c:formatCode>
                <c:ptCount val="5"/>
                <c:pt idx="0">
                  <c:v>387.5</c:v>
                </c:pt>
                <c:pt idx="1">
                  <c:v>387.5</c:v>
                </c:pt>
                <c:pt idx="2">
                  <c:v>387.5</c:v>
                </c:pt>
                <c:pt idx="3">
                  <c:v>387.5</c:v>
                </c:pt>
                <c:pt idx="4">
                  <c:v>387.5</c:v>
                </c:pt>
              </c:numCache>
            </c:numRef>
          </c:xVal>
          <c:yVal>
            <c:numRef>
              <c:f>Aux_graficos!$LC$2:$LC$6</c:f>
              <c:numCache>
                <c:formatCode>General</c:formatCode>
                <c:ptCount val="5"/>
                <c:pt idx="0">
                  <c:v>0.85</c:v>
                </c:pt>
                <c:pt idx="1">
                  <c:v>0.875</c:v>
                </c:pt>
                <c:pt idx="2">
                  <c:v>0.9</c:v>
                </c:pt>
                <c:pt idx="3">
                  <c:v>0.92500000000000004</c:v>
                </c:pt>
                <c:pt idx="4">
                  <c:v>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0AE-410B-A211-3738CA32C282}"/>
            </c:ext>
          </c:extLst>
        </c:ser>
        <c:ser>
          <c:idx val="3"/>
          <c:order val="3"/>
          <c:tx>
            <c:v>Falso convergido (N2) (n = 5)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Aux_graficos!$LF$2:$LF$6</c:f>
              <c:numCache>
                <c:formatCode>General</c:formatCode>
                <c:ptCount val="5"/>
                <c:pt idx="0">
                  <c:v>385</c:v>
                </c:pt>
                <c:pt idx="1">
                  <c:v>385</c:v>
                </c:pt>
                <c:pt idx="2">
                  <c:v>385</c:v>
                </c:pt>
                <c:pt idx="3">
                  <c:v>385</c:v>
                </c:pt>
                <c:pt idx="4">
                  <c:v>385</c:v>
                </c:pt>
              </c:numCache>
            </c:numRef>
          </c:xVal>
          <c:yVal>
            <c:numRef>
              <c:f>Aux_graficos!$LE$2:$LE$6</c:f>
              <c:numCache>
                <c:formatCode>General</c:formatCode>
                <c:ptCount val="5"/>
                <c:pt idx="0">
                  <c:v>0.85</c:v>
                </c:pt>
                <c:pt idx="1">
                  <c:v>0.875</c:v>
                </c:pt>
                <c:pt idx="2">
                  <c:v>0.9</c:v>
                </c:pt>
                <c:pt idx="3">
                  <c:v>0.92500000000000004</c:v>
                </c:pt>
                <c:pt idx="4">
                  <c:v>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0AE-410B-A211-3738CA32C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410"/>
          <c:min val="38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"/>
      </c:valAx>
      <c:valAx>
        <c:axId val="20"/>
        <c:scaling>
          <c:orientation val="minMax"/>
          <c:max val="0.96"/>
          <c:min val="0.8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0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T_sumidero = piso de O2 = 300.03 K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Aux_graficos!$LH$2:$LH$17</c:f>
              <c:numCache>
                <c:formatCode>General</c:formatCode>
                <c:ptCount val="16"/>
                <c:pt idx="0">
                  <c:v>390</c:v>
                </c:pt>
                <c:pt idx="1">
                  <c:v>390</c:v>
                </c:pt>
                <c:pt idx="2">
                  <c:v>392.5</c:v>
                </c:pt>
                <c:pt idx="3">
                  <c:v>390</c:v>
                </c:pt>
                <c:pt idx="4">
                  <c:v>392.5</c:v>
                </c:pt>
                <c:pt idx="5">
                  <c:v>395</c:v>
                </c:pt>
                <c:pt idx="6">
                  <c:v>397.5</c:v>
                </c:pt>
                <c:pt idx="7">
                  <c:v>390</c:v>
                </c:pt>
                <c:pt idx="8">
                  <c:v>392.5</c:v>
                </c:pt>
                <c:pt idx="9">
                  <c:v>395</c:v>
                </c:pt>
                <c:pt idx="10">
                  <c:v>397.5</c:v>
                </c:pt>
                <c:pt idx="11">
                  <c:v>400</c:v>
                </c:pt>
                <c:pt idx="12">
                  <c:v>402.5</c:v>
                </c:pt>
                <c:pt idx="13">
                  <c:v>405</c:v>
                </c:pt>
                <c:pt idx="14">
                  <c:v>407.5</c:v>
                </c:pt>
                <c:pt idx="15">
                  <c:v>410</c:v>
                </c:pt>
              </c:numCache>
            </c:numRef>
          </c:xVal>
          <c:yVal>
            <c:numRef>
              <c:f>Aux_graficos!$LG$2:$LG$17</c:f>
              <c:numCache>
                <c:formatCode>General</c:formatCode>
                <c:ptCount val="16"/>
                <c:pt idx="0">
                  <c:v>0.875</c:v>
                </c:pt>
                <c:pt idx="1">
                  <c:v>0.9</c:v>
                </c:pt>
                <c:pt idx="2">
                  <c:v>0.9</c:v>
                </c:pt>
                <c:pt idx="3">
                  <c:v>0.92500000000000004</c:v>
                </c:pt>
                <c:pt idx="4">
                  <c:v>0.92500000000000004</c:v>
                </c:pt>
                <c:pt idx="5">
                  <c:v>0.92500000000000004</c:v>
                </c:pt>
                <c:pt idx="6">
                  <c:v>0.92500000000000004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FB-4712-9A57-EBDFA075C141}"/>
            </c:ext>
          </c:extLst>
        </c:ser>
        <c:ser>
          <c:idx val="1"/>
          <c:order val="1"/>
          <c:tx>
            <c:v>Corregible (n = 29)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Aux_graficos!$LJ$2:$LJ$30</c:f>
              <c:numCache>
                <c:formatCode>General</c:formatCode>
                <c:ptCount val="29"/>
                <c:pt idx="0">
                  <c:v>390</c:v>
                </c:pt>
                <c:pt idx="1">
                  <c:v>392.5</c:v>
                </c:pt>
                <c:pt idx="2">
                  <c:v>395</c:v>
                </c:pt>
                <c:pt idx="3">
                  <c:v>397.5</c:v>
                </c:pt>
                <c:pt idx="4">
                  <c:v>400</c:v>
                </c:pt>
                <c:pt idx="5">
                  <c:v>407.5</c:v>
                </c:pt>
                <c:pt idx="6">
                  <c:v>402.5</c:v>
                </c:pt>
                <c:pt idx="7">
                  <c:v>405</c:v>
                </c:pt>
                <c:pt idx="8">
                  <c:v>410</c:v>
                </c:pt>
                <c:pt idx="9">
                  <c:v>392.5</c:v>
                </c:pt>
                <c:pt idx="10">
                  <c:v>395</c:v>
                </c:pt>
                <c:pt idx="11">
                  <c:v>397.5</c:v>
                </c:pt>
                <c:pt idx="12">
                  <c:v>400</c:v>
                </c:pt>
                <c:pt idx="13">
                  <c:v>405</c:v>
                </c:pt>
                <c:pt idx="14">
                  <c:v>402.5</c:v>
                </c:pt>
                <c:pt idx="15">
                  <c:v>407.5</c:v>
                </c:pt>
                <c:pt idx="16">
                  <c:v>410</c:v>
                </c:pt>
                <c:pt idx="17">
                  <c:v>395</c:v>
                </c:pt>
                <c:pt idx="18">
                  <c:v>397.5</c:v>
                </c:pt>
                <c:pt idx="19">
                  <c:v>400</c:v>
                </c:pt>
                <c:pt idx="20">
                  <c:v>402.5</c:v>
                </c:pt>
                <c:pt idx="21">
                  <c:v>405</c:v>
                </c:pt>
                <c:pt idx="22">
                  <c:v>407.5</c:v>
                </c:pt>
                <c:pt idx="23">
                  <c:v>410</c:v>
                </c:pt>
                <c:pt idx="24">
                  <c:v>400</c:v>
                </c:pt>
                <c:pt idx="25">
                  <c:v>402.5</c:v>
                </c:pt>
                <c:pt idx="26">
                  <c:v>405</c:v>
                </c:pt>
                <c:pt idx="27">
                  <c:v>407.5</c:v>
                </c:pt>
                <c:pt idx="28">
                  <c:v>410</c:v>
                </c:pt>
              </c:numCache>
            </c:numRef>
          </c:xVal>
          <c:yVal>
            <c:numRef>
              <c:f>Aux_graficos!$LI$2:$LI$30</c:f>
              <c:numCache>
                <c:formatCode>General</c:formatCode>
                <c:ptCount val="29"/>
                <c:pt idx="0">
                  <c:v>0.85</c:v>
                </c:pt>
                <c:pt idx="1">
                  <c:v>0.85</c:v>
                </c:pt>
                <c:pt idx="2">
                  <c:v>0.85</c:v>
                </c:pt>
                <c:pt idx="3">
                  <c:v>0.85</c:v>
                </c:pt>
                <c:pt idx="4">
                  <c:v>0.85</c:v>
                </c:pt>
                <c:pt idx="5">
                  <c:v>0.85</c:v>
                </c:pt>
                <c:pt idx="6">
                  <c:v>0.85</c:v>
                </c:pt>
                <c:pt idx="7">
                  <c:v>0.85</c:v>
                </c:pt>
                <c:pt idx="8">
                  <c:v>0.85</c:v>
                </c:pt>
                <c:pt idx="9">
                  <c:v>0.875</c:v>
                </c:pt>
                <c:pt idx="10">
                  <c:v>0.875</c:v>
                </c:pt>
                <c:pt idx="11">
                  <c:v>0.875</c:v>
                </c:pt>
                <c:pt idx="12">
                  <c:v>0.875</c:v>
                </c:pt>
                <c:pt idx="13">
                  <c:v>0.875</c:v>
                </c:pt>
                <c:pt idx="14">
                  <c:v>0.875</c:v>
                </c:pt>
                <c:pt idx="15">
                  <c:v>0.875</c:v>
                </c:pt>
                <c:pt idx="16">
                  <c:v>0.875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0.92500000000000004</c:v>
                </c:pt>
                <c:pt idx="25">
                  <c:v>0.92500000000000004</c:v>
                </c:pt>
                <c:pt idx="26">
                  <c:v>0.92500000000000004</c:v>
                </c:pt>
                <c:pt idx="27">
                  <c:v>0.92500000000000004</c:v>
                </c:pt>
                <c:pt idx="28">
                  <c:v>0.92500000000000004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FB-4712-9A57-EBDFA075C141}"/>
            </c:ext>
          </c:extLst>
        </c:ser>
        <c:ser>
          <c:idx val="2"/>
          <c:order val="2"/>
          <c:tx>
            <c:v>Inviable (n = 5)</c:v>
          </c:tx>
          <c:spPr>
            <a:ln>
              <a:noFill/>
              <a:prstDash val="solid"/>
            </a:ln>
          </c:spPr>
          <c:marker>
            <c:symbol val="square"/>
            <c:size val="6"/>
            <c: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c:spPr>
          </c:marker>
          <c:xVal>
            <c:numRef>
              <c:f>Aux_graficos!$LL$2:$LL$6</c:f>
              <c:numCache>
                <c:formatCode>General</c:formatCode>
                <c:ptCount val="5"/>
                <c:pt idx="0">
                  <c:v>387.5</c:v>
                </c:pt>
                <c:pt idx="1">
                  <c:v>387.5</c:v>
                </c:pt>
                <c:pt idx="2">
                  <c:v>387.5</c:v>
                </c:pt>
                <c:pt idx="3">
                  <c:v>387.5</c:v>
                </c:pt>
                <c:pt idx="4">
                  <c:v>387.5</c:v>
                </c:pt>
              </c:numCache>
            </c:numRef>
          </c:xVal>
          <c:yVal>
            <c:numRef>
              <c:f>Aux_graficos!$LK$2:$LK$6</c:f>
              <c:numCache>
                <c:formatCode>General</c:formatCode>
                <c:ptCount val="5"/>
                <c:pt idx="0">
                  <c:v>0.85</c:v>
                </c:pt>
                <c:pt idx="1">
                  <c:v>0.875</c:v>
                </c:pt>
                <c:pt idx="2">
                  <c:v>0.9</c:v>
                </c:pt>
                <c:pt idx="3">
                  <c:v>0.92500000000000004</c:v>
                </c:pt>
                <c:pt idx="4">
                  <c:v>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2FB-4712-9A57-EBDFA075C141}"/>
            </c:ext>
          </c:extLst>
        </c:ser>
        <c:ser>
          <c:idx val="3"/>
          <c:order val="3"/>
          <c:tx>
            <c:v>Falso convergido (N2) (n = 5)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Aux_graficos!$LN$2:$LN$6</c:f>
              <c:numCache>
                <c:formatCode>General</c:formatCode>
                <c:ptCount val="5"/>
                <c:pt idx="0">
                  <c:v>385</c:v>
                </c:pt>
                <c:pt idx="1">
                  <c:v>385</c:v>
                </c:pt>
                <c:pt idx="2">
                  <c:v>385</c:v>
                </c:pt>
                <c:pt idx="3">
                  <c:v>385</c:v>
                </c:pt>
                <c:pt idx="4">
                  <c:v>385</c:v>
                </c:pt>
              </c:numCache>
            </c:numRef>
          </c:xVal>
          <c:yVal>
            <c:numRef>
              <c:f>Aux_graficos!$LM$2:$LM$6</c:f>
              <c:numCache>
                <c:formatCode>General</c:formatCode>
                <c:ptCount val="5"/>
                <c:pt idx="0">
                  <c:v>0.85</c:v>
                </c:pt>
                <c:pt idx="1">
                  <c:v>0.875</c:v>
                </c:pt>
                <c:pt idx="2">
                  <c:v>0.9</c:v>
                </c:pt>
                <c:pt idx="3">
                  <c:v>0.92500000000000004</c:v>
                </c:pt>
                <c:pt idx="4">
                  <c:v>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2FB-4712-9A57-EBDFA075C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410"/>
          <c:min val="38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"/>
      </c:valAx>
      <c:valAx>
        <c:axId val="20"/>
        <c:scaling>
          <c:orientation val="minMax"/>
          <c:max val="0.96"/>
          <c:min val="0.84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02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teqp y el motor real coinciden en los 5 puntos que el motor real resolvió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1:1</c:v>
          </c:tx>
          <c:spPr>
            <a:ln w="22000">
              <a:solidFill>
                <a:srgbClr val="424242"/>
              </a:solidFill>
              <a:prstDash val="solid"/>
            </a:ln>
          </c:spPr>
          <c:marker>
            <c:symbol val="none"/>
          </c:marker>
          <c:xVal>
            <c:numRef>
              <c:f>Aux_graficos!$LP$2:$LP$3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xVal>
          <c:yVal>
            <c:numRef>
              <c:f>Aux_graficos!$LO$2:$LO$3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C3-4F69-9CFB-0C525917AC23}"/>
            </c:ext>
          </c:extLst>
        </c:ser>
        <c:ser>
          <c:idx val="1"/>
          <c:order val="1"/>
          <c:tx>
            <c:v>+0.7 pp</c:v>
          </c:tx>
          <c:spPr>
            <a:ln w="22000">
              <a:solidFill>
                <a:srgbClr val="A5D6A7"/>
              </a:solidFill>
              <a:prstDash val="dash"/>
            </a:ln>
          </c:spPr>
          <c:marker>
            <c:symbol val="none"/>
          </c:marker>
          <c:xVal>
            <c:numRef>
              <c:f>Aux_graficos!$LR$2:$LR$3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xVal>
          <c:yVal>
            <c:numRef>
              <c:f>Aux_graficos!$LQ$2:$LQ$3</c:f>
              <c:numCache>
                <c:formatCode>General</c:formatCode>
                <c:ptCount val="2"/>
                <c:pt idx="0">
                  <c:v>0.7</c:v>
                </c:pt>
                <c:pt idx="1">
                  <c:v>17.7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C3-4F69-9CFB-0C525917AC23}"/>
            </c:ext>
          </c:extLst>
        </c:ser>
        <c:ser>
          <c:idx val="2"/>
          <c:order val="2"/>
          <c:tx>
            <c:v>−0.7 pp</c:v>
          </c:tx>
          <c:spPr>
            <a:ln w="22000">
              <a:solidFill>
                <a:srgbClr val="A5D6A7"/>
              </a:solidFill>
              <a:prstDash val="dash"/>
            </a:ln>
          </c:spPr>
          <c:marker>
            <c:symbol val="none"/>
          </c:marker>
          <c:xVal>
            <c:numRef>
              <c:f>Aux_graficos!$LT$2:$LT$3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xVal>
          <c:yVal>
            <c:numRef>
              <c:f>Aux_graficos!$LS$2:$LS$3</c:f>
              <c:numCache>
                <c:formatCode>General</c:formatCode>
                <c:ptCount val="2"/>
                <c:pt idx="0">
                  <c:v>-0.7</c:v>
                </c:pt>
                <c:pt idx="1">
                  <c:v>16.3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C3-4F69-9CFB-0C525917AC23}"/>
            </c:ext>
          </c:extLst>
        </c:ser>
        <c:ser>
          <c:idx val="3"/>
          <c:order val="3"/>
          <c:tx>
            <c:v>M6 (300 s) (n = 2)</c:v>
          </c:tx>
          <c:spPr>
            <a:ln>
              <a:noFill/>
              <a:prstDash val="solid"/>
            </a:ln>
          </c:spPr>
          <c:marker>
            <c:symbol val="circle"/>
            <c:size val="8"/>
            <c: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c:spPr>
          </c:marker>
          <c:xVal>
            <c:numRef>
              <c:f>Aux_graficos!$LV$2:$LV$3</c:f>
              <c:numCache>
                <c:formatCode>General</c:formatCode>
                <c:ptCount val="2"/>
                <c:pt idx="0">
                  <c:v>10.80651724015787</c:v>
                </c:pt>
                <c:pt idx="1">
                  <c:v>15.59965738845141</c:v>
                </c:pt>
              </c:numCache>
            </c:numRef>
          </c:xVal>
          <c:yVal>
            <c:numRef>
              <c:f>Aux_graficos!$LU$2:$LU$3</c:f>
              <c:numCache>
                <c:formatCode>General</c:formatCode>
                <c:ptCount val="2"/>
                <c:pt idx="0">
                  <c:v>10.806608696761669</c:v>
                </c:pt>
                <c:pt idx="1">
                  <c:v>15.599935760589929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C3-4F69-9CFB-0C525917AC23}"/>
            </c:ext>
          </c:extLst>
        </c:ser>
        <c:ser>
          <c:idx val="4"/>
          <c:order val="4"/>
          <c:tx>
            <c:v>M9 (1500 s) (n = 3)</c:v>
          </c:tx>
          <c:spPr>
            <a:ln>
              <a:noFill/>
              <a:prstDash val="solid"/>
            </a:ln>
          </c:spPr>
          <c:marker>
            <c:symbol val="circle"/>
            <c:size val="8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Aux_graficos!$LX$2:$LX$4</c:f>
              <c:numCache>
                <c:formatCode>General</c:formatCode>
                <c:ptCount val="3"/>
                <c:pt idx="0">
                  <c:v>8.4818912050065691</c:v>
                </c:pt>
                <c:pt idx="1">
                  <c:v>15.59965738845141</c:v>
                </c:pt>
                <c:pt idx="2">
                  <c:v>12.731864501081271</c:v>
                </c:pt>
              </c:numCache>
            </c:numRef>
          </c:xVal>
          <c:yVal>
            <c:numRef>
              <c:f>Aux_graficos!$LW$2:$LW$4</c:f>
              <c:numCache>
                <c:formatCode>General</c:formatCode>
                <c:ptCount val="3"/>
                <c:pt idx="0">
                  <c:v>8.4820358349664389</c:v>
                </c:pt>
                <c:pt idx="1">
                  <c:v>15.599935760583859</c:v>
                </c:pt>
                <c:pt idx="2">
                  <c:v>12.729574184993171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2C3-4F69-9CFB-0C525917A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7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η con teqp [%]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2"/>
      </c:valAx>
      <c:valAx>
        <c:axId val="20"/>
        <c:scaling>
          <c:orientation val="minMax"/>
          <c:max val="17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η con el motor real [%]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2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La búsqueda llega a η = 15.6 % dentro de la región KALINA (equipos a 0.95)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A1 · libre (desde el mejor de M4b): 15.0 %</c:v>
          </c:tx>
          <c:spPr>
            <a:ln w="22000">
              <a:solidFill>
                <a:srgbClr val="1565C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c:spPr>
          </c:marker>
          <c:xVal>
            <c:numRef>
              <c:f>Aux_graficos!$LZ$2:$LZ$8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xVal>
          <c:yVal>
            <c:numRef>
              <c:f>Aux_graficos!$LY$2:$LY$8</c:f>
              <c:numCache>
                <c:formatCode>General</c:formatCode>
                <c:ptCount val="7"/>
                <c:pt idx="0">
                  <c:v>12.30159889633283</c:v>
                </c:pt>
                <c:pt idx="1">
                  <c:v>12.79776015044396</c:v>
                </c:pt>
                <c:pt idx="2">
                  <c:v>13.2574465374705</c:v>
                </c:pt>
                <c:pt idx="3">
                  <c:v>13.687946280368671</c:v>
                </c:pt>
                <c:pt idx="4">
                  <c:v>14.14165667155382</c:v>
                </c:pt>
                <c:pt idx="5">
                  <c:v>14.530540889507011</c:v>
                </c:pt>
                <c:pt idx="6">
                  <c:v>14.977938638259451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D4-4028-A7A0-497E4E9CD48B}"/>
            </c:ext>
          </c:extLst>
        </c:ser>
        <c:ser>
          <c:idx val="1"/>
          <c:order val="1"/>
          <c:tx>
            <c:v>A2 · libre (desde el mejor de M2S): 15.5 %</c:v>
          </c:tx>
          <c:spPr>
            <a:ln w="22000">
              <a:solidFill>
                <a:srgbClr val="EF8A17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Aux_graficos!$MB$2:$MB$8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xVal>
          <c:yVal>
            <c:numRef>
              <c:f>Aux_graficos!$MA$2:$MA$8</c:f>
              <c:numCache>
                <c:formatCode>General</c:formatCode>
                <c:ptCount val="7"/>
                <c:pt idx="0">
                  <c:v>11.90841397447066</c:v>
                </c:pt>
                <c:pt idx="1">
                  <c:v>12.71872263705213</c:v>
                </c:pt>
                <c:pt idx="2">
                  <c:v>13.38063968777891</c:v>
                </c:pt>
                <c:pt idx="3">
                  <c:v>13.89941578479586</c:v>
                </c:pt>
                <c:pt idx="4">
                  <c:v>14.46019148298592</c:v>
                </c:pt>
                <c:pt idx="5">
                  <c:v>15.068185016019889</c:v>
                </c:pt>
                <c:pt idx="6">
                  <c:v>15.48239750048667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D4-4028-A7A0-497E4E9CD48B}"/>
            </c:ext>
          </c:extLst>
        </c:ser>
        <c:ser>
          <c:idx val="2"/>
          <c:order val="2"/>
          <c:tx>
            <c:v>A3 · conserva sus temperaturas: 12.7 %</c:v>
          </c:tx>
          <c:spPr>
            <a:ln w="22000">
              <a:solidFill>
                <a:srgbClr val="2E7D32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Aux_graficos!$MD$2:$MD$9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</c:numCache>
            </c:numRef>
          </c:xVal>
          <c:yVal>
            <c:numRef>
              <c:f>Aux_graficos!$MC$2:$MC$9</c:f>
              <c:numCache>
                <c:formatCode>General</c:formatCode>
                <c:ptCount val="8"/>
                <c:pt idx="0">
                  <c:v>9.28909448226735</c:v>
                </c:pt>
                <c:pt idx="1">
                  <c:v>9.9264205461429302</c:v>
                </c:pt>
                <c:pt idx="2">
                  <c:v>10.563402903719791</c:v>
                </c:pt>
                <c:pt idx="3">
                  <c:v>11.211090699093569</c:v>
                </c:pt>
                <c:pt idx="4">
                  <c:v>11.800355021920421</c:v>
                </c:pt>
                <c:pt idx="5">
                  <c:v>12.338973330740471</c:v>
                </c:pt>
                <c:pt idx="6">
                  <c:v>12.6634113366047</c:v>
                </c:pt>
                <c:pt idx="7">
                  <c:v>12.738675021868509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D4-4028-A7A0-497E4E9CD48B}"/>
            </c:ext>
          </c:extLst>
        </c:ser>
        <c:ser>
          <c:idx val="3"/>
          <c:order val="3"/>
          <c:tx>
            <c:v>A4 · conserva sus presiones y su clima: 15.6 %</c:v>
          </c:tx>
          <c:spPr>
            <a:ln w="22000">
              <a:solidFill>
                <a:srgbClr val="C62828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Aux_graficos!$MF$2:$MF$12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Aux_graficos!$ME$2:$ME$12</c:f>
              <c:numCache>
                <c:formatCode>General</c:formatCode>
                <c:ptCount val="11"/>
                <c:pt idx="0">
                  <c:v>9.5047201280320994</c:v>
                </c:pt>
                <c:pt idx="1">
                  <c:v>10.234774683817429</c:v>
                </c:pt>
                <c:pt idx="2">
                  <c:v>11.06076777930363</c:v>
                </c:pt>
                <c:pt idx="3">
                  <c:v>12.57057628767882</c:v>
                </c:pt>
                <c:pt idx="4">
                  <c:v>13.444529552006159</c:v>
                </c:pt>
                <c:pt idx="5">
                  <c:v>14.15937069834813</c:v>
                </c:pt>
                <c:pt idx="6">
                  <c:v>14.88938303198443</c:v>
                </c:pt>
                <c:pt idx="7">
                  <c:v>15.388324437519319</c:v>
                </c:pt>
                <c:pt idx="8">
                  <c:v>15.47807094977513</c:v>
                </c:pt>
                <c:pt idx="9">
                  <c:v>15.541359739015769</c:v>
                </c:pt>
                <c:pt idx="10">
                  <c:v>15.59965738845141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D4-4028-A7A0-497E4E9CD48B}"/>
            </c:ext>
          </c:extLst>
        </c:ser>
        <c:ser>
          <c:idx val="4"/>
          <c:order val="4"/>
          <c:tx>
            <c:v>A5 · conserva su fuente y su x_b (fuera de rango): 11.1 %</c:v>
          </c:tx>
          <c:spPr>
            <a:ln w="22000">
              <a:solidFill>
                <a:srgbClr val="7E57C2"/>
              </a:solidFill>
              <a:prstDash val="dash"/>
            </a:ln>
          </c:spPr>
          <c:marker>
            <c:symbol val="circle"/>
            <c:size val="5"/>
            <c:spPr>
              <a:solidFill>
                <a:srgbClr val="7E57C2"/>
              </a:solidFill>
              <a:ln>
                <a:solidFill>
                  <a:srgbClr val="7E57C2"/>
                </a:solidFill>
                <a:prstDash val="solid"/>
              </a:ln>
            </c:spPr>
          </c:marker>
          <c:xVal>
            <c:numRef>
              <c:f>Aux_graficos!$MH$2:$MH$9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</c:numCache>
            </c:numRef>
          </c:xVal>
          <c:yVal>
            <c:numRef>
              <c:f>Aux_graficos!$MG$2:$MG$9</c:f>
              <c:numCache>
                <c:formatCode>General</c:formatCode>
                <c:ptCount val="8"/>
                <c:pt idx="0">
                  <c:v>8.457650032385521</c:v>
                </c:pt>
                <c:pt idx="1">
                  <c:v>9.6341067266772988</c:v>
                </c:pt>
                <c:pt idx="2">
                  <c:v>10.196928404841691</c:v>
                </c:pt>
                <c:pt idx="3">
                  <c:v>10.375298602486451</c:v>
                </c:pt>
                <c:pt idx="4">
                  <c:v>10.55425600687045</c:v>
                </c:pt>
                <c:pt idx="5">
                  <c:v>10.73374388365607</c:v>
                </c:pt>
                <c:pt idx="6">
                  <c:v>10.9137155760239</c:v>
                </c:pt>
                <c:pt idx="7">
                  <c:v>11.094114491620539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D4-4028-A7A0-497E4E9CD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Iteración de la búsqueda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2"/>
      </c:valAx>
      <c:valAx>
        <c:axId val="20"/>
        <c:scaling>
          <c:orientation val="minMax"/>
          <c:max val="16"/>
          <c:min val="8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Eficiencia térmica del ciclo, η [%]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2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0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Se conservan 8 de los 10 datos de diseño del profesor y sigue habiendo KALINA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KALINA confiables</c:v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7F5-44A5-8A62-9E9BB2941D93}"/>
              </c:ext>
            </c:extLst>
          </c:dPt>
          <c:dPt>
            <c:idx val="1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7F5-44A5-8A62-9E9BB2941D93}"/>
              </c:ext>
            </c:extLst>
          </c:dPt>
          <c:dPt>
            <c:idx val="2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7F5-44A5-8A62-9E9BB2941D93}"/>
              </c:ext>
            </c:extLst>
          </c:dPt>
          <c:dPt>
            <c:idx val="3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7F5-44A5-8A62-9E9BB2941D93}"/>
              </c:ext>
            </c:extLst>
          </c:dPt>
          <c:dPt>
            <c:idx val="4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7F5-44A5-8A62-9E9BB2941D93}"/>
              </c:ext>
            </c:extLst>
          </c:dPt>
          <c:dPt>
            <c:idx val="5"/>
            <c:invertIfNegative val="0"/>
            <c:bubble3D val="0"/>
            <c:spPr>
              <a:solidFill>
                <a:srgbClr val="1B5E2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7F5-44A5-8A62-9E9BB2941D93}"/>
              </c:ext>
            </c:extLst>
          </c:dPt>
          <c:dPt>
            <c:idx val="6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7F5-44A5-8A62-9E9BB2941D93}"/>
              </c:ext>
            </c:extLst>
          </c:dPt>
          <c:dPt>
            <c:idx val="7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7F5-44A5-8A62-9E9BB2941D93}"/>
              </c:ext>
            </c:extLst>
          </c:dPt>
          <c:dPt>
            <c:idx val="8"/>
            <c:invertIfNegative val="0"/>
            <c:bubble3D val="0"/>
            <c:spPr>
              <a:solidFill>
                <a:srgbClr val="1B5E2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7F5-44A5-8A62-9E9BB2941D93}"/>
              </c:ext>
            </c:extLst>
          </c:dPt>
          <c:dPt>
            <c:idx val="9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7F5-44A5-8A62-9E9BB2941D93}"/>
              </c:ext>
            </c:extLst>
          </c:dPt>
          <c:dPt>
            <c:idx val="10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7F5-44A5-8A62-9E9BB2941D93}"/>
              </c:ext>
            </c:extLst>
          </c:dPt>
          <c:dPt>
            <c:idx val="11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67F5-44A5-8A62-9E9BB2941D93}"/>
              </c:ext>
            </c:extLst>
          </c:dPt>
          <c:dPt>
            <c:idx val="12"/>
            <c:invertIfNegative val="0"/>
            <c:bubble3D val="0"/>
            <c:spPr>
              <a:solidFill>
                <a:srgbClr val="1B5E2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67F5-44A5-8A62-9E9BB2941D93}"/>
              </c:ext>
            </c:extLst>
          </c:dPt>
          <c:dPt>
            <c:idx val="13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67F5-44A5-8A62-9E9BB2941D93}"/>
              </c:ext>
            </c:extLst>
          </c:dPt>
          <c:dPt>
            <c:idx val="14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67F5-44A5-8A62-9E9BB2941D93}"/>
              </c:ext>
            </c:extLst>
          </c:dPt>
          <c:dPt>
            <c:idx val="15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67F5-44A5-8A62-9E9BB2941D93}"/>
              </c:ext>
            </c:extLst>
          </c:dPt>
          <c:dPt>
            <c:idx val="16"/>
            <c:invertIfNegative val="0"/>
            <c:bubble3D val="0"/>
            <c:spPr>
              <a:solidFill>
                <a:srgbClr val="1B5E2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67F5-44A5-8A62-9E9BB2941D93}"/>
              </c:ext>
            </c:extLst>
          </c:dPt>
          <c:dPt>
            <c:idx val="17"/>
            <c:invertIfNegative val="0"/>
            <c:bubble3D val="0"/>
            <c:spPr>
              <a:solidFill>
                <a:srgbClr val="81C78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67F5-44A5-8A62-9E9BB2941D93}"/>
              </c:ext>
            </c:extLst>
          </c:dPt>
          <c:cat>
            <c:strRef>
              <c:f>Aux_graficos!$MI$2:$MI$19</c:f>
              <c:strCache>
                <c:ptCount val="18"/>
                <c:pt idx="0">
                  <c:v>R0 · TF</c:v>
                </c:pt>
                <c:pt idx="1">
                  <c:v>R0 · EF</c:v>
                </c:pt>
                <c:pt idx="2">
                  <c:v>R0 · PA</c:v>
                </c:pt>
                <c:pt idx="3">
                  <c:v>R0 · PB</c:v>
                </c:pt>
                <c:pt idx="4">
                  <c:v>R0 · TS</c:v>
                </c:pt>
                <c:pt idx="5">
                  <c:v>R0 · XB</c:v>
                </c:pt>
                <c:pt idx="6">
                  <c:v>R1 · XB+TF</c:v>
                </c:pt>
                <c:pt idx="7">
                  <c:v>R1 · XB+EF</c:v>
                </c:pt>
                <c:pt idx="8">
                  <c:v>R1 · XB+PA</c:v>
                </c:pt>
                <c:pt idx="9">
                  <c:v>R1 · XB+PB</c:v>
                </c:pt>
                <c:pt idx="10">
                  <c:v>R1 · XB+TS</c:v>
                </c:pt>
                <c:pt idx="11">
                  <c:v>R2 · XB+PA+TF</c:v>
                </c:pt>
                <c:pt idx="12">
                  <c:v>R2 · XB+PA+EF</c:v>
                </c:pt>
                <c:pt idx="13">
                  <c:v>R2 · XB+PA+PB</c:v>
                </c:pt>
                <c:pt idx="14">
                  <c:v>R2 · XB+PA+TS</c:v>
                </c:pt>
                <c:pt idx="15">
                  <c:v>R3 · XB+PA+EF+TF</c:v>
                </c:pt>
                <c:pt idx="16">
                  <c:v>R3 · XB+PA+EF+PB</c:v>
                </c:pt>
                <c:pt idx="17">
                  <c:v>R3 · XB+PA+EF+TS</c:v>
                </c:pt>
              </c:strCache>
            </c:strRef>
          </c:cat>
          <c:val>
            <c:numRef>
              <c:f>Aux_graficos!$MJ$2:$MJ$19</c:f>
              <c:numCache>
                <c:formatCode>General</c:formatCode>
                <c:ptCount val="18"/>
                <c:pt idx="0">
                  <c:v>0</c:v>
                </c:pt>
                <c:pt idx="1">
                  <c:v>11</c:v>
                </c:pt>
                <c:pt idx="2">
                  <c:v>12</c:v>
                </c:pt>
                <c:pt idx="3">
                  <c:v>1</c:v>
                </c:pt>
                <c:pt idx="4">
                  <c:v>13</c:v>
                </c:pt>
                <c:pt idx="5">
                  <c:v>15</c:v>
                </c:pt>
                <c:pt idx="6">
                  <c:v>0</c:v>
                </c:pt>
                <c:pt idx="7">
                  <c:v>6</c:v>
                </c:pt>
                <c:pt idx="8">
                  <c:v>7</c:v>
                </c:pt>
                <c:pt idx="9">
                  <c:v>3</c:v>
                </c:pt>
                <c:pt idx="10">
                  <c:v>5</c:v>
                </c:pt>
                <c:pt idx="11">
                  <c:v>0</c:v>
                </c:pt>
                <c:pt idx="12">
                  <c:v>7</c:v>
                </c:pt>
                <c:pt idx="13">
                  <c:v>2</c:v>
                </c:pt>
                <c:pt idx="14">
                  <c:v>6</c:v>
                </c:pt>
                <c:pt idx="15">
                  <c:v>0</c:v>
                </c:pt>
                <c:pt idx="16">
                  <c:v>5</c:v>
                </c:pt>
                <c:pt idx="1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67F5-44A5-8A62-9E9BB2941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Conjunto conservado (R = ronda)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KALINA confiables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Húsavík: la P_baja mínima de KALINA sube con la fracción de amoníaco x_b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70)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Aux_graficos!$ML$2:$ML$71</c:f>
              <c:numCache>
                <c:formatCode>General</c:formatCode>
                <c:ptCount val="70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0.73</c:v>
                </c:pt>
                <c:pt idx="9">
                  <c:v>0.73</c:v>
                </c:pt>
                <c:pt idx="10">
                  <c:v>0.73</c:v>
                </c:pt>
                <c:pt idx="11">
                  <c:v>0.73</c:v>
                </c:pt>
                <c:pt idx="12">
                  <c:v>0.73</c:v>
                </c:pt>
                <c:pt idx="13">
                  <c:v>0.73</c:v>
                </c:pt>
                <c:pt idx="14">
                  <c:v>0.73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0.79</c:v>
                </c:pt>
                <c:pt idx="23">
                  <c:v>0.79</c:v>
                </c:pt>
                <c:pt idx="24">
                  <c:v>0.79</c:v>
                </c:pt>
                <c:pt idx="25">
                  <c:v>0.79</c:v>
                </c:pt>
                <c:pt idx="26">
                  <c:v>0.79</c:v>
                </c:pt>
                <c:pt idx="27">
                  <c:v>0.79</c:v>
                </c:pt>
                <c:pt idx="28">
                  <c:v>0.82</c:v>
                </c:pt>
                <c:pt idx="29">
                  <c:v>0.82</c:v>
                </c:pt>
                <c:pt idx="30">
                  <c:v>0.82</c:v>
                </c:pt>
                <c:pt idx="31">
                  <c:v>0.82</c:v>
                </c:pt>
                <c:pt idx="32">
                  <c:v>0.82</c:v>
                </c:pt>
                <c:pt idx="33">
                  <c:v>0.82</c:v>
                </c:pt>
                <c:pt idx="34">
                  <c:v>0.85</c:v>
                </c:pt>
                <c:pt idx="35">
                  <c:v>0.85</c:v>
                </c:pt>
                <c:pt idx="36">
                  <c:v>0.85</c:v>
                </c:pt>
                <c:pt idx="37">
                  <c:v>0.85</c:v>
                </c:pt>
                <c:pt idx="38">
                  <c:v>0.85</c:v>
                </c:pt>
                <c:pt idx="39">
                  <c:v>0.88</c:v>
                </c:pt>
                <c:pt idx="40">
                  <c:v>0.88</c:v>
                </c:pt>
                <c:pt idx="41">
                  <c:v>0.88</c:v>
                </c:pt>
                <c:pt idx="42">
                  <c:v>0.88</c:v>
                </c:pt>
                <c:pt idx="43">
                  <c:v>0.88</c:v>
                </c:pt>
                <c:pt idx="44">
                  <c:v>0.91</c:v>
                </c:pt>
                <c:pt idx="45">
                  <c:v>0.91</c:v>
                </c:pt>
                <c:pt idx="46">
                  <c:v>0.91</c:v>
                </c:pt>
                <c:pt idx="47">
                  <c:v>0.91</c:v>
                </c:pt>
                <c:pt idx="48">
                  <c:v>0.91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0.55000000000000004</c:v>
                </c:pt>
                <c:pt idx="55">
                  <c:v>0.5</c:v>
                </c:pt>
                <c:pt idx="56">
                  <c:v>0.55000000000000004</c:v>
                </c:pt>
                <c:pt idx="57">
                  <c:v>0.55000000000000004</c:v>
                </c:pt>
                <c:pt idx="58">
                  <c:v>0.55000000000000004</c:v>
                </c:pt>
                <c:pt idx="59">
                  <c:v>0.55000000000000004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0.65</c:v>
                </c:pt>
                <c:pt idx="65">
                  <c:v>0.65</c:v>
                </c:pt>
                <c:pt idx="66">
                  <c:v>0.65</c:v>
                </c:pt>
                <c:pt idx="67">
                  <c:v>0.7</c:v>
                </c:pt>
                <c:pt idx="68">
                  <c:v>0.7</c:v>
                </c:pt>
                <c:pt idx="69">
                  <c:v>0.7</c:v>
                </c:pt>
              </c:numCache>
            </c:numRef>
          </c:xVal>
          <c:yVal>
            <c:numRef>
              <c:f>Aux_graficos!$MK$2:$MK$71</c:f>
              <c:numCache>
                <c:formatCode>General</c:formatCode>
                <c:ptCount val="70"/>
                <c:pt idx="0">
                  <c:v>800</c:v>
                </c:pt>
                <c:pt idx="1">
                  <c:v>700</c:v>
                </c:pt>
                <c:pt idx="2">
                  <c:v>600</c:v>
                </c:pt>
                <c:pt idx="3">
                  <c:v>900</c:v>
                </c:pt>
                <c:pt idx="4">
                  <c:v>1000</c:v>
                </c:pt>
                <c:pt idx="5">
                  <c:v>500</c:v>
                </c:pt>
                <c:pt idx="6">
                  <c:v>1100</c:v>
                </c:pt>
                <c:pt idx="7">
                  <c:v>1200</c:v>
                </c:pt>
                <c:pt idx="8">
                  <c:v>700</c:v>
                </c:pt>
                <c:pt idx="9">
                  <c:v>800</c:v>
                </c:pt>
                <c:pt idx="10">
                  <c:v>900</c:v>
                </c:pt>
                <c:pt idx="11">
                  <c:v>600</c:v>
                </c:pt>
                <c:pt idx="12">
                  <c:v>1000</c:v>
                </c:pt>
                <c:pt idx="13">
                  <c:v>1100</c:v>
                </c:pt>
                <c:pt idx="14">
                  <c:v>1200</c:v>
                </c:pt>
                <c:pt idx="15">
                  <c:v>800</c:v>
                </c:pt>
                <c:pt idx="16">
                  <c:v>700</c:v>
                </c:pt>
                <c:pt idx="17">
                  <c:v>600</c:v>
                </c:pt>
                <c:pt idx="18">
                  <c:v>900</c:v>
                </c:pt>
                <c:pt idx="19">
                  <c:v>1000</c:v>
                </c:pt>
                <c:pt idx="20">
                  <c:v>1100</c:v>
                </c:pt>
                <c:pt idx="21">
                  <c:v>1200</c:v>
                </c:pt>
                <c:pt idx="22">
                  <c:v>700</c:v>
                </c:pt>
                <c:pt idx="23">
                  <c:v>800</c:v>
                </c:pt>
                <c:pt idx="24">
                  <c:v>900</c:v>
                </c:pt>
                <c:pt idx="25">
                  <c:v>1000</c:v>
                </c:pt>
                <c:pt idx="26">
                  <c:v>1100</c:v>
                </c:pt>
                <c:pt idx="27">
                  <c:v>1200</c:v>
                </c:pt>
                <c:pt idx="28">
                  <c:v>800</c:v>
                </c:pt>
                <c:pt idx="29">
                  <c:v>900</c:v>
                </c:pt>
                <c:pt idx="30">
                  <c:v>700</c:v>
                </c:pt>
                <c:pt idx="31">
                  <c:v>1000</c:v>
                </c:pt>
                <c:pt idx="32">
                  <c:v>1100</c:v>
                </c:pt>
                <c:pt idx="33">
                  <c:v>1200</c:v>
                </c:pt>
                <c:pt idx="34">
                  <c:v>900</c:v>
                </c:pt>
                <c:pt idx="35">
                  <c:v>800</c:v>
                </c:pt>
                <c:pt idx="36">
                  <c:v>1000</c:v>
                </c:pt>
                <c:pt idx="37">
                  <c:v>1100</c:v>
                </c:pt>
                <c:pt idx="38">
                  <c:v>1200</c:v>
                </c:pt>
                <c:pt idx="39">
                  <c:v>800</c:v>
                </c:pt>
                <c:pt idx="40">
                  <c:v>900</c:v>
                </c:pt>
                <c:pt idx="41">
                  <c:v>1000</c:v>
                </c:pt>
                <c:pt idx="42">
                  <c:v>1100</c:v>
                </c:pt>
                <c:pt idx="43">
                  <c:v>1200</c:v>
                </c:pt>
                <c:pt idx="44">
                  <c:v>900</c:v>
                </c:pt>
                <c:pt idx="45">
                  <c:v>800</c:v>
                </c:pt>
                <c:pt idx="46">
                  <c:v>1000</c:v>
                </c:pt>
                <c:pt idx="47">
                  <c:v>1100</c:v>
                </c:pt>
                <c:pt idx="48">
                  <c:v>1200</c:v>
                </c:pt>
                <c:pt idx="49">
                  <c:v>200</c:v>
                </c:pt>
                <c:pt idx="50">
                  <c:v>300</c:v>
                </c:pt>
                <c:pt idx="51">
                  <c:v>700</c:v>
                </c:pt>
                <c:pt idx="52">
                  <c:v>400</c:v>
                </c:pt>
                <c:pt idx="53">
                  <c:v>600</c:v>
                </c:pt>
                <c:pt idx="54">
                  <c:v>300</c:v>
                </c:pt>
                <c:pt idx="55">
                  <c:v>500</c:v>
                </c:pt>
                <c:pt idx="56">
                  <c:v>400</c:v>
                </c:pt>
                <c:pt idx="57">
                  <c:v>700</c:v>
                </c:pt>
                <c:pt idx="58">
                  <c:v>600</c:v>
                </c:pt>
                <c:pt idx="59">
                  <c:v>500</c:v>
                </c:pt>
                <c:pt idx="60">
                  <c:v>400</c:v>
                </c:pt>
                <c:pt idx="61">
                  <c:v>700</c:v>
                </c:pt>
                <c:pt idx="62">
                  <c:v>500</c:v>
                </c:pt>
                <c:pt idx="63">
                  <c:v>600</c:v>
                </c:pt>
                <c:pt idx="64">
                  <c:v>500</c:v>
                </c:pt>
                <c:pt idx="65">
                  <c:v>700</c:v>
                </c:pt>
                <c:pt idx="66">
                  <c:v>600</c:v>
                </c:pt>
                <c:pt idx="67">
                  <c:v>700</c:v>
                </c:pt>
                <c:pt idx="68">
                  <c:v>600</c:v>
                </c:pt>
                <c:pt idx="69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4E-4AFE-9938-4EB3C5660195}"/>
            </c:ext>
          </c:extLst>
        </c:ser>
        <c:ser>
          <c:idx val="1"/>
          <c:order val="1"/>
          <c:tx>
            <c:v>Corregible (n = 24)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Aux_graficos!$MN$2:$MN$25</c:f>
              <c:numCache>
                <c:formatCode>General</c:formatCode>
                <c:ptCount val="24"/>
                <c:pt idx="0">
                  <c:v>0.73</c:v>
                </c:pt>
                <c:pt idx="1">
                  <c:v>0.76</c:v>
                </c:pt>
                <c:pt idx="2">
                  <c:v>0.79</c:v>
                </c:pt>
                <c:pt idx="3">
                  <c:v>0.79</c:v>
                </c:pt>
                <c:pt idx="4">
                  <c:v>0.82</c:v>
                </c:pt>
                <c:pt idx="5">
                  <c:v>0.82</c:v>
                </c:pt>
                <c:pt idx="6">
                  <c:v>0.85</c:v>
                </c:pt>
                <c:pt idx="7">
                  <c:v>0.85</c:v>
                </c:pt>
                <c:pt idx="8">
                  <c:v>0.85</c:v>
                </c:pt>
                <c:pt idx="9">
                  <c:v>0.88</c:v>
                </c:pt>
                <c:pt idx="10">
                  <c:v>0.88</c:v>
                </c:pt>
                <c:pt idx="11">
                  <c:v>0.88</c:v>
                </c:pt>
                <c:pt idx="12">
                  <c:v>0.91</c:v>
                </c:pt>
                <c:pt idx="13">
                  <c:v>0.91</c:v>
                </c:pt>
                <c:pt idx="14">
                  <c:v>0.91</c:v>
                </c:pt>
                <c:pt idx="15">
                  <c:v>0.55000000000000004</c:v>
                </c:pt>
                <c:pt idx="16">
                  <c:v>0.6</c:v>
                </c:pt>
                <c:pt idx="17">
                  <c:v>0.6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0.7</c:v>
                </c:pt>
                <c:pt idx="22">
                  <c:v>0.7</c:v>
                </c:pt>
                <c:pt idx="23">
                  <c:v>0.7</c:v>
                </c:pt>
              </c:numCache>
            </c:numRef>
          </c:xVal>
          <c:yVal>
            <c:numRef>
              <c:f>Aux_graficos!$MM$2:$MM$25</c:f>
              <c:numCache>
                <c:formatCode>General</c:formatCode>
                <c:ptCount val="24"/>
                <c:pt idx="0">
                  <c:v>500</c:v>
                </c:pt>
                <c:pt idx="1">
                  <c:v>500</c:v>
                </c:pt>
                <c:pt idx="2">
                  <c:v>600</c:v>
                </c:pt>
                <c:pt idx="3">
                  <c:v>500</c:v>
                </c:pt>
                <c:pt idx="4">
                  <c:v>500</c:v>
                </c:pt>
                <c:pt idx="5">
                  <c:v>600</c:v>
                </c:pt>
                <c:pt idx="6">
                  <c:v>500</c:v>
                </c:pt>
                <c:pt idx="7">
                  <c:v>700</c:v>
                </c:pt>
                <c:pt idx="8">
                  <c:v>600</c:v>
                </c:pt>
                <c:pt idx="9">
                  <c:v>600</c:v>
                </c:pt>
                <c:pt idx="10">
                  <c:v>700</c:v>
                </c:pt>
                <c:pt idx="11">
                  <c:v>500</c:v>
                </c:pt>
                <c:pt idx="12">
                  <c:v>500</c:v>
                </c:pt>
                <c:pt idx="13">
                  <c:v>600</c:v>
                </c:pt>
                <c:pt idx="14">
                  <c:v>700</c:v>
                </c:pt>
                <c:pt idx="15">
                  <c:v>200</c:v>
                </c:pt>
                <c:pt idx="16">
                  <c:v>200</c:v>
                </c:pt>
                <c:pt idx="17">
                  <c:v>300</c:v>
                </c:pt>
                <c:pt idx="18">
                  <c:v>300</c:v>
                </c:pt>
                <c:pt idx="19">
                  <c:v>400</c:v>
                </c:pt>
                <c:pt idx="20">
                  <c:v>200</c:v>
                </c:pt>
                <c:pt idx="21">
                  <c:v>300</c:v>
                </c:pt>
                <c:pt idx="22">
                  <c:v>200</c:v>
                </c:pt>
                <c:pt idx="23">
                  <c:v>400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B4E-4AFE-9938-4EB3C5660195}"/>
            </c:ext>
          </c:extLst>
        </c:ser>
        <c:ser>
          <c:idx val="2"/>
          <c:order val="2"/>
          <c:tx>
            <c:v>No convergió (n = 12)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Aux_graficos!$MP$2:$MP$13</c:f>
              <c:numCache>
                <c:formatCode>General</c:formatCode>
                <c:ptCount val="12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</c:numCache>
            </c:numRef>
          </c:xVal>
          <c:yVal>
            <c:numRef>
              <c:f>Aux_graficos!$MO$2:$MO$13</c:f>
              <c:numCache>
                <c:formatCode>General</c:formatCode>
                <c:ptCount val="12"/>
                <c:pt idx="0">
                  <c:v>200</c:v>
                </c:pt>
                <c:pt idx="1">
                  <c:v>400</c:v>
                </c:pt>
                <c:pt idx="2">
                  <c:v>300</c:v>
                </c:pt>
                <c:pt idx="3">
                  <c:v>500</c:v>
                </c:pt>
                <c:pt idx="4">
                  <c:v>600</c:v>
                </c:pt>
                <c:pt idx="5">
                  <c:v>700</c:v>
                </c:pt>
                <c:pt idx="6">
                  <c:v>200</c:v>
                </c:pt>
                <c:pt idx="7">
                  <c:v>600</c:v>
                </c:pt>
                <c:pt idx="8">
                  <c:v>400</c:v>
                </c:pt>
                <c:pt idx="9">
                  <c:v>300</c:v>
                </c:pt>
                <c:pt idx="10">
                  <c:v>500</c:v>
                </c:pt>
                <c:pt idx="11">
                  <c:v>700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B4E-4AFE-9938-4EB3C5660195}"/>
            </c:ext>
          </c:extLst>
        </c:ser>
        <c:ser>
          <c:idx val="3"/>
          <c:order val="3"/>
          <c:tx>
            <c:v>Falso convergido (N2) (n = 12)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Aux_graficos!$MR$2:$MR$13</c:f>
              <c:numCache>
                <c:formatCode>General</c:formatCode>
                <c:ptCount val="12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0.45</c:v>
                </c:pt>
                <c:pt idx="11">
                  <c:v>0.45</c:v>
                </c:pt>
              </c:numCache>
            </c:numRef>
          </c:xVal>
          <c:yVal>
            <c:numRef>
              <c:f>Aux_graficos!$MQ$2:$MQ$13</c:f>
              <c:numCache>
                <c:formatCode>General</c:formatCode>
                <c:ptCount val="12"/>
                <c:pt idx="0">
                  <c:v>600</c:v>
                </c:pt>
                <c:pt idx="1">
                  <c:v>700</c:v>
                </c:pt>
                <c:pt idx="2">
                  <c:v>500</c:v>
                </c:pt>
                <c:pt idx="3">
                  <c:v>200</c:v>
                </c:pt>
                <c:pt idx="4">
                  <c:v>400</c:v>
                </c:pt>
                <c:pt idx="5">
                  <c:v>300</c:v>
                </c:pt>
                <c:pt idx="6">
                  <c:v>200</c:v>
                </c:pt>
                <c:pt idx="7">
                  <c:v>600</c:v>
                </c:pt>
                <c:pt idx="8">
                  <c:v>700</c:v>
                </c:pt>
                <c:pt idx="9">
                  <c:v>500</c:v>
                </c:pt>
                <c:pt idx="10">
                  <c:v>400</c:v>
                </c:pt>
                <c:pt idx="11">
                  <c:v>300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B4E-4AFE-9938-4EB3C5660195}"/>
            </c:ext>
          </c:extLst>
        </c:ser>
        <c:ser>
          <c:idx val="4"/>
          <c:order val="4"/>
          <c:tx>
            <c:v>P_baja mínima KALINA</c:v>
          </c:tx>
          <c:spPr>
            <a:ln w="220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Aux_graficos!$MT$2:$MT$13</c:f>
              <c:numCache>
                <c:formatCode>General</c:formatCode>
                <c:ptCount val="12"/>
                <c:pt idx="0">
                  <c:v>0.5</c:v>
                </c:pt>
                <c:pt idx="1">
                  <c:v>0.55000000000000004</c:v>
                </c:pt>
                <c:pt idx="2">
                  <c:v>0.6</c:v>
                </c:pt>
                <c:pt idx="3">
                  <c:v>0.65</c:v>
                </c:pt>
                <c:pt idx="4">
                  <c:v>0.7</c:v>
                </c:pt>
                <c:pt idx="5">
                  <c:v>0.73</c:v>
                </c:pt>
                <c:pt idx="6">
                  <c:v>0.76</c:v>
                </c:pt>
                <c:pt idx="7">
                  <c:v>0.79</c:v>
                </c:pt>
                <c:pt idx="8">
                  <c:v>0.82</c:v>
                </c:pt>
                <c:pt idx="9">
                  <c:v>0.85</c:v>
                </c:pt>
                <c:pt idx="10">
                  <c:v>0.88</c:v>
                </c:pt>
                <c:pt idx="11">
                  <c:v>0.91</c:v>
                </c:pt>
              </c:numCache>
            </c:numRef>
          </c:xVal>
          <c:yVal>
            <c:numRef>
              <c:f>Aux_graficos!$MS$2:$MS$13</c:f>
              <c:numCache>
                <c:formatCode>General</c:formatCode>
                <c:ptCount val="12"/>
                <c:pt idx="0">
                  <c:v>200</c:v>
                </c:pt>
                <c:pt idx="1">
                  <c:v>300</c:v>
                </c:pt>
                <c:pt idx="2">
                  <c:v>400</c:v>
                </c:pt>
                <c:pt idx="3">
                  <c:v>500</c:v>
                </c:pt>
                <c:pt idx="4">
                  <c:v>500</c:v>
                </c:pt>
                <c:pt idx="5">
                  <c:v>600</c:v>
                </c:pt>
                <c:pt idx="6">
                  <c:v>600</c:v>
                </c:pt>
                <c:pt idx="7">
                  <c:v>700</c:v>
                </c:pt>
                <c:pt idx="8">
                  <c:v>700</c:v>
                </c:pt>
                <c:pt idx="9">
                  <c:v>800</c:v>
                </c:pt>
                <c:pt idx="10">
                  <c:v>800</c:v>
                </c:pt>
                <c:pt idx="11">
                  <c:v>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B4E-4AFE-9938-4EB3C5660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2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200"/>
          <c:min val="20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200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T_fuente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7)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Aux_graficos!$MV$2:$MV$8</c:f>
              <c:numCache>
                <c:formatCode>General</c:formatCode>
                <c:ptCount val="7"/>
                <c:pt idx="0">
                  <c:v>380</c:v>
                </c:pt>
                <c:pt idx="1">
                  <c:v>383.57142857142861</c:v>
                </c:pt>
                <c:pt idx="2">
                  <c:v>387.14285714285722</c:v>
                </c:pt>
                <c:pt idx="3">
                  <c:v>394.28571428571428</c:v>
                </c:pt>
                <c:pt idx="4">
                  <c:v>390.71428571428572</c:v>
                </c:pt>
                <c:pt idx="5">
                  <c:v>397.85714285714278</c:v>
                </c:pt>
                <c:pt idx="6">
                  <c:v>401.42857142857139</c:v>
                </c:pt>
              </c:numCache>
            </c:numRef>
          </c:xVal>
          <c:yVal>
            <c:numRef>
              <c:f>Aux_graficos!$MU$2:$MU$8</c:f>
              <c:numCache>
                <c:formatCode>General</c:formatCode>
                <c:ptCount val="7"/>
                <c:pt idx="0">
                  <c:v>12.20823127655215</c:v>
                </c:pt>
                <c:pt idx="1">
                  <c:v>12.35372325098048</c:v>
                </c:pt>
                <c:pt idx="2">
                  <c:v>12.488109644201019</c:v>
                </c:pt>
                <c:pt idx="3">
                  <c:v>12.73637660744955</c:v>
                </c:pt>
                <c:pt idx="4">
                  <c:v>12.615084204866079</c:v>
                </c:pt>
                <c:pt idx="5">
                  <c:v>12.85223774220491</c:v>
                </c:pt>
                <c:pt idx="6">
                  <c:v>12.961840990947699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54-4F08-A7F4-128FB5141A9B}"/>
            </c:ext>
          </c:extLst>
        </c:ser>
        <c:ser>
          <c:idx val="1"/>
          <c:order val="1"/>
          <c:tx>
            <c:v>Corregible (n = 8)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Aux_graficos!$MX$2:$MX$9</c:f>
              <c:numCache>
                <c:formatCode>General</c:formatCode>
                <c:ptCount val="8"/>
                <c:pt idx="0">
                  <c:v>405</c:v>
                </c:pt>
                <c:pt idx="1">
                  <c:v>408.57142857142861</c:v>
                </c:pt>
                <c:pt idx="2">
                  <c:v>412.14285714285722</c:v>
                </c:pt>
                <c:pt idx="3">
                  <c:v>415.71428571428572</c:v>
                </c:pt>
                <c:pt idx="4">
                  <c:v>422.85714285714289</c:v>
                </c:pt>
                <c:pt idx="5">
                  <c:v>419.28571428571428</c:v>
                </c:pt>
                <c:pt idx="6">
                  <c:v>426.42857142857139</c:v>
                </c:pt>
                <c:pt idx="7">
                  <c:v>430</c:v>
                </c:pt>
              </c:numCache>
            </c:numRef>
          </c:xVal>
          <c:yVal>
            <c:numRef>
              <c:f>Aux_graficos!$MW$2:$MW$9</c:f>
              <c:numCache>
                <c:formatCode>General</c:formatCode>
                <c:ptCount val="8"/>
                <c:pt idx="0">
                  <c:v>13.06365776565851</c:v>
                </c:pt>
                <c:pt idx="1">
                  <c:v>13.155806884554361</c:v>
                </c:pt>
                <c:pt idx="2">
                  <c:v>13.236375423773151</c:v>
                </c:pt>
                <c:pt idx="3">
                  <c:v>13.303695334315419</c:v>
                </c:pt>
                <c:pt idx="4">
                  <c:v>13.39414678813139</c:v>
                </c:pt>
                <c:pt idx="5">
                  <c:v>13.35653045690038</c:v>
                </c:pt>
                <c:pt idx="6">
                  <c:v>13.416283544750121</c:v>
                </c:pt>
                <c:pt idx="7">
                  <c:v>13.4230730280375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54-4F08-A7F4-128FB5141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430"/>
          <c:min val="38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10"/>
      </c:valAx>
      <c:valAx>
        <c:axId val="20"/>
        <c:scaling>
          <c:orientation val="minMax"/>
          <c:max val="13.5"/>
          <c:min val="12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T_sumidero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Aux_graficos!$MZ$2:$MZ$9</c:f>
              <c:numCache>
                <c:formatCode>General</c:formatCode>
                <c:ptCount val="8"/>
                <c:pt idx="0">
                  <c:v>273.14999999999998</c:v>
                </c:pt>
                <c:pt idx="1">
                  <c:v>274.57857142857142</c:v>
                </c:pt>
                <c:pt idx="2">
                  <c:v>277.43571428571431</c:v>
                </c:pt>
                <c:pt idx="3">
                  <c:v>278.8642857142857</c:v>
                </c:pt>
                <c:pt idx="4">
                  <c:v>276.00714285714281</c:v>
                </c:pt>
                <c:pt idx="5">
                  <c:v>280.29285714285709</c:v>
                </c:pt>
                <c:pt idx="6">
                  <c:v>281.72142857142848</c:v>
                </c:pt>
                <c:pt idx="7">
                  <c:v>283.14999999999998</c:v>
                </c:pt>
              </c:numCache>
            </c:numRef>
          </c:xVal>
          <c:yVal>
            <c:numRef>
              <c:f>Aux_graficos!$MY$2:$MY$9</c:f>
              <c:numCache>
                <c:formatCode>General</c:formatCode>
                <c:ptCount val="8"/>
                <c:pt idx="0">
                  <c:v>12.5093907482508</c:v>
                </c:pt>
                <c:pt idx="1">
                  <c:v>12.57211345384629</c:v>
                </c:pt>
                <c:pt idx="2">
                  <c:v>12.699571982744381</c:v>
                </c:pt>
                <c:pt idx="3">
                  <c:v>12.76433110190319</c:v>
                </c:pt>
                <c:pt idx="4">
                  <c:v>12.63550342842294</c:v>
                </c:pt>
                <c:pt idx="5">
                  <c:v>12.829792607306389</c:v>
                </c:pt>
                <c:pt idx="6">
                  <c:v>12.895968816348651</c:v>
                </c:pt>
                <c:pt idx="7">
                  <c:v>12.96287238234715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40-4379-91C9-0BCFCA36F5D7}"/>
            </c:ext>
          </c:extLst>
        </c:ser>
        <c:ser>
          <c:idx val="1"/>
          <c:order val="1"/>
          <c:tx>
            <c:v>Corregible (n = 7)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Aux_graficos!$NB$2:$NB$8</c:f>
              <c:numCache>
                <c:formatCode>General</c:formatCode>
                <c:ptCount val="7"/>
                <c:pt idx="0">
                  <c:v>284.57857142857142</c:v>
                </c:pt>
                <c:pt idx="1">
                  <c:v>286.00714285714281</c:v>
                </c:pt>
                <c:pt idx="2">
                  <c:v>287.43571428571431</c:v>
                </c:pt>
                <c:pt idx="3">
                  <c:v>288.8642857142857</c:v>
                </c:pt>
                <c:pt idx="4">
                  <c:v>290.29285714285709</c:v>
                </c:pt>
                <c:pt idx="5">
                  <c:v>291.72142857142848</c:v>
                </c:pt>
                <c:pt idx="6">
                  <c:v>293.14999999999998</c:v>
                </c:pt>
              </c:numCache>
            </c:numRef>
          </c:xVal>
          <c:yVal>
            <c:numRef>
              <c:f>Aux_graficos!$NA$2:$NA$8</c:f>
              <c:numCache>
                <c:formatCode>General</c:formatCode>
                <c:ptCount val="7"/>
                <c:pt idx="0">
                  <c:v>13.030170485534081</c:v>
                </c:pt>
                <c:pt idx="1">
                  <c:v>13.09510736092207</c:v>
                </c:pt>
                <c:pt idx="2">
                  <c:v>13.15702847309799</c:v>
                </c:pt>
                <c:pt idx="3">
                  <c:v>13.215885882560549</c:v>
                </c:pt>
                <c:pt idx="4">
                  <c:v>13.27161716519573</c:v>
                </c:pt>
                <c:pt idx="5">
                  <c:v>13.324161148915531</c:v>
                </c:pt>
                <c:pt idx="6">
                  <c:v>13.649212066796199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40-4379-91C9-0BCFCA36F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95"/>
          <c:min val="27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5"/>
      </c:valAx>
      <c:valAx>
        <c:axId val="20"/>
        <c:scaling>
          <c:orientation val="minMax"/>
          <c:max val="13.75"/>
          <c:min val="12.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P_alta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12)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Aux_graficos!$ND$2:$ND$13</c:f>
              <c:numCache>
                <c:formatCode>General</c:formatCode>
                <c:ptCount val="12"/>
                <c:pt idx="0">
                  <c:v>2821.428571428572</c:v>
                </c:pt>
                <c:pt idx="1">
                  <c:v>2928.571428571428</c:v>
                </c:pt>
                <c:pt idx="2">
                  <c:v>3035.7142857142858</c:v>
                </c:pt>
                <c:pt idx="3">
                  <c:v>3142.8571428571431</c:v>
                </c:pt>
                <c:pt idx="4">
                  <c:v>3250</c:v>
                </c:pt>
                <c:pt idx="5">
                  <c:v>3357.1428571428569</c:v>
                </c:pt>
                <c:pt idx="6">
                  <c:v>3892.8571428571431</c:v>
                </c:pt>
                <c:pt idx="7">
                  <c:v>3785.7142857142858</c:v>
                </c:pt>
                <c:pt idx="8">
                  <c:v>4000</c:v>
                </c:pt>
                <c:pt idx="9">
                  <c:v>3464.2857142857142</c:v>
                </c:pt>
                <c:pt idx="10">
                  <c:v>3678.5714285714289</c:v>
                </c:pt>
                <c:pt idx="11">
                  <c:v>3571.428571428572</c:v>
                </c:pt>
              </c:numCache>
            </c:numRef>
          </c:xVal>
          <c:yVal>
            <c:numRef>
              <c:f>Aux_graficos!$NC$2:$NC$13</c:f>
              <c:numCache>
                <c:formatCode>General</c:formatCode>
                <c:ptCount val="12"/>
                <c:pt idx="0">
                  <c:v>11.83568349674035</c:v>
                </c:pt>
                <c:pt idx="1">
                  <c:v>12.06149842836869</c:v>
                </c:pt>
                <c:pt idx="2">
                  <c:v>12.27197794772116</c:v>
                </c:pt>
                <c:pt idx="3">
                  <c:v>12.46816263017079</c:v>
                </c:pt>
                <c:pt idx="4">
                  <c:v>12.65094109088577</c:v>
                </c:pt>
                <c:pt idx="5">
                  <c:v>12.821058319728531</c:v>
                </c:pt>
                <c:pt idx="6">
                  <c:v>13.498787347132851</c:v>
                </c:pt>
                <c:pt idx="7">
                  <c:v>13.3852549291339</c:v>
                </c:pt>
                <c:pt idx="8">
                  <c:v>13.60155540212271</c:v>
                </c:pt>
                <c:pt idx="9">
                  <c:v>12.97912414602844</c:v>
                </c:pt>
                <c:pt idx="10">
                  <c:v>13.14655072772617</c:v>
                </c:pt>
                <c:pt idx="11">
                  <c:v>13.10002265725447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D8-4336-B800-8AE13C8B98AA}"/>
            </c:ext>
          </c:extLst>
        </c:ser>
        <c:ser>
          <c:idx val="1"/>
          <c:order val="1"/>
          <c:tx>
            <c:v>Corregible (n = 3)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Aux_graficos!$NF$2:$NF$4</c:f>
              <c:numCache>
                <c:formatCode>General</c:formatCode>
                <c:ptCount val="3"/>
                <c:pt idx="0">
                  <c:v>2500</c:v>
                </c:pt>
                <c:pt idx="1">
                  <c:v>2607.1428571428569</c:v>
                </c:pt>
                <c:pt idx="2">
                  <c:v>2714.2857142857142</c:v>
                </c:pt>
              </c:numCache>
            </c:numRef>
          </c:xVal>
          <c:yVal>
            <c:numRef>
              <c:f>Aux_graficos!$NE$2:$NE$4</c:f>
              <c:numCache>
                <c:formatCode>General</c:formatCode>
                <c:ptCount val="3"/>
                <c:pt idx="0">
                  <c:v>11.053305647164899</c:v>
                </c:pt>
                <c:pt idx="1">
                  <c:v>11.3330600317638</c:v>
                </c:pt>
                <c:pt idx="2">
                  <c:v>11.59332997056927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1D8-4336-B800-8AE13C8B9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4000"/>
          <c:min val="250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250"/>
      </c:valAx>
      <c:valAx>
        <c:axId val="20"/>
        <c:scaling>
          <c:orientation val="minMax"/>
          <c:max val="14"/>
          <c:min val="11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P_baja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11)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Aux_graficos!$NH$2:$NH$12</c:f>
              <c:numCache>
                <c:formatCode>General</c:formatCode>
                <c:ptCount val="11"/>
                <c:pt idx="0">
                  <c:v>750</c:v>
                </c:pt>
                <c:pt idx="1">
                  <c:v>800</c:v>
                </c:pt>
                <c:pt idx="2">
                  <c:v>700</c:v>
                </c:pt>
                <c:pt idx="3">
                  <c:v>850</c:v>
                </c:pt>
                <c:pt idx="4">
                  <c:v>900</c:v>
                </c:pt>
                <c:pt idx="5">
                  <c:v>950</c:v>
                </c:pt>
                <c:pt idx="6">
                  <c:v>1000</c:v>
                </c:pt>
                <c:pt idx="7">
                  <c:v>1050</c:v>
                </c:pt>
                <c:pt idx="8">
                  <c:v>1100</c:v>
                </c:pt>
                <c:pt idx="9">
                  <c:v>1150</c:v>
                </c:pt>
                <c:pt idx="10">
                  <c:v>1200</c:v>
                </c:pt>
              </c:numCache>
            </c:numRef>
          </c:xVal>
          <c:yVal>
            <c:numRef>
              <c:f>Aux_graficos!$NG$2:$NG$12</c:f>
              <c:numCache>
                <c:formatCode>General</c:formatCode>
                <c:ptCount val="11"/>
                <c:pt idx="0">
                  <c:v>12.11344297884353</c:v>
                </c:pt>
                <c:pt idx="1">
                  <c:v>11.62985863251361</c:v>
                </c:pt>
                <c:pt idx="2">
                  <c:v>12.581314446066379</c:v>
                </c:pt>
                <c:pt idx="3">
                  <c:v>11.17164861327897</c:v>
                </c:pt>
                <c:pt idx="4">
                  <c:v>10.73610439817951</c:v>
                </c:pt>
                <c:pt idx="5">
                  <c:v>10.32094550926344</c:v>
                </c:pt>
                <c:pt idx="6">
                  <c:v>9.9242331125012608</c:v>
                </c:pt>
                <c:pt idx="7">
                  <c:v>9.5443037793294891</c:v>
                </c:pt>
                <c:pt idx="8">
                  <c:v>9.1797192138850399</c:v>
                </c:pt>
                <c:pt idx="9">
                  <c:v>8.8292264519368189</c:v>
                </c:pt>
                <c:pt idx="10">
                  <c:v>8.4917267042076094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C2-47B5-9CDB-311DC6104D4F}"/>
            </c:ext>
          </c:extLst>
        </c:ser>
        <c:ser>
          <c:idx val="1"/>
          <c:order val="1"/>
          <c:tx>
            <c:v>Corregible (n = 4)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Aux_graficos!$NJ$2:$NJ$5</c:f>
              <c:numCache>
                <c:formatCode>General</c:formatCode>
                <c:ptCount val="4"/>
                <c:pt idx="0">
                  <c:v>500</c:v>
                </c:pt>
                <c:pt idx="1">
                  <c:v>650</c:v>
                </c:pt>
                <c:pt idx="2">
                  <c:v>550</c:v>
                </c:pt>
                <c:pt idx="3">
                  <c:v>600</c:v>
                </c:pt>
              </c:numCache>
            </c:numRef>
          </c:xVal>
          <c:yVal>
            <c:numRef>
              <c:f>Aux_graficos!$NI$2:$NI$5</c:f>
              <c:numCache>
                <c:formatCode>General</c:formatCode>
                <c:ptCount val="4"/>
                <c:pt idx="0">
                  <c:v>15.0409968815438</c:v>
                </c:pt>
                <c:pt idx="1">
                  <c:v>13.170444446252681</c:v>
                </c:pt>
                <c:pt idx="2">
                  <c:v>14.377204281446151</c:v>
                </c:pt>
                <c:pt idx="3">
                  <c:v>13.75268677295411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C2-47B5-9CDB-311DC6104D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200"/>
          <c:min val="40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200"/>
      </c:valAx>
      <c:valAx>
        <c:axId val="20"/>
        <c:scaling>
          <c:orientation val="minMax"/>
          <c:max val="16"/>
          <c:min val="8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1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x_b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9)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Aux_graficos!$NL$2:$NL$10</c:f>
              <c:numCache>
                <c:formatCode>General</c:formatCode>
                <c:ptCount val="9"/>
                <c:pt idx="0">
                  <c:v>0.6</c:v>
                </c:pt>
                <c:pt idx="1">
                  <c:v>0.65</c:v>
                </c:pt>
                <c:pt idx="2">
                  <c:v>0.67499999999999993</c:v>
                </c:pt>
                <c:pt idx="3">
                  <c:v>0.7</c:v>
                </c:pt>
                <c:pt idx="4">
                  <c:v>0.72499999999999998</c:v>
                </c:pt>
                <c:pt idx="5">
                  <c:v>0.75</c:v>
                </c:pt>
                <c:pt idx="6">
                  <c:v>0.77499999999999991</c:v>
                </c:pt>
                <c:pt idx="7">
                  <c:v>0.82499999999999996</c:v>
                </c:pt>
                <c:pt idx="8">
                  <c:v>0.79999999999999993</c:v>
                </c:pt>
              </c:numCache>
            </c:numRef>
          </c:xVal>
          <c:yVal>
            <c:numRef>
              <c:f>Aux_graficos!$NK$2:$NK$10</c:f>
              <c:numCache>
                <c:formatCode>General</c:formatCode>
                <c:ptCount val="9"/>
                <c:pt idx="0">
                  <c:v>8.816445146584611</c:v>
                </c:pt>
                <c:pt idx="1">
                  <c:v>10.2518067712797</c:v>
                </c:pt>
                <c:pt idx="2">
                  <c:v>10.781595749116279</c:v>
                </c:pt>
                <c:pt idx="3">
                  <c:v>11.23217741708438</c:v>
                </c:pt>
                <c:pt idx="4">
                  <c:v>11.62246847395334</c:v>
                </c:pt>
                <c:pt idx="5">
                  <c:v>11.964959347863561</c:v>
                </c:pt>
                <c:pt idx="6">
                  <c:v>12.26810253235902</c:v>
                </c:pt>
                <c:pt idx="7">
                  <c:v>12.77762004685831</c:v>
                </c:pt>
                <c:pt idx="8">
                  <c:v>12.50472537002479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0A-4527-A8E6-B8D7E5D66480}"/>
            </c:ext>
          </c:extLst>
        </c:ser>
        <c:ser>
          <c:idx val="1"/>
          <c:order val="1"/>
          <c:tx>
            <c:v>Corregible (n = 5)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Aux_graficos!$NN$2:$NN$6</c:f>
              <c:numCache>
                <c:formatCode>General</c:formatCode>
                <c:ptCount val="5"/>
                <c:pt idx="0">
                  <c:v>0.85</c:v>
                </c:pt>
                <c:pt idx="1">
                  <c:v>0.875</c:v>
                </c:pt>
                <c:pt idx="2">
                  <c:v>0.89999999999999991</c:v>
                </c:pt>
                <c:pt idx="3">
                  <c:v>0.95</c:v>
                </c:pt>
                <c:pt idx="4">
                  <c:v>0.92500000000000004</c:v>
                </c:pt>
              </c:numCache>
            </c:numRef>
          </c:xVal>
          <c:yVal>
            <c:numRef>
              <c:f>Aux_graficos!$NM$2:$NM$6</c:f>
              <c:numCache>
                <c:formatCode>General</c:formatCode>
                <c:ptCount val="5"/>
                <c:pt idx="0">
                  <c:v>12.990450631232671</c:v>
                </c:pt>
                <c:pt idx="1">
                  <c:v>13.17755558523389</c:v>
                </c:pt>
                <c:pt idx="2">
                  <c:v>13.33919494068688</c:v>
                </c:pt>
                <c:pt idx="3">
                  <c:v>13.34349037425598</c:v>
                </c:pt>
                <c:pt idx="4">
                  <c:v>13.236368723963031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0A-4527-A8E6-B8D7E5D66480}"/>
            </c:ext>
          </c:extLst>
        </c:ser>
        <c:ser>
          <c:idx val="2"/>
          <c:order val="2"/>
          <c:tx>
            <c:v>No convergió (n = 1)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Aux_graficos!$NP$2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xVal>
          <c:yVal>
            <c:numRef>
              <c:f>Aux_graficos!$NO$2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B0A-4527-A8E6-B8D7E5D66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2.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15)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Aux_graficos!$NR$2:$NR$16</c:f>
              <c:numCache>
                <c:formatCode>General</c:formatCode>
                <c:ptCount val="15"/>
                <c:pt idx="0">
                  <c:v>0.76428571428571423</c:v>
                </c:pt>
                <c:pt idx="1">
                  <c:v>0.77857142857142858</c:v>
                </c:pt>
                <c:pt idx="2">
                  <c:v>0.75</c:v>
                </c:pt>
                <c:pt idx="3">
                  <c:v>0.80714285714285716</c:v>
                </c:pt>
                <c:pt idx="4">
                  <c:v>0.79285714285714282</c:v>
                </c:pt>
                <c:pt idx="5">
                  <c:v>0.8214285714285714</c:v>
                </c:pt>
                <c:pt idx="6">
                  <c:v>0.83571428571428563</c:v>
                </c:pt>
                <c:pt idx="7">
                  <c:v>0.85</c:v>
                </c:pt>
                <c:pt idx="8">
                  <c:v>0.86428571428571421</c:v>
                </c:pt>
                <c:pt idx="9">
                  <c:v>0.87857142857142856</c:v>
                </c:pt>
                <c:pt idx="10">
                  <c:v>0.89285714285714279</c:v>
                </c:pt>
                <c:pt idx="11">
                  <c:v>0.90714285714285725</c:v>
                </c:pt>
                <c:pt idx="12">
                  <c:v>0.92142857142857137</c:v>
                </c:pt>
                <c:pt idx="13">
                  <c:v>0.93571428571428561</c:v>
                </c:pt>
                <c:pt idx="14">
                  <c:v>0.95</c:v>
                </c:pt>
              </c:numCache>
            </c:numRef>
          </c:xVal>
          <c:yVal>
            <c:numRef>
              <c:f>Aux_graficos!$NQ$2:$NQ$16</c:f>
              <c:numCache>
                <c:formatCode>General</c:formatCode>
                <c:ptCount val="15"/>
                <c:pt idx="0">
                  <c:v>10.74377241335414</c:v>
                </c:pt>
                <c:pt idx="1">
                  <c:v>10.95318523603804</c:v>
                </c:pt>
                <c:pt idx="2">
                  <c:v>10.5343266263611</c:v>
                </c:pt>
                <c:pt idx="3">
                  <c:v>11.371912022639041</c:v>
                </c:pt>
                <c:pt idx="4">
                  <c:v>11.16256510295724</c:v>
                </c:pt>
                <c:pt idx="5">
                  <c:v>11.581226003636271</c:v>
                </c:pt>
                <c:pt idx="6">
                  <c:v>11.79050705445947</c:v>
                </c:pt>
                <c:pt idx="7">
                  <c:v>11.99975518366201</c:v>
                </c:pt>
                <c:pt idx="8">
                  <c:v>12.20897039978898</c:v>
                </c:pt>
                <c:pt idx="9">
                  <c:v>12.418152711289171</c:v>
                </c:pt>
                <c:pt idx="10">
                  <c:v>12.627302126732401</c:v>
                </c:pt>
                <c:pt idx="11">
                  <c:v>12.83641865463925</c:v>
                </c:pt>
                <c:pt idx="12">
                  <c:v>13.04550230345121</c:v>
                </c:pt>
                <c:pt idx="13">
                  <c:v>13.254553081809769</c:v>
                </c:pt>
                <c:pt idx="14">
                  <c:v>13.463570998132139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94-4235-98E6-2FBBCA61B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5000000000000007"/>
          <c:min val="0.7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5"/>
      </c:valAx>
      <c:valAx>
        <c:axId val="20"/>
        <c:scaling>
          <c:orientation val="minMax"/>
          <c:max val="13.5"/>
          <c:min val="10.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η_p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15)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Aux_graficos!$NT$2:$NT$16</c:f>
              <c:numCache>
                <c:formatCode>General</c:formatCode>
                <c:ptCount val="15"/>
                <c:pt idx="0">
                  <c:v>0.6</c:v>
                </c:pt>
                <c:pt idx="1">
                  <c:v>0.62142857142857144</c:v>
                </c:pt>
                <c:pt idx="2">
                  <c:v>0.64285714285714279</c:v>
                </c:pt>
                <c:pt idx="3">
                  <c:v>0.66428571428571426</c:v>
                </c:pt>
                <c:pt idx="4">
                  <c:v>0.68571428571428572</c:v>
                </c:pt>
                <c:pt idx="5">
                  <c:v>0.70714285714285718</c:v>
                </c:pt>
                <c:pt idx="6">
                  <c:v>0.72857142857142854</c:v>
                </c:pt>
                <c:pt idx="7">
                  <c:v>0.75</c:v>
                </c:pt>
                <c:pt idx="8">
                  <c:v>0.77142857142857146</c:v>
                </c:pt>
                <c:pt idx="9">
                  <c:v>0.79285714285714293</c:v>
                </c:pt>
                <c:pt idx="10">
                  <c:v>0.81428571428571428</c:v>
                </c:pt>
                <c:pt idx="11">
                  <c:v>0.85714285714285721</c:v>
                </c:pt>
                <c:pt idx="12">
                  <c:v>0.83571428571428574</c:v>
                </c:pt>
                <c:pt idx="13">
                  <c:v>0.87857142857142856</c:v>
                </c:pt>
                <c:pt idx="14">
                  <c:v>0.9</c:v>
                </c:pt>
              </c:numCache>
            </c:numRef>
          </c:xVal>
          <c:yVal>
            <c:numRef>
              <c:f>Aux_graficos!$NS$2:$NS$16</c:f>
              <c:numCache>
                <c:formatCode>General</c:formatCode>
                <c:ptCount val="15"/>
                <c:pt idx="0">
                  <c:v>12.57955171117227</c:v>
                </c:pt>
                <c:pt idx="1">
                  <c:v>12.60057899281016</c:v>
                </c:pt>
                <c:pt idx="2">
                  <c:v>12.62019907503039</c:v>
                </c:pt>
                <c:pt idx="3">
                  <c:v>12.638548644484491</c:v>
                </c:pt>
                <c:pt idx="4">
                  <c:v>12.65574724035371</c:v>
                </c:pt>
                <c:pt idx="5">
                  <c:v>12.671899861750409</c:v>
                </c:pt>
                <c:pt idx="6">
                  <c:v>12.687099113013071</c:v>
                </c:pt>
                <c:pt idx="7">
                  <c:v>12.7014269803761</c:v>
                </c:pt>
                <c:pt idx="8">
                  <c:v>12.714956311289949</c:v>
                </c:pt>
                <c:pt idx="9">
                  <c:v>12.72775205333601</c:v>
                </c:pt>
                <c:pt idx="10">
                  <c:v>12.73987229682464</c:v>
                </c:pt>
                <c:pt idx="11">
                  <c:v>12.76228952045992</c:v>
                </c:pt>
                <c:pt idx="12">
                  <c:v>12.75136915643556</c:v>
                </c:pt>
                <c:pt idx="13">
                  <c:v>12.772675689807659</c:v>
                </c:pt>
                <c:pt idx="14">
                  <c:v>12.78256592574377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3B6-4047-B567-BF38CBD1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"/>
          <c:min val="0.5500000000000000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5"/>
      </c:valAx>
      <c:valAx>
        <c:axId val="20"/>
        <c:scaling>
          <c:orientation val="minMax"/>
          <c:max val="12.8"/>
          <c:min val="12.5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0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ε_HRVG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14)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Aux_graficos!$NV$2:$NV$15</c:f>
              <c:numCache>
                <c:formatCode>General</c:formatCode>
                <c:ptCount val="14"/>
                <c:pt idx="0">
                  <c:v>0.6</c:v>
                </c:pt>
                <c:pt idx="1">
                  <c:v>0.625</c:v>
                </c:pt>
                <c:pt idx="2">
                  <c:v>0.65</c:v>
                </c:pt>
                <c:pt idx="3">
                  <c:v>0.7</c:v>
                </c:pt>
                <c:pt idx="4">
                  <c:v>0.67499999999999993</c:v>
                </c:pt>
                <c:pt idx="5">
                  <c:v>0.72499999999999998</c:v>
                </c:pt>
                <c:pt idx="6">
                  <c:v>0.75</c:v>
                </c:pt>
                <c:pt idx="7">
                  <c:v>0.77499999999999991</c:v>
                </c:pt>
                <c:pt idx="8">
                  <c:v>0.79999999999999993</c:v>
                </c:pt>
                <c:pt idx="9">
                  <c:v>0.82499999999999996</c:v>
                </c:pt>
                <c:pt idx="10">
                  <c:v>0.85</c:v>
                </c:pt>
                <c:pt idx="11">
                  <c:v>0.875</c:v>
                </c:pt>
                <c:pt idx="12">
                  <c:v>0.89999999999999991</c:v>
                </c:pt>
                <c:pt idx="13">
                  <c:v>0.92500000000000004</c:v>
                </c:pt>
              </c:numCache>
            </c:numRef>
          </c:xVal>
          <c:yVal>
            <c:numRef>
              <c:f>Aux_graficos!$NU$2:$NU$15</c:f>
              <c:numCache>
                <c:formatCode>General</c:formatCode>
                <c:ptCount val="14"/>
                <c:pt idx="0">
                  <c:v>11.6337945350606</c:v>
                </c:pt>
                <c:pt idx="1">
                  <c:v>11.76548406888493</c:v>
                </c:pt>
                <c:pt idx="2">
                  <c:v>11.88957761422312</c:v>
                </c:pt>
                <c:pt idx="3">
                  <c:v>12.12013477638188</c:v>
                </c:pt>
                <c:pt idx="4">
                  <c:v>12.00740343945165</c:v>
                </c:pt>
                <c:pt idx="5">
                  <c:v>12.22880800024798</c:v>
                </c:pt>
                <c:pt idx="6">
                  <c:v>12.334275039545201</c:v>
                </c:pt>
                <c:pt idx="7">
                  <c:v>12.43716394587433</c:v>
                </c:pt>
                <c:pt idx="8">
                  <c:v>12.41935628578808</c:v>
                </c:pt>
                <c:pt idx="9">
                  <c:v>12.636164007161151</c:v>
                </c:pt>
                <c:pt idx="10">
                  <c:v>12.731864501081271</c:v>
                </c:pt>
                <c:pt idx="11">
                  <c:v>12.82416714500029</c:v>
                </c:pt>
                <c:pt idx="12">
                  <c:v>12.912111447957219</c:v>
                </c:pt>
                <c:pt idx="13">
                  <c:v>12.99465453845197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52-45E8-82B8-70EE4896B9DB}"/>
            </c:ext>
          </c:extLst>
        </c:ser>
        <c:ser>
          <c:idx val="1"/>
          <c:order val="1"/>
          <c:tx>
            <c:v>Corregible (n = 1)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Aux_graficos!$NX$2</c:f>
              <c:numCache>
                <c:formatCode>General</c:formatCode>
                <c:ptCount val="1"/>
                <c:pt idx="0">
                  <c:v>0.95</c:v>
                </c:pt>
              </c:numCache>
            </c:numRef>
          </c:xVal>
          <c:yVal>
            <c:numRef>
              <c:f>Aux_graficos!$NW$2</c:f>
              <c:numCache>
                <c:formatCode>General</c:formatCode>
                <c:ptCount val="1"/>
                <c:pt idx="0">
                  <c:v>13.070820967461369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152-45E8-82B8-70EE4896B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3.25"/>
          <c:min val="11.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ε_reg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15)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Aux_graficos!$NZ$2:$NZ$16</c:f>
              <c:numCache>
                <c:formatCode>General</c:formatCode>
                <c:ptCount val="15"/>
                <c:pt idx="0">
                  <c:v>0.4</c:v>
                </c:pt>
                <c:pt idx="1">
                  <c:v>0.43928571428571428</c:v>
                </c:pt>
                <c:pt idx="2">
                  <c:v>0.47857142857142859</c:v>
                </c:pt>
                <c:pt idx="3">
                  <c:v>0.51785714285714279</c:v>
                </c:pt>
                <c:pt idx="4">
                  <c:v>0.55714285714285716</c:v>
                </c:pt>
                <c:pt idx="5">
                  <c:v>0.59642857142857142</c:v>
                </c:pt>
                <c:pt idx="6">
                  <c:v>0.63571428571428568</c:v>
                </c:pt>
                <c:pt idx="7">
                  <c:v>0.67500000000000004</c:v>
                </c:pt>
                <c:pt idx="8">
                  <c:v>0.71428571428571419</c:v>
                </c:pt>
                <c:pt idx="9">
                  <c:v>0.75357142857142856</c:v>
                </c:pt>
                <c:pt idx="10">
                  <c:v>0.79285714285714282</c:v>
                </c:pt>
                <c:pt idx="11">
                  <c:v>0.83214285714285707</c:v>
                </c:pt>
                <c:pt idx="12">
                  <c:v>0.87142857142857133</c:v>
                </c:pt>
                <c:pt idx="13">
                  <c:v>0.91071428571428559</c:v>
                </c:pt>
                <c:pt idx="14">
                  <c:v>0.95</c:v>
                </c:pt>
              </c:numCache>
            </c:numRef>
          </c:xVal>
          <c:yVal>
            <c:numRef>
              <c:f>Aux_graficos!$NY$2:$NY$16</c:f>
              <c:numCache>
                <c:formatCode>General</c:formatCode>
                <c:ptCount val="15"/>
                <c:pt idx="0">
                  <c:v>11.94067165369184</c:v>
                </c:pt>
                <c:pt idx="1">
                  <c:v>12.025499498000521</c:v>
                </c:pt>
                <c:pt idx="2">
                  <c:v>12.11129931177198</c:v>
                </c:pt>
                <c:pt idx="3">
                  <c:v>12.19808225860011</c:v>
                </c:pt>
                <c:pt idx="4">
                  <c:v>12.28586383273484</c:v>
                </c:pt>
                <c:pt idx="5">
                  <c:v>12.37466184195206</c:v>
                </c:pt>
                <c:pt idx="6">
                  <c:v>12.4644934573175</c:v>
                </c:pt>
                <c:pt idx="7">
                  <c:v>12.55537636362463</c:v>
                </c:pt>
                <c:pt idx="8">
                  <c:v>12.647328287936849</c:v>
                </c:pt>
                <c:pt idx="9">
                  <c:v>12.740368104238931</c:v>
                </c:pt>
                <c:pt idx="10">
                  <c:v>12.834514454028641</c:v>
                </c:pt>
                <c:pt idx="11">
                  <c:v>12.92978655225828</c:v>
                </c:pt>
                <c:pt idx="12">
                  <c:v>13.02620420805367</c:v>
                </c:pt>
                <c:pt idx="13">
                  <c:v>13.12378762959341</c:v>
                </c:pt>
                <c:pt idx="14">
                  <c:v>13.2225573486805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B9-44C2-8D60-A8337CB6A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.4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3.25"/>
          <c:min val="11.7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0.2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900" b="1"/>
            </a:pPr>
            <a:r>
              <a:rPr sz="900" b="1"/>
              <a:t>ε_cond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1)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Aux_graficos!$OB$2</c:f>
              <c:numCache>
                <c:formatCode>General</c:formatCode>
                <c:ptCount val="1"/>
                <c:pt idx="0">
                  <c:v>0.95</c:v>
                </c:pt>
              </c:numCache>
            </c:numRef>
          </c:xVal>
          <c:yVal>
            <c:numRef>
              <c:f>Aux_graficos!$OA$2</c:f>
              <c:numCache>
                <c:formatCode>General</c:formatCode>
                <c:ptCount val="1"/>
                <c:pt idx="0">
                  <c:v>12.731864501081271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68-4C2A-B612-D40EA32CB1B4}"/>
            </c:ext>
          </c:extLst>
        </c:ser>
        <c:ser>
          <c:idx val="1"/>
          <c:order val="1"/>
          <c:tx>
            <c:v>Corregible (n = 13)</c:v>
          </c:tx>
          <c:spPr>
            <a:ln>
              <a:noFill/>
              <a:prstDash val="solid"/>
            </a:ln>
          </c:spPr>
          <c:marker>
            <c:symbol val="triangle"/>
            <c:size val="6"/>
            <c: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c:spPr>
          </c:marker>
          <c:xVal>
            <c:numRef>
              <c:f>Aux_graficos!$OD$2:$OD$14</c:f>
              <c:numCache>
                <c:formatCode>General</c:formatCode>
                <c:ptCount val="13"/>
                <c:pt idx="0">
                  <c:v>0.73571428571428565</c:v>
                </c:pt>
                <c:pt idx="1">
                  <c:v>0.7</c:v>
                </c:pt>
                <c:pt idx="2">
                  <c:v>0.78928571428571426</c:v>
                </c:pt>
                <c:pt idx="3">
                  <c:v>0.77142857142857135</c:v>
                </c:pt>
                <c:pt idx="4">
                  <c:v>0.71785714285714286</c:v>
                </c:pt>
                <c:pt idx="5">
                  <c:v>0.80714285714285705</c:v>
                </c:pt>
                <c:pt idx="6">
                  <c:v>0.82499999999999996</c:v>
                </c:pt>
                <c:pt idx="7">
                  <c:v>0.87857142857142856</c:v>
                </c:pt>
                <c:pt idx="8">
                  <c:v>0.84285714285714275</c:v>
                </c:pt>
                <c:pt idx="9">
                  <c:v>0.86071428571428565</c:v>
                </c:pt>
                <c:pt idx="10">
                  <c:v>0.89642857142857135</c:v>
                </c:pt>
                <c:pt idx="11">
                  <c:v>0.91428571428571437</c:v>
                </c:pt>
                <c:pt idx="12">
                  <c:v>0.93214285714285705</c:v>
                </c:pt>
              </c:numCache>
            </c:numRef>
          </c:xVal>
          <c:yVal>
            <c:numRef>
              <c:f>Aux_graficos!$OC$2:$OC$14</c:f>
              <c:numCache>
                <c:formatCode>General</c:formatCode>
                <c:ptCount val="13"/>
                <c:pt idx="0">
                  <c:v>13.55485652015634</c:v>
                </c:pt>
                <c:pt idx="1">
                  <c:v>13.27270931580798</c:v>
                </c:pt>
                <c:pt idx="2">
                  <c:v>13.68561535292171</c:v>
                </c:pt>
                <c:pt idx="3">
                  <c:v>13.67598418117441</c:v>
                </c:pt>
                <c:pt idx="4">
                  <c:v>13.43604548696222</c:v>
                </c:pt>
                <c:pt idx="5">
                  <c:v>13.665458883243311</c:v>
                </c:pt>
                <c:pt idx="6">
                  <c:v>13.618229150517189</c:v>
                </c:pt>
                <c:pt idx="7">
                  <c:v>13.33681054343614</c:v>
                </c:pt>
                <c:pt idx="8">
                  <c:v>13.546322051427349</c:v>
                </c:pt>
                <c:pt idx="9">
                  <c:v>13.45187778776944</c:v>
                </c:pt>
                <c:pt idx="10">
                  <c:v>13.202845014878161</c:v>
                </c:pt>
                <c:pt idx="11">
                  <c:v>13.05151877785543</c:v>
                </c:pt>
                <c:pt idx="12">
                  <c:v>12.889274527680261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68-4C2A-B612-D40EA32CB1B4}"/>
            </c:ext>
          </c:extLst>
        </c:ser>
        <c:ser>
          <c:idx val="2"/>
          <c:order val="2"/>
          <c:tx>
            <c:v>No convergió (n = 1)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Aux_graficos!$OF$2</c:f>
              <c:numCache>
                <c:formatCode>General</c:formatCode>
                <c:ptCount val="1"/>
                <c:pt idx="0">
                  <c:v>0.75357142857142856</c:v>
                </c:pt>
              </c:numCache>
            </c:numRef>
          </c:xVal>
          <c:yVal>
            <c:numRef>
              <c:f>Aux_graficos!$OE$2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68-4C2A-B612-D40EA32CB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95000000000000007"/>
          <c:min val="0.65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20"/>
        <c:crosses val="min"/>
        <c:crossBetween val="midCat"/>
        <c:majorUnit val="0.05"/>
      </c:valAx>
      <c:valAx>
        <c:axId val="20"/>
        <c:scaling>
          <c:orientation val="minMax"/>
          <c:max val="1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700" b="0"/>
            </a:pPr>
            <a:endParaRPr lang="es-CO"/>
          </a:p>
        </c:txPr>
        <c:crossAx val="10"/>
        <c:crosses val="min"/>
        <c:crossBetween val="midCat"/>
        <c:majorUnit val="2.5"/>
      </c:valAx>
    </c:plotArea>
    <c:legend>
      <c:legendPos val="b"/>
      <c:overlay val="0"/>
      <c:txPr>
        <a:bodyPr/>
        <a:lstStyle/>
        <a:p>
          <a:pPr>
            <a:defRPr sz="7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13"/>
  <c:chart>
    <c:title>
      <c:tx>
        <c:rich>
          <a:bodyPr/>
          <a:lstStyle/>
          <a:p>
            <a:pPr>
              <a:defRPr sz="1100" b="1"/>
            </a:pPr>
            <a:r>
              <a:rPr sz="1100" b="1"/>
              <a:t>Húsavík con poco amoníaco: η según x_b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KALINA (n = 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c:spPr>
          </c:marker>
          <c:xVal>
            <c:numRef>
              <c:f>Aux_graficos!$OH$2:$OH$9</c:f>
              <c:numCache>
                <c:formatCode>General</c:formatCode>
                <c:ptCount val="8"/>
                <c:pt idx="0">
                  <c:v>0.54999999999999993</c:v>
                </c:pt>
                <c:pt idx="1">
                  <c:v>0.5</c:v>
                </c:pt>
                <c:pt idx="2">
                  <c:v>0.52499999999999991</c:v>
                </c:pt>
                <c:pt idx="3">
                  <c:v>0.6</c:v>
                </c:pt>
                <c:pt idx="4">
                  <c:v>0.57499999999999996</c:v>
                </c:pt>
                <c:pt idx="5">
                  <c:v>0.64999999999999991</c:v>
                </c:pt>
                <c:pt idx="6">
                  <c:v>0.67499999999999993</c:v>
                </c:pt>
                <c:pt idx="7">
                  <c:v>0.7</c:v>
                </c:pt>
              </c:numCache>
            </c:numRef>
          </c:xVal>
          <c:yVal>
            <c:numRef>
              <c:f>Aux_graficos!$OG$2:$OG$9</c:f>
              <c:numCache>
                <c:formatCode>General</c:formatCode>
                <c:ptCount val="8"/>
                <c:pt idx="0">
                  <c:v>6.3228945306369706</c:v>
                </c:pt>
                <c:pt idx="1">
                  <c:v>7.803175622828E-2</c:v>
                </c:pt>
                <c:pt idx="2">
                  <c:v>4.09051500965343</c:v>
                </c:pt>
                <c:pt idx="3">
                  <c:v>8.816445146584611</c:v>
                </c:pt>
                <c:pt idx="4">
                  <c:v>7.7754024647053406</c:v>
                </c:pt>
                <c:pt idx="5">
                  <c:v>10.25180677128446</c:v>
                </c:pt>
                <c:pt idx="6">
                  <c:v>10.781595749116279</c:v>
                </c:pt>
                <c:pt idx="7">
                  <c:v>11.23217741708438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BB-457B-BFD1-AE07C4C073FD}"/>
            </c:ext>
          </c:extLst>
        </c:ser>
        <c:ser>
          <c:idx val="1"/>
          <c:order val="1"/>
          <c:tx>
            <c:v>No convergió (n = 5)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C62828"/>
                </a:solidFill>
                <a:prstDash val="solid"/>
              </a:ln>
            </c:spPr>
          </c:marker>
          <c:xVal>
            <c:numRef>
              <c:f>Aux_graficos!$OJ$2:$OJ$6</c:f>
              <c:numCache>
                <c:formatCode>General</c:formatCode>
                <c:ptCount val="5"/>
                <c:pt idx="0">
                  <c:v>0.3</c:v>
                </c:pt>
                <c:pt idx="1">
                  <c:v>0.35</c:v>
                </c:pt>
                <c:pt idx="2">
                  <c:v>0.32500000000000001</c:v>
                </c:pt>
                <c:pt idx="3">
                  <c:v>0.375</c:v>
                </c:pt>
                <c:pt idx="4">
                  <c:v>0.625</c:v>
                </c:pt>
              </c:numCache>
            </c:numRef>
          </c:xVal>
          <c:yVal>
            <c:numRef>
              <c:f>Aux_graficos!$OI$2:$OI$6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2BB-457B-BFD1-AE07C4C073FD}"/>
            </c:ext>
          </c:extLst>
        </c:ser>
        <c:ser>
          <c:idx val="2"/>
          <c:order val="2"/>
          <c:tx>
            <c:v>Falso convergido (N2) (n = 4)</c:v>
          </c:tx>
          <c:spPr>
            <a:ln>
              <a:noFill/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9E9E9E"/>
                </a:solidFill>
                <a:prstDash val="solid"/>
              </a:ln>
            </c:spPr>
          </c:marker>
          <c:xVal>
            <c:numRef>
              <c:f>Aux_graficos!$OL$2:$OL$5</c:f>
              <c:numCache>
                <c:formatCode>General</c:formatCode>
                <c:ptCount val="4"/>
                <c:pt idx="0">
                  <c:v>0.4499999999999999</c:v>
                </c:pt>
                <c:pt idx="1">
                  <c:v>0.42499999999999999</c:v>
                </c:pt>
                <c:pt idx="2">
                  <c:v>0.39999999999999991</c:v>
                </c:pt>
                <c:pt idx="3">
                  <c:v>0.47499999999999998</c:v>
                </c:pt>
              </c:numCache>
            </c:numRef>
          </c:xVal>
          <c:yVal>
            <c:numRef>
              <c:f>Aux_graficos!$OK$2:$OK$5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2BB-457B-BFD1-AE07C4C07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70000000000000007"/>
          <c:min val="0.2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20"/>
        <c:crosses val="min"/>
        <c:crossBetween val="midCat"/>
        <c:majorUnit val="0.1"/>
      </c:valAx>
      <c:valAx>
        <c:axId val="20"/>
        <c:scaling>
          <c:orientation val="minMax"/>
          <c:max val="12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900" b="0"/>
                </a:pPr>
                <a:r>
                  <a:rPr sz="900" b="0"/>
                  <a:t>η [%] (0 = sin η)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800" b="0"/>
            </a:pPr>
            <a:endParaRPr lang="es-CO"/>
          </a:p>
        </c:txPr>
        <c:crossAx val="10"/>
        <c:crosses val="min"/>
        <c:crossBetween val="midCat"/>
        <c:majorUnit val="2.5"/>
      </c:valAx>
    </c:plotArea>
    <c:legend>
      <c:legendPos val="b"/>
      <c:overlay val="0"/>
      <c:txPr>
        <a:bodyPr/>
        <a:lstStyle/>
        <a:p>
          <a:pPr>
            <a:defRPr sz="800" b="0"/>
          </a:pPr>
          <a:endParaRPr lang="es-CO"/>
        </a:p>
      </c:txPr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12" Type="http://schemas.openxmlformats.org/officeDocument/2006/relationships/chart" Target="../charts/chart16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11" Type="http://schemas.openxmlformats.org/officeDocument/2006/relationships/chart" Target="../charts/chart15.xml"/><Relationship Id="rId5" Type="http://schemas.openxmlformats.org/officeDocument/2006/relationships/chart" Target="../charts/chart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4.xml"/><Relationship Id="rId13" Type="http://schemas.openxmlformats.org/officeDocument/2006/relationships/chart" Target="../charts/chart39.xml"/><Relationship Id="rId3" Type="http://schemas.openxmlformats.org/officeDocument/2006/relationships/chart" Target="../charts/chart29.xml"/><Relationship Id="rId7" Type="http://schemas.openxmlformats.org/officeDocument/2006/relationships/chart" Target="../charts/chart33.xml"/><Relationship Id="rId12" Type="http://schemas.openxmlformats.org/officeDocument/2006/relationships/chart" Target="../charts/chart38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11" Type="http://schemas.openxmlformats.org/officeDocument/2006/relationships/chart" Target="../charts/chart37.xml"/><Relationship Id="rId5" Type="http://schemas.openxmlformats.org/officeDocument/2006/relationships/chart" Target="../charts/chart31.xml"/><Relationship Id="rId10" Type="http://schemas.openxmlformats.org/officeDocument/2006/relationships/chart" Target="../charts/chart36.xml"/><Relationship Id="rId4" Type="http://schemas.openxmlformats.org/officeDocument/2006/relationships/chart" Target="../charts/chart30.xml"/><Relationship Id="rId9" Type="http://schemas.openxmlformats.org/officeDocument/2006/relationships/chart" Target="../charts/chart35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7.xml"/><Relationship Id="rId13" Type="http://schemas.openxmlformats.org/officeDocument/2006/relationships/chart" Target="../charts/chart52.xml"/><Relationship Id="rId3" Type="http://schemas.openxmlformats.org/officeDocument/2006/relationships/chart" Target="../charts/chart42.xml"/><Relationship Id="rId7" Type="http://schemas.openxmlformats.org/officeDocument/2006/relationships/chart" Target="../charts/chart46.xml"/><Relationship Id="rId12" Type="http://schemas.openxmlformats.org/officeDocument/2006/relationships/chart" Target="../charts/chart51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6" Type="http://schemas.openxmlformats.org/officeDocument/2006/relationships/chart" Target="../charts/chart45.xml"/><Relationship Id="rId11" Type="http://schemas.openxmlformats.org/officeDocument/2006/relationships/chart" Target="../charts/chart50.xml"/><Relationship Id="rId5" Type="http://schemas.openxmlformats.org/officeDocument/2006/relationships/chart" Target="../charts/chart44.xml"/><Relationship Id="rId10" Type="http://schemas.openxmlformats.org/officeDocument/2006/relationships/chart" Target="../charts/chart49.xml"/><Relationship Id="rId4" Type="http://schemas.openxmlformats.org/officeDocument/2006/relationships/chart" Target="../charts/chart43.xml"/><Relationship Id="rId9" Type="http://schemas.openxmlformats.org/officeDocument/2006/relationships/chart" Target="../charts/chart48.xml"/><Relationship Id="rId14" Type="http://schemas.openxmlformats.org/officeDocument/2006/relationships/chart" Target="../charts/chart5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2.xml"/><Relationship Id="rId3" Type="http://schemas.openxmlformats.org/officeDocument/2006/relationships/chart" Target="../charts/chart57.xml"/><Relationship Id="rId7" Type="http://schemas.openxmlformats.org/officeDocument/2006/relationships/chart" Target="../charts/chart61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Relationship Id="rId6" Type="http://schemas.openxmlformats.org/officeDocument/2006/relationships/chart" Target="../charts/chart60.xml"/><Relationship Id="rId5" Type="http://schemas.openxmlformats.org/officeDocument/2006/relationships/chart" Target="../charts/chart59.xml"/><Relationship Id="rId4" Type="http://schemas.openxmlformats.org/officeDocument/2006/relationships/chart" Target="../charts/chart58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5.xml"/><Relationship Id="rId2" Type="http://schemas.openxmlformats.org/officeDocument/2006/relationships/chart" Target="../charts/chart64.xml"/><Relationship Id="rId1" Type="http://schemas.openxmlformats.org/officeDocument/2006/relationships/chart" Target="../charts/chart6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3.xml"/><Relationship Id="rId3" Type="http://schemas.openxmlformats.org/officeDocument/2006/relationships/chart" Target="../charts/chart68.xml"/><Relationship Id="rId7" Type="http://schemas.openxmlformats.org/officeDocument/2006/relationships/chart" Target="../charts/chart72.xml"/><Relationship Id="rId12" Type="http://schemas.openxmlformats.org/officeDocument/2006/relationships/chart" Target="../charts/chart77.xml"/><Relationship Id="rId2" Type="http://schemas.openxmlformats.org/officeDocument/2006/relationships/chart" Target="../charts/chart67.xml"/><Relationship Id="rId1" Type="http://schemas.openxmlformats.org/officeDocument/2006/relationships/chart" Target="../charts/chart66.xml"/><Relationship Id="rId6" Type="http://schemas.openxmlformats.org/officeDocument/2006/relationships/chart" Target="../charts/chart71.xml"/><Relationship Id="rId11" Type="http://schemas.openxmlformats.org/officeDocument/2006/relationships/chart" Target="../charts/chart76.xml"/><Relationship Id="rId5" Type="http://schemas.openxmlformats.org/officeDocument/2006/relationships/chart" Target="../charts/chart70.xml"/><Relationship Id="rId10" Type="http://schemas.openxmlformats.org/officeDocument/2006/relationships/chart" Target="../charts/chart75.xml"/><Relationship Id="rId4" Type="http://schemas.openxmlformats.org/officeDocument/2006/relationships/chart" Target="../charts/chart69.xml"/><Relationship Id="rId9" Type="http://schemas.openxmlformats.org/officeDocument/2006/relationships/chart" Target="../charts/chart74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7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23</xdr:row>
      <xdr:rowOff>0</xdr:rowOff>
    </xdr:from>
    <xdr:ext cx="468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10</xdr:col>
      <xdr:colOff>0</xdr:colOff>
      <xdr:row>7</xdr:row>
      <xdr:rowOff>0</xdr:rowOff>
    </xdr:from>
    <xdr:ext cx="648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61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37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4</xdr:row>
      <xdr:rowOff>0</xdr:rowOff>
    </xdr:from>
    <xdr:ext cx="378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4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16</xdr:col>
      <xdr:colOff>0</xdr:colOff>
      <xdr:row>4</xdr:row>
      <xdr:rowOff>0</xdr:rowOff>
    </xdr:from>
    <xdr:ext cx="378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4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19</xdr:row>
      <xdr:rowOff>0</xdr:rowOff>
    </xdr:from>
    <xdr:ext cx="378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4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8</xdr:col>
      <xdr:colOff>0</xdr:colOff>
      <xdr:row>19</xdr:row>
      <xdr:rowOff>0</xdr:rowOff>
    </xdr:from>
    <xdr:ext cx="3780000" cy="25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4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16</xdr:col>
      <xdr:colOff>0</xdr:colOff>
      <xdr:row>19</xdr:row>
      <xdr:rowOff>0</xdr:rowOff>
    </xdr:from>
    <xdr:ext cx="378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4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34</xdr:row>
      <xdr:rowOff>0</xdr:rowOff>
    </xdr:from>
    <xdr:ext cx="378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4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8</xdr:col>
      <xdr:colOff>0</xdr:colOff>
      <xdr:row>34</xdr:row>
      <xdr:rowOff>0</xdr:rowOff>
    </xdr:from>
    <xdr:ext cx="3780000" cy="25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4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16</xdr:col>
      <xdr:colOff>0</xdr:colOff>
      <xdr:row>34</xdr:row>
      <xdr:rowOff>0</xdr:rowOff>
    </xdr:from>
    <xdr:ext cx="3780000" cy="25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4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0</xdr:col>
      <xdr:colOff>0</xdr:colOff>
      <xdr:row>49</xdr:row>
      <xdr:rowOff>0</xdr:rowOff>
    </xdr:from>
    <xdr:ext cx="3780000" cy="252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4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73</xdr:row>
      <xdr:rowOff>0</xdr:rowOff>
    </xdr:from>
    <xdr:ext cx="6120000" cy="306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4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0</xdr:col>
      <xdr:colOff>0</xdr:colOff>
      <xdr:row>100</xdr:row>
      <xdr:rowOff>0</xdr:rowOff>
    </xdr:from>
    <xdr:ext cx="6120000" cy="30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43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37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4</xdr:row>
      <xdr:rowOff>0</xdr:rowOff>
    </xdr:from>
    <xdr:ext cx="378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4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16</xdr:col>
      <xdr:colOff>0</xdr:colOff>
      <xdr:row>4</xdr:row>
      <xdr:rowOff>0</xdr:rowOff>
    </xdr:from>
    <xdr:ext cx="378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4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19</xdr:row>
      <xdr:rowOff>0</xdr:rowOff>
    </xdr:from>
    <xdr:ext cx="378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4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8</xdr:col>
      <xdr:colOff>0</xdr:colOff>
      <xdr:row>19</xdr:row>
      <xdr:rowOff>0</xdr:rowOff>
    </xdr:from>
    <xdr:ext cx="3780000" cy="25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4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6120000" cy="30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4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70</xdr:row>
      <xdr:rowOff>0</xdr:rowOff>
    </xdr:from>
    <xdr:ext cx="6120000" cy="30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4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6120000" cy="30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4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54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4</xdr:row>
      <xdr:rowOff>0</xdr:rowOff>
    </xdr:from>
    <xdr:ext cx="540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4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612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31</xdr:row>
      <xdr:rowOff>0</xdr:rowOff>
    </xdr:from>
    <xdr:ext cx="612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4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58</xdr:row>
      <xdr:rowOff>0</xdr:rowOff>
    </xdr:from>
    <xdr:ext cx="378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4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0</xdr:colOff>
      <xdr:row>58</xdr:row>
      <xdr:rowOff>0</xdr:rowOff>
    </xdr:from>
    <xdr:ext cx="378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4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16</xdr:col>
      <xdr:colOff>0</xdr:colOff>
      <xdr:row>58</xdr:row>
      <xdr:rowOff>0</xdr:rowOff>
    </xdr:from>
    <xdr:ext cx="3780000" cy="25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4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73</xdr:row>
      <xdr:rowOff>0</xdr:rowOff>
    </xdr:from>
    <xdr:ext cx="378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4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8</xdr:col>
      <xdr:colOff>0</xdr:colOff>
      <xdr:row>73</xdr:row>
      <xdr:rowOff>0</xdr:rowOff>
    </xdr:from>
    <xdr:ext cx="378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4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16</xdr:col>
      <xdr:colOff>0</xdr:colOff>
      <xdr:row>73</xdr:row>
      <xdr:rowOff>0</xdr:rowOff>
    </xdr:from>
    <xdr:ext cx="3780000" cy="25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46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88</xdr:row>
      <xdr:rowOff>0</xdr:rowOff>
    </xdr:from>
    <xdr:ext cx="3780000" cy="25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46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8</xdr:col>
      <xdr:colOff>0</xdr:colOff>
      <xdr:row>88</xdr:row>
      <xdr:rowOff>0</xdr:rowOff>
    </xdr:from>
    <xdr:ext cx="3780000" cy="252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46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16</xdr:col>
      <xdr:colOff>0</xdr:colOff>
      <xdr:row>88</xdr:row>
      <xdr:rowOff>0</xdr:rowOff>
    </xdr:from>
    <xdr:ext cx="3780000" cy="252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46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0</xdr:col>
      <xdr:colOff>0</xdr:colOff>
      <xdr:row>103</xdr:row>
      <xdr:rowOff>0</xdr:rowOff>
    </xdr:from>
    <xdr:ext cx="3780000" cy="252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4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0</xdr:col>
      <xdr:colOff>0</xdr:colOff>
      <xdr:row>127</xdr:row>
      <xdr:rowOff>0</xdr:rowOff>
    </xdr:from>
    <xdr:ext cx="6120000" cy="30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46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37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4</xdr:row>
      <xdr:rowOff>0</xdr:rowOff>
    </xdr:from>
    <xdr:ext cx="378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4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16</xdr:col>
      <xdr:colOff>0</xdr:colOff>
      <xdr:row>4</xdr:row>
      <xdr:rowOff>0</xdr:rowOff>
    </xdr:from>
    <xdr:ext cx="378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4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19</xdr:row>
      <xdr:rowOff>0</xdr:rowOff>
    </xdr:from>
    <xdr:ext cx="378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4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8</xdr:col>
      <xdr:colOff>0</xdr:colOff>
      <xdr:row>19</xdr:row>
      <xdr:rowOff>0</xdr:rowOff>
    </xdr:from>
    <xdr:ext cx="3780000" cy="25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4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16</xdr:col>
      <xdr:colOff>0</xdr:colOff>
      <xdr:row>19</xdr:row>
      <xdr:rowOff>0</xdr:rowOff>
    </xdr:from>
    <xdr:ext cx="378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4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34</xdr:row>
      <xdr:rowOff>0</xdr:rowOff>
    </xdr:from>
    <xdr:ext cx="378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4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8</xdr:col>
      <xdr:colOff>0</xdr:colOff>
      <xdr:row>34</xdr:row>
      <xdr:rowOff>0</xdr:rowOff>
    </xdr:from>
    <xdr:ext cx="3780000" cy="25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4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16</xdr:col>
      <xdr:colOff>0</xdr:colOff>
      <xdr:row>34</xdr:row>
      <xdr:rowOff>0</xdr:rowOff>
    </xdr:from>
    <xdr:ext cx="3780000" cy="25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47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0</xdr:col>
      <xdr:colOff>0</xdr:colOff>
      <xdr:row>49</xdr:row>
      <xdr:rowOff>0</xdr:rowOff>
    </xdr:from>
    <xdr:ext cx="3780000" cy="252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47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73</xdr:row>
      <xdr:rowOff>0</xdr:rowOff>
    </xdr:from>
    <xdr:ext cx="6120000" cy="36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4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120000" cy="30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4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0</xdr:col>
      <xdr:colOff>0</xdr:colOff>
      <xdr:row>129</xdr:row>
      <xdr:rowOff>0</xdr:rowOff>
    </xdr:from>
    <xdr:ext cx="5400000" cy="288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4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10</xdr:col>
      <xdr:colOff>0</xdr:colOff>
      <xdr:row>129</xdr:row>
      <xdr:rowOff>0</xdr:rowOff>
    </xdr:from>
    <xdr:ext cx="5400000" cy="288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47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612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612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32</xdr:row>
      <xdr:rowOff>0</xdr:rowOff>
    </xdr:from>
    <xdr:ext cx="612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4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60</xdr:row>
      <xdr:rowOff>0</xdr:rowOff>
    </xdr:from>
    <xdr:ext cx="6120000" cy="34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4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88</xdr:row>
      <xdr:rowOff>0</xdr:rowOff>
    </xdr:from>
    <xdr:ext cx="612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4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116</xdr:row>
      <xdr:rowOff>0</xdr:rowOff>
    </xdr:from>
    <xdr:ext cx="6120000" cy="34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49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144</xdr:row>
      <xdr:rowOff>0</xdr:rowOff>
    </xdr:from>
    <xdr:ext cx="3780000" cy="28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49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8</xdr:col>
      <xdr:colOff>0</xdr:colOff>
      <xdr:row>144</xdr:row>
      <xdr:rowOff>0</xdr:rowOff>
    </xdr:from>
    <xdr:ext cx="3780000" cy="288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49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16</xdr:col>
      <xdr:colOff>0</xdr:colOff>
      <xdr:row>144</xdr:row>
      <xdr:rowOff>0</xdr:rowOff>
    </xdr:from>
    <xdr:ext cx="3780000" cy="288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49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61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33</xdr:row>
      <xdr:rowOff>0</xdr:rowOff>
    </xdr:from>
    <xdr:ext cx="612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4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64</xdr:row>
      <xdr:rowOff>0</xdr:rowOff>
    </xdr:from>
    <xdr:ext cx="6120000" cy="34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4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61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33</xdr:row>
      <xdr:rowOff>0</xdr:rowOff>
    </xdr:from>
    <xdr:ext cx="378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4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0</xdr:colOff>
      <xdr:row>33</xdr:row>
      <xdr:rowOff>0</xdr:rowOff>
    </xdr:from>
    <xdr:ext cx="378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4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16</xdr:col>
      <xdr:colOff>0</xdr:colOff>
      <xdr:row>33</xdr:row>
      <xdr:rowOff>0</xdr:rowOff>
    </xdr:from>
    <xdr:ext cx="378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4B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48</xdr:row>
      <xdr:rowOff>0</xdr:rowOff>
    </xdr:from>
    <xdr:ext cx="3780000" cy="25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4B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8</xdr:col>
      <xdr:colOff>0</xdr:colOff>
      <xdr:row>48</xdr:row>
      <xdr:rowOff>0</xdr:rowOff>
    </xdr:from>
    <xdr:ext cx="378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4B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16</xdr:col>
      <xdr:colOff>0</xdr:colOff>
      <xdr:row>48</xdr:row>
      <xdr:rowOff>0</xdr:rowOff>
    </xdr:from>
    <xdr:ext cx="378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4B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0</xdr:col>
      <xdr:colOff>0</xdr:colOff>
      <xdr:row>63</xdr:row>
      <xdr:rowOff>0</xdr:rowOff>
    </xdr:from>
    <xdr:ext cx="3780000" cy="25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4B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8</xdr:col>
      <xdr:colOff>0</xdr:colOff>
      <xdr:row>63</xdr:row>
      <xdr:rowOff>0</xdr:rowOff>
    </xdr:from>
    <xdr:ext cx="3780000" cy="25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4B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16</xdr:col>
      <xdr:colOff>0</xdr:colOff>
      <xdr:row>63</xdr:row>
      <xdr:rowOff>0</xdr:rowOff>
    </xdr:from>
    <xdr:ext cx="3780000" cy="252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4B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780000" cy="252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4B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120000" cy="30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4B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5762625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5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29</xdr:row>
      <xdr:rowOff>0</xdr:rowOff>
    </xdr:from>
    <xdr:ext cx="5762625" cy="71247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5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76</xdr:row>
      <xdr:rowOff>0</xdr:rowOff>
    </xdr:from>
    <xdr:ext cx="5762625" cy="211455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52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97</xdr:row>
      <xdr:rowOff>0</xdr:rowOff>
    </xdr:from>
    <xdr:ext cx="5762625" cy="337185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52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124</xdr:row>
      <xdr:rowOff>0</xdr:rowOff>
    </xdr:from>
    <xdr:ext cx="5762625" cy="3324225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52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151</xdr:row>
      <xdr:rowOff>0</xdr:rowOff>
    </xdr:from>
    <xdr:ext cx="5762625" cy="310515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52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177</xdr:row>
      <xdr:rowOff>0</xdr:rowOff>
    </xdr:from>
    <xdr:ext cx="5762625" cy="1676400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52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197</xdr:row>
      <xdr:rowOff>0</xdr:rowOff>
    </xdr:from>
    <xdr:ext cx="5762625" cy="281940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52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221</xdr:row>
      <xdr:rowOff>0</xdr:rowOff>
    </xdr:from>
    <xdr:ext cx="5762625" cy="333375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52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248</xdr:row>
      <xdr:rowOff>0</xdr:rowOff>
    </xdr:from>
    <xdr:ext cx="5762625" cy="3133725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52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274</xdr:row>
      <xdr:rowOff>0</xdr:rowOff>
    </xdr:from>
    <xdr:ext cx="5762625" cy="2676525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52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298</xdr:row>
      <xdr:rowOff>0</xdr:rowOff>
    </xdr:from>
    <xdr:ext cx="5762625" cy="3009900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5200-00000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323</xdr:row>
      <xdr:rowOff>0</xdr:rowOff>
    </xdr:from>
    <xdr:ext cx="5762625" cy="3257550"/>
    <xdr:pic>
      <xdr:nvPicPr>
        <xdr:cNvPr id="14" name="Image 13" descr="Picture">
          <a:extLst>
            <a:ext uri="{FF2B5EF4-FFF2-40B4-BE49-F238E27FC236}">
              <a16:creationId xmlns:a16="http://schemas.microsoft.com/office/drawing/2014/main" id="{00000000-0008-0000-5200-00000E000000}"/>
            </a:ext>
          </a:extLst>
        </xdr:cNvPr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0</xdr:rowOff>
    </xdr:from>
    <xdr:ext cx="5762625" cy="2762250"/>
    <xdr:pic>
      <xdr:nvPicPr>
        <xdr:cNvPr id="15" name="Image 14" descr="Picture">
          <a:extLst>
            <a:ext uri="{FF2B5EF4-FFF2-40B4-BE49-F238E27FC236}">
              <a16:creationId xmlns:a16="http://schemas.microsoft.com/office/drawing/2014/main" id="{00000000-0008-0000-5200-00000F000000}"/>
            </a:ext>
          </a:extLst>
        </xdr:cNvPr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374</xdr:row>
      <xdr:rowOff>0</xdr:rowOff>
    </xdr:from>
    <xdr:ext cx="5762625" cy="2990850"/>
    <xdr:pic>
      <xdr:nvPicPr>
        <xdr:cNvPr id="16" name="Image 15" descr="Picture">
          <a:extLst>
            <a:ext uri="{FF2B5EF4-FFF2-40B4-BE49-F238E27FC236}">
              <a16:creationId xmlns:a16="http://schemas.microsoft.com/office/drawing/2014/main" id="{00000000-0008-0000-5200-000010000000}"/>
            </a:ext>
          </a:extLst>
        </xdr:cNvPr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399</xdr:row>
      <xdr:rowOff>0</xdr:rowOff>
    </xdr:from>
    <xdr:ext cx="5762625" cy="3124200"/>
    <xdr:pic>
      <xdr:nvPicPr>
        <xdr:cNvPr id="17" name="Image 16" descr="Picture">
          <a:extLst>
            <a:ext uri="{FF2B5EF4-FFF2-40B4-BE49-F238E27FC236}">
              <a16:creationId xmlns:a16="http://schemas.microsoft.com/office/drawing/2014/main" id="{00000000-0008-0000-5200-000011000000}"/>
            </a:ext>
          </a:extLst>
        </xdr:cNvPr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425</xdr:row>
      <xdr:rowOff>0</xdr:rowOff>
    </xdr:from>
    <xdr:ext cx="5762625" cy="2886075"/>
    <xdr:pic>
      <xdr:nvPicPr>
        <xdr:cNvPr id="18" name="Image 17" descr="Picture">
          <a:extLst>
            <a:ext uri="{FF2B5EF4-FFF2-40B4-BE49-F238E27FC236}">
              <a16:creationId xmlns:a16="http://schemas.microsoft.com/office/drawing/2014/main" id="{00000000-0008-0000-5200-000012000000}"/>
            </a:ext>
          </a:extLst>
        </xdr:cNvPr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450</xdr:row>
      <xdr:rowOff>0</xdr:rowOff>
    </xdr:from>
    <xdr:ext cx="5762625" cy="1743075"/>
    <xdr:pic>
      <xdr:nvPicPr>
        <xdr:cNvPr id="19" name="Image 18" descr="Picture">
          <a:extLst>
            <a:ext uri="{FF2B5EF4-FFF2-40B4-BE49-F238E27FC236}">
              <a16:creationId xmlns:a16="http://schemas.microsoft.com/office/drawing/2014/main" id="{00000000-0008-0000-5200-000013000000}"/>
            </a:ext>
          </a:extLst>
        </xdr:cNvPr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469</xdr:row>
      <xdr:rowOff>0</xdr:rowOff>
    </xdr:from>
    <xdr:ext cx="5762625" cy="2390775"/>
    <xdr:pic>
      <xdr:nvPicPr>
        <xdr:cNvPr id="20" name="Image 19" descr="Picture">
          <a:extLst>
            <a:ext uri="{FF2B5EF4-FFF2-40B4-BE49-F238E27FC236}">
              <a16:creationId xmlns:a16="http://schemas.microsoft.com/office/drawing/2014/main" id="{00000000-0008-0000-5200-000014000000}"/>
            </a:ext>
          </a:extLst>
        </xdr:cNvPr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491</xdr:row>
      <xdr:rowOff>0</xdr:rowOff>
    </xdr:from>
    <xdr:ext cx="5762625" cy="3305175"/>
    <xdr:pic>
      <xdr:nvPicPr>
        <xdr:cNvPr id="21" name="Image 20" descr="Picture">
          <a:extLst>
            <a:ext uri="{FF2B5EF4-FFF2-40B4-BE49-F238E27FC236}">
              <a16:creationId xmlns:a16="http://schemas.microsoft.com/office/drawing/2014/main" id="{00000000-0008-0000-5200-000015000000}"/>
            </a:ext>
          </a:extLst>
        </xdr:cNvPr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518</xdr:row>
      <xdr:rowOff>0</xdr:rowOff>
    </xdr:from>
    <xdr:ext cx="5762625" cy="3305175"/>
    <xdr:pic>
      <xdr:nvPicPr>
        <xdr:cNvPr id="22" name="Image 21" descr="Picture">
          <a:extLst>
            <a:ext uri="{FF2B5EF4-FFF2-40B4-BE49-F238E27FC236}">
              <a16:creationId xmlns:a16="http://schemas.microsoft.com/office/drawing/2014/main" id="{00000000-0008-0000-5200-000016000000}"/>
            </a:ext>
          </a:extLst>
        </xdr:cNvPr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545</xdr:row>
      <xdr:rowOff>0</xdr:rowOff>
    </xdr:from>
    <xdr:ext cx="5762625" cy="3295650"/>
    <xdr:pic>
      <xdr:nvPicPr>
        <xdr:cNvPr id="23" name="Image 22" descr="Picture">
          <a:extLst>
            <a:ext uri="{FF2B5EF4-FFF2-40B4-BE49-F238E27FC236}">
              <a16:creationId xmlns:a16="http://schemas.microsoft.com/office/drawing/2014/main" id="{00000000-0008-0000-5200-000017000000}"/>
            </a:ext>
          </a:extLst>
        </xdr:cNvPr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572</xdr:row>
      <xdr:rowOff>0</xdr:rowOff>
    </xdr:from>
    <xdr:ext cx="5762625" cy="3305175"/>
    <xdr:pic>
      <xdr:nvPicPr>
        <xdr:cNvPr id="24" name="Image 23" descr="Picture">
          <a:extLst>
            <a:ext uri="{FF2B5EF4-FFF2-40B4-BE49-F238E27FC236}">
              <a16:creationId xmlns:a16="http://schemas.microsoft.com/office/drawing/2014/main" id="{00000000-0008-0000-5200-000018000000}"/>
            </a:ext>
          </a:extLst>
        </xdr:cNvPr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599</xdr:row>
      <xdr:rowOff>0</xdr:rowOff>
    </xdr:from>
    <xdr:ext cx="5762625" cy="3295650"/>
    <xdr:pic>
      <xdr:nvPicPr>
        <xdr:cNvPr id="25" name="Image 24" descr="Picture">
          <a:extLst>
            <a:ext uri="{FF2B5EF4-FFF2-40B4-BE49-F238E27FC236}">
              <a16:creationId xmlns:a16="http://schemas.microsoft.com/office/drawing/2014/main" id="{00000000-0008-0000-5200-000019000000}"/>
            </a:ext>
          </a:extLst>
        </xdr:cNvPr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626</xdr:row>
      <xdr:rowOff>0</xdr:rowOff>
    </xdr:from>
    <xdr:ext cx="5762625" cy="1962150"/>
    <xdr:pic>
      <xdr:nvPicPr>
        <xdr:cNvPr id="26" name="Image 25" descr="Picture">
          <a:extLst>
            <a:ext uri="{FF2B5EF4-FFF2-40B4-BE49-F238E27FC236}">
              <a16:creationId xmlns:a16="http://schemas.microsoft.com/office/drawing/2014/main" id="{00000000-0008-0000-5200-00001A000000}"/>
            </a:ext>
          </a:extLst>
        </xdr:cNvPr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646</xdr:row>
      <xdr:rowOff>0</xdr:rowOff>
    </xdr:from>
    <xdr:ext cx="5762625" cy="4562475"/>
    <xdr:pic>
      <xdr:nvPicPr>
        <xdr:cNvPr id="27" name="Image 26" descr="Picture">
          <a:extLst>
            <a:ext uri="{FF2B5EF4-FFF2-40B4-BE49-F238E27FC236}">
              <a16:creationId xmlns:a16="http://schemas.microsoft.com/office/drawing/2014/main" id="{00000000-0008-0000-5200-00001B000000}"/>
            </a:ext>
          </a:extLst>
        </xdr:cNvPr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679</xdr:row>
      <xdr:rowOff>0</xdr:rowOff>
    </xdr:from>
    <xdr:ext cx="5762625" cy="3076575"/>
    <xdr:pic>
      <xdr:nvPicPr>
        <xdr:cNvPr id="28" name="Image 27" descr="Picture">
          <a:extLst>
            <a:ext uri="{FF2B5EF4-FFF2-40B4-BE49-F238E27FC236}">
              <a16:creationId xmlns:a16="http://schemas.microsoft.com/office/drawing/2014/main" id="{00000000-0008-0000-5200-00001C000000}"/>
            </a:ext>
          </a:extLst>
        </xdr:cNvPr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708</xdr:row>
      <xdr:rowOff>0</xdr:rowOff>
    </xdr:from>
    <xdr:ext cx="5762625" cy="2371725"/>
    <xdr:pic>
      <xdr:nvPicPr>
        <xdr:cNvPr id="29" name="Image 28" descr="Picture">
          <a:extLst>
            <a:ext uri="{FF2B5EF4-FFF2-40B4-BE49-F238E27FC236}">
              <a16:creationId xmlns:a16="http://schemas.microsoft.com/office/drawing/2014/main" id="{00000000-0008-0000-5200-00001D000000}"/>
            </a:ext>
          </a:extLst>
        </xdr:cNvPr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730</xdr:row>
      <xdr:rowOff>0</xdr:rowOff>
    </xdr:from>
    <xdr:ext cx="5762625" cy="3305175"/>
    <xdr:pic>
      <xdr:nvPicPr>
        <xdr:cNvPr id="30" name="Image 29" descr="Picture">
          <a:extLst>
            <a:ext uri="{FF2B5EF4-FFF2-40B4-BE49-F238E27FC236}">
              <a16:creationId xmlns:a16="http://schemas.microsoft.com/office/drawing/2014/main" id="{00000000-0008-0000-5200-00001E000000}"/>
            </a:ext>
          </a:extLst>
        </xdr:cNvPr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757</xdr:row>
      <xdr:rowOff>0</xdr:rowOff>
    </xdr:from>
    <xdr:ext cx="5762625" cy="2352675"/>
    <xdr:pic>
      <xdr:nvPicPr>
        <xdr:cNvPr id="31" name="Image 30" descr="Picture">
          <a:extLst>
            <a:ext uri="{FF2B5EF4-FFF2-40B4-BE49-F238E27FC236}">
              <a16:creationId xmlns:a16="http://schemas.microsoft.com/office/drawing/2014/main" id="{00000000-0008-0000-5200-00001F000000}"/>
            </a:ext>
          </a:extLst>
        </xdr:cNvPr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0"/>
  <sheetViews>
    <sheetView workbookViewId="0"/>
  </sheetViews>
  <sheetFormatPr baseColWidth="10" defaultColWidth="8.88671875" defaultRowHeight="14.4" x14ac:dyDescent="0.3"/>
  <cols>
    <col min="1" max="1" width="130" customWidth="1"/>
  </cols>
  <sheetData>
    <row r="1" spans="1:1" ht="17.399999999999999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10" spans="1:1" x14ac:dyDescent="0.3">
      <c r="A10" t="s">
        <v>7</v>
      </c>
    </row>
    <row r="11" spans="1:1" x14ac:dyDescent="0.3">
      <c r="A11" t="s">
        <v>8</v>
      </c>
    </row>
    <row r="12" spans="1:1" x14ac:dyDescent="0.3">
      <c r="A12" t="s">
        <v>9</v>
      </c>
    </row>
    <row r="13" spans="1:1" x14ac:dyDescent="0.3">
      <c r="A13" t="s">
        <v>10</v>
      </c>
    </row>
    <row r="14" spans="1:1" x14ac:dyDescent="0.3">
      <c r="A14" t="s">
        <v>11</v>
      </c>
    </row>
    <row r="15" spans="1:1" x14ac:dyDescent="0.3">
      <c r="A15" t="s">
        <v>12</v>
      </c>
    </row>
    <row r="16" spans="1:1" x14ac:dyDescent="0.3">
      <c r="A16" t="s">
        <v>13</v>
      </c>
    </row>
    <row r="17" spans="1:1" x14ac:dyDescent="0.3">
      <c r="A17" t="s">
        <v>14</v>
      </c>
    </row>
    <row r="18" spans="1:1" x14ac:dyDescent="0.3">
      <c r="A18" t="s">
        <v>15</v>
      </c>
    </row>
    <row r="19" spans="1:1" x14ac:dyDescent="0.3">
      <c r="A19" t="s">
        <v>16</v>
      </c>
    </row>
    <row r="20" spans="1:1" x14ac:dyDescent="0.3">
      <c r="A20" t="s">
        <v>17</v>
      </c>
    </row>
    <row r="21" spans="1:1" x14ac:dyDescent="0.3">
      <c r="A21" t="s">
        <v>18</v>
      </c>
    </row>
    <row r="22" spans="1:1" x14ac:dyDescent="0.3">
      <c r="A22" t="s">
        <v>19</v>
      </c>
    </row>
    <row r="23" spans="1:1" x14ac:dyDescent="0.3">
      <c r="A23" t="s">
        <v>20</v>
      </c>
    </row>
    <row r="25" spans="1:1" x14ac:dyDescent="0.3">
      <c r="A25" t="s">
        <v>21</v>
      </c>
    </row>
    <row r="26" spans="1:1" x14ac:dyDescent="0.3">
      <c r="A26" s="2" t="s">
        <v>22</v>
      </c>
    </row>
    <row r="27" spans="1:1" x14ac:dyDescent="0.3">
      <c r="A27" s="3" t="s">
        <v>23</v>
      </c>
    </row>
    <row r="28" spans="1:1" x14ac:dyDescent="0.3">
      <c r="A28" s="4" t="s">
        <v>24</v>
      </c>
    </row>
    <row r="29" spans="1:1" x14ac:dyDescent="0.3">
      <c r="A29" s="5" t="s">
        <v>25</v>
      </c>
    </row>
    <row r="30" spans="1:1" x14ac:dyDescent="0.3">
      <c r="A30" s="6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04"/>
  <sheetViews>
    <sheetView workbookViewId="0"/>
  </sheetViews>
  <sheetFormatPr baseColWidth="10" defaultColWidth="8.88671875" defaultRowHeight="14.4" x14ac:dyDescent="0.3"/>
  <cols>
    <col min="1" max="1" width="44" customWidth="1"/>
    <col min="2" max="2" width="62" customWidth="1"/>
    <col min="3" max="3" width="2" customWidth="1"/>
    <col min="4" max="9" width="16" customWidth="1"/>
    <col min="26" max="36" width="13" hidden="1" customWidth="1"/>
  </cols>
  <sheetData>
    <row r="1" spans="1:36" ht="18" x14ac:dyDescent="0.35">
      <c r="A1" s="7" t="s">
        <v>27</v>
      </c>
    </row>
    <row r="2" spans="1:36" ht="15.6" x14ac:dyDescent="0.3">
      <c r="A2" s="8" t="s">
        <v>28</v>
      </c>
      <c r="B2" s="9" t="s">
        <v>29</v>
      </c>
      <c r="C2" t="str">
        <f>INDEX(Aux_tablero!$B$11:$AY$11,MATCH($B$2,Aux_tablero!$B$1:$AY$1,0))</f>
        <v>KF-M01-P_alta, KF-M01-base, KF-M01-x_b, KF-M01-T_amb</v>
      </c>
    </row>
    <row r="4" spans="1:36" ht="24.6" x14ac:dyDescent="0.3"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K4" t="s">
        <v>36</v>
      </c>
      <c r="L4" t="str">
        <f>INDEX(Aux_tablero!$B$8:$AY$8,MATCH($B$2,Aux_tablero!$B$1:$AY$1,0))</f>
        <v>Presión de alta, P_alta [kPa]</v>
      </c>
      <c r="AC4" t="s">
        <v>37</v>
      </c>
      <c r="AD4" t="s">
        <v>38</v>
      </c>
      <c r="AE4" t="s">
        <v>39</v>
      </c>
      <c r="AF4" t="s">
        <v>40</v>
      </c>
      <c r="AG4" t="s">
        <v>41</v>
      </c>
      <c r="AH4" t="s">
        <v>42</v>
      </c>
      <c r="AI4" t="s">
        <v>43</v>
      </c>
      <c r="AJ4" t="s">
        <v>44</v>
      </c>
    </row>
    <row r="5" spans="1:36" ht="18" x14ac:dyDescent="0.35">
      <c r="D5" s="11">
        <f>INDEX(Aux_tablero!$B$2:$AY$2,MATCH($B$2,Aux_tablero!$B$1:$AY$1,0))</f>
        <v>42</v>
      </c>
      <c r="E5" s="11">
        <f>INDEX(Aux_tablero!$B$3:$AY$3,MATCH($B$2,Aux_tablero!$B$1:$AY$1,0))</f>
        <v>0</v>
      </c>
      <c r="F5" s="11">
        <f>INDEX(Aux_tablero!$B$4:$AY$4,MATCH($B$2,Aux_tablero!$B$1:$AY$1,0))</f>
        <v>0</v>
      </c>
      <c r="G5" s="11">
        <f>INDEX(Aux_tablero!$B$5:$AY$5,MATCH($B$2,Aux_tablero!$B$1:$AY$1,0))</f>
        <v>0</v>
      </c>
      <c r="H5" s="11">
        <f>INDEX(Aux_tablero!$B$6:$AY$6,MATCH($B$2,Aux_tablero!$B$1:$AY$1,0))</f>
        <v>0</v>
      </c>
      <c r="I5" s="11" t="str">
        <f>INDEX(Aux_tablero!$B$7:$AY$7,MATCH($B$2,Aux_tablero!$B$1:$AY$1,0))</f>
        <v>—</v>
      </c>
      <c r="K5" t="s">
        <v>45</v>
      </c>
      <c r="L5" t="str">
        <f>INDEX(Aux_tablero!$B$9:$AY$9,MATCH($B$2,Aux_tablero!$B$1:$AY$1,0))</f>
        <v>Fracción de amoníaco de la mezcla base, x_b [–]</v>
      </c>
      <c r="Z5" t="s">
        <v>32</v>
      </c>
      <c r="AA5">
        <f>INDEX(Aux_tablero!$B$12:$AY$12,MATCH($B$2,Aux_tablero!$B$1:$AY$1,0))</f>
        <v>0</v>
      </c>
      <c r="AC5" t="e">
        <f>IFERROR(IF(INDEX(Aux_puntos!$A$2:$OJ$901,1,MATCH($B$2&amp;"|xK",Aux_puntos!$1:$1,0))="",NA(),INDEX(Aux_puntos!$A$2:$OJ$901,1,MATCH($B$2&amp;"|xK",Aux_puntos!$1:$1,0))),NA())</f>
        <v>#N/A</v>
      </c>
      <c r="AD5" t="e">
        <f>IFERROR(IF(INDEX(Aux_puntos!$A$2:$OJ$901,1,MATCH($B$2&amp;"|yK",Aux_puntos!$1:$1,0))="",NA(),INDEX(Aux_puntos!$A$2:$OJ$901,1,MATCH($B$2&amp;"|yK",Aux_puntos!$1:$1,0))),NA())</f>
        <v>#N/A</v>
      </c>
      <c r="AE5" t="e">
        <f>IFERROR(IF(INDEX(Aux_puntos!$A$2:$OJ$901,1,MATCH($B$2&amp;"|xC",Aux_puntos!$1:$1,0))="",NA(),INDEX(Aux_puntos!$A$2:$OJ$901,1,MATCH($B$2&amp;"|xC",Aux_puntos!$1:$1,0))),NA())</f>
        <v>#N/A</v>
      </c>
      <c r="AF5" t="e">
        <f>IFERROR(IF(INDEX(Aux_puntos!$A$2:$OJ$901,1,MATCH($B$2&amp;"|yC",Aux_puntos!$1:$1,0))="",NA(),INDEX(Aux_puntos!$A$2:$OJ$901,1,MATCH($B$2&amp;"|yC",Aux_puntos!$1:$1,0))),NA())</f>
        <v>#N/A</v>
      </c>
      <c r="AG5" t="e">
        <f>IFERROR(IF(INDEX(Aux_puntos!$A$2:$OJ$901,1,MATCH($B$2&amp;"|xI",Aux_puntos!$1:$1,0))="",NA(),INDEX(Aux_puntos!$A$2:$OJ$901,1,MATCH($B$2&amp;"|xI",Aux_puntos!$1:$1,0))),NA())</f>
        <v>#N/A</v>
      </c>
      <c r="AH5" t="e">
        <f>IFERROR(IF(INDEX(Aux_puntos!$A$2:$OJ$901,1,MATCH($B$2&amp;"|yI",Aux_puntos!$1:$1,0))="",NA(),INDEX(Aux_puntos!$A$2:$OJ$901,1,MATCH($B$2&amp;"|yI",Aux_puntos!$1:$1,0))),NA())</f>
        <v>#N/A</v>
      </c>
      <c r="AI5">
        <f>IFERROR(IF(INDEX(Aux_puntos!$A$2:$OJ$901,1,MATCH($B$2&amp;"|xN",Aux_puntos!$1:$1,0))="",NA(),INDEX(Aux_puntos!$A$2:$OJ$901,1,MATCH($B$2&amp;"|xN",Aux_puntos!$1:$1,0))),NA())</f>
        <v>2750</v>
      </c>
      <c r="AJ5">
        <f>IFERROR(IF(INDEX(Aux_puntos!$A$2:$OJ$901,1,MATCH($B$2&amp;"|yN",Aux_puntos!$1:$1,0))="",NA(),INDEX(Aux_puntos!$A$2:$OJ$901,1,MATCH($B$2&amp;"|yN",Aux_puntos!$1:$1,0))),NA())</f>
        <v>0.5</v>
      </c>
    </row>
    <row r="6" spans="1:36" x14ac:dyDescent="0.3">
      <c r="Z6" t="s">
        <v>46</v>
      </c>
      <c r="AA6">
        <f>INDEX(Aux_tablero!$B$13:$AY$13,MATCH($B$2,Aux_tablero!$B$1:$AY$1,0))</f>
        <v>0</v>
      </c>
      <c r="AC6" t="e">
        <f>IFERROR(IF(INDEX(Aux_puntos!$A$2:$OJ$901,2,MATCH($B$2&amp;"|xK",Aux_puntos!$1:$1,0))="",NA(),INDEX(Aux_puntos!$A$2:$OJ$901,2,MATCH($B$2&amp;"|xK",Aux_puntos!$1:$1,0))),NA())</f>
        <v>#N/A</v>
      </c>
      <c r="AD6" t="e">
        <f>IFERROR(IF(INDEX(Aux_puntos!$A$2:$OJ$901,2,MATCH($B$2&amp;"|yK",Aux_puntos!$1:$1,0))="",NA(),INDEX(Aux_puntos!$A$2:$OJ$901,2,MATCH($B$2&amp;"|yK",Aux_puntos!$1:$1,0))),NA())</f>
        <v>#N/A</v>
      </c>
      <c r="AE6" t="e">
        <f>IFERROR(IF(INDEX(Aux_puntos!$A$2:$OJ$901,2,MATCH($B$2&amp;"|xC",Aux_puntos!$1:$1,0))="",NA(),INDEX(Aux_puntos!$A$2:$OJ$901,2,MATCH($B$2&amp;"|xC",Aux_puntos!$1:$1,0))),NA())</f>
        <v>#N/A</v>
      </c>
      <c r="AF6" t="e">
        <f>IFERROR(IF(INDEX(Aux_puntos!$A$2:$OJ$901,2,MATCH($B$2&amp;"|yC",Aux_puntos!$1:$1,0))="",NA(),INDEX(Aux_puntos!$A$2:$OJ$901,2,MATCH($B$2&amp;"|yC",Aux_puntos!$1:$1,0))),NA())</f>
        <v>#N/A</v>
      </c>
      <c r="AG6" t="e">
        <f>IFERROR(IF(INDEX(Aux_puntos!$A$2:$OJ$901,2,MATCH($B$2&amp;"|xI",Aux_puntos!$1:$1,0))="",NA(),INDEX(Aux_puntos!$A$2:$OJ$901,2,MATCH($B$2&amp;"|xI",Aux_puntos!$1:$1,0))),NA())</f>
        <v>#N/A</v>
      </c>
      <c r="AH6" t="e">
        <f>IFERROR(IF(INDEX(Aux_puntos!$A$2:$OJ$901,2,MATCH($B$2&amp;"|yI",Aux_puntos!$1:$1,0))="",NA(),INDEX(Aux_puntos!$A$2:$OJ$901,2,MATCH($B$2&amp;"|yI",Aux_puntos!$1:$1,0))),NA())</f>
        <v>#N/A</v>
      </c>
      <c r="AI6">
        <f>IFERROR(IF(INDEX(Aux_puntos!$A$2:$OJ$901,2,MATCH($B$2&amp;"|xN",Aux_puntos!$1:$1,0))="",NA(),INDEX(Aux_puntos!$A$2:$OJ$901,2,MATCH($B$2&amp;"|xN",Aux_puntos!$1:$1,0))),NA())</f>
        <v>2250</v>
      </c>
      <c r="AJ6">
        <f>IFERROR(IF(INDEX(Aux_puntos!$A$2:$OJ$901,2,MATCH($B$2&amp;"|yN",Aux_puntos!$1:$1,0))="",NA(),INDEX(Aux_puntos!$A$2:$OJ$901,2,MATCH($B$2&amp;"|yN",Aux_puntos!$1:$1,0))),NA())</f>
        <v>0.5</v>
      </c>
    </row>
    <row r="7" spans="1:36" x14ac:dyDescent="0.3">
      <c r="A7" s="8" t="s">
        <v>47</v>
      </c>
      <c r="Z7" t="s">
        <v>48</v>
      </c>
      <c r="AA7">
        <f>INDEX(Aux_tablero!$B$14:$AY$14,MATCH($B$2,Aux_tablero!$B$1:$AY$1,0))</f>
        <v>0</v>
      </c>
      <c r="AC7" t="e">
        <f>IFERROR(IF(INDEX(Aux_puntos!$A$2:$OJ$901,3,MATCH($B$2&amp;"|xK",Aux_puntos!$1:$1,0))="",NA(),INDEX(Aux_puntos!$A$2:$OJ$901,3,MATCH($B$2&amp;"|xK",Aux_puntos!$1:$1,0))),NA())</f>
        <v>#N/A</v>
      </c>
      <c r="AD7" t="e">
        <f>IFERROR(IF(INDEX(Aux_puntos!$A$2:$OJ$901,3,MATCH($B$2&amp;"|yK",Aux_puntos!$1:$1,0))="",NA(),INDEX(Aux_puntos!$A$2:$OJ$901,3,MATCH($B$2&amp;"|yK",Aux_puntos!$1:$1,0))),NA())</f>
        <v>#N/A</v>
      </c>
      <c r="AE7" t="e">
        <f>IFERROR(IF(INDEX(Aux_puntos!$A$2:$OJ$901,3,MATCH($B$2&amp;"|xC",Aux_puntos!$1:$1,0))="",NA(),INDEX(Aux_puntos!$A$2:$OJ$901,3,MATCH($B$2&amp;"|xC",Aux_puntos!$1:$1,0))),NA())</f>
        <v>#N/A</v>
      </c>
      <c r="AF7" t="e">
        <f>IFERROR(IF(INDEX(Aux_puntos!$A$2:$OJ$901,3,MATCH($B$2&amp;"|yC",Aux_puntos!$1:$1,0))="",NA(),INDEX(Aux_puntos!$A$2:$OJ$901,3,MATCH($B$2&amp;"|yC",Aux_puntos!$1:$1,0))),NA())</f>
        <v>#N/A</v>
      </c>
      <c r="AG7" t="e">
        <f>IFERROR(IF(INDEX(Aux_puntos!$A$2:$OJ$901,3,MATCH($B$2&amp;"|xI",Aux_puntos!$1:$1,0))="",NA(),INDEX(Aux_puntos!$A$2:$OJ$901,3,MATCH($B$2&amp;"|xI",Aux_puntos!$1:$1,0))),NA())</f>
        <v>#N/A</v>
      </c>
      <c r="AH7" t="e">
        <f>IFERROR(IF(INDEX(Aux_puntos!$A$2:$OJ$901,3,MATCH($B$2&amp;"|yI",Aux_puntos!$1:$1,0))="",NA(),INDEX(Aux_puntos!$A$2:$OJ$901,3,MATCH($B$2&amp;"|yI",Aux_puntos!$1:$1,0))),NA())</f>
        <v>#N/A</v>
      </c>
      <c r="AI7">
        <f>IFERROR(IF(INDEX(Aux_puntos!$A$2:$OJ$901,3,MATCH($B$2&amp;"|xN",Aux_puntos!$1:$1,0))="",NA(),INDEX(Aux_puntos!$A$2:$OJ$901,3,MATCH($B$2&amp;"|xN",Aux_puntos!$1:$1,0))),NA())</f>
        <v>2500</v>
      </c>
      <c r="AJ7">
        <f>IFERROR(IF(INDEX(Aux_puntos!$A$2:$OJ$901,3,MATCH($B$2&amp;"|yN",Aux_puntos!$1:$1,0))="",NA(),INDEX(Aux_puntos!$A$2:$OJ$901,3,MATCH($B$2&amp;"|yN",Aux_puntos!$1:$1,0))),NA())</f>
        <v>0.5</v>
      </c>
    </row>
    <row r="8" spans="1:36" x14ac:dyDescent="0.3">
      <c r="A8" s="12" t="s">
        <v>49</v>
      </c>
      <c r="B8" s="12" t="str">
        <f>INDEX(Aux_tablero!$B$21:$AY$21,MATCH($B$2,Aux_tablero!$B$1:$AY$1,0))</f>
        <v>Fija: 623.15 K</v>
      </c>
      <c r="Z8" t="s">
        <v>50</v>
      </c>
      <c r="AA8">
        <f>INDEX(Aux_tablero!$B$15:$AY$15,MATCH($B$2,Aux_tablero!$B$1:$AY$1,0))</f>
        <v>42</v>
      </c>
      <c r="AC8" t="e">
        <f>IFERROR(IF(INDEX(Aux_puntos!$A$2:$OJ$901,4,MATCH($B$2&amp;"|xK",Aux_puntos!$1:$1,0))="",NA(),INDEX(Aux_puntos!$A$2:$OJ$901,4,MATCH($B$2&amp;"|xK",Aux_puntos!$1:$1,0))),NA())</f>
        <v>#N/A</v>
      </c>
      <c r="AD8" t="e">
        <f>IFERROR(IF(INDEX(Aux_puntos!$A$2:$OJ$901,4,MATCH($B$2&amp;"|yK",Aux_puntos!$1:$1,0))="",NA(),INDEX(Aux_puntos!$A$2:$OJ$901,4,MATCH($B$2&amp;"|yK",Aux_puntos!$1:$1,0))),NA())</f>
        <v>#N/A</v>
      </c>
      <c r="AE8" t="e">
        <f>IFERROR(IF(INDEX(Aux_puntos!$A$2:$OJ$901,4,MATCH($B$2&amp;"|xC",Aux_puntos!$1:$1,0))="",NA(),INDEX(Aux_puntos!$A$2:$OJ$901,4,MATCH($B$2&amp;"|xC",Aux_puntos!$1:$1,0))),NA())</f>
        <v>#N/A</v>
      </c>
      <c r="AF8" t="e">
        <f>IFERROR(IF(INDEX(Aux_puntos!$A$2:$OJ$901,4,MATCH($B$2&amp;"|yC",Aux_puntos!$1:$1,0))="",NA(),INDEX(Aux_puntos!$A$2:$OJ$901,4,MATCH($B$2&amp;"|yC",Aux_puntos!$1:$1,0))),NA())</f>
        <v>#N/A</v>
      </c>
      <c r="AG8" t="e">
        <f>IFERROR(IF(INDEX(Aux_puntos!$A$2:$OJ$901,4,MATCH($B$2&amp;"|xI",Aux_puntos!$1:$1,0))="",NA(),INDEX(Aux_puntos!$A$2:$OJ$901,4,MATCH($B$2&amp;"|xI",Aux_puntos!$1:$1,0))),NA())</f>
        <v>#N/A</v>
      </c>
      <c r="AH8" t="e">
        <f>IFERROR(IF(INDEX(Aux_puntos!$A$2:$OJ$901,4,MATCH($B$2&amp;"|yI",Aux_puntos!$1:$1,0))="",NA(),INDEX(Aux_puntos!$A$2:$OJ$901,4,MATCH($B$2&amp;"|yI",Aux_puntos!$1:$1,0))),NA())</f>
        <v>#N/A</v>
      </c>
      <c r="AI8">
        <f>IFERROR(IF(INDEX(Aux_puntos!$A$2:$OJ$901,4,MATCH($B$2&amp;"|xN",Aux_puntos!$1:$1,0))="",NA(),INDEX(Aux_puntos!$A$2:$OJ$901,4,MATCH($B$2&amp;"|xN",Aux_puntos!$1:$1,0))),NA())</f>
        <v>3000</v>
      </c>
      <c r="AJ8">
        <f>IFERROR(IF(INDEX(Aux_puntos!$A$2:$OJ$901,4,MATCH($B$2&amp;"|yN",Aux_puntos!$1:$1,0))="",NA(),INDEX(Aux_puntos!$A$2:$OJ$901,4,MATCH($B$2&amp;"|yN",Aux_puntos!$1:$1,0))),NA())</f>
        <v>0.5</v>
      </c>
    </row>
    <row r="9" spans="1:36" x14ac:dyDescent="0.3">
      <c r="A9" s="12" t="s">
        <v>51</v>
      </c>
      <c r="B9" s="12" t="str">
        <f>INDEX(Aux_tablero!$B$22:$AY$22,MATCH($B$2,Aux_tablero!$B$1:$AY$1,0))</f>
        <v>Distinta según el subcaso (ver hoja de condiciones del caso)</v>
      </c>
      <c r="Z9" t="s">
        <v>52</v>
      </c>
      <c r="AA9">
        <f>INDEX(Aux_tablero!$B$16:$AY$16,MATCH($B$2,Aux_tablero!$B$1:$AY$1,0))</f>
        <v>0</v>
      </c>
      <c r="AC9" t="e">
        <f>IFERROR(IF(INDEX(Aux_puntos!$A$2:$OJ$901,5,MATCH($B$2&amp;"|xK",Aux_puntos!$1:$1,0))="",NA(),INDEX(Aux_puntos!$A$2:$OJ$901,5,MATCH($B$2&amp;"|xK",Aux_puntos!$1:$1,0))),NA())</f>
        <v>#N/A</v>
      </c>
      <c r="AD9" t="e">
        <f>IFERROR(IF(INDEX(Aux_puntos!$A$2:$OJ$901,5,MATCH($B$2&amp;"|yK",Aux_puntos!$1:$1,0))="",NA(),INDEX(Aux_puntos!$A$2:$OJ$901,5,MATCH($B$2&amp;"|yK",Aux_puntos!$1:$1,0))),NA())</f>
        <v>#N/A</v>
      </c>
      <c r="AE9" t="e">
        <f>IFERROR(IF(INDEX(Aux_puntos!$A$2:$OJ$901,5,MATCH($B$2&amp;"|xC",Aux_puntos!$1:$1,0))="",NA(),INDEX(Aux_puntos!$A$2:$OJ$901,5,MATCH($B$2&amp;"|xC",Aux_puntos!$1:$1,0))),NA())</f>
        <v>#N/A</v>
      </c>
      <c r="AF9" t="e">
        <f>IFERROR(IF(INDEX(Aux_puntos!$A$2:$OJ$901,5,MATCH($B$2&amp;"|yC",Aux_puntos!$1:$1,0))="",NA(),INDEX(Aux_puntos!$A$2:$OJ$901,5,MATCH($B$2&amp;"|yC",Aux_puntos!$1:$1,0))),NA())</f>
        <v>#N/A</v>
      </c>
      <c r="AG9" t="e">
        <f>IFERROR(IF(INDEX(Aux_puntos!$A$2:$OJ$901,5,MATCH($B$2&amp;"|xI",Aux_puntos!$1:$1,0))="",NA(),INDEX(Aux_puntos!$A$2:$OJ$901,5,MATCH($B$2&amp;"|xI",Aux_puntos!$1:$1,0))),NA())</f>
        <v>#N/A</v>
      </c>
      <c r="AH9" t="e">
        <f>IFERROR(IF(INDEX(Aux_puntos!$A$2:$OJ$901,5,MATCH($B$2&amp;"|yI",Aux_puntos!$1:$1,0))="",NA(),INDEX(Aux_puntos!$A$2:$OJ$901,5,MATCH($B$2&amp;"|yI",Aux_puntos!$1:$1,0))),NA())</f>
        <v>#N/A</v>
      </c>
      <c r="AI9">
        <f>IFERROR(IF(INDEX(Aux_puntos!$A$2:$OJ$901,5,MATCH($B$2&amp;"|xN",Aux_puntos!$1:$1,0))="",NA(),INDEX(Aux_puntos!$A$2:$OJ$901,5,MATCH($B$2&amp;"|xN",Aux_puntos!$1:$1,0))),NA())</f>
        <v>2000</v>
      </c>
      <c r="AJ9">
        <f>IFERROR(IF(INDEX(Aux_puntos!$A$2:$OJ$901,5,MATCH($B$2&amp;"|yN",Aux_puntos!$1:$1,0))="",NA(),INDEX(Aux_puntos!$A$2:$OJ$901,5,MATCH($B$2&amp;"|yN",Aux_puntos!$1:$1,0))),NA())</f>
        <v>0.5</v>
      </c>
    </row>
    <row r="10" spans="1:36" x14ac:dyDescent="0.3">
      <c r="A10" s="12" t="s">
        <v>53</v>
      </c>
      <c r="B10" s="12" t="str">
        <f>INDEX(Aux_tablero!$B$23:$AY$23,MATCH($B$2,Aux_tablero!$B$1:$AY$1,0))</f>
        <v>Distinta según el subcaso (ver hoja de condiciones del caso)</v>
      </c>
      <c r="AC10" t="e">
        <f>IFERROR(IF(INDEX(Aux_puntos!$A$2:$OJ$901,6,MATCH($B$2&amp;"|xK",Aux_puntos!$1:$1,0))="",NA(),INDEX(Aux_puntos!$A$2:$OJ$901,6,MATCH($B$2&amp;"|xK",Aux_puntos!$1:$1,0))),NA())</f>
        <v>#N/A</v>
      </c>
      <c r="AD10" t="e">
        <f>IFERROR(IF(INDEX(Aux_puntos!$A$2:$OJ$901,6,MATCH($B$2&amp;"|yK",Aux_puntos!$1:$1,0))="",NA(),INDEX(Aux_puntos!$A$2:$OJ$901,6,MATCH($B$2&amp;"|yK",Aux_puntos!$1:$1,0))),NA())</f>
        <v>#N/A</v>
      </c>
      <c r="AE10" t="e">
        <f>IFERROR(IF(INDEX(Aux_puntos!$A$2:$OJ$901,6,MATCH($B$2&amp;"|xC",Aux_puntos!$1:$1,0))="",NA(),INDEX(Aux_puntos!$A$2:$OJ$901,6,MATCH($B$2&amp;"|xC",Aux_puntos!$1:$1,0))),NA())</f>
        <v>#N/A</v>
      </c>
      <c r="AF10" t="e">
        <f>IFERROR(IF(INDEX(Aux_puntos!$A$2:$OJ$901,6,MATCH($B$2&amp;"|yC",Aux_puntos!$1:$1,0))="",NA(),INDEX(Aux_puntos!$A$2:$OJ$901,6,MATCH($B$2&amp;"|yC",Aux_puntos!$1:$1,0))),NA())</f>
        <v>#N/A</v>
      </c>
      <c r="AG10" t="e">
        <f>IFERROR(IF(INDEX(Aux_puntos!$A$2:$OJ$901,6,MATCH($B$2&amp;"|xI",Aux_puntos!$1:$1,0))="",NA(),INDEX(Aux_puntos!$A$2:$OJ$901,6,MATCH($B$2&amp;"|xI",Aux_puntos!$1:$1,0))),NA())</f>
        <v>#N/A</v>
      </c>
      <c r="AH10" t="e">
        <f>IFERROR(IF(INDEX(Aux_puntos!$A$2:$OJ$901,6,MATCH($B$2&amp;"|yI",Aux_puntos!$1:$1,0))="",NA(),INDEX(Aux_puntos!$A$2:$OJ$901,6,MATCH($B$2&amp;"|yI",Aux_puntos!$1:$1,0))),NA())</f>
        <v>#N/A</v>
      </c>
      <c r="AI10">
        <f>IFERROR(IF(INDEX(Aux_puntos!$A$2:$OJ$901,6,MATCH($B$2&amp;"|xN",Aux_puntos!$1:$1,0))="",NA(),INDEX(Aux_puntos!$A$2:$OJ$901,6,MATCH($B$2&amp;"|xN",Aux_puntos!$1:$1,0))),NA())</f>
        <v>3250</v>
      </c>
      <c r="AJ10">
        <f>IFERROR(IF(INDEX(Aux_puntos!$A$2:$OJ$901,6,MATCH($B$2&amp;"|yN",Aux_puntos!$1:$1,0))="",NA(),INDEX(Aux_puntos!$A$2:$OJ$901,6,MATCH($B$2&amp;"|yN",Aux_puntos!$1:$1,0))),NA())</f>
        <v>0.5</v>
      </c>
    </row>
    <row r="11" spans="1:36" x14ac:dyDescent="0.3">
      <c r="A11" s="12" t="s">
        <v>54</v>
      </c>
      <c r="B11" s="12" t="str">
        <f>INDEX(Aux_tablero!$B$24:$AY$24,MATCH($B$2,Aux_tablero!$B$1:$AY$1,0))</f>
        <v>Fija: 400.0 kPa</v>
      </c>
      <c r="AC11" t="e">
        <f>IFERROR(IF(INDEX(Aux_puntos!$A$2:$OJ$901,7,MATCH($B$2&amp;"|xK",Aux_puntos!$1:$1,0))="",NA(),INDEX(Aux_puntos!$A$2:$OJ$901,7,MATCH($B$2&amp;"|xK",Aux_puntos!$1:$1,0))),NA())</f>
        <v>#N/A</v>
      </c>
      <c r="AD11" t="e">
        <f>IFERROR(IF(INDEX(Aux_puntos!$A$2:$OJ$901,7,MATCH($B$2&amp;"|yK",Aux_puntos!$1:$1,0))="",NA(),INDEX(Aux_puntos!$A$2:$OJ$901,7,MATCH($B$2&amp;"|yK",Aux_puntos!$1:$1,0))),NA())</f>
        <v>#N/A</v>
      </c>
      <c r="AE11" t="e">
        <f>IFERROR(IF(INDEX(Aux_puntos!$A$2:$OJ$901,7,MATCH($B$2&amp;"|xC",Aux_puntos!$1:$1,0))="",NA(),INDEX(Aux_puntos!$A$2:$OJ$901,7,MATCH($B$2&amp;"|xC",Aux_puntos!$1:$1,0))),NA())</f>
        <v>#N/A</v>
      </c>
      <c r="AF11" t="e">
        <f>IFERROR(IF(INDEX(Aux_puntos!$A$2:$OJ$901,7,MATCH($B$2&amp;"|yC",Aux_puntos!$1:$1,0))="",NA(),INDEX(Aux_puntos!$A$2:$OJ$901,7,MATCH($B$2&amp;"|yC",Aux_puntos!$1:$1,0))),NA())</f>
        <v>#N/A</v>
      </c>
      <c r="AG11" t="e">
        <f>IFERROR(IF(INDEX(Aux_puntos!$A$2:$OJ$901,7,MATCH($B$2&amp;"|xI",Aux_puntos!$1:$1,0))="",NA(),INDEX(Aux_puntos!$A$2:$OJ$901,7,MATCH($B$2&amp;"|xI",Aux_puntos!$1:$1,0))),NA())</f>
        <v>#N/A</v>
      </c>
      <c r="AH11" t="e">
        <f>IFERROR(IF(INDEX(Aux_puntos!$A$2:$OJ$901,7,MATCH($B$2&amp;"|yI",Aux_puntos!$1:$1,0))="",NA(),INDEX(Aux_puntos!$A$2:$OJ$901,7,MATCH($B$2&amp;"|yI",Aux_puntos!$1:$1,0))),NA())</f>
        <v>#N/A</v>
      </c>
      <c r="AI11">
        <f>IFERROR(IF(INDEX(Aux_puntos!$A$2:$OJ$901,7,MATCH($B$2&amp;"|xN",Aux_puntos!$1:$1,0))="",NA(),INDEX(Aux_puntos!$A$2:$OJ$901,7,MATCH($B$2&amp;"|xN",Aux_puntos!$1:$1,0))),NA())</f>
        <v>3500</v>
      </c>
      <c r="AJ11">
        <f>IFERROR(IF(INDEX(Aux_puntos!$A$2:$OJ$901,7,MATCH($B$2&amp;"|yN",Aux_puntos!$1:$1,0))="",NA(),INDEX(Aux_puntos!$A$2:$OJ$901,7,MATCH($B$2&amp;"|yN",Aux_puntos!$1:$1,0))),NA())</f>
        <v>0.5</v>
      </c>
    </row>
    <row r="12" spans="1:36" x14ac:dyDescent="0.3">
      <c r="A12" s="12" t="s">
        <v>55</v>
      </c>
      <c r="B12" s="12" t="str">
        <f>INDEX(Aux_tablero!$B$25:$AY$25,MATCH($B$2,Aux_tablero!$B$1:$AY$1,0))</f>
        <v>Distinta según el subcaso (ver hoja de condiciones del caso)</v>
      </c>
      <c r="Z12" t="s">
        <v>56</v>
      </c>
      <c r="AA12">
        <f>INDEX(Aux_tablero!$B$17:$AY$17,MATCH($B$2,Aux_tablero!$B$1:$AY$1,0))</f>
        <v>0</v>
      </c>
      <c r="AC12" t="e">
        <f>IFERROR(IF(INDEX(Aux_puntos!$A$2:$OJ$901,8,MATCH($B$2&amp;"|xK",Aux_puntos!$1:$1,0))="",NA(),INDEX(Aux_puntos!$A$2:$OJ$901,8,MATCH($B$2&amp;"|xK",Aux_puntos!$1:$1,0))),NA())</f>
        <v>#N/A</v>
      </c>
      <c r="AD12" t="e">
        <f>IFERROR(IF(INDEX(Aux_puntos!$A$2:$OJ$901,8,MATCH($B$2&amp;"|yK",Aux_puntos!$1:$1,0))="",NA(),INDEX(Aux_puntos!$A$2:$OJ$901,8,MATCH($B$2&amp;"|yK",Aux_puntos!$1:$1,0))),NA())</f>
        <v>#N/A</v>
      </c>
      <c r="AE12" t="e">
        <f>IFERROR(IF(INDEX(Aux_puntos!$A$2:$OJ$901,8,MATCH($B$2&amp;"|xC",Aux_puntos!$1:$1,0))="",NA(),INDEX(Aux_puntos!$A$2:$OJ$901,8,MATCH($B$2&amp;"|xC",Aux_puntos!$1:$1,0))),NA())</f>
        <v>#N/A</v>
      </c>
      <c r="AF12" t="e">
        <f>IFERROR(IF(INDEX(Aux_puntos!$A$2:$OJ$901,8,MATCH($B$2&amp;"|yC",Aux_puntos!$1:$1,0))="",NA(),INDEX(Aux_puntos!$A$2:$OJ$901,8,MATCH($B$2&amp;"|yC",Aux_puntos!$1:$1,0))),NA())</f>
        <v>#N/A</v>
      </c>
      <c r="AG12" t="e">
        <f>IFERROR(IF(INDEX(Aux_puntos!$A$2:$OJ$901,8,MATCH($B$2&amp;"|xI",Aux_puntos!$1:$1,0))="",NA(),INDEX(Aux_puntos!$A$2:$OJ$901,8,MATCH($B$2&amp;"|xI",Aux_puntos!$1:$1,0))),NA())</f>
        <v>#N/A</v>
      </c>
      <c r="AH12" t="e">
        <f>IFERROR(IF(INDEX(Aux_puntos!$A$2:$OJ$901,8,MATCH($B$2&amp;"|yI",Aux_puntos!$1:$1,0))="",NA(),INDEX(Aux_puntos!$A$2:$OJ$901,8,MATCH($B$2&amp;"|yI",Aux_puntos!$1:$1,0))),NA())</f>
        <v>#N/A</v>
      </c>
      <c r="AI12">
        <f>IFERROR(IF(INDEX(Aux_puntos!$A$2:$OJ$901,8,MATCH($B$2&amp;"|xN",Aux_puntos!$1:$1,0))="",NA(),INDEX(Aux_puntos!$A$2:$OJ$901,8,MATCH($B$2&amp;"|xN",Aux_puntos!$1:$1,0))),NA())</f>
        <v>3000</v>
      </c>
      <c r="AJ12">
        <f>IFERROR(IF(INDEX(Aux_puntos!$A$2:$OJ$901,8,MATCH($B$2&amp;"|yN",Aux_puntos!$1:$1,0))="",NA(),INDEX(Aux_puntos!$A$2:$OJ$901,8,MATCH($B$2&amp;"|yN",Aux_puntos!$1:$1,0))),NA())</f>
        <v>0.5</v>
      </c>
    </row>
    <row r="13" spans="1:36" x14ac:dyDescent="0.3">
      <c r="A13" s="12" t="s">
        <v>57</v>
      </c>
      <c r="B13" s="12" t="str">
        <f>INDEX(Aux_tablero!$B$26:$AY$26,MATCH($B$2,Aux_tablero!$B$1:$AY$1,0))</f>
        <v>Fija: 1.0 kg/s</v>
      </c>
      <c r="Z13" t="s">
        <v>58</v>
      </c>
      <c r="AA13">
        <f>INDEX(Aux_tablero!$B$18:$AY$18,MATCH($B$2,Aux_tablero!$B$1:$AY$1,0))</f>
        <v>0</v>
      </c>
      <c r="AC13" t="e">
        <f>IFERROR(IF(INDEX(Aux_puntos!$A$2:$OJ$901,9,MATCH($B$2&amp;"|xK",Aux_puntos!$1:$1,0))="",NA(),INDEX(Aux_puntos!$A$2:$OJ$901,9,MATCH($B$2&amp;"|xK",Aux_puntos!$1:$1,0))),NA())</f>
        <v>#N/A</v>
      </c>
      <c r="AD13" t="e">
        <f>IFERROR(IF(INDEX(Aux_puntos!$A$2:$OJ$901,9,MATCH($B$2&amp;"|yK",Aux_puntos!$1:$1,0))="",NA(),INDEX(Aux_puntos!$A$2:$OJ$901,9,MATCH($B$2&amp;"|yK",Aux_puntos!$1:$1,0))),NA())</f>
        <v>#N/A</v>
      </c>
      <c r="AE13" t="e">
        <f>IFERROR(IF(INDEX(Aux_puntos!$A$2:$OJ$901,9,MATCH($B$2&amp;"|xC",Aux_puntos!$1:$1,0))="",NA(),INDEX(Aux_puntos!$A$2:$OJ$901,9,MATCH($B$2&amp;"|xC",Aux_puntos!$1:$1,0))),NA())</f>
        <v>#N/A</v>
      </c>
      <c r="AF13" t="e">
        <f>IFERROR(IF(INDEX(Aux_puntos!$A$2:$OJ$901,9,MATCH($B$2&amp;"|yC",Aux_puntos!$1:$1,0))="",NA(),INDEX(Aux_puntos!$A$2:$OJ$901,9,MATCH($B$2&amp;"|yC",Aux_puntos!$1:$1,0))),NA())</f>
        <v>#N/A</v>
      </c>
      <c r="AG13" t="e">
        <f>IFERROR(IF(INDEX(Aux_puntos!$A$2:$OJ$901,9,MATCH($B$2&amp;"|xI",Aux_puntos!$1:$1,0))="",NA(),INDEX(Aux_puntos!$A$2:$OJ$901,9,MATCH($B$2&amp;"|xI",Aux_puntos!$1:$1,0))),NA())</f>
        <v>#N/A</v>
      </c>
      <c r="AH13" t="e">
        <f>IFERROR(IF(INDEX(Aux_puntos!$A$2:$OJ$901,9,MATCH($B$2&amp;"|yI",Aux_puntos!$1:$1,0))="",NA(),INDEX(Aux_puntos!$A$2:$OJ$901,9,MATCH($B$2&amp;"|yI",Aux_puntos!$1:$1,0))),NA())</f>
        <v>#N/A</v>
      </c>
      <c r="AI13">
        <f>IFERROR(IF(INDEX(Aux_puntos!$A$2:$OJ$901,9,MATCH($B$2&amp;"|xN",Aux_puntos!$1:$1,0))="",NA(),INDEX(Aux_puntos!$A$2:$OJ$901,9,MATCH($B$2&amp;"|xN",Aux_puntos!$1:$1,0))),NA())</f>
        <v>3750</v>
      </c>
      <c r="AJ13">
        <f>IFERROR(IF(INDEX(Aux_puntos!$A$2:$OJ$901,9,MATCH($B$2&amp;"|yN",Aux_puntos!$1:$1,0))="",NA(),INDEX(Aux_puntos!$A$2:$OJ$901,9,MATCH($B$2&amp;"|yN",Aux_puntos!$1:$1,0))),NA())</f>
        <v>0.5</v>
      </c>
    </row>
    <row r="14" spans="1:36" x14ac:dyDescent="0.3">
      <c r="A14" s="12" t="s">
        <v>59</v>
      </c>
      <c r="B14" s="12" t="str">
        <f>INDEX(Aux_tablero!$B$27:$AY$27,MATCH($B$2,Aux_tablero!$B$1:$AY$1,0))</f>
        <v>Fija: 0.85</v>
      </c>
      <c r="Z14" t="s">
        <v>60</v>
      </c>
      <c r="AA14">
        <f>INDEX(Aux_tablero!$B$19:$AY$19,MATCH($B$2,Aux_tablero!$B$1:$AY$1,0))</f>
        <v>0</v>
      </c>
      <c r="AC14" t="e">
        <f>IFERROR(IF(INDEX(Aux_puntos!$A$2:$OJ$901,10,MATCH($B$2&amp;"|xK",Aux_puntos!$1:$1,0))="",NA(),INDEX(Aux_puntos!$A$2:$OJ$901,10,MATCH($B$2&amp;"|xK",Aux_puntos!$1:$1,0))),NA())</f>
        <v>#N/A</v>
      </c>
      <c r="AD14" t="e">
        <f>IFERROR(IF(INDEX(Aux_puntos!$A$2:$OJ$901,10,MATCH($B$2&amp;"|yK",Aux_puntos!$1:$1,0))="",NA(),INDEX(Aux_puntos!$A$2:$OJ$901,10,MATCH($B$2&amp;"|yK",Aux_puntos!$1:$1,0))),NA())</f>
        <v>#N/A</v>
      </c>
      <c r="AE14" t="e">
        <f>IFERROR(IF(INDEX(Aux_puntos!$A$2:$OJ$901,10,MATCH($B$2&amp;"|xC",Aux_puntos!$1:$1,0))="",NA(),INDEX(Aux_puntos!$A$2:$OJ$901,10,MATCH($B$2&amp;"|xC",Aux_puntos!$1:$1,0))),NA())</f>
        <v>#N/A</v>
      </c>
      <c r="AF14" t="e">
        <f>IFERROR(IF(INDEX(Aux_puntos!$A$2:$OJ$901,10,MATCH($B$2&amp;"|yC",Aux_puntos!$1:$1,0))="",NA(),INDEX(Aux_puntos!$A$2:$OJ$901,10,MATCH($B$2&amp;"|yC",Aux_puntos!$1:$1,0))),NA())</f>
        <v>#N/A</v>
      </c>
      <c r="AG14" t="e">
        <f>IFERROR(IF(INDEX(Aux_puntos!$A$2:$OJ$901,10,MATCH($B$2&amp;"|xI",Aux_puntos!$1:$1,0))="",NA(),INDEX(Aux_puntos!$A$2:$OJ$901,10,MATCH($B$2&amp;"|xI",Aux_puntos!$1:$1,0))),NA())</f>
        <v>#N/A</v>
      </c>
      <c r="AH14" t="e">
        <f>IFERROR(IF(INDEX(Aux_puntos!$A$2:$OJ$901,10,MATCH($B$2&amp;"|yI",Aux_puntos!$1:$1,0))="",NA(),INDEX(Aux_puntos!$A$2:$OJ$901,10,MATCH($B$2&amp;"|yI",Aux_puntos!$1:$1,0))),NA())</f>
        <v>#N/A</v>
      </c>
      <c r="AI14">
        <f>IFERROR(IF(INDEX(Aux_puntos!$A$2:$OJ$901,10,MATCH($B$2&amp;"|xN",Aux_puntos!$1:$1,0))="",NA(),INDEX(Aux_puntos!$A$2:$OJ$901,10,MATCH($B$2&amp;"|xN",Aux_puntos!$1:$1,0))),NA())</f>
        <v>3000</v>
      </c>
      <c r="AJ14">
        <f>IFERROR(IF(INDEX(Aux_puntos!$A$2:$OJ$901,10,MATCH($B$2&amp;"|yN",Aux_puntos!$1:$1,0))="",NA(),INDEX(Aux_puntos!$A$2:$OJ$901,10,MATCH($B$2&amp;"|yN",Aux_puntos!$1:$1,0))),NA())</f>
        <v>0.4</v>
      </c>
    </row>
    <row r="15" spans="1:36" x14ac:dyDescent="0.3">
      <c r="A15" s="12" t="s">
        <v>61</v>
      </c>
      <c r="B15" s="12" t="str">
        <f>INDEX(Aux_tablero!$B$28:$AY$28,MATCH($B$2,Aux_tablero!$B$1:$AY$1,0))</f>
        <v>Fija: 0.75</v>
      </c>
      <c r="Z15" t="s">
        <v>62</v>
      </c>
      <c r="AA15">
        <f>INDEX(Aux_tablero!$B$20:$AY$20,MATCH($B$2,Aux_tablero!$B$1:$AY$1,0))</f>
        <v>0</v>
      </c>
      <c r="AC15" t="e">
        <f>IFERROR(IF(INDEX(Aux_puntos!$A$2:$OJ$901,11,MATCH($B$2&amp;"|xK",Aux_puntos!$1:$1,0))="",NA(),INDEX(Aux_puntos!$A$2:$OJ$901,11,MATCH($B$2&amp;"|xK",Aux_puntos!$1:$1,0))),NA())</f>
        <v>#N/A</v>
      </c>
      <c r="AD15" t="e">
        <f>IFERROR(IF(INDEX(Aux_puntos!$A$2:$OJ$901,11,MATCH($B$2&amp;"|yK",Aux_puntos!$1:$1,0))="",NA(),INDEX(Aux_puntos!$A$2:$OJ$901,11,MATCH($B$2&amp;"|yK",Aux_puntos!$1:$1,0))),NA())</f>
        <v>#N/A</v>
      </c>
      <c r="AE15" t="e">
        <f>IFERROR(IF(INDEX(Aux_puntos!$A$2:$OJ$901,11,MATCH($B$2&amp;"|xC",Aux_puntos!$1:$1,0))="",NA(),INDEX(Aux_puntos!$A$2:$OJ$901,11,MATCH($B$2&amp;"|xC",Aux_puntos!$1:$1,0))),NA())</f>
        <v>#N/A</v>
      </c>
      <c r="AF15" t="e">
        <f>IFERROR(IF(INDEX(Aux_puntos!$A$2:$OJ$901,11,MATCH($B$2&amp;"|yC",Aux_puntos!$1:$1,0))="",NA(),INDEX(Aux_puntos!$A$2:$OJ$901,11,MATCH($B$2&amp;"|yC",Aux_puntos!$1:$1,0))),NA())</f>
        <v>#N/A</v>
      </c>
      <c r="AG15" t="e">
        <f>IFERROR(IF(INDEX(Aux_puntos!$A$2:$OJ$901,11,MATCH($B$2&amp;"|xI",Aux_puntos!$1:$1,0))="",NA(),INDEX(Aux_puntos!$A$2:$OJ$901,11,MATCH($B$2&amp;"|xI",Aux_puntos!$1:$1,0))),NA())</f>
        <v>#N/A</v>
      </c>
      <c r="AH15" t="e">
        <f>IFERROR(IF(INDEX(Aux_puntos!$A$2:$OJ$901,11,MATCH($B$2&amp;"|yI",Aux_puntos!$1:$1,0))="",NA(),INDEX(Aux_puntos!$A$2:$OJ$901,11,MATCH($B$2&amp;"|yI",Aux_puntos!$1:$1,0))),NA())</f>
        <v>#N/A</v>
      </c>
      <c r="AI15">
        <f>IFERROR(IF(INDEX(Aux_puntos!$A$2:$OJ$901,11,MATCH($B$2&amp;"|xN",Aux_puntos!$1:$1,0))="",NA(),INDEX(Aux_puntos!$A$2:$OJ$901,11,MATCH($B$2&amp;"|xN",Aux_puntos!$1:$1,0))),NA())</f>
        <v>4000</v>
      </c>
      <c r="AJ15">
        <f>IFERROR(IF(INDEX(Aux_puntos!$A$2:$OJ$901,11,MATCH($B$2&amp;"|yN",Aux_puntos!$1:$1,0))="",NA(),INDEX(Aux_puntos!$A$2:$OJ$901,11,MATCH($B$2&amp;"|yN",Aux_puntos!$1:$1,0))),NA())</f>
        <v>0.5</v>
      </c>
    </row>
    <row r="16" spans="1:36" x14ac:dyDescent="0.3">
      <c r="A16" s="12" t="s">
        <v>63</v>
      </c>
      <c r="B16" s="12" t="str">
        <f>INDEX(Aux_tablero!$B$29:$AY$29,MATCH($B$2,Aux_tablero!$B$1:$AY$1,0))</f>
        <v>Fija: 0.85</v>
      </c>
      <c r="AC16" t="e">
        <f>IFERROR(IF(INDEX(Aux_puntos!$A$2:$OJ$901,12,MATCH($B$2&amp;"|xK",Aux_puntos!$1:$1,0))="",NA(),INDEX(Aux_puntos!$A$2:$OJ$901,12,MATCH($B$2&amp;"|xK",Aux_puntos!$1:$1,0))),NA())</f>
        <v>#N/A</v>
      </c>
      <c r="AD16" t="e">
        <f>IFERROR(IF(INDEX(Aux_puntos!$A$2:$OJ$901,12,MATCH($B$2&amp;"|yK",Aux_puntos!$1:$1,0))="",NA(),INDEX(Aux_puntos!$A$2:$OJ$901,12,MATCH($B$2&amp;"|yK",Aux_puntos!$1:$1,0))),NA())</f>
        <v>#N/A</v>
      </c>
      <c r="AE16" t="e">
        <f>IFERROR(IF(INDEX(Aux_puntos!$A$2:$OJ$901,12,MATCH($B$2&amp;"|xC",Aux_puntos!$1:$1,0))="",NA(),INDEX(Aux_puntos!$A$2:$OJ$901,12,MATCH($B$2&amp;"|xC",Aux_puntos!$1:$1,0))),NA())</f>
        <v>#N/A</v>
      </c>
      <c r="AF16" t="e">
        <f>IFERROR(IF(INDEX(Aux_puntos!$A$2:$OJ$901,12,MATCH($B$2&amp;"|yC",Aux_puntos!$1:$1,0))="",NA(),INDEX(Aux_puntos!$A$2:$OJ$901,12,MATCH($B$2&amp;"|yC",Aux_puntos!$1:$1,0))),NA())</f>
        <v>#N/A</v>
      </c>
      <c r="AG16" t="e">
        <f>IFERROR(IF(INDEX(Aux_puntos!$A$2:$OJ$901,12,MATCH($B$2&amp;"|xI",Aux_puntos!$1:$1,0))="",NA(),INDEX(Aux_puntos!$A$2:$OJ$901,12,MATCH($B$2&amp;"|xI",Aux_puntos!$1:$1,0))),NA())</f>
        <v>#N/A</v>
      </c>
      <c r="AH16" t="e">
        <f>IFERROR(IF(INDEX(Aux_puntos!$A$2:$OJ$901,12,MATCH($B$2&amp;"|yI",Aux_puntos!$1:$1,0))="",NA(),INDEX(Aux_puntos!$A$2:$OJ$901,12,MATCH($B$2&amp;"|yI",Aux_puntos!$1:$1,0))),NA())</f>
        <v>#N/A</v>
      </c>
      <c r="AI16">
        <f>IFERROR(IF(INDEX(Aux_puntos!$A$2:$OJ$901,12,MATCH($B$2&amp;"|xN",Aux_puntos!$1:$1,0))="",NA(),INDEX(Aux_puntos!$A$2:$OJ$901,12,MATCH($B$2&amp;"|xN",Aux_puntos!$1:$1,0))),NA())</f>
        <v>3000</v>
      </c>
      <c r="AJ16">
        <f>IFERROR(IF(INDEX(Aux_puntos!$A$2:$OJ$901,12,MATCH($B$2&amp;"|yN",Aux_puntos!$1:$1,0))="",NA(),INDEX(Aux_puntos!$A$2:$OJ$901,12,MATCH($B$2&amp;"|yN",Aux_puntos!$1:$1,0))),NA())</f>
        <v>0.45</v>
      </c>
    </row>
    <row r="17" spans="1:36" x14ac:dyDescent="0.3">
      <c r="A17" s="12" t="s">
        <v>64</v>
      </c>
      <c r="B17" s="12" t="str">
        <f>INDEX(Aux_tablero!$B$30:$AY$30,MATCH($B$2,Aux_tablero!$B$1:$AY$1,0))</f>
        <v>Fija: 0.75</v>
      </c>
      <c r="AC17" t="e">
        <f>IFERROR(IF(INDEX(Aux_puntos!$A$2:$OJ$901,13,MATCH($B$2&amp;"|xK",Aux_puntos!$1:$1,0))="",NA(),INDEX(Aux_puntos!$A$2:$OJ$901,13,MATCH($B$2&amp;"|xK",Aux_puntos!$1:$1,0))),NA())</f>
        <v>#N/A</v>
      </c>
      <c r="AD17" t="e">
        <f>IFERROR(IF(INDEX(Aux_puntos!$A$2:$OJ$901,13,MATCH($B$2&amp;"|yK",Aux_puntos!$1:$1,0))="",NA(),INDEX(Aux_puntos!$A$2:$OJ$901,13,MATCH($B$2&amp;"|yK",Aux_puntos!$1:$1,0))),NA())</f>
        <v>#N/A</v>
      </c>
      <c r="AE17" t="e">
        <f>IFERROR(IF(INDEX(Aux_puntos!$A$2:$OJ$901,13,MATCH($B$2&amp;"|xC",Aux_puntos!$1:$1,0))="",NA(),INDEX(Aux_puntos!$A$2:$OJ$901,13,MATCH($B$2&amp;"|xC",Aux_puntos!$1:$1,0))),NA())</f>
        <v>#N/A</v>
      </c>
      <c r="AF17" t="e">
        <f>IFERROR(IF(INDEX(Aux_puntos!$A$2:$OJ$901,13,MATCH($B$2&amp;"|yC",Aux_puntos!$1:$1,0))="",NA(),INDEX(Aux_puntos!$A$2:$OJ$901,13,MATCH($B$2&amp;"|yC",Aux_puntos!$1:$1,0))),NA())</f>
        <v>#N/A</v>
      </c>
      <c r="AG17" t="e">
        <f>IFERROR(IF(INDEX(Aux_puntos!$A$2:$OJ$901,13,MATCH($B$2&amp;"|xI",Aux_puntos!$1:$1,0))="",NA(),INDEX(Aux_puntos!$A$2:$OJ$901,13,MATCH($B$2&amp;"|xI",Aux_puntos!$1:$1,0))),NA())</f>
        <v>#N/A</v>
      </c>
      <c r="AH17" t="e">
        <f>IFERROR(IF(INDEX(Aux_puntos!$A$2:$OJ$901,13,MATCH($B$2&amp;"|yI",Aux_puntos!$1:$1,0))="",NA(),INDEX(Aux_puntos!$A$2:$OJ$901,13,MATCH($B$2&amp;"|yI",Aux_puntos!$1:$1,0))),NA())</f>
        <v>#N/A</v>
      </c>
      <c r="AI17">
        <f>IFERROR(IF(INDEX(Aux_puntos!$A$2:$OJ$901,13,MATCH($B$2&amp;"|xN",Aux_puntos!$1:$1,0))="",NA(),INDEX(Aux_puntos!$A$2:$OJ$901,13,MATCH($B$2&amp;"|xN",Aux_puntos!$1:$1,0))),NA())</f>
        <v>3000</v>
      </c>
      <c r="AJ17">
        <f>IFERROR(IF(INDEX(Aux_puntos!$A$2:$OJ$901,13,MATCH($B$2&amp;"|yN",Aux_puntos!$1:$1,0))="",NA(),INDEX(Aux_puntos!$A$2:$OJ$901,13,MATCH($B$2&amp;"|yN",Aux_puntos!$1:$1,0))),NA())</f>
        <v>0.5</v>
      </c>
    </row>
    <row r="18" spans="1:36" x14ac:dyDescent="0.3">
      <c r="A18" s="12" t="s">
        <v>65</v>
      </c>
      <c r="B18" s="12" t="str">
        <f>INDEX(Aux_tablero!$B$31:$AY$31,MATCH($B$2,Aux_tablero!$B$1:$AY$1,0))</f>
        <v>Fija: 0.8</v>
      </c>
      <c r="AC18" t="e">
        <f>IFERROR(IF(INDEX(Aux_puntos!$A$2:$OJ$901,14,MATCH($B$2&amp;"|xK",Aux_puntos!$1:$1,0))="",NA(),INDEX(Aux_puntos!$A$2:$OJ$901,14,MATCH($B$2&amp;"|xK",Aux_puntos!$1:$1,0))),NA())</f>
        <v>#N/A</v>
      </c>
      <c r="AD18" t="e">
        <f>IFERROR(IF(INDEX(Aux_puntos!$A$2:$OJ$901,14,MATCH($B$2&amp;"|yK",Aux_puntos!$1:$1,0))="",NA(),INDEX(Aux_puntos!$A$2:$OJ$901,14,MATCH($B$2&amp;"|yK",Aux_puntos!$1:$1,0))),NA())</f>
        <v>#N/A</v>
      </c>
      <c r="AE18" t="e">
        <f>IFERROR(IF(INDEX(Aux_puntos!$A$2:$OJ$901,14,MATCH($B$2&amp;"|xC",Aux_puntos!$1:$1,0))="",NA(),INDEX(Aux_puntos!$A$2:$OJ$901,14,MATCH($B$2&amp;"|xC",Aux_puntos!$1:$1,0))),NA())</f>
        <v>#N/A</v>
      </c>
      <c r="AF18" t="e">
        <f>IFERROR(IF(INDEX(Aux_puntos!$A$2:$OJ$901,14,MATCH($B$2&amp;"|yC",Aux_puntos!$1:$1,0))="",NA(),INDEX(Aux_puntos!$A$2:$OJ$901,14,MATCH($B$2&amp;"|yC",Aux_puntos!$1:$1,0))),NA())</f>
        <v>#N/A</v>
      </c>
      <c r="AG18" t="e">
        <f>IFERROR(IF(INDEX(Aux_puntos!$A$2:$OJ$901,14,MATCH($B$2&amp;"|xI",Aux_puntos!$1:$1,0))="",NA(),INDEX(Aux_puntos!$A$2:$OJ$901,14,MATCH($B$2&amp;"|xI",Aux_puntos!$1:$1,0))),NA())</f>
        <v>#N/A</v>
      </c>
      <c r="AH18" t="e">
        <f>IFERROR(IF(INDEX(Aux_puntos!$A$2:$OJ$901,14,MATCH($B$2&amp;"|yI",Aux_puntos!$1:$1,0))="",NA(),INDEX(Aux_puntos!$A$2:$OJ$901,14,MATCH($B$2&amp;"|yI",Aux_puntos!$1:$1,0))),NA())</f>
        <v>#N/A</v>
      </c>
      <c r="AI18">
        <f>IFERROR(IF(INDEX(Aux_puntos!$A$2:$OJ$901,14,MATCH($B$2&amp;"|xN",Aux_puntos!$1:$1,0))="",NA(),INDEX(Aux_puntos!$A$2:$OJ$901,14,MATCH($B$2&amp;"|xN",Aux_puntos!$1:$1,0))),NA())</f>
        <v>3000</v>
      </c>
      <c r="AJ18">
        <f>IFERROR(IF(INDEX(Aux_puntos!$A$2:$OJ$901,14,MATCH($B$2&amp;"|yN",Aux_puntos!$1:$1,0))="",NA(),INDEX(Aux_puntos!$A$2:$OJ$901,14,MATCH($B$2&amp;"|yN",Aux_puntos!$1:$1,0))),NA())</f>
        <v>0.55000000000000004</v>
      </c>
    </row>
    <row r="19" spans="1:36" x14ac:dyDescent="0.3">
      <c r="A19" s="12" t="s">
        <v>66</v>
      </c>
      <c r="B19" s="12" t="str">
        <f>INDEX(Aux_tablero!$B$32:$AY$32,MATCH($B$2,Aux_tablero!$B$1:$AY$1,0))</f>
        <v>sin dato</v>
      </c>
      <c r="AC19" t="e">
        <f>IFERROR(IF(INDEX(Aux_puntos!$A$2:$OJ$901,15,MATCH($B$2&amp;"|xK",Aux_puntos!$1:$1,0))="",NA(),INDEX(Aux_puntos!$A$2:$OJ$901,15,MATCH($B$2&amp;"|xK",Aux_puntos!$1:$1,0))),NA())</f>
        <v>#N/A</v>
      </c>
      <c r="AD19" t="e">
        <f>IFERROR(IF(INDEX(Aux_puntos!$A$2:$OJ$901,15,MATCH($B$2&amp;"|yK",Aux_puntos!$1:$1,0))="",NA(),INDEX(Aux_puntos!$A$2:$OJ$901,15,MATCH($B$2&amp;"|yK",Aux_puntos!$1:$1,0))),NA())</f>
        <v>#N/A</v>
      </c>
      <c r="AE19" t="e">
        <f>IFERROR(IF(INDEX(Aux_puntos!$A$2:$OJ$901,15,MATCH($B$2&amp;"|xC",Aux_puntos!$1:$1,0))="",NA(),INDEX(Aux_puntos!$A$2:$OJ$901,15,MATCH($B$2&amp;"|xC",Aux_puntos!$1:$1,0))),NA())</f>
        <v>#N/A</v>
      </c>
      <c r="AF19" t="e">
        <f>IFERROR(IF(INDEX(Aux_puntos!$A$2:$OJ$901,15,MATCH($B$2&amp;"|yC",Aux_puntos!$1:$1,0))="",NA(),INDEX(Aux_puntos!$A$2:$OJ$901,15,MATCH($B$2&amp;"|yC",Aux_puntos!$1:$1,0))),NA())</f>
        <v>#N/A</v>
      </c>
      <c r="AG19" t="e">
        <f>IFERROR(IF(INDEX(Aux_puntos!$A$2:$OJ$901,15,MATCH($B$2&amp;"|xI",Aux_puntos!$1:$1,0))="",NA(),INDEX(Aux_puntos!$A$2:$OJ$901,15,MATCH($B$2&amp;"|xI",Aux_puntos!$1:$1,0))),NA())</f>
        <v>#N/A</v>
      </c>
      <c r="AH19" t="e">
        <f>IFERROR(IF(INDEX(Aux_puntos!$A$2:$OJ$901,15,MATCH($B$2&amp;"|yI",Aux_puntos!$1:$1,0))="",NA(),INDEX(Aux_puntos!$A$2:$OJ$901,15,MATCH($B$2&amp;"|yI",Aux_puntos!$1:$1,0))),NA())</f>
        <v>#N/A</v>
      </c>
      <c r="AI19">
        <f>IFERROR(IF(INDEX(Aux_puntos!$A$2:$OJ$901,15,MATCH($B$2&amp;"|xN",Aux_puntos!$1:$1,0))="",NA(),INDEX(Aux_puntos!$A$2:$OJ$901,15,MATCH($B$2&amp;"|xN",Aux_puntos!$1:$1,0))),NA())</f>
        <v>3000</v>
      </c>
      <c r="AJ19">
        <f>IFERROR(IF(INDEX(Aux_puntos!$A$2:$OJ$901,15,MATCH($B$2&amp;"|yN",Aux_puntos!$1:$1,0))="",NA(),INDEX(Aux_puntos!$A$2:$OJ$901,15,MATCH($B$2&amp;"|yN",Aux_puntos!$1:$1,0))),NA())</f>
        <v>0.6</v>
      </c>
    </row>
    <row r="20" spans="1:36" x14ac:dyDescent="0.3">
      <c r="A20" s="12" t="s">
        <v>67</v>
      </c>
      <c r="B20" s="12" t="str">
        <f>INDEX(Aux_tablero!$B$33:$AY$33,MATCH($B$2,Aux_tablero!$B$1:$AY$1,0))</f>
        <v>Distinta según el subcaso (ver hoja de condiciones del caso)</v>
      </c>
      <c r="AC20" t="e">
        <f>IFERROR(IF(INDEX(Aux_puntos!$A$2:$OJ$901,16,MATCH($B$2&amp;"|xK",Aux_puntos!$1:$1,0))="",NA(),INDEX(Aux_puntos!$A$2:$OJ$901,16,MATCH($B$2&amp;"|xK",Aux_puntos!$1:$1,0))),NA())</f>
        <v>#N/A</v>
      </c>
      <c r="AD20" t="e">
        <f>IFERROR(IF(INDEX(Aux_puntos!$A$2:$OJ$901,16,MATCH($B$2&amp;"|yK",Aux_puntos!$1:$1,0))="",NA(),INDEX(Aux_puntos!$A$2:$OJ$901,16,MATCH($B$2&amp;"|yK",Aux_puntos!$1:$1,0))),NA())</f>
        <v>#N/A</v>
      </c>
      <c r="AE20" t="e">
        <f>IFERROR(IF(INDEX(Aux_puntos!$A$2:$OJ$901,16,MATCH($B$2&amp;"|xC",Aux_puntos!$1:$1,0))="",NA(),INDEX(Aux_puntos!$A$2:$OJ$901,16,MATCH($B$2&amp;"|xC",Aux_puntos!$1:$1,0))),NA())</f>
        <v>#N/A</v>
      </c>
      <c r="AF20" t="e">
        <f>IFERROR(IF(INDEX(Aux_puntos!$A$2:$OJ$901,16,MATCH($B$2&amp;"|yC",Aux_puntos!$1:$1,0))="",NA(),INDEX(Aux_puntos!$A$2:$OJ$901,16,MATCH($B$2&amp;"|yC",Aux_puntos!$1:$1,0))),NA())</f>
        <v>#N/A</v>
      </c>
      <c r="AG20" t="e">
        <f>IFERROR(IF(INDEX(Aux_puntos!$A$2:$OJ$901,16,MATCH($B$2&amp;"|xI",Aux_puntos!$1:$1,0))="",NA(),INDEX(Aux_puntos!$A$2:$OJ$901,16,MATCH($B$2&amp;"|xI",Aux_puntos!$1:$1,0))),NA())</f>
        <v>#N/A</v>
      </c>
      <c r="AH20" t="e">
        <f>IFERROR(IF(INDEX(Aux_puntos!$A$2:$OJ$901,16,MATCH($B$2&amp;"|yI",Aux_puntos!$1:$1,0))="",NA(),INDEX(Aux_puntos!$A$2:$OJ$901,16,MATCH($B$2&amp;"|yI",Aux_puntos!$1:$1,0))),NA())</f>
        <v>#N/A</v>
      </c>
      <c r="AI20">
        <f>IFERROR(IF(INDEX(Aux_puntos!$A$2:$OJ$901,16,MATCH($B$2&amp;"|xN",Aux_puntos!$1:$1,0))="",NA(),INDEX(Aux_puntos!$A$2:$OJ$901,16,MATCH($B$2&amp;"|xN",Aux_puntos!$1:$1,0))),NA())</f>
        <v>3000</v>
      </c>
      <c r="AJ20">
        <f>IFERROR(IF(INDEX(Aux_puntos!$A$2:$OJ$901,16,MATCH($B$2&amp;"|yN",Aux_puntos!$1:$1,0))="",NA(),INDEX(Aux_puntos!$A$2:$OJ$901,16,MATCH($B$2&amp;"|yN",Aux_puntos!$1:$1,0))),NA())</f>
        <v>0.65</v>
      </c>
    </row>
    <row r="21" spans="1:36" x14ac:dyDescent="0.3">
      <c r="AC21" t="e">
        <f>IFERROR(IF(INDEX(Aux_puntos!$A$2:$OJ$901,17,MATCH($B$2&amp;"|xK",Aux_puntos!$1:$1,0))="",NA(),INDEX(Aux_puntos!$A$2:$OJ$901,17,MATCH($B$2&amp;"|xK",Aux_puntos!$1:$1,0))),NA())</f>
        <v>#N/A</v>
      </c>
      <c r="AD21" t="e">
        <f>IFERROR(IF(INDEX(Aux_puntos!$A$2:$OJ$901,17,MATCH($B$2&amp;"|yK",Aux_puntos!$1:$1,0))="",NA(),INDEX(Aux_puntos!$A$2:$OJ$901,17,MATCH($B$2&amp;"|yK",Aux_puntos!$1:$1,0))),NA())</f>
        <v>#N/A</v>
      </c>
      <c r="AE21" t="e">
        <f>IFERROR(IF(INDEX(Aux_puntos!$A$2:$OJ$901,17,MATCH($B$2&amp;"|xC",Aux_puntos!$1:$1,0))="",NA(),INDEX(Aux_puntos!$A$2:$OJ$901,17,MATCH($B$2&amp;"|xC",Aux_puntos!$1:$1,0))),NA())</f>
        <v>#N/A</v>
      </c>
      <c r="AF21" t="e">
        <f>IFERROR(IF(INDEX(Aux_puntos!$A$2:$OJ$901,17,MATCH($B$2&amp;"|yC",Aux_puntos!$1:$1,0))="",NA(),INDEX(Aux_puntos!$A$2:$OJ$901,17,MATCH($B$2&amp;"|yC",Aux_puntos!$1:$1,0))),NA())</f>
        <v>#N/A</v>
      </c>
      <c r="AG21" t="e">
        <f>IFERROR(IF(INDEX(Aux_puntos!$A$2:$OJ$901,17,MATCH($B$2&amp;"|xI",Aux_puntos!$1:$1,0))="",NA(),INDEX(Aux_puntos!$A$2:$OJ$901,17,MATCH($B$2&amp;"|xI",Aux_puntos!$1:$1,0))),NA())</f>
        <v>#N/A</v>
      </c>
      <c r="AH21" t="e">
        <f>IFERROR(IF(INDEX(Aux_puntos!$A$2:$OJ$901,17,MATCH($B$2&amp;"|yI",Aux_puntos!$1:$1,0))="",NA(),INDEX(Aux_puntos!$A$2:$OJ$901,17,MATCH($B$2&amp;"|yI",Aux_puntos!$1:$1,0))),NA())</f>
        <v>#N/A</v>
      </c>
      <c r="AI21">
        <f>IFERROR(IF(INDEX(Aux_puntos!$A$2:$OJ$901,17,MATCH($B$2&amp;"|xN",Aux_puntos!$1:$1,0))="",NA(),INDEX(Aux_puntos!$A$2:$OJ$901,17,MATCH($B$2&amp;"|xN",Aux_puntos!$1:$1,0))),NA())</f>
        <v>3000</v>
      </c>
      <c r="AJ21">
        <f>IFERROR(IF(INDEX(Aux_puntos!$A$2:$OJ$901,17,MATCH($B$2&amp;"|yN",Aux_puntos!$1:$1,0))="",NA(),INDEX(Aux_puntos!$A$2:$OJ$901,17,MATCH($B$2&amp;"|yN",Aux_puntos!$1:$1,0))),NA())</f>
        <v>0.7</v>
      </c>
    </row>
    <row r="22" spans="1:36" x14ac:dyDescent="0.3">
      <c r="A22" s="8" t="s">
        <v>68</v>
      </c>
      <c r="AC22" t="e">
        <f>IFERROR(IF(INDEX(Aux_puntos!$A$2:$OJ$901,18,MATCH($B$2&amp;"|xK",Aux_puntos!$1:$1,0))="",NA(),INDEX(Aux_puntos!$A$2:$OJ$901,18,MATCH($B$2&amp;"|xK",Aux_puntos!$1:$1,0))),NA())</f>
        <v>#N/A</v>
      </c>
      <c r="AD22" t="e">
        <f>IFERROR(IF(INDEX(Aux_puntos!$A$2:$OJ$901,18,MATCH($B$2&amp;"|yK",Aux_puntos!$1:$1,0))="",NA(),INDEX(Aux_puntos!$A$2:$OJ$901,18,MATCH($B$2&amp;"|yK",Aux_puntos!$1:$1,0))),NA())</f>
        <v>#N/A</v>
      </c>
      <c r="AE22" t="e">
        <f>IFERROR(IF(INDEX(Aux_puntos!$A$2:$OJ$901,18,MATCH($B$2&amp;"|xC",Aux_puntos!$1:$1,0))="",NA(),INDEX(Aux_puntos!$A$2:$OJ$901,18,MATCH($B$2&amp;"|xC",Aux_puntos!$1:$1,0))),NA())</f>
        <v>#N/A</v>
      </c>
      <c r="AF22" t="e">
        <f>IFERROR(IF(INDEX(Aux_puntos!$A$2:$OJ$901,18,MATCH($B$2&amp;"|yC",Aux_puntos!$1:$1,0))="",NA(),INDEX(Aux_puntos!$A$2:$OJ$901,18,MATCH($B$2&amp;"|yC",Aux_puntos!$1:$1,0))),NA())</f>
        <v>#N/A</v>
      </c>
      <c r="AG22" t="e">
        <f>IFERROR(IF(INDEX(Aux_puntos!$A$2:$OJ$901,18,MATCH($B$2&amp;"|xI",Aux_puntos!$1:$1,0))="",NA(),INDEX(Aux_puntos!$A$2:$OJ$901,18,MATCH($B$2&amp;"|xI",Aux_puntos!$1:$1,0))),NA())</f>
        <v>#N/A</v>
      </c>
      <c r="AH22" t="e">
        <f>IFERROR(IF(INDEX(Aux_puntos!$A$2:$OJ$901,18,MATCH($B$2&amp;"|yI",Aux_puntos!$1:$1,0))="",NA(),INDEX(Aux_puntos!$A$2:$OJ$901,18,MATCH($B$2&amp;"|yI",Aux_puntos!$1:$1,0))),NA())</f>
        <v>#N/A</v>
      </c>
      <c r="AI22">
        <f>IFERROR(IF(INDEX(Aux_puntos!$A$2:$OJ$901,18,MATCH($B$2&amp;"|xN",Aux_puntos!$1:$1,0))="",NA(),INDEX(Aux_puntos!$A$2:$OJ$901,18,MATCH($B$2&amp;"|xN",Aux_puntos!$1:$1,0))),NA())</f>
        <v>3000</v>
      </c>
      <c r="AJ22">
        <f>IFERROR(IF(INDEX(Aux_puntos!$A$2:$OJ$901,18,MATCH($B$2&amp;"|yN",Aux_puntos!$1:$1,0))="",NA(),INDEX(Aux_puntos!$A$2:$OJ$901,18,MATCH($B$2&amp;"|yN",Aux_puntos!$1:$1,0))),NA())</f>
        <v>0.5</v>
      </c>
    </row>
    <row r="23" spans="1:36" x14ac:dyDescent="0.3">
      <c r="A23" s="30" t="str">
        <f>INDEX(Aux_tablero!$B$10:$AY$10,MATCH($B$2,Aux_tablero!$B$1:$AY$1,0))</f>
        <v>Datos fijos: T_fuente = 623.15 K; P_baja = 400 kPa; m_b = 1 kg/s; η_t = 0.85; η_p = 0.75; ε_HRVG = 0.85; ε_reg = 0.75; ε_cond = 0.8.  ·  Datos barridos: T_sumidero [297.95–303.55] K (23 valores); P_alta [2000–4000] kPa (9 valores); x_b [0.4–0.7] (7 valores); motor de propiedades (2 valores).</v>
      </c>
      <c r="B23" s="31"/>
      <c r="AC23" t="e">
        <f>IFERROR(IF(INDEX(Aux_puntos!$A$2:$OJ$901,19,MATCH($B$2&amp;"|xK",Aux_puntos!$1:$1,0))="",NA(),INDEX(Aux_puntos!$A$2:$OJ$901,19,MATCH($B$2&amp;"|xK",Aux_puntos!$1:$1,0))),NA())</f>
        <v>#N/A</v>
      </c>
      <c r="AD23" t="e">
        <f>IFERROR(IF(INDEX(Aux_puntos!$A$2:$OJ$901,19,MATCH($B$2&amp;"|yK",Aux_puntos!$1:$1,0))="",NA(),INDEX(Aux_puntos!$A$2:$OJ$901,19,MATCH($B$2&amp;"|yK",Aux_puntos!$1:$1,0))),NA())</f>
        <v>#N/A</v>
      </c>
      <c r="AE23" t="e">
        <f>IFERROR(IF(INDEX(Aux_puntos!$A$2:$OJ$901,19,MATCH($B$2&amp;"|xC",Aux_puntos!$1:$1,0))="",NA(),INDEX(Aux_puntos!$A$2:$OJ$901,19,MATCH($B$2&amp;"|xC",Aux_puntos!$1:$1,0))),NA())</f>
        <v>#N/A</v>
      </c>
      <c r="AF23" t="e">
        <f>IFERROR(IF(INDEX(Aux_puntos!$A$2:$OJ$901,19,MATCH($B$2&amp;"|yC",Aux_puntos!$1:$1,0))="",NA(),INDEX(Aux_puntos!$A$2:$OJ$901,19,MATCH($B$2&amp;"|yC",Aux_puntos!$1:$1,0))),NA())</f>
        <v>#N/A</v>
      </c>
      <c r="AG23" t="e">
        <f>IFERROR(IF(INDEX(Aux_puntos!$A$2:$OJ$901,19,MATCH($B$2&amp;"|xI",Aux_puntos!$1:$1,0))="",NA(),INDEX(Aux_puntos!$A$2:$OJ$901,19,MATCH($B$2&amp;"|xI",Aux_puntos!$1:$1,0))),NA())</f>
        <v>#N/A</v>
      </c>
      <c r="AH23" t="e">
        <f>IFERROR(IF(INDEX(Aux_puntos!$A$2:$OJ$901,19,MATCH($B$2&amp;"|yI",Aux_puntos!$1:$1,0))="",NA(),INDEX(Aux_puntos!$A$2:$OJ$901,19,MATCH($B$2&amp;"|yI",Aux_puntos!$1:$1,0))),NA())</f>
        <v>#N/A</v>
      </c>
      <c r="AI23">
        <f>IFERROR(IF(INDEX(Aux_puntos!$A$2:$OJ$901,19,MATCH($B$2&amp;"|xN",Aux_puntos!$1:$1,0))="",NA(),INDEX(Aux_puntos!$A$2:$OJ$901,19,MATCH($B$2&amp;"|xN",Aux_puntos!$1:$1,0))),NA())</f>
        <v>3000</v>
      </c>
      <c r="AJ23">
        <f>IFERROR(IF(INDEX(Aux_puntos!$A$2:$OJ$901,19,MATCH($B$2&amp;"|yN",Aux_puntos!$1:$1,0))="",NA(),INDEX(Aux_puntos!$A$2:$OJ$901,19,MATCH($B$2&amp;"|yN",Aux_puntos!$1:$1,0))),NA())</f>
        <v>0.5</v>
      </c>
    </row>
    <row r="24" spans="1:36" x14ac:dyDescent="0.3">
      <c r="A24" s="31"/>
      <c r="B24" s="31"/>
      <c r="AC24" t="e">
        <f>IFERROR(IF(INDEX(Aux_puntos!$A$2:$OJ$901,20,MATCH($B$2&amp;"|xK",Aux_puntos!$1:$1,0))="",NA(),INDEX(Aux_puntos!$A$2:$OJ$901,20,MATCH($B$2&amp;"|xK",Aux_puntos!$1:$1,0))),NA())</f>
        <v>#N/A</v>
      </c>
      <c r="AD24" t="e">
        <f>IFERROR(IF(INDEX(Aux_puntos!$A$2:$OJ$901,20,MATCH($B$2&amp;"|yK",Aux_puntos!$1:$1,0))="",NA(),INDEX(Aux_puntos!$A$2:$OJ$901,20,MATCH($B$2&amp;"|yK",Aux_puntos!$1:$1,0))),NA())</f>
        <v>#N/A</v>
      </c>
      <c r="AE24" t="e">
        <f>IFERROR(IF(INDEX(Aux_puntos!$A$2:$OJ$901,20,MATCH($B$2&amp;"|xC",Aux_puntos!$1:$1,0))="",NA(),INDEX(Aux_puntos!$A$2:$OJ$901,20,MATCH($B$2&amp;"|xC",Aux_puntos!$1:$1,0))),NA())</f>
        <v>#N/A</v>
      </c>
      <c r="AF24" t="e">
        <f>IFERROR(IF(INDEX(Aux_puntos!$A$2:$OJ$901,20,MATCH($B$2&amp;"|yC",Aux_puntos!$1:$1,0))="",NA(),INDEX(Aux_puntos!$A$2:$OJ$901,20,MATCH($B$2&amp;"|yC",Aux_puntos!$1:$1,0))),NA())</f>
        <v>#N/A</v>
      </c>
      <c r="AG24" t="e">
        <f>IFERROR(IF(INDEX(Aux_puntos!$A$2:$OJ$901,20,MATCH($B$2&amp;"|xI",Aux_puntos!$1:$1,0))="",NA(),INDEX(Aux_puntos!$A$2:$OJ$901,20,MATCH($B$2&amp;"|xI",Aux_puntos!$1:$1,0))),NA())</f>
        <v>#N/A</v>
      </c>
      <c r="AH24" t="e">
        <f>IFERROR(IF(INDEX(Aux_puntos!$A$2:$OJ$901,20,MATCH($B$2&amp;"|yI",Aux_puntos!$1:$1,0))="",NA(),INDEX(Aux_puntos!$A$2:$OJ$901,20,MATCH($B$2&amp;"|yI",Aux_puntos!$1:$1,0))),NA())</f>
        <v>#N/A</v>
      </c>
      <c r="AI24">
        <f>IFERROR(IF(INDEX(Aux_puntos!$A$2:$OJ$901,20,MATCH($B$2&amp;"|xN",Aux_puntos!$1:$1,0))="",NA(),INDEX(Aux_puntos!$A$2:$OJ$901,20,MATCH($B$2&amp;"|xN",Aux_puntos!$1:$1,0))),NA())</f>
        <v>3000</v>
      </c>
      <c r="AJ24">
        <f>IFERROR(IF(INDEX(Aux_puntos!$A$2:$OJ$901,20,MATCH($B$2&amp;"|yN",Aux_puntos!$1:$1,0))="",NA(),INDEX(Aux_puntos!$A$2:$OJ$901,20,MATCH($B$2&amp;"|yN",Aux_puntos!$1:$1,0))),NA())</f>
        <v>0.5</v>
      </c>
    </row>
    <row r="25" spans="1:36" x14ac:dyDescent="0.3">
      <c r="A25" s="31"/>
      <c r="B25" s="31"/>
      <c r="AC25" t="e">
        <f>IFERROR(IF(INDEX(Aux_puntos!$A$2:$OJ$901,21,MATCH($B$2&amp;"|xK",Aux_puntos!$1:$1,0))="",NA(),INDEX(Aux_puntos!$A$2:$OJ$901,21,MATCH($B$2&amp;"|xK",Aux_puntos!$1:$1,0))),NA())</f>
        <v>#N/A</v>
      </c>
      <c r="AD25" t="e">
        <f>IFERROR(IF(INDEX(Aux_puntos!$A$2:$OJ$901,21,MATCH($B$2&amp;"|yK",Aux_puntos!$1:$1,0))="",NA(),INDEX(Aux_puntos!$A$2:$OJ$901,21,MATCH($B$2&amp;"|yK",Aux_puntos!$1:$1,0))),NA())</f>
        <v>#N/A</v>
      </c>
      <c r="AE25" t="e">
        <f>IFERROR(IF(INDEX(Aux_puntos!$A$2:$OJ$901,21,MATCH($B$2&amp;"|xC",Aux_puntos!$1:$1,0))="",NA(),INDEX(Aux_puntos!$A$2:$OJ$901,21,MATCH($B$2&amp;"|xC",Aux_puntos!$1:$1,0))),NA())</f>
        <v>#N/A</v>
      </c>
      <c r="AF25" t="e">
        <f>IFERROR(IF(INDEX(Aux_puntos!$A$2:$OJ$901,21,MATCH($B$2&amp;"|yC",Aux_puntos!$1:$1,0))="",NA(),INDEX(Aux_puntos!$A$2:$OJ$901,21,MATCH($B$2&amp;"|yC",Aux_puntos!$1:$1,0))),NA())</f>
        <v>#N/A</v>
      </c>
      <c r="AG25" t="e">
        <f>IFERROR(IF(INDEX(Aux_puntos!$A$2:$OJ$901,21,MATCH($B$2&amp;"|xI",Aux_puntos!$1:$1,0))="",NA(),INDEX(Aux_puntos!$A$2:$OJ$901,21,MATCH($B$2&amp;"|xI",Aux_puntos!$1:$1,0))),NA())</f>
        <v>#N/A</v>
      </c>
      <c r="AH25" t="e">
        <f>IFERROR(IF(INDEX(Aux_puntos!$A$2:$OJ$901,21,MATCH($B$2&amp;"|yI",Aux_puntos!$1:$1,0))="",NA(),INDEX(Aux_puntos!$A$2:$OJ$901,21,MATCH($B$2&amp;"|yI",Aux_puntos!$1:$1,0))),NA())</f>
        <v>#N/A</v>
      </c>
      <c r="AI25">
        <f>IFERROR(IF(INDEX(Aux_puntos!$A$2:$OJ$901,21,MATCH($B$2&amp;"|xN",Aux_puntos!$1:$1,0))="",NA(),INDEX(Aux_puntos!$A$2:$OJ$901,21,MATCH($B$2&amp;"|xN",Aux_puntos!$1:$1,0))),NA())</f>
        <v>3000</v>
      </c>
      <c r="AJ25">
        <f>IFERROR(IF(INDEX(Aux_puntos!$A$2:$OJ$901,21,MATCH($B$2&amp;"|yN",Aux_puntos!$1:$1,0))="",NA(),INDEX(Aux_puntos!$A$2:$OJ$901,21,MATCH($B$2&amp;"|yN",Aux_puntos!$1:$1,0))),NA())</f>
        <v>0.5</v>
      </c>
    </row>
    <row r="26" spans="1:36" x14ac:dyDescent="0.3">
      <c r="A26" s="31"/>
      <c r="B26" s="31"/>
      <c r="AC26" t="e">
        <f>IFERROR(IF(INDEX(Aux_puntos!$A$2:$OJ$901,22,MATCH($B$2&amp;"|xK",Aux_puntos!$1:$1,0))="",NA(),INDEX(Aux_puntos!$A$2:$OJ$901,22,MATCH($B$2&amp;"|xK",Aux_puntos!$1:$1,0))),NA())</f>
        <v>#N/A</v>
      </c>
      <c r="AD26" t="e">
        <f>IFERROR(IF(INDEX(Aux_puntos!$A$2:$OJ$901,22,MATCH($B$2&amp;"|yK",Aux_puntos!$1:$1,0))="",NA(),INDEX(Aux_puntos!$A$2:$OJ$901,22,MATCH($B$2&amp;"|yK",Aux_puntos!$1:$1,0))),NA())</f>
        <v>#N/A</v>
      </c>
      <c r="AE26" t="e">
        <f>IFERROR(IF(INDEX(Aux_puntos!$A$2:$OJ$901,22,MATCH($B$2&amp;"|xC",Aux_puntos!$1:$1,0))="",NA(),INDEX(Aux_puntos!$A$2:$OJ$901,22,MATCH($B$2&amp;"|xC",Aux_puntos!$1:$1,0))),NA())</f>
        <v>#N/A</v>
      </c>
      <c r="AF26" t="e">
        <f>IFERROR(IF(INDEX(Aux_puntos!$A$2:$OJ$901,22,MATCH($B$2&amp;"|yC",Aux_puntos!$1:$1,0))="",NA(),INDEX(Aux_puntos!$A$2:$OJ$901,22,MATCH($B$2&amp;"|yC",Aux_puntos!$1:$1,0))),NA())</f>
        <v>#N/A</v>
      </c>
      <c r="AG26" t="e">
        <f>IFERROR(IF(INDEX(Aux_puntos!$A$2:$OJ$901,22,MATCH($B$2&amp;"|xI",Aux_puntos!$1:$1,0))="",NA(),INDEX(Aux_puntos!$A$2:$OJ$901,22,MATCH($B$2&amp;"|xI",Aux_puntos!$1:$1,0))),NA())</f>
        <v>#N/A</v>
      </c>
      <c r="AH26" t="e">
        <f>IFERROR(IF(INDEX(Aux_puntos!$A$2:$OJ$901,22,MATCH($B$2&amp;"|yI",Aux_puntos!$1:$1,0))="",NA(),INDEX(Aux_puntos!$A$2:$OJ$901,22,MATCH($B$2&amp;"|yI",Aux_puntos!$1:$1,0))),NA())</f>
        <v>#N/A</v>
      </c>
      <c r="AI26">
        <f>IFERROR(IF(INDEX(Aux_puntos!$A$2:$OJ$901,22,MATCH($B$2&amp;"|xN",Aux_puntos!$1:$1,0))="",NA(),INDEX(Aux_puntos!$A$2:$OJ$901,22,MATCH($B$2&amp;"|xN",Aux_puntos!$1:$1,0))),NA())</f>
        <v>3000</v>
      </c>
      <c r="AJ26">
        <f>IFERROR(IF(INDEX(Aux_puntos!$A$2:$OJ$901,22,MATCH($B$2&amp;"|yN",Aux_puntos!$1:$1,0))="",NA(),INDEX(Aux_puntos!$A$2:$OJ$901,22,MATCH($B$2&amp;"|yN",Aux_puntos!$1:$1,0))),NA())</f>
        <v>0.5</v>
      </c>
    </row>
    <row r="27" spans="1:36" x14ac:dyDescent="0.3">
      <c r="A27" s="31"/>
      <c r="B27" s="31"/>
      <c r="AC27" t="e">
        <f>IFERROR(IF(INDEX(Aux_puntos!$A$2:$OJ$901,23,MATCH($B$2&amp;"|xK",Aux_puntos!$1:$1,0))="",NA(),INDEX(Aux_puntos!$A$2:$OJ$901,23,MATCH($B$2&amp;"|xK",Aux_puntos!$1:$1,0))),NA())</f>
        <v>#N/A</v>
      </c>
      <c r="AD27" t="e">
        <f>IFERROR(IF(INDEX(Aux_puntos!$A$2:$OJ$901,23,MATCH($B$2&amp;"|yK",Aux_puntos!$1:$1,0))="",NA(),INDEX(Aux_puntos!$A$2:$OJ$901,23,MATCH($B$2&amp;"|yK",Aux_puntos!$1:$1,0))),NA())</f>
        <v>#N/A</v>
      </c>
      <c r="AE27" t="e">
        <f>IFERROR(IF(INDEX(Aux_puntos!$A$2:$OJ$901,23,MATCH($B$2&amp;"|xC",Aux_puntos!$1:$1,0))="",NA(),INDEX(Aux_puntos!$A$2:$OJ$901,23,MATCH($B$2&amp;"|xC",Aux_puntos!$1:$1,0))),NA())</f>
        <v>#N/A</v>
      </c>
      <c r="AF27" t="e">
        <f>IFERROR(IF(INDEX(Aux_puntos!$A$2:$OJ$901,23,MATCH($B$2&amp;"|yC",Aux_puntos!$1:$1,0))="",NA(),INDEX(Aux_puntos!$A$2:$OJ$901,23,MATCH($B$2&amp;"|yC",Aux_puntos!$1:$1,0))),NA())</f>
        <v>#N/A</v>
      </c>
      <c r="AG27" t="e">
        <f>IFERROR(IF(INDEX(Aux_puntos!$A$2:$OJ$901,23,MATCH($B$2&amp;"|xI",Aux_puntos!$1:$1,0))="",NA(),INDEX(Aux_puntos!$A$2:$OJ$901,23,MATCH($B$2&amp;"|xI",Aux_puntos!$1:$1,0))),NA())</f>
        <v>#N/A</v>
      </c>
      <c r="AH27" t="e">
        <f>IFERROR(IF(INDEX(Aux_puntos!$A$2:$OJ$901,23,MATCH($B$2&amp;"|yI",Aux_puntos!$1:$1,0))="",NA(),INDEX(Aux_puntos!$A$2:$OJ$901,23,MATCH($B$2&amp;"|yI",Aux_puntos!$1:$1,0))),NA())</f>
        <v>#N/A</v>
      </c>
      <c r="AI27">
        <f>IFERROR(IF(INDEX(Aux_puntos!$A$2:$OJ$901,23,MATCH($B$2&amp;"|xN",Aux_puntos!$1:$1,0))="",NA(),INDEX(Aux_puntos!$A$2:$OJ$901,23,MATCH($B$2&amp;"|xN",Aux_puntos!$1:$1,0))),NA())</f>
        <v>3000</v>
      </c>
      <c r="AJ27">
        <f>IFERROR(IF(INDEX(Aux_puntos!$A$2:$OJ$901,23,MATCH($B$2&amp;"|yN",Aux_puntos!$1:$1,0))="",NA(),INDEX(Aux_puntos!$A$2:$OJ$901,23,MATCH($B$2&amp;"|yN",Aux_puntos!$1:$1,0))),NA())</f>
        <v>0.5</v>
      </c>
    </row>
    <row r="28" spans="1:36" x14ac:dyDescent="0.3">
      <c r="A28" s="31"/>
      <c r="B28" s="31"/>
      <c r="AC28" t="e">
        <f>IFERROR(IF(INDEX(Aux_puntos!$A$2:$OJ$901,24,MATCH($B$2&amp;"|xK",Aux_puntos!$1:$1,0))="",NA(),INDEX(Aux_puntos!$A$2:$OJ$901,24,MATCH($B$2&amp;"|xK",Aux_puntos!$1:$1,0))),NA())</f>
        <v>#N/A</v>
      </c>
      <c r="AD28" t="e">
        <f>IFERROR(IF(INDEX(Aux_puntos!$A$2:$OJ$901,24,MATCH($B$2&amp;"|yK",Aux_puntos!$1:$1,0))="",NA(),INDEX(Aux_puntos!$A$2:$OJ$901,24,MATCH($B$2&amp;"|yK",Aux_puntos!$1:$1,0))),NA())</f>
        <v>#N/A</v>
      </c>
      <c r="AE28" t="e">
        <f>IFERROR(IF(INDEX(Aux_puntos!$A$2:$OJ$901,24,MATCH($B$2&amp;"|xC",Aux_puntos!$1:$1,0))="",NA(),INDEX(Aux_puntos!$A$2:$OJ$901,24,MATCH($B$2&amp;"|xC",Aux_puntos!$1:$1,0))),NA())</f>
        <v>#N/A</v>
      </c>
      <c r="AF28" t="e">
        <f>IFERROR(IF(INDEX(Aux_puntos!$A$2:$OJ$901,24,MATCH($B$2&amp;"|yC",Aux_puntos!$1:$1,0))="",NA(),INDEX(Aux_puntos!$A$2:$OJ$901,24,MATCH($B$2&amp;"|yC",Aux_puntos!$1:$1,0))),NA())</f>
        <v>#N/A</v>
      </c>
      <c r="AG28" t="e">
        <f>IFERROR(IF(INDEX(Aux_puntos!$A$2:$OJ$901,24,MATCH($B$2&amp;"|xI",Aux_puntos!$1:$1,0))="",NA(),INDEX(Aux_puntos!$A$2:$OJ$901,24,MATCH($B$2&amp;"|xI",Aux_puntos!$1:$1,0))),NA())</f>
        <v>#N/A</v>
      </c>
      <c r="AH28" t="e">
        <f>IFERROR(IF(INDEX(Aux_puntos!$A$2:$OJ$901,24,MATCH($B$2&amp;"|yI",Aux_puntos!$1:$1,0))="",NA(),INDEX(Aux_puntos!$A$2:$OJ$901,24,MATCH($B$2&amp;"|yI",Aux_puntos!$1:$1,0))),NA())</f>
        <v>#N/A</v>
      </c>
      <c r="AI28">
        <f>IFERROR(IF(INDEX(Aux_puntos!$A$2:$OJ$901,24,MATCH($B$2&amp;"|xN",Aux_puntos!$1:$1,0))="",NA(),INDEX(Aux_puntos!$A$2:$OJ$901,24,MATCH($B$2&amp;"|xN",Aux_puntos!$1:$1,0))),NA())</f>
        <v>3000</v>
      </c>
      <c r="AJ28">
        <f>IFERROR(IF(INDEX(Aux_puntos!$A$2:$OJ$901,24,MATCH($B$2&amp;"|yN",Aux_puntos!$1:$1,0))="",NA(),INDEX(Aux_puntos!$A$2:$OJ$901,24,MATCH($B$2&amp;"|yN",Aux_puntos!$1:$1,0))),NA())</f>
        <v>0.5</v>
      </c>
    </row>
    <row r="29" spans="1:36" x14ac:dyDescent="0.3">
      <c r="AC29" t="e">
        <f>IFERROR(IF(INDEX(Aux_puntos!$A$2:$OJ$901,25,MATCH($B$2&amp;"|xK",Aux_puntos!$1:$1,0))="",NA(),INDEX(Aux_puntos!$A$2:$OJ$901,25,MATCH($B$2&amp;"|xK",Aux_puntos!$1:$1,0))),NA())</f>
        <v>#N/A</v>
      </c>
      <c r="AD29" t="e">
        <f>IFERROR(IF(INDEX(Aux_puntos!$A$2:$OJ$901,25,MATCH($B$2&amp;"|yK",Aux_puntos!$1:$1,0))="",NA(),INDEX(Aux_puntos!$A$2:$OJ$901,25,MATCH($B$2&amp;"|yK",Aux_puntos!$1:$1,0))),NA())</f>
        <v>#N/A</v>
      </c>
      <c r="AE29" t="e">
        <f>IFERROR(IF(INDEX(Aux_puntos!$A$2:$OJ$901,25,MATCH($B$2&amp;"|xC",Aux_puntos!$1:$1,0))="",NA(),INDEX(Aux_puntos!$A$2:$OJ$901,25,MATCH($B$2&amp;"|xC",Aux_puntos!$1:$1,0))),NA())</f>
        <v>#N/A</v>
      </c>
      <c r="AF29" t="e">
        <f>IFERROR(IF(INDEX(Aux_puntos!$A$2:$OJ$901,25,MATCH($B$2&amp;"|yC",Aux_puntos!$1:$1,0))="",NA(),INDEX(Aux_puntos!$A$2:$OJ$901,25,MATCH($B$2&amp;"|yC",Aux_puntos!$1:$1,0))),NA())</f>
        <v>#N/A</v>
      </c>
      <c r="AG29" t="e">
        <f>IFERROR(IF(INDEX(Aux_puntos!$A$2:$OJ$901,25,MATCH($B$2&amp;"|xI",Aux_puntos!$1:$1,0))="",NA(),INDEX(Aux_puntos!$A$2:$OJ$901,25,MATCH($B$2&amp;"|xI",Aux_puntos!$1:$1,0))),NA())</f>
        <v>#N/A</v>
      </c>
      <c r="AH29" t="e">
        <f>IFERROR(IF(INDEX(Aux_puntos!$A$2:$OJ$901,25,MATCH($B$2&amp;"|yI",Aux_puntos!$1:$1,0))="",NA(),INDEX(Aux_puntos!$A$2:$OJ$901,25,MATCH($B$2&amp;"|yI",Aux_puntos!$1:$1,0))),NA())</f>
        <v>#N/A</v>
      </c>
      <c r="AI29">
        <f>IFERROR(IF(INDEX(Aux_puntos!$A$2:$OJ$901,25,MATCH($B$2&amp;"|xN",Aux_puntos!$1:$1,0))="",NA(),INDEX(Aux_puntos!$A$2:$OJ$901,25,MATCH($B$2&amp;"|xN",Aux_puntos!$1:$1,0))),NA())</f>
        <v>3000</v>
      </c>
      <c r="AJ29">
        <f>IFERROR(IF(INDEX(Aux_puntos!$A$2:$OJ$901,25,MATCH($B$2&amp;"|yN",Aux_puntos!$1:$1,0))="",NA(),INDEX(Aux_puntos!$A$2:$OJ$901,25,MATCH($B$2&amp;"|yN",Aux_puntos!$1:$1,0))),NA())</f>
        <v>0.5</v>
      </c>
    </row>
    <row r="30" spans="1:36" x14ac:dyDescent="0.3">
      <c r="AC30" t="e">
        <f>IFERROR(IF(INDEX(Aux_puntos!$A$2:$OJ$901,26,MATCH($B$2&amp;"|xK",Aux_puntos!$1:$1,0))="",NA(),INDEX(Aux_puntos!$A$2:$OJ$901,26,MATCH($B$2&amp;"|xK",Aux_puntos!$1:$1,0))),NA())</f>
        <v>#N/A</v>
      </c>
      <c r="AD30" t="e">
        <f>IFERROR(IF(INDEX(Aux_puntos!$A$2:$OJ$901,26,MATCH($B$2&amp;"|yK",Aux_puntos!$1:$1,0))="",NA(),INDEX(Aux_puntos!$A$2:$OJ$901,26,MATCH($B$2&amp;"|yK",Aux_puntos!$1:$1,0))),NA())</f>
        <v>#N/A</v>
      </c>
      <c r="AE30" t="e">
        <f>IFERROR(IF(INDEX(Aux_puntos!$A$2:$OJ$901,26,MATCH($B$2&amp;"|xC",Aux_puntos!$1:$1,0))="",NA(),INDEX(Aux_puntos!$A$2:$OJ$901,26,MATCH($B$2&amp;"|xC",Aux_puntos!$1:$1,0))),NA())</f>
        <v>#N/A</v>
      </c>
      <c r="AF30" t="e">
        <f>IFERROR(IF(INDEX(Aux_puntos!$A$2:$OJ$901,26,MATCH($B$2&amp;"|yC",Aux_puntos!$1:$1,0))="",NA(),INDEX(Aux_puntos!$A$2:$OJ$901,26,MATCH($B$2&amp;"|yC",Aux_puntos!$1:$1,0))),NA())</f>
        <v>#N/A</v>
      </c>
      <c r="AG30" t="e">
        <f>IFERROR(IF(INDEX(Aux_puntos!$A$2:$OJ$901,26,MATCH($B$2&amp;"|xI",Aux_puntos!$1:$1,0))="",NA(),INDEX(Aux_puntos!$A$2:$OJ$901,26,MATCH($B$2&amp;"|xI",Aux_puntos!$1:$1,0))),NA())</f>
        <v>#N/A</v>
      </c>
      <c r="AH30" t="e">
        <f>IFERROR(IF(INDEX(Aux_puntos!$A$2:$OJ$901,26,MATCH($B$2&amp;"|yI",Aux_puntos!$1:$1,0))="",NA(),INDEX(Aux_puntos!$A$2:$OJ$901,26,MATCH($B$2&amp;"|yI",Aux_puntos!$1:$1,0))),NA())</f>
        <v>#N/A</v>
      </c>
      <c r="AI30">
        <f>IFERROR(IF(INDEX(Aux_puntos!$A$2:$OJ$901,26,MATCH($B$2&amp;"|xN",Aux_puntos!$1:$1,0))="",NA(),INDEX(Aux_puntos!$A$2:$OJ$901,26,MATCH($B$2&amp;"|xN",Aux_puntos!$1:$1,0))),NA())</f>
        <v>3000</v>
      </c>
      <c r="AJ30">
        <f>IFERROR(IF(INDEX(Aux_puntos!$A$2:$OJ$901,26,MATCH($B$2&amp;"|yN",Aux_puntos!$1:$1,0))="",NA(),INDEX(Aux_puntos!$A$2:$OJ$901,26,MATCH($B$2&amp;"|yN",Aux_puntos!$1:$1,0))),NA())</f>
        <v>0.5</v>
      </c>
    </row>
    <row r="31" spans="1:36" x14ac:dyDescent="0.3">
      <c r="AC31" t="e">
        <f>IFERROR(IF(INDEX(Aux_puntos!$A$2:$OJ$901,27,MATCH($B$2&amp;"|xK",Aux_puntos!$1:$1,0))="",NA(),INDEX(Aux_puntos!$A$2:$OJ$901,27,MATCH($B$2&amp;"|xK",Aux_puntos!$1:$1,0))),NA())</f>
        <v>#N/A</v>
      </c>
      <c r="AD31" t="e">
        <f>IFERROR(IF(INDEX(Aux_puntos!$A$2:$OJ$901,27,MATCH($B$2&amp;"|yK",Aux_puntos!$1:$1,0))="",NA(),INDEX(Aux_puntos!$A$2:$OJ$901,27,MATCH($B$2&amp;"|yK",Aux_puntos!$1:$1,0))),NA())</f>
        <v>#N/A</v>
      </c>
      <c r="AE31" t="e">
        <f>IFERROR(IF(INDEX(Aux_puntos!$A$2:$OJ$901,27,MATCH($B$2&amp;"|xC",Aux_puntos!$1:$1,0))="",NA(),INDEX(Aux_puntos!$A$2:$OJ$901,27,MATCH($B$2&amp;"|xC",Aux_puntos!$1:$1,0))),NA())</f>
        <v>#N/A</v>
      </c>
      <c r="AF31" t="e">
        <f>IFERROR(IF(INDEX(Aux_puntos!$A$2:$OJ$901,27,MATCH($B$2&amp;"|yC",Aux_puntos!$1:$1,0))="",NA(),INDEX(Aux_puntos!$A$2:$OJ$901,27,MATCH($B$2&amp;"|yC",Aux_puntos!$1:$1,0))),NA())</f>
        <v>#N/A</v>
      </c>
      <c r="AG31" t="e">
        <f>IFERROR(IF(INDEX(Aux_puntos!$A$2:$OJ$901,27,MATCH($B$2&amp;"|xI",Aux_puntos!$1:$1,0))="",NA(),INDEX(Aux_puntos!$A$2:$OJ$901,27,MATCH($B$2&amp;"|xI",Aux_puntos!$1:$1,0))),NA())</f>
        <v>#N/A</v>
      </c>
      <c r="AH31" t="e">
        <f>IFERROR(IF(INDEX(Aux_puntos!$A$2:$OJ$901,27,MATCH($B$2&amp;"|yI",Aux_puntos!$1:$1,0))="",NA(),INDEX(Aux_puntos!$A$2:$OJ$901,27,MATCH($B$2&amp;"|yI",Aux_puntos!$1:$1,0))),NA())</f>
        <v>#N/A</v>
      </c>
      <c r="AI31">
        <f>IFERROR(IF(INDEX(Aux_puntos!$A$2:$OJ$901,27,MATCH($B$2&amp;"|xN",Aux_puntos!$1:$1,0))="",NA(),INDEX(Aux_puntos!$A$2:$OJ$901,27,MATCH($B$2&amp;"|xN",Aux_puntos!$1:$1,0))),NA())</f>
        <v>3000</v>
      </c>
      <c r="AJ31">
        <f>IFERROR(IF(INDEX(Aux_puntos!$A$2:$OJ$901,27,MATCH($B$2&amp;"|yN",Aux_puntos!$1:$1,0))="",NA(),INDEX(Aux_puntos!$A$2:$OJ$901,27,MATCH($B$2&amp;"|yN",Aux_puntos!$1:$1,0))),NA())</f>
        <v>0.5</v>
      </c>
    </row>
    <row r="32" spans="1:36" x14ac:dyDescent="0.3">
      <c r="AC32" t="e">
        <f>IFERROR(IF(INDEX(Aux_puntos!$A$2:$OJ$901,28,MATCH($B$2&amp;"|xK",Aux_puntos!$1:$1,0))="",NA(),INDEX(Aux_puntos!$A$2:$OJ$901,28,MATCH($B$2&amp;"|xK",Aux_puntos!$1:$1,0))),NA())</f>
        <v>#N/A</v>
      </c>
      <c r="AD32" t="e">
        <f>IFERROR(IF(INDEX(Aux_puntos!$A$2:$OJ$901,28,MATCH($B$2&amp;"|yK",Aux_puntos!$1:$1,0))="",NA(),INDEX(Aux_puntos!$A$2:$OJ$901,28,MATCH($B$2&amp;"|yK",Aux_puntos!$1:$1,0))),NA())</f>
        <v>#N/A</v>
      </c>
      <c r="AE32" t="e">
        <f>IFERROR(IF(INDEX(Aux_puntos!$A$2:$OJ$901,28,MATCH($B$2&amp;"|xC",Aux_puntos!$1:$1,0))="",NA(),INDEX(Aux_puntos!$A$2:$OJ$901,28,MATCH($B$2&amp;"|xC",Aux_puntos!$1:$1,0))),NA())</f>
        <v>#N/A</v>
      </c>
      <c r="AF32" t="e">
        <f>IFERROR(IF(INDEX(Aux_puntos!$A$2:$OJ$901,28,MATCH($B$2&amp;"|yC",Aux_puntos!$1:$1,0))="",NA(),INDEX(Aux_puntos!$A$2:$OJ$901,28,MATCH($B$2&amp;"|yC",Aux_puntos!$1:$1,0))),NA())</f>
        <v>#N/A</v>
      </c>
      <c r="AG32" t="e">
        <f>IFERROR(IF(INDEX(Aux_puntos!$A$2:$OJ$901,28,MATCH($B$2&amp;"|xI",Aux_puntos!$1:$1,0))="",NA(),INDEX(Aux_puntos!$A$2:$OJ$901,28,MATCH($B$2&amp;"|xI",Aux_puntos!$1:$1,0))),NA())</f>
        <v>#N/A</v>
      </c>
      <c r="AH32" t="e">
        <f>IFERROR(IF(INDEX(Aux_puntos!$A$2:$OJ$901,28,MATCH($B$2&amp;"|yI",Aux_puntos!$1:$1,0))="",NA(),INDEX(Aux_puntos!$A$2:$OJ$901,28,MATCH($B$2&amp;"|yI",Aux_puntos!$1:$1,0))),NA())</f>
        <v>#N/A</v>
      </c>
      <c r="AI32">
        <f>IFERROR(IF(INDEX(Aux_puntos!$A$2:$OJ$901,28,MATCH($B$2&amp;"|xN",Aux_puntos!$1:$1,0))="",NA(),INDEX(Aux_puntos!$A$2:$OJ$901,28,MATCH($B$2&amp;"|xN",Aux_puntos!$1:$1,0))),NA())</f>
        <v>3000</v>
      </c>
      <c r="AJ32">
        <f>IFERROR(IF(INDEX(Aux_puntos!$A$2:$OJ$901,28,MATCH($B$2&amp;"|yN",Aux_puntos!$1:$1,0))="",NA(),INDEX(Aux_puntos!$A$2:$OJ$901,28,MATCH($B$2&amp;"|yN",Aux_puntos!$1:$1,0))),NA())</f>
        <v>0.5</v>
      </c>
    </row>
    <row r="33" spans="29:36" x14ac:dyDescent="0.3">
      <c r="AC33" t="e">
        <f>IFERROR(IF(INDEX(Aux_puntos!$A$2:$OJ$901,29,MATCH($B$2&amp;"|xK",Aux_puntos!$1:$1,0))="",NA(),INDEX(Aux_puntos!$A$2:$OJ$901,29,MATCH($B$2&amp;"|xK",Aux_puntos!$1:$1,0))),NA())</f>
        <v>#N/A</v>
      </c>
      <c r="AD33" t="e">
        <f>IFERROR(IF(INDEX(Aux_puntos!$A$2:$OJ$901,29,MATCH($B$2&amp;"|yK",Aux_puntos!$1:$1,0))="",NA(),INDEX(Aux_puntos!$A$2:$OJ$901,29,MATCH($B$2&amp;"|yK",Aux_puntos!$1:$1,0))),NA())</f>
        <v>#N/A</v>
      </c>
      <c r="AE33" t="e">
        <f>IFERROR(IF(INDEX(Aux_puntos!$A$2:$OJ$901,29,MATCH($B$2&amp;"|xC",Aux_puntos!$1:$1,0))="",NA(),INDEX(Aux_puntos!$A$2:$OJ$901,29,MATCH($B$2&amp;"|xC",Aux_puntos!$1:$1,0))),NA())</f>
        <v>#N/A</v>
      </c>
      <c r="AF33" t="e">
        <f>IFERROR(IF(INDEX(Aux_puntos!$A$2:$OJ$901,29,MATCH($B$2&amp;"|yC",Aux_puntos!$1:$1,0))="",NA(),INDEX(Aux_puntos!$A$2:$OJ$901,29,MATCH($B$2&amp;"|yC",Aux_puntos!$1:$1,0))),NA())</f>
        <v>#N/A</v>
      </c>
      <c r="AG33" t="e">
        <f>IFERROR(IF(INDEX(Aux_puntos!$A$2:$OJ$901,29,MATCH($B$2&amp;"|xI",Aux_puntos!$1:$1,0))="",NA(),INDEX(Aux_puntos!$A$2:$OJ$901,29,MATCH($B$2&amp;"|xI",Aux_puntos!$1:$1,0))),NA())</f>
        <v>#N/A</v>
      </c>
      <c r="AH33" t="e">
        <f>IFERROR(IF(INDEX(Aux_puntos!$A$2:$OJ$901,29,MATCH($B$2&amp;"|yI",Aux_puntos!$1:$1,0))="",NA(),INDEX(Aux_puntos!$A$2:$OJ$901,29,MATCH($B$2&amp;"|yI",Aux_puntos!$1:$1,0))),NA())</f>
        <v>#N/A</v>
      </c>
      <c r="AI33">
        <f>IFERROR(IF(INDEX(Aux_puntos!$A$2:$OJ$901,29,MATCH($B$2&amp;"|xN",Aux_puntos!$1:$1,0))="",NA(),INDEX(Aux_puntos!$A$2:$OJ$901,29,MATCH($B$2&amp;"|xN",Aux_puntos!$1:$1,0))),NA())</f>
        <v>3000</v>
      </c>
      <c r="AJ33">
        <f>IFERROR(IF(INDEX(Aux_puntos!$A$2:$OJ$901,29,MATCH($B$2&amp;"|yN",Aux_puntos!$1:$1,0))="",NA(),INDEX(Aux_puntos!$A$2:$OJ$901,29,MATCH($B$2&amp;"|yN",Aux_puntos!$1:$1,0))),NA())</f>
        <v>0.5</v>
      </c>
    </row>
    <row r="34" spans="29:36" x14ac:dyDescent="0.3">
      <c r="AC34" t="e">
        <f>IFERROR(IF(INDEX(Aux_puntos!$A$2:$OJ$901,30,MATCH($B$2&amp;"|xK",Aux_puntos!$1:$1,0))="",NA(),INDEX(Aux_puntos!$A$2:$OJ$901,30,MATCH($B$2&amp;"|xK",Aux_puntos!$1:$1,0))),NA())</f>
        <v>#N/A</v>
      </c>
      <c r="AD34" t="e">
        <f>IFERROR(IF(INDEX(Aux_puntos!$A$2:$OJ$901,30,MATCH($B$2&amp;"|yK",Aux_puntos!$1:$1,0))="",NA(),INDEX(Aux_puntos!$A$2:$OJ$901,30,MATCH($B$2&amp;"|yK",Aux_puntos!$1:$1,0))),NA())</f>
        <v>#N/A</v>
      </c>
      <c r="AE34" t="e">
        <f>IFERROR(IF(INDEX(Aux_puntos!$A$2:$OJ$901,30,MATCH($B$2&amp;"|xC",Aux_puntos!$1:$1,0))="",NA(),INDEX(Aux_puntos!$A$2:$OJ$901,30,MATCH($B$2&amp;"|xC",Aux_puntos!$1:$1,0))),NA())</f>
        <v>#N/A</v>
      </c>
      <c r="AF34" t="e">
        <f>IFERROR(IF(INDEX(Aux_puntos!$A$2:$OJ$901,30,MATCH($B$2&amp;"|yC",Aux_puntos!$1:$1,0))="",NA(),INDEX(Aux_puntos!$A$2:$OJ$901,30,MATCH($B$2&amp;"|yC",Aux_puntos!$1:$1,0))),NA())</f>
        <v>#N/A</v>
      </c>
      <c r="AG34" t="e">
        <f>IFERROR(IF(INDEX(Aux_puntos!$A$2:$OJ$901,30,MATCH($B$2&amp;"|xI",Aux_puntos!$1:$1,0))="",NA(),INDEX(Aux_puntos!$A$2:$OJ$901,30,MATCH($B$2&amp;"|xI",Aux_puntos!$1:$1,0))),NA())</f>
        <v>#N/A</v>
      </c>
      <c r="AH34" t="e">
        <f>IFERROR(IF(INDEX(Aux_puntos!$A$2:$OJ$901,30,MATCH($B$2&amp;"|yI",Aux_puntos!$1:$1,0))="",NA(),INDEX(Aux_puntos!$A$2:$OJ$901,30,MATCH($B$2&amp;"|yI",Aux_puntos!$1:$1,0))),NA())</f>
        <v>#N/A</v>
      </c>
      <c r="AI34">
        <f>IFERROR(IF(INDEX(Aux_puntos!$A$2:$OJ$901,30,MATCH($B$2&amp;"|xN",Aux_puntos!$1:$1,0))="",NA(),INDEX(Aux_puntos!$A$2:$OJ$901,30,MATCH($B$2&amp;"|xN",Aux_puntos!$1:$1,0))),NA())</f>
        <v>3000</v>
      </c>
      <c r="AJ34">
        <f>IFERROR(IF(INDEX(Aux_puntos!$A$2:$OJ$901,30,MATCH($B$2&amp;"|yN",Aux_puntos!$1:$1,0))="",NA(),INDEX(Aux_puntos!$A$2:$OJ$901,30,MATCH($B$2&amp;"|yN",Aux_puntos!$1:$1,0))),NA())</f>
        <v>0.5</v>
      </c>
    </row>
    <row r="35" spans="29:36" x14ac:dyDescent="0.3">
      <c r="AC35" t="e">
        <f>IFERROR(IF(INDEX(Aux_puntos!$A$2:$OJ$901,31,MATCH($B$2&amp;"|xK",Aux_puntos!$1:$1,0))="",NA(),INDEX(Aux_puntos!$A$2:$OJ$901,31,MATCH($B$2&amp;"|xK",Aux_puntos!$1:$1,0))),NA())</f>
        <v>#N/A</v>
      </c>
      <c r="AD35" t="e">
        <f>IFERROR(IF(INDEX(Aux_puntos!$A$2:$OJ$901,31,MATCH($B$2&amp;"|yK",Aux_puntos!$1:$1,0))="",NA(),INDEX(Aux_puntos!$A$2:$OJ$901,31,MATCH($B$2&amp;"|yK",Aux_puntos!$1:$1,0))),NA())</f>
        <v>#N/A</v>
      </c>
      <c r="AE35" t="e">
        <f>IFERROR(IF(INDEX(Aux_puntos!$A$2:$OJ$901,31,MATCH($B$2&amp;"|xC",Aux_puntos!$1:$1,0))="",NA(),INDEX(Aux_puntos!$A$2:$OJ$901,31,MATCH($B$2&amp;"|xC",Aux_puntos!$1:$1,0))),NA())</f>
        <v>#N/A</v>
      </c>
      <c r="AF35" t="e">
        <f>IFERROR(IF(INDEX(Aux_puntos!$A$2:$OJ$901,31,MATCH($B$2&amp;"|yC",Aux_puntos!$1:$1,0))="",NA(),INDEX(Aux_puntos!$A$2:$OJ$901,31,MATCH($B$2&amp;"|yC",Aux_puntos!$1:$1,0))),NA())</f>
        <v>#N/A</v>
      </c>
      <c r="AG35" t="e">
        <f>IFERROR(IF(INDEX(Aux_puntos!$A$2:$OJ$901,31,MATCH($B$2&amp;"|xI",Aux_puntos!$1:$1,0))="",NA(),INDEX(Aux_puntos!$A$2:$OJ$901,31,MATCH($B$2&amp;"|xI",Aux_puntos!$1:$1,0))),NA())</f>
        <v>#N/A</v>
      </c>
      <c r="AH35" t="e">
        <f>IFERROR(IF(INDEX(Aux_puntos!$A$2:$OJ$901,31,MATCH($B$2&amp;"|yI",Aux_puntos!$1:$1,0))="",NA(),INDEX(Aux_puntos!$A$2:$OJ$901,31,MATCH($B$2&amp;"|yI",Aux_puntos!$1:$1,0))),NA())</f>
        <v>#N/A</v>
      </c>
      <c r="AI35">
        <f>IFERROR(IF(INDEX(Aux_puntos!$A$2:$OJ$901,31,MATCH($B$2&amp;"|xN",Aux_puntos!$1:$1,0))="",NA(),INDEX(Aux_puntos!$A$2:$OJ$901,31,MATCH($B$2&amp;"|xN",Aux_puntos!$1:$1,0))),NA())</f>
        <v>3000</v>
      </c>
      <c r="AJ35">
        <f>IFERROR(IF(INDEX(Aux_puntos!$A$2:$OJ$901,31,MATCH($B$2&amp;"|yN",Aux_puntos!$1:$1,0))="",NA(),INDEX(Aux_puntos!$A$2:$OJ$901,31,MATCH($B$2&amp;"|yN",Aux_puntos!$1:$1,0))),NA())</f>
        <v>0.5</v>
      </c>
    </row>
    <row r="36" spans="29:36" x14ac:dyDescent="0.3">
      <c r="AC36" t="e">
        <f>IFERROR(IF(INDEX(Aux_puntos!$A$2:$OJ$901,32,MATCH($B$2&amp;"|xK",Aux_puntos!$1:$1,0))="",NA(),INDEX(Aux_puntos!$A$2:$OJ$901,32,MATCH($B$2&amp;"|xK",Aux_puntos!$1:$1,0))),NA())</f>
        <v>#N/A</v>
      </c>
      <c r="AD36" t="e">
        <f>IFERROR(IF(INDEX(Aux_puntos!$A$2:$OJ$901,32,MATCH($B$2&amp;"|yK",Aux_puntos!$1:$1,0))="",NA(),INDEX(Aux_puntos!$A$2:$OJ$901,32,MATCH($B$2&amp;"|yK",Aux_puntos!$1:$1,0))),NA())</f>
        <v>#N/A</v>
      </c>
      <c r="AE36" t="e">
        <f>IFERROR(IF(INDEX(Aux_puntos!$A$2:$OJ$901,32,MATCH($B$2&amp;"|xC",Aux_puntos!$1:$1,0))="",NA(),INDEX(Aux_puntos!$A$2:$OJ$901,32,MATCH($B$2&amp;"|xC",Aux_puntos!$1:$1,0))),NA())</f>
        <v>#N/A</v>
      </c>
      <c r="AF36" t="e">
        <f>IFERROR(IF(INDEX(Aux_puntos!$A$2:$OJ$901,32,MATCH($B$2&amp;"|yC",Aux_puntos!$1:$1,0))="",NA(),INDEX(Aux_puntos!$A$2:$OJ$901,32,MATCH($B$2&amp;"|yC",Aux_puntos!$1:$1,0))),NA())</f>
        <v>#N/A</v>
      </c>
      <c r="AG36" t="e">
        <f>IFERROR(IF(INDEX(Aux_puntos!$A$2:$OJ$901,32,MATCH($B$2&amp;"|xI",Aux_puntos!$1:$1,0))="",NA(),INDEX(Aux_puntos!$A$2:$OJ$901,32,MATCH($B$2&amp;"|xI",Aux_puntos!$1:$1,0))),NA())</f>
        <v>#N/A</v>
      </c>
      <c r="AH36" t="e">
        <f>IFERROR(IF(INDEX(Aux_puntos!$A$2:$OJ$901,32,MATCH($B$2&amp;"|yI",Aux_puntos!$1:$1,0))="",NA(),INDEX(Aux_puntos!$A$2:$OJ$901,32,MATCH($B$2&amp;"|yI",Aux_puntos!$1:$1,0))),NA())</f>
        <v>#N/A</v>
      </c>
      <c r="AI36">
        <f>IFERROR(IF(INDEX(Aux_puntos!$A$2:$OJ$901,32,MATCH($B$2&amp;"|xN",Aux_puntos!$1:$1,0))="",NA(),INDEX(Aux_puntos!$A$2:$OJ$901,32,MATCH($B$2&amp;"|xN",Aux_puntos!$1:$1,0))),NA())</f>
        <v>3000</v>
      </c>
      <c r="AJ36">
        <f>IFERROR(IF(INDEX(Aux_puntos!$A$2:$OJ$901,32,MATCH($B$2&amp;"|yN",Aux_puntos!$1:$1,0))="",NA(),INDEX(Aux_puntos!$A$2:$OJ$901,32,MATCH($B$2&amp;"|yN",Aux_puntos!$1:$1,0))),NA())</f>
        <v>0.5</v>
      </c>
    </row>
    <row r="37" spans="29:36" x14ac:dyDescent="0.3">
      <c r="AC37" t="e">
        <f>IFERROR(IF(INDEX(Aux_puntos!$A$2:$OJ$901,33,MATCH($B$2&amp;"|xK",Aux_puntos!$1:$1,0))="",NA(),INDEX(Aux_puntos!$A$2:$OJ$901,33,MATCH($B$2&amp;"|xK",Aux_puntos!$1:$1,0))),NA())</f>
        <v>#N/A</v>
      </c>
      <c r="AD37" t="e">
        <f>IFERROR(IF(INDEX(Aux_puntos!$A$2:$OJ$901,33,MATCH($B$2&amp;"|yK",Aux_puntos!$1:$1,0))="",NA(),INDEX(Aux_puntos!$A$2:$OJ$901,33,MATCH($B$2&amp;"|yK",Aux_puntos!$1:$1,0))),NA())</f>
        <v>#N/A</v>
      </c>
      <c r="AE37" t="e">
        <f>IFERROR(IF(INDEX(Aux_puntos!$A$2:$OJ$901,33,MATCH($B$2&amp;"|xC",Aux_puntos!$1:$1,0))="",NA(),INDEX(Aux_puntos!$A$2:$OJ$901,33,MATCH($B$2&amp;"|xC",Aux_puntos!$1:$1,0))),NA())</f>
        <v>#N/A</v>
      </c>
      <c r="AF37" t="e">
        <f>IFERROR(IF(INDEX(Aux_puntos!$A$2:$OJ$901,33,MATCH($B$2&amp;"|yC",Aux_puntos!$1:$1,0))="",NA(),INDEX(Aux_puntos!$A$2:$OJ$901,33,MATCH($B$2&amp;"|yC",Aux_puntos!$1:$1,0))),NA())</f>
        <v>#N/A</v>
      </c>
      <c r="AG37" t="e">
        <f>IFERROR(IF(INDEX(Aux_puntos!$A$2:$OJ$901,33,MATCH($B$2&amp;"|xI",Aux_puntos!$1:$1,0))="",NA(),INDEX(Aux_puntos!$A$2:$OJ$901,33,MATCH($B$2&amp;"|xI",Aux_puntos!$1:$1,0))),NA())</f>
        <v>#N/A</v>
      </c>
      <c r="AH37" t="e">
        <f>IFERROR(IF(INDEX(Aux_puntos!$A$2:$OJ$901,33,MATCH($B$2&amp;"|yI",Aux_puntos!$1:$1,0))="",NA(),INDEX(Aux_puntos!$A$2:$OJ$901,33,MATCH($B$2&amp;"|yI",Aux_puntos!$1:$1,0))),NA())</f>
        <v>#N/A</v>
      </c>
      <c r="AI37">
        <f>IFERROR(IF(INDEX(Aux_puntos!$A$2:$OJ$901,33,MATCH($B$2&amp;"|xN",Aux_puntos!$1:$1,0))="",NA(),INDEX(Aux_puntos!$A$2:$OJ$901,33,MATCH($B$2&amp;"|xN",Aux_puntos!$1:$1,0))),NA())</f>
        <v>3000</v>
      </c>
      <c r="AJ37">
        <f>IFERROR(IF(INDEX(Aux_puntos!$A$2:$OJ$901,33,MATCH($B$2&amp;"|yN",Aux_puntos!$1:$1,0))="",NA(),INDEX(Aux_puntos!$A$2:$OJ$901,33,MATCH($B$2&amp;"|yN",Aux_puntos!$1:$1,0))),NA())</f>
        <v>0.5</v>
      </c>
    </row>
    <row r="38" spans="29:36" x14ac:dyDescent="0.3">
      <c r="AC38" t="e">
        <f>IFERROR(IF(INDEX(Aux_puntos!$A$2:$OJ$901,34,MATCH($B$2&amp;"|xK",Aux_puntos!$1:$1,0))="",NA(),INDEX(Aux_puntos!$A$2:$OJ$901,34,MATCH($B$2&amp;"|xK",Aux_puntos!$1:$1,0))),NA())</f>
        <v>#N/A</v>
      </c>
      <c r="AD38" t="e">
        <f>IFERROR(IF(INDEX(Aux_puntos!$A$2:$OJ$901,34,MATCH($B$2&amp;"|yK",Aux_puntos!$1:$1,0))="",NA(),INDEX(Aux_puntos!$A$2:$OJ$901,34,MATCH($B$2&amp;"|yK",Aux_puntos!$1:$1,0))),NA())</f>
        <v>#N/A</v>
      </c>
      <c r="AE38" t="e">
        <f>IFERROR(IF(INDEX(Aux_puntos!$A$2:$OJ$901,34,MATCH($B$2&amp;"|xC",Aux_puntos!$1:$1,0))="",NA(),INDEX(Aux_puntos!$A$2:$OJ$901,34,MATCH($B$2&amp;"|xC",Aux_puntos!$1:$1,0))),NA())</f>
        <v>#N/A</v>
      </c>
      <c r="AF38" t="e">
        <f>IFERROR(IF(INDEX(Aux_puntos!$A$2:$OJ$901,34,MATCH($B$2&amp;"|yC",Aux_puntos!$1:$1,0))="",NA(),INDEX(Aux_puntos!$A$2:$OJ$901,34,MATCH($B$2&amp;"|yC",Aux_puntos!$1:$1,0))),NA())</f>
        <v>#N/A</v>
      </c>
      <c r="AG38" t="e">
        <f>IFERROR(IF(INDEX(Aux_puntos!$A$2:$OJ$901,34,MATCH($B$2&amp;"|xI",Aux_puntos!$1:$1,0))="",NA(),INDEX(Aux_puntos!$A$2:$OJ$901,34,MATCH($B$2&amp;"|xI",Aux_puntos!$1:$1,0))),NA())</f>
        <v>#N/A</v>
      </c>
      <c r="AH38" t="e">
        <f>IFERROR(IF(INDEX(Aux_puntos!$A$2:$OJ$901,34,MATCH($B$2&amp;"|yI",Aux_puntos!$1:$1,0))="",NA(),INDEX(Aux_puntos!$A$2:$OJ$901,34,MATCH($B$2&amp;"|yI",Aux_puntos!$1:$1,0))),NA())</f>
        <v>#N/A</v>
      </c>
      <c r="AI38">
        <f>IFERROR(IF(INDEX(Aux_puntos!$A$2:$OJ$901,34,MATCH($B$2&amp;"|xN",Aux_puntos!$1:$1,0))="",NA(),INDEX(Aux_puntos!$A$2:$OJ$901,34,MATCH($B$2&amp;"|xN",Aux_puntos!$1:$1,0))),NA())</f>
        <v>3000</v>
      </c>
      <c r="AJ38">
        <f>IFERROR(IF(INDEX(Aux_puntos!$A$2:$OJ$901,34,MATCH($B$2&amp;"|yN",Aux_puntos!$1:$1,0))="",NA(),INDEX(Aux_puntos!$A$2:$OJ$901,34,MATCH($B$2&amp;"|yN",Aux_puntos!$1:$1,0))),NA())</f>
        <v>0.5</v>
      </c>
    </row>
    <row r="39" spans="29:36" x14ac:dyDescent="0.3">
      <c r="AC39" t="e">
        <f>IFERROR(IF(INDEX(Aux_puntos!$A$2:$OJ$901,35,MATCH($B$2&amp;"|xK",Aux_puntos!$1:$1,0))="",NA(),INDEX(Aux_puntos!$A$2:$OJ$901,35,MATCH($B$2&amp;"|xK",Aux_puntos!$1:$1,0))),NA())</f>
        <v>#N/A</v>
      </c>
      <c r="AD39" t="e">
        <f>IFERROR(IF(INDEX(Aux_puntos!$A$2:$OJ$901,35,MATCH($B$2&amp;"|yK",Aux_puntos!$1:$1,0))="",NA(),INDEX(Aux_puntos!$A$2:$OJ$901,35,MATCH($B$2&amp;"|yK",Aux_puntos!$1:$1,0))),NA())</f>
        <v>#N/A</v>
      </c>
      <c r="AE39" t="e">
        <f>IFERROR(IF(INDEX(Aux_puntos!$A$2:$OJ$901,35,MATCH($B$2&amp;"|xC",Aux_puntos!$1:$1,0))="",NA(),INDEX(Aux_puntos!$A$2:$OJ$901,35,MATCH($B$2&amp;"|xC",Aux_puntos!$1:$1,0))),NA())</f>
        <v>#N/A</v>
      </c>
      <c r="AF39" t="e">
        <f>IFERROR(IF(INDEX(Aux_puntos!$A$2:$OJ$901,35,MATCH($B$2&amp;"|yC",Aux_puntos!$1:$1,0))="",NA(),INDEX(Aux_puntos!$A$2:$OJ$901,35,MATCH($B$2&amp;"|yC",Aux_puntos!$1:$1,0))),NA())</f>
        <v>#N/A</v>
      </c>
      <c r="AG39" t="e">
        <f>IFERROR(IF(INDEX(Aux_puntos!$A$2:$OJ$901,35,MATCH($B$2&amp;"|xI",Aux_puntos!$1:$1,0))="",NA(),INDEX(Aux_puntos!$A$2:$OJ$901,35,MATCH($B$2&amp;"|xI",Aux_puntos!$1:$1,0))),NA())</f>
        <v>#N/A</v>
      </c>
      <c r="AH39" t="e">
        <f>IFERROR(IF(INDEX(Aux_puntos!$A$2:$OJ$901,35,MATCH($B$2&amp;"|yI",Aux_puntos!$1:$1,0))="",NA(),INDEX(Aux_puntos!$A$2:$OJ$901,35,MATCH($B$2&amp;"|yI",Aux_puntos!$1:$1,0))),NA())</f>
        <v>#N/A</v>
      </c>
      <c r="AI39">
        <f>IFERROR(IF(INDEX(Aux_puntos!$A$2:$OJ$901,35,MATCH($B$2&amp;"|xN",Aux_puntos!$1:$1,0))="",NA(),INDEX(Aux_puntos!$A$2:$OJ$901,35,MATCH($B$2&amp;"|xN",Aux_puntos!$1:$1,0))),NA())</f>
        <v>3000</v>
      </c>
      <c r="AJ39">
        <f>IFERROR(IF(INDEX(Aux_puntos!$A$2:$OJ$901,35,MATCH($B$2&amp;"|yN",Aux_puntos!$1:$1,0))="",NA(),INDEX(Aux_puntos!$A$2:$OJ$901,35,MATCH($B$2&amp;"|yN",Aux_puntos!$1:$1,0))),NA())</f>
        <v>0.5</v>
      </c>
    </row>
    <row r="40" spans="29:36" x14ac:dyDescent="0.3">
      <c r="AC40" t="e">
        <f>IFERROR(IF(INDEX(Aux_puntos!$A$2:$OJ$901,36,MATCH($B$2&amp;"|xK",Aux_puntos!$1:$1,0))="",NA(),INDEX(Aux_puntos!$A$2:$OJ$901,36,MATCH($B$2&amp;"|xK",Aux_puntos!$1:$1,0))),NA())</f>
        <v>#N/A</v>
      </c>
      <c r="AD40" t="e">
        <f>IFERROR(IF(INDEX(Aux_puntos!$A$2:$OJ$901,36,MATCH($B$2&amp;"|yK",Aux_puntos!$1:$1,0))="",NA(),INDEX(Aux_puntos!$A$2:$OJ$901,36,MATCH($B$2&amp;"|yK",Aux_puntos!$1:$1,0))),NA())</f>
        <v>#N/A</v>
      </c>
      <c r="AE40" t="e">
        <f>IFERROR(IF(INDEX(Aux_puntos!$A$2:$OJ$901,36,MATCH($B$2&amp;"|xC",Aux_puntos!$1:$1,0))="",NA(),INDEX(Aux_puntos!$A$2:$OJ$901,36,MATCH($B$2&amp;"|xC",Aux_puntos!$1:$1,0))),NA())</f>
        <v>#N/A</v>
      </c>
      <c r="AF40" t="e">
        <f>IFERROR(IF(INDEX(Aux_puntos!$A$2:$OJ$901,36,MATCH($B$2&amp;"|yC",Aux_puntos!$1:$1,0))="",NA(),INDEX(Aux_puntos!$A$2:$OJ$901,36,MATCH($B$2&amp;"|yC",Aux_puntos!$1:$1,0))),NA())</f>
        <v>#N/A</v>
      </c>
      <c r="AG40" t="e">
        <f>IFERROR(IF(INDEX(Aux_puntos!$A$2:$OJ$901,36,MATCH($B$2&amp;"|xI",Aux_puntos!$1:$1,0))="",NA(),INDEX(Aux_puntos!$A$2:$OJ$901,36,MATCH($B$2&amp;"|xI",Aux_puntos!$1:$1,0))),NA())</f>
        <v>#N/A</v>
      </c>
      <c r="AH40" t="e">
        <f>IFERROR(IF(INDEX(Aux_puntos!$A$2:$OJ$901,36,MATCH($B$2&amp;"|yI",Aux_puntos!$1:$1,0))="",NA(),INDEX(Aux_puntos!$A$2:$OJ$901,36,MATCH($B$2&amp;"|yI",Aux_puntos!$1:$1,0))),NA())</f>
        <v>#N/A</v>
      </c>
      <c r="AI40">
        <f>IFERROR(IF(INDEX(Aux_puntos!$A$2:$OJ$901,36,MATCH($B$2&amp;"|xN",Aux_puntos!$1:$1,0))="",NA(),INDEX(Aux_puntos!$A$2:$OJ$901,36,MATCH($B$2&amp;"|xN",Aux_puntos!$1:$1,0))),NA())</f>
        <v>3000</v>
      </c>
      <c r="AJ40">
        <f>IFERROR(IF(INDEX(Aux_puntos!$A$2:$OJ$901,36,MATCH($B$2&amp;"|yN",Aux_puntos!$1:$1,0))="",NA(),INDEX(Aux_puntos!$A$2:$OJ$901,36,MATCH($B$2&amp;"|yN",Aux_puntos!$1:$1,0))),NA())</f>
        <v>0.5</v>
      </c>
    </row>
    <row r="41" spans="29:36" x14ac:dyDescent="0.3">
      <c r="AC41" t="e">
        <f>IFERROR(IF(INDEX(Aux_puntos!$A$2:$OJ$901,37,MATCH($B$2&amp;"|xK",Aux_puntos!$1:$1,0))="",NA(),INDEX(Aux_puntos!$A$2:$OJ$901,37,MATCH($B$2&amp;"|xK",Aux_puntos!$1:$1,0))),NA())</f>
        <v>#N/A</v>
      </c>
      <c r="AD41" t="e">
        <f>IFERROR(IF(INDEX(Aux_puntos!$A$2:$OJ$901,37,MATCH($B$2&amp;"|yK",Aux_puntos!$1:$1,0))="",NA(),INDEX(Aux_puntos!$A$2:$OJ$901,37,MATCH($B$2&amp;"|yK",Aux_puntos!$1:$1,0))),NA())</f>
        <v>#N/A</v>
      </c>
      <c r="AE41" t="e">
        <f>IFERROR(IF(INDEX(Aux_puntos!$A$2:$OJ$901,37,MATCH($B$2&amp;"|xC",Aux_puntos!$1:$1,0))="",NA(),INDEX(Aux_puntos!$A$2:$OJ$901,37,MATCH($B$2&amp;"|xC",Aux_puntos!$1:$1,0))),NA())</f>
        <v>#N/A</v>
      </c>
      <c r="AF41" t="e">
        <f>IFERROR(IF(INDEX(Aux_puntos!$A$2:$OJ$901,37,MATCH($B$2&amp;"|yC",Aux_puntos!$1:$1,0))="",NA(),INDEX(Aux_puntos!$A$2:$OJ$901,37,MATCH($B$2&amp;"|yC",Aux_puntos!$1:$1,0))),NA())</f>
        <v>#N/A</v>
      </c>
      <c r="AG41" t="e">
        <f>IFERROR(IF(INDEX(Aux_puntos!$A$2:$OJ$901,37,MATCH($B$2&amp;"|xI",Aux_puntos!$1:$1,0))="",NA(),INDEX(Aux_puntos!$A$2:$OJ$901,37,MATCH($B$2&amp;"|xI",Aux_puntos!$1:$1,0))),NA())</f>
        <v>#N/A</v>
      </c>
      <c r="AH41" t="e">
        <f>IFERROR(IF(INDEX(Aux_puntos!$A$2:$OJ$901,37,MATCH($B$2&amp;"|yI",Aux_puntos!$1:$1,0))="",NA(),INDEX(Aux_puntos!$A$2:$OJ$901,37,MATCH($B$2&amp;"|yI",Aux_puntos!$1:$1,0))),NA())</f>
        <v>#N/A</v>
      </c>
      <c r="AI41">
        <f>IFERROR(IF(INDEX(Aux_puntos!$A$2:$OJ$901,37,MATCH($B$2&amp;"|xN",Aux_puntos!$1:$1,0))="",NA(),INDEX(Aux_puntos!$A$2:$OJ$901,37,MATCH($B$2&amp;"|xN",Aux_puntos!$1:$1,0))),NA())</f>
        <v>3000</v>
      </c>
      <c r="AJ41">
        <f>IFERROR(IF(INDEX(Aux_puntos!$A$2:$OJ$901,37,MATCH($B$2&amp;"|yN",Aux_puntos!$1:$1,0))="",NA(),INDEX(Aux_puntos!$A$2:$OJ$901,37,MATCH($B$2&amp;"|yN",Aux_puntos!$1:$1,0))),NA())</f>
        <v>0.5</v>
      </c>
    </row>
    <row r="42" spans="29:36" x14ac:dyDescent="0.3">
      <c r="AC42" t="e">
        <f>IFERROR(IF(INDEX(Aux_puntos!$A$2:$OJ$901,38,MATCH($B$2&amp;"|xK",Aux_puntos!$1:$1,0))="",NA(),INDEX(Aux_puntos!$A$2:$OJ$901,38,MATCH($B$2&amp;"|xK",Aux_puntos!$1:$1,0))),NA())</f>
        <v>#N/A</v>
      </c>
      <c r="AD42" t="e">
        <f>IFERROR(IF(INDEX(Aux_puntos!$A$2:$OJ$901,38,MATCH($B$2&amp;"|yK",Aux_puntos!$1:$1,0))="",NA(),INDEX(Aux_puntos!$A$2:$OJ$901,38,MATCH($B$2&amp;"|yK",Aux_puntos!$1:$1,0))),NA())</f>
        <v>#N/A</v>
      </c>
      <c r="AE42" t="e">
        <f>IFERROR(IF(INDEX(Aux_puntos!$A$2:$OJ$901,38,MATCH($B$2&amp;"|xC",Aux_puntos!$1:$1,0))="",NA(),INDEX(Aux_puntos!$A$2:$OJ$901,38,MATCH($B$2&amp;"|xC",Aux_puntos!$1:$1,0))),NA())</f>
        <v>#N/A</v>
      </c>
      <c r="AF42" t="e">
        <f>IFERROR(IF(INDEX(Aux_puntos!$A$2:$OJ$901,38,MATCH($B$2&amp;"|yC",Aux_puntos!$1:$1,0))="",NA(),INDEX(Aux_puntos!$A$2:$OJ$901,38,MATCH($B$2&amp;"|yC",Aux_puntos!$1:$1,0))),NA())</f>
        <v>#N/A</v>
      </c>
      <c r="AG42" t="e">
        <f>IFERROR(IF(INDEX(Aux_puntos!$A$2:$OJ$901,38,MATCH($B$2&amp;"|xI",Aux_puntos!$1:$1,0))="",NA(),INDEX(Aux_puntos!$A$2:$OJ$901,38,MATCH($B$2&amp;"|xI",Aux_puntos!$1:$1,0))),NA())</f>
        <v>#N/A</v>
      </c>
      <c r="AH42" t="e">
        <f>IFERROR(IF(INDEX(Aux_puntos!$A$2:$OJ$901,38,MATCH($B$2&amp;"|yI",Aux_puntos!$1:$1,0))="",NA(),INDEX(Aux_puntos!$A$2:$OJ$901,38,MATCH($B$2&amp;"|yI",Aux_puntos!$1:$1,0))),NA())</f>
        <v>#N/A</v>
      </c>
      <c r="AI42">
        <f>IFERROR(IF(INDEX(Aux_puntos!$A$2:$OJ$901,38,MATCH($B$2&amp;"|xN",Aux_puntos!$1:$1,0))="",NA(),INDEX(Aux_puntos!$A$2:$OJ$901,38,MATCH($B$2&amp;"|xN",Aux_puntos!$1:$1,0))),NA())</f>
        <v>3000</v>
      </c>
      <c r="AJ42">
        <f>IFERROR(IF(INDEX(Aux_puntos!$A$2:$OJ$901,38,MATCH($B$2&amp;"|yN",Aux_puntos!$1:$1,0))="",NA(),INDEX(Aux_puntos!$A$2:$OJ$901,38,MATCH($B$2&amp;"|yN",Aux_puntos!$1:$1,0))),NA())</f>
        <v>0.5</v>
      </c>
    </row>
    <row r="43" spans="29:36" x14ac:dyDescent="0.3">
      <c r="AC43" t="e">
        <f>IFERROR(IF(INDEX(Aux_puntos!$A$2:$OJ$901,39,MATCH($B$2&amp;"|xK",Aux_puntos!$1:$1,0))="",NA(),INDEX(Aux_puntos!$A$2:$OJ$901,39,MATCH($B$2&amp;"|xK",Aux_puntos!$1:$1,0))),NA())</f>
        <v>#N/A</v>
      </c>
      <c r="AD43" t="e">
        <f>IFERROR(IF(INDEX(Aux_puntos!$A$2:$OJ$901,39,MATCH($B$2&amp;"|yK",Aux_puntos!$1:$1,0))="",NA(),INDEX(Aux_puntos!$A$2:$OJ$901,39,MATCH($B$2&amp;"|yK",Aux_puntos!$1:$1,0))),NA())</f>
        <v>#N/A</v>
      </c>
      <c r="AE43" t="e">
        <f>IFERROR(IF(INDEX(Aux_puntos!$A$2:$OJ$901,39,MATCH($B$2&amp;"|xC",Aux_puntos!$1:$1,0))="",NA(),INDEX(Aux_puntos!$A$2:$OJ$901,39,MATCH($B$2&amp;"|xC",Aux_puntos!$1:$1,0))),NA())</f>
        <v>#N/A</v>
      </c>
      <c r="AF43" t="e">
        <f>IFERROR(IF(INDEX(Aux_puntos!$A$2:$OJ$901,39,MATCH($B$2&amp;"|yC",Aux_puntos!$1:$1,0))="",NA(),INDEX(Aux_puntos!$A$2:$OJ$901,39,MATCH($B$2&amp;"|yC",Aux_puntos!$1:$1,0))),NA())</f>
        <v>#N/A</v>
      </c>
      <c r="AG43" t="e">
        <f>IFERROR(IF(INDEX(Aux_puntos!$A$2:$OJ$901,39,MATCH($B$2&amp;"|xI",Aux_puntos!$1:$1,0))="",NA(),INDEX(Aux_puntos!$A$2:$OJ$901,39,MATCH($B$2&amp;"|xI",Aux_puntos!$1:$1,0))),NA())</f>
        <v>#N/A</v>
      </c>
      <c r="AH43" t="e">
        <f>IFERROR(IF(INDEX(Aux_puntos!$A$2:$OJ$901,39,MATCH($B$2&amp;"|yI",Aux_puntos!$1:$1,0))="",NA(),INDEX(Aux_puntos!$A$2:$OJ$901,39,MATCH($B$2&amp;"|yI",Aux_puntos!$1:$1,0))),NA())</f>
        <v>#N/A</v>
      </c>
      <c r="AI43">
        <f>IFERROR(IF(INDEX(Aux_puntos!$A$2:$OJ$901,39,MATCH($B$2&amp;"|xN",Aux_puntos!$1:$1,0))="",NA(),INDEX(Aux_puntos!$A$2:$OJ$901,39,MATCH($B$2&amp;"|xN",Aux_puntos!$1:$1,0))),NA())</f>
        <v>3000</v>
      </c>
      <c r="AJ43">
        <f>IFERROR(IF(INDEX(Aux_puntos!$A$2:$OJ$901,39,MATCH($B$2&amp;"|yN",Aux_puntos!$1:$1,0))="",NA(),INDEX(Aux_puntos!$A$2:$OJ$901,39,MATCH($B$2&amp;"|yN",Aux_puntos!$1:$1,0))),NA())</f>
        <v>0.5</v>
      </c>
    </row>
    <row r="44" spans="29:36" x14ac:dyDescent="0.3">
      <c r="AC44" t="e">
        <f>IFERROR(IF(INDEX(Aux_puntos!$A$2:$OJ$901,40,MATCH($B$2&amp;"|xK",Aux_puntos!$1:$1,0))="",NA(),INDEX(Aux_puntos!$A$2:$OJ$901,40,MATCH($B$2&amp;"|xK",Aux_puntos!$1:$1,0))),NA())</f>
        <v>#N/A</v>
      </c>
      <c r="AD44" t="e">
        <f>IFERROR(IF(INDEX(Aux_puntos!$A$2:$OJ$901,40,MATCH($B$2&amp;"|yK",Aux_puntos!$1:$1,0))="",NA(),INDEX(Aux_puntos!$A$2:$OJ$901,40,MATCH($B$2&amp;"|yK",Aux_puntos!$1:$1,0))),NA())</f>
        <v>#N/A</v>
      </c>
      <c r="AE44" t="e">
        <f>IFERROR(IF(INDEX(Aux_puntos!$A$2:$OJ$901,40,MATCH($B$2&amp;"|xC",Aux_puntos!$1:$1,0))="",NA(),INDEX(Aux_puntos!$A$2:$OJ$901,40,MATCH($B$2&amp;"|xC",Aux_puntos!$1:$1,0))),NA())</f>
        <v>#N/A</v>
      </c>
      <c r="AF44" t="e">
        <f>IFERROR(IF(INDEX(Aux_puntos!$A$2:$OJ$901,40,MATCH($B$2&amp;"|yC",Aux_puntos!$1:$1,0))="",NA(),INDEX(Aux_puntos!$A$2:$OJ$901,40,MATCH($B$2&amp;"|yC",Aux_puntos!$1:$1,0))),NA())</f>
        <v>#N/A</v>
      </c>
      <c r="AG44" t="e">
        <f>IFERROR(IF(INDEX(Aux_puntos!$A$2:$OJ$901,40,MATCH($B$2&amp;"|xI",Aux_puntos!$1:$1,0))="",NA(),INDEX(Aux_puntos!$A$2:$OJ$901,40,MATCH($B$2&amp;"|xI",Aux_puntos!$1:$1,0))),NA())</f>
        <v>#N/A</v>
      </c>
      <c r="AH44" t="e">
        <f>IFERROR(IF(INDEX(Aux_puntos!$A$2:$OJ$901,40,MATCH($B$2&amp;"|yI",Aux_puntos!$1:$1,0))="",NA(),INDEX(Aux_puntos!$A$2:$OJ$901,40,MATCH($B$2&amp;"|yI",Aux_puntos!$1:$1,0))),NA())</f>
        <v>#N/A</v>
      </c>
      <c r="AI44">
        <f>IFERROR(IF(INDEX(Aux_puntos!$A$2:$OJ$901,40,MATCH($B$2&amp;"|xN",Aux_puntos!$1:$1,0))="",NA(),INDEX(Aux_puntos!$A$2:$OJ$901,40,MATCH($B$2&amp;"|xN",Aux_puntos!$1:$1,0))),NA())</f>
        <v>3000</v>
      </c>
      <c r="AJ44">
        <f>IFERROR(IF(INDEX(Aux_puntos!$A$2:$OJ$901,40,MATCH($B$2&amp;"|yN",Aux_puntos!$1:$1,0))="",NA(),INDEX(Aux_puntos!$A$2:$OJ$901,40,MATCH($B$2&amp;"|yN",Aux_puntos!$1:$1,0))),NA())</f>
        <v>0.5</v>
      </c>
    </row>
    <row r="45" spans="29:36" x14ac:dyDescent="0.3">
      <c r="AC45" t="e">
        <f>IFERROR(IF(INDEX(Aux_puntos!$A$2:$OJ$901,41,MATCH($B$2&amp;"|xK",Aux_puntos!$1:$1,0))="",NA(),INDEX(Aux_puntos!$A$2:$OJ$901,41,MATCH($B$2&amp;"|xK",Aux_puntos!$1:$1,0))),NA())</f>
        <v>#N/A</v>
      </c>
      <c r="AD45" t="e">
        <f>IFERROR(IF(INDEX(Aux_puntos!$A$2:$OJ$901,41,MATCH($B$2&amp;"|yK",Aux_puntos!$1:$1,0))="",NA(),INDEX(Aux_puntos!$A$2:$OJ$901,41,MATCH($B$2&amp;"|yK",Aux_puntos!$1:$1,0))),NA())</f>
        <v>#N/A</v>
      </c>
      <c r="AE45" t="e">
        <f>IFERROR(IF(INDEX(Aux_puntos!$A$2:$OJ$901,41,MATCH($B$2&amp;"|xC",Aux_puntos!$1:$1,0))="",NA(),INDEX(Aux_puntos!$A$2:$OJ$901,41,MATCH($B$2&amp;"|xC",Aux_puntos!$1:$1,0))),NA())</f>
        <v>#N/A</v>
      </c>
      <c r="AF45" t="e">
        <f>IFERROR(IF(INDEX(Aux_puntos!$A$2:$OJ$901,41,MATCH($B$2&amp;"|yC",Aux_puntos!$1:$1,0))="",NA(),INDEX(Aux_puntos!$A$2:$OJ$901,41,MATCH($B$2&amp;"|yC",Aux_puntos!$1:$1,0))),NA())</f>
        <v>#N/A</v>
      </c>
      <c r="AG45" t="e">
        <f>IFERROR(IF(INDEX(Aux_puntos!$A$2:$OJ$901,41,MATCH($B$2&amp;"|xI",Aux_puntos!$1:$1,0))="",NA(),INDEX(Aux_puntos!$A$2:$OJ$901,41,MATCH($B$2&amp;"|xI",Aux_puntos!$1:$1,0))),NA())</f>
        <v>#N/A</v>
      </c>
      <c r="AH45" t="e">
        <f>IFERROR(IF(INDEX(Aux_puntos!$A$2:$OJ$901,41,MATCH($B$2&amp;"|yI",Aux_puntos!$1:$1,0))="",NA(),INDEX(Aux_puntos!$A$2:$OJ$901,41,MATCH($B$2&amp;"|yI",Aux_puntos!$1:$1,0))),NA())</f>
        <v>#N/A</v>
      </c>
      <c r="AI45">
        <f>IFERROR(IF(INDEX(Aux_puntos!$A$2:$OJ$901,41,MATCH($B$2&amp;"|xN",Aux_puntos!$1:$1,0))="",NA(),INDEX(Aux_puntos!$A$2:$OJ$901,41,MATCH($B$2&amp;"|xN",Aux_puntos!$1:$1,0))),NA())</f>
        <v>3000</v>
      </c>
      <c r="AJ45">
        <f>IFERROR(IF(INDEX(Aux_puntos!$A$2:$OJ$901,41,MATCH($B$2&amp;"|yN",Aux_puntos!$1:$1,0))="",NA(),INDEX(Aux_puntos!$A$2:$OJ$901,41,MATCH($B$2&amp;"|yN",Aux_puntos!$1:$1,0))),NA())</f>
        <v>0.5</v>
      </c>
    </row>
    <row r="46" spans="29:36" x14ac:dyDescent="0.3">
      <c r="AC46" t="e">
        <f>IFERROR(IF(INDEX(Aux_puntos!$A$2:$OJ$901,42,MATCH($B$2&amp;"|xK",Aux_puntos!$1:$1,0))="",NA(),INDEX(Aux_puntos!$A$2:$OJ$901,42,MATCH($B$2&amp;"|xK",Aux_puntos!$1:$1,0))),NA())</f>
        <v>#N/A</v>
      </c>
      <c r="AD46" t="e">
        <f>IFERROR(IF(INDEX(Aux_puntos!$A$2:$OJ$901,42,MATCH($B$2&amp;"|yK",Aux_puntos!$1:$1,0))="",NA(),INDEX(Aux_puntos!$A$2:$OJ$901,42,MATCH($B$2&amp;"|yK",Aux_puntos!$1:$1,0))),NA())</f>
        <v>#N/A</v>
      </c>
      <c r="AE46" t="e">
        <f>IFERROR(IF(INDEX(Aux_puntos!$A$2:$OJ$901,42,MATCH($B$2&amp;"|xC",Aux_puntos!$1:$1,0))="",NA(),INDEX(Aux_puntos!$A$2:$OJ$901,42,MATCH($B$2&amp;"|xC",Aux_puntos!$1:$1,0))),NA())</f>
        <v>#N/A</v>
      </c>
      <c r="AF46" t="e">
        <f>IFERROR(IF(INDEX(Aux_puntos!$A$2:$OJ$901,42,MATCH($B$2&amp;"|yC",Aux_puntos!$1:$1,0))="",NA(),INDEX(Aux_puntos!$A$2:$OJ$901,42,MATCH($B$2&amp;"|yC",Aux_puntos!$1:$1,0))),NA())</f>
        <v>#N/A</v>
      </c>
      <c r="AG46" t="e">
        <f>IFERROR(IF(INDEX(Aux_puntos!$A$2:$OJ$901,42,MATCH($B$2&amp;"|xI",Aux_puntos!$1:$1,0))="",NA(),INDEX(Aux_puntos!$A$2:$OJ$901,42,MATCH($B$2&amp;"|xI",Aux_puntos!$1:$1,0))),NA())</f>
        <v>#N/A</v>
      </c>
      <c r="AH46" t="e">
        <f>IFERROR(IF(INDEX(Aux_puntos!$A$2:$OJ$901,42,MATCH($B$2&amp;"|yI",Aux_puntos!$1:$1,0))="",NA(),INDEX(Aux_puntos!$A$2:$OJ$901,42,MATCH($B$2&amp;"|yI",Aux_puntos!$1:$1,0))),NA())</f>
        <v>#N/A</v>
      </c>
      <c r="AI46">
        <f>IFERROR(IF(INDEX(Aux_puntos!$A$2:$OJ$901,42,MATCH($B$2&amp;"|xN",Aux_puntos!$1:$1,0))="",NA(),INDEX(Aux_puntos!$A$2:$OJ$901,42,MATCH($B$2&amp;"|xN",Aux_puntos!$1:$1,0))),NA())</f>
        <v>3000</v>
      </c>
      <c r="AJ46">
        <f>IFERROR(IF(INDEX(Aux_puntos!$A$2:$OJ$901,42,MATCH($B$2&amp;"|yN",Aux_puntos!$1:$1,0))="",NA(),INDEX(Aux_puntos!$A$2:$OJ$901,42,MATCH($B$2&amp;"|yN",Aux_puntos!$1:$1,0))),NA())</f>
        <v>0.5</v>
      </c>
    </row>
    <row r="47" spans="29:36" x14ac:dyDescent="0.3">
      <c r="AC47" t="e">
        <f>IFERROR(IF(INDEX(Aux_puntos!$A$2:$OJ$901,43,MATCH($B$2&amp;"|xK",Aux_puntos!$1:$1,0))="",NA(),INDEX(Aux_puntos!$A$2:$OJ$901,43,MATCH($B$2&amp;"|xK",Aux_puntos!$1:$1,0))),NA())</f>
        <v>#N/A</v>
      </c>
      <c r="AD47" t="e">
        <f>IFERROR(IF(INDEX(Aux_puntos!$A$2:$OJ$901,43,MATCH($B$2&amp;"|yK",Aux_puntos!$1:$1,0))="",NA(),INDEX(Aux_puntos!$A$2:$OJ$901,43,MATCH($B$2&amp;"|yK",Aux_puntos!$1:$1,0))),NA())</f>
        <v>#N/A</v>
      </c>
      <c r="AE47" t="e">
        <f>IFERROR(IF(INDEX(Aux_puntos!$A$2:$OJ$901,43,MATCH($B$2&amp;"|xC",Aux_puntos!$1:$1,0))="",NA(),INDEX(Aux_puntos!$A$2:$OJ$901,43,MATCH($B$2&amp;"|xC",Aux_puntos!$1:$1,0))),NA())</f>
        <v>#N/A</v>
      </c>
      <c r="AF47" t="e">
        <f>IFERROR(IF(INDEX(Aux_puntos!$A$2:$OJ$901,43,MATCH($B$2&amp;"|yC",Aux_puntos!$1:$1,0))="",NA(),INDEX(Aux_puntos!$A$2:$OJ$901,43,MATCH($B$2&amp;"|yC",Aux_puntos!$1:$1,0))),NA())</f>
        <v>#N/A</v>
      </c>
      <c r="AG47" t="e">
        <f>IFERROR(IF(INDEX(Aux_puntos!$A$2:$OJ$901,43,MATCH($B$2&amp;"|xI",Aux_puntos!$1:$1,0))="",NA(),INDEX(Aux_puntos!$A$2:$OJ$901,43,MATCH($B$2&amp;"|xI",Aux_puntos!$1:$1,0))),NA())</f>
        <v>#N/A</v>
      </c>
      <c r="AH47" t="e">
        <f>IFERROR(IF(INDEX(Aux_puntos!$A$2:$OJ$901,43,MATCH($B$2&amp;"|yI",Aux_puntos!$1:$1,0))="",NA(),INDEX(Aux_puntos!$A$2:$OJ$901,43,MATCH($B$2&amp;"|yI",Aux_puntos!$1:$1,0))),NA())</f>
        <v>#N/A</v>
      </c>
      <c r="AI47" t="e">
        <f>IFERROR(IF(INDEX(Aux_puntos!$A$2:$OJ$901,43,MATCH($B$2&amp;"|xN",Aux_puntos!$1:$1,0))="",NA(),INDEX(Aux_puntos!$A$2:$OJ$901,43,MATCH($B$2&amp;"|xN",Aux_puntos!$1:$1,0))),NA())</f>
        <v>#N/A</v>
      </c>
      <c r="AJ47" t="e">
        <f>IFERROR(IF(INDEX(Aux_puntos!$A$2:$OJ$901,43,MATCH($B$2&amp;"|yN",Aux_puntos!$1:$1,0))="",NA(),INDEX(Aux_puntos!$A$2:$OJ$901,43,MATCH($B$2&amp;"|yN",Aux_puntos!$1:$1,0))),NA())</f>
        <v>#N/A</v>
      </c>
    </row>
    <row r="48" spans="29:36" x14ac:dyDescent="0.3">
      <c r="AC48" t="e">
        <f>IFERROR(IF(INDEX(Aux_puntos!$A$2:$OJ$901,44,MATCH($B$2&amp;"|xK",Aux_puntos!$1:$1,0))="",NA(),INDEX(Aux_puntos!$A$2:$OJ$901,44,MATCH($B$2&amp;"|xK",Aux_puntos!$1:$1,0))),NA())</f>
        <v>#N/A</v>
      </c>
      <c r="AD48" t="e">
        <f>IFERROR(IF(INDEX(Aux_puntos!$A$2:$OJ$901,44,MATCH($B$2&amp;"|yK",Aux_puntos!$1:$1,0))="",NA(),INDEX(Aux_puntos!$A$2:$OJ$901,44,MATCH($B$2&amp;"|yK",Aux_puntos!$1:$1,0))),NA())</f>
        <v>#N/A</v>
      </c>
      <c r="AE48" t="e">
        <f>IFERROR(IF(INDEX(Aux_puntos!$A$2:$OJ$901,44,MATCH($B$2&amp;"|xC",Aux_puntos!$1:$1,0))="",NA(),INDEX(Aux_puntos!$A$2:$OJ$901,44,MATCH($B$2&amp;"|xC",Aux_puntos!$1:$1,0))),NA())</f>
        <v>#N/A</v>
      </c>
      <c r="AF48" t="e">
        <f>IFERROR(IF(INDEX(Aux_puntos!$A$2:$OJ$901,44,MATCH($B$2&amp;"|yC",Aux_puntos!$1:$1,0))="",NA(),INDEX(Aux_puntos!$A$2:$OJ$901,44,MATCH($B$2&amp;"|yC",Aux_puntos!$1:$1,0))),NA())</f>
        <v>#N/A</v>
      </c>
      <c r="AG48" t="e">
        <f>IFERROR(IF(INDEX(Aux_puntos!$A$2:$OJ$901,44,MATCH($B$2&amp;"|xI",Aux_puntos!$1:$1,0))="",NA(),INDEX(Aux_puntos!$A$2:$OJ$901,44,MATCH($B$2&amp;"|xI",Aux_puntos!$1:$1,0))),NA())</f>
        <v>#N/A</v>
      </c>
      <c r="AH48" t="e">
        <f>IFERROR(IF(INDEX(Aux_puntos!$A$2:$OJ$901,44,MATCH($B$2&amp;"|yI",Aux_puntos!$1:$1,0))="",NA(),INDEX(Aux_puntos!$A$2:$OJ$901,44,MATCH($B$2&amp;"|yI",Aux_puntos!$1:$1,0))),NA())</f>
        <v>#N/A</v>
      </c>
      <c r="AI48" t="e">
        <f>IFERROR(IF(INDEX(Aux_puntos!$A$2:$OJ$901,44,MATCH($B$2&amp;"|xN",Aux_puntos!$1:$1,0))="",NA(),INDEX(Aux_puntos!$A$2:$OJ$901,44,MATCH($B$2&amp;"|xN",Aux_puntos!$1:$1,0))),NA())</f>
        <v>#N/A</v>
      </c>
      <c r="AJ48" t="e">
        <f>IFERROR(IF(INDEX(Aux_puntos!$A$2:$OJ$901,44,MATCH($B$2&amp;"|yN",Aux_puntos!$1:$1,0))="",NA(),INDEX(Aux_puntos!$A$2:$OJ$901,44,MATCH($B$2&amp;"|yN",Aux_puntos!$1:$1,0))),NA())</f>
        <v>#N/A</v>
      </c>
    </row>
    <row r="49" spans="29:36" x14ac:dyDescent="0.3">
      <c r="AC49" t="e">
        <f>IFERROR(IF(INDEX(Aux_puntos!$A$2:$OJ$901,45,MATCH($B$2&amp;"|xK",Aux_puntos!$1:$1,0))="",NA(),INDEX(Aux_puntos!$A$2:$OJ$901,45,MATCH($B$2&amp;"|xK",Aux_puntos!$1:$1,0))),NA())</f>
        <v>#N/A</v>
      </c>
      <c r="AD49" t="e">
        <f>IFERROR(IF(INDEX(Aux_puntos!$A$2:$OJ$901,45,MATCH($B$2&amp;"|yK",Aux_puntos!$1:$1,0))="",NA(),INDEX(Aux_puntos!$A$2:$OJ$901,45,MATCH($B$2&amp;"|yK",Aux_puntos!$1:$1,0))),NA())</f>
        <v>#N/A</v>
      </c>
      <c r="AE49" t="e">
        <f>IFERROR(IF(INDEX(Aux_puntos!$A$2:$OJ$901,45,MATCH($B$2&amp;"|xC",Aux_puntos!$1:$1,0))="",NA(),INDEX(Aux_puntos!$A$2:$OJ$901,45,MATCH($B$2&amp;"|xC",Aux_puntos!$1:$1,0))),NA())</f>
        <v>#N/A</v>
      </c>
      <c r="AF49" t="e">
        <f>IFERROR(IF(INDEX(Aux_puntos!$A$2:$OJ$901,45,MATCH($B$2&amp;"|yC",Aux_puntos!$1:$1,0))="",NA(),INDEX(Aux_puntos!$A$2:$OJ$901,45,MATCH($B$2&amp;"|yC",Aux_puntos!$1:$1,0))),NA())</f>
        <v>#N/A</v>
      </c>
      <c r="AG49" t="e">
        <f>IFERROR(IF(INDEX(Aux_puntos!$A$2:$OJ$901,45,MATCH($B$2&amp;"|xI",Aux_puntos!$1:$1,0))="",NA(),INDEX(Aux_puntos!$A$2:$OJ$901,45,MATCH($B$2&amp;"|xI",Aux_puntos!$1:$1,0))),NA())</f>
        <v>#N/A</v>
      </c>
      <c r="AH49" t="e">
        <f>IFERROR(IF(INDEX(Aux_puntos!$A$2:$OJ$901,45,MATCH($B$2&amp;"|yI",Aux_puntos!$1:$1,0))="",NA(),INDEX(Aux_puntos!$A$2:$OJ$901,45,MATCH($B$2&amp;"|yI",Aux_puntos!$1:$1,0))),NA())</f>
        <v>#N/A</v>
      </c>
      <c r="AI49" t="e">
        <f>IFERROR(IF(INDEX(Aux_puntos!$A$2:$OJ$901,45,MATCH($B$2&amp;"|xN",Aux_puntos!$1:$1,0))="",NA(),INDEX(Aux_puntos!$A$2:$OJ$901,45,MATCH($B$2&amp;"|xN",Aux_puntos!$1:$1,0))),NA())</f>
        <v>#N/A</v>
      </c>
      <c r="AJ49" t="e">
        <f>IFERROR(IF(INDEX(Aux_puntos!$A$2:$OJ$901,45,MATCH($B$2&amp;"|yN",Aux_puntos!$1:$1,0))="",NA(),INDEX(Aux_puntos!$A$2:$OJ$901,45,MATCH($B$2&amp;"|yN",Aux_puntos!$1:$1,0))),NA())</f>
        <v>#N/A</v>
      </c>
    </row>
    <row r="50" spans="29:36" x14ac:dyDescent="0.3">
      <c r="AC50" t="e">
        <f>IFERROR(IF(INDEX(Aux_puntos!$A$2:$OJ$901,46,MATCH($B$2&amp;"|xK",Aux_puntos!$1:$1,0))="",NA(),INDEX(Aux_puntos!$A$2:$OJ$901,46,MATCH($B$2&amp;"|xK",Aux_puntos!$1:$1,0))),NA())</f>
        <v>#N/A</v>
      </c>
      <c r="AD50" t="e">
        <f>IFERROR(IF(INDEX(Aux_puntos!$A$2:$OJ$901,46,MATCH($B$2&amp;"|yK",Aux_puntos!$1:$1,0))="",NA(),INDEX(Aux_puntos!$A$2:$OJ$901,46,MATCH($B$2&amp;"|yK",Aux_puntos!$1:$1,0))),NA())</f>
        <v>#N/A</v>
      </c>
      <c r="AE50" t="e">
        <f>IFERROR(IF(INDEX(Aux_puntos!$A$2:$OJ$901,46,MATCH($B$2&amp;"|xC",Aux_puntos!$1:$1,0))="",NA(),INDEX(Aux_puntos!$A$2:$OJ$901,46,MATCH($B$2&amp;"|xC",Aux_puntos!$1:$1,0))),NA())</f>
        <v>#N/A</v>
      </c>
      <c r="AF50" t="e">
        <f>IFERROR(IF(INDEX(Aux_puntos!$A$2:$OJ$901,46,MATCH($B$2&amp;"|yC",Aux_puntos!$1:$1,0))="",NA(),INDEX(Aux_puntos!$A$2:$OJ$901,46,MATCH($B$2&amp;"|yC",Aux_puntos!$1:$1,0))),NA())</f>
        <v>#N/A</v>
      </c>
      <c r="AG50" t="e">
        <f>IFERROR(IF(INDEX(Aux_puntos!$A$2:$OJ$901,46,MATCH($B$2&amp;"|xI",Aux_puntos!$1:$1,0))="",NA(),INDEX(Aux_puntos!$A$2:$OJ$901,46,MATCH($B$2&amp;"|xI",Aux_puntos!$1:$1,0))),NA())</f>
        <v>#N/A</v>
      </c>
      <c r="AH50" t="e">
        <f>IFERROR(IF(INDEX(Aux_puntos!$A$2:$OJ$901,46,MATCH($B$2&amp;"|yI",Aux_puntos!$1:$1,0))="",NA(),INDEX(Aux_puntos!$A$2:$OJ$901,46,MATCH($B$2&amp;"|yI",Aux_puntos!$1:$1,0))),NA())</f>
        <v>#N/A</v>
      </c>
      <c r="AI50" t="e">
        <f>IFERROR(IF(INDEX(Aux_puntos!$A$2:$OJ$901,46,MATCH($B$2&amp;"|xN",Aux_puntos!$1:$1,0))="",NA(),INDEX(Aux_puntos!$A$2:$OJ$901,46,MATCH($B$2&amp;"|xN",Aux_puntos!$1:$1,0))),NA())</f>
        <v>#N/A</v>
      </c>
      <c r="AJ50" t="e">
        <f>IFERROR(IF(INDEX(Aux_puntos!$A$2:$OJ$901,46,MATCH($B$2&amp;"|yN",Aux_puntos!$1:$1,0))="",NA(),INDEX(Aux_puntos!$A$2:$OJ$901,46,MATCH($B$2&amp;"|yN",Aux_puntos!$1:$1,0))),NA())</f>
        <v>#N/A</v>
      </c>
    </row>
    <row r="51" spans="29:36" x14ac:dyDescent="0.3">
      <c r="AC51" t="e">
        <f>IFERROR(IF(INDEX(Aux_puntos!$A$2:$OJ$901,47,MATCH($B$2&amp;"|xK",Aux_puntos!$1:$1,0))="",NA(),INDEX(Aux_puntos!$A$2:$OJ$901,47,MATCH($B$2&amp;"|xK",Aux_puntos!$1:$1,0))),NA())</f>
        <v>#N/A</v>
      </c>
      <c r="AD51" t="e">
        <f>IFERROR(IF(INDEX(Aux_puntos!$A$2:$OJ$901,47,MATCH($B$2&amp;"|yK",Aux_puntos!$1:$1,0))="",NA(),INDEX(Aux_puntos!$A$2:$OJ$901,47,MATCH($B$2&amp;"|yK",Aux_puntos!$1:$1,0))),NA())</f>
        <v>#N/A</v>
      </c>
      <c r="AE51" t="e">
        <f>IFERROR(IF(INDEX(Aux_puntos!$A$2:$OJ$901,47,MATCH($B$2&amp;"|xC",Aux_puntos!$1:$1,0))="",NA(),INDEX(Aux_puntos!$A$2:$OJ$901,47,MATCH($B$2&amp;"|xC",Aux_puntos!$1:$1,0))),NA())</f>
        <v>#N/A</v>
      </c>
      <c r="AF51" t="e">
        <f>IFERROR(IF(INDEX(Aux_puntos!$A$2:$OJ$901,47,MATCH($B$2&amp;"|yC",Aux_puntos!$1:$1,0))="",NA(),INDEX(Aux_puntos!$A$2:$OJ$901,47,MATCH($B$2&amp;"|yC",Aux_puntos!$1:$1,0))),NA())</f>
        <v>#N/A</v>
      </c>
      <c r="AG51" t="e">
        <f>IFERROR(IF(INDEX(Aux_puntos!$A$2:$OJ$901,47,MATCH($B$2&amp;"|xI",Aux_puntos!$1:$1,0))="",NA(),INDEX(Aux_puntos!$A$2:$OJ$901,47,MATCH($B$2&amp;"|xI",Aux_puntos!$1:$1,0))),NA())</f>
        <v>#N/A</v>
      </c>
      <c r="AH51" t="e">
        <f>IFERROR(IF(INDEX(Aux_puntos!$A$2:$OJ$901,47,MATCH($B$2&amp;"|yI",Aux_puntos!$1:$1,0))="",NA(),INDEX(Aux_puntos!$A$2:$OJ$901,47,MATCH($B$2&amp;"|yI",Aux_puntos!$1:$1,0))),NA())</f>
        <v>#N/A</v>
      </c>
      <c r="AI51" t="e">
        <f>IFERROR(IF(INDEX(Aux_puntos!$A$2:$OJ$901,47,MATCH($B$2&amp;"|xN",Aux_puntos!$1:$1,0))="",NA(),INDEX(Aux_puntos!$A$2:$OJ$901,47,MATCH($B$2&amp;"|xN",Aux_puntos!$1:$1,0))),NA())</f>
        <v>#N/A</v>
      </c>
      <c r="AJ51" t="e">
        <f>IFERROR(IF(INDEX(Aux_puntos!$A$2:$OJ$901,47,MATCH($B$2&amp;"|yN",Aux_puntos!$1:$1,0))="",NA(),INDEX(Aux_puntos!$A$2:$OJ$901,47,MATCH($B$2&amp;"|yN",Aux_puntos!$1:$1,0))),NA())</f>
        <v>#N/A</v>
      </c>
    </row>
    <row r="52" spans="29:36" x14ac:dyDescent="0.3">
      <c r="AC52" t="e">
        <f>IFERROR(IF(INDEX(Aux_puntos!$A$2:$OJ$901,48,MATCH($B$2&amp;"|xK",Aux_puntos!$1:$1,0))="",NA(),INDEX(Aux_puntos!$A$2:$OJ$901,48,MATCH($B$2&amp;"|xK",Aux_puntos!$1:$1,0))),NA())</f>
        <v>#N/A</v>
      </c>
      <c r="AD52" t="e">
        <f>IFERROR(IF(INDEX(Aux_puntos!$A$2:$OJ$901,48,MATCH($B$2&amp;"|yK",Aux_puntos!$1:$1,0))="",NA(),INDEX(Aux_puntos!$A$2:$OJ$901,48,MATCH($B$2&amp;"|yK",Aux_puntos!$1:$1,0))),NA())</f>
        <v>#N/A</v>
      </c>
      <c r="AE52" t="e">
        <f>IFERROR(IF(INDEX(Aux_puntos!$A$2:$OJ$901,48,MATCH($B$2&amp;"|xC",Aux_puntos!$1:$1,0))="",NA(),INDEX(Aux_puntos!$A$2:$OJ$901,48,MATCH($B$2&amp;"|xC",Aux_puntos!$1:$1,0))),NA())</f>
        <v>#N/A</v>
      </c>
      <c r="AF52" t="e">
        <f>IFERROR(IF(INDEX(Aux_puntos!$A$2:$OJ$901,48,MATCH($B$2&amp;"|yC",Aux_puntos!$1:$1,0))="",NA(),INDEX(Aux_puntos!$A$2:$OJ$901,48,MATCH($B$2&amp;"|yC",Aux_puntos!$1:$1,0))),NA())</f>
        <v>#N/A</v>
      </c>
      <c r="AG52" t="e">
        <f>IFERROR(IF(INDEX(Aux_puntos!$A$2:$OJ$901,48,MATCH($B$2&amp;"|xI",Aux_puntos!$1:$1,0))="",NA(),INDEX(Aux_puntos!$A$2:$OJ$901,48,MATCH($B$2&amp;"|xI",Aux_puntos!$1:$1,0))),NA())</f>
        <v>#N/A</v>
      </c>
      <c r="AH52" t="e">
        <f>IFERROR(IF(INDEX(Aux_puntos!$A$2:$OJ$901,48,MATCH($B$2&amp;"|yI",Aux_puntos!$1:$1,0))="",NA(),INDEX(Aux_puntos!$A$2:$OJ$901,48,MATCH($B$2&amp;"|yI",Aux_puntos!$1:$1,0))),NA())</f>
        <v>#N/A</v>
      </c>
      <c r="AI52" t="e">
        <f>IFERROR(IF(INDEX(Aux_puntos!$A$2:$OJ$901,48,MATCH($B$2&amp;"|xN",Aux_puntos!$1:$1,0))="",NA(),INDEX(Aux_puntos!$A$2:$OJ$901,48,MATCH($B$2&amp;"|xN",Aux_puntos!$1:$1,0))),NA())</f>
        <v>#N/A</v>
      </c>
      <c r="AJ52" t="e">
        <f>IFERROR(IF(INDEX(Aux_puntos!$A$2:$OJ$901,48,MATCH($B$2&amp;"|yN",Aux_puntos!$1:$1,0))="",NA(),INDEX(Aux_puntos!$A$2:$OJ$901,48,MATCH($B$2&amp;"|yN",Aux_puntos!$1:$1,0))),NA())</f>
        <v>#N/A</v>
      </c>
    </row>
    <row r="53" spans="29:36" x14ac:dyDescent="0.3">
      <c r="AC53" t="e">
        <f>IFERROR(IF(INDEX(Aux_puntos!$A$2:$OJ$901,49,MATCH($B$2&amp;"|xK",Aux_puntos!$1:$1,0))="",NA(),INDEX(Aux_puntos!$A$2:$OJ$901,49,MATCH($B$2&amp;"|xK",Aux_puntos!$1:$1,0))),NA())</f>
        <v>#N/A</v>
      </c>
      <c r="AD53" t="e">
        <f>IFERROR(IF(INDEX(Aux_puntos!$A$2:$OJ$901,49,MATCH($B$2&amp;"|yK",Aux_puntos!$1:$1,0))="",NA(),INDEX(Aux_puntos!$A$2:$OJ$901,49,MATCH($B$2&amp;"|yK",Aux_puntos!$1:$1,0))),NA())</f>
        <v>#N/A</v>
      </c>
      <c r="AE53" t="e">
        <f>IFERROR(IF(INDEX(Aux_puntos!$A$2:$OJ$901,49,MATCH($B$2&amp;"|xC",Aux_puntos!$1:$1,0))="",NA(),INDEX(Aux_puntos!$A$2:$OJ$901,49,MATCH($B$2&amp;"|xC",Aux_puntos!$1:$1,0))),NA())</f>
        <v>#N/A</v>
      </c>
      <c r="AF53" t="e">
        <f>IFERROR(IF(INDEX(Aux_puntos!$A$2:$OJ$901,49,MATCH($B$2&amp;"|yC",Aux_puntos!$1:$1,0))="",NA(),INDEX(Aux_puntos!$A$2:$OJ$901,49,MATCH($B$2&amp;"|yC",Aux_puntos!$1:$1,0))),NA())</f>
        <v>#N/A</v>
      </c>
      <c r="AG53" t="e">
        <f>IFERROR(IF(INDEX(Aux_puntos!$A$2:$OJ$901,49,MATCH($B$2&amp;"|xI",Aux_puntos!$1:$1,0))="",NA(),INDEX(Aux_puntos!$A$2:$OJ$901,49,MATCH($B$2&amp;"|xI",Aux_puntos!$1:$1,0))),NA())</f>
        <v>#N/A</v>
      </c>
      <c r="AH53" t="e">
        <f>IFERROR(IF(INDEX(Aux_puntos!$A$2:$OJ$901,49,MATCH($B$2&amp;"|yI",Aux_puntos!$1:$1,0))="",NA(),INDEX(Aux_puntos!$A$2:$OJ$901,49,MATCH($B$2&amp;"|yI",Aux_puntos!$1:$1,0))),NA())</f>
        <v>#N/A</v>
      </c>
      <c r="AI53" t="e">
        <f>IFERROR(IF(INDEX(Aux_puntos!$A$2:$OJ$901,49,MATCH($B$2&amp;"|xN",Aux_puntos!$1:$1,0))="",NA(),INDEX(Aux_puntos!$A$2:$OJ$901,49,MATCH($B$2&amp;"|xN",Aux_puntos!$1:$1,0))),NA())</f>
        <v>#N/A</v>
      </c>
      <c r="AJ53" t="e">
        <f>IFERROR(IF(INDEX(Aux_puntos!$A$2:$OJ$901,49,MATCH($B$2&amp;"|yN",Aux_puntos!$1:$1,0))="",NA(),INDEX(Aux_puntos!$A$2:$OJ$901,49,MATCH($B$2&amp;"|yN",Aux_puntos!$1:$1,0))),NA())</f>
        <v>#N/A</v>
      </c>
    </row>
    <row r="54" spans="29:36" x14ac:dyDescent="0.3">
      <c r="AC54" t="e">
        <f>IFERROR(IF(INDEX(Aux_puntos!$A$2:$OJ$901,50,MATCH($B$2&amp;"|xK",Aux_puntos!$1:$1,0))="",NA(),INDEX(Aux_puntos!$A$2:$OJ$901,50,MATCH($B$2&amp;"|xK",Aux_puntos!$1:$1,0))),NA())</f>
        <v>#N/A</v>
      </c>
      <c r="AD54" t="e">
        <f>IFERROR(IF(INDEX(Aux_puntos!$A$2:$OJ$901,50,MATCH($B$2&amp;"|yK",Aux_puntos!$1:$1,0))="",NA(),INDEX(Aux_puntos!$A$2:$OJ$901,50,MATCH($B$2&amp;"|yK",Aux_puntos!$1:$1,0))),NA())</f>
        <v>#N/A</v>
      </c>
      <c r="AE54" t="e">
        <f>IFERROR(IF(INDEX(Aux_puntos!$A$2:$OJ$901,50,MATCH($B$2&amp;"|xC",Aux_puntos!$1:$1,0))="",NA(),INDEX(Aux_puntos!$A$2:$OJ$901,50,MATCH($B$2&amp;"|xC",Aux_puntos!$1:$1,0))),NA())</f>
        <v>#N/A</v>
      </c>
      <c r="AF54" t="e">
        <f>IFERROR(IF(INDEX(Aux_puntos!$A$2:$OJ$901,50,MATCH($B$2&amp;"|yC",Aux_puntos!$1:$1,0))="",NA(),INDEX(Aux_puntos!$A$2:$OJ$901,50,MATCH($B$2&amp;"|yC",Aux_puntos!$1:$1,0))),NA())</f>
        <v>#N/A</v>
      </c>
      <c r="AG54" t="e">
        <f>IFERROR(IF(INDEX(Aux_puntos!$A$2:$OJ$901,50,MATCH($B$2&amp;"|xI",Aux_puntos!$1:$1,0))="",NA(),INDEX(Aux_puntos!$A$2:$OJ$901,50,MATCH($B$2&amp;"|xI",Aux_puntos!$1:$1,0))),NA())</f>
        <v>#N/A</v>
      </c>
      <c r="AH54" t="e">
        <f>IFERROR(IF(INDEX(Aux_puntos!$A$2:$OJ$901,50,MATCH($B$2&amp;"|yI",Aux_puntos!$1:$1,0))="",NA(),INDEX(Aux_puntos!$A$2:$OJ$901,50,MATCH($B$2&amp;"|yI",Aux_puntos!$1:$1,0))),NA())</f>
        <v>#N/A</v>
      </c>
      <c r="AI54" t="e">
        <f>IFERROR(IF(INDEX(Aux_puntos!$A$2:$OJ$901,50,MATCH($B$2&amp;"|xN",Aux_puntos!$1:$1,0))="",NA(),INDEX(Aux_puntos!$A$2:$OJ$901,50,MATCH($B$2&amp;"|xN",Aux_puntos!$1:$1,0))),NA())</f>
        <v>#N/A</v>
      </c>
      <c r="AJ54" t="e">
        <f>IFERROR(IF(INDEX(Aux_puntos!$A$2:$OJ$901,50,MATCH($B$2&amp;"|yN",Aux_puntos!$1:$1,0))="",NA(),INDEX(Aux_puntos!$A$2:$OJ$901,50,MATCH($B$2&amp;"|yN",Aux_puntos!$1:$1,0))),NA())</f>
        <v>#N/A</v>
      </c>
    </row>
    <row r="55" spans="29:36" x14ac:dyDescent="0.3">
      <c r="AC55" t="e">
        <f>IFERROR(IF(INDEX(Aux_puntos!$A$2:$OJ$901,51,MATCH($B$2&amp;"|xK",Aux_puntos!$1:$1,0))="",NA(),INDEX(Aux_puntos!$A$2:$OJ$901,51,MATCH($B$2&amp;"|xK",Aux_puntos!$1:$1,0))),NA())</f>
        <v>#N/A</v>
      </c>
      <c r="AD55" t="e">
        <f>IFERROR(IF(INDEX(Aux_puntos!$A$2:$OJ$901,51,MATCH($B$2&amp;"|yK",Aux_puntos!$1:$1,0))="",NA(),INDEX(Aux_puntos!$A$2:$OJ$901,51,MATCH($B$2&amp;"|yK",Aux_puntos!$1:$1,0))),NA())</f>
        <v>#N/A</v>
      </c>
      <c r="AE55" t="e">
        <f>IFERROR(IF(INDEX(Aux_puntos!$A$2:$OJ$901,51,MATCH($B$2&amp;"|xC",Aux_puntos!$1:$1,0))="",NA(),INDEX(Aux_puntos!$A$2:$OJ$901,51,MATCH($B$2&amp;"|xC",Aux_puntos!$1:$1,0))),NA())</f>
        <v>#N/A</v>
      </c>
      <c r="AF55" t="e">
        <f>IFERROR(IF(INDEX(Aux_puntos!$A$2:$OJ$901,51,MATCH($B$2&amp;"|yC",Aux_puntos!$1:$1,0))="",NA(),INDEX(Aux_puntos!$A$2:$OJ$901,51,MATCH($B$2&amp;"|yC",Aux_puntos!$1:$1,0))),NA())</f>
        <v>#N/A</v>
      </c>
      <c r="AG55" t="e">
        <f>IFERROR(IF(INDEX(Aux_puntos!$A$2:$OJ$901,51,MATCH($B$2&amp;"|xI",Aux_puntos!$1:$1,0))="",NA(),INDEX(Aux_puntos!$A$2:$OJ$901,51,MATCH($B$2&amp;"|xI",Aux_puntos!$1:$1,0))),NA())</f>
        <v>#N/A</v>
      </c>
      <c r="AH55" t="e">
        <f>IFERROR(IF(INDEX(Aux_puntos!$A$2:$OJ$901,51,MATCH($B$2&amp;"|yI",Aux_puntos!$1:$1,0))="",NA(),INDEX(Aux_puntos!$A$2:$OJ$901,51,MATCH($B$2&amp;"|yI",Aux_puntos!$1:$1,0))),NA())</f>
        <v>#N/A</v>
      </c>
      <c r="AI55" t="e">
        <f>IFERROR(IF(INDEX(Aux_puntos!$A$2:$OJ$901,51,MATCH($B$2&amp;"|xN",Aux_puntos!$1:$1,0))="",NA(),INDEX(Aux_puntos!$A$2:$OJ$901,51,MATCH($B$2&amp;"|xN",Aux_puntos!$1:$1,0))),NA())</f>
        <v>#N/A</v>
      </c>
      <c r="AJ55" t="e">
        <f>IFERROR(IF(INDEX(Aux_puntos!$A$2:$OJ$901,51,MATCH($B$2&amp;"|yN",Aux_puntos!$1:$1,0))="",NA(),INDEX(Aux_puntos!$A$2:$OJ$901,51,MATCH($B$2&amp;"|yN",Aux_puntos!$1:$1,0))),NA())</f>
        <v>#N/A</v>
      </c>
    </row>
    <row r="56" spans="29:36" x14ac:dyDescent="0.3">
      <c r="AC56" t="e">
        <f>IFERROR(IF(INDEX(Aux_puntos!$A$2:$OJ$901,52,MATCH($B$2&amp;"|xK",Aux_puntos!$1:$1,0))="",NA(),INDEX(Aux_puntos!$A$2:$OJ$901,52,MATCH($B$2&amp;"|xK",Aux_puntos!$1:$1,0))),NA())</f>
        <v>#N/A</v>
      </c>
      <c r="AD56" t="e">
        <f>IFERROR(IF(INDEX(Aux_puntos!$A$2:$OJ$901,52,MATCH($B$2&amp;"|yK",Aux_puntos!$1:$1,0))="",NA(),INDEX(Aux_puntos!$A$2:$OJ$901,52,MATCH($B$2&amp;"|yK",Aux_puntos!$1:$1,0))),NA())</f>
        <v>#N/A</v>
      </c>
      <c r="AE56" t="e">
        <f>IFERROR(IF(INDEX(Aux_puntos!$A$2:$OJ$901,52,MATCH($B$2&amp;"|xC",Aux_puntos!$1:$1,0))="",NA(),INDEX(Aux_puntos!$A$2:$OJ$901,52,MATCH($B$2&amp;"|xC",Aux_puntos!$1:$1,0))),NA())</f>
        <v>#N/A</v>
      </c>
      <c r="AF56" t="e">
        <f>IFERROR(IF(INDEX(Aux_puntos!$A$2:$OJ$901,52,MATCH($B$2&amp;"|yC",Aux_puntos!$1:$1,0))="",NA(),INDEX(Aux_puntos!$A$2:$OJ$901,52,MATCH($B$2&amp;"|yC",Aux_puntos!$1:$1,0))),NA())</f>
        <v>#N/A</v>
      </c>
      <c r="AG56" t="e">
        <f>IFERROR(IF(INDEX(Aux_puntos!$A$2:$OJ$901,52,MATCH($B$2&amp;"|xI",Aux_puntos!$1:$1,0))="",NA(),INDEX(Aux_puntos!$A$2:$OJ$901,52,MATCH($B$2&amp;"|xI",Aux_puntos!$1:$1,0))),NA())</f>
        <v>#N/A</v>
      </c>
      <c r="AH56" t="e">
        <f>IFERROR(IF(INDEX(Aux_puntos!$A$2:$OJ$901,52,MATCH($B$2&amp;"|yI",Aux_puntos!$1:$1,0))="",NA(),INDEX(Aux_puntos!$A$2:$OJ$901,52,MATCH($B$2&amp;"|yI",Aux_puntos!$1:$1,0))),NA())</f>
        <v>#N/A</v>
      </c>
      <c r="AI56" t="e">
        <f>IFERROR(IF(INDEX(Aux_puntos!$A$2:$OJ$901,52,MATCH($B$2&amp;"|xN",Aux_puntos!$1:$1,0))="",NA(),INDEX(Aux_puntos!$A$2:$OJ$901,52,MATCH($B$2&amp;"|xN",Aux_puntos!$1:$1,0))),NA())</f>
        <v>#N/A</v>
      </c>
      <c r="AJ56" t="e">
        <f>IFERROR(IF(INDEX(Aux_puntos!$A$2:$OJ$901,52,MATCH($B$2&amp;"|yN",Aux_puntos!$1:$1,0))="",NA(),INDEX(Aux_puntos!$A$2:$OJ$901,52,MATCH($B$2&amp;"|yN",Aux_puntos!$1:$1,0))),NA())</f>
        <v>#N/A</v>
      </c>
    </row>
    <row r="57" spans="29:36" x14ac:dyDescent="0.3">
      <c r="AC57" t="e">
        <f>IFERROR(IF(INDEX(Aux_puntos!$A$2:$OJ$901,53,MATCH($B$2&amp;"|xK",Aux_puntos!$1:$1,0))="",NA(),INDEX(Aux_puntos!$A$2:$OJ$901,53,MATCH($B$2&amp;"|xK",Aux_puntos!$1:$1,0))),NA())</f>
        <v>#N/A</v>
      </c>
      <c r="AD57" t="e">
        <f>IFERROR(IF(INDEX(Aux_puntos!$A$2:$OJ$901,53,MATCH($B$2&amp;"|yK",Aux_puntos!$1:$1,0))="",NA(),INDEX(Aux_puntos!$A$2:$OJ$901,53,MATCH($B$2&amp;"|yK",Aux_puntos!$1:$1,0))),NA())</f>
        <v>#N/A</v>
      </c>
      <c r="AE57" t="e">
        <f>IFERROR(IF(INDEX(Aux_puntos!$A$2:$OJ$901,53,MATCH($B$2&amp;"|xC",Aux_puntos!$1:$1,0))="",NA(),INDEX(Aux_puntos!$A$2:$OJ$901,53,MATCH($B$2&amp;"|xC",Aux_puntos!$1:$1,0))),NA())</f>
        <v>#N/A</v>
      </c>
      <c r="AF57" t="e">
        <f>IFERROR(IF(INDEX(Aux_puntos!$A$2:$OJ$901,53,MATCH($B$2&amp;"|yC",Aux_puntos!$1:$1,0))="",NA(),INDEX(Aux_puntos!$A$2:$OJ$901,53,MATCH($B$2&amp;"|yC",Aux_puntos!$1:$1,0))),NA())</f>
        <v>#N/A</v>
      </c>
      <c r="AG57" t="e">
        <f>IFERROR(IF(INDEX(Aux_puntos!$A$2:$OJ$901,53,MATCH($B$2&amp;"|xI",Aux_puntos!$1:$1,0))="",NA(),INDEX(Aux_puntos!$A$2:$OJ$901,53,MATCH($B$2&amp;"|xI",Aux_puntos!$1:$1,0))),NA())</f>
        <v>#N/A</v>
      </c>
      <c r="AH57" t="e">
        <f>IFERROR(IF(INDEX(Aux_puntos!$A$2:$OJ$901,53,MATCH($B$2&amp;"|yI",Aux_puntos!$1:$1,0))="",NA(),INDEX(Aux_puntos!$A$2:$OJ$901,53,MATCH($B$2&amp;"|yI",Aux_puntos!$1:$1,0))),NA())</f>
        <v>#N/A</v>
      </c>
      <c r="AI57" t="e">
        <f>IFERROR(IF(INDEX(Aux_puntos!$A$2:$OJ$901,53,MATCH($B$2&amp;"|xN",Aux_puntos!$1:$1,0))="",NA(),INDEX(Aux_puntos!$A$2:$OJ$901,53,MATCH($B$2&amp;"|xN",Aux_puntos!$1:$1,0))),NA())</f>
        <v>#N/A</v>
      </c>
      <c r="AJ57" t="e">
        <f>IFERROR(IF(INDEX(Aux_puntos!$A$2:$OJ$901,53,MATCH($B$2&amp;"|yN",Aux_puntos!$1:$1,0))="",NA(),INDEX(Aux_puntos!$A$2:$OJ$901,53,MATCH($B$2&amp;"|yN",Aux_puntos!$1:$1,0))),NA())</f>
        <v>#N/A</v>
      </c>
    </row>
    <row r="58" spans="29:36" x14ac:dyDescent="0.3">
      <c r="AC58" t="e">
        <f>IFERROR(IF(INDEX(Aux_puntos!$A$2:$OJ$901,54,MATCH($B$2&amp;"|xK",Aux_puntos!$1:$1,0))="",NA(),INDEX(Aux_puntos!$A$2:$OJ$901,54,MATCH($B$2&amp;"|xK",Aux_puntos!$1:$1,0))),NA())</f>
        <v>#N/A</v>
      </c>
      <c r="AD58" t="e">
        <f>IFERROR(IF(INDEX(Aux_puntos!$A$2:$OJ$901,54,MATCH($B$2&amp;"|yK",Aux_puntos!$1:$1,0))="",NA(),INDEX(Aux_puntos!$A$2:$OJ$901,54,MATCH($B$2&amp;"|yK",Aux_puntos!$1:$1,0))),NA())</f>
        <v>#N/A</v>
      </c>
      <c r="AE58" t="e">
        <f>IFERROR(IF(INDEX(Aux_puntos!$A$2:$OJ$901,54,MATCH($B$2&amp;"|xC",Aux_puntos!$1:$1,0))="",NA(),INDEX(Aux_puntos!$A$2:$OJ$901,54,MATCH($B$2&amp;"|xC",Aux_puntos!$1:$1,0))),NA())</f>
        <v>#N/A</v>
      </c>
      <c r="AF58" t="e">
        <f>IFERROR(IF(INDEX(Aux_puntos!$A$2:$OJ$901,54,MATCH($B$2&amp;"|yC",Aux_puntos!$1:$1,0))="",NA(),INDEX(Aux_puntos!$A$2:$OJ$901,54,MATCH($B$2&amp;"|yC",Aux_puntos!$1:$1,0))),NA())</f>
        <v>#N/A</v>
      </c>
      <c r="AG58" t="e">
        <f>IFERROR(IF(INDEX(Aux_puntos!$A$2:$OJ$901,54,MATCH($B$2&amp;"|xI",Aux_puntos!$1:$1,0))="",NA(),INDEX(Aux_puntos!$A$2:$OJ$901,54,MATCH($B$2&amp;"|xI",Aux_puntos!$1:$1,0))),NA())</f>
        <v>#N/A</v>
      </c>
      <c r="AH58" t="e">
        <f>IFERROR(IF(INDEX(Aux_puntos!$A$2:$OJ$901,54,MATCH($B$2&amp;"|yI",Aux_puntos!$1:$1,0))="",NA(),INDEX(Aux_puntos!$A$2:$OJ$901,54,MATCH($B$2&amp;"|yI",Aux_puntos!$1:$1,0))),NA())</f>
        <v>#N/A</v>
      </c>
      <c r="AI58" t="e">
        <f>IFERROR(IF(INDEX(Aux_puntos!$A$2:$OJ$901,54,MATCH($B$2&amp;"|xN",Aux_puntos!$1:$1,0))="",NA(),INDEX(Aux_puntos!$A$2:$OJ$901,54,MATCH($B$2&amp;"|xN",Aux_puntos!$1:$1,0))),NA())</f>
        <v>#N/A</v>
      </c>
      <c r="AJ58" t="e">
        <f>IFERROR(IF(INDEX(Aux_puntos!$A$2:$OJ$901,54,MATCH($B$2&amp;"|yN",Aux_puntos!$1:$1,0))="",NA(),INDEX(Aux_puntos!$A$2:$OJ$901,54,MATCH($B$2&amp;"|yN",Aux_puntos!$1:$1,0))),NA())</f>
        <v>#N/A</v>
      </c>
    </row>
    <row r="59" spans="29:36" x14ac:dyDescent="0.3">
      <c r="AC59" t="e">
        <f>IFERROR(IF(INDEX(Aux_puntos!$A$2:$OJ$901,55,MATCH($B$2&amp;"|xK",Aux_puntos!$1:$1,0))="",NA(),INDEX(Aux_puntos!$A$2:$OJ$901,55,MATCH($B$2&amp;"|xK",Aux_puntos!$1:$1,0))),NA())</f>
        <v>#N/A</v>
      </c>
      <c r="AD59" t="e">
        <f>IFERROR(IF(INDEX(Aux_puntos!$A$2:$OJ$901,55,MATCH($B$2&amp;"|yK",Aux_puntos!$1:$1,0))="",NA(),INDEX(Aux_puntos!$A$2:$OJ$901,55,MATCH($B$2&amp;"|yK",Aux_puntos!$1:$1,0))),NA())</f>
        <v>#N/A</v>
      </c>
      <c r="AE59" t="e">
        <f>IFERROR(IF(INDEX(Aux_puntos!$A$2:$OJ$901,55,MATCH($B$2&amp;"|xC",Aux_puntos!$1:$1,0))="",NA(),INDEX(Aux_puntos!$A$2:$OJ$901,55,MATCH($B$2&amp;"|xC",Aux_puntos!$1:$1,0))),NA())</f>
        <v>#N/A</v>
      </c>
      <c r="AF59" t="e">
        <f>IFERROR(IF(INDEX(Aux_puntos!$A$2:$OJ$901,55,MATCH($B$2&amp;"|yC",Aux_puntos!$1:$1,0))="",NA(),INDEX(Aux_puntos!$A$2:$OJ$901,55,MATCH($B$2&amp;"|yC",Aux_puntos!$1:$1,0))),NA())</f>
        <v>#N/A</v>
      </c>
      <c r="AG59" t="e">
        <f>IFERROR(IF(INDEX(Aux_puntos!$A$2:$OJ$901,55,MATCH($B$2&amp;"|xI",Aux_puntos!$1:$1,0))="",NA(),INDEX(Aux_puntos!$A$2:$OJ$901,55,MATCH($B$2&amp;"|xI",Aux_puntos!$1:$1,0))),NA())</f>
        <v>#N/A</v>
      </c>
      <c r="AH59" t="e">
        <f>IFERROR(IF(INDEX(Aux_puntos!$A$2:$OJ$901,55,MATCH($B$2&amp;"|yI",Aux_puntos!$1:$1,0))="",NA(),INDEX(Aux_puntos!$A$2:$OJ$901,55,MATCH($B$2&amp;"|yI",Aux_puntos!$1:$1,0))),NA())</f>
        <v>#N/A</v>
      </c>
      <c r="AI59" t="e">
        <f>IFERROR(IF(INDEX(Aux_puntos!$A$2:$OJ$901,55,MATCH($B$2&amp;"|xN",Aux_puntos!$1:$1,0))="",NA(),INDEX(Aux_puntos!$A$2:$OJ$901,55,MATCH($B$2&amp;"|xN",Aux_puntos!$1:$1,0))),NA())</f>
        <v>#N/A</v>
      </c>
      <c r="AJ59" t="e">
        <f>IFERROR(IF(INDEX(Aux_puntos!$A$2:$OJ$901,55,MATCH($B$2&amp;"|yN",Aux_puntos!$1:$1,0))="",NA(),INDEX(Aux_puntos!$A$2:$OJ$901,55,MATCH($B$2&amp;"|yN",Aux_puntos!$1:$1,0))),NA())</f>
        <v>#N/A</v>
      </c>
    </row>
    <row r="60" spans="29:36" x14ac:dyDescent="0.3">
      <c r="AC60" t="e">
        <f>IFERROR(IF(INDEX(Aux_puntos!$A$2:$OJ$901,56,MATCH($B$2&amp;"|xK",Aux_puntos!$1:$1,0))="",NA(),INDEX(Aux_puntos!$A$2:$OJ$901,56,MATCH($B$2&amp;"|xK",Aux_puntos!$1:$1,0))),NA())</f>
        <v>#N/A</v>
      </c>
      <c r="AD60" t="e">
        <f>IFERROR(IF(INDEX(Aux_puntos!$A$2:$OJ$901,56,MATCH($B$2&amp;"|yK",Aux_puntos!$1:$1,0))="",NA(),INDEX(Aux_puntos!$A$2:$OJ$901,56,MATCH($B$2&amp;"|yK",Aux_puntos!$1:$1,0))),NA())</f>
        <v>#N/A</v>
      </c>
      <c r="AE60" t="e">
        <f>IFERROR(IF(INDEX(Aux_puntos!$A$2:$OJ$901,56,MATCH($B$2&amp;"|xC",Aux_puntos!$1:$1,0))="",NA(),INDEX(Aux_puntos!$A$2:$OJ$901,56,MATCH($B$2&amp;"|xC",Aux_puntos!$1:$1,0))),NA())</f>
        <v>#N/A</v>
      </c>
      <c r="AF60" t="e">
        <f>IFERROR(IF(INDEX(Aux_puntos!$A$2:$OJ$901,56,MATCH($B$2&amp;"|yC",Aux_puntos!$1:$1,0))="",NA(),INDEX(Aux_puntos!$A$2:$OJ$901,56,MATCH($B$2&amp;"|yC",Aux_puntos!$1:$1,0))),NA())</f>
        <v>#N/A</v>
      </c>
      <c r="AG60" t="e">
        <f>IFERROR(IF(INDEX(Aux_puntos!$A$2:$OJ$901,56,MATCH($B$2&amp;"|xI",Aux_puntos!$1:$1,0))="",NA(),INDEX(Aux_puntos!$A$2:$OJ$901,56,MATCH($B$2&amp;"|xI",Aux_puntos!$1:$1,0))),NA())</f>
        <v>#N/A</v>
      </c>
      <c r="AH60" t="e">
        <f>IFERROR(IF(INDEX(Aux_puntos!$A$2:$OJ$901,56,MATCH($B$2&amp;"|yI",Aux_puntos!$1:$1,0))="",NA(),INDEX(Aux_puntos!$A$2:$OJ$901,56,MATCH($B$2&amp;"|yI",Aux_puntos!$1:$1,0))),NA())</f>
        <v>#N/A</v>
      </c>
      <c r="AI60" t="e">
        <f>IFERROR(IF(INDEX(Aux_puntos!$A$2:$OJ$901,56,MATCH($B$2&amp;"|xN",Aux_puntos!$1:$1,0))="",NA(),INDEX(Aux_puntos!$A$2:$OJ$901,56,MATCH($B$2&amp;"|xN",Aux_puntos!$1:$1,0))),NA())</f>
        <v>#N/A</v>
      </c>
      <c r="AJ60" t="e">
        <f>IFERROR(IF(INDEX(Aux_puntos!$A$2:$OJ$901,56,MATCH($B$2&amp;"|yN",Aux_puntos!$1:$1,0))="",NA(),INDEX(Aux_puntos!$A$2:$OJ$901,56,MATCH($B$2&amp;"|yN",Aux_puntos!$1:$1,0))),NA())</f>
        <v>#N/A</v>
      </c>
    </row>
    <row r="61" spans="29:36" x14ac:dyDescent="0.3">
      <c r="AC61" t="e">
        <f>IFERROR(IF(INDEX(Aux_puntos!$A$2:$OJ$901,57,MATCH($B$2&amp;"|xK",Aux_puntos!$1:$1,0))="",NA(),INDEX(Aux_puntos!$A$2:$OJ$901,57,MATCH($B$2&amp;"|xK",Aux_puntos!$1:$1,0))),NA())</f>
        <v>#N/A</v>
      </c>
      <c r="AD61" t="e">
        <f>IFERROR(IF(INDEX(Aux_puntos!$A$2:$OJ$901,57,MATCH($B$2&amp;"|yK",Aux_puntos!$1:$1,0))="",NA(),INDEX(Aux_puntos!$A$2:$OJ$901,57,MATCH($B$2&amp;"|yK",Aux_puntos!$1:$1,0))),NA())</f>
        <v>#N/A</v>
      </c>
      <c r="AE61" t="e">
        <f>IFERROR(IF(INDEX(Aux_puntos!$A$2:$OJ$901,57,MATCH($B$2&amp;"|xC",Aux_puntos!$1:$1,0))="",NA(),INDEX(Aux_puntos!$A$2:$OJ$901,57,MATCH($B$2&amp;"|xC",Aux_puntos!$1:$1,0))),NA())</f>
        <v>#N/A</v>
      </c>
      <c r="AF61" t="e">
        <f>IFERROR(IF(INDEX(Aux_puntos!$A$2:$OJ$901,57,MATCH($B$2&amp;"|yC",Aux_puntos!$1:$1,0))="",NA(),INDEX(Aux_puntos!$A$2:$OJ$901,57,MATCH($B$2&amp;"|yC",Aux_puntos!$1:$1,0))),NA())</f>
        <v>#N/A</v>
      </c>
      <c r="AG61" t="e">
        <f>IFERROR(IF(INDEX(Aux_puntos!$A$2:$OJ$901,57,MATCH($B$2&amp;"|xI",Aux_puntos!$1:$1,0))="",NA(),INDEX(Aux_puntos!$A$2:$OJ$901,57,MATCH($B$2&amp;"|xI",Aux_puntos!$1:$1,0))),NA())</f>
        <v>#N/A</v>
      </c>
      <c r="AH61" t="e">
        <f>IFERROR(IF(INDEX(Aux_puntos!$A$2:$OJ$901,57,MATCH($B$2&amp;"|yI",Aux_puntos!$1:$1,0))="",NA(),INDEX(Aux_puntos!$A$2:$OJ$901,57,MATCH($B$2&amp;"|yI",Aux_puntos!$1:$1,0))),NA())</f>
        <v>#N/A</v>
      </c>
      <c r="AI61" t="e">
        <f>IFERROR(IF(INDEX(Aux_puntos!$A$2:$OJ$901,57,MATCH($B$2&amp;"|xN",Aux_puntos!$1:$1,0))="",NA(),INDEX(Aux_puntos!$A$2:$OJ$901,57,MATCH($B$2&amp;"|xN",Aux_puntos!$1:$1,0))),NA())</f>
        <v>#N/A</v>
      </c>
      <c r="AJ61" t="e">
        <f>IFERROR(IF(INDEX(Aux_puntos!$A$2:$OJ$901,57,MATCH($B$2&amp;"|yN",Aux_puntos!$1:$1,0))="",NA(),INDEX(Aux_puntos!$A$2:$OJ$901,57,MATCH($B$2&amp;"|yN",Aux_puntos!$1:$1,0))),NA())</f>
        <v>#N/A</v>
      </c>
    </row>
    <row r="62" spans="29:36" x14ac:dyDescent="0.3">
      <c r="AC62" t="e">
        <f>IFERROR(IF(INDEX(Aux_puntos!$A$2:$OJ$901,58,MATCH($B$2&amp;"|xK",Aux_puntos!$1:$1,0))="",NA(),INDEX(Aux_puntos!$A$2:$OJ$901,58,MATCH($B$2&amp;"|xK",Aux_puntos!$1:$1,0))),NA())</f>
        <v>#N/A</v>
      </c>
      <c r="AD62" t="e">
        <f>IFERROR(IF(INDEX(Aux_puntos!$A$2:$OJ$901,58,MATCH($B$2&amp;"|yK",Aux_puntos!$1:$1,0))="",NA(),INDEX(Aux_puntos!$A$2:$OJ$901,58,MATCH($B$2&amp;"|yK",Aux_puntos!$1:$1,0))),NA())</f>
        <v>#N/A</v>
      </c>
      <c r="AE62" t="e">
        <f>IFERROR(IF(INDEX(Aux_puntos!$A$2:$OJ$901,58,MATCH($B$2&amp;"|xC",Aux_puntos!$1:$1,0))="",NA(),INDEX(Aux_puntos!$A$2:$OJ$901,58,MATCH($B$2&amp;"|xC",Aux_puntos!$1:$1,0))),NA())</f>
        <v>#N/A</v>
      </c>
      <c r="AF62" t="e">
        <f>IFERROR(IF(INDEX(Aux_puntos!$A$2:$OJ$901,58,MATCH($B$2&amp;"|yC",Aux_puntos!$1:$1,0))="",NA(),INDEX(Aux_puntos!$A$2:$OJ$901,58,MATCH($B$2&amp;"|yC",Aux_puntos!$1:$1,0))),NA())</f>
        <v>#N/A</v>
      </c>
      <c r="AG62" t="e">
        <f>IFERROR(IF(INDEX(Aux_puntos!$A$2:$OJ$901,58,MATCH($B$2&amp;"|xI",Aux_puntos!$1:$1,0))="",NA(),INDEX(Aux_puntos!$A$2:$OJ$901,58,MATCH($B$2&amp;"|xI",Aux_puntos!$1:$1,0))),NA())</f>
        <v>#N/A</v>
      </c>
      <c r="AH62" t="e">
        <f>IFERROR(IF(INDEX(Aux_puntos!$A$2:$OJ$901,58,MATCH($B$2&amp;"|yI",Aux_puntos!$1:$1,0))="",NA(),INDEX(Aux_puntos!$A$2:$OJ$901,58,MATCH($B$2&amp;"|yI",Aux_puntos!$1:$1,0))),NA())</f>
        <v>#N/A</v>
      </c>
      <c r="AI62" t="e">
        <f>IFERROR(IF(INDEX(Aux_puntos!$A$2:$OJ$901,58,MATCH($B$2&amp;"|xN",Aux_puntos!$1:$1,0))="",NA(),INDEX(Aux_puntos!$A$2:$OJ$901,58,MATCH($B$2&amp;"|xN",Aux_puntos!$1:$1,0))),NA())</f>
        <v>#N/A</v>
      </c>
      <c r="AJ62" t="e">
        <f>IFERROR(IF(INDEX(Aux_puntos!$A$2:$OJ$901,58,MATCH($B$2&amp;"|yN",Aux_puntos!$1:$1,0))="",NA(),INDEX(Aux_puntos!$A$2:$OJ$901,58,MATCH($B$2&amp;"|yN",Aux_puntos!$1:$1,0))),NA())</f>
        <v>#N/A</v>
      </c>
    </row>
    <row r="63" spans="29:36" x14ac:dyDescent="0.3">
      <c r="AC63" t="e">
        <f>IFERROR(IF(INDEX(Aux_puntos!$A$2:$OJ$901,59,MATCH($B$2&amp;"|xK",Aux_puntos!$1:$1,0))="",NA(),INDEX(Aux_puntos!$A$2:$OJ$901,59,MATCH($B$2&amp;"|xK",Aux_puntos!$1:$1,0))),NA())</f>
        <v>#N/A</v>
      </c>
      <c r="AD63" t="e">
        <f>IFERROR(IF(INDEX(Aux_puntos!$A$2:$OJ$901,59,MATCH($B$2&amp;"|yK",Aux_puntos!$1:$1,0))="",NA(),INDEX(Aux_puntos!$A$2:$OJ$901,59,MATCH($B$2&amp;"|yK",Aux_puntos!$1:$1,0))),NA())</f>
        <v>#N/A</v>
      </c>
      <c r="AE63" t="e">
        <f>IFERROR(IF(INDEX(Aux_puntos!$A$2:$OJ$901,59,MATCH($B$2&amp;"|xC",Aux_puntos!$1:$1,0))="",NA(),INDEX(Aux_puntos!$A$2:$OJ$901,59,MATCH($B$2&amp;"|xC",Aux_puntos!$1:$1,0))),NA())</f>
        <v>#N/A</v>
      </c>
      <c r="AF63" t="e">
        <f>IFERROR(IF(INDEX(Aux_puntos!$A$2:$OJ$901,59,MATCH($B$2&amp;"|yC",Aux_puntos!$1:$1,0))="",NA(),INDEX(Aux_puntos!$A$2:$OJ$901,59,MATCH($B$2&amp;"|yC",Aux_puntos!$1:$1,0))),NA())</f>
        <v>#N/A</v>
      </c>
      <c r="AG63" t="e">
        <f>IFERROR(IF(INDEX(Aux_puntos!$A$2:$OJ$901,59,MATCH($B$2&amp;"|xI",Aux_puntos!$1:$1,0))="",NA(),INDEX(Aux_puntos!$A$2:$OJ$901,59,MATCH($B$2&amp;"|xI",Aux_puntos!$1:$1,0))),NA())</f>
        <v>#N/A</v>
      </c>
      <c r="AH63" t="e">
        <f>IFERROR(IF(INDEX(Aux_puntos!$A$2:$OJ$901,59,MATCH($B$2&amp;"|yI",Aux_puntos!$1:$1,0))="",NA(),INDEX(Aux_puntos!$A$2:$OJ$901,59,MATCH($B$2&amp;"|yI",Aux_puntos!$1:$1,0))),NA())</f>
        <v>#N/A</v>
      </c>
      <c r="AI63" t="e">
        <f>IFERROR(IF(INDEX(Aux_puntos!$A$2:$OJ$901,59,MATCH($B$2&amp;"|xN",Aux_puntos!$1:$1,0))="",NA(),INDEX(Aux_puntos!$A$2:$OJ$901,59,MATCH($B$2&amp;"|xN",Aux_puntos!$1:$1,0))),NA())</f>
        <v>#N/A</v>
      </c>
      <c r="AJ63" t="e">
        <f>IFERROR(IF(INDEX(Aux_puntos!$A$2:$OJ$901,59,MATCH($B$2&amp;"|yN",Aux_puntos!$1:$1,0))="",NA(),INDEX(Aux_puntos!$A$2:$OJ$901,59,MATCH($B$2&amp;"|yN",Aux_puntos!$1:$1,0))),NA())</f>
        <v>#N/A</v>
      </c>
    </row>
    <row r="64" spans="29:36" x14ac:dyDescent="0.3">
      <c r="AC64" t="e">
        <f>IFERROR(IF(INDEX(Aux_puntos!$A$2:$OJ$901,60,MATCH($B$2&amp;"|xK",Aux_puntos!$1:$1,0))="",NA(),INDEX(Aux_puntos!$A$2:$OJ$901,60,MATCH($B$2&amp;"|xK",Aux_puntos!$1:$1,0))),NA())</f>
        <v>#N/A</v>
      </c>
      <c r="AD64" t="e">
        <f>IFERROR(IF(INDEX(Aux_puntos!$A$2:$OJ$901,60,MATCH($B$2&amp;"|yK",Aux_puntos!$1:$1,0))="",NA(),INDEX(Aux_puntos!$A$2:$OJ$901,60,MATCH($B$2&amp;"|yK",Aux_puntos!$1:$1,0))),NA())</f>
        <v>#N/A</v>
      </c>
      <c r="AE64" t="e">
        <f>IFERROR(IF(INDEX(Aux_puntos!$A$2:$OJ$901,60,MATCH($B$2&amp;"|xC",Aux_puntos!$1:$1,0))="",NA(),INDEX(Aux_puntos!$A$2:$OJ$901,60,MATCH($B$2&amp;"|xC",Aux_puntos!$1:$1,0))),NA())</f>
        <v>#N/A</v>
      </c>
      <c r="AF64" t="e">
        <f>IFERROR(IF(INDEX(Aux_puntos!$A$2:$OJ$901,60,MATCH($B$2&amp;"|yC",Aux_puntos!$1:$1,0))="",NA(),INDEX(Aux_puntos!$A$2:$OJ$901,60,MATCH($B$2&amp;"|yC",Aux_puntos!$1:$1,0))),NA())</f>
        <v>#N/A</v>
      </c>
      <c r="AG64" t="e">
        <f>IFERROR(IF(INDEX(Aux_puntos!$A$2:$OJ$901,60,MATCH($B$2&amp;"|xI",Aux_puntos!$1:$1,0))="",NA(),INDEX(Aux_puntos!$A$2:$OJ$901,60,MATCH($B$2&amp;"|xI",Aux_puntos!$1:$1,0))),NA())</f>
        <v>#N/A</v>
      </c>
      <c r="AH64" t="e">
        <f>IFERROR(IF(INDEX(Aux_puntos!$A$2:$OJ$901,60,MATCH($B$2&amp;"|yI",Aux_puntos!$1:$1,0))="",NA(),INDEX(Aux_puntos!$A$2:$OJ$901,60,MATCH($B$2&amp;"|yI",Aux_puntos!$1:$1,0))),NA())</f>
        <v>#N/A</v>
      </c>
      <c r="AI64" t="e">
        <f>IFERROR(IF(INDEX(Aux_puntos!$A$2:$OJ$901,60,MATCH($B$2&amp;"|xN",Aux_puntos!$1:$1,0))="",NA(),INDEX(Aux_puntos!$A$2:$OJ$901,60,MATCH($B$2&amp;"|xN",Aux_puntos!$1:$1,0))),NA())</f>
        <v>#N/A</v>
      </c>
      <c r="AJ64" t="e">
        <f>IFERROR(IF(INDEX(Aux_puntos!$A$2:$OJ$901,60,MATCH($B$2&amp;"|yN",Aux_puntos!$1:$1,0))="",NA(),INDEX(Aux_puntos!$A$2:$OJ$901,60,MATCH($B$2&amp;"|yN",Aux_puntos!$1:$1,0))),NA())</f>
        <v>#N/A</v>
      </c>
    </row>
    <row r="65" spans="29:36" x14ac:dyDescent="0.3">
      <c r="AC65" t="e">
        <f>IFERROR(IF(INDEX(Aux_puntos!$A$2:$OJ$901,61,MATCH($B$2&amp;"|xK",Aux_puntos!$1:$1,0))="",NA(),INDEX(Aux_puntos!$A$2:$OJ$901,61,MATCH($B$2&amp;"|xK",Aux_puntos!$1:$1,0))),NA())</f>
        <v>#N/A</v>
      </c>
      <c r="AD65" t="e">
        <f>IFERROR(IF(INDEX(Aux_puntos!$A$2:$OJ$901,61,MATCH($B$2&amp;"|yK",Aux_puntos!$1:$1,0))="",NA(),INDEX(Aux_puntos!$A$2:$OJ$901,61,MATCH($B$2&amp;"|yK",Aux_puntos!$1:$1,0))),NA())</f>
        <v>#N/A</v>
      </c>
      <c r="AE65" t="e">
        <f>IFERROR(IF(INDEX(Aux_puntos!$A$2:$OJ$901,61,MATCH($B$2&amp;"|xC",Aux_puntos!$1:$1,0))="",NA(),INDEX(Aux_puntos!$A$2:$OJ$901,61,MATCH($B$2&amp;"|xC",Aux_puntos!$1:$1,0))),NA())</f>
        <v>#N/A</v>
      </c>
      <c r="AF65" t="e">
        <f>IFERROR(IF(INDEX(Aux_puntos!$A$2:$OJ$901,61,MATCH($B$2&amp;"|yC",Aux_puntos!$1:$1,0))="",NA(),INDEX(Aux_puntos!$A$2:$OJ$901,61,MATCH($B$2&amp;"|yC",Aux_puntos!$1:$1,0))),NA())</f>
        <v>#N/A</v>
      </c>
      <c r="AG65" t="e">
        <f>IFERROR(IF(INDEX(Aux_puntos!$A$2:$OJ$901,61,MATCH($B$2&amp;"|xI",Aux_puntos!$1:$1,0))="",NA(),INDEX(Aux_puntos!$A$2:$OJ$901,61,MATCH($B$2&amp;"|xI",Aux_puntos!$1:$1,0))),NA())</f>
        <v>#N/A</v>
      </c>
      <c r="AH65" t="e">
        <f>IFERROR(IF(INDEX(Aux_puntos!$A$2:$OJ$901,61,MATCH($B$2&amp;"|yI",Aux_puntos!$1:$1,0))="",NA(),INDEX(Aux_puntos!$A$2:$OJ$901,61,MATCH($B$2&amp;"|yI",Aux_puntos!$1:$1,0))),NA())</f>
        <v>#N/A</v>
      </c>
      <c r="AI65" t="e">
        <f>IFERROR(IF(INDEX(Aux_puntos!$A$2:$OJ$901,61,MATCH($B$2&amp;"|xN",Aux_puntos!$1:$1,0))="",NA(),INDEX(Aux_puntos!$A$2:$OJ$901,61,MATCH($B$2&amp;"|xN",Aux_puntos!$1:$1,0))),NA())</f>
        <v>#N/A</v>
      </c>
      <c r="AJ65" t="e">
        <f>IFERROR(IF(INDEX(Aux_puntos!$A$2:$OJ$901,61,MATCH($B$2&amp;"|yN",Aux_puntos!$1:$1,0))="",NA(),INDEX(Aux_puntos!$A$2:$OJ$901,61,MATCH($B$2&amp;"|yN",Aux_puntos!$1:$1,0))),NA())</f>
        <v>#N/A</v>
      </c>
    </row>
    <row r="66" spans="29:36" x14ac:dyDescent="0.3">
      <c r="AC66" t="e">
        <f>IFERROR(IF(INDEX(Aux_puntos!$A$2:$OJ$901,62,MATCH($B$2&amp;"|xK",Aux_puntos!$1:$1,0))="",NA(),INDEX(Aux_puntos!$A$2:$OJ$901,62,MATCH($B$2&amp;"|xK",Aux_puntos!$1:$1,0))),NA())</f>
        <v>#N/A</v>
      </c>
      <c r="AD66" t="e">
        <f>IFERROR(IF(INDEX(Aux_puntos!$A$2:$OJ$901,62,MATCH($B$2&amp;"|yK",Aux_puntos!$1:$1,0))="",NA(),INDEX(Aux_puntos!$A$2:$OJ$901,62,MATCH($B$2&amp;"|yK",Aux_puntos!$1:$1,0))),NA())</f>
        <v>#N/A</v>
      </c>
      <c r="AE66" t="e">
        <f>IFERROR(IF(INDEX(Aux_puntos!$A$2:$OJ$901,62,MATCH($B$2&amp;"|xC",Aux_puntos!$1:$1,0))="",NA(),INDEX(Aux_puntos!$A$2:$OJ$901,62,MATCH($B$2&amp;"|xC",Aux_puntos!$1:$1,0))),NA())</f>
        <v>#N/A</v>
      </c>
      <c r="AF66" t="e">
        <f>IFERROR(IF(INDEX(Aux_puntos!$A$2:$OJ$901,62,MATCH($B$2&amp;"|yC",Aux_puntos!$1:$1,0))="",NA(),INDEX(Aux_puntos!$A$2:$OJ$901,62,MATCH($B$2&amp;"|yC",Aux_puntos!$1:$1,0))),NA())</f>
        <v>#N/A</v>
      </c>
      <c r="AG66" t="e">
        <f>IFERROR(IF(INDEX(Aux_puntos!$A$2:$OJ$901,62,MATCH($B$2&amp;"|xI",Aux_puntos!$1:$1,0))="",NA(),INDEX(Aux_puntos!$A$2:$OJ$901,62,MATCH($B$2&amp;"|xI",Aux_puntos!$1:$1,0))),NA())</f>
        <v>#N/A</v>
      </c>
      <c r="AH66" t="e">
        <f>IFERROR(IF(INDEX(Aux_puntos!$A$2:$OJ$901,62,MATCH($B$2&amp;"|yI",Aux_puntos!$1:$1,0))="",NA(),INDEX(Aux_puntos!$A$2:$OJ$901,62,MATCH($B$2&amp;"|yI",Aux_puntos!$1:$1,0))),NA())</f>
        <v>#N/A</v>
      </c>
      <c r="AI66" t="e">
        <f>IFERROR(IF(INDEX(Aux_puntos!$A$2:$OJ$901,62,MATCH($B$2&amp;"|xN",Aux_puntos!$1:$1,0))="",NA(),INDEX(Aux_puntos!$A$2:$OJ$901,62,MATCH($B$2&amp;"|xN",Aux_puntos!$1:$1,0))),NA())</f>
        <v>#N/A</v>
      </c>
      <c r="AJ66" t="e">
        <f>IFERROR(IF(INDEX(Aux_puntos!$A$2:$OJ$901,62,MATCH($B$2&amp;"|yN",Aux_puntos!$1:$1,0))="",NA(),INDEX(Aux_puntos!$A$2:$OJ$901,62,MATCH($B$2&amp;"|yN",Aux_puntos!$1:$1,0))),NA())</f>
        <v>#N/A</v>
      </c>
    </row>
    <row r="67" spans="29:36" x14ac:dyDescent="0.3">
      <c r="AC67" t="e">
        <f>IFERROR(IF(INDEX(Aux_puntos!$A$2:$OJ$901,63,MATCH($B$2&amp;"|xK",Aux_puntos!$1:$1,0))="",NA(),INDEX(Aux_puntos!$A$2:$OJ$901,63,MATCH($B$2&amp;"|xK",Aux_puntos!$1:$1,0))),NA())</f>
        <v>#N/A</v>
      </c>
      <c r="AD67" t="e">
        <f>IFERROR(IF(INDEX(Aux_puntos!$A$2:$OJ$901,63,MATCH($B$2&amp;"|yK",Aux_puntos!$1:$1,0))="",NA(),INDEX(Aux_puntos!$A$2:$OJ$901,63,MATCH($B$2&amp;"|yK",Aux_puntos!$1:$1,0))),NA())</f>
        <v>#N/A</v>
      </c>
      <c r="AE67" t="e">
        <f>IFERROR(IF(INDEX(Aux_puntos!$A$2:$OJ$901,63,MATCH($B$2&amp;"|xC",Aux_puntos!$1:$1,0))="",NA(),INDEX(Aux_puntos!$A$2:$OJ$901,63,MATCH($B$2&amp;"|xC",Aux_puntos!$1:$1,0))),NA())</f>
        <v>#N/A</v>
      </c>
      <c r="AF67" t="e">
        <f>IFERROR(IF(INDEX(Aux_puntos!$A$2:$OJ$901,63,MATCH($B$2&amp;"|yC",Aux_puntos!$1:$1,0))="",NA(),INDEX(Aux_puntos!$A$2:$OJ$901,63,MATCH($B$2&amp;"|yC",Aux_puntos!$1:$1,0))),NA())</f>
        <v>#N/A</v>
      </c>
      <c r="AG67" t="e">
        <f>IFERROR(IF(INDEX(Aux_puntos!$A$2:$OJ$901,63,MATCH($B$2&amp;"|xI",Aux_puntos!$1:$1,0))="",NA(),INDEX(Aux_puntos!$A$2:$OJ$901,63,MATCH($B$2&amp;"|xI",Aux_puntos!$1:$1,0))),NA())</f>
        <v>#N/A</v>
      </c>
      <c r="AH67" t="e">
        <f>IFERROR(IF(INDEX(Aux_puntos!$A$2:$OJ$901,63,MATCH($B$2&amp;"|yI",Aux_puntos!$1:$1,0))="",NA(),INDEX(Aux_puntos!$A$2:$OJ$901,63,MATCH($B$2&amp;"|yI",Aux_puntos!$1:$1,0))),NA())</f>
        <v>#N/A</v>
      </c>
      <c r="AI67" t="e">
        <f>IFERROR(IF(INDEX(Aux_puntos!$A$2:$OJ$901,63,MATCH($B$2&amp;"|xN",Aux_puntos!$1:$1,0))="",NA(),INDEX(Aux_puntos!$A$2:$OJ$901,63,MATCH($B$2&amp;"|xN",Aux_puntos!$1:$1,0))),NA())</f>
        <v>#N/A</v>
      </c>
      <c r="AJ67" t="e">
        <f>IFERROR(IF(INDEX(Aux_puntos!$A$2:$OJ$901,63,MATCH($B$2&amp;"|yN",Aux_puntos!$1:$1,0))="",NA(),INDEX(Aux_puntos!$A$2:$OJ$901,63,MATCH($B$2&amp;"|yN",Aux_puntos!$1:$1,0))),NA())</f>
        <v>#N/A</v>
      </c>
    </row>
    <row r="68" spans="29:36" x14ac:dyDescent="0.3">
      <c r="AC68" t="e">
        <f>IFERROR(IF(INDEX(Aux_puntos!$A$2:$OJ$901,64,MATCH($B$2&amp;"|xK",Aux_puntos!$1:$1,0))="",NA(),INDEX(Aux_puntos!$A$2:$OJ$901,64,MATCH($B$2&amp;"|xK",Aux_puntos!$1:$1,0))),NA())</f>
        <v>#N/A</v>
      </c>
      <c r="AD68" t="e">
        <f>IFERROR(IF(INDEX(Aux_puntos!$A$2:$OJ$901,64,MATCH($B$2&amp;"|yK",Aux_puntos!$1:$1,0))="",NA(),INDEX(Aux_puntos!$A$2:$OJ$901,64,MATCH($B$2&amp;"|yK",Aux_puntos!$1:$1,0))),NA())</f>
        <v>#N/A</v>
      </c>
      <c r="AE68" t="e">
        <f>IFERROR(IF(INDEX(Aux_puntos!$A$2:$OJ$901,64,MATCH($B$2&amp;"|xC",Aux_puntos!$1:$1,0))="",NA(),INDEX(Aux_puntos!$A$2:$OJ$901,64,MATCH($B$2&amp;"|xC",Aux_puntos!$1:$1,0))),NA())</f>
        <v>#N/A</v>
      </c>
      <c r="AF68" t="e">
        <f>IFERROR(IF(INDEX(Aux_puntos!$A$2:$OJ$901,64,MATCH($B$2&amp;"|yC",Aux_puntos!$1:$1,0))="",NA(),INDEX(Aux_puntos!$A$2:$OJ$901,64,MATCH($B$2&amp;"|yC",Aux_puntos!$1:$1,0))),NA())</f>
        <v>#N/A</v>
      </c>
      <c r="AG68" t="e">
        <f>IFERROR(IF(INDEX(Aux_puntos!$A$2:$OJ$901,64,MATCH($B$2&amp;"|xI",Aux_puntos!$1:$1,0))="",NA(),INDEX(Aux_puntos!$A$2:$OJ$901,64,MATCH($B$2&amp;"|xI",Aux_puntos!$1:$1,0))),NA())</f>
        <v>#N/A</v>
      </c>
      <c r="AH68" t="e">
        <f>IFERROR(IF(INDEX(Aux_puntos!$A$2:$OJ$901,64,MATCH($B$2&amp;"|yI",Aux_puntos!$1:$1,0))="",NA(),INDEX(Aux_puntos!$A$2:$OJ$901,64,MATCH($B$2&amp;"|yI",Aux_puntos!$1:$1,0))),NA())</f>
        <v>#N/A</v>
      </c>
      <c r="AI68" t="e">
        <f>IFERROR(IF(INDEX(Aux_puntos!$A$2:$OJ$901,64,MATCH($B$2&amp;"|xN",Aux_puntos!$1:$1,0))="",NA(),INDEX(Aux_puntos!$A$2:$OJ$901,64,MATCH($B$2&amp;"|xN",Aux_puntos!$1:$1,0))),NA())</f>
        <v>#N/A</v>
      </c>
      <c r="AJ68" t="e">
        <f>IFERROR(IF(INDEX(Aux_puntos!$A$2:$OJ$901,64,MATCH($B$2&amp;"|yN",Aux_puntos!$1:$1,0))="",NA(),INDEX(Aux_puntos!$A$2:$OJ$901,64,MATCH($B$2&amp;"|yN",Aux_puntos!$1:$1,0))),NA())</f>
        <v>#N/A</v>
      </c>
    </row>
    <row r="69" spans="29:36" x14ac:dyDescent="0.3">
      <c r="AC69" t="e">
        <f>IFERROR(IF(INDEX(Aux_puntos!$A$2:$OJ$901,65,MATCH($B$2&amp;"|xK",Aux_puntos!$1:$1,0))="",NA(),INDEX(Aux_puntos!$A$2:$OJ$901,65,MATCH($B$2&amp;"|xK",Aux_puntos!$1:$1,0))),NA())</f>
        <v>#N/A</v>
      </c>
      <c r="AD69" t="e">
        <f>IFERROR(IF(INDEX(Aux_puntos!$A$2:$OJ$901,65,MATCH($B$2&amp;"|yK",Aux_puntos!$1:$1,0))="",NA(),INDEX(Aux_puntos!$A$2:$OJ$901,65,MATCH($B$2&amp;"|yK",Aux_puntos!$1:$1,0))),NA())</f>
        <v>#N/A</v>
      </c>
      <c r="AE69" t="e">
        <f>IFERROR(IF(INDEX(Aux_puntos!$A$2:$OJ$901,65,MATCH($B$2&amp;"|xC",Aux_puntos!$1:$1,0))="",NA(),INDEX(Aux_puntos!$A$2:$OJ$901,65,MATCH($B$2&amp;"|xC",Aux_puntos!$1:$1,0))),NA())</f>
        <v>#N/A</v>
      </c>
      <c r="AF69" t="e">
        <f>IFERROR(IF(INDEX(Aux_puntos!$A$2:$OJ$901,65,MATCH($B$2&amp;"|yC",Aux_puntos!$1:$1,0))="",NA(),INDEX(Aux_puntos!$A$2:$OJ$901,65,MATCH($B$2&amp;"|yC",Aux_puntos!$1:$1,0))),NA())</f>
        <v>#N/A</v>
      </c>
      <c r="AG69" t="e">
        <f>IFERROR(IF(INDEX(Aux_puntos!$A$2:$OJ$901,65,MATCH($B$2&amp;"|xI",Aux_puntos!$1:$1,0))="",NA(),INDEX(Aux_puntos!$A$2:$OJ$901,65,MATCH($B$2&amp;"|xI",Aux_puntos!$1:$1,0))),NA())</f>
        <v>#N/A</v>
      </c>
      <c r="AH69" t="e">
        <f>IFERROR(IF(INDEX(Aux_puntos!$A$2:$OJ$901,65,MATCH($B$2&amp;"|yI",Aux_puntos!$1:$1,0))="",NA(),INDEX(Aux_puntos!$A$2:$OJ$901,65,MATCH($B$2&amp;"|yI",Aux_puntos!$1:$1,0))),NA())</f>
        <v>#N/A</v>
      </c>
      <c r="AI69" t="e">
        <f>IFERROR(IF(INDEX(Aux_puntos!$A$2:$OJ$901,65,MATCH($B$2&amp;"|xN",Aux_puntos!$1:$1,0))="",NA(),INDEX(Aux_puntos!$A$2:$OJ$901,65,MATCH($B$2&amp;"|xN",Aux_puntos!$1:$1,0))),NA())</f>
        <v>#N/A</v>
      </c>
      <c r="AJ69" t="e">
        <f>IFERROR(IF(INDEX(Aux_puntos!$A$2:$OJ$901,65,MATCH($B$2&amp;"|yN",Aux_puntos!$1:$1,0))="",NA(),INDEX(Aux_puntos!$A$2:$OJ$901,65,MATCH($B$2&amp;"|yN",Aux_puntos!$1:$1,0))),NA())</f>
        <v>#N/A</v>
      </c>
    </row>
    <row r="70" spans="29:36" x14ac:dyDescent="0.3">
      <c r="AC70" t="e">
        <f>IFERROR(IF(INDEX(Aux_puntos!$A$2:$OJ$901,66,MATCH($B$2&amp;"|xK",Aux_puntos!$1:$1,0))="",NA(),INDEX(Aux_puntos!$A$2:$OJ$901,66,MATCH($B$2&amp;"|xK",Aux_puntos!$1:$1,0))),NA())</f>
        <v>#N/A</v>
      </c>
      <c r="AD70" t="e">
        <f>IFERROR(IF(INDEX(Aux_puntos!$A$2:$OJ$901,66,MATCH($B$2&amp;"|yK",Aux_puntos!$1:$1,0))="",NA(),INDEX(Aux_puntos!$A$2:$OJ$901,66,MATCH($B$2&amp;"|yK",Aux_puntos!$1:$1,0))),NA())</f>
        <v>#N/A</v>
      </c>
      <c r="AE70" t="e">
        <f>IFERROR(IF(INDEX(Aux_puntos!$A$2:$OJ$901,66,MATCH($B$2&amp;"|xC",Aux_puntos!$1:$1,0))="",NA(),INDEX(Aux_puntos!$A$2:$OJ$901,66,MATCH($B$2&amp;"|xC",Aux_puntos!$1:$1,0))),NA())</f>
        <v>#N/A</v>
      </c>
      <c r="AF70" t="e">
        <f>IFERROR(IF(INDEX(Aux_puntos!$A$2:$OJ$901,66,MATCH($B$2&amp;"|yC",Aux_puntos!$1:$1,0))="",NA(),INDEX(Aux_puntos!$A$2:$OJ$901,66,MATCH($B$2&amp;"|yC",Aux_puntos!$1:$1,0))),NA())</f>
        <v>#N/A</v>
      </c>
      <c r="AG70" t="e">
        <f>IFERROR(IF(INDEX(Aux_puntos!$A$2:$OJ$901,66,MATCH($B$2&amp;"|xI",Aux_puntos!$1:$1,0))="",NA(),INDEX(Aux_puntos!$A$2:$OJ$901,66,MATCH($B$2&amp;"|xI",Aux_puntos!$1:$1,0))),NA())</f>
        <v>#N/A</v>
      </c>
      <c r="AH70" t="e">
        <f>IFERROR(IF(INDEX(Aux_puntos!$A$2:$OJ$901,66,MATCH($B$2&amp;"|yI",Aux_puntos!$1:$1,0))="",NA(),INDEX(Aux_puntos!$A$2:$OJ$901,66,MATCH($B$2&amp;"|yI",Aux_puntos!$1:$1,0))),NA())</f>
        <v>#N/A</v>
      </c>
      <c r="AI70" t="e">
        <f>IFERROR(IF(INDEX(Aux_puntos!$A$2:$OJ$901,66,MATCH($B$2&amp;"|xN",Aux_puntos!$1:$1,0))="",NA(),INDEX(Aux_puntos!$A$2:$OJ$901,66,MATCH($B$2&amp;"|xN",Aux_puntos!$1:$1,0))),NA())</f>
        <v>#N/A</v>
      </c>
      <c r="AJ70" t="e">
        <f>IFERROR(IF(INDEX(Aux_puntos!$A$2:$OJ$901,66,MATCH($B$2&amp;"|yN",Aux_puntos!$1:$1,0))="",NA(),INDEX(Aux_puntos!$A$2:$OJ$901,66,MATCH($B$2&amp;"|yN",Aux_puntos!$1:$1,0))),NA())</f>
        <v>#N/A</v>
      </c>
    </row>
    <row r="71" spans="29:36" x14ac:dyDescent="0.3">
      <c r="AC71" t="e">
        <f>IFERROR(IF(INDEX(Aux_puntos!$A$2:$OJ$901,67,MATCH($B$2&amp;"|xK",Aux_puntos!$1:$1,0))="",NA(),INDEX(Aux_puntos!$A$2:$OJ$901,67,MATCH($B$2&amp;"|xK",Aux_puntos!$1:$1,0))),NA())</f>
        <v>#N/A</v>
      </c>
      <c r="AD71" t="e">
        <f>IFERROR(IF(INDEX(Aux_puntos!$A$2:$OJ$901,67,MATCH($B$2&amp;"|yK",Aux_puntos!$1:$1,0))="",NA(),INDEX(Aux_puntos!$A$2:$OJ$901,67,MATCH($B$2&amp;"|yK",Aux_puntos!$1:$1,0))),NA())</f>
        <v>#N/A</v>
      </c>
      <c r="AE71" t="e">
        <f>IFERROR(IF(INDEX(Aux_puntos!$A$2:$OJ$901,67,MATCH($B$2&amp;"|xC",Aux_puntos!$1:$1,0))="",NA(),INDEX(Aux_puntos!$A$2:$OJ$901,67,MATCH($B$2&amp;"|xC",Aux_puntos!$1:$1,0))),NA())</f>
        <v>#N/A</v>
      </c>
      <c r="AF71" t="e">
        <f>IFERROR(IF(INDEX(Aux_puntos!$A$2:$OJ$901,67,MATCH($B$2&amp;"|yC",Aux_puntos!$1:$1,0))="",NA(),INDEX(Aux_puntos!$A$2:$OJ$901,67,MATCH($B$2&amp;"|yC",Aux_puntos!$1:$1,0))),NA())</f>
        <v>#N/A</v>
      </c>
      <c r="AG71" t="e">
        <f>IFERROR(IF(INDEX(Aux_puntos!$A$2:$OJ$901,67,MATCH($B$2&amp;"|xI",Aux_puntos!$1:$1,0))="",NA(),INDEX(Aux_puntos!$A$2:$OJ$901,67,MATCH($B$2&amp;"|xI",Aux_puntos!$1:$1,0))),NA())</f>
        <v>#N/A</v>
      </c>
      <c r="AH71" t="e">
        <f>IFERROR(IF(INDEX(Aux_puntos!$A$2:$OJ$901,67,MATCH($B$2&amp;"|yI",Aux_puntos!$1:$1,0))="",NA(),INDEX(Aux_puntos!$A$2:$OJ$901,67,MATCH($B$2&amp;"|yI",Aux_puntos!$1:$1,0))),NA())</f>
        <v>#N/A</v>
      </c>
      <c r="AI71" t="e">
        <f>IFERROR(IF(INDEX(Aux_puntos!$A$2:$OJ$901,67,MATCH($B$2&amp;"|xN",Aux_puntos!$1:$1,0))="",NA(),INDEX(Aux_puntos!$A$2:$OJ$901,67,MATCH($B$2&amp;"|xN",Aux_puntos!$1:$1,0))),NA())</f>
        <v>#N/A</v>
      </c>
      <c r="AJ71" t="e">
        <f>IFERROR(IF(INDEX(Aux_puntos!$A$2:$OJ$901,67,MATCH($B$2&amp;"|yN",Aux_puntos!$1:$1,0))="",NA(),INDEX(Aux_puntos!$A$2:$OJ$901,67,MATCH($B$2&amp;"|yN",Aux_puntos!$1:$1,0))),NA())</f>
        <v>#N/A</v>
      </c>
    </row>
    <row r="72" spans="29:36" x14ac:dyDescent="0.3">
      <c r="AC72" t="e">
        <f>IFERROR(IF(INDEX(Aux_puntos!$A$2:$OJ$901,68,MATCH($B$2&amp;"|xK",Aux_puntos!$1:$1,0))="",NA(),INDEX(Aux_puntos!$A$2:$OJ$901,68,MATCH($B$2&amp;"|xK",Aux_puntos!$1:$1,0))),NA())</f>
        <v>#N/A</v>
      </c>
      <c r="AD72" t="e">
        <f>IFERROR(IF(INDEX(Aux_puntos!$A$2:$OJ$901,68,MATCH($B$2&amp;"|yK",Aux_puntos!$1:$1,0))="",NA(),INDEX(Aux_puntos!$A$2:$OJ$901,68,MATCH($B$2&amp;"|yK",Aux_puntos!$1:$1,0))),NA())</f>
        <v>#N/A</v>
      </c>
      <c r="AE72" t="e">
        <f>IFERROR(IF(INDEX(Aux_puntos!$A$2:$OJ$901,68,MATCH($B$2&amp;"|xC",Aux_puntos!$1:$1,0))="",NA(),INDEX(Aux_puntos!$A$2:$OJ$901,68,MATCH($B$2&amp;"|xC",Aux_puntos!$1:$1,0))),NA())</f>
        <v>#N/A</v>
      </c>
      <c r="AF72" t="e">
        <f>IFERROR(IF(INDEX(Aux_puntos!$A$2:$OJ$901,68,MATCH($B$2&amp;"|yC",Aux_puntos!$1:$1,0))="",NA(),INDEX(Aux_puntos!$A$2:$OJ$901,68,MATCH($B$2&amp;"|yC",Aux_puntos!$1:$1,0))),NA())</f>
        <v>#N/A</v>
      </c>
      <c r="AG72" t="e">
        <f>IFERROR(IF(INDEX(Aux_puntos!$A$2:$OJ$901,68,MATCH($B$2&amp;"|xI",Aux_puntos!$1:$1,0))="",NA(),INDEX(Aux_puntos!$A$2:$OJ$901,68,MATCH($B$2&amp;"|xI",Aux_puntos!$1:$1,0))),NA())</f>
        <v>#N/A</v>
      </c>
      <c r="AH72" t="e">
        <f>IFERROR(IF(INDEX(Aux_puntos!$A$2:$OJ$901,68,MATCH($B$2&amp;"|yI",Aux_puntos!$1:$1,0))="",NA(),INDEX(Aux_puntos!$A$2:$OJ$901,68,MATCH($B$2&amp;"|yI",Aux_puntos!$1:$1,0))),NA())</f>
        <v>#N/A</v>
      </c>
      <c r="AI72" t="e">
        <f>IFERROR(IF(INDEX(Aux_puntos!$A$2:$OJ$901,68,MATCH($B$2&amp;"|xN",Aux_puntos!$1:$1,0))="",NA(),INDEX(Aux_puntos!$A$2:$OJ$901,68,MATCH($B$2&amp;"|xN",Aux_puntos!$1:$1,0))),NA())</f>
        <v>#N/A</v>
      </c>
      <c r="AJ72" t="e">
        <f>IFERROR(IF(INDEX(Aux_puntos!$A$2:$OJ$901,68,MATCH($B$2&amp;"|yN",Aux_puntos!$1:$1,0))="",NA(),INDEX(Aux_puntos!$A$2:$OJ$901,68,MATCH($B$2&amp;"|yN",Aux_puntos!$1:$1,0))),NA())</f>
        <v>#N/A</v>
      </c>
    </row>
    <row r="73" spans="29:36" x14ac:dyDescent="0.3">
      <c r="AC73" t="e">
        <f>IFERROR(IF(INDEX(Aux_puntos!$A$2:$OJ$901,69,MATCH($B$2&amp;"|xK",Aux_puntos!$1:$1,0))="",NA(),INDEX(Aux_puntos!$A$2:$OJ$901,69,MATCH($B$2&amp;"|xK",Aux_puntos!$1:$1,0))),NA())</f>
        <v>#N/A</v>
      </c>
      <c r="AD73" t="e">
        <f>IFERROR(IF(INDEX(Aux_puntos!$A$2:$OJ$901,69,MATCH($B$2&amp;"|yK",Aux_puntos!$1:$1,0))="",NA(),INDEX(Aux_puntos!$A$2:$OJ$901,69,MATCH($B$2&amp;"|yK",Aux_puntos!$1:$1,0))),NA())</f>
        <v>#N/A</v>
      </c>
      <c r="AE73" t="e">
        <f>IFERROR(IF(INDEX(Aux_puntos!$A$2:$OJ$901,69,MATCH($B$2&amp;"|xC",Aux_puntos!$1:$1,0))="",NA(),INDEX(Aux_puntos!$A$2:$OJ$901,69,MATCH($B$2&amp;"|xC",Aux_puntos!$1:$1,0))),NA())</f>
        <v>#N/A</v>
      </c>
      <c r="AF73" t="e">
        <f>IFERROR(IF(INDEX(Aux_puntos!$A$2:$OJ$901,69,MATCH($B$2&amp;"|yC",Aux_puntos!$1:$1,0))="",NA(),INDEX(Aux_puntos!$A$2:$OJ$901,69,MATCH($B$2&amp;"|yC",Aux_puntos!$1:$1,0))),NA())</f>
        <v>#N/A</v>
      </c>
      <c r="AG73" t="e">
        <f>IFERROR(IF(INDEX(Aux_puntos!$A$2:$OJ$901,69,MATCH($B$2&amp;"|xI",Aux_puntos!$1:$1,0))="",NA(),INDEX(Aux_puntos!$A$2:$OJ$901,69,MATCH($B$2&amp;"|xI",Aux_puntos!$1:$1,0))),NA())</f>
        <v>#N/A</v>
      </c>
      <c r="AH73" t="e">
        <f>IFERROR(IF(INDEX(Aux_puntos!$A$2:$OJ$901,69,MATCH($B$2&amp;"|yI",Aux_puntos!$1:$1,0))="",NA(),INDEX(Aux_puntos!$A$2:$OJ$901,69,MATCH($B$2&amp;"|yI",Aux_puntos!$1:$1,0))),NA())</f>
        <v>#N/A</v>
      </c>
      <c r="AI73" t="e">
        <f>IFERROR(IF(INDEX(Aux_puntos!$A$2:$OJ$901,69,MATCH($B$2&amp;"|xN",Aux_puntos!$1:$1,0))="",NA(),INDEX(Aux_puntos!$A$2:$OJ$901,69,MATCH($B$2&amp;"|xN",Aux_puntos!$1:$1,0))),NA())</f>
        <v>#N/A</v>
      </c>
      <c r="AJ73" t="e">
        <f>IFERROR(IF(INDEX(Aux_puntos!$A$2:$OJ$901,69,MATCH($B$2&amp;"|yN",Aux_puntos!$1:$1,0))="",NA(),INDEX(Aux_puntos!$A$2:$OJ$901,69,MATCH($B$2&amp;"|yN",Aux_puntos!$1:$1,0))),NA())</f>
        <v>#N/A</v>
      </c>
    </row>
    <row r="74" spans="29:36" x14ac:dyDescent="0.3">
      <c r="AC74" t="e">
        <f>IFERROR(IF(INDEX(Aux_puntos!$A$2:$OJ$901,70,MATCH($B$2&amp;"|xK",Aux_puntos!$1:$1,0))="",NA(),INDEX(Aux_puntos!$A$2:$OJ$901,70,MATCH($B$2&amp;"|xK",Aux_puntos!$1:$1,0))),NA())</f>
        <v>#N/A</v>
      </c>
      <c r="AD74" t="e">
        <f>IFERROR(IF(INDEX(Aux_puntos!$A$2:$OJ$901,70,MATCH($B$2&amp;"|yK",Aux_puntos!$1:$1,0))="",NA(),INDEX(Aux_puntos!$A$2:$OJ$901,70,MATCH($B$2&amp;"|yK",Aux_puntos!$1:$1,0))),NA())</f>
        <v>#N/A</v>
      </c>
      <c r="AE74" t="e">
        <f>IFERROR(IF(INDEX(Aux_puntos!$A$2:$OJ$901,70,MATCH($B$2&amp;"|xC",Aux_puntos!$1:$1,0))="",NA(),INDEX(Aux_puntos!$A$2:$OJ$901,70,MATCH($B$2&amp;"|xC",Aux_puntos!$1:$1,0))),NA())</f>
        <v>#N/A</v>
      </c>
      <c r="AF74" t="e">
        <f>IFERROR(IF(INDEX(Aux_puntos!$A$2:$OJ$901,70,MATCH($B$2&amp;"|yC",Aux_puntos!$1:$1,0))="",NA(),INDEX(Aux_puntos!$A$2:$OJ$901,70,MATCH($B$2&amp;"|yC",Aux_puntos!$1:$1,0))),NA())</f>
        <v>#N/A</v>
      </c>
      <c r="AG74" t="e">
        <f>IFERROR(IF(INDEX(Aux_puntos!$A$2:$OJ$901,70,MATCH($B$2&amp;"|xI",Aux_puntos!$1:$1,0))="",NA(),INDEX(Aux_puntos!$A$2:$OJ$901,70,MATCH($B$2&amp;"|xI",Aux_puntos!$1:$1,0))),NA())</f>
        <v>#N/A</v>
      </c>
      <c r="AH74" t="e">
        <f>IFERROR(IF(INDEX(Aux_puntos!$A$2:$OJ$901,70,MATCH($B$2&amp;"|yI",Aux_puntos!$1:$1,0))="",NA(),INDEX(Aux_puntos!$A$2:$OJ$901,70,MATCH($B$2&amp;"|yI",Aux_puntos!$1:$1,0))),NA())</f>
        <v>#N/A</v>
      </c>
      <c r="AI74" t="e">
        <f>IFERROR(IF(INDEX(Aux_puntos!$A$2:$OJ$901,70,MATCH($B$2&amp;"|xN",Aux_puntos!$1:$1,0))="",NA(),INDEX(Aux_puntos!$A$2:$OJ$901,70,MATCH($B$2&amp;"|xN",Aux_puntos!$1:$1,0))),NA())</f>
        <v>#N/A</v>
      </c>
      <c r="AJ74" t="e">
        <f>IFERROR(IF(INDEX(Aux_puntos!$A$2:$OJ$901,70,MATCH($B$2&amp;"|yN",Aux_puntos!$1:$1,0))="",NA(),INDEX(Aux_puntos!$A$2:$OJ$901,70,MATCH($B$2&amp;"|yN",Aux_puntos!$1:$1,0))),NA())</f>
        <v>#N/A</v>
      </c>
    </row>
    <row r="75" spans="29:36" x14ac:dyDescent="0.3">
      <c r="AC75" t="e">
        <f>IFERROR(IF(INDEX(Aux_puntos!$A$2:$OJ$901,71,MATCH($B$2&amp;"|xK",Aux_puntos!$1:$1,0))="",NA(),INDEX(Aux_puntos!$A$2:$OJ$901,71,MATCH($B$2&amp;"|xK",Aux_puntos!$1:$1,0))),NA())</f>
        <v>#N/A</v>
      </c>
      <c r="AD75" t="e">
        <f>IFERROR(IF(INDEX(Aux_puntos!$A$2:$OJ$901,71,MATCH($B$2&amp;"|yK",Aux_puntos!$1:$1,0))="",NA(),INDEX(Aux_puntos!$A$2:$OJ$901,71,MATCH($B$2&amp;"|yK",Aux_puntos!$1:$1,0))),NA())</f>
        <v>#N/A</v>
      </c>
      <c r="AE75" t="e">
        <f>IFERROR(IF(INDEX(Aux_puntos!$A$2:$OJ$901,71,MATCH($B$2&amp;"|xC",Aux_puntos!$1:$1,0))="",NA(),INDEX(Aux_puntos!$A$2:$OJ$901,71,MATCH($B$2&amp;"|xC",Aux_puntos!$1:$1,0))),NA())</f>
        <v>#N/A</v>
      </c>
      <c r="AF75" t="e">
        <f>IFERROR(IF(INDEX(Aux_puntos!$A$2:$OJ$901,71,MATCH($B$2&amp;"|yC",Aux_puntos!$1:$1,0))="",NA(),INDEX(Aux_puntos!$A$2:$OJ$901,71,MATCH($B$2&amp;"|yC",Aux_puntos!$1:$1,0))),NA())</f>
        <v>#N/A</v>
      </c>
      <c r="AG75" t="e">
        <f>IFERROR(IF(INDEX(Aux_puntos!$A$2:$OJ$901,71,MATCH($B$2&amp;"|xI",Aux_puntos!$1:$1,0))="",NA(),INDEX(Aux_puntos!$A$2:$OJ$901,71,MATCH($B$2&amp;"|xI",Aux_puntos!$1:$1,0))),NA())</f>
        <v>#N/A</v>
      </c>
      <c r="AH75" t="e">
        <f>IFERROR(IF(INDEX(Aux_puntos!$A$2:$OJ$901,71,MATCH($B$2&amp;"|yI",Aux_puntos!$1:$1,0))="",NA(),INDEX(Aux_puntos!$A$2:$OJ$901,71,MATCH($B$2&amp;"|yI",Aux_puntos!$1:$1,0))),NA())</f>
        <v>#N/A</v>
      </c>
      <c r="AI75" t="e">
        <f>IFERROR(IF(INDEX(Aux_puntos!$A$2:$OJ$901,71,MATCH($B$2&amp;"|xN",Aux_puntos!$1:$1,0))="",NA(),INDEX(Aux_puntos!$A$2:$OJ$901,71,MATCH($B$2&amp;"|xN",Aux_puntos!$1:$1,0))),NA())</f>
        <v>#N/A</v>
      </c>
      <c r="AJ75" t="e">
        <f>IFERROR(IF(INDEX(Aux_puntos!$A$2:$OJ$901,71,MATCH($B$2&amp;"|yN",Aux_puntos!$1:$1,0))="",NA(),INDEX(Aux_puntos!$A$2:$OJ$901,71,MATCH($B$2&amp;"|yN",Aux_puntos!$1:$1,0))),NA())</f>
        <v>#N/A</v>
      </c>
    </row>
    <row r="76" spans="29:36" x14ac:dyDescent="0.3">
      <c r="AC76" t="e">
        <f>IFERROR(IF(INDEX(Aux_puntos!$A$2:$OJ$901,72,MATCH($B$2&amp;"|xK",Aux_puntos!$1:$1,0))="",NA(),INDEX(Aux_puntos!$A$2:$OJ$901,72,MATCH($B$2&amp;"|xK",Aux_puntos!$1:$1,0))),NA())</f>
        <v>#N/A</v>
      </c>
      <c r="AD76" t="e">
        <f>IFERROR(IF(INDEX(Aux_puntos!$A$2:$OJ$901,72,MATCH($B$2&amp;"|yK",Aux_puntos!$1:$1,0))="",NA(),INDEX(Aux_puntos!$A$2:$OJ$901,72,MATCH($B$2&amp;"|yK",Aux_puntos!$1:$1,0))),NA())</f>
        <v>#N/A</v>
      </c>
      <c r="AE76" t="e">
        <f>IFERROR(IF(INDEX(Aux_puntos!$A$2:$OJ$901,72,MATCH($B$2&amp;"|xC",Aux_puntos!$1:$1,0))="",NA(),INDEX(Aux_puntos!$A$2:$OJ$901,72,MATCH($B$2&amp;"|xC",Aux_puntos!$1:$1,0))),NA())</f>
        <v>#N/A</v>
      </c>
      <c r="AF76" t="e">
        <f>IFERROR(IF(INDEX(Aux_puntos!$A$2:$OJ$901,72,MATCH($B$2&amp;"|yC",Aux_puntos!$1:$1,0))="",NA(),INDEX(Aux_puntos!$A$2:$OJ$901,72,MATCH($B$2&amp;"|yC",Aux_puntos!$1:$1,0))),NA())</f>
        <v>#N/A</v>
      </c>
      <c r="AG76" t="e">
        <f>IFERROR(IF(INDEX(Aux_puntos!$A$2:$OJ$901,72,MATCH($B$2&amp;"|xI",Aux_puntos!$1:$1,0))="",NA(),INDEX(Aux_puntos!$A$2:$OJ$901,72,MATCH($B$2&amp;"|xI",Aux_puntos!$1:$1,0))),NA())</f>
        <v>#N/A</v>
      </c>
      <c r="AH76" t="e">
        <f>IFERROR(IF(INDEX(Aux_puntos!$A$2:$OJ$901,72,MATCH($B$2&amp;"|yI",Aux_puntos!$1:$1,0))="",NA(),INDEX(Aux_puntos!$A$2:$OJ$901,72,MATCH($B$2&amp;"|yI",Aux_puntos!$1:$1,0))),NA())</f>
        <v>#N/A</v>
      </c>
      <c r="AI76" t="e">
        <f>IFERROR(IF(INDEX(Aux_puntos!$A$2:$OJ$901,72,MATCH($B$2&amp;"|xN",Aux_puntos!$1:$1,0))="",NA(),INDEX(Aux_puntos!$A$2:$OJ$901,72,MATCH($B$2&amp;"|xN",Aux_puntos!$1:$1,0))),NA())</f>
        <v>#N/A</v>
      </c>
      <c r="AJ76" t="e">
        <f>IFERROR(IF(INDEX(Aux_puntos!$A$2:$OJ$901,72,MATCH($B$2&amp;"|yN",Aux_puntos!$1:$1,0))="",NA(),INDEX(Aux_puntos!$A$2:$OJ$901,72,MATCH($B$2&amp;"|yN",Aux_puntos!$1:$1,0))),NA())</f>
        <v>#N/A</v>
      </c>
    </row>
    <row r="77" spans="29:36" x14ac:dyDescent="0.3">
      <c r="AC77" t="e">
        <f>IFERROR(IF(INDEX(Aux_puntos!$A$2:$OJ$901,73,MATCH($B$2&amp;"|xK",Aux_puntos!$1:$1,0))="",NA(),INDEX(Aux_puntos!$A$2:$OJ$901,73,MATCH($B$2&amp;"|xK",Aux_puntos!$1:$1,0))),NA())</f>
        <v>#N/A</v>
      </c>
      <c r="AD77" t="e">
        <f>IFERROR(IF(INDEX(Aux_puntos!$A$2:$OJ$901,73,MATCH($B$2&amp;"|yK",Aux_puntos!$1:$1,0))="",NA(),INDEX(Aux_puntos!$A$2:$OJ$901,73,MATCH($B$2&amp;"|yK",Aux_puntos!$1:$1,0))),NA())</f>
        <v>#N/A</v>
      </c>
      <c r="AE77" t="e">
        <f>IFERROR(IF(INDEX(Aux_puntos!$A$2:$OJ$901,73,MATCH($B$2&amp;"|xC",Aux_puntos!$1:$1,0))="",NA(),INDEX(Aux_puntos!$A$2:$OJ$901,73,MATCH($B$2&amp;"|xC",Aux_puntos!$1:$1,0))),NA())</f>
        <v>#N/A</v>
      </c>
      <c r="AF77" t="e">
        <f>IFERROR(IF(INDEX(Aux_puntos!$A$2:$OJ$901,73,MATCH($B$2&amp;"|yC",Aux_puntos!$1:$1,0))="",NA(),INDEX(Aux_puntos!$A$2:$OJ$901,73,MATCH($B$2&amp;"|yC",Aux_puntos!$1:$1,0))),NA())</f>
        <v>#N/A</v>
      </c>
      <c r="AG77" t="e">
        <f>IFERROR(IF(INDEX(Aux_puntos!$A$2:$OJ$901,73,MATCH($B$2&amp;"|xI",Aux_puntos!$1:$1,0))="",NA(),INDEX(Aux_puntos!$A$2:$OJ$901,73,MATCH($B$2&amp;"|xI",Aux_puntos!$1:$1,0))),NA())</f>
        <v>#N/A</v>
      </c>
      <c r="AH77" t="e">
        <f>IFERROR(IF(INDEX(Aux_puntos!$A$2:$OJ$901,73,MATCH($B$2&amp;"|yI",Aux_puntos!$1:$1,0))="",NA(),INDEX(Aux_puntos!$A$2:$OJ$901,73,MATCH($B$2&amp;"|yI",Aux_puntos!$1:$1,0))),NA())</f>
        <v>#N/A</v>
      </c>
      <c r="AI77" t="e">
        <f>IFERROR(IF(INDEX(Aux_puntos!$A$2:$OJ$901,73,MATCH($B$2&amp;"|xN",Aux_puntos!$1:$1,0))="",NA(),INDEX(Aux_puntos!$A$2:$OJ$901,73,MATCH($B$2&amp;"|xN",Aux_puntos!$1:$1,0))),NA())</f>
        <v>#N/A</v>
      </c>
      <c r="AJ77" t="e">
        <f>IFERROR(IF(INDEX(Aux_puntos!$A$2:$OJ$901,73,MATCH($B$2&amp;"|yN",Aux_puntos!$1:$1,0))="",NA(),INDEX(Aux_puntos!$A$2:$OJ$901,73,MATCH($B$2&amp;"|yN",Aux_puntos!$1:$1,0))),NA())</f>
        <v>#N/A</v>
      </c>
    </row>
    <row r="78" spans="29:36" x14ac:dyDescent="0.3">
      <c r="AC78" t="e">
        <f>IFERROR(IF(INDEX(Aux_puntos!$A$2:$OJ$901,74,MATCH($B$2&amp;"|xK",Aux_puntos!$1:$1,0))="",NA(),INDEX(Aux_puntos!$A$2:$OJ$901,74,MATCH($B$2&amp;"|xK",Aux_puntos!$1:$1,0))),NA())</f>
        <v>#N/A</v>
      </c>
      <c r="AD78" t="e">
        <f>IFERROR(IF(INDEX(Aux_puntos!$A$2:$OJ$901,74,MATCH($B$2&amp;"|yK",Aux_puntos!$1:$1,0))="",NA(),INDEX(Aux_puntos!$A$2:$OJ$901,74,MATCH($B$2&amp;"|yK",Aux_puntos!$1:$1,0))),NA())</f>
        <v>#N/A</v>
      </c>
      <c r="AE78" t="e">
        <f>IFERROR(IF(INDEX(Aux_puntos!$A$2:$OJ$901,74,MATCH($B$2&amp;"|xC",Aux_puntos!$1:$1,0))="",NA(),INDEX(Aux_puntos!$A$2:$OJ$901,74,MATCH($B$2&amp;"|xC",Aux_puntos!$1:$1,0))),NA())</f>
        <v>#N/A</v>
      </c>
      <c r="AF78" t="e">
        <f>IFERROR(IF(INDEX(Aux_puntos!$A$2:$OJ$901,74,MATCH($B$2&amp;"|yC",Aux_puntos!$1:$1,0))="",NA(),INDEX(Aux_puntos!$A$2:$OJ$901,74,MATCH($B$2&amp;"|yC",Aux_puntos!$1:$1,0))),NA())</f>
        <v>#N/A</v>
      </c>
      <c r="AG78" t="e">
        <f>IFERROR(IF(INDEX(Aux_puntos!$A$2:$OJ$901,74,MATCH($B$2&amp;"|xI",Aux_puntos!$1:$1,0))="",NA(),INDEX(Aux_puntos!$A$2:$OJ$901,74,MATCH($B$2&amp;"|xI",Aux_puntos!$1:$1,0))),NA())</f>
        <v>#N/A</v>
      </c>
      <c r="AH78" t="e">
        <f>IFERROR(IF(INDEX(Aux_puntos!$A$2:$OJ$901,74,MATCH($B$2&amp;"|yI",Aux_puntos!$1:$1,0))="",NA(),INDEX(Aux_puntos!$A$2:$OJ$901,74,MATCH($B$2&amp;"|yI",Aux_puntos!$1:$1,0))),NA())</f>
        <v>#N/A</v>
      </c>
      <c r="AI78" t="e">
        <f>IFERROR(IF(INDEX(Aux_puntos!$A$2:$OJ$901,74,MATCH($B$2&amp;"|xN",Aux_puntos!$1:$1,0))="",NA(),INDEX(Aux_puntos!$A$2:$OJ$901,74,MATCH($B$2&amp;"|xN",Aux_puntos!$1:$1,0))),NA())</f>
        <v>#N/A</v>
      </c>
      <c r="AJ78" t="e">
        <f>IFERROR(IF(INDEX(Aux_puntos!$A$2:$OJ$901,74,MATCH($B$2&amp;"|yN",Aux_puntos!$1:$1,0))="",NA(),INDEX(Aux_puntos!$A$2:$OJ$901,74,MATCH($B$2&amp;"|yN",Aux_puntos!$1:$1,0))),NA())</f>
        <v>#N/A</v>
      </c>
    </row>
    <row r="79" spans="29:36" x14ac:dyDescent="0.3">
      <c r="AC79" t="e">
        <f>IFERROR(IF(INDEX(Aux_puntos!$A$2:$OJ$901,75,MATCH($B$2&amp;"|xK",Aux_puntos!$1:$1,0))="",NA(),INDEX(Aux_puntos!$A$2:$OJ$901,75,MATCH($B$2&amp;"|xK",Aux_puntos!$1:$1,0))),NA())</f>
        <v>#N/A</v>
      </c>
      <c r="AD79" t="e">
        <f>IFERROR(IF(INDEX(Aux_puntos!$A$2:$OJ$901,75,MATCH($B$2&amp;"|yK",Aux_puntos!$1:$1,0))="",NA(),INDEX(Aux_puntos!$A$2:$OJ$901,75,MATCH($B$2&amp;"|yK",Aux_puntos!$1:$1,0))),NA())</f>
        <v>#N/A</v>
      </c>
      <c r="AE79" t="e">
        <f>IFERROR(IF(INDEX(Aux_puntos!$A$2:$OJ$901,75,MATCH($B$2&amp;"|xC",Aux_puntos!$1:$1,0))="",NA(),INDEX(Aux_puntos!$A$2:$OJ$901,75,MATCH($B$2&amp;"|xC",Aux_puntos!$1:$1,0))),NA())</f>
        <v>#N/A</v>
      </c>
      <c r="AF79" t="e">
        <f>IFERROR(IF(INDEX(Aux_puntos!$A$2:$OJ$901,75,MATCH($B$2&amp;"|yC",Aux_puntos!$1:$1,0))="",NA(),INDEX(Aux_puntos!$A$2:$OJ$901,75,MATCH($B$2&amp;"|yC",Aux_puntos!$1:$1,0))),NA())</f>
        <v>#N/A</v>
      </c>
      <c r="AG79" t="e">
        <f>IFERROR(IF(INDEX(Aux_puntos!$A$2:$OJ$901,75,MATCH($B$2&amp;"|xI",Aux_puntos!$1:$1,0))="",NA(),INDEX(Aux_puntos!$A$2:$OJ$901,75,MATCH($B$2&amp;"|xI",Aux_puntos!$1:$1,0))),NA())</f>
        <v>#N/A</v>
      </c>
      <c r="AH79" t="e">
        <f>IFERROR(IF(INDEX(Aux_puntos!$A$2:$OJ$901,75,MATCH($B$2&amp;"|yI",Aux_puntos!$1:$1,0))="",NA(),INDEX(Aux_puntos!$A$2:$OJ$901,75,MATCH($B$2&amp;"|yI",Aux_puntos!$1:$1,0))),NA())</f>
        <v>#N/A</v>
      </c>
      <c r="AI79" t="e">
        <f>IFERROR(IF(INDEX(Aux_puntos!$A$2:$OJ$901,75,MATCH($B$2&amp;"|xN",Aux_puntos!$1:$1,0))="",NA(),INDEX(Aux_puntos!$A$2:$OJ$901,75,MATCH($B$2&amp;"|xN",Aux_puntos!$1:$1,0))),NA())</f>
        <v>#N/A</v>
      </c>
      <c r="AJ79" t="e">
        <f>IFERROR(IF(INDEX(Aux_puntos!$A$2:$OJ$901,75,MATCH($B$2&amp;"|yN",Aux_puntos!$1:$1,0))="",NA(),INDEX(Aux_puntos!$A$2:$OJ$901,75,MATCH($B$2&amp;"|yN",Aux_puntos!$1:$1,0))),NA())</f>
        <v>#N/A</v>
      </c>
    </row>
    <row r="80" spans="29:36" x14ac:dyDescent="0.3">
      <c r="AC80" t="e">
        <f>IFERROR(IF(INDEX(Aux_puntos!$A$2:$OJ$901,76,MATCH($B$2&amp;"|xK",Aux_puntos!$1:$1,0))="",NA(),INDEX(Aux_puntos!$A$2:$OJ$901,76,MATCH($B$2&amp;"|xK",Aux_puntos!$1:$1,0))),NA())</f>
        <v>#N/A</v>
      </c>
      <c r="AD80" t="e">
        <f>IFERROR(IF(INDEX(Aux_puntos!$A$2:$OJ$901,76,MATCH($B$2&amp;"|yK",Aux_puntos!$1:$1,0))="",NA(),INDEX(Aux_puntos!$A$2:$OJ$901,76,MATCH($B$2&amp;"|yK",Aux_puntos!$1:$1,0))),NA())</f>
        <v>#N/A</v>
      </c>
      <c r="AE80" t="e">
        <f>IFERROR(IF(INDEX(Aux_puntos!$A$2:$OJ$901,76,MATCH($B$2&amp;"|xC",Aux_puntos!$1:$1,0))="",NA(),INDEX(Aux_puntos!$A$2:$OJ$901,76,MATCH($B$2&amp;"|xC",Aux_puntos!$1:$1,0))),NA())</f>
        <v>#N/A</v>
      </c>
      <c r="AF80" t="e">
        <f>IFERROR(IF(INDEX(Aux_puntos!$A$2:$OJ$901,76,MATCH($B$2&amp;"|yC",Aux_puntos!$1:$1,0))="",NA(),INDEX(Aux_puntos!$A$2:$OJ$901,76,MATCH($B$2&amp;"|yC",Aux_puntos!$1:$1,0))),NA())</f>
        <v>#N/A</v>
      </c>
      <c r="AG80" t="e">
        <f>IFERROR(IF(INDEX(Aux_puntos!$A$2:$OJ$901,76,MATCH($B$2&amp;"|xI",Aux_puntos!$1:$1,0))="",NA(),INDEX(Aux_puntos!$A$2:$OJ$901,76,MATCH($B$2&amp;"|xI",Aux_puntos!$1:$1,0))),NA())</f>
        <v>#N/A</v>
      </c>
      <c r="AH80" t="e">
        <f>IFERROR(IF(INDEX(Aux_puntos!$A$2:$OJ$901,76,MATCH($B$2&amp;"|yI",Aux_puntos!$1:$1,0))="",NA(),INDEX(Aux_puntos!$A$2:$OJ$901,76,MATCH($B$2&amp;"|yI",Aux_puntos!$1:$1,0))),NA())</f>
        <v>#N/A</v>
      </c>
      <c r="AI80" t="e">
        <f>IFERROR(IF(INDEX(Aux_puntos!$A$2:$OJ$901,76,MATCH($B$2&amp;"|xN",Aux_puntos!$1:$1,0))="",NA(),INDEX(Aux_puntos!$A$2:$OJ$901,76,MATCH($B$2&amp;"|xN",Aux_puntos!$1:$1,0))),NA())</f>
        <v>#N/A</v>
      </c>
      <c r="AJ80" t="e">
        <f>IFERROR(IF(INDEX(Aux_puntos!$A$2:$OJ$901,76,MATCH($B$2&amp;"|yN",Aux_puntos!$1:$1,0))="",NA(),INDEX(Aux_puntos!$A$2:$OJ$901,76,MATCH($B$2&amp;"|yN",Aux_puntos!$1:$1,0))),NA())</f>
        <v>#N/A</v>
      </c>
    </row>
    <row r="81" spans="29:36" x14ac:dyDescent="0.3">
      <c r="AC81" t="e">
        <f>IFERROR(IF(INDEX(Aux_puntos!$A$2:$OJ$901,77,MATCH($B$2&amp;"|xK",Aux_puntos!$1:$1,0))="",NA(),INDEX(Aux_puntos!$A$2:$OJ$901,77,MATCH($B$2&amp;"|xK",Aux_puntos!$1:$1,0))),NA())</f>
        <v>#N/A</v>
      </c>
      <c r="AD81" t="e">
        <f>IFERROR(IF(INDEX(Aux_puntos!$A$2:$OJ$901,77,MATCH($B$2&amp;"|yK",Aux_puntos!$1:$1,0))="",NA(),INDEX(Aux_puntos!$A$2:$OJ$901,77,MATCH($B$2&amp;"|yK",Aux_puntos!$1:$1,0))),NA())</f>
        <v>#N/A</v>
      </c>
      <c r="AE81" t="e">
        <f>IFERROR(IF(INDEX(Aux_puntos!$A$2:$OJ$901,77,MATCH($B$2&amp;"|xC",Aux_puntos!$1:$1,0))="",NA(),INDEX(Aux_puntos!$A$2:$OJ$901,77,MATCH($B$2&amp;"|xC",Aux_puntos!$1:$1,0))),NA())</f>
        <v>#N/A</v>
      </c>
      <c r="AF81" t="e">
        <f>IFERROR(IF(INDEX(Aux_puntos!$A$2:$OJ$901,77,MATCH($B$2&amp;"|yC",Aux_puntos!$1:$1,0))="",NA(),INDEX(Aux_puntos!$A$2:$OJ$901,77,MATCH($B$2&amp;"|yC",Aux_puntos!$1:$1,0))),NA())</f>
        <v>#N/A</v>
      </c>
      <c r="AG81" t="e">
        <f>IFERROR(IF(INDEX(Aux_puntos!$A$2:$OJ$901,77,MATCH($B$2&amp;"|xI",Aux_puntos!$1:$1,0))="",NA(),INDEX(Aux_puntos!$A$2:$OJ$901,77,MATCH($B$2&amp;"|xI",Aux_puntos!$1:$1,0))),NA())</f>
        <v>#N/A</v>
      </c>
      <c r="AH81" t="e">
        <f>IFERROR(IF(INDEX(Aux_puntos!$A$2:$OJ$901,77,MATCH($B$2&amp;"|yI",Aux_puntos!$1:$1,0))="",NA(),INDEX(Aux_puntos!$A$2:$OJ$901,77,MATCH($B$2&amp;"|yI",Aux_puntos!$1:$1,0))),NA())</f>
        <v>#N/A</v>
      </c>
      <c r="AI81" t="e">
        <f>IFERROR(IF(INDEX(Aux_puntos!$A$2:$OJ$901,77,MATCH($B$2&amp;"|xN",Aux_puntos!$1:$1,0))="",NA(),INDEX(Aux_puntos!$A$2:$OJ$901,77,MATCH($B$2&amp;"|xN",Aux_puntos!$1:$1,0))),NA())</f>
        <v>#N/A</v>
      </c>
      <c r="AJ81" t="e">
        <f>IFERROR(IF(INDEX(Aux_puntos!$A$2:$OJ$901,77,MATCH($B$2&amp;"|yN",Aux_puntos!$1:$1,0))="",NA(),INDEX(Aux_puntos!$A$2:$OJ$901,77,MATCH($B$2&amp;"|yN",Aux_puntos!$1:$1,0))),NA())</f>
        <v>#N/A</v>
      </c>
    </row>
    <row r="82" spans="29:36" x14ac:dyDescent="0.3">
      <c r="AC82" t="e">
        <f>IFERROR(IF(INDEX(Aux_puntos!$A$2:$OJ$901,78,MATCH($B$2&amp;"|xK",Aux_puntos!$1:$1,0))="",NA(),INDEX(Aux_puntos!$A$2:$OJ$901,78,MATCH($B$2&amp;"|xK",Aux_puntos!$1:$1,0))),NA())</f>
        <v>#N/A</v>
      </c>
      <c r="AD82" t="e">
        <f>IFERROR(IF(INDEX(Aux_puntos!$A$2:$OJ$901,78,MATCH($B$2&amp;"|yK",Aux_puntos!$1:$1,0))="",NA(),INDEX(Aux_puntos!$A$2:$OJ$901,78,MATCH($B$2&amp;"|yK",Aux_puntos!$1:$1,0))),NA())</f>
        <v>#N/A</v>
      </c>
      <c r="AE82" t="e">
        <f>IFERROR(IF(INDEX(Aux_puntos!$A$2:$OJ$901,78,MATCH($B$2&amp;"|xC",Aux_puntos!$1:$1,0))="",NA(),INDEX(Aux_puntos!$A$2:$OJ$901,78,MATCH($B$2&amp;"|xC",Aux_puntos!$1:$1,0))),NA())</f>
        <v>#N/A</v>
      </c>
      <c r="AF82" t="e">
        <f>IFERROR(IF(INDEX(Aux_puntos!$A$2:$OJ$901,78,MATCH($B$2&amp;"|yC",Aux_puntos!$1:$1,0))="",NA(),INDEX(Aux_puntos!$A$2:$OJ$901,78,MATCH($B$2&amp;"|yC",Aux_puntos!$1:$1,0))),NA())</f>
        <v>#N/A</v>
      </c>
      <c r="AG82" t="e">
        <f>IFERROR(IF(INDEX(Aux_puntos!$A$2:$OJ$901,78,MATCH($B$2&amp;"|xI",Aux_puntos!$1:$1,0))="",NA(),INDEX(Aux_puntos!$A$2:$OJ$901,78,MATCH($B$2&amp;"|xI",Aux_puntos!$1:$1,0))),NA())</f>
        <v>#N/A</v>
      </c>
      <c r="AH82" t="e">
        <f>IFERROR(IF(INDEX(Aux_puntos!$A$2:$OJ$901,78,MATCH($B$2&amp;"|yI",Aux_puntos!$1:$1,0))="",NA(),INDEX(Aux_puntos!$A$2:$OJ$901,78,MATCH($B$2&amp;"|yI",Aux_puntos!$1:$1,0))),NA())</f>
        <v>#N/A</v>
      </c>
      <c r="AI82" t="e">
        <f>IFERROR(IF(INDEX(Aux_puntos!$A$2:$OJ$901,78,MATCH($B$2&amp;"|xN",Aux_puntos!$1:$1,0))="",NA(),INDEX(Aux_puntos!$A$2:$OJ$901,78,MATCH($B$2&amp;"|xN",Aux_puntos!$1:$1,0))),NA())</f>
        <v>#N/A</v>
      </c>
      <c r="AJ82" t="e">
        <f>IFERROR(IF(INDEX(Aux_puntos!$A$2:$OJ$901,78,MATCH($B$2&amp;"|yN",Aux_puntos!$1:$1,0))="",NA(),INDEX(Aux_puntos!$A$2:$OJ$901,78,MATCH($B$2&amp;"|yN",Aux_puntos!$1:$1,0))),NA())</f>
        <v>#N/A</v>
      </c>
    </row>
    <row r="83" spans="29:36" x14ac:dyDescent="0.3">
      <c r="AC83" t="e">
        <f>IFERROR(IF(INDEX(Aux_puntos!$A$2:$OJ$901,79,MATCH($B$2&amp;"|xK",Aux_puntos!$1:$1,0))="",NA(),INDEX(Aux_puntos!$A$2:$OJ$901,79,MATCH($B$2&amp;"|xK",Aux_puntos!$1:$1,0))),NA())</f>
        <v>#N/A</v>
      </c>
      <c r="AD83" t="e">
        <f>IFERROR(IF(INDEX(Aux_puntos!$A$2:$OJ$901,79,MATCH($B$2&amp;"|yK",Aux_puntos!$1:$1,0))="",NA(),INDEX(Aux_puntos!$A$2:$OJ$901,79,MATCH($B$2&amp;"|yK",Aux_puntos!$1:$1,0))),NA())</f>
        <v>#N/A</v>
      </c>
      <c r="AE83" t="e">
        <f>IFERROR(IF(INDEX(Aux_puntos!$A$2:$OJ$901,79,MATCH($B$2&amp;"|xC",Aux_puntos!$1:$1,0))="",NA(),INDEX(Aux_puntos!$A$2:$OJ$901,79,MATCH($B$2&amp;"|xC",Aux_puntos!$1:$1,0))),NA())</f>
        <v>#N/A</v>
      </c>
      <c r="AF83" t="e">
        <f>IFERROR(IF(INDEX(Aux_puntos!$A$2:$OJ$901,79,MATCH($B$2&amp;"|yC",Aux_puntos!$1:$1,0))="",NA(),INDEX(Aux_puntos!$A$2:$OJ$901,79,MATCH($B$2&amp;"|yC",Aux_puntos!$1:$1,0))),NA())</f>
        <v>#N/A</v>
      </c>
      <c r="AG83" t="e">
        <f>IFERROR(IF(INDEX(Aux_puntos!$A$2:$OJ$901,79,MATCH($B$2&amp;"|xI",Aux_puntos!$1:$1,0))="",NA(),INDEX(Aux_puntos!$A$2:$OJ$901,79,MATCH($B$2&amp;"|xI",Aux_puntos!$1:$1,0))),NA())</f>
        <v>#N/A</v>
      </c>
      <c r="AH83" t="e">
        <f>IFERROR(IF(INDEX(Aux_puntos!$A$2:$OJ$901,79,MATCH($B$2&amp;"|yI",Aux_puntos!$1:$1,0))="",NA(),INDEX(Aux_puntos!$A$2:$OJ$901,79,MATCH($B$2&amp;"|yI",Aux_puntos!$1:$1,0))),NA())</f>
        <v>#N/A</v>
      </c>
      <c r="AI83" t="e">
        <f>IFERROR(IF(INDEX(Aux_puntos!$A$2:$OJ$901,79,MATCH($B$2&amp;"|xN",Aux_puntos!$1:$1,0))="",NA(),INDEX(Aux_puntos!$A$2:$OJ$901,79,MATCH($B$2&amp;"|xN",Aux_puntos!$1:$1,0))),NA())</f>
        <v>#N/A</v>
      </c>
      <c r="AJ83" t="e">
        <f>IFERROR(IF(INDEX(Aux_puntos!$A$2:$OJ$901,79,MATCH($B$2&amp;"|yN",Aux_puntos!$1:$1,0))="",NA(),INDEX(Aux_puntos!$A$2:$OJ$901,79,MATCH($B$2&amp;"|yN",Aux_puntos!$1:$1,0))),NA())</f>
        <v>#N/A</v>
      </c>
    </row>
    <row r="84" spans="29:36" x14ac:dyDescent="0.3">
      <c r="AC84" t="e">
        <f>IFERROR(IF(INDEX(Aux_puntos!$A$2:$OJ$901,80,MATCH($B$2&amp;"|xK",Aux_puntos!$1:$1,0))="",NA(),INDEX(Aux_puntos!$A$2:$OJ$901,80,MATCH($B$2&amp;"|xK",Aux_puntos!$1:$1,0))),NA())</f>
        <v>#N/A</v>
      </c>
      <c r="AD84" t="e">
        <f>IFERROR(IF(INDEX(Aux_puntos!$A$2:$OJ$901,80,MATCH($B$2&amp;"|yK",Aux_puntos!$1:$1,0))="",NA(),INDEX(Aux_puntos!$A$2:$OJ$901,80,MATCH($B$2&amp;"|yK",Aux_puntos!$1:$1,0))),NA())</f>
        <v>#N/A</v>
      </c>
      <c r="AE84" t="e">
        <f>IFERROR(IF(INDEX(Aux_puntos!$A$2:$OJ$901,80,MATCH($B$2&amp;"|xC",Aux_puntos!$1:$1,0))="",NA(),INDEX(Aux_puntos!$A$2:$OJ$901,80,MATCH($B$2&amp;"|xC",Aux_puntos!$1:$1,0))),NA())</f>
        <v>#N/A</v>
      </c>
      <c r="AF84" t="e">
        <f>IFERROR(IF(INDEX(Aux_puntos!$A$2:$OJ$901,80,MATCH($B$2&amp;"|yC",Aux_puntos!$1:$1,0))="",NA(),INDEX(Aux_puntos!$A$2:$OJ$901,80,MATCH($B$2&amp;"|yC",Aux_puntos!$1:$1,0))),NA())</f>
        <v>#N/A</v>
      </c>
      <c r="AG84" t="e">
        <f>IFERROR(IF(INDEX(Aux_puntos!$A$2:$OJ$901,80,MATCH($B$2&amp;"|xI",Aux_puntos!$1:$1,0))="",NA(),INDEX(Aux_puntos!$A$2:$OJ$901,80,MATCH($B$2&amp;"|xI",Aux_puntos!$1:$1,0))),NA())</f>
        <v>#N/A</v>
      </c>
      <c r="AH84" t="e">
        <f>IFERROR(IF(INDEX(Aux_puntos!$A$2:$OJ$901,80,MATCH($B$2&amp;"|yI",Aux_puntos!$1:$1,0))="",NA(),INDEX(Aux_puntos!$A$2:$OJ$901,80,MATCH($B$2&amp;"|yI",Aux_puntos!$1:$1,0))),NA())</f>
        <v>#N/A</v>
      </c>
      <c r="AI84" t="e">
        <f>IFERROR(IF(INDEX(Aux_puntos!$A$2:$OJ$901,80,MATCH($B$2&amp;"|xN",Aux_puntos!$1:$1,0))="",NA(),INDEX(Aux_puntos!$A$2:$OJ$901,80,MATCH($B$2&amp;"|xN",Aux_puntos!$1:$1,0))),NA())</f>
        <v>#N/A</v>
      </c>
      <c r="AJ84" t="e">
        <f>IFERROR(IF(INDEX(Aux_puntos!$A$2:$OJ$901,80,MATCH($B$2&amp;"|yN",Aux_puntos!$1:$1,0))="",NA(),INDEX(Aux_puntos!$A$2:$OJ$901,80,MATCH($B$2&amp;"|yN",Aux_puntos!$1:$1,0))),NA())</f>
        <v>#N/A</v>
      </c>
    </row>
    <row r="85" spans="29:36" x14ac:dyDescent="0.3">
      <c r="AC85" t="e">
        <f>IFERROR(IF(INDEX(Aux_puntos!$A$2:$OJ$901,81,MATCH($B$2&amp;"|xK",Aux_puntos!$1:$1,0))="",NA(),INDEX(Aux_puntos!$A$2:$OJ$901,81,MATCH($B$2&amp;"|xK",Aux_puntos!$1:$1,0))),NA())</f>
        <v>#N/A</v>
      </c>
      <c r="AD85" t="e">
        <f>IFERROR(IF(INDEX(Aux_puntos!$A$2:$OJ$901,81,MATCH($B$2&amp;"|yK",Aux_puntos!$1:$1,0))="",NA(),INDEX(Aux_puntos!$A$2:$OJ$901,81,MATCH($B$2&amp;"|yK",Aux_puntos!$1:$1,0))),NA())</f>
        <v>#N/A</v>
      </c>
      <c r="AE85" t="e">
        <f>IFERROR(IF(INDEX(Aux_puntos!$A$2:$OJ$901,81,MATCH($B$2&amp;"|xC",Aux_puntos!$1:$1,0))="",NA(),INDEX(Aux_puntos!$A$2:$OJ$901,81,MATCH($B$2&amp;"|xC",Aux_puntos!$1:$1,0))),NA())</f>
        <v>#N/A</v>
      </c>
      <c r="AF85" t="e">
        <f>IFERROR(IF(INDEX(Aux_puntos!$A$2:$OJ$901,81,MATCH($B$2&amp;"|yC",Aux_puntos!$1:$1,0))="",NA(),INDEX(Aux_puntos!$A$2:$OJ$901,81,MATCH($B$2&amp;"|yC",Aux_puntos!$1:$1,0))),NA())</f>
        <v>#N/A</v>
      </c>
      <c r="AG85" t="e">
        <f>IFERROR(IF(INDEX(Aux_puntos!$A$2:$OJ$901,81,MATCH($B$2&amp;"|xI",Aux_puntos!$1:$1,0))="",NA(),INDEX(Aux_puntos!$A$2:$OJ$901,81,MATCH($B$2&amp;"|xI",Aux_puntos!$1:$1,0))),NA())</f>
        <v>#N/A</v>
      </c>
      <c r="AH85" t="e">
        <f>IFERROR(IF(INDEX(Aux_puntos!$A$2:$OJ$901,81,MATCH($B$2&amp;"|yI",Aux_puntos!$1:$1,0))="",NA(),INDEX(Aux_puntos!$A$2:$OJ$901,81,MATCH($B$2&amp;"|yI",Aux_puntos!$1:$1,0))),NA())</f>
        <v>#N/A</v>
      </c>
      <c r="AI85" t="e">
        <f>IFERROR(IF(INDEX(Aux_puntos!$A$2:$OJ$901,81,MATCH($B$2&amp;"|xN",Aux_puntos!$1:$1,0))="",NA(),INDEX(Aux_puntos!$A$2:$OJ$901,81,MATCH($B$2&amp;"|xN",Aux_puntos!$1:$1,0))),NA())</f>
        <v>#N/A</v>
      </c>
      <c r="AJ85" t="e">
        <f>IFERROR(IF(INDEX(Aux_puntos!$A$2:$OJ$901,81,MATCH($B$2&amp;"|yN",Aux_puntos!$1:$1,0))="",NA(),INDEX(Aux_puntos!$A$2:$OJ$901,81,MATCH($B$2&amp;"|yN",Aux_puntos!$1:$1,0))),NA())</f>
        <v>#N/A</v>
      </c>
    </row>
    <row r="86" spans="29:36" x14ac:dyDescent="0.3">
      <c r="AC86" t="e">
        <f>IFERROR(IF(INDEX(Aux_puntos!$A$2:$OJ$901,82,MATCH($B$2&amp;"|xK",Aux_puntos!$1:$1,0))="",NA(),INDEX(Aux_puntos!$A$2:$OJ$901,82,MATCH($B$2&amp;"|xK",Aux_puntos!$1:$1,0))),NA())</f>
        <v>#N/A</v>
      </c>
      <c r="AD86" t="e">
        <f>IFERROR(IF(INDEX(Aux_puntos!$A$2:$OJ$901,82,MATCH($B$2&amp;"|yK",Aux_puntos!$1:$1,0))="",NA(),INDEX(Aux_puntos!$A$2:$OJ$901,82,MATCH($B$2&amp;"|yK",Aux_puntos!$1:$1,0))),NA())</f>
        <v>#N/A</v>
      </c>
      <c r="AE86" t="e">
        <f>IFERROR(IF(INDEX(Aux_puntos!$A$2:$OJ$901,82,MATCH($B$2&amp;"|xC",Aux_puntos!$1:$1,0))="",NA(),INDEX(Aux_puntos!$A$2:$OJ$901,82,MATCH($B$2&amp;"|xC",Aux_puntos!$1:$1,0))),NA())</f>
        <v>#N/A</v>
      </c>
      <c r="AF86" t="e">
        <f>IFERROR(IF(INDEX(Aux_puntos!$A$2:$OJ$901,82,MATCH($B$2&amp;"|yC",Aux_puntos!$1:$1,0))="",NA(),INDEX(Aux_puntos!$A$2:$OJ$901,82,MATCH($B$2&amp;"|yC",Aux_puntos!$1:$1,0))),NA())</f>
        <v>#N/A</v>
      </c>
      <c r="AG86" t="e">
        <f>IFERROR(IF(INDEX(Aux_puntos!$A$2:$OJ$901,82,MATCH($B$2&amp;"|xI",Aux_puntos!$1:$1,0))="",NA(),INDEX(Aux_puntos!$A$2:$OJ$901,82,MATCH($B$2&amp;"|xI",Aux_puntos!$1:$1,0))),NA())</f>
        <v>#N/A</v>
      </c>
      <c r="AH86" t="e">
        <f>IFERROR(IF(INDEX(Aux_puntos!$A$2:$OJ$901,82,MATCH($B$2&amp;"|yI",Aux_puntos!$1:$1,0))="",NA(),INDEX(Aux_puntos!$A$2:$OJ$901,82,MATCH($B$2&amp;"|yI",Aux_puntos!$1:$1,0))),NA())</f>
        <v>#N/A</v>
      </c>
      <c r="AI86" t="e">
        <f>IFERROR(IF(INDEX(Aux_puntos!$A$2:$OJ$901,82,MATCH($B$2&amp;"|xN",Aux_puntos!$1:$1,0))="",NA(),INDEX(Aux_puntos!$A$2:$OJ$901,82,MATCH($B$2&amp;"|xN",Aux_puntos!$1:$1,0))),NA())</f>
        <v>#N/A</v>
      </c>
      <c r="AJ86" t="e">
        <f>IFERROR(IF(INDEX(Aux_puntos!$A$2:$OJ$901,82,MATCH($B$2&amp;"|yN",Aux_puntos!$1:$1,0))="",NA(),INDEX(Aux_puntos!$A$2:$OJ$901,82,MATCH($B$2&amp;"|yN",Aux_puntos!$1:$1,0))),NA())</f>
        <v>#N/A</v>
      </c>
    </row>
    <row r="87" spans="29:36" x14ac:dyDescent="0.3">
      <c r="AC87" t="e">
        <f>IFERROR(IF(INDEX(Aux_puntos!$A$2:$OJ$901,83,MATCH($B$2&amp;"|xK",Aux_puntos!$1:$1,0))="",NA(),INDEX(Aux_puntos!$A$2:$OJ$901,83,MATCH($B$2&amp;"|xK",Aux_puntos!$1:$1,0))),NA())</f>
        <v>#N/A</v>
      </c>
      <c r="AD87" t="e">
        <f>IFERROR(IF(INDEX(Aux_puntos!$A$2:$OJ$901,83,MATCH($B$2&amp;"|yK",Aux_puntos!$1:$1,0))="",NA(),INDEX(Aux_puntos!$A$2:$OJ$901,83,MATCH($B$2&amp;"|yK",Aux_puntos!$1:$1,0))),NA())</f>
        <v>#N/A</v>
      </c>
      <c r="AE87" t="e">
        <f>IFERROR(IF(INDEX(Aux_puntos!$A$2:$OJ$901,83,MATCH($B$2&amp;"|xC",Aux_puntos!$1:$1,0))="",NA(),INDEX(Aux_puntos!$A$2:$OJ$901,83,MATCH($B$2&amp;"|xC",Aux_puntos!$1:$1,0))),NA())</f>
        <v>#N/A</v>
      </c>
      <c r="AF87" t="e">
        <f>IFERROR(IF(INDEX(Aux_puntos!$A$2:$OJ$901,83,MATCH($B$2&amp;"|yC",Aux_puntos!$1:$1,0))="",NA(),INDEX(Aux_puntos!$A$2:$OJ$901,83,MATCH($B$2&amp;"|yC",Aux_puntos!$1:$1,0))),NA())</f>
        <v>#N/A</v>
      </c>
      <c r="AG87" t="e">
        <f>IFERROR(IF(INDEX(Aux_puntos!$A$2:$OJ$901,83,MATCH($B$2&amp;"|xI",Aux_puntos!$1:$1,0))="",NA(),INDEX(Aux_puntos!$A$2:$OJ$901,83,MATCH($B$2&amp;"|xI",Aux_puntos!$1:$1,0))),NA())</f>
        <v>#N/A</v>
      </c>
      <c r="AH87" t="e">
        <f>IFERROR(IF(INDEX(Aux_puntos!$A$2:$OJ$901,83,MATCH($B$2&amp;"|yI",Aux_puntos!$1:$1,0))="",NA(),INDEX(Aux_puntos!$A$2:$OJ$901,83,MATCH($B$2&amp;"|yI",Aux_puntos!$1:$1,0))),NA())</f>
        <v>#N/A</v>
      </c>
      <c r="AI87" t="e">
        <f>IFERROR(IF(INDEX(Aux_puntos!$A$2:$OJ$901,83,MATCH($B$2&amp;"|xN",Aux_puntos!$1:$1,0))="",NA(),INDEX(Aux_puntos!$A$2:$OJ$901,83,MATCH($B$2&amp;"|xN",Aux_puntos!$1:$1,0))),NA())</f>
        <v>#N/A</v>
      </c>
      <c r="AJ87" t="e">
        <f>IFERROR(IF(INDEX(Aux_puntos!$A$2:$OJ$901,83,MATCH($B$2&amp;"|yN",Aux_puntos!$1:$1,0))="",NA(),INDEX(Aux_puntos!$A$2:$OJ$901,83,MATCH($B$2&amp;"|yN",Aux_puntos!$1:$1,0))),NA())</f>
        <v>#N/A</v>
      </c>
    </row>
    <row r="88" spans="29:36" x14ac:dyDescent="0.3">
      <c r="AC88" t="e">
        <f>IFERROR(IF(INDEX(Aux_puntos!$A$2:$OJ$901,84,MATCH($B$2&amp;"|xK",Aux_puntos!$1:$1,0))="",NA(),INDEX(Aux_puntos!$A$2:$OJ$901,84,MATCH($B$2&amp;"|xK",Aux_puntos!$1:$1,0))),NA())</f>
        <v>#N/A</v>
      </c>
      <c r="AD88" t="e">
        <f>IFERROR(IF(INDEX(Aux_puntos!$A$2:$OJ$901,84,MATCH($B$2&amp;"|yK",Aux_puntos!$1:$1,0))="",NA(),INDEX(Aux_puntos!$A$2:$OJ$901,84,MATCH($B$2&amp;"|yK",Aux_puntos!$1:$1,0))),NA())</f>
        <v>#N/A</v>
      </c>
      <c r="AE88" t="e">
        <f>IFERROR(IF(INDEX(Aux_puntos!$A$2:$OJ$901,84,MATCH($B$2&amp;"|xC",Aux_puntos!$1:$1,0))="",NA(),INDEX(Aux_puntos!$A$2:$OJ$901,84,MATCH($B$2&amp;"|xC",Aux_puntos!$1:$1,0))),NA())</f>
        <v>#N/A</v>
      </c>
      <c r="AF88" t="e">
        <f>IFERROR(IF(INDEX(Aux_puntos!$A$2:$OJ$901,84,MATCH($B$2&amp;"|yC",Aux_puntos!$1:$1,0))="",NA(),INDEX(Aux_puntos!$A$2:$OJ$901,84,MATCH($B$2&amp;"|yC",Aux_puntos!$1:$1,0))),NA())</f>
        <v>#N/A</v>
      </c>
      <c r="AG88" t="e">
        <f>IFERROR(IF(INDEX(Aux_puntos!$A$2:$OJ$901,84,MATCH($B$2&amp;"|xI",Aux_puntos!$1:$1,0))="",NA(),INDEX(Aux_puntos!$A$2:$OJ$901,84,MATCH($B$2&amp;"|xI",Aux_puntos!$1:$1,0))),NA())</f>
        <v>#N/A</v>
      </c>
      <c r="AH88" t="e">
        <f>IFERROR(IF(INDEX(Aux_puntos!$A$2:$OJ$901,84,MATCH($B$2&amp;"|yI",Aux_puntos!$1:$1,0))="",NA(),INDEX(Aux_puntos!$A$2:$OJ$901,84,MATCH($B$2&amp;"|yI",Aux_puntos!$1:$1,0))),NA())</f>
        <v>#N/A</v>
      </c>
      <c r="AI88" t="e">
        <f>IFERROR(IF(INDEX(Aux_puntos!$A$2:$OJ$901,84,MATCH($B$2&amp;"|xN",Aux_puntos!$1:$1,0))="",NA(),INDEX(Aux_puntos!$A$2:$OJ$901,84,MATCH($B$2&amp;"|xN",Aux_puntos!$1:$1,0))),NA())</f>
        <v>#N/A</v>
      </c>
      <c r="AJ88" t="e">
        <f>IFERROR(IF(INDEX(Aux_puntos!$A$2:$OJ$901,84,MATCH($B$2&amp;"|yN",Aux_puntos!$1:$1,0))="",NA(),INDEX(Aux_puntos!$A$2:$OJ$901,84,MATCH($B$2&amp;"|yN",Aux_puntos!$1:$1,0))),NA())</f>
        <v>#N/A</v>
      </c>
    </row>
    <row r="89" spans="29:36" x14ac:dyDescent="0.3">
      <c r="AC89" t="e">
        <f>IFERROR(IF(INDEX(Aux_puntos!$A$2:$OJ$901,85,MATCH($B$2&amp;"|xK",Aux_puntos!$1:$1,0))="",NA(),INDEX(Aux_puntos!$A$2:$OJ$901,85,MATCH($B$2&amp;"|xK",Aux_puntos!$1:$1,0))),NA())</f>
        <v>#N/A</v>
      </c>
      <c r="AD89" t="e">
        <f>IFERROR(IF(INDEX(Aux_puntos!$A$2:$OJ$901,85,MATCH($B$2&amp;"|yK",Aux_puntos!$1:$1,0))="",NA(),INDEX(Aux_puntos!$A$2:$OJ$901,85,MATCH($B$2&amp;"|yK",Aux_puntos!$1:$1,0))),NA())</f>
        <v>#N/A</v>
      </c>
      <c r="AE89" t="e">
        <f>IFERROR(IF(INDEX(Aux_puntos!$A$2:$OJ$901,85,MATCH($B$2&amp;"|xC",Aux_puntos!$1:$1,0))="",NA(),INDEX(Aux_puntos!$A$2:$OJ$901,85,MATCH($B$2&amp;"|xC",Aux_puntos!$1:$1,0))),NA())</f>
        <v>#N/A</v>
      </c>
      <c r="AF89" t="e">
        <f>IFERROR(IF(INDEX(Aux_puntos!$A$2:$OJ$901,85,MATCH($B$2&amp;"|yC",Aux_puntos!$1:$1,0))="",NA(),INDEX(Aux_puntos!$A$2:$OJ$901,85,MATCH($B$2&amp;"|yC",Aux_puntos!$1:$1,0))),NA())</f>
        <v>#N/A</v>
      </c>
      <c r="AG89" t="e">
        <f>IFERROR(IF(INDEX(Aux_puntos!$A$2:$OJ$901,85,MATCH($B$2&amp;"|xI",Aux_puntos!$1:$1,0))="",NA(),INDEX(Aux_puntos!$A$2:$OJ$901,85,MATCH($B$2&amp;"|xI",Aux_puntos!$1:$1,0))),NA())</f>
        <v>#N/A</v>
      </c>
      <c r="AH89" t="e">
        <f>IFERROR(IF(INDEX(Aux_puntos!$A$2:$OJ$901,85,MATCH($B$2&amp;"|yI",Aux_puntos!$1:$1,0))="",NA(),INDEX(Aux_puntos!$A$2:$OJ$901,85,MATCH($B$2&amp;"|yI",Aux_puntos!$1:$1,0))),NA())</f>
        <v>#N/A</v>
      </c>
      <c r="AI89" t="e">
        <f>IFERROR(IF(INDEX(Aux_puntos!$A$2:$OJ$901,85,MATCH($B$2&amp;"|xN",Aux_puntos!$1:$1,0))="",NA(),INDEX(Aux_puntos!$A$2:$OJ$901,85,MATCH($B$2&amp;"|xN",Aux_puntos!$1:$1,0))),NA())</f>
        <v>#N/A</v>
      </c>
      <c r="AJ89" t="e">
        <f>IFERROR(IF(INDEX(Aux_puntos!$A$2:$OJ$901,85,MATCH($B$2&amp;"|yN",Aux_puntos!$1:$1,0))="",NA(),INDEX(Aux_puntos!$A$2:$OJ$901,85,MATCH($B$2&amp;"|yN",Aux_puntos!$1:$1,0))),NA())</f>
        <v>#N/A</v>
      </c>
    </row>
    <row r="90" spans="29:36" x14ac:dyDescent="0.3">
      <c r="AC90" t="e">
        <f>IFERROR(IF(INDEX(Aux_puntos!$A$2:$OJ$901,86,MATCH($B$2&amp;"|xK",Aux_puntos!$1:$1,0))="",NA(),INDEX(Aux_puntos!$A$2:$OJ$901,86,MATCH($B$2&amp;"|xK",Aux_puntos!$1:$1,0))),NA())</f>
        <v>#N/A</v>
      </c>
      <c r="AD90" t="e">
        <f>IFERROR(IF(INDEX(Aux_puntos!$A$2:$OJ$901,86,MATCH($B$2&amp;"|yK",Aux_puntos!$1:$1,0))="",NA(),INDEX(Aux_puntos!$A$2:$OJ$901,86,MATCH($B$2&amp;"|yK",Aux_puntos!$1:$1,0))),NA())</f>
        <v>#N/A</v>
      </c>
      <c r="AE90" t="e">
        <f>IFERROR(IF(INDEX(Aux_puntos!$A$2:$OJ$901,86,MATCH($B$2&amp;"|xC",Aux_puntos!$1:$1,0))="",NA(),INDEX(Aux_puntos!$A$2:$OJ$901,86,MATCH($B$2&amp;"|xC",Aux_puntos!$1:$1,0))),NA())</f>
        <v>#N/A</v>
      </c>
      <c r="AF90" t="e">
        <f>IFERROR(IF(INDEX(Aux_puntos!$A$2:$OJ$901,86,MATCH($B$2&amp;"|yC",Aux_puntos!$1:$1,0))="",NA(),INDEX(Aux_puntos!$A$2:$OJ$901,86,MATCH($B$2&amp;"|yC",Aux_puntos!$1:$1,0))),NA())</f>
        <v>#N/A</v>
      </c>
      <c r="AG90" t="e">
        <f>IFERROR(IF(INDEX(Aux_puntos!$A$2:$OJ$901,86,MATCH($B$2&amp;"|xI",Aux_puntos!$1:$1,0))="",NA(),INDEX(Aux_puntos!$A$2:$OJ$901,86,MATCH($B$2&amp;"|xI",Aux_puntos!$1:$1,0))),NA())</f>
        <v>#N/A</v>
      </c>
      <c r="AH90" t="e">
        <f>IFERROR(IF(INDEX(Aux_puntos!$A$2:$OJ$901,86,MATCH($B$2&amp;"|yI",Aux_puntos!$1:$1,0))="",NA(),INDEX(Aux_puntos!$A$2:$OJ$901,86,MATCH($B$2&amp;"|yI",Aux_puntos!$1:$1,0))),NA())</f>
        <v>#N/A</v>
      </c>
      <c r="AI90" t="e">
        <f>IFERROR(IF(INDEX(Aux_puntos!$A$2:$OJ$901,86,MATCH($B$2&amp;"|xN",Aux_puntos!$1:$1,0))="",NA(),INDEX(Aux_puntos!$A$2:$OJ$901,86,MATCH($B$2&amp;"|xN",Aux_puntos!$1:$1,0))),NA())</f>
        <v>#N/A</v>
      </c>
      <c r="AJ90" t="e">
        <f>IFERROR(IF(INDEX(Aux_puntos!$A$2:$OJ$901,86,MATCH($B$2&amp;"|yN",Aux_puntos!$1:$1,0))="",NA(),INDEX(Aux_puntos!$A$2:$OJ$901,86,MATCH($B$2&amp;"|yN",Aux_puntos!$1:$1,0))),NA())</f>
        <v>#N/A</v>
      </c>
    </row>
    <row r="91" spans="29:36" x14ac:dyDescent="0.3">
      <c r="AC91" t="e">
        <f>IFERROR(IF(INDEX(Aux_puntos!$A$2:$OJ$901,87,MATCH($B$2&amp;"|xK",Aux_puntos!$1:$1,0))="",NA(),INDEX(Aux_puntos!$A$2:$OJ$901,87,MATCH($B$2&amp;"|xK",Aux_puntos!$1:$1,0))),NA())</f>
        <v>#N/A</v>
      </c>
      <c r="AD91" t="e">
        <f>IFERROR(IF(INDEX(Aux_puntos!$A$2:$OJ$901,87,MATCH($B$2&amp;"|yK",Aux_puntos!$1:$1,0))="",NA(),INDEX(Aux_puntos!$A$2:$OJ$901,87,MATCH($B$2&amp;"|yK",Aux_puntos!$1:$1,0))),NA())</f>
        <v>#N/A</v>
      </c>
      <c r="AE91" t="e">
        <f>IFERROR(IF(INDEX(Aux_puntos!$A$2:$OJ$901,87,MATCH($B$2&amp;"|xC",Aux_puntos!$1:$1,0))="",NA(),INDEX(Aux_puntos!$A$2:$OJ$901,87,MATCH($B$2&amp;"|xC",Aux_puntos!$1:$1,0))),NA())</f>
        <v>#N/A</v>
      </c>
      <c r="AF91" t="e">
        <f>IFERROR(IF(INDEX(Aux_puntos!$A$2:$OJ$901,87,MATCH($B$2&amp;"|yC",Aux_puntos!$1:$1,0))="",NA(),INDEX(Aux_puntos!$A$2:$OJ$901,87,MATCH($B$2&amp;"|yC",Aux_puntos!$1:$1,0))),NA())</f>
        <v>#N/A</v>
      </c>
      <c r="AG91" t="e">
        <f>IFERROR(IF(INDEX(Aux_puntos!$A$2:$OJ$901,87,MATCH($B$2&amp;"|xI",Aux_puntos!$1:$1,0))="",NA(),INDEX(Aux_puntos!$A$2:$OJ$901,87,MATCH($B$2&amp;"|xI",Aux_puntos!$1:$1,0))),NA())</f>
        <v>#N/A</v>
      </c>
      <c r="AH91" t="e">
        <f>IFERROR(IF(INDEX(Aux_puntos!$A$2:$OJ$901,87,MATCH($B$2&amp;"|yI",Aux_puntos!$1:$1,0))="",NA(),INDEX(Aux_puntos!$A$2:$OJ$901,87,MATCH($B$2&amp;"|yI",Aux_puntos!$1:$1,0))),NA())</f>
        <v>#N/A</v>
      </c>
      <c r="AI91" t="e">
        <f>IFERROR(IF(INDEX(Aux_puntos!$A$2:$OJ$901,87,MATCH($B$2&amp;"|xN",Aux_puntos!$1:$1,0))="",NA(),INDEX(Aux_puntos!$A$2:$OJ$901,87,MATCH($B$2&amp;"|xN",Aux_puntos!$1:$1,0))),NA())</f>
        <v>#N/A</v>
      </c>
      <c r="AJ91" t="e">
        <f>IFERROR(IF(INDEX(Aux_puntos!$A$2:$OJ$901,87,MATCH($B$2&amp;"|yN",Aux_puntos!$1:$1,0))="",NA(),INDEX(Aux_puntos!$A$2:$OJ$901,87,MATCH($B$2&amp;"|yN",Aux_puntos!$1:$1,0))),NA())</f>
        <v>#N/A</v>
      </c>
    </row>
    <row r="92" spans="29:36" x14ac:dyDescent="0.3">
      <c r="AC92" t="e">
        <f>IFERROR(IF(INDEX(Aux_puntos!$A$2:$OJ$901,88,MATCH($B$2&amp;"|xK",Aux_puntos!$1:$1,0))="",NA(),INDEX(Aux_puntos!$A$2:$OJ$901,88,MATCH($B$2&amp;"|xK",Aux_puntos!$1:$1,0))),NA())</f>
        <v>#N/A</v>
      </c>
      <c r="AD92" t="e">
        <f>IFERROR(IF(INDEX(Aux_puntos!$A$2:$OJ$901,88,MATCH($B$2&amp;"|yK",Aux_puntos!$1:$1,0))="",NA(),INDEX(Aux_puntos!$A$2:$OJ$901,88,MATCH($B$2&amp;"|yK",Aux_puntos!$1:$1,0))),NA())</f>
        <v>#N/A</v>
      </c>
      <c r="AE92" t="e">
        <f>IFERROR(IF(INDEX(Aux_puntos!$A$2:$OJ$901,88,MATCH($B$2&amp;"|xC",Aux_puntos!$1:$1,0))="",NA(),INDEX(Aux_puntos!$A$2:$OJ$901,88,MATCH($B$2&amp;"|xC",Aux_puntos!$1:$1,0))),NA())</f>
        <v>#N/A</v>
      </c>
      <c r="AF92" t="e">
        <f>IFERROR(IF(INDEX(Aux_puntos!$A$2:$OJ$901,88,MATCH($B$2&amp;"|yC",Aux_puntos!$1:$1,0))="",NA(),INDEX(Aux_puntos!$A$2:$OJ$901,88,MATCH($B$2&amp;"|yC",Aux_puntos!$1:$1,0))),NA())</f>
        <v>#N/A</v>
      </c>
      <c r="AG92" t="e">
        <f>IFERROR(IF(INDEX(Aux_puntos!$A$2:$OJ$901,88,MATCH($B$2&amp;"|xI",Aux_puntos!$1:$1,0))="",NA(),INDEX(Aux_puntos!$A$2:$OJ$901,88,MATCH($B$2&amp;"|xI",Aux_puntos!$1:$1,0))),NA())</f>
        <v>#N/A</v>
      </c>
      <c r="AH92" t="e">
        <f>IFERROR(IF(INDEX(Aux_puntos!$A$2:$OJ$901,88,MATCH($B$2&amp;"|yI",Aux_puntos!$1:$1,0))="",NA(),INDEX(Aux_puntos!$A$2:$OJ$901,88,MATCH($B$2&amp;"|yI",Aux_puntos!$1:$1,0))),NA())</f>
        <v>#N/A</v>
      </c>
      <c r="AI92" t="e">
        <f>IFERROR(IF(INDEX(Aux_puntos!$A$2:$OJ$901,88,MATCH($B$2&amp;"|xN",Aux_puntos!$1:$1,0))="",NA(),INDEX(Aux_puntos!$A$2:$OJ$901,88,MATCH($B$2&amp;"|xN",Aux_puntos!$1:$1,0))),NA())</f>
        <v>#N/A</v>
      </c>
      <c r="AJ92" t="e">
        <f>IFERROR(IF(INDEX(Aux_puntos!$A$2:$OJ$901,88,MATCH($B$2&amp;"|yN",Aux_puntos!$1:$1,0))="",NA(),INDEX(Aux_puntos!$A$2:$OJ$901,88,MATCH($B$2&amp;"|yN",Aux_puntos!$1:$1,0))),NA())</f>
        <v>#N/A</v>
      </c>
    </row>
    <row r="93" spans="29:36" x14ac:dyDescent="0.3">
      <c r="AC93" t="e">
        <f>IFERROR(IF(INDEX(Aux_puntos!$A$2:$OJ$901,89,MATCH($B$2&amp;"|xK",Aux_puntos!$1:$1,0))="",NA(),INDEX(Aux_puntos!$A$2:$OJ$901,89,MATCH($B$2&amp;"|xK",Aux_puntos!$1:$1,0))),NA())</f>
        <v>#N/A</v>
      </c>
      <c r="AD93" t="e">
        <f>IFERROR(IF(INDEX(Aux_puntos!$A$2:$OJ$901,89,MATCH($B$2&amp;"|yK",Aux_puntos!$1:$1,0))="",NA(),INDEX(Aux_puntos!$A$2:$OJ$901,89,MATCH($B$2&amp;"|yK",Aux_puntos!$1:$1,0))),NA())</f>
        <v>#N/A</v>
      </c>
      <c r="AE93" t="e">
        <f>IFERROR(IF(INDEX(Aux_puntos!$A$2:$OJ$901,89,MATCH($B$2&amp;"|xC",Aux_puntos!$1:$1,0))="",NA(),INDEX(Aux_puntos!$A$2:$OJ$901,89,MATCH($B$2&amp;"|xC",Aux_puntos!$1:$1,0))),NA())</f>
        <v>#N/A</v>
      </c>
      <c r="AF93" t="e">
        <f>IFERROR(IF(INDEX(Aux_puntos!$A$2:$OJ$901,89,MATCH($B$2&amp;"|yC",Aux_puntos!$1:$1,0))="",NA(),INDEX(Aux_puntos!$A$2:$OJ$901,89,MATCH($B$2&amp;"|yC",Aux_puntos!$1:$1,0))),NA())</f>
        <v>#N/A</v>
      </c>
      <c r="AG93" t="e">
        <f>IFERROR(IF(INDEX(Aux_puntos!$A$2:$OJ$901,89,MATCH($B$2&amp;"|xI",Aux_puntos!$1:$1,0))="",NA(),INDEX(Aux_puntos!$A$2:$OJ$901,89,MATCH($B$2&amp;"|xI",Aux_puntos!$1:$1,0))),NA())</f>
        <v>#N/A</v>
      </c>
      <c r="AH93" t="e">
        <f>IFERROR(IF(INDEX(Aux_puntos!$A$2:$OJ$901,89,MATCH($B$2&amp;"|yI",Aux_puntos!$1:$1,0))="",NA(),INDEX(Aux_puntos!$A$2:$OJ$901,89,MATCH($B$2&amp;"|yI",Aux_puntos!$1:$1,0))),NA())</f>
        <v>#N/A</v>
      </c>
      <c r="AI93" t="e">
        <f>IFERROR(IF(INDEX(Aux_puntos!$A$2:$OJ$901,89,MATCH($B$2&amp;"|xN",Aux_puntos!$1:$1,0))="",NA(),INDEX(Aux_puntos!$A$2:$OJ$901,89,MATCH($B$2&amp;"|xN",Aux_puntos!$1:$1,0))),NA())</f>
        <v>#N/A</v>
      </c>
      <c r="AJ93" t="e">
        <f>IFERROR(IF(INDEX(Aux_puntos!$A$2:$OJ$901,89,MATCH($B$2&amp;"|yN",Aux_puntos!$1:$1,0))="",NA(),INDEX(Aux_puntos!$A$2:$OJ$901,89,MATCH($B$2&amp;"|yN",Aux_puntos!$1:$1,0))),NA())</f>
        <v>#N/A</v>
      </c>
    </row>
    <row r="94" spans="29:36" x14ac:dyDescent="0.3">
      <c r="AC94" t="e">
        <f>IFERROR(IF(INDEX(Aux_puntos!$A$2:$OJ$901,90,MATCH($B$2&amp;"|xK",Aux_puntos!$1:$1,0))="",NA(),INDEX(Aux_puntos!$A$2:$OJ$901,90,MATCH($B$2&amp;"|xK",Aux_puntos!$1:$1,0))),NA())</f>
        <v>#N/A</v>
      </c>
      <c r="AD94" t="e">
        <f>IFERROR(IF(INDEX(Aux_puntos!$A$2:$OJ$901,90,MATCH($B$2&amp;"|yK",Aux_puntos!$1:$1,0))="",NA(),INDEX(Aux_puntos!$A$2:$OJ$901,90,MATCH($B$2&amp;"|yK",Aux_puntos!$1:$1,0))),NA())</f>
        <v>#N/A</v>
      </c>
      <c r="AE94" t="e">
        <f>IFERROR(IF(INDEX(Aux_puntos!$A$2:$OJ$901,90,MATCH($B$2&amp;"|xC",Aux_puntos!$1:$1,0))="",NA(),INDEX(Aux_puntos!$A$2:$OJ$901,90,MATCH($B$2&amp;"|xC",Aux_puntos!$1:$1,0))),NA())</f>
        <v>#N/A</v>
      </c>
      <c r="AF94" t="e">
        <f>IFERROR(IF(INDEX(Aux_puntos!$A$2:$OJ$901,90,MATCH($B$2&amp;"|yC",Aux_puntos!$1:$1,0))="",NA(),INDEX(Aux_puntos!$A$2:$OJ$901,90,MATCH($B$2&amp;"|yC",Aux_puntos!$1:$1,0))),NA())</f>
        <v>#N/A</v>
      </c>
      <c r="AG94" t="e">
        <f>IFERROR(IF(INDEX(Aux_puntos!$A$2:$OJ$901,90,MATCH($B$2&amp;"|xI",Aux_puntos!$1:$1,0))="",NA(),INDEX(Aux_puntos!$A$2:$OJ$901,90,MATCH($B$2&amp;"|xI",Aux_puntos!$1:$1,0))),NA())</f>
        <v>#N/A</v>
      </c>
      <c r="AH94" t="e">
        <f>IFERROR(IF(INDEX(Aux_puntos!$A$2:$OJ$901,90,MATCH($B$2&amp;"|yI",Aux_puntos!$1:$1,0))="",NA(),INDEX(Aux_puntos!$A$2:$OJ$901,90,MATCH($B$2&amp;"|yI",Aux_puntos!$1:$1,0))),NA())</f>
        <v>#N/A</v>
      </c>
      <c r="AI94" t="e">
        <f>IFERROR(IF(INDEX(Aux_puntos!$A$2:$OJ$901,90,MATCH($B$2&amp;"|xN",Aux_puntos!$1:$1,0))="",NA(),INDEX(Aux_puntos!$A$2:$OJ$901,90,MATCH($B$2&amp;"|xN",Aux_puntos!$1:$1,0))),NA())</f>
        <v>#N/A</v>
      </c>
      <c r="AJ94" t="e">
        <f>IFERROR(IF(INDEX(Aux_puntos!$A$2:$OJ$901,90,MATCH($B$2&amp;"|yN",Aux_puntos!$1:$1,0))="",NA(),INDEX(Aux_puntos!$A$2:$OJ$901,90,MATCH($B$2&amp;"|yN",Aux_puntos!$1:$1,0))),NA())</f>
        <v>#N/A</v>
      </c>
    </row>
    <row r="95" spans="29:36" x14ac:dyDescent="0.3">
      <c r="AC95" t="e">
        <f>IFERROR(IF(INDEX(Aux_puntos!$A$2:$OJ$901,91,MATCH($B$2&amp;"|xK",Aux_puntos!$1:$1,0))="",NA(),INDEX(Aux_puntos!$A$2:$OJ$901,91,MATCH($B$2&amp;"|xK",Aux_puntos!$1:$1,0))),NA())</f>
        <v>#N/A</v>
      </c>
      <c r="AD95" t="e">
        <f>IFERROR(IF(INDEX(Aux_puntos!$A$2:$OJ$901,91,MATCH($B$2&amp;"|yK",Aux_puntos!$1:$1,0))="",NA(),INDEX(Aux_puntos!$A$2:$OJ$901,91,MATCH($B$2&amp;"|yK",Aux_puntos!$1:$1,0))),NA())</f>
        <v>#N/A</v>
      </c>
      <c r="AE95" t="e">
        <f>IFERROR(IF(INDEX(Aux_puntos!$A$2:$OJ$901,91,MATCH($B$2&amp;"|xC",Aux_puntos!$1:$1,0))="",NA(),INDEX(Aux_puntos!$A$2:$OJ$901,91,MATCH($B$2&amp;"|xC",Aux_puntos!$1:$1,0))),NA())</f>
        <v>#N/A</v>
      </c>
      <c r="AF95" t="e">
        <f>IFERROR(IF(INDEX(Aux_puntos!$A$2:$OJ$901,91,MATCH($B$2&amp;"|yC",Aux_puntos!$1:$1,0))="",NA(),INDEX(Aux_puntos!$A$2:$OJ$901,91,MATCH($B$2&amp;"|yC",Aux_puntos!$1:$1,0))),NA())</f>
        <v>#N/A</v>
      </c>
      <c r="AG95" t="e">
        <f>IFERROR(IF(INDEX(Aux_puntos!$A$2:$OJ$901,91,MATCH($B$2&amp;"|xI",Aux_puntos!$1:$1,0))="",NA(),INDEX(Aux_puntos!$A$2:$OJ$901,91,MATCH($B$2&amp;"|xI",Aux_puntos!$1:$1,0))),NA())</f>
        <v>#N/A</v>
      </c>
      <c r="AH95" t="e">
        <f>IFERROR(IF(INDEX(Aux_puntos!$A$2:$OJ$901,91,MATCH($B$2&amp;"|yI",Aux_puntos!$1:$1,0))="",NA(),INDEX(Aux_puntos!$A$2:$OJ$901,91,MATCH($B$2&amp;"|yI",Aux_puntos!$1:$1,0))),NA())</f>
        <v>#N/A</v>
      </c>
      <c r="AI95" t="e">
        <f>IFERROR(IF(INDEX(Aux_puntos!$A$2:$OJ$901,91,MATCH($B$2&amp;"|xN",Aux_puntos!$1:$1,0))="",NA(),INDEX(Aux_puntos!$A$2:$OJ$901,91,MATCH($B$2&amp;"|xN",Aux_puntos!$1:$1,0))),NA())</f>
        <v>#N/A</v>
      </c>
      <c r="AJ95" t="e">
        <f>IFERROR(IF(INDEX(Aux_puntos!$A$2:$OJ$901,91,MATCH($B$2&amp;"|yN",Aux_puntos!$1:$1,0))="",NA(),INDEX(Aux_puntos!$A$2:$OJ$901,91,MATCH($B$2&amp;"|yN",Aux_puntos!$1:$1,0))),NA())</f>
        <v>#N/A</v>
      </c>
    </row>
    <row r="96" spans="29:36" x14ac:dyDescent="0.3">
      <c r="AC96" t="e">
        <f>IFERROR(IF(INDEX(Aux_puntos!$A$2:$OJ$901,92,MATCH($B$2&amp;"|xK",Aux_puntos!$1:$1,0))="",NA(),INDEX(Aux_puntos!$A$2:$OJ$901,92,MATCH($B$2&amp;"|xK",Aux_puntos!$1:$1,0))),NA())</f>
        <v>#N/A</v>
      </c>
      <c r="AD96" t="e">
        <f>IFERROR(IF(INDEX(Aux_puntos!$A$2:$OJ$901,92,MATCH($B$2&amp;"|yK",Aux_puntos!$1:$1,0))="",NA(),INDEX(Aux_puntos!$A$2:$OJ$901,92,MATCH($B$2&amp;"|yK",Aux_puntos!$1:$1,0))),NA())</f>
        <v>#N/A</v>
      </c>
      <c r="AE96" t="e">
        <f>IFERROR(IF(INDEX(Aux_puntos!$A$2:$OJ$901,92,MATCH($B$2&amp;"|xC",Aux_puntos!$1:$1,0))="",NA(),INDEX(Aux_puntos!$A$2:$OJ$901,92,MATCH($B$2&amp;"|xC",Aux_puntos!$1:$1,0))),NA())</f>
        <v>#N/A</v>
      </c>
      <c r="AF96" t="e">
        <f>IFERROR(IF(INDEX(Aux_puntos!$A$2:$OJ$901,92,MATCH($B$2&amp;"|yC",Aux_puntos!$1:$1,0))="",NA(),INDEX(Aux_puntos!$A$2:$OJ$901,92,MATCH($B$2&amp;"|yC",Aux_puntos!$1:$1,0))),NA())</f>
        <v>#N/A</v>
      </c>
      <c r="AG96" t="e">
        <f>IFERROR(IF(INDEX(Aux_puntos!$A$2:$OJ$901,92,MATCH($B$2&amp;"|xI",Aux_puntos!$1:$1,0))="",NA(),INDEX(Aux_puntos!$A$2:$OJ$901,92,MATCH($B$2&amp;"|xI",Aux_puntos!$1:$1,0))),NA())</f>
        <v>#N/A</v>
      </c>
      <c r="AH96" t="e">
        <f>IFERROR(IF(INDEX(Aux_puntos!$A$2:$OJ$901,92,MATCH($B$2&amp;"|yI",Aux_puntos!$1:$1,0))="",NA(),INDEX(Aux_puntos!$A$2:$OJ$901,92,MATCH($B$2&amp;"|yI",Aux_puntos!$1:$1,0))),NA())</f>
        <v>#N/A</v>
      </c>
      <c r="AI96" t="e">
        <f>IFERROR(IF(INDEX(Aux_puntos!$A$2:$OJ$901,92,MATCH($B$2&amp;"|xN",Aux_puntos!$1:$1,0))="",NA(),INDEX(Aux_puntos!$A$2:$OJ$901,92,MATCH($B$2&amp;"|xN",Aux_puntos!$1:$1,0))),NA())</f>
        <v>#N/A</v>
      </c>
      <c r="AJ96" t="e">
        <f>IFERROR(IF(INDEX(Aux_puntos!$A$2:$OJ$901,92,MATCH($B$2&amp;"|yN",Aux_puntos!$1:$1,0))="",NA(),INDEX(Aux_puntos!$A$2:$OJ$901,92,MATCH($B$2&amp;"|yN",Aux_puntos!$1:$1,0))),NA())</f>
        <v>#N/A</v>
      </c>
    </row>
    <row r="97" spans="29:36" x14ac:dyDescent="0.3">
      <c r="AC97" t="e">
        <f>IFERROR(IF(INDEX(Aux_puntos!$A$2:$OJ$901,93,MATCH($B$2&amp;"|xK",Aux_puntos!$1:$1,0))="",NA(),INDEX(Aux_puntos!$A$2:$OJ$901,93,MATCH($B$2&amp;"|xK",Aux_puntos!$1:$1,0))),NA())</f>
        <v>#N/A</v>
      </c>
      <c r="AD97" t="e">
        <f>IFERROR(IF(INDEX(Aux_puntos!$A$2:$OJ$901,93,MATCH($B$2&amp;"|yK",Aux_puntos!$1:$1,0))="",NA(),INDEX(Aux_puntos!$A$2:$OJ$901,93,MATCH($B$2&amp;"|yK",Aux_puntos!$1:$1,0))),NA())</f>
        <v>#N/A</v>
      </c>
      <c r="AE97" t="e">
        <f>IFERROR(IF(INDEX(Aux_puntos!$A$2:$OJ$901,93,MATCH($B$2&amp;"|xC",Aux_puntos!$1:$1,0))="",NA(),INDEX(Aux_puntos!$A$2:$OJ$901,93,MATCH($B$2&amp;"|xC",Aux_puntos!$1:$1,0))),NA())</f>
        <v>#N/A</v>
      </c>
      <c r="AF97" t="e">
        <f>IFERROR(IF(INDEX(Aux_puntos!$A$2:$OJ$901,93,MATCH($B$2&amp;"|yC",Aux_puntos!$1:$1,0))="",NA(),INDEX(Aux_puntos!$A$2:$OJ$901,93,MATCH($B$2&amp;"|yC",Aux_puntos!$1:$1,0))),NA())</f>
        <v>#N/A</v>
      </c>
      <c r="AG97" t="e">
        <f>IFERROR(IF(INDEX(Aux_puntos!$A$2:$OJ$901,93,MATCH($B$2&amp;"|xI",Aux_puntos!$1:$1,0))="",NA(),INDEX(Aux_puntos!$A$2:$OJ$901,93,MATCH($B$2&amp;"|xI",Aux_puntos!$1:$1,0))),NA())</f>
        <v>#N/A</v>
      </c>
      <c r="AH97" t="e">
        <f>IFERROR(IF(INDEX(Aux_puntos!$A$2:$OJ$901,93,MATCH($B$2&amp;"|yI",Aux_puntos!$1:$1,0))="",NA(),INDEX(Aux_puntos!$A$2:$OJ$901,93,MATCH($B$2&amp;"|yI",Aux_puntos!$1:$1,0))),NA())</f>
        <v>#N/A</v>
      </c>
      <c r="AI97" t="e">
        <f>IFERROR(IF(INDEX(Aux_puntos!$A$2:$OJ$901,93,MATCH($B$2&amp;"|xN",Aux_puntos!$1:$1,0))="",NA(),INDEX(Aux_puntos!$A$2:$OJ$901,93,MATCH($B$2&amp;"|xN",Aux_puntos!$1:$1,0))),NA())</f>
        <v>#N/A</v>
      </c>
      <c r="AJ97" t="e">
        <f>IFERROR(IF(INDEX(Aux_puntos!$A$2:$OJ$901,93,MATCH($B$2&amp;"|yN",Aux_puntos!$1:$1,0))="",NA(),INDEX(Aux_puntos!$A$2:$OJ$901,93,MATCH($B$2&amp;"|yN",Aux_puntos!$1:$1,0))),NA())</f>
        <v>#N/A</v>
      </c>
    </row>
    <row r="98" spans="29:36" x14ac:dyDescent="0.3">
      <c r="AC98" t="e">
        <f>IFERROR(IF(INDEX(Aux_puntos!$A$2:$OJ$901,94,MATCH($B$2&amp;"|xK",Aux_puntos!$1:$1,0))="",NA(),INDEX(Aux_puntos!$A$2:$OJ$901,94,MATCH($B$2&amp;"|xK",Aux_puntos!$1:$1,0))),NA())</f>
        <v>#N/A</v>
      </c>
      <c r="AD98" t="e">
        <f>IFERROR(IF(INDEX(Aux_puntos!$A$2:$OJ$901,94,MATCH($B$2&amp;"|yK",Aux_puntos!$1:$1,0))="",NA(),INDEX(Aux_puntos!$A$2:$OJ$901,94,MATCH($B$2&amp;"|yK",Aux_puntos!$1:$1,0))),NA())</f>
        <v>#N/A</v>
      </c>
      <c r="AE98" t="e">
        <f>IFERROR(IF(INDEX(Aux_puntos!$A$2:$OJ$901,94,MATCH($B$2&amp;"|xC",Aux_puntos!$1:$1,0))="",NA(),INDEX(Aux_puntos!$A$2:$OJ$901,94,MATCH($B$2&amp;"|xC",Aux_puntos!$1:$1,0))),NA())</f>
        <v>#N/A</v>
      </c>
      <c r="AF98" t="e">
        <f>IFERROR(IF(INDEX(Aux_puntos!$A$2:$OJ$901,94,MATCH($B$2&amp;"|yC",Aux_puntos!$1:$1,0))="",NA(),INDEX(Aux_puntos!$A$2:$OJ$901,94,MATCH($B$2&amp;"|yC",Aux_puntos!$1:$1,0))),NA())</f>
        <v>#N/A</v>
      </c>
      <c r="AG98" t="e">
        <f>IFERROR(IF(INDEX(Aux_puntos!$A$2:$OJ$901,94,MATCH($B$2&amp;"|xI",Aux_puntos!$1:$1,0))="",NA(),INDEX(Aux_puntos!$A$2:$OJ$901,94,MATCH($B$2&amp;"|xI",Aux_puntos!$1:$1,0))),NA())</f>
        <v>#N/A</v>
      </c>
      <c r="AH98" t="e">
        <f>IFERROR(IF(INDEX(Aux_puntos!$A$2:$OJ$901,94,MATCH($B$2&amp;"|yI",Aux_puntos!$1:$1,0))="",NA(),INDEX(Aux_puntos!$A$2:$OJ$901,94,MATCH($B$2&amp;"|yI",Aux_puntos!$1:$1,0))),NA())</f>
        <v>#N/A</v>
      </c>
      <c r="AI98" t="e">
        <f>IFERROR(IF(INDEX(Aux_puntos!$A$2:$OJ$901,94,MATCH($B$2&amp;"|xN",Aux_puntos!$1:$1,0))="",NA(),INDEX(Aux_puntos!$A$2:$OJ$901,94,MATCH($B$2&amp;"|xN",Aux_puntos!$1:$1,0))),NA())</f>
        <v>#N/A</v>
      </c>
      <c r="AJ98" t="e">
        <f>IFERROR(IF(INDEX(Aux_puntos!$A$2:$OJ$901,94,MATCH($B$2&amp;"|yN",Aux_puntos!$1:$1,0))="",NA(),INDEX(Aux_puntos!$A$2:$OJ$901,94,MATCH($B$2&amp;"|yN",Aux_puntos!$1:$1,0))),NA())</f>
        <v>#N/A</v>
      </c>
    </row>
    <row r="99" spans="29:36" x14ac:dyDescent="0.3">
      <c r="AC99" t="e">
        <f>IFERROR(IF(INDEX(Aux_puntos!$A$2:$OJ$901,95,MATCH($B$2&amp;"|xK",Aux_puntos!$1:$1,0))="",NA(),INDEX(Aux_puntos!$A$2:$OJ$901,95,MATCH($B$2&amp;"|xK",Aux_puntos!$1:$1,0))),NA())</f>
        <v>#N/A</v>
      </c>
      <c r="AD99" t="e">
        <f>IFERROR(IF(INDEX(Aux_puntos!$A$2:$OJ$901,95,MATCH($B$2&amp;"|yK",Aux_puntos!$1:$1,0))="",NA(),INDEX(Aux_puntos!$A$2:$OJ$901,95,MATCH($B$2&amp;"|yK",Aux_puntos!$1:$1,0))),NA())</f>
        <v>#N/A</v>
      </c>
      <c r="AE99" t="e">
        <f>IFERROR(IF(INDEX(Aux_puntos!$A$2:$OJ$901,95,MATCH($B$2&amp;"|xC",Aux_puntos!$1:$1,0))="",NA(),INDEX(Aux_puntos!$A$2:$OJ$901,95,MATCH($B$2&amp;"|xC",Aux_puntos!$1:$1,0))),NA())</f>
        <v>#N/A</v>
      </c>
      <c r="AF99" t="e">
        <f>IFERROR(IF(INDEX(Aux_puntos!$A$2:$OJ$901,95,MATCH($B$2&amp;"|yC",Aux_puntos!$1:$1,0))="",NA(),INDEX(Aux_puntos!$A$2:$OJ$901,95,MATCH($B$2&amp;"|yC",Aux_puntos!$1:$1,0))),NA())</f>
        <v>#N/A</v>
      </c>
      <c r="AG99" t="e">
        <f>IFERROR(IF(INDEX(Aux_puntos!$A$2:$OJ$901,95,MATCH($B$2&amp;"|xI",Aux_puntos!$1:$1,0))="",NA(),INDEX(Aux_puntos!$A$2:$OJ$901,95,MATCH($B$2&amp;"|xI",Aux_puntos!$1:$1,0))),NA())</f>
        <v>#N/A</v>
      </c>
      <c r="AH99" t="e">
        <f>IFERROR(IF(INDEX(Aux_puntos!$A$2:$OJ$901,95,MATCH($B$2&amp;"|yI",Aux_puntos!$1:$1,0))="",NA(),INDEX(Aux_puntos!$A$2:$OJ$901,95,MATCH($B$2&amp;"|yI",Aux_puntos!$1:$1,0))),NA())</f>
        <v>#N/A</v>
      </c>
      <c r="AI99" t="e">
        <f>IFERROR(IF(INDEX(Aux_puntos!$A$2:$OJ$901,95,MATCH($B$2&amp;"|xN",Aux_puntos!$1:$1,0))="",NA(),INDEX(Aux_puntos!$A$2:$OJ$901,95,MATCH($B$2&amp;"|xN",Aux_puntos!$1:$1,0))),NA())</f>
        <v>#N/A</v>
      </c>
      <c r="AJ99" t="e">
        <f>IFERROR(IF(INDEX(Aux_puntos!$A$2:$OJ$901,95,MATCH($B$2&amp;"|yN",Aux_puntos!$1:$1,0))="",NA(),INDEX(Aux_puntos!$A$2:$OJ$901,95,MATCH($B$2&amp;"|yN",Aux_puntos!$1:$1,0))),NA())</f>
        <v>#N/A</v>
      </c>
    </row>
    <row r="100" spans="29:36" x14ac:dyDescent="0.3">
      <c r="AC100" t="e">
        <f>IFERROR(IF(INDEX(Aux_puntos!$A$2:$OJ$901,96,MATCH($B$2&amp;"|xK",Aux_puntos!$1:$1,0))="",NA(),INDEX(Aux_puntos!$A$2:$OJ$901,96,MATCH($B$2&amp;"|xK",Aux_puntos!$1:$1,0))),NA())</f>
        <v>#N/A</v>
      </c>
      <c r="AD100" t="e">
        <f>IFERROR(IF(INDEX(Aux_puntos!$A$2:$OJ$901,96,MATCH($B$2&amp;"|yK",Aux_puntos!$1:$1,0))="",NA(),INDEX(Aux_puntos!$A$2:$OJ$901,96,MATCH($B$2&amp;"|yK",Aux_puntos!$1:$1,0))),NA())</f>
        <v>#N/A</v>
      </c>
      <c r="AE100" t="e">
        <f>IFERROR(IF(INDEX(Aux_puntos!$A$2:$OJ$901,96,MATCH($B$2&amp;"|xC",Aux_puntos!$1:$1,0))="",NA(),INDEX(Aux_puntos!$A$2:$OJ$901,96,MATCH($B$2&amp;"|xC",Aux_puntos!$1:$1,0))),NA())</f>
        <v>#N/A</v>
      </c>
      <c r="AF100" t="e">
        <f>IFERROR(IF(INDEX(Aux_puntos!$A$2:$OJ$901,96,MATCH($B$2&amp;"|yC",Aux_puntos!$1:$1,0))="",NA(),INDEX(Aux_puntos!$A$2:$OJ$901,96,MATCH($B$2&amp;"|yC",Aux_puntos!$1:$1,0))),NA())</f>
        <v>#N/A</v>
      </c>
      <c r="AG100" t="e">
        <f>IFERROR(IF(INDEX(Aux_puntos!$A$2:$OJ$901,96,MATCH($B$2&amp;"|xI",Aux_puntos!$1:$1,0))="",NA(),INDEX(Aux_puntos!$A$2:$OJ$901,96,MATCH($B$2&amp;"|xI",Aux_puntos!$1:$1,0))),NA())</f>
        <v>#N/A</v>
      </c>
      <c r="AH100" t="e">
        <f>IFERROR(IF(INDEX(Aux_puntos!$A$2:$OJ$901,96,MATCH($B$2&amp;"|yI",Aux_puntos!$1:$1,0))="",NA(),INDEX(Aux_puntos!$A$2:$OJ$901,96,MATCH($B$2&amp;"|yI",Aux_puntos!$1:$1,0))),NA())</f>
        <v>#N/A</v>
      </c>
      <c r="AI100" t="e">
        <f>IFERROR(IF(INDEX(Aux_puntos!$A$2:$OJ$901,96,MATCH($B$2&amp;"|xN",Aux_puntos!$1:$1,0))="",NA(),INDEX(Aux_puntos!$A$2:$OJ$901,96,MATCH($B$2&amp;"|xN",Aux_puntos!$1:$1,0))),NA())</f>
        <v>#N/A</v>
      </c>
      <c r="AJ100" t="e">
        <f>IFERROR(IF(INDEX(Aux_puntos!$A$2:$OJ$901,96,MATCH($B$2&amp;"|yN",Aux_puntos!$1:$1,0))="",NA(),INDEX(Aux_puntos!$A$2:$OJ$901,96,MATCH($B$2&amp;"|yN",Aux_puntos!$1:$1,0))),NA())</f>
        <v>#N/A</v>
      </c>
    </row>
    <row r="101" spans="29:36" x14ac:dyDescent="0.3">
      <c r="AC101" t="e">
        <f>IFERROR(IF(INDEX(Aux_puntos!$A$2:$OJ$901,97,MATCH($B$2&amp;"|xK",Aux_puntos!$1:$1,0))="",NA(),INDEX(Aux_puntos!$A$2:$OJ$901,97,MATCH($B$2&amp;"|xK",Aux_puntos!$1:$1,0))),NA())</f>
        <v>#N/A</v>
      </c>
      <c r="AD101" t="e">
        <f>IFERROR(IF(INDEX(Aux_puntos!$A$2:$OJ$901,97,MATCH($B$2&amp;"|yK",Aux_puntos!$1:$1,0))="",NA(),INDEX(Aux_puntos!$A$2:$OJ$901,97,MATCH($B$2&amp;"|yK",Aux_puntos!$1:$1,0))),NA())</f>
        <v>#N/A</v>
      </c>
      <c r="AE101" t="e">
        <f>IFERROR(IF(INDEX(Aux_puntos!$A$2:$OJ$901,97,MATCH($B$2&amp;"|xC",Aux_puntos!$1:$1,0))="",NA(),INDEX(Aux_puntos!$A$2:$OJ$901,97,MATCH($B$2&amp;"|xC",Aux_puntos!$1:$1,0))),NA())</f>
        <v>#N/A</v>
      </c>
      <c r="AF101" t="e">
        <f>IFERROR(IF(INDEX(Aux_puntos!$A$2:$OJ$901,97,MATCH($B$2&amp;"|yC",Aux_puntos!$1:$1,0))="",NA(),INDEX(Aux_puntos!$A$2:$OJ$901,97,MATCH($B$2&amp;"|yC",Aux_puntos!$1:$1,0))),NA())</f>
        <v>#N/A</v>
      </c>
      <c r="AG101" t="e">
        <f>IFERROR(IF(INDEX(Aux_puntos!$A$2:$OJ$901,97,MATCH($B$2&amp;"|xI",Aux_puntos!$1:$1,0))="",NA(),INDEX(Aux_puntos!$A$2:$OJ$901,97,MATCH($B$2&amp;"|xI",Aux_puntos!$1:$1,0))),NA())</f>
        <v>#N/A</v>
      </c>
      <c r="AH101" t="e">
        <f>IFERROR(IF(INDEX(Aux_puntos!$A$2:$OJ$901,97,MATCH($B$2&amp;"|yI",Aux_puntos!$1:$1,0))="",NA(),INDEX(Aux_puntos!$A$2:$OJ$901,97,MATCH($B$2&amp;"|yI",Aux_puntos!$1:$1,0))),NA())</f>
        <v>#N/A</v>
      </c>
      <c r="AI101" t="e">
        <f>IFERROR(IF(INDEX(Aux_puntos!$A$2:$OJ$901,97,MATCH($B$2&amp;"|xN",Aux_puntos!$1:$1,0))="",NA(),INDEX(Aux_puntos!$A$2:$OJ$901,97,MATCH($B$2&amp;"|xN",Aux_puntos!$1:$1,0))),NA())</f>
        <v>#N/A</v>
      </c>
      <c r="AJ101" t="e">
        <f>IFERROR(IF(INDEX(Aux_puntos!$A$2:$OJ$901,97,MATCH($B$2&amp;"|yN",Aux_puntos!$1:$1,0))="",NA(),INDEX(Aux_puntos!$A$2:$OJ$901,97,MATCH($B$2&amp;"|yN",Aux_puntos!$1:$1,0))),NA())</f>
        <v>#N/A</v>
      </c>
    </row>
    <row r="102" spans="29:36" x14ac:dyDescent="0.3">
      <c r="AC102" t="e">
        <f>IFERROR(IF(INDEX(Aux_puntos!$A$2:$OJ$901,98,MATCH($B$2&amp;"|xK",Aux_puntos!$1:$1,0))="",NA(),INDEX(Aux_puntos!$A$2:$OJ$901,98,MATCH($B$2&amp;"|xK",Aux_puntos!$1:$1,0))),NA())</f>
        <v>#N/A</v>
      </c>
      <c r="AD102" t="e">
        <f>IFERROR(IF(INDEX(Aux_puntos!$A$2:$OJ$901,98,MATCH($B$2&amp;"|yK",Aux_puntos!$1:$1,0))="",NA(),INDEX(Aux_puntos!$A$2:$OJ$901,98,MATCH($B$2&amp;"|yK",Aux_puntos!$1:$1,0))),NA())</f>
        <v>#N/A</v>
      </c>
      <c r="AE102" t="e">
        <f>IFERROR(IF(INDEX(Aux_puntos!$A$2:$OJ$901,98,MATCH($B$2&amp;"|xC",Aux_puntos!$1:$1,0))="",NA(),INDEX(Aux_puntos!$A$2:$OJ$901,98,MATCH($B$2&amp;"|xC",Aux_puntos!$1:$1,0))),NA())</f>
        <v>#N/A</v>
      </c>
      <c r="AF102" t="e">
        <f>IFERROR(IF(INDEX(Aux_puntos!$A$2:$OJ$901,98,MATCH($B$2&amp;"|yC",Aux_puntos!$1:$1,0))="",NA(),INDEX(Aux_puntos!$A$2:$OJ$901,98,MATCH($B$2&amp;"|yC",Aux_puntos!$1:$1,0))),NA())</f>
        <v>#N/A</v>
      </c>
      <c r="AG102" t="e">
        <f>IFERROR(IF(INDEX(Aux_puntos!$A$2:$OJ$901,98,MATCH($B$2&amp;"|xI",Aux_puntos!$1:$1,0))="",NA(),INDEX(Aux_puntos!$A$2:$OJ$901,98,MATCH($B$2&amp;"|xI",Aux_puntos!$1:$1,0))),NA())</f>
        <v>#N/A</v>
      </c>
      <c r="AH102" t="e">
        <f>IFERROR(IF(INDEX(Aux_puntos!$A$2:$OJ$901,98,MATCH($B$2&amp;"|yI",Aux_puntos!$1:$1,0))="",NA(),INDEX(Aux_puntos!$A$2:$OJ$901,98,MATCH($B$2&amp;"|yI",Aux_puntos!$1:$1,0))),NA())</f>
        <v>#N/A</v>
      </c>
      <c r="AI102" t="e">
        <f>IFERROR(IF(INDEX(Aux_puntos!$A$2:$OJ$901,98,MATCH($B$2&amp;"|xN",Aux_puntos!$1:$1,0))="",NA(),INDEX(Aux_puntos!$A$2:$OJ$901,98,MATCH($B$2&amp;"|xN",Aux_puntos!$1:$1,0))),NA())</f>
        <v>#N/A</v>
      </c>
      <c r="AJ102" t="e">
        <f>IFERROR(IF(INDEX(Aux_puntos!$A$2:$OJ$901,98,MATCH($B$2&amp;"|yN",Aux_puntos!$1:$1,0))="",NA(),INDEX(Aux_puntos!$A$2:$OJ$901,98,MATCH($B$2&amp;"|yN",Aux_puntos!$1:$1,0))),NA())</f>
        <v>#N/A</v>
      </c>
    </row>
    <row r="103" spans="29:36" x14ac:dyDescent="0.3">
      <c r="AC103" t="e">
        <f>IFERROR(IF(INDEX(Aux_puntos!$A$2:$OJ$901,99,MATCH($B$2&amp;"|xK",Aux_puntos!$1:$1,0))="",NA(),INDEX(Aux_puntos!$A$2:$OJ$901,99,MATCH($B$2&amp;"|xK",Aux_puntos!$1:$1,0))),NA())</f>
        <v>#N/A</v>
      </c>
      <c r="AD103" t="e">
        <f>IFERROR(IF(INDEX(Aux_puntos!$A$2:$OJ$901,99,MATCH($B$2&amp;"|yK",Aux_puntos!$1:$1,0))="",NA(),INDEX(Aux_puntos!$A$2:$OJ$901,99,MATCH($B$2&amp;"|yK",Aux_puntos!$1:$1,0))),NA())</f>
        <v>#N/A</v>
      </c>
      <c r="AE103" t="e">
        <f>IFERROR(IF(INDEX(Aux_puntos!$A$2:$OJ$901,99,MATCH($B$2&amp;"|xC",Aux_puntos!$1:$1,0))="",NA(),INDEX(Aux_puntos!$A$2:$OJ$901,99,MATCH($B$2&amp;"|xC",Aux_puntos!$1:$1,0))),NA())</f>
        <v>#N/A</v>
      </c>
      <c r="AF103" t="e">
        <f>IFERROR(IF(INDEX(Aux_puntos!$A$2:$OJ$901,99,MATCH($B$2&amp;"|yC",Aux_puntos!$1:$1,0))="",NA(),INDEX(Aux_puntos!$A$2:$OJ$901,99,MATCH($B$2&amp;"|yC",Aux_puntos!$1:$1,0))),NA())</f>
        <v>#N/A</v>
      </c>
      <c r="AG103" t="e">
        <f>IFERROR(IF(INDEX(Aux_puntos!$A$2:$OJ$901,99,MATCH($B$2&amp;"|xI",Aux_puntos!$1:$1,0))="",NA(),INDEX(Aux_puntos!$A$2:$OJ$901,99,MATCH($B$2&amp;"|xI",Aux_puntos!$1:$1,0))),NA())</f>
        <v>#N/A</v>
      </c>
      <c r="AH103" t="e">
        <f>IFERROR(IF(INDEX(Aux_puntos!$A$2:$OJ$901,99,MATCH($B$2&amp;"|yI",Aux_puntos!$1:$1,0))="",NA(),INDEX(Aux_puntos!$A$2:$OJ$901,99,MATCH($B$2&amp;"|yI",Aux_puntos!$1:$1,0))),NA())</f>
        <v>#N/A</v>
      </c>
      <c r="AI103" t="e">
        <f>IFERROR(IF(INDEX(Aux_puntos!$A$2:$OJ$901,99,MATCH($B$2&amp;"|xN",Aux_puntos!$1:$1,0))="",NA(),INDEX(Aux_puntos!$A$2:$OJ$901,99,MATCH($B$2&amp;"|xN",Aux_puntos!$1:$1,0))),NA())</f>
        <v>#N/A</v>
      </c>
      <c r="AJ103" t="e">
        <f>IFERROR(IF(INDEX(Aux_puntos!$A$2:$OJ$901,99,MATCH($B$2&amp;"|yN",Aux_puntos!$1:$1,0))="",NA(),INDEX(Aux_puntos!$A$2:$OJ$901,99,MATCH($B$2&amp;"|yN",Aux_puntos!$1:$1,0))),NA())</f>
        <v>#N/A</v>
      </c>
    </row>
    <row r="104" spans="29:36" x14ac:dyDescent="0.3">
      <c r="AC104" t="e">
        <f>IFERROR(IF(INDEX(Aux_puntos!$A$2:$OJ$901,100,MATCH($B$2&amp;"|xK",Aux_puntos!$1:$1,0))="",NA(),INDEX(Aux_puntos!$A$2:$OJ$901,100,MATCH($B$2&amp;"|xK",Aux_puntos!$1:$1,0))),NA())</f>
        <v>#N/A</v>
      </c>
      <c r="AD104" t="e">
        <f>IFERROR(IF(INDEX(Aux_puntos!$A$2:$OJ$901,100,MATCH($B$2&amp;"|yK",Aux_puntos!$1:$1,0))="",NA(),INDEX(Aux_puntos!$A$2:$OJ$901,100,MATCH($B$2&amp;"|yK",Aux_puntos!$1:$1,0))),NA())</f>
        <v>#N/A</v>
      </c>
      <c r="AE104" t="e">
        <f>IFERROR(IF(INDEX(Aux_puntos!$A$2:$OJ$901,100,MATCH($B$2&amp;"|xC",Aux_puntos!$1:$1,0))="",NA(),INDEX(Aux_puntos!$A$2:$OJ$901,100,MATCH($B$2&amp;"|xC",Aux_puntos!$1:$1,0))),NA())</f>
        <v>#N/A</v>
      </c>
      <c r="AF104" t="e">
        <f>IFERROR(IF(INDEX(Aux_puntos!$A$2:$OJ$901,100,MATCH($B$2&amp;"|yC",Aux_puntos!$1:$1,0))="",NA(),INDEX(Aux_puntos!$A$2:$OJ$901,100,MATCH($B$2&amp;"|yC",Aux_puntos!$1:$1,0))),NA())</f>
        <v>#N/A</v>
      </c>
      <c r="AG104" t="e">
        <f>IFERROR(IF(INDEX(Aux_puntos!$A$2:$OJ$901,100,MATCH($B$2&amp;"|xI",Aux_puntos!$1:$1,0))="",NA(),INDEX(Aux_puntos!$A$2:$OJ$901,100,MATCH($B$2&amp;"|xI",Aux_puntos!$1:$1,0))),NA())</f>
        <v>#N/A</v>
      </c>
      <c r="AH104" t="e">
        <f>IFERROR(IF(INDEX(Aux_puntos!$A$2:$OJ$901,100,MATCH($B$2&amp;"|yI",Aux_puntos!$1:$1,0))="",NA(),INDEX(Aux_puntos!$A$2:$OJ$901,100,MATCH($B$2&amp;"|yI",Aux_puntos!$1:$1,0))),NA())</f>
        <v>#N/A</v>
      </c>
      <c r="AI104" t="e">
        <f>IFERROR(IF(INDEX(Aux_puntos!$A$2:$OJ$901,100,MATCH($B$2&amp;"|xN",Aux_puntos!$1:$1,0))="",NA(),INDEX(Aux_puntos!$A$2:$OJ$901,100,MATCH($B$2&amp;"|xN",Aux_puntos!$1:$1,0))),NA())</f>
        <v>#N/A</v>
      </c>
      <c r="AJ104" t="e">
        <f>IFERROR(IF(INDEX(Aux_puntos!$A$2:$OJ$901,100,MATCH($B$2&amp;"|yN",Aux_puntos!$1:$1,0))="",NA(),INDEX(Aux_puntos!$A$2:$OJ$901,100,MATCH($B$2&amp;"|yN",Aux_puntos!$1:$1,0))),NA())</f>
        <v>#N/A</v>
      </c>
    </row>
    <row r="105" spans="29:36" x14ac:dyDescent="0.3">
      <c r="AC105" t="e">
        <f>IFERROR(IF(INDEX(Aux_puntos!$A$2:$OJ$901,101,MATCH($B$2&amp;"|xK",Aux_puntos!$1:$1,0))="",NA(),INDEX(Aux_puntos!$A$2:$OJ$901,101,MATCH($B$2&amp;"|xK",Aux_puntos!$1:$1,0))),NA())</f>
        <v>#N/A</v>
      </c>
      <c r="AD105" t="e">
        <f>IFERROR(IF(INDEX(Aux_puntos!$A$2:$OJ$901,101,MATCH($B$2&amp;"|yK",Aux_puntos!$1:$1,0))="",NA(),INDEX(Aux_puntos!$A$2:$OJ$901,101,MATCH($B$2&amp;"|yK",Aux_puntos!$1:$1,0))),NA())</f>
        <v>#N/A</v>
      </c>
      <c r="AE105" t="e">
        <f>IFERROR(IF(INDEX(Aux_puntos!$A$2:$OJ$901,101,MATCH($B$2&amp;"|xC",Aux_puntos!$1:$1,0))="",NA(),INDEX(Aux_puntos!$A$2:$OJ$901,101,MATCH($B$2&amp;"|xC",Aux_puntos!$1:$1,0))),NA())</f>
        <v>#N/A</v>
      </c>
      <c r="AF105" t="e">
        <f>IFERROR(IF(INDEX(Aux_puntos!$A$2:$OJ$901,101,MATCH($B$2&amp;"|yC",Aux_puntos!$1:$1,0))="",NA(),INDEX(Aux_puntos!$A$2:$OJ$901,101,MATCH($B$2&amp;"|yC",Aux_puntos!$1:$1,0))),NA())</f>
        <v>#N/A</v>
      </c>
      <c r="AG105" t="e">
        <f>IFERROR(IF(INDEX(Aux_puntos!$A$2:$OJ$901,101,MATCH($B$2&amp;"|xI",Aux_puntos!$1:$1,0))="",NA(),INDEX(Aux_puntos!$A$2:$OJ$901,101,MATCH($B$2&amp;"|xI",Aux_puntos!$1:$1,0))),NA())</f>
        <v>#N/A</v>
      </c>
      <c r="AH105" t="e">
        <f>IFERROR(IF(INDEX(Aux_puntos!$A$2:$OJ$901,101,MATCH($B$2&amp;"|yI",Aux_puntos!$1:$1,0))="",NA(),INDEX(Aux_puntos!$A$2:$OJ$901,101,MATCH($B$2&amp;"|yI",Aux_puntos!$1:$1,0))),NA())</f>
        <v>#N/A</v>
      </c>
      <c r="AI105" t="e">
        <f>IFERROR(IF(INDEX(Aux_puntos!$A$2:$OJ$901,101,MATCH($B$2&amp;"|xN",Aux_puntos!$1:$1,0))="",NA(),INDEX(Aux_puntos!$A$2:$OJ$901,101,MATCH($B$2&amp;"|xN",Aux_puntos!$1:$1,0))),NA())</f>
        <v>#N/A</v>
      </c>
      <c r="AJ105" t="e">
        <f>IFERROR(IF(INDEX(Aux_puntos!$A$2:$OJ$901,101,MATCH($B$2&amp;"|yN",Aux_puntos!$1:$1,0))="",NA(),INDEX(Aux_puntos!$A$2:$OJ$901,101,MATCH($B$2&amp;"|yN",Aux_puntos!$1:$1,0))),NA())</f>
        <v>#N/A</v>
      </c>
    </row>
    <row r="106" spans="29:36" x14ac:dyDescent="0.3">
      <c r="AC106" t="e">
        <f>IFERROR(IF(INDEX(Aux_puntos!$A$2:$OJ$901,102,MATCH($B$2&amp;"|xK",Aux_puntos!$1:$1,0))="",NA(),INDEX(Aux_puntos!$A$2:$OJ$901,102,MATCH($B$2&amp;"|xK",Aux_puntos!$1:$1,0))),NA())</f>
        <v>#N/A</v>
      </c>
      <c r="AD106" t="e">
        <f>IFERROR(IF(INDEX(Aux_puntos!$A$2:$OJ$901,102,MATCH($B$2&amp;"|yK",Aux_puntos!$1:$1,0))="",NA(),INDEX(Aux_puntos!$A$2:$OJ$901,102,MATCH($B$2&amp;"|yK",Aux_puntos!$1:$1,0))),NA())</f>
        <v>#N/A</v>
      </c>
      <c r="AE106" t="e">
        <f>IFERROR(IF(INDEX(Aux_puntos!$A$2:$OJ$901,102,MATCH($B$2&amp;"|xC",Aux_puntos!$1:$1,0))="",NA(),INDEX(Aux_puntos!$A$2:$OJ$901,102,MATCH($B$2&amp;"|xC",Aux_puntos!$1:$1,0))),NA())</f>
        <v>#N/A</v>
      </c>
      <c r="AF106" t="e">
        <f>IFERROR(IF(INDEX(Aux_puntos!$A$2:$OJ$901,102,MATCH($B$2&amp;"|yC",Aux_puntos!$1:$1,0))="",NA(),INDEX(Aux_puntos!$A$2:$OJ$901,102,MATCH($B$2&amp;"|yC",Aux_puntos!$1:$1,0))),NA())</f>
        <v>#N/A</v>
      </c>
      <c r="AG106" t="e">
        <f>IFERROR(IF(INDEX(Aux_puntos!$A$2:$OJ$901,102,MATCH($B$2&amp;"|xI",Aux_puntos!$1:$1,0))="",NA(),INDEX(Aux_puntos!$A$2:$OJ$901,102,MATCH($B$2&amp;"|xI",Aux_puntos!$1:$1,0))),NA())</f>
        <v>#N/A</v>
      </c>
      <c r="AH106" t="e">
        <f>IFERROR(IF(INDEX(Aux_puntos!$A$2:$OJ$901,102,MATCH($B$2&amp;"|yI",Aux_puntos!$1:$1,0))="",NA(),INDEX(Aux_puntos!$A$2:$OJ$901,102,MATCH($B$2&amp;"|yI",Aux_puntos!$1:$1,0))),NA())</f>
        <v>#N/A</v>
      </c>
      <c r="AI106" t="e">
        <f>IFERROR(IF(INDEX(Aux_puntos!$A$2:$OJ$901,102,MATCH($B$2&amp;"|xN",Aux_puntos!$1:$1,0))="",NA(),INDEX(Aux_puntos!$A$2:$OJ$901,102,MATCH($B$2&amp;"|xN",Aux_puntos!$1:$1,0))),NA())</f>
        <v>#N/A</v>
      </c>
      <c r="AJ106" t="e">
        <f>IFERROR(IF(INDEX(Aux_puntos!$A$2:$OJ$901,102,MATCH($B$2&amp;"|yN",Aux_puntos!$1:$1,0))="",NA(),INDEX(Aux_puntos!$A$2:$OJ$901,102,MATCH($B$2&amp;"|yN",Aux_puntos!$1:$1,0))),NA())</f>
        <v>#N/A</v>
      </c>
    </row>
    <row r="107" spans="29:36" x14ac:dyDescent="0.3">
      <c r="AC107" t="e">
        <f>IFERROR(IF(INDEX(Aux_puntos!$A$2:$OJ$901,103,MATCH($B$2&amp;"|xK",Aux_puntos!$1:$1,0))="",NA(),INDEX(Aux_puntos!$A$2:$OJ$901,103,MATCH($B$2&amp;"|xK",Aux_puntos!$1:$1,0))),NA())</f>
        <v>#N/A</v>
      </c>
      <c r="AD107" t="e">
        <f>IFERROR(IF(INDEX(Aux_puntos!$A$2:$OJ$901,103,MATCH($B$2&amp;"|yK",Aux_puntos!$1:$1,0))="",NA(),INDEX(Aux_puntos!$A$2:$OJ$901,103,MATCH($B$2&amp;"|yK",Aux_puntos!$1:$1,0))),NA())</f>
        <v>#N/A</v>
      </c>
      <c r="AE107" t="e">
        <f>IFERROR(IF(INDEX(Aux_puntos!$A$2:$OJ$901,103,MATCH($B$2&amp;"|xC",Aux_puntos!$1:$1,0))="",NA(),INDEX(Aux_puntos!$A$2:$OJ$901,103,MATCH($B$2&amp;"|xC",Aux_puntos!$1:$1,0))),NA())</f>
        <v>#N/A</v>
      </c>
      <c r="AF107" t="e">
        <f>IFERROR(IF(INDEX(Aux_puntos!$A$2:$OJ$901,103,MATCH($B$2&amp;"|yC",Aux_puntos!$1:$1,0))="",NA(),INDEX(Aux_puntos!$A$2:$OJ$901,103,MATCH($B$2&amp;"|yC",Aux_puntos!$1:$1,0))),NA())</f>
        <v>#N/A</v>
      </c>
      <c r="AG107" t="e">
        <f>IFERROR(IF(INDEX(Aux_puntos!$A$2:$OJ$901,103,MATCH($B$2&amp;"|xI",Aux_puntos!$1:$1,0))="",NA(),INDEX(Aux_puntos!$A$2:$OJ$901,103,MATCH($B$2&amp;"|xI",Aux_puntos!$1:$1,0))),NA())</f>
        <v>#N/A</v>
      </c>
      <c r="AH107" t="e">
        <f>IFERROR(IF(INDEX(Aux_puntos!$A$2:$OJ$901,103,MATCH($B$2&amp;"|yI",Aux_puntos!$1:$1,0))="",NA(),INDEX(Aux_puntos!$A$2:$OJ$901,103,MATCH($B$2&amp;"|yI",Aux_puntos!$1:$1,0))),NA())</f>
        <v>#N/A</v>
      </c>
      <c r="AI107" t="e">
        <f>IFERROR(IF(INDEX(Aux_puntos!$A$2:$OJ$901,103,MATCH($B$2&amp;"|xN",Aux_puntos!$1:$1,0))="",NA(),INDEX(Aux_puntos!$A$2:$OJ$901,103,MATCH($B$2&amp;"|xN",Aux_puntos!$1:$1,0))),NA())</f>
        <v>#N/A</v>
      </c>
      <c r="AJ107" t="e">
        <f>IFERROR(IF(INDEX(Aux_puntos!$A$2:$OJ$901,103,MATCH($B$2&amp;"|yN",Aux_puntos!$1:$1,0))="",NA(),INDEX(Aux_puntos!$A$2:$OJ$901,103,MATCH($B$2&amp;"|yN",Aux_puntos!$1:$1,0))),NA())</f>
        <v>#N/A</v>
      </c>
    </row>
    <row r="108" spans="29:36" x14ac:dyDescent="0.3">
      <c r="AC108" t="e">
        <f>IFERROR(IF(INDEX(Aux_puntos!$A$2:$OJ$901,104,MATCH($B$2&amp;"|xK",Aux_puntos!$1:$1,0))="",NA(),INDEX(Aux_puntos!$A$2:$OJ$901,104,MATCH($B$2&amp;"|xK",Aux_puntos!$1:$1,0))),NA())</f>
        <v>#N/A</v>
      </c>
      <c r="AD108" t="e">
        <f>IFERROR(IF(INDEX(Aux_puntos!$A$2:$OJ$901,104,MATCH($B$2&amp;"|yK",Aux_puntos!$1:$1,0))="",NA(),INDEX(Aux_puntos!$A$2:$OJ$901,104,MATCH($B$2&amp;"|yK",Aux_puntos!$1:$1,0))),NA())</f>
        <v>#N/A</v>
      </c>
      <c r="AE108" t="e">
        <f>IFERROR(IF(INDEX(Aux_puntos!$A$2:$OJ$901,104,MATCH($B$2&amp;"|xC",Aux_puntos!$1:$1,0))="",NA(),INDEX(Aux_puntos!$A$2:$OJ$901,104,MATCH($B$2&amp;"|xC",Aux_puntos!$1:$1,0))),NA())</f>
        <v>#N/A</v>
      </c>
      <c r="AF108" t="e">
        <f>IFERROR(IF(INDEX(Aux_puntos!$A$2:$OJ$901,104,MATCH($B$2&amp;"|yC",Aux_puntos!$1:$1,0))="",NA(),INDEX(Aux_puntos!$A$2:$OJ$901,104,MATCH($B$2&amp;"|yC",Aux_puntos!$1:$1,0))),NA())</f>
        <v>#N/A</v>
      </c>
      <c r="AG108" t="e">
        <f>IFERROR(IF(INDEX(Aux_puntos!$A$2:$OJ$901,104,MATCH($B$2&amp;"|xI",Aux_puntos!$1:$1,0))="",NA(),INDEX(Aux_puntos!$A$2:$OJ$901,104,MATCH($B$2&amp;"|xI",Aux_puntos!$1:$1,0))),NA())</f>
        <v>#N/A</v>
      </c>
      <c r="AH108" t="e">
        <f>IFERROR(IF(INDEX(Aux_puntos!$A$2:$OJ$901,104,MATCH($B$2&amp;"|yI",Aux_puntos!$1:$1,0))="",NA(),INDEX(Aux_puntos!$A$2:$OJ$901,104,MATCH($B$2&amp;"|yI",Aux_puntos!$1:$1,0))),NA())</f>
        <v>#N/A</v>
      </c>
      <c r="AI108" t="e">
        <f>IFERROR(IF(INDEX(Aux_puntos!$A$2:$OJ$901,104,MATCH($B$2&amp;"|xN",Aux_puntos!$1:$1,0))="",NA(),INDEX(Aux_puntos!$A$2:$OJ$901,104,MATCH($B$2&amp;"|xN",Aux_puntos!$1:$1,0))),NA())</f>
        <v>#N/A</v>
      </c>
      <c r="AJ108" t="e">
        <f>IFERROR(IF(INDEX(Aux_puntos!$A$2:$OJ$901,104,MATCH($B$2&amp;"|yN",Aux_puntos!$1:$1,0))="",NA(),INDEX(Aux_puntos!$A$2:$OJ$901,104,MATCH($B$2&amp;"|yN",Aux_puntos!$1:$1,0))),NA())</f>
        <v>#N/A</v>
      </c>
    </row>
    <row r="109" spans="29:36" x14ac:dyDescent="0.3">
      <c r="AC109" t="e">
        <f>IFERROR(IF(INDEX(Aux_puntos!$A$2:$OJ$901,105,MATCH($B$2&amp;"|xK",Aux_puntos!$1:$1,0))="",NA(),INDEX(Aux_puntos!$A$2:$OJ$901,105,MATCH($B$2&amp;"|xK",Aux_puntos!$1:$1,0))),NA())</f>
        <v>#N/A</v>
      </c>
      <c r="AD109" t="e">
        <f>IFERROR(IF(INDEX(Aux_puntos!$A$2:$OJ$901,105,MATCH($B$2&amp;"|yK",Aux_puntos!$1:$1,0))="",NA(),INDEX(Aux_puntos!$A$2:$OJ$901,105,MATCH($B$2&amp;"|yK",Aux_puntos!$1:$1,0))),NA())</f>
        <v>#N/A</v>
      </c>
      <c r="AE109" t="e">
        <f>IFERROR(IF(INDEX(Aux_puntos!$A$2:$OJ$901,105,MATCH($B$2&amp;"|xC",Aux_puntos!$1:$1,0))="",NA(),INDEX(Aux_puntos!$A$2:$OJ$901,105,MATCH($B$2&amp;"|xC",Aux_puntos!$1:$1,0))),NA())</f>
        <v>#N/A</v>
      </c>
      <c r="AF109" t="e">
        <f>IFERROR(IF(INDEX(Aux_puntos!$A$2:$OJ$901,105,MATCH($B$2&amp;"|yC",Aux_puntos!$1:$1,0))="",NA(),INDEX(Aux_puntos!$A$2:$OJ$901,105,MATCH($B$2&amp;"|yC",Aux_puntos!$1:$1,0))),NA())</f>
        <v>#N/A</v>
      </c>
      <c r="AG109" t="e">
        <f>IFERROR(IF(INDEX(Aux_puntos!$A$2:$OJ$901,105,MATCH($B$2&amp;"|xI",Aux_puntos!$1:$1,0))="",NA(),INDEX(Aux_puntos!$A$2:$OJ$901,105,MATCH($B$2&amp;"|xI",Aux_puntos!$1:$1,0))),NA())</f>
        <v>#N/A</v>
      </c>
      <c r="AH109" t="e">
        <f>IFERROR(IF(INDEX(Aux_puntos!$A$2:$OJ$901,105,MATCH($B$2&amp;"|yI",Aux_puntos!$1:$1,0))="",NA(),INDEX(Aux_puntos!$A$2:$OJ$901,105,MATCH($B$2&amp;"|yI",Aux_puntos!$1:$1,0))),NA())</f>
        <v>#N/A</v>
      </c>
      <c r="AI109" t="e">
        <f>IFERROR(IF(INDEX(Aux_puntos!$A$2:$OJ$901,105,MATCH($B$2&amp;"|xN",Aux_puntos!$1:$1,0))="",NA(),INDEX(Aux_puntos!$A$2:$OJ$901,105,MATCH($B$2&amp;"|xN",Aux_puntos!$1:$1,0))),NA())</f>
        <v>#N/A</v>
      </c>
      <c r="AJ109" t="e">
        <f>IFERROR(IF(INDEX(Aux_puntos!$A$2:$OJ$901,105,MATCH($B$2&amp;"|yN",Aux_puntos!$1:$1,0))="",NA(),INDEX(Aux_puntos!$A$2:$OJ$901,105,MATCH($B$2&amp;"|yN",Aux_puntos!$1:$1,0))),NA())</f>
        <v>#N/A</v>
      </c>
    </row>
    <row r="110" spans="29:36" x14ac:dyDescent="0.3">
      <c r="AC110" t="e">
        <f>IFERROR(IF(INDEX(Aux_puntos!$A$2:$OJ$901,106,MATCH($B$2&amp;"|xK",Aux_puntos!$1:$1,0))="",NA(),INDEX(Aux_puntos!$A$2:$OJ$901,106,MATCH($B$2&amp;"|xK",Aux_puntos!$1:$1,0))),NA())</f>
        <v>#N/A</v>
      </c>
      <c r="AD110" t="e">
        <f>IFERROR(IF(INDEX(Aux_puntos!$A$2:$OJ$901,106,MATCH($B$2&amp;"|yK",Aux_puntos!$1:$1,0))="",NA(),INDEX(Aux_puntos!$A$2:$OJ$901,106,MATCH($B$2&amp;"|yK",Aux_puntos!$1:$1,0))),NA())</f>
        <v>#N/A</v>
      </c>
      <c r="AE110" t="e">
        <f>IFERROR(IF(INDEX(Aux_puntos!$A$2:$OJ$901,106,MATCH($B$2&amp;"|xC",Aux_puntos!$1:$1,0))="",NA(),INDEX(Aux_puntos!$A$2:$OJ$901,106,MATCH($B$2&amp;"|xC",Aux_puntos!$1:$1,0))),NA())</f>
        <v>#N/A</v>
      </c>
      <c r="AF110" t="e">
        <f>IFERROR(IF(INDEX(Aux_puntos!$A$2:$OJ$901,106,MATCH($B$2&amp;"|yC",Aux_puntos!$1:$1,0))="",NA(),INDEX(Aux_puntos!$A$2:$OJ$901,106,MATCH($B$2&amp;"|yC",Aux_puntos!$1:$1,0))),NA())</f>
        <v>#N/A</v>
      </c>
      <c r="AG110" t="e">
        <f>IFERROR(IF(INDEX(Aux_puntos!$A$2:$OJ$901,106,MATCH($B$2&amp;"|xI",Aux_puntos!$1:$1,0))="",NA(),INDEX(Aux_puntos!$A$2:$OJ$901,106,MATCH($B$2&amp;"|xI",Aux_puntos!$1:$1,0))),NA())</f>
        <v>#N/A</v>
      </c>
      <c r="AH110" t="e">
        <f>IFERROR(IF(INDEX(Aux_puntos!$A$2:$OJ$901,106,MATCH($B$2&amp;"|yI",Aux_puntos!$1:$1,0))="",NA(),INDEX(Aux_puntos!$A$2:$OJ$901,106,MATCH($B$2&amp;"|yI",Aux_puntos!$1:$1,0))),NA())</f>
        <v>#N/A</v>
      </c>
      <c r="AI110" t="e">
        <f>IFERROR(IF(INDEX(Aux_puntos!$A$2:$OJ$901,106,MATCH($B$2&amp;"|xN",Aux_puntos!$1:$1,0))="",NA(),INDEX(Aux_puntos!$A$2:$OJ$901,106,MATCH($B$2&amp;"|xN",Aux_puntos!$1:$1,0))),NA())</f>
        <v>#N/A</v>
      </c>
      <c r="AJ110" t="e">
        <f>IFERROR(IF(INDEX(Aux_puntos!$A$2:$OJ$901,106,MATCH($B$2&amp;"|yN",Aux_puntos!$1:$1,0))="",NA(),INDEX(Aux_puntos!$A$2:$OJ$901,106,MATCH($B$2&amp;"|yN",Aux_puntos!$1:$1,0))),NA())</f>
        <v>#N/A</v>
      </c>
    </row>
    <row r="111" spans="29:36" x14ac:dyDescent="0.3">
      <c r="AC111" t="e">
        <f>IFERROR(IF(INDEX(Aux_puntos!$A$2:$OJ$901,107,MATCH($B$2&amp;"|xK",Aux_puntos!$1:$1,0))="",NA(),INDEX(Aux_puntos!$A$2:$OJ$901,107,MATCH($B$2&amp;"|xK",Aux_puntos!$1:$1,0))),NA())</f>
        <v>#N/A</v>
      </c>
      <c r="AD111" t="e">
        <f>IFERROR(IF(INDEX(Aux_puntos!$A$2:$OJ$901,107,MATCH($B$2&amp;"|yK",Aux_puntos!$1:$1,0))="",NA(),INDEX(Aux_puntos!$A$2:$OJ$901,107,MATCH($B$2&amp;"|yK",Aux_puntos!$1:$1,0))),NA())</f>
        <v>#N/A</v>
      </c>
      <c r="AE111" t="e">
        <f>IFERROR(IF(INDEX(Aux_puntos!$A$2:$OJ$901,107,MATCH($B$2&amp;"|xC",Aux_puntos!$1:$1,0))="",NA(),INDEX(Aux_puntos!$A$2:$OJ$901,107,MATCH($B$2&amp;"|xC",Aux_puntos!$1:$1,0))),NA())</f>
        <v>#N/A</v>
      </c>
      <c r="AF111" t="e">
        <f>IFERROR(IF(INDEX(Aux_puntos!$A$2:$OJ$901,107,MATCH($B$2&amp;"|yC",Aux_puntos!$1:$1,0))="",NA(),INDEX(Aux_puntos!$A$2:$OJ$901,107,MATCH($B$2&amp;"|yC",Aux_puntos!$1:$1,0))),NA())</f>
        <v>#N/A</v>
      </c>
      <c r="AG111" t="e">
        <f>IFERROR(IF(INDEX(Aux_puntos!$A$2:$OJ$901,107,MATCH($B$2&amp;"|xI",Aux_puntos!$1:$1,0))="",NA(),INDEX(Aux_puntos!$A$2:$OJ$901,107,MATCH($B$2&amp;"|xI",Aux_puntos!$1:$1,0))),NA())</f>
        <v>#N/A</v>
      </c>
      <c r="AH111" t="e">
        <f>IFERROR(IF(INDEX(Aux_puntos!$A$2:$OJ$901,107,MATCH($B$2&amp;"|yI",Aux_puntos!$1:$1,0))="",NA(),INDEX(Aux_puntos!$A$2:$OJ$901,107,MATCH($B$2&amp;"|yI",Aux_puntos!$1:$1,0))),NA())</f>
        <v>#N/A</v>
      </c>
      <c r="AI111" t="e">
        <f>IFERROR(IF(INDEX(Aux_puntos!$A$2:$OJ$901,107,MATCH($B$2&amp;"|xN",Aux_puntos!$1:$1,0))="",NA(),INDEX(Aux_puntos!$A$2:$OJ$901,107,MATCH($B$2&amp;"|xN",Aux_puntos!$1:$1,0))),NA())</f>
        <v>#N/A</v>
      </c>
      <c r="AJ111" t="e">
        <f>IFERROR(IF(INDEX(Aux_puntos!$A$2:$OJ$901,107,MATCH($B$2&amp;"|yN",Aux_puntos!$1:$1,0))="",NA(),INDEX(Aux_puntos!$A$2:$OJ$901,107,MATCH($B$2&amp;"|yN",Aux_puntos!$1:$1,0))),NA())</f>
        <v>#N/A</v>
      </c>
    </row>
    <row r="112" spans="29:36" x14ac:dyDescent="0.3">
      <c r="AC112" t="e">
        <f>IFERROR(IF(INDEX(Aux_puntos!$A$2:$OJ$901,108,MATCH($B$2&amp;"|xK",Aux_puntos!$1:$1,0))="",NA(),INDEX(Aux_puntos!$A$2:$OJ$901,108,MATCH($B$2&amp;"|xK",Aux_puntos!$1:$1,0))),NA())</f>
        <v>#N/A</v>
      </c>
      <c r="AD112" t="e">
        <f>IFERROR(IF(INDEX(Aux_puntos!$A$2:$OJ$901,108,MATCH($B$2&amp;"|yK",Aux_puntos!$1:$1,0))="",NA(),INDEX(Aux_puntos!$A$2:$OJ$901,108,MATCH($B$2&amp;"|yK",Aux_puntos!$1:$1,0))),NA())</f>
        <v>#N/A</v>
      </c>
      <c r="AE112" t="e">
        <f>IFERROR(IF(INDEX(Aux_puntos!$A$2:$OJ$901,108,MATCH($B$2&amp;"|xC",Aux_puntos!$1:$1,0))="",NA(),INDEX(Aux_puntos!$A$2:$OJ$901,108,MATCH($B$2&amp;"|xC",Aux_puntos!$1:$1,0))),NA())</f>
        <v>#N/A</v>
      </c>
      <c r="AF112" t="e">
        <f>IFERROR(IF(INDEX(Aux_puntos!$A$2:$OJ$901,108,MATCH($B$2&amp;"|yC",Aux_puntos!$1:$1,0))="",NA(),INDEX(Aux_puntos!$A$2:$OJ$901,108,MATCH($B$2&amp;"|yC",Aux_puntos!$1:$1,0))),NA())</f>
        <v>#N/A</v>
      </c>
      <c r="AG112" t="e">
        <f>IFERROR(IF(INDEX(Aux_puntos!$A$2:$OJ$901,108,MATCH($B$2&amp;"|xI",Aux_puntos!$1:$1,0))="",NA(),INDEX(Aux_puntos!$A$2:$OJ$901,108,MATCH($B$2&amp;"|xI",Aux_puntos!$1:$1,0))),NA())</f>
        <v>#N/A</v>
      </c>
      <c r="AH112" t="e">
        <f>IFERROR(IF(INDEX(Aux_puntos!$A$2:$OJ$901,108,MATCH($B$2&amp;"|yI",Aux_puntos!$1:$1,0))="",NA(),INDEX(Aux_puntos!$A$2:$OJ$901,108,MATCH($B$2&amp;"|yI",Aux_puntos!$1:$1,0))),NA())</f>
        <v>#N/A</v>
      </c>
      <c r="AI112" t="e">
        <f>IFERROR(IF(INDEX(Aux_puntos!$A$2:$OJ$901,108,MATCH($B$2&amp;"|xN",Aux_puntos!$1:$1,0))="",NA(),INDEX(Aux_puntos!$A$2:$OJ$901,108,MATCH($B$2&amp;"|xN",Aux_puntos!$1:$1,0))),NA())</f>
        <v>#N/A</v>
      </c>
      <c r="AJ112" t="e">
        <f>IFERROR(IF(INDEX(Aux_puntos!$A$2:$OJ$901,108,MATCH($B$2&amp;"|yN",Aux_puntos!$1:$1,0))="",NA(),INDEX(Aux_puntos!$A$2:$OJ$901,108,MATCH($B$2&amp;"|yN",Aux_puntos!$1:$1,0))),NA())</f>
        <v>#N/A</v>
      </c>
    </row>
    <row r="113" spans="29:36" x14ac:dyDescent="0.3">
      <c r="AC113" t="e">
        <f>IFERROR(IF(INDEX(Aux_puntos!$A$2:$OJ$901,109,MATCH($B$2&amp;"|xK",Aux_puntos!$1:$1,0))="",NA(),INDEX(Aux_puntos!$A$2:$OJ$901,109,MATCH($B$2&amp;"|xK",Aux_puntos!$1:$1,0))),NA())</f>
        <v>#N/A</v>
      </c>
      <c r="AD113" t="e">
        <f>IFERROR(IF(INDEX(Aux_puntos!$A$2:$OJ$901,109,MATCH($B$2&amp;"|yK",Aux_puntos!$1:$1,0))="",NA(),INDEX(Aux_puntos!$A$2:$OJ$901,109,MATCH($B$2&amp;"|yK",Aux_puntos!$1:$1,0))),NA())</f>
        <v>#N/A</v>
      </c>
      <c r="AE113" t="e">
        <f>IFERROR(IF(INDEX(Aux_puntos!$A$2:$OJ$901,109,MATCH($B$2&amp;"|xC",Aux_puntos!$1:$1,0))="",NA(),INDEX(Aux_puntos!$A$2:$OJ$901,109,MATCH($B$2&amp;"|xC",Aux_puntos!$1:$1,0))),NA())</f>
        <v>#N/A</v>
      </c>
      <c r="AF113" t="e">
        <f>IFERROR(IF(INDEX(Aux_puntos!$A$2:$OJ$901,109,MATCH($B$2&amp;"|yC",Aux_puntos!$1:$1,0))="",NA(),INDEX(Aux_puntos!$A$2:$OJ$901,109,MATCH($B$2&amp;"|yC",Aux_puntos!$1:$1,0))),NA())</f>
        <v>#N/A</v>
      </c>
      <c r="AG113" t="e">
        <f>IFERROR(IF(INDEX(Aux_puntos!$A$2:$OJ$901,109,MATCH($B$2&amp;"|xI",Aux_puntos!$1:$1,0))="",NA(),INDEX(Aux_puntos!$A$2:$OJ$901,109,MATCH($B$2&amp;"|xI",Aux_puntos!$1:$1,0))),NA())</f>
        <v>#N/A</v>
      </c>
      <c r="AH113" t="e">
        <f>IFERROR(IF(INDEX(Aux_puntos!$A$2:$OJ$901,109,MATCH($B$2&amp;"|yI",Aux_puntos!$1:$1,0))="",NA(),INDEX(Aux_puntos!$A$2:$OJ$901,109,MATCH($B$2&amp;"|yI",Aux_puntos!$1:$1,0))),NA())</f>
        <v>#N/A</v>
      </c>
      <c r="AI113" t="e">
        <f>IFERROR(IF(INDEX(Aux_puntos!$A$2:$OJ$901,109,MATCH($B$2&amp;"|xN",Aux_puntos!$1:$1,0))="",NA(),INDEX(Aux_puntos!$A$2:$OJ$901,109,MATCH($B$2&amp;"|xN",Aux_puntos!$1:$1,0))),NA())</f>
        <v>#N/A</v>
      </c>
      <c r="AJ113" t="e">
        <f>IFERROR(IF(INDEX(Aux_puntos!$A$2:$OJ$901,109,MATCH($B$2&amp;"|yN",Aux_puntos!$1:$1,0))="",NA(),INDEX(Aux_puntos!$A$2:$OJ$901,109,MATCH($B$2&amp;"|yN",Aux_puntos!$1:$1,0))),NA())</f>
        <v>#N/A</v>
      </c>
    </row>
    <row r="114" spans="29:36" x14ac:dyDescent="0.3">
      <c r="AC114" t="e">
        <f>IFERROR(IF(INDEX(Aux_puntos!$A$2:$OJ$901,110,MATCH($B$2&amp;"|xK",Aux_puntos!$1:$1,0))="",NA(),INDEX(Aux_puntos!$A$2:$OJ$901,110,MATCH($B$2&amp;"|xK",Aux_puntos!$1:$1,0))),NA())</f>
        <v>#N/A</v>
      </c>
      <c r="AD114" t="e">
        <f>IFERROR(IF(INDEX(Aux_puntos!$A$2:$OJ$901,110,MATCH($B$2&amp;"|yK",Aux_puntos!$1:$1,0))="",NA(),INDEX(Aux_puntos!$A$2:$OJ$901,110,MATCH($B$2&amp;"|yK",Aux_puntos!$1:$1,0))),NA())</f>
        <v>#N/A</v>
      </c>
      <c r="AE114" t="e">
        <f>IFERROR(IF(INDEX(Aux_puntos!$A$2:$OJ$901,110,MATCH($B$2&amp;"|xC",Aux_puntos!$1:$1,0))="",NA(),INDEX(Aux_puntos!$A$2:$OJ$901,110,MATCH($B$2&amp;"|xC",Aux_puntos!$1:$1,0))),NA())</f>
        <v>#N/A</v>
      </c>
      <c r="AF114" t="e">
        <f>IFERROR(IF(INDEX(Aux_puntos!$A$2:$OJ$901,110,MATCH($B$2&amp;"|yC",Aux_puntos!$1:$1,0))="",NA(),INDEX(Aux_puntos!$A$2:$OJ$901,110,MATCH($B$2&amp;"|yC",Aux_puntos!$1:$1,0))),NA())</f>
        <v>#N/A</v>
      </c>
      <c r="AG114" t="e">
        <f>IFERROR(IF(INDEX(Aux_puntos!$A$2:$OJ$901,110,MATCH($B$2&amp;"|xI",Aux_puntos!$1:$1,0))="",NA(),INDEX(Aux_puntos!$A$2:$OJ$901,110,MATCH($B$2&amp;"|xI",Aux_puntos!$1:$1,0))),NA())</f>
        <v>#N/A</v>
      </c>
      <c r="AH114" t="e">
        <f>IFERROR(IF(INDEX(Aux_puntos!$A$2:$OJ$901,110,MATCH($B$2&amp;"|yI",Aux_puntos!$1:$1,0))="",NA(),INDEX(Aux_puntos!$A$2:$OJ$901,110,MATCH($B$2&amp;"|yI",Aux_puntos!$1:$1,0))),NA())</f>
        <v>#N/A</v>
      </c>
      <c r="AI114" t="e">
        <f>IFERROR(IF(INDEX(Aux_puntos!$A$2:$OJ$901,110,MATCH($B$2&amp;"|xN",Aux_puntos!$1:$1,0))="",NA(),INDEX(Aux_puntos!$A$2:$OJ$901,110,MATCH($B$2&amp;"|xN",Aux_puntos!$1:$1,0))),NA())</f>
        <v>#N/A</v>
      </c>
      <c r="AJ114" t="e">
        <f>IFERROR(IF(INDEX(Aux_puntos!$A$2:$OJ$901,110,MATCH($B$2&amp;"|yN",Aux_puntos!$1:$1,0))="",NA(),INDEX(Aux_puntos!$A$2:$OJ$901,110,MATCH($B$2&amp;"|yN",Aux_puntos!$1:$1,0))),NA())</f>
        <v>#N/A</v>
      </c>
    </row>
    <row r="115" spans="29:36" x14ac:dyDescent="0.3">
      <c r="AC115" t="e">
        <f>IFERROR(IF(INDEX(Aux_puntos!$A$2:$OJ$901,111,MATCH($B$2&amp;"|xK",Aux_puntos!$1:$1,0))="",NA(),INDEX(Aux_puntos!$A$2:$OJ$901,111,MATCH($B$2&amp;"|xK",Aux_puntos!$1:$1,0))),NA())</f>
        <v>#N/A</v>
      </c>
      <c r="AD115" t="e">
        <f>IFERROR(IF(INDEX(Aux_puntos!$A$2:$OJ$901,111,MATCH($B$2&amp;"|yK",Aux_puntos!$1:$1,0))="",NA(),INDEX(Aux_puntos!$A$2:$OJ$901,111,MATCH($B$2&amp;"|yK",Aux_puntos!$1:$1,0))),NA())</f>
        <v>#N/A</v>
      </c>
      <c r="AE115" t="e">
        <f>IFERROR(IF(INDEX(Aux_puntos!$A$2:$OJ$901,111,MATCH($B$2&amp;"|xC",Aux_puntos!$1:$1,0))="",NA(),INDEX(Aux_puntos!$A$2:$OJ$901,111,MATCH($B$2&amp;"|xC",Aux_puntos!$1:$1,0))),NA())</f>
        <v>#N/A</v>
      </c>
      <c r="AF115" t="e">
        <f>IFERROR(IF(INDEX(Aux_puntos!$A$2:$OJ$901,111,MATCH($B$2&amp;"|yC",Aux_puntos!$1:$1,0))="",NA(),INDEX(Aux_puntos!$A$2:$OJ$901,111,MATCH($B$2&amp;"|yC",Aux_puntos!$1:$1,0))),NA())</f>
        <v>#N/A</v>
      </c>
      <c r="AG115" t="e">
        <f>IFERROR(IF(INDEX(Aux_puntos!$A$2:$OJ$901,111,MATCH($B$2&amp;"|xI",Aux_puntos!$1:$1,0))="",NA(),INDEX(Aux_puntos!$A$2:$OJ$901,111,MATCH($B$2&amp;"|xI",Aux_puntos!$1:$1,0))),NA())</f>
        <v>#N/A</v>
      </c>
      <c r="AH115" t="e">
        <f>IFERROR(IF(INDEX(Aux_puntos!$A$2:$OJ$901,111,MATCH($B$2&amp;"|yI",Aux_puntos!$1:$1,0))="",NA(),INDEX(Aux_puntos!$A$2:$OJ$901,111,MATCH($B$2&amp;"|yI",Aux_puntos!$1:$1,0))),NA())</f>
        <v>#N/A</v>
      </c>
      <c r="AI115" t="e">
        <f>IFERROR(IF(INDEX(Aux_puntos!$A$2:$OJ$901,111,MATCH($B$2&amp;"|xN",Aux_puntos!$1:$1,0))="",NA(),INDEX(Aux_puntos!$A$2:$OJ$901,111,MATCH($B$2&amp;"|xN",Aux_puntos!$1:$1,0))),NA())</f>
        <v>#N/A</v>
      </c>
      <c r="AJ115" t="e">
        <f>IFERROR(IF(INDEX(Aux_puntos!$A$2:$OJ$901,111,MATCH($B$2&amp;"|yN",Aux_puntos!$1:$1,0))="",NA(),INDEX(Aux_puntos!$A$2:$OJ$901,111,MATCH($B$2&amp;"|yN",Aux_puntos!$1:$1,0))),NA())</f>
        <v>#N/A</v>
      </c>
    </row>
    <row r="116" spans="29:36" x14ac:dyDescent="0.3">
      <c r="AC116" t="e">
        <f>IFERROR(IF(INDEX(Aux_puntos!$A$2:$OJ$901,112,MATCH($B$2&amp;"|xK",Aux_puntos!$1:$1,0))="",NA(),INDEX(Aux_puntos!$A$2:$OJ$901,112,MATCH($B$2&amp;"|xK",Aux_puntos!$1:$1,0))),NA())</f>
        <v>#N/A</v>
      </c>
      <c r="AD116" t="e">
        <f>IFERROR(IF(INDEX(Aux_puntos!$A$2:$OJ$901,112,MATCH($B$2&amp;"|yK",Aux_puntos!$1:$1,0))="",NA(),INDEX(Aux_puntos!$A$2:$OJ$901,112,MATCH($B$2&amp;"|yK",Aux_puntos!$1:$1,0))),NA())</f>
        <v>#N/A</v>
      </c>
      <c r="AE116" t="e">
        <f>IFERROR(IF(INDEX(Aux_puntos!$A$2:$OJ$901,112,MATCH($B$2&amp;"|xC",Aux_puntos!$1:$1,0))="",NA(),INDEX(Aux_puntos!$A$2:$OJ$901,112,MATCH($B$2&amp;"|xC",Aux_puntos!$1:$1,0))),NA())</f>
        <v>#N/A</v>
      </c>
      <c r="AF116" t="e">
        <f>IFERROR(IF(INDEX(Aux_puntos!$A$2:$OJ$901,112,MATCH($B$2&amp;"|yC",Aux_puntos!$1:$1,0))="",NA(),INDEX(Aux_puntos!$A$2:$OJ$901,112,MATCH($B$2&amp;"|yC",Aux_puntos!$1:$1,0))),NA())</f>
        <v>#N/A</v>
      </c>
      <c r="AG116" t="e">
        <f>IFERROR(IF(INDEX(Aux_puntos!$A$2:$OJ$901,112,MATCH($B$2&amp;"|xI",Aux_puntos!$1:$1,0))="",NA(),INDEX(Aux_puntos!$A$2:$OJ$901,112,MATCH($B$2&amp;"|xI",Aux_puntos!$1:$1,0))),NA())</f>
        <v>#N/A</v>
      </c>
      <c r="AH116" t="e">
        <f>IFERROR(IF(INDEX(Aux_puntos!$A$2:$OJ$901,112,MATCH($B$2&amp;"|yI",Aux_puntos!$1:$1,0))="",NA(),INDEX(Aux_puntos!$A$2:$OJ$901,112,MATCH($B$2&amp;"|yI",Aux_puntos!$1:$1,0))),NA())</f>
        <v>#N/A</v>
      </c>
      <c r="AI116" t="e">
        <f>IFERROR(IF(INDEX(Aux_puntos!$A$2:$OJ$901,112,MATCH($B$2&amp;"|xN",Aux_puntos!$1:$1,0))="",NA(),INDEX(Aux_puntos!$A$2:$OJ$901,112,MATCH($B$2&amp;"|xN",Aux_puntos!$1:$1,0))),NA())</f>
        <v>#N/A</v>
      </c>
      <c r="AJ116" t="e">
        <f>IFERROR(IF(INDEX(Aux_puntos!$A$2:$OJ$901,112,MATCH($B$2&amp;"|yN",Aux_puntos!$1:$1,0))="",NA(),INDEX(Aux_puntos!$A$2:$OJ$901,112,MATCH($B$2&amp;"|yN",Aux_puntos!$1:$1,0))),NA())</f>
        <v>#N/A</v>
      </c>
    </row>
    <row r="117" spans="29:36" x14ac:dyDescent="0.3">
      <c r="AC117" t="e">
        <f>IFERROR(IF(INDEX(Aux_puntos!$A$2:$OJ$901,113,MATCH($B$2&amp;"|xK",Aux_puntos!$1:$1,0))="",NA(),INDEX(Aux_puntos!$A$2:$OJ$901,113,MATCH($B$2&amp;"|xK",Aux_puntos!$1:$1,0))),NA())</f>
        <v>#N/A</v>
      </c>
      <c r="AD117" t="e">
        <f>IFERROR(IF(INDEX(Aux_puntos!$A$2:$OJ$901,113,MATCH($B$2&amp;"|yK",Aux_puntos!$1:$1,0))="",NA(),INDEX(Aux_puntos!$A$2:$OJ$901,113,MATCH($B$2&amp;"|yK",Aux_puntos!$1:$1,0))),NA())</f>
        <v>#N/A</v>
      </c>
      <c r="AE117" t="e">
        <f>IFERROR(IF(INDEX(Aux_puntos!$A$2:$OJ$901,113,MATCH($B$2&amp;"|xC",Aux_puntos!$1:$1,0))="",NA(),INDEX(Aux_puntos!$A$2:$OJ$901,113,MATCH($B$2&amp;"|xC",Aux_puntos!$1:$1,0))),NA())</f>
        <v>#N/A</v>
      </c>
      <c r="AF117" t="e">
        <f>IFERROR(IF(INDEX(Aux_puntos!$A$2:$OJ$901,113,MATCH($B$2&amp;"|yC",Aux_puntos!$1:$1,0))="",NA(),INDEX(Aux_puntos!$A$2:$OJ$901,113,MATCH($B$2&amp;"|yC",Aux_puntos!$1:$1,0))),NA())</f>
        <v>#N/A</v>
      </c>
      <c r="AG117" t="e">
        <f>IFERROR(IF(INDEX(Aux_puntos!$A$2:$OJ$901,113,MATCH($B$2&amp;"|xI",Aux_puntos!$1:$1,0))="",NA(),INDEX(Aux_puntos!$A$2:$OJ$901,113,MATCH($B$2&amp;"|xI",Aux_puntos!$1:$1,0))),NA())</f>
        <v>#N/A</v>
      </c>
      <c r="AH117" t="e">
        <f>IFERROR(IF(INDEX(Aux_puntos!$A$2:$OJ$901,113,MATCH($B$2&amp;"|yI",Aux_puntos!$1:$1,0))="",NA(),INDEX(Aux_puntos!$A$2:$OJ$901,113,MATCH($B$2&amp;"|yI",Aux_puntos!$1:$1,0))),NA())</f>
        <v>#N/A</v>
      </c>
      <c r="AI117" t="e">
        <f>IFERROR(IF(INDEX(Aux_puntos!$A$2:$OJ$901,113,MATCH($B$2&amp;"|xN",Aux_puntos!$1:$1,0))="",NA(),INDEX(Aux_puntos!$A$2:$OJ$901,113,MATCH($B$2&amp;"|xN",Aux_puntos!$1:$1,0))),NA())</f>
        <v>#N/A</v>
      </c>
      <c r="AJ117" t="e">
        <f>IFERROR(IF(INDEX(Aux_puntos!$A$2:$OJ$901,113,MATCH($B$2&amp;"|yN",Aux_puntos!$1:$1,0))="",NA(),INDEX(Aux_puntos!$A$2:$OJ$901,113,MATCH($B$2&amp;"|yN",Aux_puntos!$1:$1,0))),NA())</f>
        <v>#N/A</v>
      </c>
    </row>
    <row r="118" spans="29:36" x14ac:dyDescent="0.3">
      <c r="AC118" t="e">
        <f>IFERROR(IF(INDEX(Aux_puntos!$A$2:$OJ$901,114,MATCH($B$2&amp;"|xK",Aux_puntos!$1:$1,0))="",NA(),INDEX(Aux_puntos!$A$2:$OJ$901,114,MATCH($B$2&amp;"|xK",Aux_puntos!$1:$1,0))),NA())</f>
        <v>#N/A</v>
      </c>
      <c r="AD118" t="e">
        <f>IFERROR(IF(INDEX(Aux_puntos!$A$2:$OJ$901,114,MATCH($B$2&amp;"|yK",Aux_puntos!$1:$1,0))="",NA(),INDEX(Aux_puntos!$A$2:$OJ$901,114,MATCH($B$2&amp;"|yK",Aux_puntos!$1:$1,0))),NA())</f>
        <v>#N/A</v>
      </c>
      <c r="AE118" t="e">
        <f>IFERROR(IF(INDEX(Aux_puntos!$A$2:$OJ$901,114,MATCH($B$2&amp;"|xC",Aux_puntos!$1:$1,0))="",NA(),INDEX(Aux_puntos!$A$2:$OJ$901,114,MATCH($B$2&amp;"|xC",Aux_puntos!$1:$1,0))),NA())</f>
        <v>#N/A</v>
      </c>
      <c r="AF118" t="e">
        <f>IFERROR(IF(INDEX(Aux_puntos!$A$2:$OJ$901,114,MATCH($B$2&amp;"|yC",Aux_puntos!$1:$1,0))="",NA(),INDEX(Aux_puntos!$A$2:$OJ$901,114,MATCH($B$2&amp;"|yC",Aux_puntos!$1:$1,0))),NA())</f>
        <v>#N/A</v>
      </c>
      <c r="AG118" t="e">
        <f>IFERROR(IF(INDEX(Aux_puntos!$A$2:$OJ$901,114,MATCH($B$2&amp;"|xI",Aux_puntos!$1:$1,0))="",NA(),INDEX(Aux_puntos!$A$2:$OJ$901,114,MATCH($B$2&amp;"|xI",Aux_puntos!$1:$1,0))),NA())</f>
        <v>#N/A</v>
      </c>
      <c r="AH118" t="e">
        <f>IFERROR(IF(INDEX(Aux_puntos!$A$2:$OJ$901,114,MATCH($B$2&amp;"|yI",Aux_puntos!$1:$1,0))="",NA(),INDEX(Aux_puntos!$A$2:$OJ$901,114,MATCH($B$2&amp;"|yI",Aux_puntos!$1:$1,0))),NA())</f>
        <v>#N/A</v>
      </c>
      <c r="AI118" t="e">
        <f>IFERROR(IF(INDEX(Aux_puntos!$A$2:$OJ$901,114,MATCH($B$2&amp;"|xN",Aux_puntos!$1:$1,0))="",NA(),INDEX(Aux_puntos!$A$2:$OJ$901,114,MATCH($B$2&amp;"|xN",Aux_puntos!$1:$1,0))),NA())</f>
        <v>#N/A</v>
      </c>
      <c r="AJ118" t="e">
        <f>IFERROR(IF(INDEX(Aux_puntos!$A$2:$OJ$901,114,MATCH($B$2&amp;"|yN",Aux_puntos!$1:$1,0))="",NA(),INDEX(Aux_puntos!$A$2:$OJ$901,114,MATCH($B$2&amp;"|yN",Aux_puntos!$1:$1,0))),NA())</f>
        <v>#N/A</v>
      </c>
    </row>
    <row r="119" spans="29:36" x14ac:dyDescent="0.3">
      <c r="AC119" t="e">
        <f>IFERROR(IF(INDEX(Aux_puntos!$A$2:$OJ$901,115,MATCH($B$2&amp;"|xK",Aux_puntos!$1:$1,0))="",NA(),INDEX(Aux_puntos!$A$2:$OJ$901,115,MATCH($B$2&amp;"|xK",Aux_puntos!$1:$1,0))),NA())</f>
        <v>#N/A</v>
      </c>
      <c r="AD119" t="e">
        <f>IFERROR(IF(INDEX(Aux_puntos!$A$2:$OJ$901,115,MATCH($B$2&amp;"|yK",Aux_puntos!$1:$1,0))="",NA(),INDEX(Aux_puntos!$A$2:$OJ$901,115,MATCH($B$2&amp;"|yK",Aux_puntos!$1:$1,0))),NA())</f>
        <v>#N/A</v>
      </c>
      <c r="AE119" t="e">
        <f>IFERROR(IF(INDEX(Aux_puntos!$A$2:$OJ$901,115,MATCH($B$2&amp;"|xC",Aux_puntos!$1:$1,0))="",NA(),INDEX(Aux_puntos!$A$2:$OJ$901,115,MATCH($B$2&amp;"|xC",Aux_puntos!$1:$1,0))),NA())</f>
        <v>#N/A</v>
      </c>
      <c r="AF119" t="e">
        <f>IFERROR(IF(INDEX(Aux_puntos!$A$2:$OJ$901,115,MATCH($B$2&amp;"|yC",Aux_puntos!$1:$1,0))="",NA(),INDEX(Aux_puntos!$A$2:$OJ$901,115,MATCH($B$2&amp;"|yC",Aux_puntos!$1:$1,0))),NA())</f>
        <v>#N/A</v>
      </c>
      <c r="AG119" t="e">
        <f>IFERROR(IF(INDEX(Aux_puntos!$A$2:$OJ$901,115,MATCH($B$2&amp;"|xI",Aux_puntos!$1:$1,0))="",NA(),INDEX(Aux_puntos!$A$2:$OJ$901,115,MATCH($B$2&amp;"|xI",Aux_puntos!$1:$1,0))),NA())</f>
        <v>#N/A</v>
      </c>
      <c r="AH119" t="e">
        <f>IFERROR(IF(INDEX(Aux_puntos!$A$2:$OJ$901,115,MATCH($B$2&amp;"|yI",Aux_puntos!$1:$1,0))="",NA(),INDEX(Aux_puntos!$A$2:$OJ$901,115,MATCH($B$2&amp;"|yI",Aux_puntos!$1:$1,0))),NA())</f>
        <v>#N/A</v>
      </c>
      <c r="AI119" t="e">
        <f>IFERROR(IF(INDEX(Aux_puntos!$A$2:$OJ$901,115,MATCH($B$2&amp;"|xN",Aux_puntos!$1:$1,0))="",NA(),INDEX(Aux_puntos!$A$2:$OJ$901,115,MATCH($B$2&amp;"|xN",Aux_puntos!$1:$1,0))),NA())</f>
        <v>#N/A</v>
      </c>
      <c r="AJ119" t="e">
        <f>IFERROR(IF(INDEX(Aux_puntos!$A$2:$OJ$901,115,MATCH($B$2&amp;"|yN",Aux_puntos!$1:$1,0))="",NA(),INDEX(Aux_puntos!$A$2:$OJ$901,115,MATCH($B$2&amp;"|yN",Aux_puntos!$1:$1,0))),NA())</f>
        <v>#N/A</v>
      </c>
    </row>
    <row r="120" spans="29:36" x14ac:dyDescent="0.3">
      <c r="AC120" t="e">
        <f>IFERROR(IF(INDEX(Aux_puntos!$A$2:$OJ$901,116,MATCH($B$2&amp;"|xK",Aux_puntos!$1:$1,0))="",NA(),INDEX(Aux_puntos!$A$2:$OJ$901,116,MATCH($B$2&amp;"|xK",Aux_puntos!$1:$1,0))),NA())</f>
        <v>#N/A</v>
      </c>
      <c r="AD120" t="e">
        <f>IFERROR(IF(INDEX(Aux_puntos!$A$2:$OJ$901,116,MATCH($B$2&amp;"|yK",Aux_puntos!$1:$1,0))="",NA(),INDEX(Aux_puntos!$A$2:$OJ$901,116,MATCH($B$2&amp;"|yK",Aux_puntos!$1:$1,0))),NA())</f>
        <v>#N/A</v>
      </c>
      <c r="AE120" t="e">
        <f>IFERROR(IF(INDEX(Aux_puntos!$A$2:$OJ$901,116,MATCH($B$2&amp;"|xC",Aux_puntos!$1:$1,0))="",NA(),INDEX(Aux_puntos!$A$2:$OJ$901,116,MATCH($B$2&amp;"|xC",Aux_puntos!$1:$1,0))),NA())</f>
        <v>#N/A</v>
      </c>
      <c r="AF120" t="e">
        <f>IFERROR(IF(INDEX(Aux_puntos!$A$2:$OJ$901,116,MATCH($B$2&amp;"|yC",Aux_puntos!$1:$1,0))="",NA(),INDEX(Aux_puntos!$A$2:$OJ$901,116,MATCH($B$2&amp;"|yC",Aux_puntos!$1:$1,0))),NA())</f>
        <v>#N/A</v>
      </c>
      <c r="AG120" t="e">
        <f>IFERROR(IF(INDEX(Aux_puntos!$A$2:$OJ$901,116,MATCH($B$2&amp;"|xI",Aux_puntos!$1:$1,0))="",NA(),INDEX(Aux_puntos!$A$2:$OJ$901,116,MATCH($B$2&amp;"|xI",Aux_puntos!$1:$1,0))),NA())</f>
        <v>#N/A</v>
      </c>
      <c r="AH120" t="e">
        <f>IFERROR(IF(INDEX(Aux_puntos!$A$2:$OJ$901,116,MATCH($B$2&amp;"|yI",Aux_puntos!$1:$1,0))="",NA(),INDEX(Aux_puntos!$A$2:$OJ$901,116,MATCH($B$2&amp;"|yI",Aux_puntos!$1:$1,0))),NA())</f>
        <v>#N/A</v>
      </c>
      <c r="AI120" t="e">
        <f>IFERROR(IF(INDEX(Aux_puntos!$A$2:$OJ$901,116,MATCH($B$2&amp;"|xN",Aux_puntos!$1:$1,0))="",NA(),INDEX(Aux_puntos!$A$2:$OJ$901,116,MATCH($B$2&amp;"|xN",Aux_puntos!$1:$1,0))),NA())</f>
        <v>#N/A</v>
      </c>
      <c r="AJ120" t="e">
        <f>IFERROR(IF(INDEX(Aux_puntos!$A$2:$OJ$901,116,MATCH($B$2&amp;"|yN",Aux_puntos!$1:$1,0))="",NA(),INDEX(Aux_puntos!$A$2:$OJ$901,116,MATCH($B$2&amp;"|yN",Aux_puntos!$1:$1,0))),NA())</f>
        <v>#N/A</v>
      </c>
    </row>
    <row r="121" spans="29:36" x14ac:dyDescent="0.3">
      <c r="AC121" t="e">
        <f>IFERROR(IF(INDEX(Aux_puntos!$A$2:$OJ$901,117,MATCH($B$2&amp;"|xK",Aux_puntos!$1:$1,0))="",NA(),INDEX(Aux_puntos!$A$2:$OJ$901,117,MATCH($B$2&amp;"|xK",Aux_puntos!$1:$1,0))),NA())</f>
        <v>#N/A</v>
      </c>
      <c r="AD121" t="e">
        <f>IFERROR(IF(INDEX(Aux_puntos!$A$2:$OJ$901,117,MATCH($B$2&amp;"|yK",Aux_puntos!$1:$1,0))="",NA(),INDEX(Aux_puntos!$A$2:$OJ$901,117,MATCH($B$2&amp;"|yK",Aux_puntos!$1:$1,0))),NA())</f>
        <v>#N/A</v>
      </c>
      <c r="AE121" t="e">
        <f>IFERROR(IF(INDEX(Aux_puntos!$A$2:$OJ$901,117,MATCH($B$2&amp;"|xC",Aux_puntos!$1:$1,0))="",NA(),INDEX(Aux_puntos!$A$2:$OJ$901,117,MATCH($B$2&amp;"|xC",Aux_puntos!$1:$1,0))),NA())</f>
        <v>#N/A</v>
      </c>
      <c r="AF121" t="e">
        <f>IFERROR(IF(INDEX(Aux_puntos!$A$2:$OJ$901,117,MATCH($B$2&amp;"|yC",Aux_puntos!$1:$1,0))="",NA(),INDEX(Aux_puntos!$A$2:$OJ$901,117,MATCH($B$2&amp;"|yC",Aux_puntos!$1:$1,0))),NA())</f>
        <v>#N/A</v>
      </c>
      <c r="AG121" t="e">
        <f>IFERROR(IF(INDEX(Aux_puntos!$A$2:$OJ$901,117,MATCH($B$2&amp;"|xI",Aux_puntos!$1:$1,0))="",NA(),INDEX(Aux_puntos!$A$2:$OJ$901,117,MATCH($B$2&amp;"|xI",Aux_puntos!$1:$1,0))),NA())</f>
        <v>#N/A</v>
      </c>
      <c r="AH121" t="e">
        <f>IFERROR(IF(INDEX(Aux_puntos!$A$2:$OJ$901,117,MATCH($B$2&amp;"|yI",Aux_puntos!$1:$1,0))="",NA(),INDEX(Aux_puntos!$A$2:$OJ$901,117,MATCH($B$2&amp;"|yI",Aux_puntos!$1:$1,0))),NA())</f>
        <v>#N/A</v>
      </c>
      <c r="AI121" t="e">
        <f>IFERROR(IF(INDEX(Aux_puntos!$A$2:$OJ$901,117,MATCH($B$2&amp;"|xN",Aux_puntos!$1:$1,0))="",NA(),INDEX(Aux_puntos!$A$2:$OJ$901,117,MATCH($B$2&amp;"|xN",Aux_puntos!$1:$1,0))),NA())</f>
        <v>#N/A</v>
      </c>
      <c r="AJ121" t="e">
        <f>IFERROR(IF(INDEX(Aux_puntos!$A$2:$OJ$901,117,MATCH($B$2&amp;"|yN",Aux_puntos!$1:$1,0))="",NA(),INDEX(Aux_puntos!$A$2:$OJ$901,117,MATCH($B$2&amp;"|yN",Aux_puntos!$1:$1,0))),NA())</f>
        <v>#N/A</v>
      </c>
    </row>
    <row r="122" spans="29:36" x14ac:dyDescent="0.3">
      <c r="AC122" t="e">
        <f>IFERROR(IF(INDEX(Aux_puntos!$A$2:$OJ$901,118,MATCH($B$2&amp;"|xK",Aux_puntos!$1:$1,0))="",NA(),INDEX(Aux_puntos!$A$2:$OJ$901,118,MATCH($B$2&amp;"|xK",Aux_puntos!$1:$1,0))),NA())</f>
        <v>#N/A</v>
      </c>
      <c r="AD122" t="e">
        <f>IFERROR(IF(INDEX(Aux_puntos!$A$2:$OJ$901,118,MATCH($B$2&amp;"|yK",Aux_puntos!$1:$1,0))="",NA(),INDEX(Aux_puntos!$A$2:$OJ$901,118,MATCH($B$2&amp;"|yK",Aux_puntos!$1:$1,0))),NA())</f>
        <v>#N/A</v>
      </c>
      <c r="AE122" t="e">
        <f>IFERROR(IF(INDEX(Aux_puntos!$A$2:$OJ$901,118,MATCH($B$2&amp;"|xC",Aux_puntos!$1:$1,0))="",NA(),INDEX(Aux_puntos!$A$2:$OJ$901,118,MATCH($B$2&amp;"|xC",Aux_puntos!$1:$1,0))),NA())</f>
        <v>#N/A</v>
      </c>
      <c r="AF122" t="e">
        <f>IFERROR(IF(INDEX(Aux_puntos!$A$2:$OJ$901,118,MATCH($B$2&amp;"|yC",Aux_puntos!$1:$1,0))="",NA(),INDEX(Aux_puntos!$A$2:$OJ$901,118,MATCH($B$2&amp;"|yC",Aux_puntos!$1:$1,0))),NA())</f>
        <v>#N/A</v>
      </c>
      <c r="AG122" t="e">
        <f>IFERROR(IF(INDEX(Aux_puntos!$A$2:$OJ$901,118,MATCH($B$2&amp;"|xI",Aux_puntos!$1:$1,0))="",NA(),INDEX(Aux_puntos!$A$2:$OJ$901,118,MATCH($B$2&amp;"|xI",Aux_puntos!$1:$1,0))),NA())</f>
        <v>#N/A</v>
      </c>
      <c r="AH122" t="e">
        <f>IFERROR(IF(INDEX(Aux_puntos!$A$2:$OJ$901,118,MATCH($B$2&amp;"|yI",Aux_puntos!$1:$1,0))="",NA(),INDEX(Aux_puntos!$A$2:$OJ$901,118,MATCH($B$2&amp;"|yI",Aux_puntos!$1:$1,0))),NA())</f>
        <v>#N/A</v>
      </c>
      <c r="AI122" t="e">
        <f>IFERROR(IF(INDEX(Aux_puntos!$A$2:$OJ$901,118,MATCH($B$2&amp;"|xN",Aux_puntos!$1:$1,0))="",NA(),INDEX(Aux_puntos!$A$2:$OJ$901,118,MATCH($B$2&amp;"|xN",Aux_puntos!$1:$1,0))),NA())</f>
        <v>#N/A</v>
      </c>
      <c r="AJ122" t="e">
        <f>IFERROR(IF(INDEX(Aux_puntos!$A$2:$OJ$901,118,MATCH($B$2&amp;"|yN",Aux_puntos!$1:$1,0))="",NA(),INDEX(Aux_puntos!$A$2:$OJ$901,118,MATCH($B$2&amp;"|yN",Aux_puntos!$1:$1,0))),NA())</f>
        <v>#N/A</v>
      </c>
    </row>
    <row r="123" spans="29:36" x14ac:dyDescent="0.3">
      <c r="AC123" t="e">
        <f>IFERROR(IF(INDEX(Aux_puntos!$A$2:$OJ$901,119,MATCH($B$2&amp;"|xK",Aux_puntos!$1:$1,0))="",NA(),INDEX(Aux_puntos!$A$2:$OJ$901,119,MATCH($B$2&amp;"|xK",Aux_puntos!$1:$1,0))),NA())</f>
        <v>#N/A</v>
      </c>
      <c r="AD123" t="e">
        <f>IFERROR(IF(INDEX(Aux_puntos!$A$2:$OJ$901,119,MATCH($B$2&amp;"|yK",Aux_puntos!$1:$1,0))="",NA(),INDEX(Aux_puntos!$A$2:$OJ$901,119,MATCH($B$2&amp;"|yK",Aux_puntos!$1:$1,0))),NA())</f>
        <v>#N/A</v>
      </c>
      <c r="AE123" t="e">
        <f>IFERROR(IF(INDEX(Aux_puntos!$A$2:$OJ$901,119,MATCH($B$2&amp;"|xC",Aux_puntos!$1:$1,0))="",NA(),INDEX(Aux_puntos!$A$2:$OJ$901,119,MATCH($B$2&amp;"|xC",Aux_puntos!$1:$1,0))),NA())</f>
        <v>#N/A</v>
      </c>
      <c r="AF123" t="e">
        <f>IFERROR(IF(INDEX(Aux_puntos!$A$2:$OJ$901,119,MATCH($B$2&amp;"|yC",Aux_puntos!$1:$1,0))="",NA(),INDEX(Aux_puntos!$A$2:$OJ$901,119,MATCH($B$2&amp;"|yC",Aux_puntos!$1:$1,0))),NA())</f>
        <v>#N/A</v>
      </c>
      <c r="AG123" t="e">
        <f>IFERROR(IF(INDEX(Aux_puntos!$A$2:$OJ$901,119,MATCH($B$2&amp;"|xI",Aux_puntos!$1:$1,0))="",NA(),INDEX(Aux_puntos!$A$2:$OJ$901,119,MATCH($B$2&amp;"|xI",Aux_puntos!$1:$1,0))),NA())</f>
        <v>#N/A</v>
      </c>
      <c r="AH123" t="e">
        <f>IFERROR(IF(INDEX(Aux_puntos!$A$2:$OJ$901,119,MATCH($B$2&amp;"|yI",Aux_puntos!$1:$1,0))="",NA(),INDEX(Aux_puntos!$A$2:$OJ$901,119,MATCH($B$2&amp;"|yI",Aux_puntos!$1:$1,0))),NA())</f>
        <v>#N/A</v>
      </c>
      <c r="AI123" t="e">
        <f>IFERROR(IF(INDEX(Aux_puntos!$A$2:$OJ$901,119,MATCH($B$2&amp;"|xN",Aux_puntos!$1:$1,0))="",NA(),INDEX(Aux_puntos!$A$2:$OJ$901,119,MATCH($B$2&amp;"|xN",Aux_puntos!$1:$1,0))),NA())</f>
        <v>#N/A</v>
      </c>
      <c r="AJ123" t="e">
        <f>IFERROR(IF(INDEX(Aux_puntos!$A$2:$OJ$901,119,MATCH($B$2&amp;"|yN",Aux_puntos!$1:$1,0))="",NA(),INDEX(Aux_puntos!$A$2:$OJ$901,119,MATCH($B$2&amp;"|yN",Aux_puntos!$1:$1,0))),NA())</f>
        <v>#N/A</v>
      </c>
    </row>
    <row r="124" spans="29:36" x14ac:dyDescent="0.3">
      <c r="AC124" t="e">
        <f>IFERROR(IF(INDEX(Aux_puntos!$A$2:$OJ$901,120,MATCH($B$2&amp;"|xK",Aux_puntos!$1:$1,0))="",NA(),INDEX(Aux_puntos!$A$2:$OJ$901,120,MATCH($B$2&amp;"|xK",Aux_puntos!$1:$1,0))),NA())</f>
        <v>#N/A</v>
      </c>
      <c r="AD124" t="e">
        <f>IFERROR(IF(INDEX(Aux_puntos!$A$2:$OJ$901,120,MATCH($B$2&amp;"|yK",Aux_puntos!$1:$1,0))="",NA(),INDEX(Aux_puntos!$A$2:$OJ$901,120,MATCH($B$2&amp;"|yK",Aux_puntos!$1:$1,0))),NA())</f>
        <v>#N/A</v>
      </c>
      <c r="AE124" t="e">
        <f>IFERROR(IF(INDEX(Aux_puntos!$A$2:$OJ$901,120,MATCH($B$2&amp;"|xC",Aux_puntos!$1:$1,0))="",NA(),INDEX(Aux_puntos!$A$2:$OJ$901,120,MATCH($B$2&amp;"|xC",Aux_puntos!$1:$1,0))),NA())</f>
        <v>#N/A</v>
      </c>
      <c r="AF124" t="e">
        <f>IFERROR(IF(INDEX(Aux_puntos!$A$2:$OJ$901,120,MATCH($B$2&amp;"|yC",Aux_puntos!$1:$1,0))="",NA(),INDEX(Aux_puntos!$A$2:$OJ$901,120,MATCH($B$2&amp;"|yC",Aux_puntos!$1:$1,0))),NA())</f>
        <v>#N/A</v>
      </c>
      <c r="AG124" t="e">
        <f>IFERROR(IF(INDEX(Aux_puntos!$A$2:$OJ$901,120,MATCH($B$2&amp;"|xI",Aux_puntos!$1:$1,0))="",NA(),INDEX(Aux_puntos!$A$2:$OJ$901,120,MATCH($B$2&amp;"|xI",Aux_puntos!$1:$1,0))),NA())</f>
        <v>#N/A</v>
      </c>
      <c r="AH124" t="e">
        <f>IFERROR(IF(INDEX(Aux_puntos!$A$2:$OJ$901,120,MATCH($B$2&amp;"|yI",Aux_puntos!$1:$1,0))="",NA(),INDEX(Aux_puntos!$A$2:$OJ$901,120,MATCH($B$2&amp;"|yI",Aux_puntos!$1:$1,0))),NA())</f>
        <v>#N/A</v>
      </c>
      <c r="AI124" t="e">
        <f>IFERROR(IF(INDEX(Aux_puntos!$A$2:$OJ$901,120,MATCH($B$2&amp;"|xN",Aux_puntos!$1:$1,0))="",NA(),INDEX(Aux_puntos!$A$2:$OJ$901,120,MATCH($B$2&amp;"|xN",Aux_puntos!$1:$1,0))),NA())</f>
        <v>#N/A</v>
      </c>
      <c r="AJ124" t="e">
        <f>IFERROR(IF(INDEX(Aux_puntos!$A$2:$OJ$901,120,MATCH($B$2&amp;"|yN",Aux_puntos!$1:$1,0))="",NA(),INDEX(Aux_puntos!$A$2:$OJ$901,120,MATCH($B$2&amp;"|yN",Aux_puntos!$1:$1,0))),NA())</f>
        <v>#N/A</v>
      </c>
    </row>
    <row r="125" spans="29:36" x14ac:dyDescent="0.3">
      <c r="AC125" t="e">
        <f>IFERROR(IF(INDEX(Aux_puntos!$A$2:$OJ$901,121,MATCH($B$2&amp;"|xK",Aux_puntos!$1:$1,0))="",NA(),INDEX(Aux_puntos!$A$2:$OJ$901,121,MATCH($B$2&amp;"|xK",Aux_puntos!$1:$1,0))),NA())</f>
        <v>#N/A</v>
      </c>
      <c r="AD125" t="e">
        <f>IFERROR(IF(INDEX(Aux_puntos!$A$2:$OJ$901,121,MATCH($B$2&amp;"|yK",Aux_puntos!$1:$1,0))="",NA(),INDEX(Aux_puntos!$A$2:$OJ$901,121,MATCH($B$2&amp;"|yK",Aux_puntos!$1:$1,0))),NA())</f>
        <v>#N/A</v>
      </c>
      <c r="AE125" t="e">
        <f>IFERROR(IF(INDEX(Aux_puntos!$A$2:$OJ$901,121,MATCH($B$2&amp;"|xC",Aux_puntos!$1:$1,0))="",NA(),INDEX(Aux_puntos!$A$2:$OJ$901,121,MATCH($B$2&amp;"|xC",Aux_puntos!$1:$1,0))),NA())</f>
        <v>#N/A</v>
      </c>
      <c r="AF125" t="e">
        <f>IFERROR(IF(INDEX(Aux_puntos!$A$2:$OJ$901,121,MATCH($B$2&amp;"|yC",Aux_puntos!$1:$1,0))="",NA(),INDEX(Aux_puntos!$A$2:$OJ$901,121,MATCH($B$2&amp;"|yC",Aux_puntos!$1:$1,0))),NA())</f>
        <v>#N/A</v>
      </c>
      <c r="AG125" t="e">
        <f>IFERROR(IF(INDEX(Aux_puntos!$A$2:$OJ$901,121,MATCH($B$2&amp;"|xI",Aux_puntos!$1:$1,0))="",NA(),INDEX(Aux_puntos!$A$2:$OJ$901,121,MATCH($B$2&amp;"|xI",Aux_puntos!$1:$1,0))),NA())</f>
        <v>#N/A</v>
      </c>
      <c r="AH125" t="e">
        <f>IFERROR(IF(INDEX(Aux_puntos!$A$2:$OJ$901,121,MATCH($B$2&amp;"|yI",Aux_puntos!$1:$1,0))="",NA(),INDEX(Aux_puntos!$A$2:$OJ$901,121,MATCH($B$2&amp;"|yI",Aux_puntos!$1:$1,0))),NA())</f>
        <v>#N/A</v>
      </c>
      <c r="AI125" t="e">
        <f>IFERROR(IF(INDEX(Aux_puntos!$A$2:$OJ$901,121,MATCH($B$2&amp;"|xN",Aux_puntos!$1:$1,0))="",NA(),INDEX(Aux_puntos!$A$2:$OJ$901,121,MATCH($B$2&amp;"|xN",Aux_puntos!$1:$1,0))),NA())</f>
        <v>#N/A</v>
      </c>
      <c r="AJ125" t="e">
        <f>IFERROR(IF(INDEX(Aux_puntos!$A$2:$OJ$901,121,MATCH($B$2&amp;"|yN",Aux_puntos!$1:$1,0))="",NA(),INDEX(Aux_puntos!$A$2:$OJ$901,121,MATCH($B$2&amp;"|yN",Aux_puntos!$1:$1,0))),NA())</f>
        <v>#N/A</v>
      </c>
    </row>
    <row r="126" spans="29:36" x14ac:dyDescent="0.3">
      <c r="AC126" t="e">
        <f>IFERROR(IF(INDEX(Aux_puntos!$A$2:$OJ$901,122,MATCH($B$2&amp;"|xK",Aux_puntos!$1:$1,0))="",NA(),INDEX(Aux_puntos!$A$2:$OJ$901,122,MATCH($B$2&amp;"|xK",Aux_puntos!$1:$1,0))),NA())</f>
        <v>#N/A</v>
      </c>
      <c r="AD126" t="e">
        <f>IFERROR(IF(INDEX(Aux_puntos!$A$2:$OJ$901,122,MATCH($B$2&amp;"|yK",Aux_puntos!$1:$1,0))="",NA(),INDEX(Aux_puntos!$A$2:$OJ$901,122,MATCH($B$2&amp;"|yK",Aux_puntos!$1:$1,0))),NA())</f>
        <v>#N/A</v>
      </c>
      <c r="AE126" t="e">
        <f>IFERROR(IF(INDEX(Aux_puntos!$A$2:$OJ$901,122,MATCH($B$2&amp;"|xC",Aux_puntos!$1:$1,0))="",NA(),INDEX(Aux_puntos!$A$2:$OJ$901,122,MATCH($B$2&amp;"|xC",Aux_puntos!$1:$1,0))),NA())</f>
        <v>#N/A</v>
      </c>
      <c r="AF126" t="e">
        <f>IFERROR(IF(INDEX(Aux_puntos!$A$2:$OJ$901,122,MATCH($B$2&amp;"|yC",Aux_puntos!$1:$1,0))="",NA(),INDEX(Aux_puntos!$A$2:$OJ$901,122,MATCH($B$2&amp;"|yC",Aux_puntos!$1:$1,0))),NA())</f>
        <v>#N/A</v>
      </c>
      <c r="AG126" t="e">
        <f>IFERROR(IF(INDEX(Aux_puntos!$A$2:$OJ$901,122,MATCH($B$2&amp;"|xI",Aux_puntos!$1:$1,0))="",NA(),INDEX(Aux_puntos!$A$2:$OJ$901,122,MATCH($B$2&amp;"|xI",Aux_puntos!$1:$1,0))),NA())</f>
        <v>#N/A</v>
      </c>
      <c r="AH126" t="e">
        <f>IFERROR(IF(INDEX(Aux_puntos!$A$2:$OJ$901,122,MATCH($B$2&amp;"|yI",Aux_puntos!$1:$1,0))="",NA(),INDEX(Aux_puntos!$A$2:$OJ$901,122,MATCH($B$2&amp;"|yI",Aux_puntos!$1:$1,0))),NA())</f>
        <v>#N/A</v>
      </c>
      <c r="AI126" t="e">
        <f>IFERROR(IF(INDEX(Aux_puntos!$A$2:$OJ$901,122,MATCH($B$2&amp;"|xN",Aux_puntos!$1:$1,0))="",NA(),INDEX(Aux_puntos!$A$2:$OJ$901,122,MATCH($B$2&amp;"|xN",Aux_puntos!$1:$1,0))),NA())</f>
        <v>#N/A</v>
      </c>
      <c r="AJ126" t="e">
        <f>IFERROR(IF(INDEX(Aux_puntos!$A$2:$OJ$901,122,MATCH($B$2&amp;"|yN",Aux_puntos!$1:$1,0))="",NA(),INDEX(Aux_puntos!$A$2:$OJ$901,122,MATCH($B$2&amp;"|yN",Aux_puntos!$1:$1,0))),NA())</f>
        <v>#N/A</v>
      </c>
    </row>
    <row r="127" spans="29:36" x14ac:dyDescent="0.3">
      <c r="AC127" t="e">
        <f>IFERROR(IF(INDEX(Aux_puntos!$A$2:$OJ$901,123,MATCH($B$2&amp;"|xK",Aux_puntos!$1:$1,0))="",NA(),INDEX(Aux_puntos!$A$2:$OJ$901,123,MATCH($B$2&amp;"|xK",Aux_puntos!$1:$1,0))),NA())</f>
        <v>#N/A</v>
      </c>
      <c r="AD127" t="e">
        <f>IFERROR(IF(INDEX(Aux_puntos!$A$2:$OJ$901,123,MATCH($B$2&amp;"|yK",Aux_puntos!$1:$1,0))="",NA(),INDEX(Aux_puntos!$A$2:$OJ$901,123,MATCH($B$2&amp;"|yK",Aux_puntos!$1:$1,0))),NA())</f>
        <v>#N/A</v>
      </c>
      <c r="AE127" t="e">
        <f>IFERROR(IF(INDEX(Aux_puntos!$A$2:$OJ$901,123,MATCH($B$2&amp;"|xC",Aux_puntos!$1:$1,0))="",NA(),INDEX(Aux_puntos!$A$2:$OJ$901,123,MATCH($B$2&amp;"|xC",Aux_puntos!$1:$1,0))),NA())</f>
        <v>#N/A</v>
      </c>
      <c r="AF127" t="e">
        <f>IFERROR(IF(INDEX(Aux_puntos!$A$2:$OJ$901,123,MATCH($B$2&amp;"|yC",Aux_puntos!$1:$1,0))="",NA(),INDEX(Aux_puntos!$A$2:$OJ$901,123,MATCH($B$2&amp;"|yC",Aux_puntos!$1:$1,0))),NA())</f>
        <v>#N/A</v>
      </c>
      <c r="AG127" t="e">
        <f>IFERROR(IF(INDEX(Aux_puntos!$A$2:$OJ$901,123,MATCH($B$2&amp;"|xI",Aux_puntos!$1:$1,0))="",NA(),INDEX(Aux_puntos!$A$2:$OJ$901,123,MATCH($B$2&amp;"|xI",Aux_puntos!$1:$1,0))),NA())</f>
        <v>#N/A</v>
      </c>
      <c r="AH127" t="e">
        <f>IFERROR(IF(INDEX(Aux_puntos!$A$2:$OJ$901,123,MATCH($B$2&amp;"|yI",Aux_puntos!$1:$1,0))="",NA(),INDEX(Aux_puntos!$A$2:$OJ$901,123,MATCH($B$2&amp;"|yI",Aux_puntos!$1:$1,0))),NA())</f>
        <v>#N/A</v>
      </c>
      <c r="AI127" t="e">
        <f>IFERROR(IF(INDEX(Aux_puntos!$A$2:$OJ$901,123,MATCH($B$2&amp;"|xN",Aux_puntos!$1:$1,0))="",NA(),INDEX(Aux_puntos!$A$2:$OJ$901,123,MATCH($B$2&amp;"|xN",Aux_puntos!$1:$1,0))),NA())</f>
        <v>#N/A</v>
      </c>
      <c r="AJ127" t="e">
        <f>IFERROR(IF(INDEX(Aux_puntos!$A$2:$OJ$901,123,MATCH($B$2&amp;"|yN",Aux_puntos!$1:$1,0))="",NA(),INDEX(Aux_puntos!$A$2:$OJ$901,123,MATCH($B$2&amp;"|yN",Aux_puntos!$1:$1,0))),NA())</f>
        <v>#N/A</v>
      </c>
    </row>
    <row r="128" spans="29:36" x14ac:dyDescent="0.3">
      <c r="AC128" t="e">
        <f>IFERROR(IF(INDEX(Aux_puntos!$A$2:$OJ$901,124,MATCH($B$2&amp;"|xK",Aux_puntos!$1:$1,0))="",NA(),INDEX(Aux_puntos!$A$2:$OJ$901,124,MATCH($B$2&amp;"|xK",Aux_puntos!$1:$1,0))),NA())</f>
        <v>#N/A</v>
      </c>
      <c r="AD128" t="e">
        <f>IFERROR(IF(INDEX(Aux_puntos!$A$2:$OJ$901,124,MATCH($B$2&amp;"|yK",Aux_puntos!$1:$1,0))="",NA(),INDEX(Aux_puntos!$A$2:$OJ$901,124,MATCH($B$2&amp;"|yK",Aux_puntos!$1:$1,0))),NA())</f>
        <v>#N/A</v>
      </c>
      <c r="AE128" t="e">
        <f>IFERROR(IF(INDEX(Aux_puntos!$A$2:$OJ$901,124,MATCH($B$2&amp;"|xC",Aux_puntos!$1:$1,0))="",NA(),INDEX(Aux_puntos!$A$2:$OJ$901,124,MATCH($B$2&amp;"|xC",Aux_puntos!$1:$1,0))),NA())</f>
        <v>#N/A</v>
      </c>
      <c r="AF128" t="e">
        <f>IFERROR(IF(INDEX(Aux_puntos!$A$2:$OJ$901,124,MATCH($B$2&amp;"|yC",Aux_puntos!$1:$1,0))="",NA(),INDEX(Aux_puntos!$A$2:$OJ$901,124,MATCH($B$2&amp;"|yC",Aux_puntos!$1:$1,0))),NA())</f>
        <v>#N/A</v>
      </c>
      <c r="AG128" t="e">
        <f>IFERROR(IF(INDEX(Aux_puntos!$A$2:$OJ$901,124,MATCH($B$2&amp;"|xI",Aux_puntos!$1:$1,0))="",NA(),INDEX(Aux_puntos!$A$2:$OJ$901,124,MATCH($B$2&amp;"|xI",Aux_puntos!$1:$1,0))),NA())</f>
        <v>#N/A</v>
      </c>
      <c r="AH128" t="e">
        <f>IFERROR(IF(INDEX(Aux_puntos!$A$2:$OJ$901,124,MATCH($B$2&amp;"|yI",Aux_puntos!$1:$1,0))="",NA(),INDEX(Aux_puntos!$A$2:$OJ$901,124,MATCH($B$2&amp;"|yI",Aux_puntos!$1:$1,0))),NA())</f>
        <v>#N/A</v>
      </c>
      <c r="AI128" t="e">
        <f>IFERROR(IF(INDEX(Aux_puntos!$A$2:$OJ$901,124,MATCH($B$2&amp;"|xN",Aux_puntos!$1:$1,0))="",NA(),INDEX(Aux_puntos!$A$2:$OJ$901,124,MATCH($B$2&amp;"|xN",Aux_puntos!$1:$1,0))),NA())</f>
        <v>#N/A</v>
      </c>
      <c r="AJ128" t="e">
        <f>IFERROR(IF(INDEX(Aux_puntos!$A$2:$OJ$901,124,MATCH($B$2&amp;"|yN",Aux_puntos!$1:$1,0))="",NA(),INDEX(Aux_puntos!$A$2:$OJ$901,124,MATCH($B$2&amp;"|yN",Aux_puntos!$1:$1,0))),NA())</f>
        <v>#N/A</v>
      </c>
    </row>
    <row r="129" spans="29:36" x14ac:dyDescent="0.3">
      <c r="AC129" t="e">
        <f>IFERROR(IF(INDEX(Aux_puntos!$A$2:$OJ$901,125,MATCH($B$2&amp;"|xK",Aux_puntos!$1:$1,0))="",NA(),INDEX(Aux_puntos!$A$2:$OJ$901,125,MATCH($B$2&amp;"|xK",Aux_puntos!$1:$1,0))),NA())</f>
        <v>#N/A</v>
      </c>
      <c r="AD129" t="e">
        <f>IFERROR(IF(INDEX(Aux_puntos!$A$2:$OJ$901,125,MATCH($B$2&amp;"|yK",Aux_puntos!$1:$1,0))="",NA(),INDEX(Aux_puntos!$A$2:$OJ$901,125,MATCH($B$2&amp;"|yK",Aux_puntos!$1:$1,0))),NA())</f>
        <v>#N/A</v>
      </c>
      <c r="AE129" t="e">
        <f>IFERROR(IF(INDEX(Aux_puntos!$A$2:$OJ$901,125,MATCH($B$2&amp;"|xC",Aux_puntos!$1:$1,0))="",NA(),INDEX(Aux_puntos!$A$2:$OJ$901,125,MATCH($B$2&amp;"|xC",Aux_puntos!$1:$1,0))),NA())</f>
        <v>#N/A</v>
      </c>
      <c r="AF129" t="e">
        <f>IFERROR(IF(INDEX(Aux_puntos!$A$2:$OJ$901,125,MATCH($B$2&amp;"|yC",Aux_puntos!$1:$1,0))="",NA(),INDEX(Aux_puntos!$A$2:$OJ$901,125,MATCH($B$2&amp;"|yC",Aux_puntos!$1:$1,0))),NA())</f>
        <v>#N/A</v>
      </c>
      <c r="AG129" t="e">
        <f>IFERROR(IF(INDEX(Aux_puntos!$A$2:$OJ$901,125,MATCH($B$2&amp;"|xI",Aux_puntos!$1:$1,0))="",NA(),INDEX(Aux_puntos!$A$2:$OJ$901,125,MATCH($B$2&amp;"|xI",Aux_puntos!$1:$1,0))),NA())</f>
        <v>#N/A</v>
      </c>
      <c r="AH129" t="e">
        <f>IFERROR(IF(INDEX(Aux_puntos!$A$2:$OJ$901,125,MATCH($B$2&amp;"|yI",Aux_puntos!$1:$1,0))="",NA(),INDEX(Aux_puntos!$A$2:$OJ$901,125,MATCH($B$2&amp;"|yI",Aux_puntos!$1:$1,0))),NA())</f>
        <v>#N/A</v>
      </c>
      <c r="AI129" t="e">
        <f>IFERROR(IF(INDEX(Aux_puntos!$A$2:$OJ$901,125,MATCH($B$2&amp;"|xN",Aux_puntos!$1:$1,0))="",NA(),INDEX(Aux_puntos!$A$2:$OJ$901,125,MATCH($B$2&amp;"|xN",Aux_puntos!$1:$1,0))),NA())</f>
        <v>#N/A</v>
      </c>
      <c r="AJ129" t="e">
        <f>IFERROR(IF(INDEX(Aux_puntos!$A$2:$OJ$901,125,MATCH($B$2&amp;"|yN",Aux_puntos!$1:$1,0))="",NA(),INDEX(Aux_puntos!$A$2:$OJ$901,125,MATCH($B$2&amp;"|yN",Aux_puntos!$1:$1,0))),NA())</f>
        <v>#N/A</v>
      </c>
    </row>
    <row r="130" spans="29:36" x14ac:dyDescent="0.3">
      <c r="AC130" t="e">
        <f>IFERROR(IF(INDEX(Aux_puntos!$A$2:$OJ$901,126,MATCH($B$2&amp;"|xK",Aux_puntos!$1:$1,0))="",NA(),INDEX(Aux_puntos!$A$2:$OJ$901,126,MATCH($B$2&amp;"|xK",Aux_puntos!$1:$1,0))),NA())</f>
        <v>#N/A</v>
      </c>
      <c r="AD130" t="e">
        <f>IFERROR(IF(INDEX(Aux_puntos!$A$2:$OJ$901,126,MATCH($B$2&amp;"|yK",Aux_puntos!$1:$1,0))="",NA(),INDEX(Aux_puntos!$A$2:$OJ$901,126,MATCH($B$2&amp;"|yK",Aux_puntos!$1:$1,0))),NA())</f>
        <v>#N/A</v>
      </c>
      <c r="AE130" t="e">
        <f>IFERROR(IF(INDEX(Aux_puntos!$A$2:$OJ$901,126,MATCH($B$2&amp;"|xC",Aux_puntos!$1:$1,0))="",NA(),INDEX(Aux_puntos!$A$2:$OJ$901,126,MATCH($B$2&amp;"|xC",Aux_puntos!$1:$1,0))),NA())</f>
        <v>#N/A</v>
      </c>
      <c r="AF130" t="e">
        <f>IFERROR(IF(INDEX(Aux_puntos!$A$2:$OJ$901,126,MATCH($B$2&amp;"|yC",Aux_puntos!$1:$1,0))="",NA(),INDEX(Aux_puntos!$A$2:$OJ$901,126,MATCH($B$2&amp;"|yC",Aux_puntos!$1:$1,0))),NA())</f>
        <v>#N/A</v>
      </c>
      <c r="AG130" t="e">
        <f>IFERROR(IF(INDEX(Aux_puntos!$A$2:$OJ$901,126,MATCH($B$2&amp;"|xI",Aux_puntos!$1:$1,0))="",NA(),INDEX(Aux_puntos!$A$2:$OJ$901,126,MATCH($B$2&amp;"|xI",Aux_puntos!$1:$1,0))),NA())</f>
        <v>#N/A</v>
      </c>
      <c r="AH130" t="e">
        <f>IFERROR(IF(INDEX(Aux_puntos!$A$2:$OJ$901,126,MATCH($B$2&amp;"|yI",Aux_puntos!$1:$1,0))="",NA(),INDEX(Aux_puntos!$A$2:$OJ$901,126,MATCH($B$2&amp;"|yI",Aux_puntos!$1:$1,0))),NA())</f>
        <v>#N/A</v>
      </c>
      <c r="AI130" t="e">
        <f>IFERROR(IF(INDEX(Aux_puntos!$A$2:$OJ$901,126,MATCH($B$2&amp;"|xN",Aux_puntos!$1:$1,0))="",NA(),INDEX(Aux_puntos!$A$2:$OJ$901,126,MATCH($B$2&amp;"|xN",Aux_puntos!$1:$1,0))),NA())</f>
        <v>#N/A</v>
      </c>
      <c r="AJ130" t="e">
        <f>IFERROR(IF(INDEX(Aux_puntos!$A$2:$OJ$901,126,MATCH($B$2&amp;"|yN",Aux_puntos!$1:$1,0))="",NA(),INDEX(Aux_puntos!$A$2:$OJ$901,126,MATCH($B$2&amp;"|yN",Aux_puntos!$1:$1,0))),NA())</f>
        <v>#N/A</v>
      </c>
    </row>
    <row r="131" spans="29:36" x14ac:dyDescent="0.3">
      <c r="AC131" t="e">
        <f>IFERROR(IF(INDEX(Aux_puntos!$A$2:$OJ$901,127,MATCH($B$2&amp;"|xK",Aux_puntos!$1:$1,0))="",NA(),INDEX(Aux_puntos!$A$2:$OJ$901,127,MATCH($B$2&amp;"|xK",Aux_puntos!$1:$1,0))),NA())</f>
        <v>#N/A</v>
      </c>
      <c r="AD131" t="e">
        <f>IFERROR(IF(INDEX(Aux_puntos!$A$2:$OJ$901,127,MATCH($B$2&amp;"|yK",Aux_puntos!$1:$1,0))="",NA(),INDEX(Aux_puntos!$A$2:$OJ$901,127,MATCH($B$2&amp;"|yK",Aux_puntos!$1:$1,0))),NA())</f>
        <v>#N/A</v>
      </c>
      <c r="AE131" t="e">
        <f>IFERROR(IF(INDEX(Aux_puntos!$A$2:$OJ$901,127,MATCH($B$2&amp;"|xC",Aux_puntos!$1:$1,0))="",NA(),INDEX(Aux_puntos!$A$2:$OJ$901,127,MATCH($B$2&amp;"|xC",Aux_puntos!$1:$1,0))),NA())</f>
        <v>#N/A</v>
      </c>
      <c r="AF131" t="e">
        <f>IFERROR(IF(INDEX(Aux_puntos!$A$2:$OJ$901,127,MATCH($B$2&amp;"|yC",Aux_puntos!$1:$1,0))="",NA(),INDEX(Aux_puntos!$A$2:$OJ$901,127,MATCH($B$2&amp;"|yC",Aux_puntos!$1:$1,0))),NA())</f>
        <v>#N/A</v>
      </c>
      <c r="AG131" t="e">
        <f>IFERROR(IF(INDEX(Aux_puntos!$A$2:$OJ$901,127,MATCH($B$2&amp;"|xI",Aux_puntos!$1:$1,0))="",NA(),INDEX(Aux_puntos!$A$2:$OJ$901,127,MATCH($B$2&amp;"|xI",Aux_puntos!$1:$1,0))),NA())</f>
        <v>#N/A</v>
      </c>
      <c r="AH131" t="e">
        <f>IFERROR(IF(INDEX(Aux_puntos!$A$2:$OJ$901,127,MATCH($B$2&amp;"|yI",Aux_puntos!$1:$1,0))="",NA(),INDEX(Aux_puntos!$A$2:$OJ$901,127,MATCH($B$2&amp;"|yI",Aux_puntos!$1:$1,0))),NA())</f>
        <v>#N/A</v>
      </c>
      <c r="AI131" t="e">
        <f>IFERROR(IF(INDEX(Aux_puntos!$A$2:$OJ$901,127,MATCH($B$2&amp;"|xN",Aux_puntos!$1:$1,0))="",NA(),INDEX(Aux_puntos!$A$2:$OJ$901,127,MATCH($B$2&amp;"|xN",Aux_puntos!$1:$1,0))),NA())</f>
        <v>#N/A</v>
      </c>
      <c r="AJ131" t="e">
        <f>IFERROR(IF(INDEX(Aux_puntos!$A$2:$OJ$901,127,MATCH($B$2&amp;"|yN",Aux_puntos!$1:$1,0))="",NA(),INDEX(Aux_puntos!$A$2:$OJ$901,127,MATCH($B$2&amp;"|yN",Aux_puntos!$1:$1,0))),NA())</f>
        <v>#N/A</v>
      </c>
    </row>
    <row r="132" spans="29:36" x14ac:dyDescent="0.3">
      <c r="AC132" t="e">
        <f>IFERROR(IF(INDEX(Aux_puntos!$A$2:$OJ$901,128,MATCH($B$2&amp;"|xK",Aux_puntos!$1:$1,0))="",NA(),INDEX(Aux_puntos!$A$2:$OJ$901,128,MATCH($B$2&amp;"|xK",Aux_puntos!$1:$1,0))),NA())</f>
        <v>#N/A</v>
      </c>
      <c r="AD132" t="e">
        <f>IFERROR(IF(INDEX(Aux_puntos!$A$2:$OJ$901,128,MATCH($B$2&amp;"|yK",Aux_puntos!$1:$1,0))="",NA(),INDEX(Aux_puntos!$A$2:$OJ$901,128,MATCH($B$2&amp;"|yK",Aux_puntos!$1:$1,0))),NA())</f>
        <v>#N/A</v>
      </c>
      <c r="AE132" t="e">
        <f>IFERROR(IF(INDEX(Aux_puntos!$A$2:$OJ$901,128,MATCH($B$2&amp;"|xC",Aux_puntos!$1:$1,0))="",NA(),INDEX(Aux_puntos!$A$2:$OJ$901,128,MATCH($B$2&amp;"|xC",Aux_puntos!$1:$1,0))),NA())</f>
        <v>#N/A</v>
      </c>
      <c r="AF132" t="e">
        <f>IFERROR(IF(INDEX(Aux_puntos!$A$2:$OJ$901,128,MATCH($B$2&amp;"|yC",Aux_puntos!$1:$1,0))="",NA(),INDEX(Aux_puntos!$A$2:$OJ$901,128,MATCH($B$2&amp;"|yC",Aux_puntos!$1:$1,0))),NA())</f>
        <v>#N/A</v>
      </c>
      <c r="AG132" t="e">
        <f>IFERROR(IF(INDEX(Aux_puntos!$A$2:$OJ$901,128,MATCH($B$2&amp;"|xI",Aux_puntos!$1:$1,0))="",NA(),INDEX(Aux_puntos!$A$2:$OJ$901,128,MATCH($B$2&amp;"|xI",Aux_puntos!$1:$1,0))),NA())</f>
        <v>#N/A</v>
      </c>
      <c r="AH132" t="e">
        <f>IFERROR(IF(INDEX(Aux_puntos!$A$2:$OJ$901,128,MATCH($B$2&amp;"|yI",Aux_puntos!$1:$1,0))="",NA(),INDEX(Aux_puntos!$A$2:$OJ$901,128,MATCH($B$2&amp;"|yI",Aux_puntos!$1:$1,0))),NA())</f>
        <v>#N/A</v>
      </c>
      <c r="AI132" t="e">
        <f>IFERROR(IF(INDEX(Aux_puntos!$A$2:$OJ$901,128,MATCH($B$2&amp;"|xN",Aux_puntos!$1:$1,0))="",NA(),INDEX(Aux_puntos!$A$2:$OJ$901,128,MATCH($B$2&amp;"|xN",Aux_puntos!$1:$1,0))),NA())</f>
        <v>#N/A</v>
      </c>
      <c r="AJ132" t="e">
        <f>IFERROR(IF(INDEX(Aux_puntos!$A$2:$OJ$901,128,MATCH($B$2&amp;"|yN",Aux_puntos!$1:$1,0))="",NA(),INDEX(Aux_puntos!$A$2:$OJ$901,128,MATCH($B$2&amp;"|yN",Aux_puntos!$1:$1,0))),NA())</f>
        <v>#N/A</v>
      </c>
    </row>
    <row r="133" spans="29:36" x14ac:dyDescent="0.3">
      <c r="AC133" t="e">
        <f>IFERROR(IF(INDEX(Aux_puntos!$A$2:$OJ$901,129,MATCH($B$2&amp;"|xK",Aux_puntos!$1:$1,0))="",NA(),INDEX(Aux_puntos!$A$2:$OJ$901,129,MATCH($B$2&amp;"|xK",Aux_puntos!$1:$1,0))),NA())</f>
        <v>#N/A</v>
      </c>
      <c r="AD133" t="e">
        <f>IFERROR(IF(INDEX(Aux_puntos!$A$2:$OJ$901,129,MATCH($B$2&amp;"|yK",Aux_puntos!$1:$1,0))="",NA(),INDEX(Aux_puntos!$A$2:$OJ$901,129,MATCH($B$2&amp;"|yK",Aux_puntos!$1:$1,0))),NA())</f>
        <v>#N/A</v>
      </c>
      <c r="AE133" t="e">
        <f>IFERROR(IF(INDEX(Aux_puntos!$A$2:$OJ$901,129,MATCH($B$2&amp;"|xC",Aux_puntos!$1:$1,0))="",NA(),INDEX(Aux_puntos!$A$2:$OJ$901,129,MATCH($B$2&amp;"|xC",Aux_puntos!$1:$1,0))),NA())</f>
        <v>#N/A</v>
      </c>
      <c r="AF133" t="e">
        <f>IFERROR(IF(INDEX(Aux_puntos!$A$2:$OJ$901,129,MATCH($B$2&amp;"|yC",Aux_puntos!$1:$1,0))="",NA(),INDEX(Aux_puntos!$A$2:$OJ$901,129,MATCH($B$2&amp;"|yC",Aux_puntos!$1:$1,0))),NA())</f>
        <v>#N/A</v>
      </c>
      <c r="AG133" t="e">
        <f>IFERROR(IF(INDEX(Aux_puntos!$A$2:$OJ$901,129,MATCH($B$2&amp;"|xI",Aux_puntos!$1:$1,0))="",NA(),INDEX(Aux_puntos!$A$2:$OJ$901,129,MATCH($B$2&amp;"|xI",Aux_puntos!$1:$1,0))),NA())</f>
        <v>#N/A</v>
      </c>
      <c r="AH133" t="e">
        <f>IFERROR(IF(INDEX(Aux_puntos!$A$2:$OJ$901,129,MATCH($B$2&amp;"|yI",Aux_puntos!$1:$1,0))="",NA(),INDEX(Aux_puntos!$A$2:$OJ$901,129,MATCH($B$2&amp;"|yI",Aux_puntos!$1:$1,0))),NA())</f>
        <v>#N/A</v>
      </c>
      <c r="AI133" t="e">
        <f>IFERROR(IF(INDEX(Aux_puntos!$A$2:$OJ$901,129,MATCH($B$2&amp;"|xN",Aux_puntos!$1:$1,0))="",NA(),INDEX(Aux_puntos!$A$2:$OJ$901,129,MATCH($B$2&amp;"|xN",Aux_puntos!$1:$1,0))),NA())</f>
        <v>#N/A</v>
      </c>
      <c r="AJ133" t="e">
        <f>IFERROR(IF(INDEX(Aux_puntos!$A$2:$OJ$901,129,MATCH($B$2&amp;"|yN",Aux_puntos!$1:$1,0))="",NA(),INDEX(Aux_puntos!$A$2:$OJ$901,129,MATCH($B$2&amp;"|yN",Aux_puntos!$1:$1,0))),NA())</f>
        <v>#N/A</v>
      </c>
    </row>
    <row r="134" spans="29:36" x14ac:dyDescent="0.3">
      <c r="AC134" t="e">
        <f>IFERROR(IF(INDEX(Aux_puntos!$A$2:$OJ$901,130,MATCH($B$2&amp;"|xK",Aux_puntos!$1:$1,0))="",NA(),INDEX(Aux_puntos!$A$2:$OJ$901,130,MATCH($B$2&amp;"|xK",Aux_puntos!$1:$1,0))),NA())</f>
        <v>#N/A</v>
      </c>
      <c r="AD134" t="e">
        <f>IFERROR(IF(INDEX(Aux_puntos!$A$2:$OJ$901,130,MATCH($B$2&amp;"|yK",Aux_puntos!$1:$1,0))="",NA(),INDEX(Aux_puntos!$A$2:$OJ$901,130,MATCH($B$2&amp;"|yK",Aux_puntos!$1:$1,0))),NA())</f>
        <v>#N/A</v>
      </c>
      <c r="AE134" t="e">
        <f>IFERROR(IF(INDEX(Aux_puntos!$A$2:$OJ$901,130,MATCH($B$2&amp;"|xC",Aux_puntos!$1:$1,0))="",NA(),INDEX(Aux_puntos!$A$2:$OJ$901,130,MATCH($B$2&amp;"|xC",Aux_puntos!$1:$1,0))),NA())</f>
        <v>#N/A</v>
      </c>
      <c r="AF134" t="e">
        <f>IFERROR(IF(INDEX(Aux_puntos!$A$2:$OJ$901,130,MATCH($B$2&amp;"|yC",Aux_puntos!$1:$1,0))="",NA(),INDEX(Aux_puntos!$A$2:$OJ$901,130,MATCH($B$2&amp;"|yC",Aux_puntos!$1:$1,0))),NA())</f>
        <v>#N/A</v>
      </c>
      <c r="AG134" t="e">
        <f>IFERROR(IF(INDEX(Aux_puntos!$A$2:$OJ$901,130,MATCH($B$2&amp;"|xI",Aux_puntos!$1:$1,0))="",NA(),INDEX(Aux_puntos!$A$2:$OJ$901,130,MATCH($B$2&amp;"|xI",Aux_puntos!$1:$1,0))),NA())</f>
        <v>#N/A</v>
      </c>
      <c r="AH134" t="e">
        <f>IFERROR(IF(INDEX(Aux_puntos!$A$2:$OJ$901,130,MATCH($B$2&amp;"|yI",Aux_puntos!$1:$1,0))="",NA(),INDEX(Aux_puntos!$A$2:$OJ$901,130,MATCH($B$2&amp;"|yI",Aux_puntos!$1:$1,0))),NA())</f>
        <v>#N/A</v>
      </c>
      <c r="AI134" t="e">
        <f>IFERROR(IF(INDEX(Aux_puntos!$A$2:$OJ$901,130,MATCH($B$2&amp;"|xN",Aux_puntos!$1:$1,0))="",NA(),INDEX(Aux_puntos!$A$2:$OJ$901,130,MATCH($B$2&amp;"|xN",Aux_puntos!$1:$1,0))),NA())</f>
        <v>#N/A</v>
      </c>
      <c r="AJ134" t="e">
        <f>IFERROR(IF(INDEX(Aux_puntos!$A$2:$OJ$901,130,MATCH($B$2&amp;"|yN",Aux_puntos!$1:$1,0))="",NA(),INDEX(Aux_puntos!$A$2:$OJ$901,130,MATCH($B$2&amp;"|yN",Aux_puntos!$1:$1,0))),NA())</f>
        <v>#N/A</v>
      </c>
    </row>
    <row r="135" spans="29:36" x14ac:dyDescent="0.3">
      <c r="AC135" t="e">
        <f>IFERROR(IF(INDEX(Aux_puntos!$A$2:$OJ$901,131,MATCH($B$2&amp;"|xK",Aux_puntos!$1:$1,0))="",NA(),INDEX(Aux_puntos!$A$2:$OJ$901,131,MATCH($B$2&amp;"|xK",Aux_puntos!$1:$1,0))),NA())</f>
        <v>#N/A</v>
      </c>
      <c r="AD135" t="e">
        <f>IFERROR(IF(INDEX(Aux_puntos!$A$2:$OJ$901,131,MATCH($B$2&amp;"|yK",Aux_puntos!$1:$1,0))="",NA(),INDEX(Aux_puntos!$A$2:$OJ$901,131,MATCH($B$2&amp;"|yK",Aux_puntos!$1:$1,0))),NA())</f>
        <v>#N/A</v>
      </c>
      <c r="AE135" t="e">
        <f>IFERROR(IF(INDEX(Aux_puntos!$A$2:$OJ$901,131,MATCH($B$2&amp;"|xC",Aux_puntos!$1:$1,0))="",NA(),INDEX(Aux_puntos!$A$2:$OJ$901,131,MATCH($B$2&amp;"|xC",Aux_puntos!$1:$1,0))),NA())</f>
        <v>#N/A</v>
      </c>
      <c r="AF135" t="e">
        <f>IFERROR(IF(INDEX(Aux_puntos!$A$2:$OJ$901,131,MATCH($B$2&amp;"|yC",Aux_puntos!$1:$1,0))="",NA(),INDEX(Aux_puntos!$A$2:$OJ$901,131,MATCH($B$2&amp;"|yC",Aux_puntos!$1:$1,0))),NA())</f>
        <v>#N/A</v>
      </c>
      <c r="AG135" t="e">
        <f>IFERROR(IF(INDEX(Aux_puntos!$A$2:$OJ$901,131,MATCH($B$2&amp;"|xI",Aux_puntos!$1:$1,0))="",NA(),INDEX(Aux_puntos!$A$2:$OJ$901,131,MATCH($B$2&amp;"|xI",Aux_puntos!$1:$1,0))),NA())</f>
        <v>#N/A</v>
      </c>
      <c r="AH135" t="e">
        <f>IFERROR(IF(INDEX(Aux_puntos!$A$2:$OJ$901,131,MATCH($B$2&amp;"|yI",Aux_puntos!$1:$1,0))="",NA(),INDEX(Aux_puntos!$A$2:$OJ$901,131,MATCH($B$2&amp;"|yI",Aux_puntos!$1:$1,0))),NA())</f>
        <v>#N/A</v>
      </c>
      <c r="AI135" t="e">
        <f>IFERROR(IF(INDEX(Aux_puntos!$A$2:$OJ$901,131,MATCH($B$2&amp;"|xN",Aux_puntos!$1:$1,0))="",NA(),INDEX(Aux_puntos!$A$2:$OJ$901,131,MATCH($B$2&amp;"|xN",Aux_puntos!$1:$1,0))),NA())</f>
        <v>#N/A</v>
      </c>
      <c r="AJ135" t="e">
        <f>IFERROR(IF(INDEX(Aux_puntos!$A$2:$OJ$901,131,MATCH($B$2&amp;"|yN",Aux_puntos!$1:$1,0))="",NA(),INDEX(Aux_puntos!$A$2:$OJ$901,131,MATCH($B$2&amp;"|yN",Aux_puntos!$1:$1,0))),NA())</f>
        <v>#N/A</v>
      </c>
    </row>
    <row r="136" spans="29:36" x14ac:dyDescent="0.3">
      <c r="AC136" t="e">
        <f>IFERROR(IF(INDEX(Aux_puntos!$A$2:$OJ$901,132,MATCH($B$2&amp;"|xK",Aux_puntos!$1:$1,0))="",NA(),INDEX(Aux_puntos!$A$2:$OJ$901,132,MATCH($B$2&amp;"|xK",Aux_puntos!$1:$1,0))),NA())</f>
        <v>#N/A</v>
      </c>
      <c r="AD136" t="e">
        <f>IFERROR(IF(INDEX(Aux_puntos!$A$2:$OJ$901,132,MATCH($B$2&amp;"|yK",Aux_puntos!$1:$1,0))="",NA(),INDEX(Aux_puntos!$A$2:$OJ$901,132,MATCH($B$2&amp;"|yK",Aux_puntos!$1:$1,0))),NA())</f>
        <v>#N/A</v>
      </c>
      <c r="AE136" t="e">
        <f>IFERROR(IF(INDEX(Aux_puntos!$A$2:$OJ$901,132,MATCH($B$2&amp;"|xC",Aux_puntos!$1:$1,0))="",NA(),INDEX(Aux_puntos!$A$2:$OJ$901,132,MATCH($B$2&amp;"|xC",Aux_puntos!$1:$1,0))),NA())</f>
        <v>#N/A</v>
      </c>
      <c r="AF136" t="e">
        <f>IFERROR(IF(INDEX(Aux_puntos!$A$2:$OJ$901,132,MATCH($B$2&amp;"|yC",Aux_puntos!$1:$1,0))="",NA(),INDEX(Aux_puntos!$A$2:$OJ$901,132,MATCH($B$2&amp;"|yC",Aux_puntos!$1:$1,0))),NA())</f>
        <v>#N/A</v>
      </c>
      <c r="AG136" t="e">
        <f>IFERROR(IF(INDEX(Aux_puntos!$A$2:$OJ$901,132,MATCH($B$2&amp;"|xI",Aux_puntos!$1:$1,0))="",NA(),INDEX(Aux_puntos!$A$2:$OJ$901,132,MATCH($B$2&amp;"|xI",Aux_puntos!$1:$1,0))),NA())</f>
        <v>#N/A</v>
      </c>
      <c r="AH136" t="e">
        <f>IFERROR(IF(INDEX(Aux_puntos!$A$2:$OJ$901,132,MATCH($B$2&amp;"|yI",Aux_puntos!$1:$1,0))="",NA(),INDEX(Aux_puntos!$A$2:$OJ$901,132,MATCH($B$2&amp;"|yI",Aux_puntos!$1:$1,0))),NA())</f>
        <v>#N/A</v>
      </c>
      <c r="AI136" t="e">
        <f>IFERROR(IF(INDEX(Aux_puntos!$A$2:$OJ$901,132,MATCH($B$2&amp;"|xN",Aux_puntos!$1:$1,0))="",NA(),INDEX(Aux_puntos!$A$2:$OJ$901,132,MATCH($B$2&amp;"|xN",Aux_puntos!$1:$1,0))),NA())</f>
        <v>#N/A</v>
      </c>
      <c r="AJ136" t="e">
        <f>IFERROR(IF(INDEX(Aux_puntos!$A$2:$OJ$901,132,MATCH($B$2&amp;"|yN",Aux_puntos!$1:$1,0))="",NA(),INDEX(Aux_puntos!$A$2:$OJ$901,132,MATCH($B$2&amp;"|yN",Aux_puntos!$1:$1,0))),NA())</f>
        <v>#N/A</v>
      </c>
    </row>
    <row r="137" spans="29:36" x14ac:dyDescent="0.3">
      <c r="AC137" t="e">
        <f>IFERROR(IF(INDEX(Aux_puntos!$A$2:$OJ$901,133,MATCH($B$2&amp;"|xK",Aux_puntos!$1:$1,0))="",NA(),INDEX(Aux_puntos!$A$2:$OJ$901,133,MATCH($B$2&amp;"|xK",Aux_puntos!$1:$1,0))),NA())</f>
        <v>#N/A</v>
      </c>
      <c r="AD137" t="e">
        <f>IFERROR(IF(INDEX(Aux_puntos!$A$2:$OJ$901,133,MATCH($B$2&amp;"|yK",Aux_puntos!$1:$1,0))="",NA(),INDEX(Aux_puntos!$A$2:$OJ$901,133,MATCH($B$2&amp;"|yK",Aux_puntos!$1:$1,0))),NA())</f>
        <v>#N/A</v>
      </c>
      <c r="AE137" t="e">
        <f>IFERROR(IF(INDEX(Aux_puntos!$A$2:$OJ$901,133,MATCH($B$2&amp;"|xC",Aux_puntos!$1:$1,0))="",NA(),INDEX(Aux_puntos!$A$2:$OJ$901,133,MATCH($B$2&amp;"|xC",Aux_puntos!$1:$1,0))),NA())</f>
        <v>#N/A</v>
      </c>
      <c r="AF137" t="e">
        <f>IFERROR(IF(INDEX(Aux_puntos!$A$2:$OJ$901,133,MATCH($B$2&amp;"|yC",Aux_puntos!$1:$1,0))="",NA(),INDEX(Aux_puntos!$A$2:$OJ$901,133,MATCH($B$2&amp;"|yC",Aux_puntos!$1:$1,0))),NA())</f>
        <v>#N/A</v>
      </c>
      <c r="AG137" t="e">
        <f>IFERROR(IF(INDEX(Aux_puntos!$A$2:$OJ$901,133,MATCH($B$2&amp;"|xI",Aux_puntos!$1:$1,0))="",NA(),INDEX(Aux_puntos!$A$2:$OJ$901,133,MATCH($B$2&amp;"|xI",Aux_puntos!$1:$1,0))),NA())</f>
        <v>#N/A</v>
      </c>
      <c r="AH137" t="e">
        <f>IFERROR(IF(INDEX(Aux_puntos!$A$2:$OJ$901,133,MATCH($B$2&amp;"|yI",Aux_puntos!$1:$1,0))="",NA(),INDEX(Aux_puntos!$A$2:$OJ$901,133,MATCH($B$2&amp;"|yI",Aux_puntos!$1:$1,0))),NA())</f>
        <v>#N/A</v>
      </c>
      <c r="AI137" t="e">
        <f>IFERROR(IF(INDEX(Aux_puntos!$A$2:$OJ$901,133,MATCH($B$2&amp;"|xN",Aux_puntos!$1:$1,0))="",NA(),INDEX(Aux_puntos!$A$2:$OJ$901,133,MATCH($B$2&amp;"|xN",Aux_puntos!$1:$1,0))),NA())</f>
        <v>#N/A</v>
      </c>
      <c r="AJ137" t="e">
        <f>IFERROR(IF(INDEX(Aux_puntos!$A$2:$OJ$901,133,MATCH($B$2&amp;"|yN",Aux_puntos!$1:$1,0))="",NA(),INDEX(Aux_puntos!$A$2:$OJ$901,133,MATCH($B$2&amp;"|yN",Aux_puntos!$1:$1,0))),NA())</f>
        <v>#N/A</v>
      </c>
    </row>
    <row r="138" spans="29:36" x14ac:dyDescent="0.3">
      <c r="AC138" t="e">
        <f>IFERROR(IF(INDEX(Aux_puntos!$A$2:$OJ$901,134,MATCH($B$2&amp;"|xK",Aux_puntos!$1:$1,0))="",NA(),INDEX(Aux_puntos!$A$2:$OJ$901,134,MATCH($B$2&amp;"|xK",Aux_puntos!$1:$1,0))),NA())</f>
        <v>#N/A</v>
      </c>
      <c r="AD138" t="e">
        <f>IFERROR(IF(INDEX(Aux_puntos!$A$2:$OJ$901,134,MATCH($B$2&amp;"|yK",Aux_puntos!$1:$1,0))="",NA(),INDEX(Aux_puntos!$A$2:$OJ$901,134,MATCH($B$2&amp;"|yK",Aux_puntos!$1:$1,0))),NA())</f>
        <v>#N/A</v>
      </c>
      <c r="AE138" t="e">
        <f>IFERROR(IF(INDEX(Aux_puntos!$A$2:$OJ$901,134,MATCH($B$2&amp;"|xC",Aux_puntos!$1:$1,0))="",NA(),INDEX(Aux_puntos!$A$2:$OJ$901,134,MATCH($B$2&amp;"|xC",Aux_puntos!$1:$1,0))),NA())</f>
        <v>#N/A</v>
      </c>
      <c r="AF138" t="e">
        <f>IFERROR(IF(INDEX(Aux_puntos!$A$2:$OJ$901,134,MATCH($B$2&amp;"|yC",Aux_puntos!$1:$1,0))="",NA(),INDEX(Aux_puntos!$A$2:$OJ$901,134,MATCH($B$2&amp;"|yC",Aux_puntos!$1:$1,0))),NA())</f>
        <v>#N/A</v>
      </c>
      <c r="AG138" t="e">
        <f>IFERROR(IF(INDEX(Aux_puntos!$A$2:$OJ$901,134,MATCH($B$2&amp;"|xI",Aux_puntos!$1:$1,0))="",NA(),INDEX(Aux_puntos!$A$2:$OJ$901,134,MATCH($B$2&amp;"|xI",Aux_puntos!$1:$1,0))),NA())</f>
        <v>#N/A</v>
      </c>
      <c r="AH138" t="e">
        <f>IFERROR(IF(INDEX(Aux_puntos!$A$2:$OJ$901,134,MATCH($B$2&amp;"|yI",Aux_puntos!$1:$1,0))="",NA(),INDEX(Aux_puntos!$A$2:$OJ$901,134,MATCH($B$2&amp;"|yI",Aux_puntos!$1:$1,0))),NA())</f>
        <v>#N/A</v>
      </c>
      <c r="AI138" t="e">
        <f>IFERROR(IF(INDEX(Aux_puntos!$A$2:$OJ$901,134,MATCH($B$2&amp;"|xN",Aux_puntos!$1:$1,0))="",NA(),INDEX(Aux_puntos!$A$2:$OJ$901,134,MATCH($B$2&amp;"|xN",Aux_puntos!$1:$1,0))),NA())</f>
        <v>#N/A</v>
      </c>
      <c r="AJ138" t="e">
        <f>IFERROR(IF(INDEX(Aux_puntos!$A$2:$OJ$901,134,MATCH($B$2&amp;"|yN",Aux_puntos!$1:$1,0))="",NA(),INDEX(Aux_puntos!$A$2:$OJ$901,134,MATCH($B$2&amp;"|yN",Aux_puntos!$1:$1,0))),NA())</f>
        <v>#N/A</v>
      </c>
    </row>
    <row r="139" spans="29:36" x14ac:dyDescent="0.3">
      <c r="AC139" t="e">
        <f>IFERROR(IF(INDEX(Aux_puntos!$A$2:$OJ$901,135,MATCH($B$2&amp;"|xK",Aux_puntos!$1:$1,0))="",NA(),INDEX(Aux_puntos!$A$2:$OJ$901,135,MATCH($B$2&amp;"|xK",Aux_puntos!$1:$1,0))),NA())</f>
        <v>#N/A</v>
      </c>
      <c r="AD139" t="e">
        <f>IFERROR(IF(INDEX(Aux_puntos!$A$2:$OJ$901,135,MATCH($B$2&amp;"|yK",Aux_puntos!$1:$1,0))="",NA(),INDEX(Aux_puntos!$A$2:$OJ$901,135,MATCH($B$2&amp;"|yK",Aux_puntos!$1:$1,0))),NA())</f>
        <v>#N/A</v>
      </c>
      <c r="AE139" t="e">
        <f>IFERROR(IF(INDEX(Aux_puntos!$A$2:$OJ$901,135,MATCH($B$2&amp;"|xC",Aux_puntos!$1:$1,0))="",NA(),INDEX(Aux_puntos!$A$2:$OJ$901,135,MATCH($B$2&amp;"|xC",Aux_puntos!$1:$1,0))),NA())</f>
        <v>#N/A</v>
      </c>
      <c r="AF139" t="e">
        <f>IFERROR(IF(INDEX(Aux_puntos!$A$2:$OJ$901,135,MATCH($B$2&amp;"|yC",Aux_puntos!$1:$1,0))="",NA(),INDEX(Aux_puntos!$A$2:$OJ$901,135,MATCH($B$2&amp;"|yC",Aux_puntos!$1:$1,0))),NA())</f>
        <v>#N/A</v>
      </c>
      <c r="AG139" t="e">
        <f>IFERROR(IF(INDEX(Aux_puntos!$A$2:$OJ$901,135,MATCH($B$2&amp;"|xI",Aux_puntos!$1:$1,0))="",NA(),INDEX(Aux_puntos!$A$2:$OJ$901,135,MATCH($B$2&amp;"|xI",Aux_puntos!$1:$1,0))),NA())</f>
        <v>#N/A</v>
      </c>
      <c r="AH139" t="e">
        <f>IFERROR(IF(INDEX(Aux_puntos!$A$2:$OJ$901,135,MATCH($B$2&amp;"|yI",Aux_puntos!$1:$1,0))="",NA(),INDEX(Aux_puntos!$A$2:$OJ$901,135,MATCH($B$2&amp;"|yI",Aux_puntos!$1:$1,0))),NA())</f>
        <v>#N/A</v>
      </c>
      <c r="AI139" t="e">
        <f>IFERROR(IF(INDEX(Aux_puntos!$A$2:$OJ$901,135,MATCH($B$2&amp;"|xN",Aux_puntos!$1:$1,0))="",NA(),INDEX(Aux_puntos!$A$2:$OJ$901,135,MATCH($B$2&amp;"|xN",Aux_puntos!$1:$1,0))),NA())</f>
        <v>#N/A</v>
      </c>
      <c r="AJ139" t="e">
        <f>IFERROR(IF(INDEX(Aux_puntos!$A$2:$OJ$901,135,MATCH($B$2&amp;"|yN",Aux_puntos!$1:$1,0))="",NA(),INDEX(Aux_puntos!$A$2:$OJ$901,135,MATCH($B$2&amp;"|yN",Aux_puntos!$1:$1,0))),NA())</f>
        <v>#N/A</v>
      </c>
    </row>
    <row r="140" spans="29:36" x14ac:dyDescent="0.3">
      <c r="AC140" t="e">
        <f>IFERROR(IF(INDEX(Aux_puntos!$A$2:$OJ$901,136,MATCH($B$2&amp;"|xK",Aux_puntos!$1:$1,0))="",NA(),INDEX(Aux_puntos!$A$2:$OJ$901,136,MATCH($B$2&amp;"|xK",Aux_puntos!$1:$1,0))),NA())</f>
        <v>#N/A</v>
      </c>
      <c r="AD140" t="e">
        <f>IFERROR(IF(INDEX(Aux_puntos!$A$2:$OJ$901,136,MATCH($B$2&amp;"|yK",Aux_puntos!$1:$1,0))="",NA(),INDEX(Aux_puntos!$A$2:$OJ$901,136,MATCH($B$2&amp;"|yK",Aux_puntos!$1:$1,0))),NA())</f>
        <v>#N/A</v>
      </c>
      <c r="AE140" t="e">
        <f>IFERROR(IF(INDEX(Aux_puntos!$A$2:$OJ$901,136,MATCH($B$2&amp;"|xC",Aux_puntos!$1:$1,0))="",NA(),INDEX(Aux_puntos!$A$2:$OJ$901,136,MATCH($B$2&amp;"|xC",Aux_puntos!$1:$1,0))),NA())</f>
        <v>#N/A</v>
      </c>
      <c r="AF140" t="e">
        <f>IFERROR(IF(INDEX(Aux_puntos!$A$2:$OJ$901,136,MATCH($B$2&amp;"|yC",Aux_puntos!$1:$1,0))="",NA(),INDEX(Aux_puntos!$A$2:$OJ$901,136,MATCH($B$2&amp;"|yC",Aux_puntos!$1:$1,0))),NA())</f>
        <v>#N/A</v>
      </c>
      <c r="AG140" t="e">
        <f>IFERROR(IF(INDEX(Aux_puntos!$A$2:$OJ$901,136,MATCH($B$2&amp;"|xI",Aux_puntos!$1:$1,0))="",NA(),INDEX(Aux_puntos!$A$2:$OJ$901,136,MATCH($B$2&amp;"|xI",Aux_puntos!$1:$1,0))),NA())</f>
        <v>#N/A</v>
      </c>
      <c r="AH140" t="e">
        <f>IFERROR(IF(INDEX(Aux_puntos!$A$2:$OJ$901,136,MATCH($B$2&amp;"|yI",Aux_puntos!$1:$1,0))="",NA(),INDEX(Aux_puntos!$A$2:$OJ$901,136,MATCH($B$2&amp;"|yI",Aux_puntos!$1:$1,0))),NA())</f>
        <v>#N/A</v>
      </c>
      <c r="AI140" t="e">
        <f>IFERROR(IF(INDEX(Aux_puntos!$A$2:$OJ$901,136,MATCH($B$2&amp;"|xN",Aux_puntos!$1:$1,0))="",NA(),INDEX(Aux_puntos!$A$2:$OJ$901,136,MATCH($B$2&amp;"|xN",Aux_puntos!$1:$1,0))),NA())</f>
        <v>#N/A</v>
      </c>
      <c r="AJ140" t="e">
        <f>IFERROR(IF(INDEX(Aux_puntos!$A$2:$OJ$901,136,MATCH($B$2&amp;"|yN",Aux_puntos!$1:$1,0))="",NA(),INDEX(Aux_puntos!$A$2:$OJ$901,136,MATCH($B$2&amp;"|yN",Aux_puntos!$1:$1,0))),NA())</f>
        <v>#N/A</v>
      </c>
    </row>
    <row r="141" spans="29:36" x14ac:dyDescent="0.3">
      <c r="AC141" t="e">
        <f>IFERROR(IF(INDEX(Aux_puntos!$A$2:$OJ$901,137,MATCH($B$2&amp;"|xK",Aux_puntos!$1:$1,0))="",NA(),INDEX(Aux_puntos!$A$2:$OJ$901,137,MATCH($B$2&amp;"|xK",Aux_puntos!$1:$1,0))),NA())</f>
        <v>#N/A</v>
      </c>
      <c r="AD141" t="e">
        <f>IFERROR(IF(INDEX(Aux_puntos!$A$2:$OJ$901,137,MATCH($B$2&amp;"|yK",Aux_puntos!$1:$1,0))="",NA(),INDEX(Aux_puntos!$A$2:$OJ$901,137,MATCH($B$2&amp;"|yK",Aux_puntos!$1:$1,0))),NA())</f>
        <v>#N/A</v>
      </c>
      <c r="AE141" t="e">
        <f>IFERROR(IF(INDEX(Aux_puntos!$A$2:$OJ$901,137,MATCH($B$2&amp;"|xC",Aux_puntos!$1:$1,0))="",NA(),INDEX(Aux_puntos!$A$2:$OJ$901,137,MATCH($B$2&amp;"|xC",Aux_puntos!$1:$1,0))),NA())</f>
        <v>#N/A</v>
      </c>
      <c r="AF141" t="e">
        <f>IFERROR(IF(INDEX(Aux_puntos!$A$2:$OJ$901,137,MATCH($B$2&amp;"|yC",Aux_puntos!$1:$1,0))="",NA(),INDEX(Aux_puntos!$A$2:$OJ$901,137,MATCH($B$2&amp;"|yC",Aux_puntos!$1:$1,0))),NA())</f>
        <v>#N/A</v>
      </c>
      <c r="AG141" t="e">
        <f>IFERROR(IF(INDEX(Aux_puntos!$A$2:$OJ$901,137,MATCH($B$2&amp;"|xI",Aux_puntos!$1:$1,0))="",NA(),INDEX(Aux_puntos!$A$2:$OJ$901,137,MATCH($B$2&amp;"|xI",Aux_puntos!$1:$1,0))),NA())</f>
        <v>#N/A</v>
      </c>
      <c r="AH141" t="e">
        <f>IFERROR(IF(INDEX(Aux_puntos!$A$2:$OJ$901,137,MATCH($B$2&amp;"|yI",Aux_puntos!$1:$1,0))="",NA(),INDEX(Aux_puntos!$A$2:$OJ$901,137,MATCH($B$2&amp;"|yI",Aux_puntos!$1:$1,0))),NA())</f>
        <v>#N/A</v>
      </c>
      <c r="AI141" t="e">
        <f>IFERROR(IF(INDEX(Aux_puntos!$A$2:$OJ$901,137,MATCH($B$2&amp;"|xN",Aux_puntos!$1:$1,0))="",NA(),INDEX(Aux_puntos!$A$2:$OJ$901,137,MATCH($B$2&amp;"|xN",Aux_puntos!$1:$1,0))),NA())</f>
        <v>#N/A</v>
      </c>
      <c r="AJ141" t="e">
        <f>IFERROR(IF(INDEX(Aux_puntos!$A$2:$OJ$901,137,MATCH($B$2&amp;"|yN",Aux_puntos!$1:$1,0))="",NA(),INDEX(Aux_puntos!$A$2:$OJ$901,137,MATCH($B$2&amp;"|yN",Aux_puntos!$1:$1,0))),NA())</f>
        <v>#N/A</v>
      </c>
    </row>
    <row r="142" spans="29:36" x14ac:dyDescent="0.3">
      <c r="AC142" t="e">
        <f>IFERROR(IF(INDEX(Aux_puntos!$A$2:$OJ$901,138,MATCH($B$2&amp;"|xK",Aux_puntos!$1:$1,0))="",NA(),INDEX(Aux_puntos!$A$2:$OJ$901,138,MATCH($B$2&amp;"|xK",Aux_puntos!$1:$1,0))),NA())</f>
        <v>#N/A</v>
      </c>
      <c r="AD142" t="e">
        <f>IFERROR(IF(INDEX(Aux_puntos!$A$2:$OJ$901,138,MATCH($B$2&amp;"|yK",Aux_puntos!$1:$1,0))="",NA(),INDEX(Aux_puntos!$A$2:$OJ$901,138,MATCH($B$2&amp;"|yK",Aux_puntos!$1:$1,0))),NA())</f>
        <v>#N/A</v>
      </c>
      <c r="AE142" t="e">
        <f>IFERROR(IF(INDEX(Aux_puntos!$A$2:$OJ$901,138,MATCH($B$2&amp;"|xC",Aux_puntos!$1:$1,0))="",NA(),INDEX(Aux_puntos!$A$2:$OJ$901,138,MATCH($B$2&amp;"|xC",Aux_puntos!$1:$1,0))),NA())</f>
        <v>#N/A</v>
      </c>
      <c r="AF142" t="e">
        <f>IFERROR(IF(INDEX(Aux_puntos!$A$2:$OJ$901,138,MATCH($B$2&amp;"|yC",Aux_puntos!$1:$1,0))="",NA(),INDEX(Aux_puntos!$A$2:$OJ$901,138,MATCH($B$2&amp;"|yC",Aux_puntos!$1:$1,0))),NA())</f>
        <v>#N/A</v>
      </c>
      <c r="AG142" t="e">
        <f>IFERROR(IF(INDEX(Aux_puntos!$A$2:$OJ$901,138,MATCH($B$2&amp;"|xI",Aux_puntos!$1:$1,0))="",NA(),INDEX(Aux_puntos!$A$2:$OJ$901,138,MATCH($B$2&amp;"|xI",Aux_puntos!$1:$1,0))),NA())</f>
        <v>#N/A</v>
      </c>
      <c r="AH142" t="e">
        <f>IFERROR(IF(INDEX(Aux_puntos!$A$2:$OJ$901,138,MATCH($B$2&amp;"|yI",Aux_puntos!$1:$1,0))="",NA(),INDEX(Aux_puntos!$A$2:$OJ$901,138,MATCH($B$2&amp;"|yI",Aux_puntos!$1:$1,0))),NA())</f>
        <v>#N/A</v>
      </c>
      <c r="AI142" t="e">
        <f>IFERROR(IF(INDEX(Aux_puntos!$A$2:$OJ$901,138,MATCH($B$2&amp;"|xN",Aux_puntos!$1:$1,0))="",NA(),INDEX(Aux_puntos!$A$2:$OJ$901,138,MATCH($B$2&amp;"|xN",Aux_puntos!$1:$1,0))),NA())</f>
        <v>#N/A</v>
      </c>
      <c r="AJ142" t="e">
        <f>IFERROR(IF(INDEX(Aux_puntos!$A$2:$OJ$901,138,MATCH($B$2&amp;"|yN",Aux_puntos!$1:$1,0))="",NA(),INDEX(Aux_puntos!$A$2:$OJ$901,138,MATCH($B$2&amp;"|yN",Aux_puntos!$1:$1,0))),NA())</f>
        <v>#N/A</v>
      </c>
    </row>
    <row r="143" spans="29:36" x14ac:dyDescent="0.3">
      <c r="AC143" t="e">
        <f>IFERROR(IF(INDEX(Aux_puntos!$A$2:$OJ$901,139,MATCH($B$2&amp;"|xK",Aux_puntos!$1:$1,0))="",NA(),INDEX(Aux_puntos!$A$2:$OJ$901,139,MATCH($B$2&amp;"|xK",Aux_puntos!$1:$1,0))),NA())</f>
        <v>#N/A</v>
      </c>
      <c r="AD143" t="e">
        <f>IFERROR(IF(INDEX(Aux_puntos!$A$2:$OJ$901,139,MATCH($B$2&amp;"|yK",Aux_puntos!$1:$1,0))="",NA(),INDEX(Aux_puntos!$A$2:$OJ$901,139,MATCH($B$2&amp;"|yK",Aux_puntos!$1:$1,0))),NA())</f>
        <v>#N/A</v>
      </c>
      <c r="AE143" t="e">
        <f>IFERROR(IF(INDEX(Aux_puntos!$A$2:$OJ$901,139,MATCH($B$2&amp;"|xC",Aux_puntos!$1:$1,0))="",NA(),INDEX(Aux_puntos!$A$2:$OJ$901,139,MATCH($B$2&amp;"|xC",Aux_puntos!$1:$1,0))),NA())</f>
        <v>#N/A</v>
      </c>
      <c r="AF143" t="e">
        <f>IFERROR(IF(INDEX(Aux_puntos!$A$2:$OJ$901,139,MATCH($B$2&amp;"|yC",Aux_puntos!$1:$1,0))="",NA(),INDEX(Aux_puntos!$A$2:$OJ$901,139,MATCH($B$2&amp;"|yC",Aux_puntos!$1:$1,0))),NA())</f>
        <v>#N/A</v>
      </c>
      <c r="AG143" t="e">
        <f>IFERROR(IF(INDEX(Aux_puntos!$A$2:$OJ$901,139,MATCH($B$2&amp;"|xI",Aux_puntos!$1:$1,0))="",NA(),INDEX(Aux_puntos!$A$2:$OJ$901,139,MATCH($B$2&amp;"|xI",Aux_puntos!$1:$1,0))),NA())</f>
        <v>#N/A</v>
      </c>
      <c r="AH143" t="e">
        <f>IFERROR(IF(INDEX(Aux_puntos!$A$2:$OJ$901,139,MATCH($B$2&amp;"|yI",Aux_puntos!$1:$1,0))="",NA(),INDEX(Aux_puntos!$A$2:$OJ$901,139,MATCH($B$2&amp;"|yI",Aux_puntos!$1:$1,0))),NA())</f>
        <v>#N/A</v>
      </c>
      <c r="AI143" t="e">
        <f>IFERROR(IF(INDEX(Aux_puntos!$A$2:$OJ$901,139,MATCH($B$2&amp;"|xN",Aux_puntos!$1:$1,0))="",NA(),INDEX(Aux_puntos!$A$2:$OJ$901,139,MATCH($B$2&amp;"|xN",Aux_puntos!$1:$1,0))),NA())</f>
        <v>#N/A</v>
      </c>
      <c r="AJ143" t="e">
        <f>IFERROR(IF(INDEX(Aux_puntos!$A$2:$OJ$901,139,MATCH($B$2&amp;"|yN",Aux_puntos!$1:$1,0))="",NA(),INDEX(Aux_puntos!$A$2:$OJ$901,139,MATCH($B$2&amp;"|yN",Aux_puntos!$1:$1,0))),NA())</f>
        <v>#N/A</v>
      </c>
    </row>
    <row r="144" spans="29:36" x14ac:dyDescent="0.3">
      <c r="AC144" t="e">
        <f>IFERROR(IF(INDEX(Aux_puntos!$A$2:$OJ$901,140,MATCH($B$2&amp;"|xK",Aux_puntos!$1:$1,0))="",NA(),INDEX(Aux_puntos!$A$2:$OJ$901,140,MATCH($B$2&amp;"|xK",Aux_puntos!$1:$1,0))),NA())</f>
        <v>#N/A</v>
      </c>
      <c r="AD144" t="e">
        <f>IFERROR(IF(INDEX(Aux_puntos!$A$2:$OJ$901,140,MATCH($B$2&amp;"|yK",Aux_puntos!$1:$1,0))="",NA(),INDEX(Aux_puntos!$A$2:$OJ$901,140,MATCH($B$2&amp;"|yK",Aux_puntos!$1:$1,0))),NA())</f>
        <v>#N/A</v>
      </c>
      <c r="AE144" t="e">
        <f>IFERROR(IF(INDEX(Aux_puntos!$A$2:$OJ$901,140,MATCH($B$2&amp;"|xC",Aux_puntos!$1:$1,0))="",NA(),INDEX(Aux_puntos!$A$2:$OJ$901,140,MATCH($B$2&amp;"|xC",Aux_puntos!$1:$1,0))),NA())</f>
        <v>#N/A</v>
      </c>
      <c r="AF144" t="e">
        <f>IFERROR(IF(INDEX(Aux_puntos!$A$2:$OJ$901,140,MATCH($B$2&amp;"|yC",Aux_puntos!$1:$1,0))="",NA(),INDEX(Aux_puntos!$A$2:$OJ$901,140,MATCH($B$2&amp;"|yC",Aux_puntos!$1:$1,0))),NA())</f>
        <v>#N/A</v>
      </c>
      <c r="AG144" t="e">
        <f>IFERROR(IF(INDEX(Aux_puntos!$A$2:$OJ$901,140,MATCH($B$2&amp;"|xI",Aux_puntos!$1:$1,0))="",NA(),INDEX(Aux_puntos!$A$2:$OJ$901,140,MATCH($B$2&amp;"|xI",Aux_puntos!$1:$1,0))),NA())</f>
        <v>#N/A</v>
      </c>
      <c r="AH144" t="e">
        <f>IFERROR(IF(INDEX(Aux_puntos!$A$2:$OJ$901,140,MATCH($B$2&amp;"|yI",Aux_puntos!$1:$1,0))="",NA(),INDEX(Aux_puntos!$A$2:$OJ$901,140,MATCH($B$2&amp;"|yI",Aux_puntos!$1:$1,0))),NA())</f>
        <v>#N/A</v>
      </c>
      <c r="AI144" t="e">
        <f>IFERROR(IF(INDEX(Aux_puntos!$A$2:$OJ$901,140,MATCH($B$2&amp;"|xN",Aux_puntos!$1:$1,0))="",NA(),INDEX(Aux_puntos!$A$2:$OJ$901,140,MATCH($B$2&amp;"|xN",Aux_puntos!$1:$1,0))),NA())</f>
        <v>#N/A</v>
      </c>
      <c r="AJ144" t="e">
        <f>IFERROR(IF(INDEX(Aux_puntos!$A$2:$OJ$901,140,MATCH($B$2&amp;"|yN",Aux_puntos!$1:$1,0))="",NA(),INDEX(Aux_puntos!$A$2:$OJ$901,140,MATCH($B$2&amp;"|yN",Aux_puntos!$1:$1,0))),NA())</f>
        <v>#N/A</v>
      </c>
    </row>
    <row r="145" spans="29:36" x14ac:dyDescent="0.3">
      <c r="AC145" t="e">
        <f>IFERROR(IF(INDEX(Aux_puntos!$A$2:$OJ$901,141,MATCH($B$2&amp;"|xK",Aux_puntos!$1:$1,0))="",NA(),INDEX(Aux_puntos!$A$2:$OJ$901,141,MATCH($B$2&amp;"|xK",Aux_puntos!$1:$1,0))),NA())</f>
        <v>#N/A</v>
      </c>
      <c r="AD145" t="e">
        <f>IFERROR(IF(INDEX(Aux_puntos!$A$2:$OJ$901,141,MATCH($B$2&amp;"|yK",Aux_puntos!$1:$1,0))="",NA(),INDEX(Aux_puntos!$A$2:$OJ$901,141,MATCH($B$2&amp;"|yK",Aux_puntos!$1:$1,0))),NA())</f>
        <v>#N/A</v>
      </c>
      <c r="AE145" t="e">
        <f>IFERROR(IF(INDEX(Aux_puntos!$A$2:$OJ$901,141,MATCH($B$2&amp;"|xC",Aux_puntos!$1:$1,0))="",NA(),INDEX(Aux_puntos!$A$2:$OJ$901,141,MATCH($B$2&amp;"|xC",Aux_puntos!$1:$1,0))),NA())</f>
        <v>#N/A</v>
      </c>
      <c r="AF145" t="e">
        <f>IFERROR(IF(INDEX(Aux_puntos!$A$2:$OJ$901,141,MATCH($B$2&amp;"|yC",Aux_puntos!$1:$1,0))="",NA(),INDEX(Aux_puntos!$A$2:$OJ$901,141,MATCH($B$2&amp;"|yC",Aux_puntos!$1:$1,0))),NA())</f>
        <v>#N/A</v>
      </c>
      <c r="AG145" t="e">
        <f>IFERROR(IF(INDEX(Aux_puntos!$A$2:$OJ$901,141,MATCH($B$2&amp;"|xI",Aux_puntos!$1:$1,0))="",NA(),INDEX(Aux_puntos!$A$2:$OJ$901,141,MATCH($B$2&amp;"|xI",Aux_puntos!$1:$1,0))),NA())</f>
        <v>#N/A</v>
      </c>
      <c r="AH145" t="e">
        <f>IFERROR(IF(INDEX(Aux_puntos!$A$2:$OJ$901,141,MATCH($B$2&amp;"|yI",Aux_puntos!$1:$1,0))="",NA(),INDEX(Aux_puntos!$A$2:$OJ$901,141,MATCH($B$2&amp;"|yI",Aux_puntos!$1:$1,0))),NA())</f>
        <v>#N/A</v>
      </c>
      <c r="AI145" t="e">
        <f>IFERROR(IF(INDEX(Aux_puntos!$A$2:$OJ$901,141,MATCH($B$2&amp;"|xN",Aux_puntos!$1:$1,0))="",NA(),INDEX(Aux_puntos!$A$2:$OJ$901,141,MATCH($B$2&amp;"|xN",Aux_puntos!$1:$1,0))),NA())</f>
        <v>#N/A</v>
      </c>
      <c r="AJ145" t="e">
        <f>IFERROR(IF(INDEX(Aux_puntos!$A$2:$OJ$901,141,MATCH($B$2&amp;"|yN",Aux_puntos!$1:$1,0))="",NA(),INDEX(Aux_puntos!$A$2:$OJ$901,141,MATCH($B$2&amp;"|yN",Aux_puntos!$1:$1,0))),NA())</f>
        <v>#N/A</v>
      </c>
    </row>
    <row r="146" spans="29:36" x14ac:dyDescent="0.3">
      <c r="AC146" t="e">
        <f>IFERROR(IF(INDEX(Aux_puntos!$A$2:$OJ$901,142,MATCH($B$2&amp;"|xK",Aux_puntos!$1:$1,0))="",NA(),INDEX(Aux_puntos!$A$2:$OJ$901,142,MATCH($B$2&amp;"|xK",Aux_puntos!$1:$1,0))),NA())</f>
        <v>#N/A</v>
      </c>
      <c r="AD146" t="e">
        <f>IFERROR(IF(INDEX(Aux_puntos!$A$2:$OJ$901,142,MATCH($B$2&amp;"|yK",Aux_puntos!$1:$1,0))="",NA(),INDEX(Aux_puntos!$A$2:$OJ$901,142,MATCH($B$2&amp;"|yK",Aux_puntos!$1:$1,0))),NA())</f>
        <v>#N/A</v>
      </c>
      <c r="AE146" t="e">
        <f>IFERROR(IF(INDEX(Aux_puntos!$A$2:$OJ$901,142,MATCH($B$2&amp;"|xC",Aux_puntos!$1:$1,0))="",NA(),INDEX(Aux_puntos!$A$2:$OJ$901,142,MATCH($B$2&amp;"|xC",Aux_puntos!$1:$1,0))),NA())</f>
        <v>#N/A</v>
      </c>
      <c r="AF146" t="e">
        <f>IFERROR(IF(INDEX(Aux_puntos!$A$2:$OJ$901,142,MATCH($B$2&amp;"|yC",Aux_puntos!$1:$1,0))="",NA(),INDEX(Aux_puntos!$A$2:$OJ$901,142,MATCH($B$2&amp;"|yC",Aux_puntos!$1:$1,0))),NA())</f>
        <v>#N/A</v>
      </c>
      <c r="AG146" t="e">
        <f>IFERROR(IF(INDEX(Aux_puntos!$A$2:$OJ$901,142,MATCH($B$2&amp;"|xI",Aux_puntos!$1:$1,0))="",NA(),INDEX(Aux_puntos!$A$2:$OJ$901,142,MATCH($B$2&amp;"|xI",Aux_puntos!$1:$1,0))),NA())</f>
        <v>#N/A</v>
      </c>
      <c r="AH146" t="e">
        <f>IFERROR(IF(INDEX(Aux_puntos!$A$2:$OJ$901,142,MATCH($B$2&amp;"|yI",Aux_puntos!$1:$1,0))="",NA(),INDEX(Aux_puntos!$A$2:$OJ$901,142,MATCH($B$2&amp;"|yI",Aux_puntos!$1:$1,0))),NA())</f>
        <v>#N/A</v>
      </c>
      <c r="AI146" t="e">
        <f>IFERROR(IF(INDEX(Aux_puntos!$A$2:$OJ$901,142,MATCH($B$2&amp;"|xN",Aux_puntos!$1:$1,0))="",NA(),INDEX(Aux_puntos!$A$2:$OJ$901,142,MATCH($B$2&amp;"|xN",Aux_puntos!$1:$1,0))),NA())</f>
        <v>#N/A</v>
      </c>
      <c r="AJ146" t="e">
        <f>IFERROR(IF(INDEX(Aux_puntos!$A$2:$OJ$901,142,MATCH($B$2&amp;"|yN",Aux_puntos!$1:$1,0))="",NA(),INDEX(Aux_puntos!$A$2:$OJ$901,142,MATCH($B$2&amp;"|yN",Aux_puntos!$1:$1,0))),NA())</f>
        <v>#N/A</v>
      </c>
    </row>
    <row r="147" spans="29:36" x14ac:dyDescent="0.3">
      <c r="AC147" t="e">
        <f>IFERROR(IF(INDEX(Aux_puntos!$A$2:$OJ$901,143,MATCH($B$2&amp;"|xK",Aux_puntos!$1:$1,0))="",NA(),INDEX(Aux_puntos!$A$2:$OJ$901,143,MATCH($B$2&amp;"|xK",Aux_puntos!$1:$1,0))),NA())</f>
        <v>#N/A</v>
      </c>
      <c r="AD147" t="e">
        <f>IFERROR(IF(INDEX(Aux_puntos!$A$2:$OJ$901,143,MATCH($B$2&amp;"|yK",Aux_puntos!$1:$1,0))="",NA(),INDEX(Aux_puntos!$A$2:$OJ$901,143,MATCH($B$2&amp;"|yK",Aux_puntos!$1:$1,0))),NA())</f>
        <v>#N/A</v>
      </c>
      <c r="AE147" t="e">
        <f>IFERROR(IF(INDEX(Aux_puntos!$A$2:$OJ$901,143,MATCH($B$2&amp;"|xC",Aux_puntos!$1:$1,0))="",NA(),INDEX(Aux_puntos!$A$2:$OJ$901,143,MATCH($B$2&amp;"|xC",Aux_puntos!$1:$1,0))),NA())</f>
        <v>#N/A</v>
      </c>
      <c r="AF147" t="e">
        <f>IFERROR(IF(INDEX(Aux_puntos!$A$2:$OJ$901,143,MATCH($B$2&amp;"|yC",Aux_puntos!$1:$1,0))="",NA(),INDEX(Aux_puntos!$A$2:$OJ$901,143,MATCH($B$2&amp;"|yC",Aux_puntos!$1:$1,0))),NA())</f>
        <v>#N/A</v>
      </c>
      <c r="AG147" t="e">
        <f>IFERROR(IF(INDEX(Aux_puntos!$A$2:$OJ$901,143,MATCH($B$2&amp;"|xI",Aux_puntos!$1:$1,0))="",NA(),INDEX(Aux_puntos!$A$2:$OJ$901,143,MATCH($B$2&amp;"|xI",Aux_puntos!$1:$1,0))),NA())</f>
        <v>#N/A</v>
      </c>
      <c r="AH147" t="e">
        <f>IFERROR(IF(INDEX(Aux_puntos!$A$2:$OJ$901,143,MATCH($B$2&amp;"|yI",Aux_puntos!$1:$1,0))="",NA(),INDEX(Aux_puntos!$A$2:$OJ$901,143,MATCH($B$2&amp;"|yI",Aux_puntos!$1:$1,0))),NA())</f>
        <v>#N/A</v>
      </c>
      <c r="AI147" t="e">
        <f>IFERROR(IF(INDEX(Aux_puntos!$A$2:$OJ$901,143,MATCH($B$2&amp;"|xN",Aux_puntos!$1:$1,0))="",NA(),INDEX(Aux_puntos!$A$2:$OJ$901,143,MATCH($B$2&amp;"|xN",Aux_puntos!$1:$1,0))),NA())</f>
        <v>#N/A</v>
      </c>
      <c r="AJ147" t="e">
        <f>IFERROR(IF(INDEX(Aux_puntos!$A$2:$OJ$901,143,MATCH($B$2&amp;"|yN",Aux_puntos!$1:$1,0))="",NA(),INDEX(Aux_puntos!$A$2:$OJ$901,143,MATCH($B$2&amp;"|yN",Aux_puntos!$1:$1,0))),NA())</f>
        <v>#N/A</v>
      </c>
    </row>
    <row r="148" spans="29:36" x14ac:dyDescent="0.3">
      <c r="AC148" t="e">
        <f>IFERROR(IF(INDEX(Aux_puntos!$A$2:$OJ$901,144,MATCH($B$2&amp;"|xK",Aux_puntos!$1:$1,0))="",NA(),INDEX(Aux_puntos!$A$2:$OJ$901,144,MATCH($B$2&amp;"|xK",Aux_puntos!$1:$1,0))),NA())</f>
        <v>#N/A</v>
      </c>
      <c r="AD148" t="e">
        <f>IFERROR(IF(INDEX(Aux_puntos!$A$2:$OJ$901,144,MATCH($B$2&amp;"|yK",Aux_puntos!$1:$1,0))="",NA(),INDEX(Aux_puntos!$A$2:$OJ$901,144,MATCH($B$2&amp;"|yK",Aux_puntos!$1:$1,0))),NA())</f>
        <v>#N/A</v>
      </c>
      <c r="AE148" t="e">
        <f>IFERROR(IF(INDEX(Aux_puntos!$A$2:$OJ$901,144,MATCH($B$2&amp;"|xC",Aux_puntos!$1:$1,0))="",NA(),INDEX(Aux_puntos!$A$2:$OJ$901,144,MATCH($B$2&amp;"|xC",Aux_puntos!$1:$1,0))),NA())</f>
        <v>#N/A</v>
      </c>
      <c r="AF148" t="e">
        <f>IFERROR(IF(INDEX(Aux_puntos!$A$2:$OJ$901,144,MATCH($B$2&amp;"|yC",Aux_puntos!$1:$1,0))="",NA(),INDEX(Aux_puntos!$A$2:$OJ$901,144,MATCH($B$2&amp;"|yC",Aux_puntos!$1:$1,0))),NA())</f>
        <v>#N/A</v>
      </c>
      <c r="AG148" t="e">
        <f>IFERROR(IF(INDEX(Aux_puntos!$A$2:$OJ$901,144,MATCH($B$2&amp;"|xI",Aux_puntos!$1:$1,0))="",NA(),INDEX(Aux_puntos!$A$2:$OJ$901,144,MATCH($B$2&amp;"|xI",Aux_puntos!$1:$1,0))),NA())</f>
        <v>#N/A</v>
      </c>
      <c r="AH148" t="e">
        <f>IFERROR(IF(INDEX(Aux_puntos!$A$2:$OJ$901,144,MATCH($B$2&amp;"|yI",Aux_puntos!$1:$1,0))="",NA(),INDEX(Aux_puntos!$A$2:$OJ$901,144,MATCH($B$2&amp;"|yI",Aux_puntos!$1:$1,0))),NA())</f>
        <v>#N/A</v>
      </c>
      <c r="AI148" t="e">
        <f>IFERROR(IF(INDEX(Aux_puntos!$A$2:$OJ$901,144,MATCH($B$2&amp;"|xN",Aux_puntos!$1:$1,0))="",NA(),INDEX(Aux_puntos!$A$2:$OJ$901,144,MATCH($B$2&amp;"|xN",Aux_puntos!$1:$1,0))),NA())</f>
        <v>#N/A</v>
      </c>
      <c r="AJ148" t="e">
        <f>IFERROR(IF(INDEX(Aux_puntos!$A$2:$OJ$901,144,MATCH($B$2&amp;"|yN",Aux_puntos!$1:$1,0))="",NA(),INDEX(Aux_puntos!$A$2:$OJ$901,144,MATCH($B$2&amp;"|yN",Aux_puntos!$1:$1,0))),NA())</f>
        <v>#N/A</v>
      </c>
    </row>
    <row r="149" spans="29:36" x14ac:dyDescent="0.3">
      <c r="AC149" t="e">
        <f>IFERROR(IF(INDEX(Aux_puntos!$A$2:$OJ$901,145,MATCH($B$2&amp;"|xK",Aux_puntos!$1:$1,0))="",NA(),INDEX(Aux_puntos!$A$2:$OJ$901,145,MATCH($B$2&amp;"|xK",Aux_puntos!$1:$1,0))),NA())</f>
        <v>#N/A</v>
      </c>
      <c r="AD149" t="e">
        <f>IFERROR(IF(INDEX(Aux_puntos!$A$2:$OJ$901,145,MATCH($B$2&amp;"|yK",Aux_puntos!$1:$1,0))="",NA(),INDEX(Aux_puntos!$A$2:$OJ$901,145,MATCH($B$2&amp;"|yK",Aux_puntos!$1:$1,0))),NA())</f>
        <v>#N/A</v>
      </c>
      <c r="AE149" t="e">
        <f>IFERROR(IF(INDEX(Aux_puntos!$A$2:$OJ$901,145,MATCH($B$2&amp;"|xC",Aux_puntos!$1:$1,0))="",NA(),INDEX(Aux_puntos!$A$2:$OJ$901,145,MATCH($B$2&amp;"|xC",Aux_puntos!$1:$1,0))),NA())</f>
        <v>#N/A</v>
      </c>
      <c r="AF149" t="e">
        <f>IFERROR(IF(INDEX(Aux_puntos!$A$2:$OJ$901,145,MATCH($B$2&amp;"|yC",Aux_puntos!$1:$1,0))="",NA(),INDEX(Aux_puntos!$A$2:$OJ$901,145,MATCH($B$2&amp;"|yC",Aux_puntos!$1:$1,0))),NA())</f>
        <v>#N/A</v>
      </c>
      <c r="AG149" t="e">
        <f>IFERROR(IF(INDEX(Aux_puntos!$A$2:$OJ$901,145,MATCH($B$2&amp;"|xI",Aux_puntos!$1:$1,0))="",NA(),INDEX(Aux_puntos!$A$2:$OJ$901,145,MATCH($B$2&amp;"|xI",Aux_puntos!$1:$1,0))),NA())</f>
        <v>#N/A</v>
      </c>
      <c r="AH149" t="e">
        <f>IFERROR(IF(INDEX(Aux_puntos!$A$2:$OJ$901,145,MATCH($B$2&amp;"|yI",Aux_puntos!$1:$1,0))="",NA(),INDEX(Aux_puntos!$A$2:$OJ$901,145,MATCH($B$2&amp;"|yI",Aux_puntos!$1:$1,0))),NA())</f>
        <v>#N/A</v>
      </c>
      <c r="AI149" t="e">
        <f>IFERROR(IF(INDEX(Aux_puntos!$A$2:$OJ$901,145,MATCH($B$2&amp;"|xN",Aux_puntos!$1:$1,0))="",NA(),INDEX(Aux_puntos!$A$2:$OJ$901,145,MATCH($B$2&amp;"|xN",Aux_puntos!$1:$1,0))),NA())</f>
        <v>#N/A</v>
      </c>
      <c r="AJ149" t="e">
        <f>IFERROR(IF(INDEX(Aux_puntos!$A$2:$OJ$901,145,MATCH($B$2&amp;"|yN",Aux_puntos!$1:$1,0))="",NA(),INDEX(Aux_puntos!$A$2:$OJ$901,145,MATCH($B$2&amp;"|yN",Aux_puntos!$1:$1,0))),NA())</f>
        <v>#N/A</v>
      </c>
    </row>
    <row r="150" spans="29:36" x14ac:dyDescent="0.3">
      <c r="AC150" t="e">
        <f>IFERROR(IF(INDEX(Aux_puntos!$A$2:$OJ$901,146,MATCH($B$2&amp;"|xK",Aux_puntos!$1:$1,0))="",NA(),INDEX(Aux_puntos!$A$2:$OJ$901,146,MATCH($B$2&amp;"|xK",Aux_puntos!$1:$1,0))),NA())</f>
        <v>#N/A</v>
      </c>
      <c r="AD150" t="e">
        <f>IFERROR(IF(INDEX(Aux_puntos!$A$2:$OJ$901,146,MATCH($B$2&amp;"|yK",Aux_puntos!$1:$1,0))="",NA(),INDEX(Aux_puntos!$A$2:$OJ$901,146,MATCH($B$2&amp;"|yK",Aux_puntos!$1:$1,0))),NA())</f>
        <v>#N/A</v>
      </c>
      <c r="AE150" t="e">
        <f>IFERROR(IF(INDEX(Aux_puntos!$A$2:$OJ$901,146,MATCH($B$2&amp;"|xC",Aux_puntos!$1:$1,0))="",NA(),INDEX(Aux_puntos!$A$2:$OJ$901,146,MATCH($B$2&amp;"|xC",Aux_puntos!$1:$1,0))),NA())</f>
        <v>#N/A</v>
      </c>
      <c r="AF150" t="e">
        <f>IFERROR(IF(INDEX(Aux_puntos!$A$2:$OJ$901,146,MATCH($B$2&amp;"|yC",Aux_puntos!$1:$1,0))="",NA(),INDEX(Aux_puntos!$A$2:$OJ$901,146,MATCH($B$2&amp;"|yC",Aux_puntos!$1:$1,0))),NA())</f>
        <v>#N/A</v>
      </c>
      <c r="AG150" t="e">
        <f>IFERROR(IF(INDEX(Aux_puntos!$A$2:$OJ$901,146,MATCH($B$2&amp;"|xI",Aux_puntos!$1:$1,0))="",NA(),INDEX(Aux_puntos!$A$2:$OJ$901,146,MATCH($B$2&amp;"|xI",Aux_puntos!$1:$1,0))),NA())</f>
        <v>#N/A</v>
      </c>
      <c r="AH150" t="e">
        <f>IFERROR(IF(INDEX(Aux_puntos!$A$2:$OJ$901,146,MATCH($B$2&amp;"|yI",Aux_puntos!$1:$1,0))="",NA(),INDEX(Aux_puntos!$A$2:$OJ$901,146,MATCH($B$2&amp;"|yI",Aux_puntos!$1:$1,0))),NA())</f>
        <v>#N/A</v>
      </c>
      <c r="AI150" t="e">
        <f>IFERROR(IF(INDEX(Aux_puntos!$A$2:$OJ$901,146,MATCH($B$2&amp;"|xN",Aux_puntos!$1:$1,0))="",NA(),INDEX(Aux_puntos!$A$2:$OJ$901,146,MATCH($B$2&amp;"|xN",Aux_puntos!$1:$1,0))),NA())</f>
        <v>#N/A</v>
      </c>
      <c r="AJ150" t="e">
        <f>IFERROR(IF(INDEX(Aux_puntos!$A$2:$OJ$901,146,MATCH($B$2&amp;"|yN",Aux_puntos!$1:$1,0))="",NA(),INDEX(Aux_puntos!$A$2:$OJ$901,146,MATCH($B$2&amp;"|yN",Aux_puntos!$1:$1,0))),NA())</f>
        <v>#N/A</v>
      </c>
    </row>
    <row r="151" spans="29:36" x14ac:dyDescent="0.3">
      <c r="AC151" t="e">
        <f>IFERROR(IF(INDEX(Aux_puntos!$A$2:$OJ$901,147,MATCH($B$2&amp;"|xK",Aux_puntos!$1:$1,0))="",NA(),INDEX(Aux_puntos!$A$2:$OJ$901,147,MATCH($B$2&amp;"|xK",Aux_puntos!$1:$1,0))),NA())</f>
        <v>#N/A</v>
      </c>
      <c r="AD151" t="e">
        <f>IFERROR(IF(INDEX(Aux_puntos!$A$2:$OJ$901,147,MATCH($B$2&amp;"|yK",Aux_puntos!$1:$1,0))="",NA(),INDEX(Aux_puntos!$A$2:$OJ$901,147,MATCH($B$2&amp;"|yK",Aux_puntos!$1:$1,0))),NA())</f>
        <v>#N/A</v>
      </c>
      <c r="AE151" t="e">
        <f>IFERROR(IF(INDEX(Aux_puntos!$A$2:$OJ$901,147,MATCH($B$2&amp;"|xC",Aux_puntos!$1:$1,0))="",NA(),INDEX(Aux_puntos!$A$2:$OJ$901,147,MATCH($B$2&amp;"|xC",Aux_puntos!$1:$1,0))),NA())</f>
        <v>#N/A</v>
      </c>
      <c r="AF151" t="e">
        <f>IFERROR(IF(INDEX(Aux_puntos!$A$2:$OJ$901,147,MATCH($B$2&amp;"|yC",Aux_puntos!$1:$1,0))="",NA(),INDEX(Aux_puntos!$A$2:$OJ$901,147,MATCH($B$2&amp;"|yC",Aux_puntos!$1:$1,0))),NA())</f>
        <v>#N/A</v>
      </c>
      <c r="AG151" t="e">
        <f>IFERROR(IF(INDEX(Aux_puntos!$A$2:$OJ$901,147,MATCH($B$2&amp;"|xI",Aux_puntos!$1:$1,0))="",NA(),INDEX(Aux_puntos!$A$2:$OJ$901,147,MATCH($B$2&amp;"|xI",Aux_puntos!$1:$1,0))),NA())</f>
        <v>#N/A</v>
      </c>
      <c r="AH151" t="e">
        <f>IFERROR(IF(INDEX(Aux_puntos!$A$2:$OJ$901,147,MATCH($B$2&amp;"|yI",Aux_puntos!$1:$1,0))="",NA(),INDEX(Aux_puntos!$A$2:$OJ$901,147,MATCH($B$2&amp;"|yI",Aux_puntos!$1:$1,0))),NA())</f>
        <v>#N/A</v>
      </c>
      <c r="AI151" t="e">
        <f>IFERROR(IF(INDEX(Aux_puntos!$A$2:$OJ$901,147,MATCH($B$2&amp;"|xN",Aux_puntos!$1:$1,0))="",NA(),INDEX(Aux_puntos!$A$2:$OJ$901,147,MATCH($B$2&amp;"|xN",Aux_puntos!$1:$1,0))),NA())</f>
        <v>#N/A</v>
      </c>
      <c r="AJ151" t="e">
        <f>IFERROR(IF(INDEX(Aux_puntos!$A$2:$OJ$901,147,MATCH($B$2&amp;"|yN",Aux_puntos!$1:$1,0))="",NA(),INDEX(Aux_puntos!$A$2:$OJ$901,147,MATCH($B$2&amp;"|yN",Aux_puntos!$1:$1,0))),NA())</f>
        <v>#N/A</v>
      </c>
    </row>
    <row r="152" spans="29:36" x14ac:dyDescent="0.3">
      <c r="AC152" t="e">
        <f>IFERROR(IF(INDEX(Aux_puntos!$A$2:$OJ$901,148,MATCH($B$2&amp;"|xK",Aux_puntos!$1:$1,0))="",NA(),INDEX(Aux_puntos!$A$2:$OJ$901,148,MATCH($B$2&amp;"|xK",Aux_puntos!$1:$1,0))),NA())</f>
        <v>#N/A</v>
      </c>
      <c r="AD152" t="e">
        <f>IFERROR(IF(INDEX(Aux_puntos!$A$2:$OJ$901,148,MATCH($B$2&amp;"|yK",Aux_puntos!$1:$1,0))="",NA(),INDEX(Aux_puntos!$A$2:$OJ$901,148,MATCH($B$2&amp;"|yK",Aux_puntos!$1:$1,0))),NA())</f>
        <v>#N/A</v>
      </c>
      <c r="AE152" t="e">
        <f>IFERROR(IF(INDEX(Aux_puntos!$A$2:$OJ$901,148,MATCH($B$2&amp;"|xC",Aux_puntos!$1:$1,0))="",NA(),INDEX(Aux_puntos!$A$2:$OJ$901,148,MATCH($B$2&amp;"|xC",Aux_puntos!$1:$1,0))),NA())</f>
        <v>#N/A</v>
      </c>
      <c r="AF152" t="e">
        <f>IFERROR(IF(INDEX(Aux_puntos!$A$2:$OJ$901,148,MATCH($B$2&amp;"|yC",Aux_puntos!$1:$1,0))="",NA(),INDEX(Aux_puntos!$A$2:$OJ$901,148,MATCH($B$2&amp;"|yC",Aux_puntos!$1:$1,0))),NA())</f>
        <v>#N/A</v>
      </c>
      <c r="AG152" t="e">
        <f>IFERROR(IF(INDEX(Aux_puntos!$A$2:$OJ$901,148,MATCH($B$2&amp;"|xI",Aux_puntos!$1:$1,0))="",NA(),INDEX(Aux_puntos!$A$2:$OJ$901,148,MATCH($B$2&amp;"|xI",Aux_puntos!$1:$1,0))),NA())</f>
        <v>#N/A</v>
      </c>
      <c r="AH152" t="e">
        <f>IFERROR(IF(INDEX(Aux_puntos!$A$2:$OJ$901,148,MATCH($B$2&amp;"|yI",Aux_puntos!$1:$1,0))="",NA(),INDEX(Aux_puntos!$A$2:$OJ$901,148,MATCH($B$2&amp;"|yI",Aux_puntos!$1:$1,0))),NA())</f>
        <v>#N/A</v>
      </c>
      <c r="AI152" t="e">
        <f>IFERROR(IF(INDEX(Aux_puntos!$A$2:$OJ$901,148,MATCH($B$2&amp;"|xN",Aux_puntos!$1:$1,0))="",NA(),INDEX(Aux_puntos!$A$2:$OJ$901,148,MATCH($B$2&amp;"|xN",Aux_puntos!$1:$1,0))),NA())</f>
        <v>#N/A</v>
      </c>
      <c r="AJ152" t="e">
        <f>IFERROR(IF(INDEX(Aux_puntos!$A$2:$OJ$901,148,MATCH($B$2&amp;"|yN",Aux_puntos!$1:$1,0))="",NA(),INDEX(Aux_puntos!$A$2:$OJ$901,148,MATCH($B$2&amp;"|yN",Aux_puntos!$1:$1,0))),NA())</f>
        <v>#N/A</v>
      </c>
    </row>
    <row r="153" spans="29:36" x14ac:dyDescent="0.3">
      <c r="AC153" t="e">
        <f>IFERROR(IF(INDEX(Aux_puntos!$A$2:$OJ$901,149,MATCH($B$2&amp;"|xK",Aux_puntos!$1:$1,0))="",NA(),INDEX(Aux_puntos!$A$2:$OJ$901,149,MATCH($B$2&amp;"|xK",Aux_puntos!$1:$1,0))),NA())</f>
        <v>#N/A</v>
      </c>
      <c r="AD153" t="e">
        <f>IFERROR(IF(INDEX(Aux_puntos!$A$2:$OJ$901,149,MATCH($B$2&amp;"|yK",Aux_puntos!$1:$1,0))="",NA(),INDEX(Aux_puntos!$A$2:$OJ$901,149,MATCH($B$2&amp;"|yK",Aux_puntos!$1:$1,0))),NA())</f>
        <v>#N/A</v>
      </c>
      <c r="AE153" t="e">
        <f>IFERROR(IF(INDEX(Aux_puntos!$A$2:$OJ$901,149,MATCH($B$2&amp;"|xC",Aux_puntos!$1:$1,0))="",NA(),INDEX(Aux_puntos!$A$2:$OJ$901,149,MATCH($B$2&amp;"|xC",Aux_puntos!$1:$1,0))),NA())</f>
        <v>#N/A</v>
      </c>
      <c r="AF153" t="e">
        <f>IFERROR(IF(INDEX(Aux_puntos!$A$2:$OJ$901,149,MATCH($B$2&amp;"|yC",Aux_puntos!$1:$1,0))="",NA(),INDEX(Aux_puntos!$A$2:$OJ$901,149,MATCH($B$2&amp;"|yC",Aux_puntos!$1:$1,0))),NA())</f>
        <v>#N/A</v>
      </c>
      <c r="AG153" t="e">
        <f>IFERROR(IF(INDEX(Aux_puntos!$A$2:$OJ$901,149,MATCH($B$2&amp;"|xI",Aux_puntos!$1:$1,0))="",NA(),INDEX(Aux_puntos!$A$2:$OJ$901,149,MATCH($B$2&amp;"|xI",Aux_puntos!$1:$1,0))),NA())</f>
        <v>#N/A</v>
      </c>
      <c r="AH153" t="e">
        <f>IFERROR(IF(INDEX(Aux_puntos!$A$2:$OJ$901,149,MATCH($B$2&amp;"|yI",Aux_puntos!$1:$1,0))="",NA(),INDEX(Aux_puntos!$A$2:$OJ$901,149,MATCH($B$2&amp;"|yI",Aux_puntos!$1:$1,0))),NA())</f>
        <v>#N/A</v>
      </c>
      <c r="AI153" t="e">
        <f>IFERROR(IF(INDEX(Aux_puntos!$A$2:$OJ$901,149,MATCH($B$2&amp;"|xN",Aux_puntos!$1:$1,0))="",NA(),INDEX(Aux_puntos!$A$2:$OJ$901,149,MATCH($B$2&amp;"|xN",Aux_puntos!$1:$1,0))),NA())</f>
        <v>#N/A</v>
      </c>
      <c r="AJ153" t="e">
        <f>IFERROR(IF(INDEX(Aux_puntos!$A$2:$OJ$901,149,MATCH($B$2&amp;"|yN",Aux_puntos!$1:$1,0))="",NA(),INDEX(Aux_puntos!$A$2:$OJ$901,149,MATCH($B$2&amp;"|yN",Aux_puntos!$1:$1,0))),NA())</f>
        <v>#N/A</v>
      </c>
    </row>
    <row r="154" spans="29:36" x14ac:dyDescent="0.3">
      <c r="AC154" t="e">
        <f>IFERROR(IF(INDEX(Aux_puntos!$A$2:$OJ$901,150,MATCH($B$2&amp;"|xK",Aux_puntos!$1:$1,0))="",NA(),INDEX(Aux_puntos!$A$2:$OJ$901,150,MATCH($B$2&amp;"|xK",Aux_puntos!$1:$1,0))),NA())</f>
        <v>#N/A</v>
      </c>
      <c r="AD154" t="e">
        <f>IFERROR(IF(INDEX(Aux_puntos!$A$2:$OJ$901,150,MATCH($B$2&amp;"|yK",Aux_puntos!$1:$1,0))="",NA(),INDEX(Aux_puntos!$A$2:$OJ$901,150,MATCH($B$2&amp;"|yK",Aux_puntos!$1:$1,0))),NA())</f>
        <v>#N/A</v>
      </c>
      <c r="AE154" t="e">
        <f>IFERROR(IF(INDEX(Aux_puntos!$A$2:$OJ$901,150,MATCH($B$2&amp;"|xC",Aux_puntos!$1:$1,0))="",NA(),INDEX(Aux_puntos!$A$2:$OJ$901,150,MATCH($B$2&amp;"|xC",Aux_puntos!$1:$1,0))),NA())</f>
        <v>#N/A</v>
      </c>
      <c r="AF154" t="e">
        <f>IFERROR(IF(INDEX(Aux_puntos!$A$2:$OJ$901,150,MATCH($B$2&amp;"|yC",Aux_puntos!$1:$1,0))="",NA(),INDEX(Aux_puntos!$A$2:$OJ$901,150,MATCH($B$2&amp;"|yC",Aux_puntos!$1:$1,0))),NA())</f>
        <v>#N/A</v>
      </c>
      <c r="AG154" t="e">
        <f>IFERROR(IF(INDEX(Aux_puntos!$A$2:$OJ$901,150,MATCH($B$2&amp;"|xI",Aux_puntos!$1:$1,0))="",NA(),INDEX(Aux_puntos!$A$2:$OJ$901,150,MATCH($B$2&amp;"|xI",Aux_puntos!$1:$1,0))),NA())</f>
        <v>#N/A</v>
      </c>
      <c r="AH154" t="e">
        <f>IFERROR(IF(INDEX(Aux_puntos!$A$2:$OJ$901,150,MATCH($B$2&amp;"|yI",Aux_puntos!$1:$1,0))="",NA(),INDEX(Aux_puntos!$A$2:$OJ$901,150,MATCH($B$2&amp;"|yI",Aux_puntos!$1:$1,0))),NA())</f>
        <v>#N/A</v>
      </c>
      <c r="AI154" t="e">
        <f>IFERROR(IF(INDEX(Aux_puntos!$A$2:$OJ$901,150,MATCH($B$2&amp;"|xN",Aux_puntos!$1:$1,0))="",NA(),INDEX(Aux_puntos!$A$2:$OJ$901,150,MATCH($B$2&amp;"|xN",Aux_puntos!$1:$1,0))),NA())</f>
        <v>#N/A</v>
      </c>
      <c r="AJ154" t="e">
        <f>IFERROR(IF(INDEX(Aux_puntos!$A$2:$OJ$901,150,MATCH($B$2&amp;"|yN",Aux_puntos!$1:$1,0))="",NA(),INDEX(Aux_puntos!$A$2:$OJ$901,150,MATCH($B$2&amp;"|yN",Aux_puntos!$1:$1,0))),NA())</f>
        <v>#N/A</v>
      </c>
    </row>
    <row r="155" spans="29:36" x14ac:dyDescent="0.3">
      <c r="AC155" t="e">
        <f>IFERROR(IF(INDEX(Aux_puntos!$A$2:$OJ$901,151,MATCH($B$2&amp;"|xK",Aux_puntos!$1:$1,0))="",NA(),INDEX(Aux_puntos!$A$2:$OJ$901,151,MATCH($B$2&amp;"|xK",Aux_puntos!$1:$1,0))),NA())</f>
        <v>#N/A</v>
      </c>
      <c r="AD155" t="e">
        <f>IFERROR(IF(INDEX(Aux_puntos!$A$2:$OJ$901,151,MATCH($B$2&amp;"|yK",Aux_puntos!$1:$1,0))="",NA(),INDEX(Aux_puntos!$A$2:$OJ$901,151,MATCH($B$2&amp;"|yK",Aux_puntos!$1:$1,0))),NA())</f>
        <v>#N/A</v>
      </c>
      <c r="AE155" t="e">
        <f>IFERROR(IF(INDEX(Aux_puntos!$A$2:$OJ$901,151,MATCH($B$2&amp;"|xC",Aux_puntos!$1:$1,0))="",NA(),INDEX(Aux_puntos!$A$2:$OJ$901,151,MATCH($B$2&amp;"|xC",Aux_puntos!$1:$1,0))),NA())</f>
        <v>#N/A</v>
      </c>
      <c r="AF155" t="e">
        <f>IFERROR(IF(INDEX(Aux_puntos!$A$2:$OJ$901,151,MATCH($B$2&amp;"|yC",Aux_puntos!$1:$1,0))="",NA(),INDEX(Aux_puntos!$A$2:$OJ$901,151,MATCH($B$2&amp;"|yC",Aux_puntos!$1:$1,0))),NA())</f>
        <v>#N/A</v>
      </c>
      <c r="AG155" t="e">
        <f>IFERROR(IF(INDEX(Aux_puntos!$A$2:$OJ$901,151,MATCH($B$2&amp;"|xI",Aux_puntos!$1:$1,0))="",NA(),INDEX(Aux_puntos!$A$2:$OJ$901,151,MATCH($B$2&amp;"|xI",Aux_puntos!$1:$1,0))),NA())</f>
        <v>#N/A</v>
      </c>
      <c r="AH155" t="e">
        <f>IFERROR(IF(INDEX(Aux_puntos!$A$2:$OJ$901,151,MATCH($B$2&amp;"|yI",Aux_puntos!$1:$1,0))="",NA(),INDEX(Aux_puntos!$A$2:$OJ$901,151,MATCH($B$2&amp;"|yI",Aux_puntos!$1:$1,0))),NA())</f>
        <v>#N/A</v>
      </c>
      <c r="AI155" t="e">
        <f>IFERROR(IF(INDEX(Aux_puntos!$A$2:$OJ$901,151,MATCH($B$2&amp;"|xN",Aux_puntos!$1:$1,0))="",NA(),INDEX(Aux_puntos!$A$2:$OJ$901,151,MATCH($B$2&amp;"|xN",Aux_puntos!$1:$1,0))),NA())</f>
        <v>#N/A</v>
      </c>
      <c r="AJ155" t="e">
        <f>IFERROR(IF(INDEX(Aux_puntos!$A$2:$OJ$901,151,MATCH($B$2&amp;"|yN",Aux_puntos!$1:$1,0))="",NA(),INDEX(Aux_puntos!$A$2:$OJ$901,151,MATCH($B$2&amp;"|yN",Aux_puntos!$1:$1,0))),NA())</f>
        <v>#N/A</v>
      </c>
    </row>
    <row r="156" spans="29:36" x14ac:dyDescent="0.3">
      <c r="AC156" t="e">
        <f>IFERROR(IF(INDEX(Aux_puntos!$A$2:$OJ$901,152,MATCH($B$2&amp;"|xK",Aux_puntos!$1:$1,0))="",NA(),INDEX(Aux_puntos!$A$2:$OJ$901,152,MATCH($B$2&amp;"|xK",Aux_puntos!$1:$1,0))),NA())</f>
        <v>#N/A</v>
      </c>
      <c r="AD156" t="e">
        <f>IFERROR(IF(INDEX(Aux_puntos!$A$2:$OJ$901,152,MATCH($B$2&amp;"|yK",Aux_puntos!$1:$1,0))="",NA(),INDEX(Aux_puntos!$A$2:$OJ$901,152,MATCH($B$2&amp;"|yK",Aux_puntos!$1:$1,0))),NA())</f>
        <v>#N/A</v>
      </c>
      <c r="AE156" t="e">
        <f>IFERROR(IF(INDEX(Aux_puntos!$A$2:$OJ$901,152,MATCH($B$2&amp;"|xC",Aux_puntos!$1:$1,0))="",NA(),INDEX(Aux_puntos!$A$2:$OJ$901,152,MATCH($B$2&amp;"|xC",Aux_puntos!$1:$1,0))),NA())</f>
        <v>#N/A</v>
      </c>
      <c r="AF156" t="e">
        <f>IFERROR(IF(INDEX(Aux_puntos!$A$2:$OJ$901,152,MATCH($B$2&amp;"|yC",Aux_puntos!$1:$1,0))="",NA(),INDEX(Aux_puntos!$A$2:$OJ$901,152,MATCH($B$2&amp;"|yC",Aux_puntos!$1:$1,0))),NA())</f>
        <v>#N/A</v>
      </c>
      <c r="AG156" t="e">
        <f>IFERROR(IF(INDEX(Aux_puntos!$A$2:$OJ$901,152,MATCH($B$2&amp;"|xI",Aux_puntos!$1:$1,0))="",NA(),INDEX(Aux_puntos!$A$2:$OJ$901,152,MATCH($B$2&amp;"|xI",Aux_puntos!$1:$1,0))),NA())</f>
        <v>#N/A</v>
      </c>
      <c r="AH156" t="e">
        <f>IFERROR(IF(INDEX(Aux_puntos!$A$2:$OJ$901,152,MATCH($B$2&amp;"|yI",Aux_puntos!$1:$1,0))="",NA(),INDEX(Aux_puntos!$A$2:$OJ$901,152,MATCH($B$2&amp;"|yI",Aux_puntos!$1:$1,0))),NA())</f>
        <v>#N/A</v>
      </c>
      <c r="AI156" t="e">
        <f>IFERROR(IF(INDEX(Aux_puntos!$A$2:$OJ$901,152,MATCH($B$2&amp;"|xN",Aux_puntos!$1:$1,0))="",NA(),INDEX(Aux_puntos!$A$2:$OJ$901,152,MATCH($B$2&amp;"|xN",Aux_puntos!$1:$1,0))),NA())</f>
        <v>#N/A</v>
      </c>
      <c r="AJ156" t="e">
        <f>IFERROR(IF(INDEX(Aux_puntos!$A$2:$OJ$901,152,MATCH($B$2&amp;"|yN",Aux_puntos!$1:$1,0))="",NA(),INDEX(Aux_puntos!$A$2:$OJ$901,152,MATCH($B$2&amp;"|yN",Aux_puntos!$1:$1,0))),NA())</f>
        <v>#N/A</v>
      </c>
    </row>
    <row r="157" spans="29:36" x14ac:dyDescent="0.3">
      <c r="AC157" t="e">
        <f>IFERROR(IF(INDEX(Aux_puntos!$A$2:$OJ$901,153,MATCH($B$2&amp;"|xK",Aux_puntos!$1:$1,0))="",NA(),INDEX(Aux_puntos!$A$2:$OJ$901,153,MATCH($B$2&amp;"|xK",Aux_puntos!$1:$1,0))),NA())</f>
        <v>#N/A</v>
      </c>
      <c r="AD157" t="e">
        <f>IFERROR(IF(INDEX(Aux_puntos!$A$2:$OJ$901,153,MATCH($B$2&amp;"|yK",Aux_puntos!$1:$1,0))="",NA(),INDEX(Aux_puntos!$A$2:$OJ$901,153,MATCH($B$2&amp;"|yK",Aux_puntos!$1:$1,0))),NA())</f>
        <v>#N/A</v>
      </c>
      <c r="AE157" t="e">
        <f>IFERROR(IF(INDEX(Aux_puntos!$A$2:$OJ$901,153,MATCH($B$2&amp;"|xC",Aux_puntos!$1:$1,0))="",NA(),INDEX(Aux_puntos!$A$2:$OJ$901,153,MATCH($B$2&amp;"|xC",Aux_puntos!$1:$1,0))),NA())</f>
        <v>#N/A</v>
      </c>
      <c r="AF157" t="e">
        <f>IFERROR(IF(INDEX(Aux_puntos!$A$2:$OJ$901,153,MATCH($B$2&amp;"|yC",Aux_puntos!$1:$1,0))="",NA(),INDEX(Aux_puntos!$A$2:$OJ$901,153,MATCH($B$2&amp;"|yC",Aux_puntos!$1:$1,0))),NA())</f>
        <v>#N/A</v>
      </c>
      <c r="AG157" t="e">
        <f>IFERROR(IF(INDEX(Aux_puntos!$A$2:$OJ$901,153,MATCH($B$2&amp;"|xI",Aux_puntos!$1:$1,0))="",NA(),INDEX(Aux_puntos!$A$2:$OJ$901,153,MATCH($B$2&amp;"|xI",Aux_puntos!$1:$1,0))),NA())</f>
        <v>#N/A</v>
      </c>
      <c r="AH157" t="e">
        <f>IFERROR(IF(INDEX(Aux_puntos!$A$2:$OJ$901,153,MATCH($B$2&amp;"|yI",Aux_puntos!$1:$1,0))="",NA(),INDEX(Aux_puntos!$A$2:$OJ$901,153,MATCH($B$2&amp;"|yI",Aux_puntos!$1:$1,0))),NA())</f>
        <v>#N/A</v>
      </c>
      <c r="AI157" t="e">
        <f>IFERROR(IF(INDEX(Aux_puntos!$A$2:$OJ$901,153,MATCH($B$2&amp;"|xN",Aux_puntos!$1:$1,0))="",NA(),INDEX(Aux_puntos!$A$2:$OJ$901,153,MATCH($B$2&amp;"|xN",Aux_puntos!$1:$1,0))),NA())</f>
        <v>#N/A</v>
      </c>
      <c r="AJ157" t="e">
        <f>IFERROR(IF(INDEX(Aux_puntos!$A$2:$OJ$901,153,MATCH($B$2&amp;"|yN",Aux_puntos!$1:$1,0))="",NA(),INDEX(Aux_puntos!$A$2:$OJ$901,153,MATCH($B$2&amp;"|yN",Aux_puntos!$1:$1,0))),NA())</f>
        <v>#N/A</v>
      </c>
    </row>
    <row r="158" spans="29:36" x14ac:dyDescent="0.3">
      <c r="AC158" t="e">
        <f>IFERROR(IF(INDEX(Aux_puntos!$A$2:$OJ$901,154,MATCH($B$2&amp;"|xK",Aux_puntos!$1:$1,0))="",NA(),INDEX(Aux_puntos!$A$2:$OJ$901,154,MATCH($B$2&amp;"|xK",Aux_puntos!$1:$1,0))),NA())</f>
        <v>#N/A</v>
      </c>
      <c r="AD158" t="e">
        <f>IFERROR(IF(INDEX(Aux_puntos!$A$2:$OJ$901,154,MATCH($B$2&amp;"|yK",Aux_puntos!$1:$1,0))="",NA(),INDEX(Aux_puntos!$A$2:$OJ$901,154,MATCH($B$2&amp;"|yK",Aux_puntos!$1:$1,0))),NA())</f>
        <v>#N/A</v>
      </c>
      <c r="AE158" t="e">
        <f>IFERROR(IF(INDEX(Aux_puntos!$A$2:$OJ$901,154,MATCH($B$2&amp;"|xC",Aux_puntos!$1:$1,0))="",NA(),INDEX(Aux_puntos!$A$2:$OJ$901,154,MATCH($B$2&amp;"|xC",Aux_puntos!$1:$1,0))),NA())</f>
        <v>#N/A</v>
      </c>
      <c r="AF158" t="e">
        <f>IFERROR(IF(INDEX(Aux_puntos!$A$2:$OJ$901,154,MATCH($B$2&amp;"|yC",Aux_puntos!$1:$1,0))="",NA(),INDEX(Aux_puntos!$A$2:$OJ$901,154,MATCH($B$2&amp;"|yC",Aux_puntos!$1:$1,0))),NA())</f>
        <v>#N/A</v>
      </c>
      <c r="AG158" t="e">
        <f>IFERROR(IF(INDEX(Aux_puntos!$A$2:$OJ$901,154,MATCH($B$2&amp;"|xI",Aux_puntos!$1:$1,0))="",NA(),INDEX(Aux_puntos!$A$2:$OJ$901,154,MATCH($B$2&amp;"|xI",Aux_puntos!$1:$1,0))),NA())</f>
        <v>#N/A</v>
      </c>
      <c r="AH158" t="e">
        <f>IFERROR(IF(INDEX(Aux_puntos!$A$2:$OJ$901,154,MATCH($B$2&amp;"|yI",Aux_puntos!$1:$1,0))="",NA(),INDEX(Aux_puntos!$A$2:$OJ$901,154,MATCH($B$2&amp;"|yI",Aux_puntos!$1:$1,0))),NA())</f>
        <v>#N/A</v>
      </c>
      <c r="AI158" t="e">
        <f>IFERROR(IF(INDEX(Aux_puntos!$A$2:$OJ$901,154,MATCH($B$2&amp;"|xN",Aux_puntos!$1:$1,0))="",NA(),INDEX(Aux_puntos!$A$2:$OJ$901,154,MATCH($B$2&amp;"|xN",Aux_puntos!$1:$1,0))),NA())</f>
        <v>#N/A</v>
      </c>
      <c r="AJ158" t="e">
        <f>IFERROR(IF(INDEX(Aux_puntos!$A$2:$OJ$901,154,MATCH($B$2&amp;"|yN",Aux_puntos!$1:$1,0))="",NA(),INDEX(Aux_puntos!$A$2:$OJ$901,154,MATCH($B$2&amp;"|yN",Aux_puntos!$1:$1,0))),NA())</f>
        <v>#N/A</v>
      </c>
    </row>
    <row r="159" spans="29:36" x14ac:dyDescent="0.3">
      <c r="AC159" t="e">
        <f>IFERROR(IF(INDEX(Aux_puntos!$A$2:$OJ$901,155,MATCH($B$2&amp;"|xK",Aux_puntos!$1:$1,0))="",NA(),INDEX(Aux_puntos!$A$2:$OJ$901,155,MATCH($B$2&amp;"|xK",Aux_puntos!$1:$1,0))),NA())</f>
        <v>#N/A</v>
      </c>
      <c r="AD159" t="e">
        <f>IFERROR(IF(INDEX(Aux_puntos!$A$2:$OJ$901,155,MATCH($B$2&amp;"|yK",Aux_puntos!$1:$1,0))="",NA(),INDEX(Aux_puntos!$A$2:$OJ$901,155,MATCH($B$2&amp;"|yK",Aux_puntos!$1:$1,0))),NA())</f>
        <v>#N/A</v>
      </c>
      <c r="AE159" t="e">
        <f>IFERROR(IF(INDEX(Aux_puntos!$A$2:$OJ$901,155,MATCH($B$2&amp;"|xC",Aux_puntos!$1:$1,0))="",NA(),INDEX(Aux_puntos!$A$2:$OJ$901,155,MATCH($B$2&amp;"|xC",Aux_puntos!$1:$1,0))),NA())</f>
        <v>#N/A</v>
      </c>
      <c r="AF159" t="e">
        <f>IFERROR(IF(INDEX(Aux_puntos!$A$2:$OJ$901,155,MATCH($B$2&amp;"|yC",Aux_puntos!$1:$1,0))="",NA(),INDEX(Aux_puntos!$A$2:$OJ$901,155,MATCH($B$2&amp;"|yC",Aux_puntos!$1:$1,0))),NA())</f>
        <v>#N/A</v>
      </c>
      <c r="AG159" t="e">
        <f>IFERROR(IF(INDEX(Aux_puntos!$A$2:$OJ$901,155,MATCH($B$2&amp;"|xI",Aux_puntos!$1:$1,0))="",NA(),INDEX(Aux_puntos!$A$2:$OJ$901,155,MATCH($B$2&amp;"|xI",Aux_puntos!$1:$1,0))),NA())</f>
        <v>#N/A</v>
      </c>
      <c r="AH159" t="e">
        <f>IFERROR(IF(INDEX(Aux_puntos!$A$2:$OJ$901,155,MATCH($B$2&amp;"|yI",Aux_puntos!$1:$1,0))="",NA(),INDEX(Aux_puntos!$A$2:$OJ$901,155,MATCH($B$2&amp;"|yI",Aux_puntos!$1:$1,0))),NA())</f>
        <v>#N/A</v>
      </c>
      <c r="AI159" t="e">
        <f>IFERROR(IF(INDEX(Aux_puntos!$A$2:$OJ$901,155,MATCH($B$2&amp;"|xN",Aux_puntos!$1:$1,0))="",NA(),INDEX(Aux_puntos!$A$2:$OJ$901,155,MATCH($B$2&amp;"|xN",Aux_puntos!$1:$1,0))),NA())</f>
        <v>#N/A</v>
      </c>
      <c r="AJ159" t="e">
        <f>IFERROR(IF(INDEX(Aux_puntos!$A$2:$OJ$901,155,MATCH($B$2&amp;"|yN",Aux_puntos!$1:$1,0))="",NA(),INDEX(Aux_puntos!$A$2:$OJ$901,155,MATCH($B$2&amp;"|yN",Aux_puntos!$1:$1,0))),NA())</f>
        <v>#N/A</v>
      </c>
    </row>
    <row r="160" spans="29:36" x14ac:dyDescent="0.3">
      <c r="AC160" t="e">
        <f>IFERROR(IF(INDEX(Aux_puntos!$A$2:$OJ$901,156,MATCH($B$2&amp;"|xK",Aux_puntos!$1:$1,0))="",NA(),INDEX(Aux_puntos!$A$2:$OJ$901,156,MATCH($B$2&amp;"|xK",Aux_puntos!$1:$1,0))),NA())</f>
        <v>#N/A</v>
      </c>
      <c r="AD160" t="e">
        <f>IFERROR(IF(INDEX(Aux_puntos!$A$2:$OJ$901,156,MATCH($B$2&amp;"|yK",Aux_puntos!$1:$1,0))="",NA(),INDEX(Aux_puntos!$A$2:$OJ$901,156,MATCH($B$2&amp;"|yK",Aux_puntos!$1:$1,0))),NA())</f>
        <v>#N/A</v>
      </c>
      <c r="AE160" t="e">
        <f>IFERROR(IF(INDEX(Aux_puntos!$A$2:$OJ$901,156,MATCH($B$2&amp;"|xC",Aux_puntos!$1:$1,0))="",NA(),INDEX(Aux_puntos!$A$2:$OJ$901,156,MATCH($B$2&amp;"|xC",Aux_puntos!$1:$1,0))),NA())</f>
        <v>#N/A</v>
      </c>
      <c r="AF160" t="e">
        <f>IFERROR(IF(INDEX(Aux_puntos!$A$2:$OJ$901,156,MATCH($B$2&amp;"|yC",Aux_puntos!$1:$1,0))="",NA(),INDEX(Aux_puntos!$A$2:$OJ$901,156,MATCH($B$2&amp;"|yC",Aux_puntos!$1:$1,0))),NA())</f>
        <v>#N/A</v>
      </c>
      <c r="AG160" t="e">
        <f>IFERROR(IF(INDEX(Aux_puntos!$A$2:$OJ$901,156,MATCH($B$2&amp;"|xI",Aux_puntos!$1:$1,0))="",NA(),INDEX(Aux_puntos!$A$2:$OJ$901,156,MATCH($B$2&amp;"|xI",Aux_puntos!$1:$1,0))),NA())</f>
        <v>#N/A</v>
      </c>
      <c r="AH160" t="e">
        <f>IFERROR(IF(INDEX(Aux_puntos!$A$2:$OJ$901,156,MATCH($B$2&amp;"|yI",Aux_puntos!$1:$1,0))="",NA(),INDEX(Aux_puntos!$A$2:$OJ$901,156,MATCH($B$2&amp;"|yI",Aux_puntos!$1:$1,0))),NA())</f>
        <v>#N/A</v>
      </c>
      <c r="AI160" t="e">
        <f>IFERROR(IF(INDEX(Aux_puntos!$A$2:$OJ$901,156,MATCH($B$2&amp;"|xN",Aux_puntos!$1:$1,0))="",NA(),INDEX(Aux_puntos!$A$2:$OJ$901,156,MATCH($B$2&amp;"|xN",Aux_puntos!$1:$1,0))),NA())</f>
        <v>#N/A</v>
      </c>
      <c r="AJ160" t="e">
        <f>IFERROR(IF(INDEX(Aux_puntos!$A$2:$OJ$901,156,MATCH($B$2&amp;"|yN",Aux_puntos!$1:$1,0))="",NA(),INDEX(Aux_puntos!$A$2:$OJ$901,156,MATCH($B$2&amp;"|yN",Aux_puntos!$1:$1,0))),NA())</f>
        <v>#N/A</v>
      </c>
    </row>
    <row r="161" spans="29:36" x14ac:dyDescent="0.3">
      <c r="AC161" t="e">
        <f>IFERROR(IF(INDEX(Aux_puntos!$A$2:$OJ$901,157,MATCH($B$2&amp;"|xK",Aux_puntos!$1:$1,0))="",NA(),INDEX(Aux_puntos!$A$2:$OJ$901,157,MATCH($B$2&amp;"|xK",Aux_puntos!$1:$1,0))),NA())</f>
        <v>#N/A</v>
      </c>
      <c r="AD161" t="e">
        <f>IFERROR(IF(INDEX(Aux_puntos!$A$2:$OJ$901,157,MATCH($B$2&amp;"|yK",Aux_puntos!$1:$1,0))="",NA(),INDEX(Aux_puntos!$A$2:$OJ$901,157,MATCH($B$2&amp;"|yK",Aux_puntos!$1:$1,0))),NA())</f>
        <v>#N/A</v>
      </c>
      <c r="AE161" t="e">
        <f>IFERROR(IF(INDEX(Aux_puntos!$A$2:$OJ$901,157,MATCH($B$2&amp;"|xC",Aux_puntos!$1:$1,0))="",NA(),INDEX(Aux_puntos!$A$2:$OJ$901,157,MATCH($B$2&amp;"|xC",Aux_puntos!$1:$1,0))),NA())</f>
        <v>#N/A</v>
      </c>
      <c r="AF161" t="e">
        <f>IFERROR(IF(INDEX(Aux_puntos!$A$2:$OJ$901,157,MATCH($B$2&amp;"|yC",Aux_puntos!$1:$1,0))="",NA(),INDEX(Aux_puntos!$A$2:$OJ$901,157,MATCH($B$2&amp;"|yC",Aux_puntos!$1:$1,0))),NA())</f>
        <v>#N/A</v>
      </c>
      <c r="AG161" t="e">
        <f>IFERROR(IF(INDEX(Aux_puntos!$A$2:$OJ$901,157,MATCH($B$2&amp;"|xI",Aux_puntos!$1:$1,0))="",NA(),INDEX(Aux_puntos!$A$2:$OJ$901,157,MATCH($B$2&amp;"|xI",Aux_puntos!$1:$1,0))),NA())</f>
        <v>#N/A</v>
      </c>
      <c r="AH161" t="e">
        <f>IFERROR(IF(INDEX(Aux_puntos!$A$2:$OJ$901,157,MATCH($B$2&amp;"|yI",Aux_puntos!$1:$1,0))="",NA(),INDEX(Aux_puntos!$A$2:$OJ$901,157,MATCH($B$2&amp;"|yI",Aux_puntos!$1:$1,0))),NA())</f>
        <v>#N/A</v>
      </c>
      <c r="AI161" t="e">
        <f>IFERROR(IF(INDEX(Aux_puntos!$A$2:$OJ$901,157,MATCH($B$2&amp;"|xN",Aux_puntos!$1:$1,0))="",NA(),INDEX(Aux_puntos!$A$2:$OJ$901,157,MATCH($B$2&amp;"|xN",Aux_puntos!$1:$1,0))),NA())</f>
        <v>#N/A</v>
      </c>
      <c r="AJ161" t="e">
        <f>IFERROR(IF(INDEX(Aux_puntos!$A$2:$OJ$901,157,MATCH($B$2&amp;"|yN",Aux_puntos!$1:$1,0))="",NA(),INDEX(Aux_puntos!$A$2:$OJ$901,157,MATCH($B$2&amp;"|yN",Aux_puntos!$1:$1,0))),NA())</f>
        <v>#N/A</v>
      </c>
    </row>
    <row r="162" spans="29:36" x14ac:dyDescent="0.3">
      <c r="AC162" t="e">
        <f>IFERROR(IF(INDEX(Aux_puntos!$A$2:$OJ$901,158,MATCH($B$2&amp;"|xK",Aux_puntos!$1:$1,0))="",NA(),INDEX(Aux_puntos!$A$2:$OJ$901,158,MATCH($B$2&amp;"|xK",Aux_puntos!$1:$1,0))),NA())</f>
        <v>#N/A</v>
      </c>
      <c r="AD162" t="e">
        <f>IFERROR(IF(INDEX(Aux_puntos!$A$2:$OJ$901,158,MATCH($B$2&amp;"|yK",Aux_puntos!$1:$1,0))="",NA(),INDEX(Aux_puntos!$A$2:$OJ$901,158,MATCH($B$2&amp;"|yK",Aux_puntos!$1:$1,0))),NA())</f>
        <v>#N/A</v>
      </c>
      <c r="AE162" t="e">
        <f>IFERROR(IF(INDEX(Aux_puntos!$A$2:$OJ$901,158,MATCH($B$2&amp;"|xC",Aux_puntos!$1:$1,0))="",NA(),INDEX(Aux_puntos!$A$2:$OJ$901,158,MATCH($B$2&amp;"|xC",Aux_puntos!$1:$1,0))),NA())</f>
        <v>#N/A</v>
      </c>
      <c r="AF162" t="e">
        <f>IFERROR(IF(INDEX(Aux_puntos!$A$2:$OJ$901,158,MATCH($B$2&amp;"|yC",Aux_puntos!$1:$1,0))="",NA(),INDEX(Aux_puntos!$A$2:$OJ$901,158,MATCH($B$2&amp;"|yC",Aux_puntos!$1:$1,0))),NA())</f>
        <v>#N/A</v>
      </c>
      <c r="AG162" t="e">
        <f>IFERROR(IF(INDEX(Aux_puntos!$A$2:$OJ$901,158,MATCH($B$2&amp;"|xI",Aux_puntos!$1:$1,0))="",NA(),INDEX(Aux_puntos!$A$2:$OJ$901,158,MATCH($B$2&amp;"|xI",Aux_puntos!$1:$1,0))),NA())</f>
        <v>#N/A</v>
      </c>
      <c r="AH162" t="e">
        <f>IFERROR(IF(INDEX(Aux_puntos!$A$2:$OJ$901,158,MATCH($B$2&amp;"|yI",Aux_puntos!$1:$1,0))="",NA(),INDEX(Aux_puntos!$A$2:$OJ$901,158,MATCH($B$2&amp;"|yI",Aux_puntos!$1:$1,0))),NA())</f>
        <v>#N/A</v>
      </c>
      <c r="AI162" t="e">
        <f>IFERROR(IF(INDEX(Aux_puntos!$A$2:$OJ$901,158,MATCH($B$2&amp;"|xN",Aux_puntos!$1:$1,0))="",NA(),INDEX(Aux_puntos!$A$2:$OJ$901,158,MATCH($B$2&amp;"|xN",Aux_puntos!$1:$1,0))),NA())</f>
        <v>#N/A</v>
      </c>
      <c r="AJ162" t="e">
        <f>IFERROR(IF(INDEX(Aux_puntos!$A$2:$OJ$901,158,MATCH($B$2&amp;"|yN",Aux_puntos!$1:$1,0))="",NA(),INDEX(Aux_puntos!$A$2:$OJ$901,158,MATCH($B$2&amp;"|yN",Aux_puntos!$1:$1,0))),NA())</f>
        <v>#N/A</v>
      </c>
    </row>
    <row r="163" spans="29:36" x14ac:dyDescent="0.3">
      <c r="AC163" t="e">
        <f>IFERROR(IF(INDEX(Aux_puntos!$A$2:$OJ$901,159,MATCH($B$2&amp;"|xK",Aux_puntos!$1:$1,0))="",NA(),INDEX(Aux_puntos!$A$2:$OJ$901,159,MATCH($B$2&amp;"|xK",Aux_puntos!$1:$1,0))),NA())</f>
        <v>#N/A</v>
      </c>
      <c r="AD163" t="e">
        <f>IFERROR(IF(INDEX(Aux_puntos!$A$2:$OJ$901,159,MATCH($B$2&amp;"|yK",Aux_puntos!$1:$1,0))="",NA(),INDEX(Aux_puntos!$A$2:$OJ$901,159,MATCH($B$2&amp;"|yK",Aux_puntos!$1:$1,0))),NA())</f>
        <v>#N/A</v>
      </c>
      <c r="AE163" t="e">
        <f>IFERROR(IF(INDEX(Aux_puntos!$A$2:$OJ$901,159,MATCH($B$2&amp;"|xC",Aux_puntos!$1:$1,0))="",NA(),INDEX(Aux_puntos!$A$2:$OJ$901,159,MATCH($B$2&amp;"|xC",Aux_puntos!$1:$1,0))),NA())</f>
        <v>#N/A</v>
      </c>
      <c r="AF163" t="e">
        <f>IFERROR(IF(INDEX(Aux_puntos!$A$2:$OJ$901,159,MATCH($B$2&amp;"|yC",Aux_puntos!$1:$1,0))="",NA(),INDEX(Aux_puntos!$A$2:$OJ$901,159,MATCH($B$2&amp;"|yC",Aux_puntos!$1:$1,0))),NA())</f>
        <v>#N/A</v>
      </c>
      <c r="AG163" t="e">
        <f>IFERROR(IF(INDEX(Aux_puntos!$A$2:$OJ$901,159,MATCH($B$2&amp;"|xI",Aux_puntos!$1:$1,0))="",NA(),INDEX(Aux_puntos!$A$2:$OJ$901,159,MATCH($B$2&amp;"|xI",Aux_puntos!$1:$1,0))),NA())</f>
        <v>#N/A</v>
      </c>
      <c r="AH163" t="e">
        <f>IFERROR(IF(INDEX(Aux_puntos!$A$2:$OJ$901,159,MATCH($B$2&amp;"|yI",Aux_puntos!$1:$1,0))="",NA(),INDEX(Aux_puntos!$A$2:$OJ$901,159,MATCH($B$2&amp;"|yI",Aux_puntos!$1:$1,0))),NA())</f>
        <v>#N/A</v>
      </c>
      <c r="AI163" t="e">
        <f>IFERROR(IF(INDEX(Aux_puntos!$A$2:$OJ$901,159,MATCH($B$2&amp;"|xN",Aux_puntos!$1:$1,0))="",NA(),INDEX(Aux_puntos!$A$2:$OJ$901,159,MATCH($B$2&amp;"|xN",Aux_puntos!$1:$1,0))),NA())</f>
        <v>#N/A</v>
      </c>
      <c r="AJ163" t="e">
        <f>IFERROR(IF(INDEX(Aux_puntos!$A$2:$OJ$901,159,MATCH($B$2&amp;"|yN",Aux_puntos!$1:$1,0))="",NA(),INDEX(Aux_puntos!$A$2:$OJ$901,159,MATCH($B$2&amp;"|yN",Aux_puntos!$1:$1,0))),NA())</f>
        <v>#N/A</v>
      </c>
    </row>
    <row r="164" spans="29:36" x14ac:dyDescent="0.3">
      <c r="AC164" t="e">
        <f>IFERROR(IF(INDEX(Aux_puntos!$A$2:$OJ$901,160,MATCH($B$2&amp;"|xK",Aux_puntos!$1:$1,0))="",NA(),INDEX(Aux_puntos!$A$2:$OJ$901,160,MATCH($B$2&amp;"|xK",Aux_puntos!$1:$1,0))),NA())</f>
        <v>#N/A</v>
      </c>
      <c r="AD164" t="e">
        <f>IFERROR(IF(INDEX(Aux_puntos!$A$2:$OJ$901,160,MATCH($B$2&amp;"|yK",Aux_puntos!$1:$1,0))="",NA(),INDEX(Aux_puntos!$A$2:$OJ$901,160,MATCH($B$2&amp;"|yK",Aux_puntos!$1:$1,0))),NA())</f>
        <v>#N/A</v>
      </c>
      <c r="AE164" t="e">
        <f>IFERROR(IF(INDEX(Aux_puntos!$A$2:$OJ$901,160,MATCH($B$2&amp;"|xC",Aux_puntos!$1:$1,0))="",NA(),INDEX(Aux_puntos!$A$2:$OJ$901,160,MATCH($B$2&amp;"|xC",Aux_puntos!$1:$1,0))),NA())</f>
        <v>#N/A</v>
      </c>
      <c r="AF164" t="e">
        <f>IFERROR(IF(INDEX(Aux_puntos!$A$2:$OJ$901,160,MATCH($B$2&amp;"|yC",Aux_puntos!$1:$1,0))="",NA(),INDEX(Aux_puntos!$A$2:$OJ$901,160,MATCH($B$2&amp;"|yC",Aux_puntos!$1:$1,0))),NA())</f>
        <v>#N/A</v>
      </c>
      <c r="AG164" t="e">
        <f>IFERROR(IF(INDEX(Aux_puntos!$A$2:$OJ$901,160,MATCH($B$2&amp;"|xI",Aux_puntos!$1:$1,0))="",NA(),INDEX(Aux_puntos!$A$2:$OJ$901,160,MATCH($B$2&amp;"|xI",Aux_puntos!$1:$1,0))),NA())</f>
        <v>#N/A</v>
      </c>
      <c r="AH164" t="e">
        <f>IFERROR(IF(INDEX(Aux_puntos!$A$2:$OJ$901,160,MATCH($B$2&amp;"|yI",Aux_puntos!$1:$1,0))="",NA(),INDEX(Aux_puntos!$A$2:$OJ$901,160,MATCH($B$2&amp;"|yI",Aux_puntos!$1:$1,0))),NA())</f>
        <v>#N/A</v>
      </c>
      <c r="AI164" t="e">
        <f>IFERROR(IF(INDEX(Aux_puntos!$A$2:$OJ$901,160,MATCH($B$2&amp;"|xN",Aux_puntos!$1:$1,0))="",NA(),INDEX(Aux_puntos!$A$2:$OJ$901,160,MATCH($B$2&amp;"|xN",Aux_puntos!$1:$1,0))),NA())</f>
        <v>#N/A</v>
      </c>
      <c r="AJ164" t="e">
        <f>IFERROR(IF(INDEX(Aux_puntos!$A$2:$OJ$901,160,MATCH($B$2&amp;"|yN",Aux_puntos!$1:$1,0))="",NA(),INDEX(Aux_puntos!$A$2:$OJ$901,160,MATCH($B$2&amp;"|yN",Aux_puntos!$1:$1,0))),NA())</f>
        <v>#N/A</v>
      </c>
    </row>
    <row r="165" spans="29:36" x14ac:dyDescent="0.3">
      <c r="AC165" t="e">
        <f>IFERROR(IF(INDEX(Aux_puntos!$A$2:$OJ$901,161,MATCH($B$2&amp;"|xK",Aux_puntos!$1:$1,0))="",NA(),INDEX(Aux_puntos!$A$2:$OJ$901,161,MATCH($B$2&amp;"|xK",Aux_puntos!$1:$1,0))),NA())</f>
        <v>#N/A</v>
      </c>
      <c r="AD165" t="e">
        <f>IFERROR(IF(INDEX(Aux_puntos!$A$2:$OJ$901,161,MATCH($B$2&amp;"|yK",Aux_puntos!$1:$1,0))="",NA(),INDEX(Aux_puntos!$A$2:$OJ$901,161,MATCH($B$2&amp;"|yK",Aux_puntos!$1:$1,0))),NA())</f>
        <v>#N/A</v>
      </c>
      <c r="AE165" t="e">
        <f>IFERROR(IF(INDEX(Aux_puntos!$A$2:$OJ$901,161,MATCH($B$2&amp;"|xC",Aux_puntos!$1:$1,0))="",NA(),INDEX(Aux_puntos!$A$2:$OJ$901,161,MATCH($B$2&amp;"|xC",Aux_puntos!$1:$1,0))),NA())</f>
        <v>#N/A</v>
      </c>
      <c r="AF165" t="e">
        <f>IFERROR(IF(INDEX(Aux_puntos!$A$2:$OJ$901,161,MATCH($B$2&amp;"|yC",Aux_puntos!$1:$1,0))="",NA(),INDEX(Aux_puntos!$A$2:$OJ$901,161,MATCH($B$2&amp;"|yC",Aux_puntos!$1:$1,0))),NA())</f>
        <v>#N/A</v>
      </c>
      <c r="AG165" t="e">
        <f>IFERROR(IF(INDEX(Aux_puntos!$A$2:$OJ$901,161,MATCH($B$2&amp;"|xI",Aux_puntos!$1:$1,0))="",NA(),INDEX(Aux_puntos!$A$2:$OJ$901,161,MATCH($B$2&amp;"|xI",Aux_puntos!$1:$1,0))),NA())</f>
        <v>#N/A</v>
      </c>
      <c r="AH165" t="e">
        <f>IFERROR(IF(INDEX(Aux_puntos!$A$2:$OJ$901,161,MATCH($B$2&amp;"|yI",Aux_puntos!$1:$1,0))="",NA(),INDEX(Aux_puntos!$A$2:$OJ$901,161,MATCH($B$2&amp;"|yI",Aux_puntos!$1:$1,0))),NA())</f>
        <v>#N/A</v>
      </c>
      <c r="AI165" t="e">
        <f>IFERROR(IF(INDEX(Aux_puntos!$A$2:$OJ$901,161,MATCH($B$2&amp;"|xN",Aux_puntos!$1:$1,0))="",NA(),INDEX(Aux_puntos!$A$2:$OJ$901,161,MATCH($B$2&amp;"|xN",Aux_puntos!$1:$1,0))),NA())</f>
        <v>#N/A</v>
      </c>
      <c r="AJ165" t="e">
        <f>IFERROR(IF(INDEX(Aux_puntos!$A$2:$OJ$901,161,MATCH($B$2&amp;"|yN",Aux_puntos!$1:$1,0))="",NA(),INDEX(Aux_puntos!$A$2:$OJ$901,161,MATCH($B$2&amp;"|yN",Aux_puntos!$1:$1,0))),NA())</f>
        <v>#N/A</v>
      </c>
    </row>
    <row r="166" spans="29:36" x14ac:dyDescent="0.3">
      <c r="AC166" t="e">
        <f>IFERROR(IF(INDEX(Aux_puntos!$A$2:$OJ$901,162,MATCH($B$2&amp;"|xK",Aux_puntos!$1:$1,0))="",NA(),INDEX(Aux_puntos!$A$2:$OJ$901,162,MATCH($B$2&amp;"|xK",Aux_puntos!$1:$1,0))),NA())</f>
        <v>#N/A</v>
      </c>
      <c r="AD166" t="e">
        <f>IFERROR(IF(INDEX(Aux_puntos!$A$2:$OJ$901,162,MATCH($B$2&amp;"|yK",Aux_puntos!$1:$1,0))="",NA(),INDEX(Aux_puntos!$A$2:$OJ$901,162,MATCH($B$2&amp;"|yK",Aux_puntos!$1:$1,0))),NA())</f>
        <v>#N/A</v>
      </c>
      <c r="AE166" t="e">
        <f>IFERROR(IF(INDEX(Aux_puntos!$A$2:$OJ$901,162,MATCH($B$2&amp;"|xC",Aux_puntos!$1:$1,0))="",NA(),INDEX(Aux_puntos!$A$2:$OJ$901,162,MATCH($B$2&amp;"|xC",Aux_puntos!$1:$1,0))),NA())</f>
        <v>#N/A</v>
      </c>
      <c r="AF166" t="e">
        <f>IFERROR(IF(INDEX(Aux_puntos!$A$2:$OJ$901,162,MATCH($B$2&amp;"|yC",Aux_puntos!$1:$1,0))="",NA(),INDEX(Aux_puntos!$A$2:$OJ$901,162,MATCH($B$2&amp;"|yC",Aux_puntos!$1:$1,0))),NA())</f>
        <v>#N/A</v>
      </c>
      <c r="AG166" t="e">
        <f>IFERROR(IF(INDEX(Aux_puntos!$A$2:$OJ$901,162,MATCH($B$2&amp;"|xI",Aux_puntos!$1:$1,0))="",NA(),INDEX(Aux_puntos!$A$2:$OJ$901,162,MATCH($B$2&amp;"|xI",Aux_puntos!$1:$1,0))),NA())</f>
        <v>#N/A</v>
      </c>
      <c r="AH166" t="e">
        <f>IFERROR(IF(INDEX(Aux_puntos!$A$2:$OJ$901,162,MATCH($B$2&amp;"|yI",Aux_puntos!$1:$1,0))="",NA(),INDEX(Aux_puntos!$A$2:$OJ$901,162,MATCH($B$2&amp;"|yI",Aux_puntos!$1:$1,0))),NA())</f>
        <v>#N/A</v>
      </c>
      <c r="AI166" t="e">
        <f>IFERROR(IF(INDEX(Aux_puntos!$A$2:$OJ$901,162,MATCH($B$2&amp;"|xN",Aux_puntos!$1:$1,0))="",NA(),INDEX(Aux_puntos!$A$2:$OJ$901,162,MATCH($B$2&amp;"|xN",Aux_puntos!$1:$1,0))),NA())</f>
        <v>#N/A</v>
      </c>
      <c r="AJ166" t="e">
        <f>IFERROR(IF(INDEX(Aux_puntos!$A$2:$OJ$901,162,MATCH($B$2&amp;"|yN",Aux_puntos!$1:$1,0))="",NA(),INDEX(Aux_puntos!$A$2:$OJ$901,162,MATCH($B$2&amp;"|yN",Aux_puntos!$1:$1,0))),NA())</f>
        <v>#N/A</v>
      </c>
    </row>
    <row r="167" spans="29:36" x14ac:dyDescent="0.3">
      <c r="AC167" t="e">
        <f>IFERROR(IF(INDEX(Aux_puntos!$A$2:$OJ$901,163,MATCH($B$2&amp;"|xK",Aux_puntos!$1:$1,0))="",NA(),INDEX(Aux_puntos!$A$2:$OJ$901,163,MATCH($B$2&amp;"|xK",Aux_puntos!$1:$1,0))),NA())</f>
        <v>#N/A</v>
      </c>
      <c r="AD167" t="e">
        <f>IFERROR(IF(INDEX(Aux_puntos!$A$2:$OJ$901,163,MATCH($B$2&amp;"|yK",Aux_puntos!$1:$1,0))="",NA(),INDEX(Aux_puntos!$A$2:$OJ$901,163,MATCH($B$2&amp;"|yK",Aux_puntos!$1:$1,0))),NA())</f>
        <v>#N/A</v>
      </c>
      <c r="AE167" t="e">
        <f>IFERROR(IF(INDEX(Aux_puntos!$A$2:$OJ$901,163,MATCH($B$2&amp;"|xC",Aux_puntos!$1:$1,0))="",NA(),INDEX(Aux_puntos!$A$2:$OJ$901,163,MATCH($B$2&amp;"|xC",Aux_puntos!$1:$1,0))),NA())</f>
        <v>#N/A</v>
      </c>
      <c r="AF167" t="e">
        <f>IFERROR(IF(INDEX(Aux_puntos!$A$2:$OJ$901,163,MATCH($B$2&amp;"|yC",Aux_puntos!$1:$1,0))="",NA(),INDEX(Aux_puntos!$A$2:$OJ$901,163,MATCH($B$2&amp;"|yC",Aux_puntos!$1:$1,0))),NA())</f>
        <v>#N/A</v>
      </c>
      <c r="AG167" t="e">
        <f>IFERROR(IF(INDEX(Aux_puntos!$A$2:$OJ$901,163,MATCH($B$2&amp;"|xI",Aux_puntos!$1:$1,0))="",NA(),INDEX(Aux_puntos!$A$2:$OJ$901,163,MATCH($B$2&amp;"|xI",Aux_puntos!$1:$1,0))),NA())</f>
        <v>#N/A</v>
      </c>
      <c r="AH167" t="e">
        <f>IFERROR(IF(INDEX(Aux_puntos!$A$2:$OJ$901,163,MATCH($B$2&amp;"|yI",Aux_puntos!$1:$1,0))="",NA(),INDEX(Aux_puntos!$A$2:$OJ$901,163,MATCH($B$2&amp;"|yI",Aux_puntos!$1:$1,0))),NA())</f>
        <v>#N/A</v>
      </c>
      <c r="AI167" t="e">
        <f>IFERROR(IF(INDEX(Aux_puntos!$A$2:$OJ$901,163,MATCH($B$2&amp;"|xN",Aux_puntos!$1:$1,0))="",NA(),INDEX(Aux_puntos!$A$2:$OJ$901,163,MATCH($B$2&amp;"|xN",Aux_puntos!$1:$1,0))),NA())</f>
        <v>#N/A</v>
      </c>
      <c r="AJ167" t="e">
        <f>IFERROR(IF(INDEX(Aux_puntos!$A$2:$OJ$901,163,MATCH($B$2&amp;"|yN",Aux_puntos!$1:$1,0))="",NA(),INDEX(Aux_puntos!$A$2:$OJ$901,163,MATCH($B$2&amp;"|yN",Aux_puntos!$1:$1,0))),NA())</f>
        <v>#N/A</v>
      </c>
    </row>
    <row r="168" spans="29:36" x14ac:dyDescent="0.3">
      <c r="AC168" t="e">
        <f>IFERROR(IF(INDEX(Aux_puntos!$A$2:$OJ$901,164,MATCH($B$2&amp;"|xK",Aux_puntos!$1:$1,0))="",NA(),INDEX(Aux_puntos!$A$2:$OJ$901,164,MATCH($B$2&amp;"|xK",Aux_puntos!$1:$1,0))),NA())</f>
        <v>#N/A</v>
      </c>
      <c r="AD168" t="e">
        <f>IFERROR(IF(INDEX(Aux_puntos!$A$2:$OJ$901,164,MATCH($B$2&amp;"|yK",Aux_puntos!$1:$1,0))="",NA(),INDEX(Aux_puntos!$A$2:$OJ$901,164,MATCH($B$2&amp;"|yK",Aux_puntos!$1:$1,0))),NA())</f>
        <v>#N/A</v>
      </c>
      <c r="AE168" t="e">
        <f>IFERROR(IF(INDEX(Aux_puntos!$A$2:$OJ$901,164,MATCH($B$2&amp;"|xC",Aux_puntos!$1:$1,0))="",NA(),INDEX(Aux_puntos!$A$2:$OJ$901,164,MATCH($B$2&amp;"|xC",Aux_puntos!$1:$1,0))),NA())</f>
        <v>#N/A</v>
      </c>
      <c r="AF168" t="e">
        <f>IFERROR(IF(INDEX(Aux_puntos!$A$2:$OJ$901,164,MATCH($B$2&amp;"|yC",Aux_puntos!$1:$1,0))="",NA(),INDEX(Aux_puntos!$A$2:$OJ$901,164,MATCH($B$2&amp;"|yC",Aux_puntos!$1:$1,0))),NA())</f>
        <v>#N/A</v>
      </c>
      <c r="AG168" t="e">
        <f>IFERROR(IF(INDEX(Aux_puntos!$A$2:$OJ$901,164,MATCH($B$2&amp;"|xI",Aux_puntos!$1:$1,0))="",NA(),INDEX(Aux_puntos!$A$2:$OJ$901,164,MATCH($B$2&amp;"|xI",Aux_puntos!$1:$1,0))),NA())</f>
        <v>#N/A</v>
      </c>
      <c r="AH168" t="e">
        <f>IFERROR(IF(INDEX(Aux_puntos!$A$2:$OJ$901,164,MATCH($B$2&amp;"|yI",Aux_puntos!$1:$1,0))="",NA(),INDEX(Aux_puntos!$A$2:$OJ$901,164,MATCH($B$2&amp;"|yI",Aux_puntos!$1:$1,0))),NA())</f>
        <v>#N/A</v>
      </c>
      <c r="AI168" t="e">
        <f>IFERROR(IF(INDEX(Aux_puntos!$A$2:$OJ$901,164,MATCH($B$2&amp;"|xN",Aux_puntos!$1:$1,0))="",NA(),INDEX(Aux_puntos!$A$2:$OJ$901,164,MATCH($B$2&amp;"|xN",Aux_puntos!$1:$1,0))),NA())</f>
        <v>#N/A</v>
      </c>
      <c r="AJ168" t="e">
        <f>IFERROR(IF(INDEX(Aux_puntos!$A$2:$OJ$901,164,MATCH($B$2&amp;"|yN",Aux_puntos!$1:$1,0))="",NA(),INDEX(Aux_puntos!$A$2:$OJ$901,164,MATCH($B$2&amp;"|yN",Aux_puntos!$1:$1,0))),NA())</f>
        <v>#N/A</v>
      </c>
    </row>
    <row r="169" spans="29:36" x14ac:dyDescent="0.3">
      <c r="AC169" t="e">
        <f>IFERROR(IF(INDEX(Aux_puntos!$A$2:$OJ$901,165,MATCH($B$2&amp;"|xK",Aux_puntos!$1:$1,0))="",NA(),INDEX(Aux_puntos!$A$2:$OJ$901,165,MATCH($B$2&amp;"|xK",Aux_puntos!$1:$1,0))),NA())</f>
        <v>#N/A</v>
      </c>
      <c r="AD169" t="e">
        <f>IFERROR(IF(INDEX(Aux_puntos!$A$2:$OJ$901,165,MATCH($B$2&amp;"|yK",Aux_puntos!$1:$1,0))="",NA(),INDEX(Aux_puntos!$A$2:$OJ$901,165,MATCH($B$2&amp;"|yK",Aux_puntos!$1:$1,0))),NA())</f>
        <v>#N/A</v>
      </c>
      <c r="AE169" t="e">
        <f>IFERROR(IF(INDEX(Aux_puntos!$A$2:$OJ$901,165,MATCH($B$2&amp;"|xC",Aux_puntos!$1:$1,0))="",NA(),INDEX(Aux_puntos!$A$2:$OJ$901,165,MATCH($B$2&amp;"|xC",Aux_puntos!$1:$1,0))),NA())</f>
        <v>#N/A</v>
      </c>
      <c r="AF169" t="e">
        <f>IFERROR(IF(INDEX(Aux_puntos!$A$2:$OJ$901,165,MATCH($B$2&amp;"|yC",Aux_puntos!$1:$1,0))="",NA(),INDEX(Aux_puntos!$A$2:$OJ$901,165,MATCH($B$2&amp;"|yC",Aux_puntos!$1:$1,0))),NA())</f>
        <v>#N/A</v>
      </c>
      <c r="AG169" t="e">
        <f>IFERROR(IF(INDEX(Aux_puntos!$A$2:$OJ$901,165,MATCH($B$2&amp;"|xI",Aux_puntos!$1:$1,0))="",NA(),INDEX(Aux_puntos!$A$2:$OJ$901,165,MATCH($B$2&amp;"|xI",Aux_puntos!$1:$1,0))),NA())</f>
        <v>#N/A</v>
      </c>
      <c r="AH169" t="e">
        <f>IFERROR(IF(INDEX(Aux_puntos!$A$2:$OJ$901,165,MATCH($B$2&amp;"|yI",Aux_puntos!$1:$1,0))="",NA(),INDEX(Aux_puntos!$A$2:$OJ$901,165,MATCH($B$2&amp;"|yI",Aux_puntos!$1:$1,0))),NA())</f>
        <v>#N/A</v>
      </c>
      <c r="AI169" t="e">
        <f>IFERROR(IF(INDEX(Aux_puntos!$A$2:$OJ$901,165,MATCH($B$2&amp;"|xN",Aux_puntos!$1:$1,0))="",NA(),INDEX(Aux_puntos!$A$2:$OJ$901,165,MATCH($B$2&amp;"|xN",Aux_puntos!$1:$1,0))),NA())</f>
        <v>#N/A</v>
      </c>
      <c r="AJ169" t="e">
        <f>IFERROR(IF(INDEX(Aux_puntos!$A$2:$OJ$901,165,MATCH($B$2&amp;"|yN",Aux_puntos!$1:$1,0))="",NA(),INDEX(Aux_puntos!$A$2:$OJ$901,165,MATCH($B$2&amp;"|yN",Aux_puntos!$1:$1,0))),NA())</f>
        <v>#N/A</v>
      </c>
    </row>
    <row r="170" spans="29:36" x14ac:dyDescent="0.3">
      <c r="AC170" t="e">
        <f>IFERROR(IF(INDEX(Aux_puntos!$A$2:$OJ$901,166,MATCH($B$2&amp;"|xK",Aux_puntos!$1:$1,0))="",NA(),INDEX(Aux_puntos!$A$2:$OJ$901,166,MATCH($B$2&amp;"|xK",Aux_puntos!$1:$1,0))),NA())</f>
        <v>#N/A</v>
      </c>
      <c r="AD170" t="e">
        <f>IFERROR(IF(INDEX(Aux_puntos!$A$2:$OJ$901,166,MATCH($B$2&amp;"|yK",Aux_puntos!$1:$1,0))="",NA(),INDEX(Aux_puntos!$A$2:$OJ$901,166,MATCH($B$2&amp;"|yK",Aux_puntos!$1:$1,0))),NA())</f>
        <v>#N/A</v>
      </c>
      <c r="AE170" t="e">
        <f>IFERROR(IF(INDEX(Aux_puntos!$A$2:$OJ$901,166,MATCH($B$2&amp;"|xC",Aux_puntos!$1:$1,0))="",NA(),INDEX(Aux_puntos!$A$2:$OJ$901,166,MATCH($B$2&amp;"|xC",Aux_puntos!$1:$1,0))),NA())</f>
        <v>#N/A</v>
      </c>
      <c r="AF170" t="e">
        <f>IFERROR(IF(INDEX(Aux_puntos!$A$2:$OJ$901,166,MATCH($B$2&amp;"|yC",Aux_puntos!$1:$1,0))="",NA(),INDEX(Aux_puntos!$A$2:$OJ$901,166,MATCH($B$2&amp;"|yC",Aux_puntos!$1:$1,0))),NA())</f>
        <v>#N/A</v>
      </c>
      <c r="AG170" t="e">
        <f>IFERROR(IF(INDEX(Aux_puntos!$A$2:$OJ$901,166,MATCH($B$2&amp;"|xI",Aux_puntos!$1:$1,0))="",NA(),INDEX(Aux_puntos!$A$2:$OJ$901,166,MATCH($B$2&amp;"|xI",Aux_puntos!$1:$1,0))),NA())</f>
        <v>#N/A</v>
      </c>
      <c r="AH170" t="e">
        <f>IFERROR(IF(INDEX(Aux_puntos!$A$2:$OJ$901,166,MATCH($B$2&amp;"|yI",Aux_puntos!$1:$1,0))="",NA(),INDEX(Aux_puntos!$A$2:$OJ$901,166,MATCH($B$2&amp;"|yI",Aux_puntos!$1:$1,0))),NA())</f>
        <v>#N/A</v>
      </c>
      <c r="AI170" t="e">
        <f>IFERROR(IF(INDEX(Aux_puntos!$A$2:$OJ$901,166,MATCH($B$2&amp;"|xN",Aux_puntos!$1:$1,0))="",NA(),INDEX(Aux_puntos!$A$2:$OJ$901,166,MATCH($B$2&amp;"|xN",Aux_puntos!$1:$1,0))),NA())</f>
        <v>#N/A</v>
      </c>
      <c r="AJ170" t="e">
        <f>IFERROR(IF(INDEX(Aux_puntos!$A$2:$OJ$901,166,MATCH($B$2&amp;"|yN",Aux_puntos!$1:$1,0))="",NA(),INDEX(Aux_puntos!$A$2:$OJ$901,166,MATCH($B$2&amp;"|yN",Aux_puntos!$1:$1,0))),NA())</f>
        <v>#N/A</v>
      </c>
    </row>
    <row r="171" spans="29:36" x14ac:dyDescent="0.3">
      <c r="AC171" t="e">
        <f>IFERROR(IF(INDEX(Aux_puntos!$A$2:$OJ$901,167,MATCH($B$2&amp;"|xK",Aux_puntos!$1:$1,0))="",NA(),INDEX(Aux_puntos!$A$2:$OJ$901,167,MATCH($B$2&amp;"|xK",Aux_puntos!$1:$1,0))),NA())</f>
        <v>#N/A</v>
      </c>
      <c r="AD171" t="e">
        <f>IFERROR(IF(INDEX(Aux_puntos!$A$2:$OJ$901,167,MATCH($B$2&amp;"|yK",Aux_puntos!$1:$1,0))="",NA(),INDEX(Aux_puntos!$A$2:$OJ$901,167,MATCH($B$2&amp;"|yK",Aux_puntos!$1:$1,0))),NA())</f>
        <v>#N/A</v>
      </c>
      <c r="AE171" t="e">
        <f>IFERROR(IF(INDEX(Aux_puntos!$A$2:$OJ$901,167,MATCH($B$2&amp;"|xC",Aux_puntos!$1:$1,0))="",NA(),INDEX(Aux_puntos!$A$2:$OJ$901,167,MATCH($B$2&amp;"|xC",Aux_puntos!$1:$1,0))),NA())</f>
        <v>#N/A</v>
      </c>
      <c r="AF171" t="e">
        <f>IFERROR(IF(INDEX(Aux_puntos!$A$2:$OJ$901,167,MATCH($B$2&amp;"|yC",Aux_puntos!$1:$1,0))="",NA(),INDEX(Aux_puntos!$A$2:$OJ$901,167,MATCH($B$2&amp;"|yC",Aux_puntos!$1:$1,0))),NA())</f>
        <v>#N/A</v>
      </c>
      <c r="AG171" t="e">
        <f>IFERROR(IF(INDEX(Aux_puntos!$A$2:$OJ$901,167,MATCH($B$2&amp;"|xI",Aux_puntos!$1:$1,0))="",NA(),INDEX(Aux_puntos!$A$2:$OJ$901,167,MATCH($B$2&amp;"|xI",Aux_puntos!$1:$1,0))),NA())</f>
        <v>#N/A</v>
      </c>
      <c r="AH171" t="e">
        <f>IFERROR(IF(INDEX(Aux_puntos!$A$2:$OJ$901,167,MATCH($B$2&amp;"|yI",Aux_puntos!$1:$1,0))="",NA(),INDEX(Aux_puntos!$A$2:$OJ$901,167,MATCH($B$2&amp;"|yI",Aux_puntos!$1:$1,0))),NA())</f>
        <v>#N/A</v>
      </c>
      <c r="AI171" t="e">
        <f>IFERROR(IF(INDEX(Aux_puntos!$A$2:$OJ$901,167,MATCH($B$2&amp;"|xN",Aux_puntos!$1:$1,0))="",NA(),INDEX(Aux_puntos!$A$2:$OJ$901,167,MATCH($B$2&amp;"|xN",Aux_puntos!$1:$1,0))),NA())</f>
        <v>#N/A</v>
      </c>
      <c r="AJ171" t="e">
        <f>IFERROR(IF(INDEX(Aux_puntos!$A$2:$OJ$901,167,MATCH($B$2&amp;"|yN",Aux_puntos!$1:$1,0))="",NA(),INDEX(Aux_puntos!$A$2:$OJ$901,167,MATCH($B$2&amp;"|yN",Aux_puntos!$1:$1,0))),NA())</f>
        <v>#N/A</v>
      </c>
    </row>
    <row r="172" spans="29:36" x14ac:dyDescent="0.3">
      <c r="AC172" t="e">
        <f>IFERROR(IF(INDEX(Aux_puntos!$A$2:$OJ$901,168,MATCH($B$2&amp;"|xK",Aux_puntos!$1:$1,0))="",NA(),INDEX(Aux_puntos!$A$2:$OJ$901,168,MATCH($B$2&amp;"|xK",Aux_puntos!$1:$1,0))),NA())</f>
        <v>#N/A</v>
      </c>
      <c r="AD172" t="e">
        <f>IFERROR(IF(INDEX(Aux_puntos!$A$2:$OJ$901,168,MATCH($B$2&amp;"|yK",Aux_puntos!$1:$1,0))="",NA(),INDEX(Aux_puntos!$A$2:$OJ$901,168,MATCH($B$2&amp;"|yK",Aux_puntos!$1:$1,0))),NA())</f>
        <v>#N/A</v>
      </c>
      <c r="AE172" t="e">
        <f>IFERROR(IF(INDEX(Aux_puntos!$A$2:$OJ$901,168,MATCH($B$2&amp;"|xC",Aux_puntos!$1:$1,0))="",NA(),INDEX(Aux_puntos!$A$2:$OJ$901,168,MATCH($B$2&amp;"|xC",Aux_puntos!$1:$1,0))),NA())</f>
        <v>#N/A</v>
      </c>
      <c r="AF172" t="e">
        <f>IFERROR(IF(INDEX(Aux_puntos!$A$2:$OJ$901,168,MATCH($B$2&amp;"|yC",Aux_puntos!$1:$1,0))="",NA(),INDEX(Aux_puntos!$A$2:$OJ$901,168,MATCH($B$2&amp;"|yC",Aux_puntos!$1:$1,0))),NA())</f>
        <v>#N/A</v>
      </c>
      <c r="AG172" t="e">
        <f>IFERROR(IF(INDEX(Aux_puntos!$A$2:$OJ$901,168,MATCH($B$2&amp;"|xI",Aux_puntos!$1:$1,0))="",NA(),INDEX(Aux_puntos!$A$2:$OJ$901,168,MATCH($B$2&amp;"|xI",Aux_puntos!$1:$1,0))),NA())</f>
        <v>#N/A</v>
      </c>
      <c r="AH172" t="e">
        <f>IFERROR(IF(INDEX(Aux_puntos!$A$2:$OJ$901,168,MATCH($B$2&amp;"|yI",Aux_puntos!$1:$1,0))="",NA(),INDEX(Aux_puntos!$A$2:$OJ$901,168,MATCH($B$2&amp;"|yI",Aux_puntos!$1:$1,0))),NA())</f>
        <v>#N/A</v>
      </c>
      <c r="AI172" t="e">
        <f>IFERROR(IF(INDEX(Aux_puntos!$A$2:$OJ$901,168,MATCH($B$2&amp;"|xN",Aux_puntos!$1:$1,0))="",NA(),INDEX(Aux_puntos!$A$2:$OJ$901,168,MATCH($B$2&amp;"|xN",Aux_puntos!$1:$1,0))),NA())</f>
        <v>#N/A</v>
      </c>
      <c r="AJ172" t="e">
        <f>IFERROR(IF(INDEX(Aux_puntos!$A$2:$OJ$901,168,MATCH($B$2&amp;"|yN",Aux_puntos!$1:$1,0))="",NA(),INDEX(Aux_puntos!$A$2:$OJ$901,168,MATCH($B$2&amp;"|yN",Aux_puntos!$1:$1,0))),NA())</f>
        <v>#N/A</v>
      </c>
    </row>
    <row r="173" spans="29:36" x14ac:dyDescent="0.3">
      <c r="AC173" t="e">
        <f>IFERROR(IF(INDEX(Aux_puntos!$A$2:$OJ$901,169,MATCH($B$2&amp;"|xK",Aux_puntos!$1:$1,0))="",NA(),INDEX(Aux_puntos!$A$2:$OJ$901,169,MATCH($B$2&amp;"|xK",Aux_puntos!$1:$1,0))),NA())</f>
        <v>#N/A</v>
      </c>
      <c r="AD173" t="e">
        <f>IFERROR(IF(INDEX(Aux_puntos!$A$2:$OJ$901,169,MATCH($B$2&amp;"|yK",Aux_puntos!$1:$1,0))="",NA(),INDEX(Aux_puntos!$A$2:$OJ$901,169,MATCH($B$2&amp;"|yK",Aux_puntos!$1:$1,0))),NA())</f>
        <v>#N/A</v>
      </c>
      <c r="AE173" t="e">
        <f>IFERROR(IF(INDEX(Aux_puntos!$A$2:$OJ$901,169,MATCH($B$2&amp;"|xC",Aux_puntos!$1:$1,0))="",NA(),INDEX(Aux_puntos!$A$2:$OJ$901,169,MATCH($B$2&amp;"|xC",Aux_puntos!$1:$1,0))),NA())</f>
        <v>#N/A</v>
      </c>
      <c r="AF173" t="e">
        <f>IFERROR(IF(INDEX(Aux_puntos!$A$2:$OJ$901,169,MATCH($B$2&amp;"|yC",Aux_puntos!$1:$1,0))="",NA(),INDEX(Aux_puntos!$A$2:$OJ$901,169,MATCH($B$2&amp;"|yC",Aux_puntos!$1:$1,0))),NA())</f>
        <v>#N/A</v>
      </c>
      <c r="AG173" t="e">
        <f>IFERROR(IF(INDEX(Aux_puntos!$A$2:$OJ$901,169,MATCH($B$2&amp;"|xI",Aux_puntos!$1:$1,0))="",NA(),INDEX(Aux_puntos!$A$2:$OJ$901,169,MATCH($B$2&amp;"|xI",Aux_puntos!$1:$1,0))),NA())</f>
        <v>#N/A</v>
      </c>
      <c r="AH173" t="e">
        <f>IFERROR(IF(INDEX(Aux_puntos!$A$2:$OJ$901,169,MATCH($B$2&amp;"|yI",Aux_puntos!$1:$1,0))="",NA(),INDEX(Aux_puntos!$A$2:$OJ$901,169,MATCH($B$2&amp;"|yI",Aux_puntos!$1:$1,0))),NA())</f>
        <v>#N/A</v>
      </c>
      <c r="AI173" t="e">
        <f>IFERROR(IF(INDEX(Aux_puntos!$A$2:$OJ$901,169,MATCH($B$2&amp;"|xN",Aux_puntos!$1:$1,0))="",NA(),INDEX(Aux_puntos!$A$2:$OJ$901,169,MATCH($B$2&amp;"|xN",Aux_puntos!$1:$1,0))),NA())</f>
        <v>#N/A</v>
      </c>
      <c r="AJ173" t="e">
        <f>IFERROR(IF(INDEX(Aux_puntos!$A$2:$OJ$901,169,MATCH($B$2&amp;"|yN",Aux_puntos!$1:$1,0))="",NA(),INDEX(Aux_puntos!$A$2:$OJ$901,169,MATCH($B$2&amp;"|yN",Aux_puntos!$1:$1,0))),NA())</f>
        <v>#N/A</v>
      </c>
    </row>
    <row r="174" spans="29:36" x14ac:dyDescent="0.3">
      <c r="AC174" t="e">
        <f>IFERROR(IF(INDEX(Aux_puntos!$A$2:$OJ$901,170,MATCH($B$2&amp;"|xK",Aux_puntos!$1:$1,0))="",NA(),INDEX(Aux_puntos!$A$2:$OJ$901,170,MATCH($B$2&amp;"|xK",Aux_puntos!$1:$1,0))),NA())</f>
        <v>#N/A</v>
      </c>
      <c r="AD174" t="e">
        <f>IFERROR(IF(INDEX(Aux_puntos!$A$2:$OJ$901,170,MATCH($B$2&amp;"|yK",Aux_puntos!$1:$1,0))="",NA(),INDEX(Aux_puntos!$A$2:$OJ$901,170,MATCH($B$2&amp;"|yK",Aux_puntos!$1:$1,0))),NA())</f>
        <v>#N/A</v>
      </c>
      <c r="AE174" t="e">
        <f>IFERROR(IF(INDEX(Aux_puntos!$A$2:$OJ$901,170,MATCH($B$2&amp;"|xC",Aux_puntos!$1:$1,0))="",NA(),INDEX(Aux_puntos!$A$2:$OJ$901,170,MATCH($B$2&amp;"|xC",Aux_puntos!$1:$1,0))),NA())</f>
        <v>#N/A</v>
      </c>
      <c r="AF174" t="e">
        <f>IFERROR(IF(INDEX(Aux_puntos!$A$2:$OJ$901,170,MATCH($B$2&amp;"|yC",Aux_puntos!$1:$1,0))="",NA(),INDEX(Aux_puntos!$A$2:$OJ$901,170,MATCH($B$2&amp;"|yC",Aux_puntos!$1:$1,0))),NA())</f>
        <v>#N/A</v>
      </c>
      <c r="AG174" t="e">
        <f>IFERROR(IF(INDEX(Aux_puntos!$A$2:$OJ$901,170,MATCH($B$2&amp;"|xI",Aux_puntos!$1:$1,0))="",NA(),INDEX(Aux_puntos!$A$2:$OJ$901,170,MATCH($B$2&amp;"|xI",Aux_puntos!$1:$1,0))),NA())</f>
        <v>#N/A</v>
      </c>
      <c r="AH174" t="e">
        <f>IFERROR(IF(INDEX(Aux_puntos!$A$2:$OJ$901,170,MATCH($B$2&amp;"|yI",Aux_puntos!$1:$1,0))="",NA(),INDEX(Aux_puntos!$A$2:$OJ$901,170,MATCH($B$2&amp;"|yI",Aux_puntos!$1:$1,0))),NA())</f>
        <v>#N/A</v>
      </c>
      <c r="AI174" t="e">
        <f>IFERROR(IF(INDEX(Aux_puntos!$A$2:$OJ$901,170,MATCH($B$2&amp;"|xN",Aux_puntos!$1:$1,0))="",NA(),INDEX(Aux_puntos!$A$2:$OJ$901,170,MATCH($B$2&amp;"|xN",Aux_puntos!$1:$1,0))),NA())</f>
        <v>#N/A</v>
      </c>
      <c r="AJ174" t="e">
        <f>IFERROR(IF(INDEX(Aux_puntos!$A$2:$OJ$901,170,MATCH($B$2&amp;"|yN",Aux_puntos!$1:$1,0))="",NA(),INDEX(Aux_puntos!$A$2:$OJ$901,170,MATCH($B$2&amp;"|yN",Aux_puntos!$1:$1,0))),NA())</f>
        <v>#N/A</v>
      </c>
    </row>
    <row r="175" spans="29:36" x14ac:dyDescent="0.3">
      <c r="AC175" t="e">
        <f>IFERROR(IF(INDEX(Aux_puntos!$A$2:$OJ$901,171,MATCH($B$2&amp;"|xK",Aux_puntos!$1:$1,0))="",NA(),INDEX(Aux_puntos!$A$2:$OJ$901,171,MATCH($B$2&amp;"|xK",Aux_puntos!$1:$1,0))),NA())</f>
        <v>#N/A</v>
      </c>
      <c r="AD175" t="e">
        <f>IFERROR(IF(INDEX(Aux_puntos!$A$2:$OJ$901,171,MATCH($B$2&amp;"|yK",Aux_puntos!$1:$1,0))="",NA(),INDEX(Aux_puntos!$A$2:$OJ$901,171,MATCH($B$2&amp;"|yK",Aux_puntos!$1:$1,0))),NA())</f>
        <v>#N/A</v>
      </c>
      <c r="AE175" t="e">
        <f>IFERROR(IF(INDEX(Aux_puntos!$A$2:$OJ$901,171,MATCH($B$2&amp;"|xC",Aux_puntos!$1:$1,0))="",NA(),INDEX(Aux_puntos!$A$2:$OJ$901,171,MATCH($B$2&amp;"|xC",Aux_puntos!$1:$1,0))),NA())</f>
        <v>#N/A</v>
      </c>
      <c r="AF175" t="e">
        <f>IFERROR(IF(INDEX(Aux_puntos!$A$2:$OJ$901,171,MATCH($B$2&amp;"|yC",Aux_puntos!$1:$1,0))="",NA(),INDEX(Aux_puntos!$A$2:$OJ$901,171,MATCH($B$2&amp;"|yC",Aux_puntos!$1:$1,0))),NA())</f>
        <v>#N/A</v>
      </c>
      <c r="AG175" t="e">
        <f>IFERROR(IF(INDEX(Aux_puntos!$A$2:$OJ$901,171,MATCH($B$2&amp;"|xI",Aux_puntos!$1:$1,0))="",NA(),INDEX(Aux_puntos!$A$2:$OJ$901,171,MATCH($B$2&amp;"|xI",Aux_puntos!$1:$1,0))),NA())</f>
        <v>#N/A</v>
      </c>
      <c r="AH175" t="e">
        <f>IFERROR(IF(INDEX(Aux_puntos!$A$2:$OJ$901,171,MATCH($B$2&amp;"|yI",Aux_puntos!$1:$1,0))="",NA(),INDEX(Aux_puntos!$A$2:$OJ$901,171,MATCH($B$2&amp;"|yI",Aux_puntos!$1:$1,0))),NA())</f>
        <v>#N/A</v>
      </c>
      <c r="AI175" t="e">
        <f>IFERROR(IF(INDEX(Aux_puntos!$A$2:$OJ$901,171,MATCH($B$2&amp;"|xN",Aux_puntos!$1:$1,0))="",NA(),INDEX(Aux_puntos!$A$2:$OJ$901,171,MATCH($B$2&amp;"|xN",Aux_puntos!$1:$1,0))),NA())</f>
        <v>#N/A</v>
      </c>
      <c r="AJ175" t="e">
        <f>IFERROR(IF(INDEX(Aux_puntos!$A$2:$OJ$901,171,MATCH($B$2&amp;"|yN",Aux_puntos!$1:$1,0))="",NA(),INDEX(Aux_puntos!$A$2:$OJ$901,171,MATCH($B$2&amp;"|yN",Aux_puntos!$1:$1,0))),NA())</f>
        <v>#N/A</v>
      </c>
    </row>
    <row r="176" spans="29:36" x14ac:dyDescent="0.3">
      <c r="AC176" t="e">
        <f>IFERROR(IF(INDEX(Aux_puntos!$A$2:$OJ$901,172,MATCH($B$2&amp;"|xK",Aux_puntos!$1:$1,0))="",NA(),INDEX(Aux_puntos!$A$2:$OJ$901,172,MATCH($B$2&amp;"|xK",Aux_puntos!$1:$1,0))),NA())</f>
        <v>#N/A</v>
      </c>
      <c r="AD176" t="e">
        <f>IFERROR(IF(INDEX(Aux_puntos!$A$2:$OJ$901,172,MATCH($B$2&amp;"|yK",Aux_puntos!$1:$1,0))="",NA(),INDEX(Aux_puntos!$A$2:$OJ$901,172,MATCH($B$2&amp;"|yK",Aux_puntos!$1:$1,0))),NA())</f>
        <v>#N/A</v>
      </c>
      <c r="AE176" t="e">
        <f>IFERROR(IF(INDEX(Aux_puntos!$A$2:$OJ$901,172,MATCH($B$2&amp;"|xC",Aux_puntos!$1:$1,0))="",NA(),INDEX(Aux_puntos!$A$2:$OJ$901,172,MATCH($B$2&amp;"|xC",Aux_puntos!$1:$1,0))),NA())</f>
        <v>#N/A</v>
      </c>
      <c r="AF176" t="e">
        <f>IFERROR(IF(INDEX(Aux_puntos!$A$2:$OJ$901,172,MATCH($B$2&amp;"|yC",Aux_puntos!$1:$1,0))="",NA(),INDEX(Aux_puntos!$A$2:$OJ$901,172,MATCH($B$2&amp;"|yC",Aux_puntos!$1:$1,0))),NA())</f>
        <v>#N/A</v>
      </c>
      <c r="AG176" t="e">
        <f>IFERROR(IF(INDEX(Aux_puntos!$A$2:$OJ$901,172,MATCH($B$2&amp;"|xI",Aux_puntos!$1:$1,0))="",NA(),INDEX(Aux_puntos!$A$2:$OJ$901,172,MATCH($B$2&amp;"|xI",Aux_puntos!$1:$1,0))),NA())</f>
        <v>#N/A</v>
      </c>
      <c r="AH176" t="e">
        <f>IFERROR(IF(INDEX(Aux_puntos!$A$2:$OJ$901,172,MATCH($B$2&amp;"|yI",Aux_puntos!$1:$1,0))="",NA(),INDEX(Aux_puntos!$A$2:$OJ$901,172,MATCH($B$2&amp;"|yI",Aux_puntos!$1:$1,0))),NA())</f>
        <v>#N/A</v>
      </c>
      <c r="AI176" t="e">
        <f>IFERROR(IF(INDEX(Aux_puntos!$A$2:$OJ$901,172,MATCH($B$2&amp;"|xN",Aux_puntos!$1:$1,0))="",NA(),INDEX(Aux_puntos!$A$2:$OJ$901,172,MATCH($B$2&amp;"|xN",Aux_puntos!$1:$1,0))),NA())</f>
        <v>#N/A</v>
      </c>
      <c r="AJ176" t="e">
        <f>IFERROR(IF(INDEX(Aux_puntos!$A$2:$OJ$901,172,MATCH($B$2&amp;"|yN",Aux_puntos!$1:$1,0))="",NA(),INDEX(Aux_puntos!$A$2:$OJ$901,172,MATCH($B$2&amp;"|yN",Aux_puntos!$1:$1,0))),NA())</f>
        <v>#N/A</v>
      </c>
    </row>
    <row r="177" spans="29:36" x14ac:dyDescent="0.3">
      <c r="AC177" t="e">
        <f>IFERROR(IF(INDEX(Aux_puntos!$A$2:$OJ$901,173,MATCH($B$2&amp;"|xK",Aux_puntos!$1:$1,0))="",NA(),INDEX(Aux_puntos!$A$2:$OJ$901,173,MATCH($B$2&amp;"|xK",Aux_puntos!$1:$1,0))),NA())</f>
        <v>#N/A</v>
      </c>
      <c r="AD177" t="e">
        <f>IFERROR(IF(INDEX(Aux_puntos!$A$2:$OJ$901,173,MATCH($B$2&amp;"|yK",Aux_puntos!$1:$1,0))="",NA(),INDEX(Aux_puntos!$A$2:$OJ$901,173,MATCH($B$2&amp;"|yK",Aux_puntos!$1:$1,0))),NA())</f>
        <v>#N/A</v>
      </c>
      <c r="AE177" t="e">
        <f>IFERROR(IF(INDEX(Aux_puntos!$A$2:$OJ$901,173,MATCH($B$2&amp;"|xC",Aux_puntos!$1:$1,0))="",NA(),INDEX(Aux_puntos!$A$2:$OJ$901,173,MATCH($B$2&amp;"|xC",Aux_puntos!$1:$1,0))),NA())</f>
        <v>#N/A</v>
      </c>
      <c r="AF177" t="e">
        <f>IFERROR(IF(INDEX(Aux_puntos!$A$2:$OJ$901,173,MATCH($B$2&amp;"|yC",Aux_puntos!$1:$1,0))="",NA(),INDEX(Aux_puntos!$A$2:$OJ$901,173,MATCH($B$2&amp;"|yC",Aux_puntos!$1:$1,0))),NA())</f>
        <v>#N/A</v>
      </c>
      <c r="AG177" t="e">
        <f>IFERROR(IF(INDEX(Aux_puntos!$A$2:$OJ$901,173,MATCH($B$2&amp;"|xI",Aux_puntos!$1:$1,0))="",NA(),INDEX(Aux_puntos!$A$2:$OJ$901,173,MATCH($B$2&amp;"|xI",Aux_puntos!$1:$1,0))),NA())</f>
        <v>#N/A</v>
      </c>
      <c r="AH177" t="e">
        <f>IFERROR(IF(INDEX(Aux_puntos!$A$2:$OJ$901,173,MATCH($B$2&amp;"|yI",Aux_puntos!$1:$1,0))="",NA(),INDEX(Aux_puntos!$A$2:$OJ$901,173,MATCH($B$2&amp;"|yI",Aux_puntos!$1:$1,0))),NA())</f>
        <v>#N/A</v>
      </c>
      <c r="AI177" t="e">
        <f>IFERROR(IF(INDEX(Aux_puntos!$A$2:$OJ$901,173,MATCH($B$2&amp;"|xN",Aux_puntos!$1:$1,0))="",NA(),INDEX(Aux_puntos!$A$2:$OJ$901,173,MATCH($B$2&amp;"|xN",Aux_puntos!$1:$1,0))),NA())</f>
        <v>#N/A</v>
      </c>
      <c r="AJ177" t="e">
        <f>IFERROR(IF(INDEX(Aux_puntos!$A$2:$OJ$901,173,MATCH($B$2&amp;"|yN",Aux_puntos!$1:$1,0))="",NA(),INDEX(Aux_puntos!$A$2:$OJ$901,173,MATCH($B$2&amp;"|yN",Aux_puntos!$1:$1,0))),NA())</f>
        <v>#N/A</v>
      </c>
    </row>
    <row r="178" spans="29:36" x14ac:dyDescent="0.3">
      <c r="AC178" t="e">
        <f>IFERROR(IF(INDEX(Aux_puntos!$A$2:$OJ$901,174,MATCH($B$2&amp;"|xK",Aux_puntos!$1:$1,0))="",NA(),INDEX(Aux_puntos!$A$2:$OJ$901,174,MATCH($B$2&amp;"|xK",Aux_puntos!$1:$1,0))),NA())</f>
        <v>#N/A</v>
      </c>
      <c r="AD178" t="e">
        <f>IFERROR(IF(INDEX(Aux_puntos!$A$2:$OJ$901,174,MATCH($B$2&amp;"|yK",Aux_puntos!$1:$1,0))="",NA(),INDEX(Aux_puntos!$A$2:$OJ$901,174,MATCH($B$2&amp;"|yK",Aux_puntos!$1:$1,0))),NA())</f>
        <v>#N/A</v>
      </c>
      <c r="AE178" t="e">
        <f>IFERROR(IF(INDEX(Aux_puntos!$A$2:$OJ$901,174,MATCH($B$2&amp;"|xC",Aux_puntos!$1:$1,0))="",NA(),INDEX(Aux_puntos!$A$2:$OJ$901,174,MATCH($B$2&amp;"|xC",Aux_puntos!$1:$1,0))),NA())</f>
        <v>#N/A</v>
      </c>
      <c r="AF178" t="e">
        <f>IFERROR(IF(INDEX(Aux_puntos!$A$2:$OJ$901,174,MATCH($B$2&amp;"|yC",Aux_puntos!$1:$1,0))="",NA(),INDEX(Aux_puntos!$A$2:$OJ$901,174,MATCH($B$2&amp;"|yC",Aux_puntos!$1:$1,0))),NA())</f>
        <v>#N/A</v>
      </c>
      <c r="AG178" t="e">
        <f>IFERROR(IF(INDEX(Aux_puntos!$A$2:$OJ$901,174,MATCH($B$2&amp;"|xI",Aux_puntos!$1:$1,0))="",NA(),INDEX(Aux_puntos!$A$2:$OJ$901,174,MATCH($B$2&amp;"|xI",Aux_puntos!$1:$1,0))),NA())</f>
        <v>#N/A</v>
      </c>
      <c r="AH178" t="e">
        <f>IFERROR(IF(INDEX(Aux_puntos!$A$2:$OJ$901,174,MATCH($B$2&amp;"|yI",Aux_puntos!$1:$1,0))="",NA(),INDEX(Aux_puntos!$A$2:$OJ$901,174,MATCH($B$2&amp;"|yI",Aux_puntos!$1:$1,0))),NA())</f>
        <v>#N/A</v>
      </c>
      <c r="AI178" t="e">
        <f>IFERROR(IF(INDEX(Aux_puntos!$A$2:$OJ$901,174,MATCH($B$2&amp;"|xN",Aux_puntos!$1:$1,0))="",NA(),INDEX(Aux_puntos!$A$2:$OJ$901,174,MATCH($B$2&amp;"|xN",Aux_puntos!$1:$1,0))),NA())</f>
        <v>#N/A</v>
      </c>
      <c r="AJ178" t="e">
        <f>IFERROR(IF(INDEX(Aux_puntos!$A$2:$OJ$901,174,MATCH($B$2&amp;"|yN",Aux_puntos!$1:$1,0))="",NA(),INDEX(Aux_puntos!$A$2:$OJ$901,174,MATCH($B$2&amp;"|yN",Aux_puntos!$1:$1,0))),NA())</f>
        <v>#N/A</v>
      </c>
    </row>
    <row r="179" spans="29:36" x14ac:dyDescent="0.3">
      <c r="AC179" t="e">
        <f>IFERROR(IF(INDEX(Aux_puntos!$A$2:$OJ$901,175,MATCH($B$2&amp;"|xK",Aux_puntos!$1:$1,0))="",NA(),INDEX(Aux_puntos!$A$2:$OJ$901,175,MATCH($B$2&amp;"|xK",Aux_puntos!$1:$1,0))),NA())</f>
        <v>#N/A</v>
      </c>
      <c r="AD179" t="e">
        <f>IFERROR(IF(INDEX(Aux_puntos!$A$2:$OJ$901,175,MATCH($B$2&amp;"|yK",Aux_puntos!$1:$1,0))="",NA(),INDEX(Aux_puntos!$A$2:$OJ$901,175,MATCH($B$2&amp;"|yK",Aux_puntos!$1:$1,0))),NA())</f>
        <v>#N/A</v>
      </c>
      <c r="AE179" t="e">
        <f>IFERROR(IF(INDEX(Aux_puntos!$A$2:$OJ$901,175,MATCH($B$2&amp;"|xC",Aux_puntos!$1:$1,0))="",NA(),INDEX(Aux_puntos!$A$2:$OJ$901,175,MATCH($B$2&amp;"|xC",Aux_puntos!$1:$1,0))),NA())</f>
        <v>#N/A</v>
      </c>
      <c r="AF179" t="e">
        <f>IFERROR(IF(INDEX(Aux_puntos!$A$2:$OJ$901,175,MATCH($B$2&amp;"|yC",Aux_puntos!$1:$1,0))="",NA(),INDEX(Aux_puntos!$A$2:$OJ$901,175,MATCH($B$2&amp;"|yC",Aux_puntos!$1:$1,0))),NA())</f>
        <v>#N/A</v>
      </c>
      <c r="AG179" t="e">
        <f>IFERROR(IF(INDEX(Aux_puntos!$A$2:$OJ$901,175,MATCH($B$2&amp;"|xI",Aux_puntos!$1:$1,0))="",NA(),INDEX(Aux_puntos!$A$2:$OJ$901,175,MATCH($B$2&amp;"|xI",Aux_puntos!$1:$1,0))),NA())</f>
        <v>#N/A</v>
      </c>
      <c r="AH179" t="e">
        <f>IFERROR(IF(INDEX(Aux_puntos!$A$2:$OJ$901,175,MATCH($B$2&amp;"|yI",Aux_puntos!$1:$1,0))="",NA(),INDEX(Aux_puntos!$A$2:$OJ$901,175,MATCH($B$2&amp;"|yI",Aux_puntos!$1:$1,0))),NA())</f>
        <v>#N/A</v>
      </c>
      <c r="AI179" t="e">
        <f>IFERROR(IF(INDEX(Aux_puntos!$A$2:$OJ$901,175,MATCH($B$2&amp;"|xN",Aux_puntos!$1:$1,0))="",NA(),INDEX(Aux_puntos!$A$2:$OJ$901,175,MATCH($B$2&amp;"|xN",Aux_puntos!$1:$1,0))),NA())</f>
        <v>#N/A</v>
      </c>
      <c r="AJ179" t="e">
        <f>IFERROR(IF(INDEX(Aux_puntos!$A$2:$OJ$901,175,MATCH($B$2&amp;"|yN",Aux_puntos!$1:$1,0))="",NA(),INDEX(Aux_puntos!$A$2:$OJ$901,175,MATCH($B$2&amp;"|yN",Aux_puntos!$1:$1,0))),NA())</f>
        <v>#N/A</v>
      </c>
    </row>
    <row r="180" spans="29:36" x14ac:dyDescent="0.3">
      <c r="AC180" t="e">
        <f>IFERROR(IF(INDEX(Aux_puntos!$A$2:$OJ$901,176,MATCH($B$2&amp;"|xK",Aux_puntos!$1:$1,0))="",NA(),INDEX(Aux_puntos!$A$2:$OJ$901,176,MATCH($B$2&amp;"|xK",Aux_puntos!$1:$1,0))),NA())</f>
        <v>#N/A</v>
      </c>
      <c r="AD180" t="e">
        <f>IFERROR(IF(INDEX(Aux_puntos!$A$2:$OJ$901,176,MATCH($B$2&amp;"|yK",Aux_puntos!$1:$1,0))="",NA(),INDEX(Aux_puntos!$A$2:$OJ$901,176,MATCH($B$2&amp;"|yK",Aux_puntos!$1:$1,0))),NA())</f>
        <v>#N/A</v>
      </c>
      <c r="AE180" t="e">
        <f>IFERROR(IF(INDEX(Aux_puntos!$A$2:$OJ$901,176,MATCH($B$2&amp;"|xC",Aux_puntos!$1:$1,0))="",NA(),INDEX(Aux_puntos!$A$2:$OJ$901,176,MATCH($B$2&amp;"|xC",Aux_puntos!$1:$1,0))),NA())</f>
        <v>#N/A</v>
      </c>
      <c r="AF180" t="e">
        <f>IFERROR(IF(INDEX(Aux_puntos!$A$2:$OJ$901,176,MATCH($B$2&amp;"|yC",Aux_puntos!$1:$1,0))="",NA(),INDEX(Aux_puntos!$A$2:$OJ$901,176,MATCH($B$2&amp;"|yC",Aux_puntos!$1:$1,0))),NA())</f>
        <v>#N/A</v>
      </c>
      <c r="AG180" t="e">
        <f>IFERROR(IF(INDEX(Aux_puntos!$A$2:$OJ$901,176,MATCH($B$2&amp;"|xI",Aux_puntos!$1:$1,0))="",NA(),INDEX(Aux_puntos!$A$2:$OJ$901,176,MATCH($B$2&amp;"|xI",Aux_puntos!$1:$1,0))),NA())</f>
        <v>#N/A</v>
      </c>
      <c r="AH180" t="e">
        <f>IFERROR(IF(INDEX(Aux_puntos!$A$2:$OJ$901,176,MATCH($B$2&amp;"|yI",Aux_puntos!$1:$1,0))="",NA(),INDEX(Aux_puntos!$A$2:$OJ$901,176,MATCH($B$2&amp;"|yI",Aux_puntos!$1:$1,0))),NA())</f>
        <v>#N/A</v>
      </c>
      <c r="AI180" t="e">
        <f>IFERROR(IF(INDEX(Aux_puntos!$A$2:$OJ$901,176,MATCH($B$2&amp;"|xN",Aux_puntos!$1:$1,0))="",NA(),INDEX(Aux_puntos!$A$2:$OJ$901,176,MATCH($B$2&amp;"|xN",Aux_puntos!$1:$1,0))),NA())</f>
        <v>#N/A</v>
      </c>
      <c r="AJ180" t="e">
        <f>IFERROR(IF(INDEX(Aux_puntos!$A$2:$OJ$901,176,MATCH($B$2&amp;"|yN",Aux_puntos!$1:$1,0))="",NA(),INDEX(Aux_puntos!$A$2:$OJ$901,176,MATCH($B$2&amp;"|yN",Aux_puntos!$1:$1,0))),NA())</f>
        <v>#N/A</v>
      </c>
    </row>
    <row r="181" spans="29:36" x14ac:dyDescent="0.3">
      <c r="AC181" t="e">
        <f>IFERROR(IF(INDEX(Aux_puntos!$A$2:$OJ$901,177,MATCH($B$2&amp;"|xK",Aux_puntos!$1:$1,0))="",NA(),INDEX(Aux_puntos!$A$2:$OJ$901,177,MATCH($B$2&amp;"|xK",Aux_puntos!$1:$1,0))),NA())</f>
        <v>#N/A</v>
      </c>
      <c r="AD181" t="e">
        <f>IFERROR(IF(INDEX(Aux_puntos!$A$2:$OJ$901,177,MATCH($B$2&amp;"|yK",Aux_puntos!$1:$1,0))="",NA(),INDEX(Aux_puntos!$A$2:$OJ$901,177,MATCH($B$2&amp;"|yK",Aux_puntos!$1:$1,0))),NA())</f>
        <v>#N/A</v>
      </c>
      <c r="AE181" t="e">
        <f>IFERROR(IF(INDEX(Aux_puntos!$A$2:$OJ$901,177,MATCH($B$2&amp;"|xC",Aux_puntos!$1:$1,0))="",NA(),INDEX(Aux_puntos!$A$2:$OJ$901,177,MATCH($B$2&amp;"|xC",Aux_puntos!$1:$1,0))),NA())</f>
        <v>#N/A</v>
      </c>
      <c r="AF181" t="e">
        <f>IFERROR(IF(INDEX(Aux_puntos!$A$2:$OJ$901,177,MATCH($B$2&amp;"|yC",Aux_puntos!$1:$1,0))="",NA(),INDEX(Aux_puntos!$A$2:$OJ$901,177,MATCH($B$2&amp;"|yC",Aux_puntos!$1:$1,0))),NA())</f>
        <v>#N/A</v>
      </c>
      <c r="AG181" t="e">
        <f>IFERROR(IF(INDEX(Aux_puntos!$A$2:$OJ$901,177,MATCH($B$2&amp;"|xI",Aux_puntos!$1:$1,0))="",NA(),INDEX(Aux_puntos!$A$2:$OJ$901,177,MATCH($B$2&amp;"|xI",Aux_puntos!$1:$1,0))),NA())</f>
        <v>#N/A</v>
      </c>
      <c r="AH181" t="e">
        <f>IFERROR(IF(INDEX(Aux_puntos!$A$2:$OJ$901,177,MATCH($B$2&amp;"|yI",Aux_puntos!$1:$1,0))="",NA(),INDEX(Aux_puntos!$A$2:$OJ$901,177,MATCH($B$2&amp;"|yI",Aux_puntos!$1:$1,0))),NA())</f>
        <v>#N/A</v>
      </c>
      <c r="AI181" t="e">
        <f>IFERROR(IF(INDEX(Aux_puntos!$A$2:$OJ$901,177,MATCH($B$2&amp;"|xN",Aux_puntos!$1:$1,0))="",NA(),INDEX(Aux_puntos!$A$2:$OJ$901,177,MATCH($B$2&amp;"|xN",Aux_puntos!$1:$1,0))),NA())</f>
        <v>#N/A</v>
      </c>
      <c r="AJ181" t="e">
        <f>IFERROR(IF(INDEX(Aux_puntos!$A$2:$OJ$901,177,MATCH($B$2&amp;"|yN",Aux_puntos!$1:$1,0))="",NA(),INDEX(Aux_puntos!$A$2:$OJ$901,177,MATCH($B$2&amp;"|yN",Aux_puntos!$1:$1,0))),NA())</f>
        <v>#N/A</v>
      </c>
    </row>
    <row r="182" spans="29:36" x14ac:dyDescent="0.3">
      <c r="AC182" t="e">
        <f>IFERROR(IF(INDEX(Aux_puntos!$A$2:$OJ$901,178,MATCH($B$2&amp;"|xK",Aux_puntos!$1:$1,0))="",NA(),INDEX(Aux_puntos!$A$2:$OJ$901,178,MATCH($B$2&amp;"|xK",Aux_puntos!$1:$1,0))),NA())</f>
        <v>#N/A</v>
      </c>
      <c r="AD182" t="e">
        <f>IFERROR(IF(INDEX(Aux_puntos!$A$2:$OJ$901,178,MATCH($B$2&amp;"|yK",Aux_puntos!$1:$1,0))="",NA(),INDEX(Aux_puntos!$A$2:$OJ$901,178,MATCH($B$2&amp;"|yK",Aux_puntos!$1:$1,0))),NA())</f>
        <v>#N/A</v>
      </c>
      <c r="AE182" t="e">
        <f>IFERROR(IF(INDEX(Aux_puntos!$A$2:$OJ$901,178,MATCH($B$2&amp;"|xC",Aux_puntos!$1:$1,0))="",NA(),INDEX(Aux_puntos!$A$2:$OJ$901,178,MATCH($B$2&amp;"|xC",Aux_puntos!$1:$1,0))),NA())</f>
        <v>#N/A</v>
      </c>
      <c r="AF182" t="e">
        <f>IFERROR(IF(INDEX(Aux_puntos!$A$2:$OJ$901,178,MATCH($B$2&amp;"|yC",Aux_puntos!$1:$1,0))="",NA(),INDEX(Aux_puntos!$A$2:$OJ$901,178,MATCH($B$2&amp;"|yC",Aux_puntos!$1:$1,0))),NA())</f>
        <v>#N/A</v>
      </c>
      <c r="AG182" t="e">
        <f>IFERROR(IF(INDEX(Aux_puntos!$A$2:$OJ$901,178,MATCH($B$2&amp;"|xI",Aux_puntos!$1:$1,0))="",NA(),INDEX(Aux_puntos!$A$2:$OJ$901,178,MATCH($B$2&amp;"|xI",Aux_puntos!$1:$1,0))),NA())</f>
        <v>#N/A</v>
      </c>
      <c r="AH182" t="e">
        <f>IFERROR(IF(INDEX(Aux_puntos!$A$2:$OJ$901,178,MATCH($B$2&amp;"|yI",Aux_puntos!$1:$1,0))="",NA(),INDEX(Aux_puntos!$A$2:$OJ$901,178,MATCH($B$2&amp;"|yI",Aux_puntos!$1:$1,0))),NA())</f>
        <v>#N/A</v>
      </c>
      <c r="AI182" t="e">
        <f>IFERROR(IF(INDEX(Aux_puntos!$A$2:$OJ$901,178,MATCH($B$2&amp;"|xN",Aux_puntos!$1:$1,0))="",NA(),INDEX(Aux_puntos!$A$2:$OJ$901,178,MATCH($B$2&amp;"|xN",Aux_puntos!$1:$1,0))),NA())</f>
        <v>#N/A</v>
      </c>
      <c r="AJ182" t="e">
        <f>IFERROR(IF(INDEX(Aux_puntos!$A$2:$OJ$901,178,MATCH($B$2&amp;"|yN",Aux_puntos!$1:$1,0))="",NA(),INDEX(Aux_puntos!$A$2:$OJ$901,178,MATCH($B$2&amp;"|yN",Aux_puntos!$1:$1,0))),NA())</f>
        <v>#N/A</v>
      </c>
    </row>
    <row r="183" spans="29:36" x14ac:dyDescent="0.3">
      <c r="AC183" t="e">
        <f>IFERROR(IF(INDEX(Aux_puntos!$A$2:$OJ$901,179,MATCH($B$2&amp;"|xK",Aux_puntos!$1:$1,0))="",NA(),INDEX(Aux_puntos!$A$2:$OJ$901,179,MATCH($B$2&amp;"|xK",Aux_puntos!$1:$1,0))),NA())</f>
        <v>#N/A</v>
      </c>
      <c r="AD183" t="e">
        <f>IFERROR(IF(INDEX(Aux_puntos!$A$2:$OJ$901,179,MATCH($B$2&amp;"|yK",Aux_puntos!$1:$1,0))="",NA(),INDEX(Aux_puntos!$A$2:$OJ$901,179,MATCH($B$2&amp;"|yK",Aux_puntos!$1:$1,0))),NA())</f>
        <v>#N/A</v>
      </c>
      <c r="AE183" t="e">
        <f>IFERROR(IF(INDEX(Aux_puntos!$A$2:$OJ$901,179,MATCH($B$2&amp;"|xC",Aux_puntos!$1:$1,0))="",NA(),INDEX(Aux_puntos!$A$2:$OJ$901,179,MATCH($B$2&amp;"|xC",Aux_puntos!$1:$1,0))),NA())</f>
        <v>#N/A</v>
      </c>
      <c r="AF183" t="e">
        <f>IFERROR(IF(INDEX(Aux_puntos!$A$2:$OJ$901,179,MATCH($B$2&amp;"|yC",Aux_puntos!$1:$1,0))="",NA(),INDEX(Aux_puntos!$A$2:$OJ$901,179,MATCH($B$2&amp;"|yC",Aux_puntos!$1:$1,0))),NA())</f>
        <v>#N/A</v>
      </c>
      <c r="AG183" t="e">
        <f>IFERROR(IF(INDEX(Aux_puntos!$A$2:$OJ$901,179,MATCH($B$2&amp;"|xI",Aux_puntos!$1:$1,0))="",NA(),INDEX(Aux_puntos!$A$2:$OJ$901,179,MATCH($B$2&amp;"|xI",Aux_puntos!$1:$1,0))),NA())</f>
        <v>#N/A</v>
      </c>
      <c r="AH183" t="e">
        <f>IFERROR(IF(INDEX(Aux_puntos!$A$2:$OJ$901,179,MATCH($B$2&amp;"|yI",Aux_puntos!$1:$1,0))="",NA(),INDEX(Aux_puntos!$A$2:$OJ$901,179,MATCH($B$2&amp;"|yI",Aux_puntos!$1:$1,0))),NA())</f>
        <v>#N/A</v>
      </c>
      <c r="AI183" t="e">
        <f>IFERROR(IF(INDEX(Aux_puntos!$A$2:$OJ$901,179,MATCH($B$2&amp;"|xN",Aux_puntos!$1:$1,0))="",NA(),INDEX(Aux_puntos!$A$2:$OJ$901,179,MATCH($B$2&amp;"|xN",Aux_puntos!$1:$1,0))),NA())</f>
        <v>#N/A</v>
      </c>
      <c r="AJ183" t="e">
        <f>IFERROR(IF(INDEX(Aux_puntos!$A$2:$OJ$901,179,MATCH($B$2&amp;"|yN",Aux_puntos!$1:$1,0))="",NA(),INDEX(Aux_puntos!$A$2:$OJ$901,179,MATCH($B$2&amp;"|yN",Aux_puntos!$1:$1,0))),NA())</f>
        <v>#N/A</v>
      </c>
    </row>
    <row r="184" spans="29:36" x14ac:dyDescent="0.3">
      <c r="AC184" t="e">
        <f>IFERROR(IF(INDEX(Aux_puntos!$A$2:$OJ$901,180,MATCH($B$2&amp;"|xK",Aux_puntos!$1:$1,0))="",NA(),INDEX(Aux_puntos!$A$2:$OJ$901,180,MATCH($B$2&amp;"|xK",Aux_puntos!$1:$1,0))),NA())</f>
        <v>#N/A</v>
      </c>
      <c r="AD184" t="e">
        <f>IFERROR(IF(INDEX(Aux_puntos!$A$2:$OJ$901,180,MATCH($B$2&amp;"|yK",Aux_puntos!$1:$1,0))="",NA(),INDEX(Aux_puntos!$A$2:$OJ$901,180,MATCH($B$2&amp;"|yK",Aux_puntos!$1:$1,0))),NA())</f>
        <v>#N/A</v>
      </c>
      <c r="AE184" t="e">
        <f>IFERROR(IF(INDEX(Aux_puntos!$A$2:$OJ$901,180,MATCH($B$2&amp;"|xC",Aux_puntos!$1:$1,0))="",NA(),INDEX(Aux_puntos!$A$2:$OJ$901,180,MATCH($B$2&amp;"|xC",Aux_puntos!$1:$1,0))),NA())</f>
        <v>#N/A</v>
      </c>
      <c r="AF184" t="e">
        <f>IFERROR(IF(INDEX(Aux_puntos!$A$2:$OJ$901,180,MATCH($B$2&amp;"|yC",Aux_puntos!$1:$1,0))="",NA(),INDEX(Aux_puntos!$A$2:$OJ$901,180,MATCH($B$2&amp;"|yC",Aux_puntos!$1:$1,0))),NA())</f>
        <v>#N/A</v>
      </c>
      <c r="AG184" t="e">
        <f>IFERROR(IF(INDEX(Aux_puntos!$A$2:$OJ$901,180,MATCH($B$2&amp;"|xI",Aux_puntos!$1:$1,0))="",NA(),INDEX(Aux_puntos!$A$2:$OJ$901,180,MATCH($B$2&amp;"|xI",Aux_puntos!$1:$1,0))),NA())</f>
        <v>#N/A</v>
      </c>
      <c r="AH184" t="e">
        <f>IFERROR(IF(INDEX(Aux_puntos!$A$2:$OJ$901,180,MATCH($B$2&amp;"|yI",Aux_puntos!$1:$1,0))="",NA(),INDEX(Aux_puntos!$A$2:$OJ$901,180,MATCH($B$2&amp;"|yI",Aux_puntos!$1:$1,0))),NA())</f>
        <v>#N/A</v>
      </c>
      <c r="AI184" t="e">
        <f>IFERROR(IF(INDEX(Aux_puntos!$A$2:$OJ$901,180,MATCH($B$2&amp;"|xN",Aux_puntos!$1:$1,0))="",NA(),INDEX(Aux_puntos!$A$2:$OJ$901,180,MATCH($B$2&amp;"|xN",Aux_puntos!$1:$1,0))),NA())</f>
        <v>#N/A</v>
      </c>
      <c r="AJ184" t="e">
        <f>IFERROR(IF(INDEX(Aux_puntos!$A$2:$OJ$901,180,MATCH($B$2&amp;"|yN",Aux_puntos!$1:$1,0))="",NA(),INDEX(Aux_puntos!$A$2:$OJ$901,180,MATCH($B$2&amp;"|yN",Aux_puntos!$1:$1,0))),NA())</f>
        <v>#N/A</v>
      </c>
    </row>
    <row r="185" spans="29:36" x14ac:dyDescent="0.3">
      <c r="AC185" t="e">
        <f>IFERROR(IF(INDEX(Aux_puntos!$A$2:$OJ$901,181,MATCH($B$2&amp;"|xK",Aux_puntos!$1:$1,0))="",NA(),INDEX(Aux_puntos!$A$2:$OJ$901,181,MATCH($B$2&amp;"|xK",Aux_puntos!$1:$1,0))),NA())</f>
        <v>#N/A</v>
      </c>
      <c r="AD185" t="e">
        <f>IFERROR(IF(INDEX(Aux_puntos!$A$2:$OJ$901,181,MATCH($B$2&amp;"|yK",Aux_puntos!$1:$1,0))="",NA(),INDEX(Aux_puntos!$A$2:$OJ$901,181,MATCH($B$2&amp;"|yK",Aux_puntos!$1:$1,0))),NA())</f>
        <v>#N/A</v>
      </c>
      <c r="AE185" t="e">
        <f>IFERROR(IF(INDEX(Aux_puntos!$A$2:$OJ$901,181,MATCH($B$2&amp;"|xC",Aux_puntos!$1:$1,0))="",NA(),INDEX(Aux_puntos!$A$2:$OJ$901,181,MATCH($B$2&amp;"|xC",Aux_puntos!$1:$1,0))),NA())</f>
        <v>#N/A</v>
      </c>
      <c r="AF185" t="e">
        <f>IFERROR(IF(INDEX(Aux_puntos!$A$2:$OJ$901,181,MATCH($B$2&amp;"|yC",Aux_puntos!$1:$1,0))="",NA(),INDEX(Aux_puntos!$A$2:$OJ$901,181,MATCH($B$2&amp;"|yC",Aux_puntos!$1:$1,0))),NA())</f>
        <v>#N/A</v>
      </c>
      <c r="AG185" t="e">
        <f>IFERROR(IF(INDEX(Aux_puntos!$A$2:$OJ$901,181,MATCH($B$2&amp;"|xI",Aux_puntos!$1:$1,0))="",NA(),INDEX(Aux_puntos!$A$2:$OJ$901,181,MATCH($B$2&amp;"|xI",Aux_puntos!$1:$1,0))),NA())</f>
        <v>#N/A</v>
      </c>
      <c r="AH185" t="e">
        <f>IFERROR(IF(INDEX(Aux_puntos!$A$2:$OJ$901,181,MATCH($B$2&amp;"|yI",Aux_puntos!$1:$1,0))="",NA(),INDEX(Aux_puntos!$A$2:$OJ$901,181,MATCH($B$2&amp;"|yI",Aux_puntos!$1:$1,0))),NA())</f>
        <v>#N/A</v>
      </c>
      <c r="AI185" t="e">
        <f>IFERROR(IF(INDEX(Aux_puntos!$A$2:$OJ$901,181,MATCH($B$2&amp;"|xN",Aux_puntos!$1:$1,0))="",NA(),INDEX(Aux_puntos!$A$2:$OJ$901,181,MATCH($B$2&amp;"|xN",Aux_puntos!$1:$1,0))),NA())</f>
        <v>#N/A</v>
      </c>
      <c r="AJ185" t="e">
        <f>IFERROR(IF(INDEX(Aux_puntos!$A$2:$OJ$901,181,MATCH($B$2&amp;"|yN",Aux_puntos!$1:$1,0))="",NA(),INDEX(Aux_puntos!$A$2:$OJ$901,181,MATCH($B$2&amp;"|yN",Aux_puntos!$1:$1,0))),NA())</f>
        <v>#N/A</v>
      </c>
    </row>
    <row r="186" spans="29:36" x14ac:dyDescent="0.3">
      <c r="AC186" t="e">
        <f>IFERROR(IF(INDEX(Aux_puntos!$A$2:$OJ$901,182,MATCH($B$2&amp;"|xK",Aux_puntos!$1:$1,0))="",NA(),INDEX(Aux_puntos!$A$2:$OJ$901,182,MATCH($B$2&amp;"|xK",Aux_puntos!$1:$1,0))),NA())</f>
        <v>#N/A</v>
      </c>
      <c r="AD186" t="e">
        <f>IFERROR(IF(INDEX(Aux_puntos!$A$2:$OJ$901,182,MATCH($B$2&amp;"|yK",Aux_puntos!$1:$1,0))="",NA(),INDEX(Aux_puntos!$A$2:$OJ$901,182,MATCH($B$2&amp;"|yK",Aux_puntos!$1:$1,0))),NA())</f>
        <v>#N/A</v>
      </c>
      <c r="AE186" t="e">
        <f>IFERROR(IF(INDEX(Aux_puntos!$A$2:$OJ$901,182,MATCH($B$2&amp;"|xC",Aux_puntos!$1:$1,0))="",NA(),INDEX(Aux_puntos!$A$2:$OJ$901,182,MATCH($B$2&amp;"|xC",Aux_puntos!$1:$1,0))),NA())</f>
        <v>#N/A</v>
      </c>
      <c r="AF186" t="e">
        <f>IFERROR(IF(INDEX(Aux_puntos!$A$2:$OJ$901,182,MATCH($B$2&amp;"|yC",Aux_puntos!$1:$1,0))="",NA(),INDEX(Aux_puntos!$A$2:$OJ$901,182,MATCH($B$2&amp;"|yC",Aux_puntos!$1:$1,0))),NA())</f>
        <v>#N/A</v>
      </c>
      <c r="AG186" t="e">
        <f>IFERROR(IF(INDEX(Aux_puntos!$A$2:$OJ$901,182,MATCH($B$2&amp;"|xI",Aux_puntos!$1:$1,0))="",NA(),INDEX(Aux_puntos!$A$2:$OJ$901,182,MATCH($B$2&amp;"|xI",Aux_puntos!$1:$1,0))),NA())</f>
        <v>#N/A</v>
      </c>
      <c r="AH186" t="e">
        <f>IFERROR(IF(INDEX(Aux_puntos!$A$2:$OJ$901,182,MATCH($B$2&amp;"|yI",Aux_puntos!$1:$1,0))="",NA(),INDEX(Aux_puntos!$A$2:$OJ$901,182,MATCH($B$2&amp;"|yI",Aux_puntos!$1:$1,0))),NA())</f>
        <v>#N/A</v>
      </c>
      <c r="AI186" t="e">
        <f>IFERROR(IF(INDEX(Aux_puntos!$A$2:$OJ$901,182,MATCH($B$2&amp;"|xN",Aux_puntos!$1:$1,0))="",NA(),INDEX(Aux_puntos!$A$2:$OJ$901,182,MATCH($B$2&amp;"|xN",Aux_puntos!$1:$1,0))),NA())</f>
        <v>#N/A</v>
      </c>
      <c r="AJ186" t="e">
        <f>IFERROR(IF(INDEX(Aux_puntos!$A$2:$OJ$901,182,MATCH($B$2&amp;"|yN",Aux_puntos!$1:$1,0))="",NA(),INDEX(Aux_puntos!$A$2:$OJ$901,182,MATCH($B$2&amp;"|yN",Aux_puntos!$1:$1,0))),NA())</f>
        <v>#N/A</v>
      </c>
    </row>
    <row r="187" spans="29:36" x14ac:dyDescent="0.3">
      <c r="AC187" t="e">
        <f>IFERROR(IF(INDEX(Aux_puntos!$A$2:$OJ$901,183,MATCH($B$2&amp;"|xK",Aux_puntos!$1:$1,0))="",NA(),INDEX(Aux_puntos!$A$2:$OJ$901,183,MATCH($B$2&amp;"|xK",Aux_puntos!$1:$1,0))),NA())</f>
        <v>#N/A</v>
      </c>
      <c r="AD187" t="e">
        <f>IFERROR(IF(INDEX(Aux_puntos!$A$2:$OJ$901,183,MATCH($B$2&amp;"|yK",Aux_puntos!$1:$1,0))="",NA(),INDEX(Aux_puntos!$A$2:$OJ$901,183,MATCH($B$2&amp;"|yK",Aux_puntos!$1:$1,0))),NA())</f>
        <v>#N/A</v>
      </c>
      <c r="AE187" t="e">
        <f>IFERROR(IF(INDEX(Aux_puntos!$A$2:$OJ$901,183,MATCH($B$2&amp;"|xC",Aux_puntos!$1:$1,0))="",NA(),INDEX(Aux_puntos!$A$2:$OJ$901,183,MATCH($B$2&amp;"|xC",Aux_puntos!$1:$1,0))),NA())</f>
        <v>#N/A</v>
      </c>
      <c r="AF187" t="e">
        <f>IFERROR(IF(INDEX(Aux_puntos!$A$2:$OJ$901,183,MATCH($B$2&amp;"|yC",Aux_puntos!$1:$1,0))="",NA(),INDEX(Aux_puntos!$A$2:$OJ$901,183,MATCH($B$2&amp;"|yC",Aux_puntos!$1:$1,0))),NA())</f>
        <v>#N/A</v>
      </c>
      <c r="AG187" t="e">
        <f>IFERROR(IF(INDEX(Aux_puntos!$A$2:$OJ$901,183,MATCH($B$2&amp;"|xI",Aux_puntos!$1:$1,0))="",NA(),INDEX(Aux_puntos!$A$2:$OJ$901,183,MATCH($B$2&amp;"|xI",Aux_puntos!$1:$1,0))),NA())</f>
        <v>#N/A</v>
      </c>
      <c r="AH187" t="e">
        <f>IFERROR(IF(INDEX(Aux_puntos!$A$2:$OJ$901,183,MATCH($B$2&amp;"|yI",Aux_puntos!$1:$1,0))="",NA(),INDEX(Aux_puntos!$A$2:$OJ$901,183,MATCH($B$2&amp;"|yI",Aux_puntos!$1:$1,0))),NA())</f>
        <v>#N/A</v>
      </c>
      <c r="AI187" t="e">
        <f>IFERROR(IF(INDEX(Aux_puntos!$A$2:$OJ$901,183,MATCH($B$2&amp;"|xN",Aux_puntos!$1:$1,0))="",NA(),INDEX(Aux_puntos!$A$2:$OJ$901,183,MATCH($B$2&amp;"|xN",Aux_puntos!$1:$1,0))),NA())</f>
        <v>#N/A</v>
      </c>
      <c r="AJ187" t="e">
        <f>IFERROR(IF(INDEX(Aux_puntos!$A$2:$OJ$901,183,MATCH($B$2&amp;"|yN",Aux_puntos!$1:$1,0))="",NA(),INDEX(Aux_puntos!$A$2:$OJ$901,183,MATCH($B$2&amp;"|yN",Aux_puntos!$1:$1,0))),NA())</f>
        <v>#N/A</v>
      </c>
    </row>
    <row r="188" spans="29:36" x14ac:dyDescent="0.3">
      <c r="AC188" t="e">
        <f>IFERROR(IF(INDEX(Aux_puntos!$A$2:$OJ$901,184,MATCH($B$2&amp;"|xK",Aux_puntos!$1:$1,0))="",NA(),INDEX(Aux_puntos!$A$2:$OJ$901,184,MATCH($B$2&amp;"|xK",Aux_puntos!$1:$1,0))),NA())</f>
        <v>#N/A</v>
      </c>
      <c r="AD188" t="e">
        <f>IFERROR(IF(INDEX(Aux_puntos!$A$2:$OJ$901,184,MATCH($B$2&amp;"|yK",Aux_puntos!$1:$1,0))="",NA(),INDEX(Aux_puntos!$A$2:$OJ$901,184,MATCH($B$2&amp;"|yK",Aux_puntos!$1:$1,0))),NA())</f>
        <v>#N/A</v>
      </c>
      <c r="AE188" t="e">
        <f>IFERROR(IF(INDEX(Aux_puntos!$A$2:$OJ$901,184,MATCH($B$2&amp;"|xC",Aux_puntos!$1:$1,0))="",NA(),INDEX(Aux_puntos!$A$2:$OJ$901,184,MATCH($B$2&amp;"|xC",Aux_puntos!$1:$1,0))),NA())</f>
        <v>#N/A</v>
      </c>
      <c r="AF188" t="e">
        <f>IFERROR(IF(INDEX(Aux_puntos!$A$2:$OJ$901,184,MATCH($B$2&amp;"|yC",Aux_puntos!$1:$1,0))="",NA(),INDEX(Aux_puntos!$A$2:$OJ$901,184,MATCH($B$2&amp;"|yC",Aux_puntos!$1:$1,0))),NA())</f>
        <v>#N/A</v>
      </c>
      <c r="AG188" t="e">
        <f>IFERROR(IF(INDEX(Aux_puntos!$A$2:$OJ$901,184,MATCH($B$2&amp;"|xI",Aux_puntos!$1:$1,0))="",NA(),INDEX(Aux_puntos!$A$2:$OJ$901,184,MATCH($B$2&amp;"|xI",Aux_puntos!$1:$1,0))),NA())</f>
        <v>#N/A</v>
      </c>
      <c r="AH188" t="e">
        <f>IFERROR(IF(INDEX(Aux_puntos!$A$2:$OJ$901,184,MATCH($B$2&amp;"|yI",Aux_puntos!$1:$1,0))="",NA(),INDEX(Aux_puntos!$A$2:$OJ$901,184,MATCH($B$2&amp;"|yI",Aux_puntos!$1:$1,0))),NA())</f>
        <v>#N/A</v>
      </c>
      <c r="AI188" t="e">
        <f>IFERROR(IF(INDEX(Aux_puntos!$A$2:$OJ$901,184,MATCH($B$2&amp;"|xN",Aux_puntos!$1:$1,0))="",NA(),INDEX(Aux_puntos!$A$2:$OJ$901,184,MATCH($B$2&amp;"|xN",Aux_puntos!$1:$1,0))),NA())</f>
        <v>#N/A</v>
      </c>
      <c r="AJ188" t="e">
        <f>IFERROR(IF(INDEX(Aux_puntos!$A$2:$OJ$901,184,MATCH($B$2&amp;"|yN",Aux_puntos!$1:$1,0))="",NA(),INDEX(Aux_puntos!$A$2:$OJ$901,184,MATCH($B$2&amp;"|yN",Aux_puntos!$1:$1,0))),NA())</f>
        <v>#N/A</v>
      </c>
    </row>
    <row r="189" spans="29:36" x14ac:dyDescent="0.3">
      <c r="AC189" t="e">
        <f>IFERROR(IF(INDEX(Aux_puntos!$A$2:$OJ$901,185,MATCH($B$2&amp;"|xK",Aux_puntos!$1:$1,0))="",NA(),INDEX(Aux_puntos!$A$2:$OJ$901,185,MATCH($B$2&amp;"|xK",Aux_puntos!$1:$1,0))),NA())</f>
        <v>#N/A</v>
      </c>
      <c r="AD189" t="e">
        <f>IFERROR(IF(INDEX(Aux_puntos!$A$2:$OJ$901,185,MATCH($B$2&amp;"|yK",Aux_puntos!$1:$1,0))="",NA(),INDEX(Aux_puntos!$A$2:$OJ$901,185,MATCH($B$2&amp;"|yK",Aux_puntos!$1:$1,0))),NA())</f>
        <v>#N/A</v>
      </c>
      <c r="AE189" t="e">
        <f>IFERROR(IF(INDEX(Aux_puntos!$A$2:$OJ$901,185,MATCH($B$2&amp;"|xC",Aux_puntos!$1:$1,0))="",NA(),INDEX(Aux_puntos!$A$2:$OJ$901,185,MATCH($B$2&amp;"|xC",Aux_puntos!$1:$1,0))),NA())</f>
        <v>#N/A</v>
      </c>
      <c r="AF189" t="e">
        <f>IFERROR(IF(INDEX(Aux_puntos!$A$2:$OJ$901,185,MATCH($B$2&amp;"|yC",Aux_puntos!$1:$1,0))="",NA(),INDEX(Aux_puntos!$A$2:$OJ$901,185,MATCH($B$2&amp;"|yC",Aux_puntos!$1:$1,0))),NA())</f>
        <v>#N/A</v>
      </c>
      <c r="AG189" t="e">
        <f>IFERROR(IF(INDEX(Aux_puntos!$A$2:$OJ$901,185,MATCH($B$2&amp;"|xI",Aux_puntos!$1:$1,0))="",NA(),INDEX(Aux_puntos!$A$2:$OJ$901,185,MATCH($B$2&amp;"|xI",Aux_puntos!$1:$1,0))),NA())</f>
        <v>#N/A</v>
      </c>
      <c r="AH189" t="e">
        <f>IFERROR(IF(INDEX(Aux_puntos!$A$2:$OJ$901,185,MATCH($B$2&amp;"|yI",Aux_puntos!$1:$1,0))="",NA(),INDEX(Aux_puntos!$A$2:$OJ$901,185,MATCH($B$2&amp;"|yI",Aux_puntos!$1:$1,0))),NA())</f>
        <v>#N/A</v>
      </c>
      <c r="AI189" t="e">
        <f>IFERROR(IF(INDEX(Aux_puntos!$A$2:$OJ$901,185,MATCH($B$2&amp;"|xN",Aux_puntos!$1:$1,0))="",NA(),INDEX(Aux_puntos!$A$2:$OJ$901,185,MATCH($B$2&amp;"|xN",Aux_puntos!$1:$1,0))),NA())</f>
        <v>#N/A</v>
      </c>
      <c r="AJ189" t="e">
        <f>IFERROR(IF(INDEX(Aux_puntos!$A$2:$OJ$901,185,MATCH($B$2&amp;"|yN",Aux_puntos!$1:$1,0))="",NA(),INDEX(Aux_puntos!$A$2:$OJ$901,185,MATCH($B$2&amp;"|yN",Aux_puntos!$1:$1,0))),NA())</f>
        <v>#N/A</v>
      </c>
    </row>
    <row r="190" spans="29:36" x14ac:dyDescent="0.3">
      <c r="AC190" t="e">
        <f>IFERROR(IF(INDEX(Aux_puntos!$A$2:$OJ$901,186,MATCH($B$2&amp;"|xK",Aux_puntos!$1:$1,0))="",NA(),INDEX(Aux_puntos!$A$2:$OJ$901,186,MATCH($B$2&amp;"|xK",Aux_puntos!$1:$1,0))),NA())</f>
        <v>#N/A</v>
      </c>
      <c r="AD190" t="e">
        <f>IFERROR(IF(INDEX(Aux_puntos!$A$2:$OJ$901,186,MATCH($B$2&amp;"|yK",Aux_puntos!$1:$1,0))="",NA(),INDEX(Aux_puntos!$A$2:$OJ$901,186,MATCH($B$2&amp;"|yK",Aux_puntos!$1:$1,0))),NA())</f>
        <v>#N/A</v>
      </c>
      <c r="AE190" t="e">
        <f>IFERROR(IF(INDEX(Aux_puntos!$A$2:$OJ$901,186,MATCH($B$2&amp;"|xC",Aux_puntos!$1:$1,0))="",NA(),INDEX(Aux_puntos!$A$2:$OJ$901,186,MATCH($B$2&amp;"|xC",Aux_puntos!$1:$1,0))),NA())</f>
        <v>#N/A</v>
      </c>
      <c r="AF190" t="e">
        <f>IFERROR(IF(INDEX(Aux_puntos!$A$2:$OJ$901,186,MATCH($B$2&amp;"|yC",Aux_puntos!$1:$1,0))="",NA(),INDEX(Aux_puntos!$A$2:$OJ$901,186,MATCH($B$2&amp;"|yC",Aux_puntos!$1:$1,0))),NA())</f>
        <v>#N/A</v>
      </c>
      <c r="AG190" t="e">
        <f>IFERROR(IF(INDEX(Aux_puntos!$A$2:$OJ$901,186,MATCH($B$2&amp;"|xI",Aux_puntos!$1:$1,0))="",NA(),INDEX(Aux_puntos!$A$2:$OJ$901,186,MATCH($B$2&amp;"|xI",Aux_puntos!$1:$1,0))),NA())</f>
        <v>#N/A</v>
      </c>
      <c r="AH190" t="e">
        <f>IFERROR(IF(INDEX(Aux_puntos!$A$2:$OJ$901,186,MATCH($B$2&amp;"|yI",Aux_puntos!$1:$1,0))="",NA(),INDEX(Aux_puntos!$A$2:$OJ$901,186,MATCH($B$2&amp;"|yI",Aux_puntos!$1:$1,0))),NA())</f>
        <v>#N/A</v>
      </c>
      <c r="AI190" t="e">
        <f>IFERROR(IF(INDEX(Aux_puntos!$A$2:$OJ$901,186,MATCH($B$2&amp;"|xN",Aux_puntos!$1:$1,0))="",NA(),INDEX(Aux_puntos!$A$2:$OJ$901,186,MATCH($B$2&amp;"|xN",Aux_puntos!$1:$1,0))),NA())</f>
        <v>#N/A</v>
      </c>
      <c r="AJ190" t="e">
        <f>IFERROR(IF(INDEX(Aux_puntos!$A$2:$OJ$901,186,MATCH($B$2&amp;"|yN",Aux_puntos!$1:$1,0))="",NA(),INDEX(Aux_puntos!$A$2:$OJ$901,186,MATCH($B$2&amp;"|yN",Aux_puntos!$1:$1,0))),NA())</f>
        <v>#N/A</v>
      </c>
    </row>
    <row r="191" spans="29:36" x14ac:dyDescent="0.3">
      <c r="AC191" t="e">
        <f>IFERROR(IF(INDEX(Aux_puntos!$A$2:$OJ$901,187,MATCH($B$2&amp;"|xK",Aux_puntos!$1:$1,0))="",NA(),INDEX(Aux_puntos!$A$2:$OJ$901,187,MATCH($B$2&amp;"|xK",Aux_puntos!$1:$1,0))),NA())</f>
        <v>#N/A</v>
      </c>
      <c r="AD191" t="e">
        <f>IFERROR(IF(INDEX(Aux_puntos!$A$2:$OJ$901,187,MATCH($B$2&amp;"|yK",Aux_puntos!$1:$1,0))="",NA(),INDEX(Aux_puntos!$A$2:$OJ$901,187,MATCH($B$2&amp;"|yK",Aux_puntos!$1:$1,0))),NA())</f>
        <v>#N/A</v>
      </c>
      <c r="AE191" t="e">
        <f>IFERROR(IF(INDEX(Aux_puntos!$A$2:$OJ$901,187,MATCH($B$2&amp;"|xC",Aux_puntos!$1:$1,0))="",NA(),INDEX(Aux_puntos!$A$2:$OJ$901,187,MATCH($B$2&amp;"|xC",Aux_puntos!$1:$1,0))),NA())</f>
        <v>#N/A</v>
      </c>
      <c r="AF191" t="e">
        <f>IFERROR(IF(INDEX(Aux_puntos!$A$2:$OJ$901,187,MATCH($B$2&amp;"|yC",Aux_puntos!$1:$1,0))="",NA(),INDEX(Aux_puntos!$A$2:$OJ$901,187,MATCH($B$2&amp;"|yC",Aux_puntos!$1:$1,0))),NA())</f>
        <v>#N/A</v>
      </c>
      <c r="AG191" t="e">
        <f>IFERROR(IF(INDEX(Aux_puntos!$A$2:$OJ$901,187,MATCH($B$2&amp;"|xI",Aux_puntos!$1:$1,0))="",NA(),INDEX(Aux_puntos!$A$2:$OJ$901,187,MATCH($B$2&amp;"|xI",Aux_puntos!$1:$1,0))),NA())</f>
        <v>#N/A</v>
      </c>
      <c r="AH191" t="e">
        <f>IFERROR(IF(INDEX(Aux_puntos!$A$2:$OJ$901,187,MATCH($B$2&amp;"|yI",Aux_puntos!$1:$1,0))="",NA(),INDEX(Aux_puntos!$A$2:$OJ$901,187,MATCH($B$2&amp;"|yI",Aux_puntos!$1:$1,0))),NA())</f>
        <v>#N/A</v>
      </c>
      <c r="AI191" t="e">
        <f>IFERROR(IF(INDEX(Aux_puntos!$A$2:$OJ$901,187,MATCH($B$2&amp;"|xN",Aux_puntos!$1:$1,0))="",NA(),INDEX(Aux_puntos!$A$2:$OJ$901,187,MATCH($B$2&amp;"|xN",Aux_puntos!$1:$1,0))),NA())</f>
        <v>#N/A</v>
      </c>
      <c r="AJ191" t="e">
        <f>IFERROR(IF(INDEX(Aux_puntos!$A$2:$OJ$901,187,MATCH($B$2&amp;"|yN",Aux_puntos!$1:$1,0))="",NA(),INDEX(Aux_puntos!$A$2:$OJ$901,187,MATCH($B$2&amp;"|yN",Aux_puntos!$1:$1,0))),NA())</f>
        <v>#N/A</v>
      </c>
    </row>
    <row r="192" spans="29:36" x14ac:dyDescent="0.3">
      <c r="AC192" t="e">
        <f>IFERROR(IF(INDEX(Aux_puntos!$A$2:$OJ$901,188,MATCH($B$2&amp;"|xK",Aux_puntos!$1:$1,0))="",NA(),INDEX(Aux_puntos!$A$2:$OJ$901,188,MATCH($B$2&amp;"|xK",Aux_puntos!$1:$1,0))),NA())</f>
        <v>#N/A</v>
      </c>
      <c r="AD192" t="e">
        <f>IFERROR(IF(INDEX(Aux_puntos!$A$2:$OJ$901,188,MATCH($B$2&amp;"|yK",Aux_puntos!$1:$1,0))="",NA(),INDEX(Aux_puntos!$A$2:$OJ$901,188,MATCH($B$2&amp;"|yK",Aux_puntos!$1:$1,0))),NA())</f>
        <v>#N/A</v>
      </c>
      <c r="AE192" t="e">
        <f>IFERROR(IF(INDEX(Aux_puntos!$A$2:$OJ$901,188,MATCH($B$2&amp;"|xC",Aux_puntos!$1:$1,0))="",NA(),INDEX(Aux_puntos!$A$2:$OJ$901,188,MATCH($B$2&amp;"|xC",Aux_puntos!$1:$1,0))),NA())</f>
        <v>#N/A</v>
      </c>
      <c r="AF192" t="e">
        <f>IFERROR(IF(INDEX(Aux_puntos!$A$2:$OJ$901,188,MATCH($B$2&amp;"|yC",Aux_puntos!$1:$1,0))="",NA(),INDEX(Aux_puntos!$A$2:$OJ$901,188,MATCH($B$2&amp;"|yC",Aux_puntos!$1:$1,0))),NA())</f>
        <v>#N/A</v>
      </c>
      <c r="AG192" t="e">
        <f>IFERROR(IF(INDEX(Aux_puntos!$A$2:$OJ$901,188,MATCH($B$2&amp;"|xI",Aux_puntos!$1:$1,0))="",NA(),INDEX(Aux_puntos!$A$2:$OJ$901,188,MATCH($B$2&amp;"|xI",Aux_puntos!$1:$1,0))),NA())</f>
        <v>#N/A</v>
      </c>
      <c r="AH192" t="e">
        <f>IFERROR(IF(INDEX(Aux_puntos!$A$2:$OJ$901,188,MATCH($B$2&amp;"|yI",Aux_puntos!$1:$1,0))="",NA(),INDEX(Aux_puntos!$A$2:$OJ$901,188,MATCH($B$2&amp;"|yI",Aux_puntos!$1:$1,0))),NA())</f>
        <v>#N/A</v>
      </c>
      <c r="AI192" t="e">
        <f>IFERROR(IF(INDEX(Aux_puntos!$A$2:$OJ$901,188,MATCH($B$2&amp;"|xN",Aux_puntos!$1:$1,0))="",NA(),INDEX(Aux_puntos!$A$2:$OJ$901,188,MATCH($B$2&amp;"|xN",Aux_puntos!$1:$1,0))),NA())</f>
        <v>#N/A</v>
      </c>
      <c r="AJ192" t="e">
        <f>IFERROR(IF(INDEX(Aux_puntos!$A$2:$OJ$901,188,MATCH($B$2&amp;"|yN",Aux_puntos!$1:$1,0))="",NA(),INDEX(Aux_puntos!$A$2:$OJ$901,188,MATCH($B$2&amp;"|yN",Aux_puntos!$1:$1,0))),NA())</f>
        <v>#N/A</v>
      </c>
    </row>
    <row r="193" spans="29:36" x14ac:dyDescent="0.3">
      <c r="AC193" t="e">
        <f>IFERROR(IF(INDEX(Aux_puntos!$A$2:$OJ$901,189,MATCH($B$2&amp;"|xK",Aux_puntos!$1:$1,0))="",NA(),INDEX(Aux_puntos!$A$2:$OJ$901,189,MATCH($B$2&amp;"|xK",Aux_puntos!$1:$1,0))),NA())</f>
        <v>#N/A</v>
      </c>
      <c r="AD193" t="e">
        <f>IFERROR(IF(INDEX(Aux_puntos!$A$2:$OJ$901,189,MATCH($B$2&amp;"|yK",Aux_puntos!$1:$1,0))="",NA(),INDEX(Aux_puntos!$A$2:$OJ$901,189,MATCH($B$2&amp;"|yK",Aux_puntos!$1:$1,0))),NA())</f>
        <v>#N/A</v>
      </c>
      <c r="AE193" t="e">
        <f>IFERROR(IF(INDEX(Aux_puntos!$A$2:$OJ$901,189,MATCH($B$2&amp;"|xC",Aux_puntos!$1:$1,0))="",NA(),INDEX(Aux_puntos!$A$2:$OJ$901,189,MATCH($B$2&amp;"|xC",Aux_puntos!$1:$1,0))),NA())</f>
        <v>#N/A</v>
      </c>
      <c r="AF193" t="e">
        <f>IFERROR(IF(INDEX(Aux_puntos!$A$2:$OJ$901,189,MATCH($B$2&amp;"|yC",Aux_puntos!$1:$1,0))="",NA(),INDEX(Aux_puntos!$A$2:$OJ$901,189,MATCH($B$2&amp;"|yC",Aux_puntos!$1:$1,0))),NA())</f>
        <v>#N/A</v>
      </c>
      <c r="AG193" t="e">
        <f>IFERROR(IF(INDEX(Aux_puntos!$A$2:$OJ$901,189,MATCH($B$2&amp;"|xI",Aux_puntos!$1:$1,0))="",NA(),INDEX(Aux_puntos!$A$2:$OJ$901,189,MATCH($B$2&amp;"|xI",Aux_puntos!$1:$1,0))),NA())</f>
        <v>#N/A</v>
      </c>
      <c r="AH193" t="e">
        <f>IFERROR(IF(INDEX(Aux_puntos!$A$2:$OJ$901,189,MATCH($B$2&amp;"|yI",Aux_puntos!$1:$1,0))="",NA(),INDEX(Aux_puntos!$A$2:$OJ$901,189,MATCH($B$2&amp;"|yI",Aux_puntos!$1:$1,0))),NA())</f>
        <v>#N/A</v>
      </c>
      <c r="AI193" t="e">
        <f>IFERROR(IF(INDEX(Aux_puntos!$A$2:$OJ$901,189,MATCH($B$2&amp;"|xN",Aux_puntos!$1:$1,0))="",NA(),INDEX(Aux_puntos!$A$2:$OJ$901,189,MATCH($B$2&amp;"|xN",Aux_puntos!$1:$1,0))),NA())</f>
        <v>#N/A</v>
      </c>
      <c r="AJ193" t="e">
        <f>IFERROR(IF(INDEX(Aux_puntos!$A$2:$OJ$901,189,MATCH($B$2&amp;"|yN",Aux_puntos!$1:$1,0))="",NA(),INDEX(Aux_puntos!$A$2:$OJ$901,189,MATCH($B$2&amp;"|yN",Aux_puntos!$1:$1,0))),NA())</f>
        <v>#N/A</v>
      </c>
    </row>
    <row r="194" spans="29:36" x14ac:dyDescent="0.3">
      <c r="AC194" t="e">
        <f>IFERROR(IF(INDEX(Aux_puntos!$A$2:$OJ$901,190,MATCH($B$2&amp;"|xK",Aux_puntos!$1:$1,0))="",NA(),INDEX(Aux_puntos!$A$2:$OJ$901,190,MATCH($B$2&amp;"|xK",Aux_puntos!$1:$1,0))),NA())</f>
        <v>#N/A</v>
      </c>
      <c r="AD194" t="e">
        <f>IFERROR(IF(INDEX(Aux_puntos!$A$2:$OJ$901,190,MATCH($B$2&amp;"|yK",Aux_puntos!$1:$1,0))="",NA(),INDEX(Aux_puntos!$A$2:$OJ$901,190,MATCH($B$2&amp;"|yK",Aux_puntos!$1:$1,0))),NA())</f>
        <v>#N/A</v>
      </c>
      <c r="AE194" t="e">
        <f>IFERROR(IF(INDEX(Aux_puntos!$A$2:$OJ$901,190,MATCH($B$2&amp;"|xC",Aux_puntos!$1:$1,0))="",NA(),INDEX(Aux_puntos!$A$2:$OJ$901,190,MATCH($B$2&amp;"|xC",Aux_puntos!$1:$1,0))),NA())</f>
        <v>#N/A</v>
      </c>
      <c r="AF194" t="e">
        <f>IFERROR(IF(INDEX(Aux_puntos!$A$2:$OJ$901,190,MATCH($B$2&amp;"|yC",Aux_puntos!$1:$1,0))="",NA(),INDEX(Aux_puntos!$A$2:$OJ$901,190,MATCH($B$2&amp;"|yC",Aux_puntos!$1:$1,0))),NA())</f>
        <v>#N/A</v>
      </c>
      <c r="AG194" t="e">
        <f>IFERROR(IF(INDEX(Aux_puntos!$A$2:$OJ$901,190,MATCH($B$2&amp;"|xI",Aux_puntos!$1:$1,0))="",NA(),INDEX(Aux_puntos!$A$2:$OJ$901,190,MATCH($B$2&amp;"|xI",Aux_puntos!$1:$1,0))),NA())</f>
        <v>#N/A</v>
      </c>
      <c r="AH194" t="e">
        <f>IFERROR(IF(INDEX(Aux_puntos!$A$2:$OJ$901,190,MATCH($B$2&amp;"|yI",Aux_puntos!$1:$1,0))="",NA(),INDEX(Aux_puntos!$A$2:$OJ$901,190,MATCH($B$2&amp;"|yI",Aux_puntos!$1:$1,0))),NA())</f>
        <v>#N/A</v>
      </c>
      <c r="AI194" t="e">
        <f>IFERROR(IF(INDEX(Aux_puntos!$A$2:$OJ$901,190,MATCH($B$2&amp;"|xN",Aux_puntos!$1:$1,0))="",NA(),INDEX(Aux_puntos!$A$2:$OJ$901,190,MATCH($B$2&amp;"|xN",Aux_puntos!$1:$1,0))),NA())</f>
        <v>#N/A</v>
      </c>
      <c r="AJ194" t="e">
        <f>IFERROR(IF(INDEX(Aux_puntos!$A$2:$OJ$901,190,MATCH($B$2&amp;"|yN",Aux_puntos!$1:$1,0))="",NA(),INDEX(Aux_puntos!$A$2:$OJ$901,190,MATCH($B$2&amp;"|yN",Aux_puntos!$1:$1,0))),NA())</f>
        <v>#N/A</v>
      </c>
    </row>
    <row r="195" spans="29:36" x14ac:dyDescent="0.3">
      <c r="AC195" t="e">
        <f>IFERROR(IF(INDEX(Aux_puntos!$A$2:$OJ$901,191,MATCH($B$2&amp;"|xK",Aux_puntos!$1:$1,0))="",NA(),INDEX(Aux_puntos!$A$2:$OJ$901,191,MATCH($B$2&amp;"|xK",Aux_puntos!$1:$1,0))),NA())</f>
        <v>#N/A</v>
      </c>
      <c r="AD195" t="e">
        <f>IFERROR(IF(INDEX(Aux_puntos!$A$2:$OJ$901,191,MATCH($B$2&amp;"|yK",Aux_puntos!$1:$1,0))="",NA(),INDEX(Aux_puntos!$A$2:$OJ$901,191,MATCH($B$2&amp;"|yK",Aux_puntos!$1:$1,0))),NA())</f>
        <v>#N/A</v>
      </c>
      <c r="AE195" t="e">
        <f>IFERROR(IF(INDEX(Aux_puntos!$A$2:$OJ$901,191,MATCH($B$2&amp;"|xC",Aux_puntos!$1:$1,0))="",NA(),INDEX(Aux_puntos!$A$2:$OJ$901,191,MATCH($B$2&amp;"|xC",Aux_puntos!$1:$1,0))),NA())</f>
        <v>#N/A</v>
      </c>
      <c r="AF195" t="e">
        <f>IFERROR(IF(INDEX(Aux_puntos!$A$2:$OJ$901,191,MATCH($B$2&amp;"|yC",Aux_puntos!$1:$1,0))="",NA(),INDEX(Aux_puntos!$A$2:$OJ$901,191,MATCH($B$2&amp;"|yC",Aux_puntos!$1:$1,0))),NA())</f>
        <v>#N/A</v>
      </c>
      <c r="AG195" t="e">
        <f>IFERROR(IF(INDEX(Aux_puntos!$A$2:$OJ$901,191,MATCH($B$2&amp;"|xI",Aux_puntos!$1:$1,0))="",NA(),INDEX(Aux_puntos!$A$2:$OJ$901,191,MATCH($B$2&amp;"|xI",Aux_puntos!$1:$1,0))),NA())</f>
        <v>#N/A</v>
      </c>
      <c r="AH195" t="e">
        <f>IFERROR(IF(INDEX(Aux_puntos!$A$2:$OJ$901,191,MATCH($B$2&amp;"|yI",Aux_puntos!$1:$1,0))="",NA(),INDEX(Aux_puntos!$A$2:$OJ$901,191,MATCH($B$2&amp;"|yI",Aux_puntos!$1:$1,0))),NA())</f>
        <v>#N/A</v>
      </c>
      <c r="AI195" t="e">
        <f>IFERROR(IF(INDEX(Aux_puntos!$A$2:$OJ$901,191,MATCH($B$2&amp;"|xN",Aux_puntos!$1:$1,0))="",NA(),INDEX(Aux_puntos!$A$2:$OJ$901,191,MATCH($B$2&amp;"|xN",Aux_puntos!$1:$1,0))),NA())</f>
        <v>#N/A</v>
      </c>
      <c r="AJ195" t="e">
        <f>IFERROR(IF(INDEX(Aux_puntos!$A$2:$OJ$901,191,MATCH($B$2&amp;"|yN",Aux_puntos!$1:$1,0))="",NA(),INDEX(Aux_puntos!$A$2:$OJ$901,191,MATCH($B$2&amp;"|yN",Aux_puntos!$1:$1,0))),NA())</f>
        <v>#N/A</v>
      </c>
    </row>
    <row r="196" spans="29:36" x14ac:dyDescent="0.3">
      <c r="AC196" t="e">
        <f>IFERROR(IF(INDEX(Aux_puntos!$A$2:$OJ$901,192,MATCH($B$2&amp;"|xK",Aux_puntos!$1:$1,0))="",NA(),INDEX(Aux_puntos!$A$2:$OJ$901,192,MATCH($B$2&amp;"|xK",Aux_puntos!$1:$1,0))),NA())</f>
        <v>#N/A</v>
      </c>
      <c r="AD196" t="e">
        <f>IFERROR(IF(INDEX(Aux_puntos!$A$2:$OJ$901,192,MATCH($B$2&amp;"|yK",Aux_puntos!$1:$1,0))="",NA(),INDEX(Aux_puntos!$A$2:$OJ$901,192,MATCH($B$2&amp;"|yK",Aux_puntos!$1:$1,0))),NA())</f>
        <v>#N/A</v>
      </c>
      <c r="AE196" t="e">
        <f>IFERROR(IF(INDEX(Aux_puntos!$A$2:$OJ$901,192,MATCH($B$2&amp;"|xC",Aux_puntos!$1:$1,0))="",NA(),INDEX(Aux_puntos!$A$2:$OJ$901,192,MATCH($B$2&amp;"|xC",Aux_puntos!$1:$1,0))),NA())</f>
        <v>#N/A</v>
      </c>
      <c r="AF196" t="e">
        <f>IFERROR(IF(INDEX(Aux_puntos!$A$2:$OJ$901,192,MATCH($B$2&amp;"|yC",Aux_puntos!$1:$1,0))="",NA(),INDEX(Aux_puntos!$A$2:$OJ$901,192,MATCH($B$2&amp;"|yC",Aux_puntos!$1:$1,0))),NA())</f>
        <v>#N/A</v>
      </c>
      <c r="AG196" t="e">
        <f>IFERROR(IF(INDEX(Aux_puntos!$A$2:$OJ$901,192,MATCH($B$2&amp;"|xI",Aux_puntos!$1:$1,0))="",NA(),INDEX(Aux_puntos!$A$2:$OJ$901,192,MATCH($B$2&amp;"|xI",Aux_puntos!$1:$1,0))),NA())</f>
        <v>#N/A</v>
      </c>
      <c r="AH196" t="e">
        <f>IFERROR(IF(INDEX(Aux_puntos!$A$2:$OJ$901,192,MATCH($B$2&amp;"|yI",Aux_puntos!$1:$1,0))="",NA(),INDEX(Aux_puntos!$A$2:$OJ$901,192,MATCH($B$2&amp;"|yI",Aux_puntos!$1:$1,0))),NA())</f>
        <v>#N/A</v>
      </c>
      <c r="AI196" t="e">
        <f>IFERROR(IF(INDEX(Aux_puntos!$A$2:$OJ$901,192,MATCH($B$2&amp;"|xN",Aux_puntos!$1:$1,0))="",NA(),INDEX(Aux_puntos!$A$2:$OJ$901,192,MATCH($B$2&amp;"|xN",Aux_puntos!$1:$1,0))),NA())</f>
        <v>#N/A</v>
      </c>
      <c r="AJ196" t="e">
        <f>IFERROR(IF(INDEX(Aux_puntos!$A$2:$OJ$901,192,MATCH($B$2&amp;"|yN",Aux_puntos!$1:$1,0))="",NA(),INDEX(Aux_puntos!$A$2:$OJ$901,192,MATCH($B$2&amp;"|yN",Aux_puntos!$1:$1,0))),NA())</f>
        <v>#N/A</v>
      </c>
    </row>
    <row r="197" spans="29:36" x14ac:dyDescent="0.3">
      <c r="AC197" t="e">
        <f>IFERROR(IF(INDEX(Aux_puntos!$A$2:$OJ$901,193,MATCH($B$2&amp;"|xK",Aux_puntos!$1:$1,0))="",NA(),INDEX(Aux_puntos!$A$2:$OJ$901,193,MATCH($B$2&amp;"|xK",Aux_puntos!$1:$1,0))),NA())</f>
        <v>#N/A</v>
      </c>
      <c r="AD197" t="e">
        <f>IFERROR(IF(INDEX(Aux_puntos!$A$2:$OJ$901,193,MATCH($B$2&amp;"|yK",Aux_puntos!$1:$1,0))="",NA(),INDEX(Aux_puntos!$A$2:$OJ$901,193,MATCH($B$2&amp;"|yK",Aux_puntos!$1:$1,0))),NA())</f>
        <v>#N/A</v>
      </c>
      <c r="AE197" t="e">
        <f>IFERROR(IF(INDEX(Aux_puntos!$A$2:$OJ$901,193,MATCH($B$2&amp;"|xC",Aux_puntos!$1:$1,0))="",NA(),INDEX(Aux_puntos!$A$2:$OJ$901,193,MATCH($B$2&amp;"|xC",Aux_puntos!$1:$1,0))),NA())</f>
        <v>#N/A</v>
      </c>
      <c r="AF197" t="e">
        <f>IFERROR(IF(INDEX(Aux_puntos!$A$2:$OJ$901,193,MATCH($B$2&amp;"|yC",Aux_puntos!$1:$1,0))="",NA(),INDEX(Aux_puntos!$A$2:$OJ$901,193,MATCH($B$2&amp;"|yC",Aux_puntos!$1:$1,0))),NA())</f>
        <v>#N/A</v>
      </c>
      <c r="AG197" t="e">
        <f>IFERROR(IF(INDEX(Aux_puntos!$A$2:$OJ$901,193,MATCH($B$2&amp;"|xI",Aux_puntos!$1:$1,0))="",NA(),INDEX(Aux_puntos!$A$2:$OJ$901,193,MATCH($B$2&amp;"|xI",Aux_puntos!$1:$1,0))),NA())</f>
        <v>#N/A</v>
      </c>
      <c r="AH197" t="e">
        <f>IFERROR(IF(INDEX(Aux_puntos!$A$2:$OJ$901,193,MATCH($B$2&amp;"|yI",Aux_puntos!$1:$1,0))="",NA(),INDEX(Aux_puntos!$A$2:$OJ$901,193,MATCH($B$2&amp;"|yI",Aux_puntos!$1:$1,0))),NA())</f>
        <v>#N/A</v>
      </c>
      <c r="AI197" t="e">
        <f>IFERROR(IF(INDEX(Aux_puntos!$A$2:$OJ$901,193,MATCH($B$2&amp;"|xN",Aux_puntos!$1:$1,0))="",NA(),INDEX(Aux_puntos!$A$2:$OJ$901,193,MATCH($B$2&amp;"|xN",Aux_puntos!$1:$1,0))),NA())</f>
        <v>#N/A</v>
      </c>
      <c r="AJ197" t="e">
        <f>IFERROR(IF(INDEX(Aux_puntos!$A$2:$OJ$901,193,MATCH($B$2&amp;"|yN",Aux_puntos!$1:$1,0))="",NA(),INDEX(Aux_puntos!$A$2:$OJ$901,193,MATCH($B$2&amp;"|yN",Aux_puntos!$1:$1,0))),NA())</f>
        <v>#N/A</v>
      </c>
    </row>
    <row r="198" spans="29:36" x14ac:dyDescent="0.3">
      <c r="AC198" t="e">
        <f>IFERROR(IF(INDEX(Aux_puntos!$A$2:$OJ$901,194,MATCH($B$2&amp;"|xK",Aux_puntos!$1:$1,0))="",NA(),INDEX(Aux_puntos!$A$2:$OJ$901,194,MATCH($B$2&amp;"|xK",Aux_puntos!$1:$1,0))),NA())</f>
        <v>#N/A</v>
      </c>
      <c r="AD198" t="e">
        <f>IFERROR(IF(INDEX(Aux_puntos!$A$2:$OJ$901,194,MATCH($B$2&amp;"|yK",Aux_puntos!$1:$1,0))="",NA(),INDEX(Aux_puntos!$A$2:$OJ$901,194,MATCH($B$2&amp;"|yK",Aux_puntos!$1:$1,0))),NA())</f>
        <v>#N/A</v>
      </c>
      <c r="AE198" t="e">
        <f>IFERROR(IF(INDEX(Aux_puntos!$A$2:$OJ$901,194,MATCH($B$2&amp;"|xC",Aux_puntos!$1:$1,0))="",NA(),INDEX(Aux_puntos!$A$2:$OJ$901,194,MATCH($B$2&amp;"|xC",Aux_puntos!$1:$1,0))),NA())</f>
        <v>#N/A</v>
      </c>
      <c r="AF198" t="e">
        <f>IFERROR(IF(INDEX(Aux_puntos!$A$2:$OJ$901,194,MATCH($B$2&amp;"|yC",Aux_puntos!$1:$1,0))="",NA(),INDEX(Aux_puntos!$A$2:$OJ$901,194,MATCH($B$2&amp;"|yC",Aux_puntos!$1:$1,0))),NA())</f>
        <v>#N/A</v>
      </c>
      <c r="AG198" t="e">
        <f>IFERROR(IF(INDEX(Aux_puntos!$A$2:$OJ$901,194,MATCH($B$2&amp;"|xI",Aux_puntos!$1:$1,0))="",NA(),INDEX(Aux_puntos!$A$2:$OJ$901,194,MATCH($B$2&amp;"|xI",Aux_puntos!$1:$1,0))),NA())</f>
        <v>#N/A</v>
      </c>
      <c r="AH198" t="e">
        <f>IFERROR(IF(INDEX(Aux_puntos!$A$2:$OJ$901,194,MATCH($B$2&amp;"|yI",Aux_puntos!$1:$1,0))="",NA(),INDEX(Aux_puntos!$A$2:$OJ$901,194,MATCH($B$2&amp;"|yI",Aux_puntos!$1:$1,0))),NA())</f>
        <v>#N/A</v>
      </c>
      <c r="AI198" t="e">
        <f>IFERROR(IF(INDEX(Aux_puntos!$A$2:$OJ$901,194,MATCH($B$2&amp;"|xN",Aux_puntos!$1:$1,0))="",NA(),INDEX(Aux_puntos!$A$2:$OJ$901,194,MATCH($B$2&amp;"|xN",Aux_puntos!$1:$1,0))),NA())</f>
        <v>#N/A</v>
      </c>
      <c r="AJ198" t="e">
        <f>IFERROR(IF(INDEX(Aux_puntos!$A$2:$OJ$901,194,MATCH($B$2&amp;"|yN",Aux_puntos!$1:$1,0))="",NA(),INDEX(Aux_puntos!$A$2:$OJ$901,194,MATCH($B$2&amp;"|yN",Aux_puntos!$1:$1,0))),NA())</f>
        <v>#N/A</v>
      </c>
    </row>
    <row r="199" spans="29:36" x14ac:dyDescent="0.3">
      <c r="AC199" t="e">
        <f>IFERROR(IF(INDEX(Aux_puntos!$A$2:$OJ$901,195,MATCH($B$2&amp;"|xK",Aux_puntos!$1:$1,0))="",NA(),INDEX(Aux_puntos!$A$2:$OJ$901,195,MATCH($B$2&amp;"|xK",Aux_puntos!$1:$1,0))),NA())</f>
        <v>#N/A</v>
      </c>
      <c r="AD199" t="e">
        <f>IFERROR(IF(INDEX(Aux_puntos!$A$2:$OJ$901,195,MATCH($B$2&amp;"|yK",Aux_puntos!$1:$1,0))="",NA(),INDEX(Aux_puntos!$A$2:$OJ$901,195,MATCH($B$2&amp;"|yK",Aux_puntos!$1:$1,0))),NA())</f>
        <v>#N/A</v>
      </c>
      <c r="AE199" t="e">
        <f>IFERROR(IF(INDEX(Aux_puntos!$A$2:$OJ$901,195,MATCH($B$2&amp;"|xC",Aux_puntos!$1:$1,0))="",NA(),INDEX(Aux_puntos!$A$2:$OJ$901,195,MATCH($B$2&amp;"|xC",Aux_puntos!$1:$1,0))),NA())</f>
        <v>#N/A</v>
      </c>
      <c r="AF199" t="e">
        <f>IFERROR(IF(INDEX(Aux_puntos!$A$2:$OJ$901,195,MATCH($B$2&amp;"|yC",Aux_puntos!$1:$1,0))="",NA(),INDEX(Aux_puntos!$A$2:$OJ$901,195,MATCH($B$2&amp;"|yC",Aux_puntos!$1:$1,0))),NA())</f>
        <v>#N/A</v>
      </c>
      <c r="AG199" t="e">
        <f>IFERROR(IF(INDEX(Aux_puntos!$A$2:$OJ$901,195,MATCH($B$2&amp;"|xI",Aux_puntos!$1:$1,0))="",NA(),INDEX(Aux_puntos!$A$2:$OJ$901,195,MATCH($B$2&amp;"|xI",Aux_puntos!$1:$1,0))),NA())</f>
        <v>#N/A</v>
      </c>
      <c r="AH199" t="e">
        <f>IFERROR(IF(INDEX(Aux_puntos!$A$2:$OJ$901,195,MATCH($B$2&amp;"|yI",Aux_puntos!$1:$1,0))="",NA(),INDEX(Aux_puntos!$A$2:$OJ$901,195,MATCH($B$2&amp;"|yI",Aux_puntos!$1:$1,0))),NA())</f>
        <v>#N/A</v>
      </c>
      <c r="AI199" t="e">
        <f>IFERROR(IF(INDEX(Aux_puntos!$A$2:$OJ$901,195,MATCH($B$2&amp;"|xN",Aux_puntos!$1:$1,0))="",NA(),INDEX(Aux_puntos!$A$2:$OJ$901,195,MATCH($B$2&amp;"|xN",Aux_puntos!$1:$1,0))),NA())</f>
        <v>#N/A</v>
      </c>
      <c r="AJ199" t="e">
        <f>IFERROR(IF(INDEX(Aux_puntos!$A$2:$OJ$901,195,MATCH($B$2&amp;"|yN",Aux_puntos!$1:$1,0))="",NA(),INDEX(Aux_puntos!$A$2:$OJ$901,195,MATCH($B$2&amp;"|yN",Aux_puntos!$1:$1,0))),NA())</f>
        <v>#N/A</v>
      </c>
    </row>
    <row r="200" spans="29:36" x14ac:dyDescent="0.3">
      <c r="AC200" t="e">
        <f>IFERROR(IF(INDEX(Aux_puntos!$A$2:$OJ$901,196,MATCH($B$2&amp;"|xK",Aux_puntos!$1:$1,0))="",NA(),INDEX(Aux_puntos!$A$2:$OJ$901,196,MATCH($B$2&amp;"|xK",Aux_puntos!$1:$1,0))),NA())</f>
        <v>#N/A</v>
      </c>
      <c r="AD200" t="e">
        <f>IFERROR(IF(INDEX(Aux_puntos!$A$2:$OJ$901,196,MATCH($B$2&amp;"|yK",Aux_puntos!$1:$1,0))="",NA(),INDEX(Aux_puntos!$A$2:$OJ$901,196,MATCH($B$2&amp;"|yK",Aux_puntos!$1:$1,0))),NA())</f>
        <v>#N/A</v>
      </c>
      <c r="AE200" t="e">
        <f>IFERROR(IF(INDEX(Aux_puntos!$A$2:$OJ$901,196,MATCH($B$2&amp;"|xC",Aux_puntos!$1:$1,0))="",NA(),INDEX(Aux_puntos!$A$2:$OJ$901,196,MATCH($B$2&amp;"|xC",Aux_puntos!$1:$1,0))),NA())</f>
        <v>#N/A</v>
      </c>
      <c r="AF200" t="e">
        <f>IFERROR(IF(INDEX(Aux_puntos!$A$2:$OJ$901,196,MATCH($B$2&amp;"|yC",Aux_puntos!$1:$1,0))="",NA(),INDEX(Aux_puntos!$A$2:$OJ$901,196,MATCH($B$2&amp;"|yC",Aux_puntos!$1:$1,0))),NA())</f>
        <v>#N/A</v>
      </c>
      <c r="AG200" t="e">
        <f>IFERROR(IF(INDEX(Aux_puntos!$A$2:$OJ$901,196,MATCH($B$2&amp;"|xI",Aux_puntos!$1:$1,0))="",NA(),INDEX(Aux_puntos!$A$2:$OJ$901,196,MATCH($B$2&amp;"|xI",Aux_puntos!$1:$1,0))),NA())</f>
        <v>#N/A</v>
      </c>
      <c r="AH200" t="e">
        <f>IFERROR(IF(INDEX(Aux_puntos!$A$2:$OJ$901,196,MATCH($B$2&amp;"|yI",Aux_puntos!$1:$1,0))="",NA(),INDEX(Aux_puntos!$A$2:$OJ$901,196,MATCH($B$2&amp;"|yI",Aux_puntos!$1:$1,0))),NA())</f>
        <v>#N/A</v>
      </c>
      <c r="AI200" t="e">
        <f>IFERROR(IF(INDEX(Aux_puntos!$A$2:$OJ$901,196,MATCH($B$2&amp;"|xN",Aux_puntos!$1:$1,0))="",NA(),INDEX(Aux_puntos!$A$2:$OJ$901,196,MATCH($B$2&amp;"|xN",Aux_puntos!$1:$1,0))),NA())</f>
        <v>#N/A</v>
      </c>
      <c r="AJ200" t="e">
        <f>IFERROR(IF(INDEX(Aux_puntos!$A$2:$OJ$901,196,MATCH($B$2&amp;"|yN",Aux_puntos!$1:$1,0))="",NA(),INDEX(Aux_puntos!$A$2:$OJ$901,196,MATCH($B$2&amp;"|yN",Aux_puntos!$1:$1,0))),NA())</f>
        <v>#N/A</v>
      </c>
    </row>
    <row r="201" spans="29:36" x14ac:dyDescent="0.3">
      <c r="AC201" t="e">
        <f>IFERROR(IF(INDEX(Aux_puntos!$A$2:$OJ$901,197,MATCH($B$2&amp;"|xK",Aux_puntos!$1:$1,0))="",NA(),INDEX(Aux_puntos!$A$2:$OJ$901,197,MATCH($B$2&amp;"|xK",Aux_puntos!$1:$1,0))),NA())</f>
        <v>#N/A</v>
      </c>
      <c r="AD201" t="e">
        <f>IFERROR(IF(INDEX(Aux_puntos!$A$2:$OJ$901,197,MATCH($B$2&amp;"|yK",Aux_puntos!$1:$1,0))="",NA(),INDEX(Aux_puntos!$A$2:$OJ$901,197,MATCH($B$2&amp;"|yK",Aux_puntos!$1:$1,0))),NA())</f>
        <v>#N/A</v>
      </c>
      <c r="AE201" t="e">
        <f>IFERROR(IF(INDEX(Aux_puntos!$A$2:$OJ$901,197,MATCH($B$2&amp;"|xC",Aux_puntos!$1:$1,0))="",NA(),INDEX(Aux_puntos!$A$2:$OJ$901,197,MATCH($B$2&amp;"|xC",Aux_puntos!$1:$1,0))),NA())</f>
        <v>#N/A</v>
      </c>
      <c r="AF201" t="e">
        <f>IFERROR(IF(INDEX(Aux_puntos!$A$2:$OJ$901,197,MATCH($B$2&amp;"|yC",Aux_puntos!$1:$1,0))="",NA(),INDEX(Aux_puntos!$A$2:$OJ$901,197,MATCH($B$2&amp;"|yC",Aux_puntos!$1:$1,0))),NA())</f>
        <v>#N/A</v>
      </c>
      <c r="AG201" t="e">
        <f>IFERROR(IF(INDEX(Aux_puntos!$A$2:$OJ$901,197,MATCH($B$2&amp;"|xI",Aux_puntos!$1:$1,0))="",NA(),INDEX(Aux_puntos!$A$2:$OJ$901,197,MATCH($B$2&amp;"|xI",Aux_puntos!$1:$1,0))),NA())</f>
        <v>#N/A</v>
      </c>
      <c r="AH201" t="e">
        <f>IFERROR(IF(INDEX(Aux_puntos!$A$2:$OJ$901,197,MATCH($B$2&amp;"|yI",Aux_puntos!$1:$1,0))="",NA(),INDEX(Aux_puntos!$A$2:$OJ$901,197,MATCH($B$2&amp;"|yI",Aux_puntos!$1:$1,0))),NA())</f>
        <v>#N/A</v>
      </c>
      <c r="AI201" t="e">
        <f>IFERROR(IF(INDEX(Aux_puntos!$A$2:$OJ$901,197,MATCH($B$2&amp;"|xN",Aux_puntos!$1:$1,0))="",NA(),INDEX(Aux_puntos!$A$2:$OJ$901,197,MATCH($B$2&amp;"|xN",Aux_puntos!$1:$1,0))),NA())</f>
        <v>#N/A</v>
      </c>
      <c r="AJ201" t="e">
        <f>IFERROR(IF(INDEX(Aux_puntos!$A$2:$OJ$901,197,MATCH($B$2&amp;"|yN",Aux_puntos!$1:$1,0))="",NA(),INDEX(Aux_puntos!$A$2:$OJ$901,197,MATCH($B$2&amp;"|yN",Aux_puntos!$1:$1,0))),NA())</f>
        <v>#N/A</v>
      </c>
    </row>
    <row r="202" spans="29:36" x14ac:dyDescent="0.3">
      <c r="AC202" t="e">
        <f>IFERROR(IF(INDEX(Aux_puntos!$A$2:$OJ$901,198,MATCH($B$2&amp;"|xK",Aux_puntos!$1:$1,0))="",NA(),INDEX(Aux_puntos!$A$2:$OJ$901,198,MATCH($B$2&amp;"|xK",Aux_puntos!$1:$1,0))),NA())</f>
        <v>#N/A</v>
      </c>
      <c r="AD202" t="e">
        <f>IFERROR(IF(INDEX(Aux_puntos!$A$2:$OJ$901,198,MATCH($B$2&amp;"|yK",Aux_puntos!$1:$1,0))="",NA(),INDEX(Aux_puntos!$A$2:$OJ$901,198,MATCH($B$2&amp;"|yK",Aux_puntos!$1:$1,0))),NA())</f>
        <v>#N/A</v>
      </c>
      <c r="AE202" t="e">
        <f>IFERROR(IF(INDEX(Aux_puntos!$A$2:$OJ$901,198,MATCH($B$2&amp;"|xC",Aux_puntos!$1:$1,0))="",NA(),INDEX(Aux_puntos!$A$2:$OJ$901,198,MATCH($B$2&amp;"|xC",Aux_puntos!$1:$1,0))),NA())</f>
        <v>#N/A</v>
      </c>
      <c r="AF202" t="e">
        <f>IFERROR(IF(INDEX(Aux_puntos!$A$2:$OJ$901,198,MATCH($B$2&amp;"|yC",Aux_puntos!$1:$1,0))="",NA(),INDEX(Aux_puntos!$A$2:$OJ$901,198,MATCH($B$2&amp;"|yC",Aux_puntos!$1:$1,0))),NA())</f>
        <v>#N/A</v>
      </c>
      <c r="AG202" t="e">
        <f>IFERROR(IF(INDEX(Aux_puntos!$A$2:$OJ$901,198,MATCH($B$2&amp;"|xI",Aux_puntos!$1:$1,0))="",NA(),INDEX(Aux_puntos!$A$2:$OJ$901,198,MATCH($B$2&amp;"|xI",Aux_puntos!$1:$1,0))),NA())</f>
        <v>#N/A</v>
      </c>
      <c r="AH202" t="e">
        <f>IFERROR(IF(INDEX(Aux_puntos!$A$2:$OJ$901,198,MATCH($B$2&amp;"|yI",Aux_puntos!$1:$1,0))="",NA(),INDEX(Aux_puntos!$A$2:$OJ$901,198,MATCH($B$2&amp;"|yI",Aux_puntos!$1:$1,0))),NA())</f>
        <v>#N/A</v>
      </c>
      <c r="AI202" t="e">
        <f>IFERROR(IF(INDEX(Aux_puntos!$A$2:$OJ$901,198,MATCH($B$2&amp;"|xN",Aux_puntos!$1:$1,0))="",NA(),INDEX(Aux_puntos!$A$2:$OJ$901,198,MATCH($B$2&amp;"|xN",Aux_puntos!$1:$1,0))),NA())</f>
        <v>#N/A</v>
      </c>
      <c r="AJ202" t="e">
        <f>IFERROR(IF(INDEX(Aux_puntos!$A$2:$OJ$901,198,MATCH($B$2&amp;"|yN",Aux_puntos!$1:$1,0))="",NA(),INDEX(Aux_puntos!$A$2:$OJ$901,198,MATCH($B$2&amp;"|yN",Aux_puntos!$1:$1,0))),NA())</f>
        <v>#N/A</v>
      </c>
    </row>
    <row r="203" spans="29:36" x14ac:dyDescent="0.3">
      <c r="AC203" t="e">
        <f>IFERROR(IF(INDEX(Aux_puntos!$A$2:$OJ$901,199,MATCH($B$2&amp;"|xK",Aux_puntos!$1:$1,0))="",NA(),INDEX(Aux_puntos!$A$2:$OJ$901,199,MATCH($B$2&amp;"|xK",Aux_puntos!$1:$1,0))),NA())</f>
        <v>#N/A</v>
      </c>
      <c r="AD203" t="e">
        <f>IFERROR(IF(INDEX(Aux_puntos!$A$2:$OJ$901,199,MATCH($B$2&amp;"|yK",Aux_puntos!$1:$1,0))="",NA(),INDEX(Aux_puntos!$A$2:$OJ$901,199,MATCH($B$2&amp;"|yK",Aux_puntos!$1:$1,0))),NA())</f>
        <v>#N/A</v>
      </c>
      <c r="AE203" t="e">
        <f>IFERROR(IF(INDEX(Aux_puntos!$A$2:$OJ$901,199,MATCH($B$2&amp;"|xC",Aux_puntos!$1:$1,0))="",NA(),INDEX(Aux_puntos!$A$2:$OJ$901,199,MATCH($B$2&amp;"|xC",Aux_puntos!$1:$1,0))),NA())</f>
        <v>#N/A</v>
      </c>
      <c r="AF203" t="e">
        <f>IFERROR(IF(INDEX(Aux_puntos!$A$2:$OJ$901,199,MATCH($B$2&amp;"|yC",Aux_puntos!$1:$1,0))="",NA(),INDEX(Aux_puntos!$A$2:$OJ$901,199,MATCH($B$2&amp;"|yC",Aux_puntos!$1:$1,0))),NA())</f>
        <v>#N/A</v>
      </c>
      <c r="AG203" t="e">
        <f>IFERROR(IF(INDEX(Aux_puntos!$A$2:$OJ$901,199,MATCH($B$2&amp;"|xI",Aux_puntos!$1:$1,0))="",NA(),INDEX(Aux_puntos!$A$2:$OJ$901,199,MATCH($B$2&amp;"|xI",Aux_puntos!$1:$1,0))),NA())</f>
        <v>#N/A</v>
      </c>
      <c r="AH203" t="e">
        <f>IFERROR(IF(INDEX(Aux_puntos!$A$2:$OJ$901,199,MATCH($B$2&amp;"|yI",Aux_puntos!$1:$1,0))="",NA(),INDEX(Aux_puntos!$A$2:$OJ$901,199,MATCH($B$2&amp;"|yI",Aux_puntos!$1:$1,0))),NA())</f>
        <v>#N/A</v>
      </c>
      <c r="AI203" t="e">
        <f>IFERROR(IF(INDEX(Aux_puntos!$A$2:$OJ$901,199,MATCH($B$2&amp;"|xN",Aux_puntos!$1:$1,0))="",NA(),INDEX(Aux_puntos!$A$2:$OJ$901,199,MATCH($B$2&amp;"|xN",Aux_puntos!$1:$1,0))),NA())</f>
        <v>#N/A</v>
      </c>
      <c r="AJ203" t="e">
        <f>IFERROR(IF(INDEX(Aux_puntos!$A$2:$OJ$901,199,MATCH($B$2&amp;"|yN",Aux_puntos!$1:$1,0))="",NA(),INDEX(Aux_puntos!$A$2:$OJ$901,199,MATCH($B$2&amp;"|yN",Aux_puntos!$1:$1,0))),NA())</f>
        <v>#N/A</v>
      </c>
    </row>
    <row r="204" spans="29:36" x14ac:dyDescent="0.3">
      <c r="AC204" t="e">
        <f>IFERROR(IF(INDEX(Aux_puntos!$A$2:$OJ$901,200,MATCH($B$2&amp;"|xK",Aux_puntos!$1:$1,0))="",NA(),INDEX(Aux_puntos!$A$2:$OJ$901,200,MATCH($B$2&amp;"|xK",Aux_puntos!$1:$1,0))),NA())</f>
        <v>#N/A</v>
      </c>
      <c r="AD204" t="e">
        <f>IFERROR(IF(INDEX(Aux_puntos!$A$2:$OJ$901,200,MATCH($B$2&amp;"|yK",Aux_puntos!$1:$1,0))="",NA(),INDEX(Aux_puntos!$A$2:$OJ$901,200,MATCH($B$2&amp;"|yK",Aux_puntos!$1:$1,0))),NA())</f>
        <v>#N/A</v>
      </c>
      <c r="AE204" t="e">
        <f>IFERROR(IF(INDEX(Aux_puntos!$A$2:$OJ$901,200,MATCH($B$2&amp;"|xC",Aux_puntos!$1:$1,0))="",NA(),INDEX(Aux_puntos!$A$2:$OJ$901,200,MATCH($B$2&amp;"|xC",Aux_puntos!$1:$1,0))),NA())</f>
        <v>#N/A</v>
      </c>
      <c r="AF204" t="e">
        <f>IFERROR(IF(INDEX(Aux_puntos!$A$2:$OJ$901,200,MATCH($B$2&amp;"|yC",Aux_puntos!$1:$1,0))="",NA(),INDEX(Aux_puntos!$A$2:$OJ$901,200,MATCH($B$2&amp;"|yC",Aux_puntos!$1:$1,0))),NA())</f>
        <v>#N/A</v>
      </c>
      <c r="AG204" t="e">
        <f>IFERROR(IF(INDEX(Aux_puntos!$A$2:$OJ$901,200,MATCH($B$2&amp;"|xI",Aux_puntos!$1:$1,0))="",NA(),INDEX(Aux_puntos!$A$2:$OJ$901,200,MATCH($B$2&amp;"|xI",Aux_puntos!$1:$1,0))),NA())</f>
        <v>#N/A</v>
      </c>
      <c r="AH204" t="e">
        <f>IFERROR(IF(INDEX(Aux_puntos!$A$2:$OJ$901,200,MATCH($B$2&amp;"|yI",Aux_puntos!$1:$1,0))="",NA(),INDEX(Aux_puntos!$A$2:$OJ$901,200,MATCH($B$2&amp;"|yI",Aux_puntos!$1:$1,0))),NA())</f>
        <v>#N/A</v>
      </c>
      <c r="AI204" t="e">
        <f>IFERROR(IF(INDEX(Aux_puntos!$A$2:$OJ$901,200,MATCH($B$2&amp;"|xN",Aux_puntos!$1:$1,0))="",NA(),INDEX(Aux_puntos!$A$2:$OJ$901,200,MATCH($B$2&amp;"|xN",Aux_puntos!$1:$1,0))),NA())</f>
        <v>#N/A</v>
      </c>
      <c r="AJ204" t="e">
        <f>IFERROR(IF(INDEX(Aux_puntos!$A$2:$OJ$901,200,MATCH($B$2&amp;"|yN",Aux_puntos!$1:$1,0))="",NA(),INDEX(Aux_puntos!$A$2:$OJ$901,200,MATCH($B$2&amp;"|yN",Aux_puntos!$1:$1,0))),NA())</f>
        <v>#N/A</v>
      </c>
    </row>
    <row r="205" spans="29:36" x14ac:dyDescent="0.3">
      <c r="AC205" t="e">
        <f>IFERROR(IF(INDEX(Aux_puntos!$A$2:$OJ$901,201,MATCH($B$2&amp;"|xK",Aux_puntos!$1:$1,0))="",NA(),INDEX(Aux_puntos!$A$2:$OJ$901,201,MATCH($B$2&amp;"|xK",Aux_puntos!$1:$1,0))),NA())</f>
        <v>#N/A</v>
      </c>
      <c r="AD205" t="e">
        <f>IFERROR(IF(INDEX(Aux_puntos!$A$2:$OJ$901,201,MATCH($B$2&amp;"|yK",Aux_puntos!$1:$1,0))="",NA(),INDEX(Aux_puntos!$A$2:$OJ$901,201,MATCH($B$2&amp;"|yK",Aux_puntos!$1:$1,0))),NA())</f>
        <v>#N/A</v>
      </c>
      <c r="AE205" t="e">
        <f>IFERROR(IF(INDEX(Aux_puntos!$A$2:$OJ$901,201,MATCH($B$2&amp;"|xC",Aux_puntos!$1:$1,0))="",NA(),INDEX(Aux_puntos!$A$2:$OJ$901,201,MATCH($B$2&amp;"|xC",Aux_puntos!$1:$1,0))),NA())</f>
        <v>#N/A</v>
      </c>
      <c r="AF205" t="e">
        <f>IFERROR(IF(INDEX(Aux_puntos!$A$2:$OJ$901,201,MATCH($B$2&amp;"|yC",Aux_puntos!$1:$1,0))="",NA(),INDEX(Aux_puntos!$A$2:$OJ$901,201,MATCH($B$2&amp;"|yC",Aux_puntos!$1:$1,0))),NA())</f>
        <v>#N/A</v>
      </c>
      <c r="AG205" t="e">
        <f>IFERROR(IF(INDEX(Aux_puntos!$A$2:$OJ$901,201,MATCH($B$2&amp;"|xI",Aux_puntos!$1:$1,0))="",NA(),INDEX(Aux_puntos!$A$2:$OJ$901,201,MATCH($B$2&amp;"|xI",Aux_puntos!$1:$1,0))),NA())</f>
        <v>#N/A</v>
      </c>
      <c r="AH205" t="e">
        <f>IFERROR(IF(INDEX(Aux_puntos!$A$2:$OJ$901,201,MATCH($B$2&amp;"|yI",Aux_puntos!$1:$1,0))="",NA(),INDEX(Aux_puntos!$A$2:$OJ$901,201,MATCH($B$2&amp;"|yI",Aux_puntos!$1:$1,0))),NA())</f>
        <v>#N/A</v>
      </c>
      <c r="AI205" t="e">
        <f>IFERROR(IF(INDEX(Aux_puntos!$A$2:$OJ$901,201,MATCH($B$2&amp;"|xN",Aux_puntos!$1:$1,0))="",NA(),INDEX(Aux_puntos!$A$2:$OJ$901,201,MATCH($B$2&amp;"|xN",Aux_puntos!$1:$1,0))),NA())</f>
        <v>#N/A</v>
      </c>
      <c r="AJ205" t="e">
        <f>IFERROR(IF(INDEX(Aux_puntos!$A$2:$OJ$901,201,MATCH($B$2&amp;"|yN",Aux_puntos!$1:$1,0))="",NA(),INDEX(Aux_puntos!$A$2:$OJ$901,201,MATCH($B$2&amp;"|yN",Aux_puntos!$1:$1,0))),NA())</f>
        <v>#N/A</v>
      </c>
    </row>
    <row r="206" spans="29:36" x14ac:dyDescent="0.3">
      <c r="AC206" t="e">
        <f>IFERROR(IF(INDEX(Aux_puntos!$A$2:$OJ$901,202,MATCH($B$2&amp;"|xK",Aux_puntos!$1:$1,0))="",NA(),INDEX(Aux_puntos!$A$2:$OJ$901,202,MATCH($B$2&amp;"|xK",Aux_puntos!$1:$1,0))),NA())</f>
        <v>#N/A</v>
      </c>
      <c r="AD206" t="e">
        <f>IFERROR(IF(INDEX(Aux_puntos!$A$2:$OJ$901,202,MATCH($B$2&amp;"|yK",Aux_puntos!$1:$1,0))="",NA(),INDEX(Aux_puntos!$A$2:$OJ$901,202,MATCH($B$2&amp;"|yK",Aux_puntos!$1:$1,0))),NA())</f>
        <v>#N/A</v>
      </c>
      <c r="AE206" t="e">
        <f>IFERROR(IF(INDEX(Aux_puntos!$A$2:$OJ$901,202,MATCH($B$2&amp;"|xC",Aux_puntos!$1:$1,0))="",NA(),INDEX(Aux_puntos!$A$2:$OJ$901,202,MATCH($B$2&amp;"|xC",Aux_puntos!$1:$1,0))),NA())</f>
        <v>#N/A</v>
      </c>
      <c r="AF206" t="e">
        <f>IFERROR(IF(INDEX(Aux_puntos!$A$2:$OJ$901,202,MATCH($B$2&amp;"|yC",Aux_puntos!$1:$1,0))="",NA(),INDEX(Aux_puntos!$A$2:$OJ$901,202,MATCH($B$2&amp;"|yC",Aux_puntos!$1:$1,0))),NA())</f>
        <v>#N/A</v>
      </c>
      <c r="AG206" t="e">
        <f>IFERROR(IF(INDEX(Aux_puntos!$A$2:$OJ$901,202,MATCH($B$2&amp;"|xI",Aux_puntos!$1:$1,0))="",NA(),INDEX(Aux_puntos!$A$2:$OJ$901,202,MATCH($B$2&amp;"|xI",Aux_puntos!$1:$1,0))),NA())</f>
        <v>#N/A</v>
      </c>
      <c r="AH206" t="e">
        <f>IFERROR(IF(INDEX(Aux_puntos!$A$2:$OJ$901,202,MATCH($B$2&amp;"|yI",Aux_puntos!$1:$1,0))="",NA(),INDEX(Aux_puntos!$A$2:$OJ$901,202,MATCH($B$2&amp;"|yI",Aux_puntos!$1:$1,0))),NA())</f>
        <v>#N/A</v>
      </c>
      <c r="AI206" t="e">
        <f>IFERROR(IF(INDEX(Aux_puntos!$A$2:$OJ$901,202,MATCH($B$2&amp;"|xN",Aux_puntos!$1:$1,0))="",NA(),INDEX(Aux_puntos!$A$2:$OJ$901,202,MATCH($B$2&amp;"|xN",Aux_puntos!$1:$1,0))),NA())</f>
        <v>#N/A</v>
      </c>
      <c r="AJ206" t="e">
        <f>IFERROR(IF(INDEX(Aux_puntos!$A$2:$OJ$901,202,MATCH($B$2&amp;"|yN",Aux_puntos!$1:$1,0))="",NA(),INDEX(Aux_puntos!$A$2:$OJ$901,202,MATCH($B$2&amp;"|yN",Aux_puntos!$1:$1,0))),NA())</f>
        <v>#N/A</v>
      </c>
    </row>
    <row r="207" spans="29:36" x14ac:dyDescent="0.3">
      <c r="AC207" t="e">
        <f>IFERROR(IF(INDEX(Aux_puntos!$A$2:$OJ$901,203,MATCH($B$2&amp;"|xK",Aux_puntos!$1:$1,0))="",NA(),INDEX(Aux_puntos!$A$2:$OJ$901,203,MATCH($B$2&amp;"|xK",Aux_puntos!$1:$1,0))),NA())</f>
        <v>#N/A</v>
      </c>
      <c r="AD207" t="e">
        <f>IFERROR(IF(INDEX(Aux_puntos!$A$2:$OJ$901,203,MATCH($B$2&amp;"|yK",Aux_puntos!$1:$1,0))="",NA(),INDEX(Aux_puntos!$A$2:$OJ$901,203,MATCH($B$2&amp;"|yK",Aux_puntos!$1:$1,0))),NA())</f>
        <v>#N/A</v>
      </c>
      <c r="AE207" t="e">
        <f>IFERROR(IF(INDEX(Aux_puntos!$A$2:$OJ$901,203,MATCH($B$2&amp;"|xC",Aux_puntos!$1:$1,0))="",NA(),INDEX(Aux_puntos!$A$2:$OJ$901,203,MATCH($B$2&amp;"|xC",Aux_puntos!$1:$1,0))),NA())</f>
        <v>#N/A</v>
      </c>
      <c r="AF207" t="e">
        <f>IFERROR(IF(INDEX(Aux_puntos!$A$2:$OJ$901,203,MATCH($B$2&amp;"|yC",Aux_puntos!$1:$1,0))="",NA(),INDEX(Aux_puntos!$A$2:$OJ$901,203,MATCH($B$2&amp;"|yC",Aux_puntos!$1:$1,0))),NA())</f>
        <v>#N/A</v>
      </c>
      <c r="AG207" t="e">
        <f>IFERROR(IF(INDEX(Aux_puntos!$A$2:$OJ$901,203,MATCH($B$2&amp;"|xI",Aux_puntos!$1:$1,0))="",NA(),INDEX(Aux_puntos!$A$2:$OJ$901,203,MATCH($B$2&amp;"|xI",Aux_puntos!$1:$1,0))),NA())</f>
        <v>#N/A</v>
      </c>
      <c r="AH207" t="e">
        <f>IFERROR(IF(INDEX(Aux_puntos!$A$2:$OJ$901,203,MATCH($B$2&amp;"|yI",Aux_puntos!$1:$1,0))="",NA(),INDEX(Aux_puntos!$A$2:$OJ$901,203,MATCH($B$2&amp;"|yI",Aux_puntos!$1:$1,0))),NA())</f>
        <v>#N/A</v>
      </c>
      <c r="AI207" t="e">
        <f>IFERROR(IF(INDEX(Aux_puntos!$A$2:$OJ$901,203,MATCH($B$2&amp;"|xN",Aux_puntos!$1:$1,0))="",NA(),INDEX(Aux_puntos!$A$2:$OJ$901,203,MATCH($B$2&amp;"|xN",Aux_puntos!$1:$1,0))),NA())</f>
        <v>#N/A</v>
      </c>
      <c r="AJ207" t="e">
        <f>IFERROR(IF(INDEX(Aux_puntos!$A$2:$OJ$901,203,MATCH($B$2&amp;"|yN",Aux_puntos!$1:$1,0))="",NA(),INDEX(Aux_puntos!$A$2:$OJ$901,203,MATCH($B$2&amp;"|yN",Aux_puntos!$1:$1,0))),NA())</f>
        <v>#N/A</v>
      </c>
    </row>
    <row r="208" spans="29:36" x14ac:dyDescent="0.3">
      <c r="AC208" t="e">
        <f>IFERROR(IF(INDEX(Aux_puntos!$A$2:$OJ$901,204,MATCH($B$2&amp;"|xK",Aux_puntos!$1:$1,0))="",NA(),INDEX(Aux_puntos!$A$2:$OJ$901,204,MATCH($B$2&amp;"|xK",Aux_puntos!$1:$1,0))),NA())</f>
        <v>#N/A</v>
      </c>
      <c r="AD208" t="e">
        <f>IFERROR(IF(INDEX(Aux_puntos!$A$2:$OJ$901,204,MATCH($B$2&amp;"|yK",Aux_puntos!$1:$1,0))="",NA(),INDEX(Aux_puntos!$A$2:$OJ$901,204,MATCH($B$2&amp;"|yK",Aux_puntos!$1:$1,0))),NA())</f>
        <v>#N/A</v>
      </c>
      <c r="AE208" t="e">
        <f>IFERROR(IF(INDEX(Aux_puntos!$A$2:$OJ$901,204,MATCH($B$2&amp;"|xC",Aux_puntos!$1:$1,0))="",NA(),INDEX(Aux_puntos!$A$2:$OJ$901,204,MATCH($B$2&amp;"|xC",Aux_puntos!$1:$1,0))),NA())</f>
        <v>#N/A</v>
      </c>
      <c r="AF208" t="e">
        <f>IFERROR(IF(INDEX(Aux_puntos!$A$2:$OJ$901,204,MATCH($B$2&amp;"|yC",Aux_puntos!$1:$1,0))="",NA(),INDEX(Aux_puntos!$A$2:$OJ$901,204,MATCH($B$2&amp;"|yC",Aux_puntos!$1:$1,0))),NA())</f>
        <v>#N/A</v>
      </c>
      <c r="AG208" t="e">
        <f>IFERROR(IF(INDEX(Aux_puntos!$A$2:$OJ$901,204,MATCH($B$2&amp;"|xI",Aux_puntos!$1:$1,0))="",NA(),INDEX(Aux_puntos!$A$2:$OJ$901,204,MATCH($B$2&amp;"|xI",Aux_puntos!$1:$1,0))),NA())</f>
        <v>#N/A</v>
      </c>
      <c r="AH208" t="e">
        <f>IFERROR(IF(INDEX(Aux_puntos!$A$2:$OJ$901,204,MATCH($B$2&amp;"|yI",Aux_puntos!$1:$1,0))="",NA(),INDEX(Aux_puntos!$A$2:$OJ$901,204,MATCH($B$2&amp;"|yI",Aux_puntos!$1:$1,0))),NA())</f>
        <v>#N/A</v>
      </c>
      <c r="AI208" t="e">
        <f>IFERROR(IF(INDEX(Aux_puntos!$A$2:$OJ$901,204,MATCH($B$2&amp;"|xN",Aux_puntos!$1:$1,0))="",NA(),INDEX(Aux_puntos!$A$2:$OJ$901,204,MATCH($B$2&amp;"|xN",Aux_puntos!$1:$1,0))),NA())</f>
        <v>#N/A</v>
      </c>
      <c r="AJ208" t="e">
        <f>IFERROR(IF(INDEX(Aux_puntos!$A$2:$OJ$901,204,MATCH($B$2&amp;"|yN",Aux_puntos!$1:$1,0))="",NA(),INDEX(Aux_puntos!$A$2:$OJ$901,204,MATCH($B$2&amp;"|yN",Aux_puntos!$1:$1,0))),NA())</f>
        <v>#N/A</v>
      </c>
    </row>
    <row r="209" spans="29:36" x14ac:dyDescent="0.3">
      <c r="AC209" t="e">
        <f>IFERROR(IF(INDEX(Aux_puntos!$A$2:$OJ$901,205,MATCH($B$2&amp;"|xK",Aux_puntos!$1:$1,0))="",NA(),INDEX(Aux_puntos!$A$2:$OJ$901,205,MATCH($B$2&amp;"|xK",Aux_puntos!$1:$1,0))),NA())</f>
        <v>#N/A</v>
      </c>
      <c r="AD209" t="e">
        <f>IFERROR(IF(INDEX(Aux_puntos!$A$2:$OJ$901,205,MATCH($B$2&amp;"|yK",Aux_puntos!$1:$1,0))="",NA(),INDEX(Aux_puntos!$A$2:$OJ$901,205,MATCH($B$2&amp;"|yK",Aux_puntos!$1:$1,0))),NA())</f>
        <v>#N/A</v>
      </c>
      <c r="AE209" t="e">
        <f>IFERROR(IF(INDEX(Aux_puntos!$A$2:$OJ$901,205,MATCH($B$2&amp;"|xC",Aux_puntos!$1:$1,0))="",NA(),INDEX(Aux_puntos!$A$2:$OJ$901,205,MATCH($B$2&amp;"|xC",Aux_puntos!$1:$1,0))),NA())</f>
        <v>#N/A</v>
      </c>
      <c r="AF209" t="e">
        <f>IFERROR(IF(INDEX(Aux_puntos!$A$2:$OJ$901,205,MATCH($B$2&amp;"|yC",Aux_puntos!$1:$1,0))="",NA(),INDEX(Aux_puntos!$A$2:$OJ$901,205,MATCH($B$2&amp;"|yC",Aux_puntos!$1:$1,0))),NA())</f>
        <v>#N/A</v>
      </c>
      <c r="AG209" t="e">
        <f>IFERROR(IF(INDEX(Aux_puntos!$A$2:$OJ$901,205,MATCH($B$2&amp;"|xI",Aux_puntos!$1:$1,0))="",NA(),INDEX(Aux_puntos!$A$2:$OJ$901,205,MATCH($B$2&amp;"|xI",Aux_puntos!$1:$1,0))),NA())</f>
        <v>#N/A</v>
      </c>
      <c r="AH209" t="e">
        <f>IFERROR(IF(INDEX(Aux_puntos!$A$2:$OJ$901,205,MATCH($B$2&amp;"|yI",Aux_puntos!$1:$1,0))="",NA(),INDEX(Aux_puntos!$A$2:$OJ$901,205,MATCH($B$2&amp;"|yI",Aux_puntos!$1:$1,0))),NA())</f>
        <v>#N/A</v>
      </c>
      <c r="AI209" t="e">
        <f>IFERROR(IF(INDEX(Aux_puntos!$A$2:$OJ$901,205,MATCH($B$2&amp;"|xN",Aux_puntos!$1:$1,0))="",NA(),INDEX(Aux_puntos!$A$2:$OJ$901,205,MATCH($B$2&amp;"|xN",Aux_puntos!$1:$1,0))),NA())</f>
        <v>#N/A</v>
      </c>
      <c r="AJ209" t="e">
        <f>IFERROR(IF(INDEX(Aux_puntos!$A$2:$OJ$901,205,MATCH($B$2&amp;"|yN",Aux_puntos!$1:$1,0))="",NA(),INDEX(Aux_puntos!$A$2:$OJ$901,205,MATCH($B$2&amp;"|yN",Aux_puntos!$1:$1,0))),NA())</f>
        <v>#N/A</v>
      </c>
    </row>
    <row r="210" spans="29:36" x14ac:dyDescent="0.3">
      <c r="AC210" t="e">
        <f>IFERROR(IF(INDEX(Aux_puntos!$A$2:$OJ$901,206,MATCH($B$2&amp;"|xK",Aux_puntos!$1:$1,0))="",NA(),INDEX(Aux_puntos!$A$2:$OJ$901,206,MATCH($B$2&amp;"|xK",Aux_puntos!$1:$1,0))),NA())</f>
        <v>#N/A</v>
      </c>
      <c r="AD210" t="e">
        <f>IFERROR(IF(INDEX(Aux_puntos!$A$2:$OJ$901,206,MATCH($B$2&amp;"|yK",Aux_puntos!$1:$1,0))="",NA(),INDEX(Aux_puntos!$A$2:$OJ$901,206,MATCH($B$2&amp;"|yK",Aux_puntos!$1:$1,0))),NA())</f>
        <v>#N/A</v>
      </c>
      <c r="AE210" t="e">
        <f>IFERROR(IF(INDEX(Aux_puntos!$A$2:$OJ$901,206,MATCH($B$2&amp;"|xC",Aux_puntos!$1:$1,0))="",NA(),INDEX(Aux_puntos!$A$2:$OJ$901,206,MATCH($B$2&amp;"|xC",Aux_puntos!$1:$1,0))),NA())</f>
        <v>#N/A</v>
      </c>
      <c r="AF210" t="e">
        <f>IFERROR(IF(INDEX(Aux_puntos!$A$2:$OJ$901,206,MATCH($B$2&amp;"|yC",Aux_puntos!$1:$1,0))="",NA(),INDEX(Aux_puntos!$A$2:$OJ$901,206,MATCH($B$2&amp;"|yC",Aux_puntos!$1:$1,0))),NA())</f>
        <v>#N/A</v>
      </c>
      <c r="AG210" t="e">
        <f>IFERROR(IF(INDEX(Aux_puntos!$A$2:$OJ$901,206,MATCH($B$2&amp;"|xI",Aux_puntos!$1:$1,0))="",NA(),INDEX(Aux_puntos!$A$2:$OJ$901,206,MATCH($B$2&amp;"|xI",Aux_puntos!$1:$1,0))),NA())</f>
        <v>#N/A</v>
      </c>
      <c r="AH210" t="e">
        <f>IFERROR(IF(INDEX(Aux_puntos!$A$2:$OJ$901,206,MATCH($B$2&amp;"|yI",Aux_puntos!$1:$1,0))="",NA(),INDEX(Aux_puntos!$A$2:$OJ$901,206,MATCH($B$2&amp;"|yI",Aux_puntos!$1:$1,0))),NA())</f>
        <v>#N/A</v>
      </c>
      <c r="AI210" t="e">
        <f>IFERROR(IF(INDEX(Aux_puntos!$A$2:$OJ$901,206,MATCH($B$2&amp;"|xN",Aux_puntos!$1:$1,0))="",NA(),INDEX(Aux_puntos!$A$2:$OJ$901,206,MATCH($B$2&amp;"|xN",Aux_puntos!$1:$1,0))),NA())</f>
        <v>#N/A</v>
      </c>
      <c r="AJ210" t="e">
        <f>IFERROR(IF(INDEX(Aux_puntos!$A$2:$OJ$901,206,MATCH($B$2&amp;"|yN",Aux_puntos!$1:$1,0))="",NA(),INDEX(Aux_puntos!$A$2:$OJ$901,206,MATCH($B$2&amp;"|yN",Aux_puntos!$1:$1,0))),NA())</f>
        <v>#N/A</v>
      </c>
    </row>
    <row r="211" spans="29:36" x14ac:dyDescent="0.3">
      <c r="AC211" t="e">
        <f>IFERROR(IF(INDEX(Aux_puntos!$A$2:$OJ$901,207,MATCH($B$2&amp;"|xK",Aux_puntos!$1:$1,0))="",NA(),INDEX(Aux_puntos!$A$2:$OJ$901,207,MATCH($B$2&amp;"|xK",Aux_puntos!$1:$1,0))),NA())</f>
        <v>#N/A</v>
      </c>
      <c r="AD211" t="e">
        <f>IFERROR(IF(INDEX(Aux_puntos!$A$2:$OJ$901,207,MATCH($B$2&amp;"|yK",Aux_puntos!$1:$1,0))="",NA(),INDEX(Aux_puntos!$A$2:$OJ$901,207,MATCH($B$2&amp;"|yK",Aux_puntos!$1:$1,0))),NA())</f>
        <v>#N/A</v>
      </c>
      <c r="AE211" t="e">
        <f>IFERROR(IF(INDEX(Aux_puntos!$A$2:$OJ$901,207,MATCH($B$2&amp;"|xC",Aux_puntos!$1:$1,0))="",NA(),INDEX(Aux_puntos!$A$2:$OJ$901,207,MATCH($B$2&amp;"|xC",Aux_puntos!$1:$1,0))),NA())</f>
        <v>#N/A</v>
      </c>
      <c r="AF211" t="e">
        <f>IFERROR(IF(INDEX(Aux_puntos!$A$2:$OJ$901,207,MATCH($B$2&amp;"|yC",Aux_puntos!$1:$1,0))="",NA(),INDEX(Aux_puntos!$A$2:$OJ$901,207,MATCH($B$2&amp;"|yC",Aux_puntos!$1:$1,0))),NA())</f>
        <v>#N/A</v>
      </c>
      <c r="AG211" t="e">
        <f>IFERROR(IF(INDEX(Aux_puntos!$A$2:$OJ$901,207,MATCH($B$2&amp;"|xI",Aux_puntos!$1:$1,0))="",NA(),INDEX(Aux_puntos!$A$2:$OJ$901,207,MATCH($B$2&amp;"|xI",Aux_puntos!$1:$1,0))),NA())</f>
        <v>#N/A</v>
      </c>
      <c r="AH211" t="e">
        <f>IFERROR(IF(INDEX(Aux_puntos!$A$2:$OJ$901,207,MATCH($B$2&amp;"|yI",Aux_puntos!$1:$1,0))="",NA(),INDEX(Aux_puntos!$A$2:$OJ$901,207,MATCH($B$2&amp;"|yI",Aux_puntos!$1:$1,0))),NA())</f>
        <v>#N/A</v>
      </c>
      <c r="AI211" t="e">
        <f>IFERROR(IF(INDEX(Aux_puntos!$A$2:$OJ$901,207,MATCH($B$2&amp;"|xN",Aux_puntos!$1:$1,0))="",NA(),INDEX(Aux_puntos!$A$2:$OJ$901,207,MATCH($B$2&amp;"|xN",Aux_puntos!$1:$1,0))),NA())</f>
        <v>#N/A</v>
      </c>
      <c r="AJ211" t="e">
        <f>IFERROR(IF(INDEX(Aux_puntos!$A$2:$OJ$901,207,MATCH($B$2&amp;"|yN",Aux_puntos!$1:$1,0))="",NA(),INDEX(Aux_puntos!$A$2:$OJ$901,207,MATCH($B$2&amp;"|yN",Aux_puntos!$1:$1,0))),NA())</f>
        <v>#N/A</v>
      </c>
    </row>
    <row r="212" spans="29:36" x14ac:dyDescent="0.3">
      <c r="AC212" t="e">
        <f>IFERROR(IF(INDEX(Aux_puntos!$A$2:$OJ$901,208,MATCH($B$2&amp;"|xK",Aux_puntos!$1:$1,0))="",NA(),INDEX(Aux_puntos!$A$2:$OJ$901,208,MATCH($B$2&amp;"|xK",Aux_puntos!$1:$1,0))),NA())</f>
        <v>#N/A</v>
      </c>
      <c r="AD212" t="e">
        <f>IFERROR(IF(INDEX(Aux_puntos!$A$2:$OJ$901,208,MATCH($B$2&amp;"|yK",Aux_puntos!$1:$1,0))="",NA(),INDEX(Aux_puntos!$A$2:$OJ$901,208,MATCH($B$2&amp;"|yK",Aux_puntos!$1:$1,0))),NA())</f>
        <v>#N/A</v>
      </c>
      <c r="AE212" t="e">
        <f>IFERROR(IF(INDEX(Aux_puntos!$A$2:$OJ$901,208,MATCH($B$2&amp;"|xC",Aux_puntos!$1:$1,0))="",NA(),INDEX(Aux_puntos!$A$2:$OJ$901,208,MATCH($B$2&amp;"|xC",Aux_puntos!$1:$1,0))),NA())</f>
        <v>#N/A</v>
      </c>
      <c r="AF212" t="e">
        <f>IFERROR(IF(INDEX(Aux_puntos!$A$2:$OJ$901,208,MATCH($B$2&amp;"|yC",Aux_puntos!$1:$1,0))="",NA(),INDEX(Aux_puntos!$A$2:$OJ$901,208,MATCH($B$2&amp;"|yC",Aux_puntos!$1:$1,0))),NA())</f>
        <v>#N/A</v>
      </c>
      <c r="AG212" t="e">
        <f>IFERROR(IF(INDEX(Aux_puntos!$A$2:$OJ$901,208,MATCH($B$2&amp;"|xI",Aux_puntos!$1:$1,0))="",NA(),INDEX(Aux_puntos!$A$2:$OJ$901,208,MATCH($B$2&amp;"|xI",Aux_puntos!$1:$1,0))),NA())</f>
        <v>#N/A</v>
      </c>
      <c r="AH212" t="e">
        <f>IFERROR(IF(INDEX(Aux_puntos!$A$2:$OJ$901,208,MATCH($B$2&amp;"|yI",Aux_puntos!$1:$1,0))="",NA(),INDEX(Aux_puntos!$A$2:$OJ$901,208,MATCH($B$2&amp;"|yI",Aux_puntos!$1:$1,0))),NA())</f>
        <v>#N/A</v>
      </c>
      <c r="AI212" t="e">
        <f>IFERROR(IF(INDEX(Aux_puntos!$A$2:$OJ$901,208,MATCH($B$2&amp;"|xN",Aux_puntos!$1:$1,0))="",NA(),INDEX(Aux_puntos!$A$2:$OJ$901,208,MATCH($B$2&amp;"|xN",Aux_puntos!$1:$1,0))),NA())</f>
        <v>#N/A</v>
      </c>
      <c r="AJ212" t="e">
        <f>IFERROR(IF(INDEX(Aux_puntos!$A$2:$OJ$901,208,MATCH($B$2&amp;"|yN",Aux_puntos!$1:$1,0))="",NA(),INDEX(Aux_puntos!$A$2:$OJ$901,208,MATCH($B$2&amp;"|yN",Aux_puntos!$1:$1,0))),NA())</f>
        <v>#N/A</v>
      </c>
    </row>
    <row r="213" spans="29:36" x14ac:dyDescent="0.3">
      <c r="AC213" t="e">
        <f>IFERROR(IF(INDEX(Aux_puntos!$A$2:$OJ$901,209,MATCH($B$2&amp;"|xK",Aux_puntos!$1:$1,0))="",NA(),INDEX(Aux_puntos!$A$2:$OJ$901,209,MATCH($B$2&amp;"|xK",Aux_puntos!$1:$1,0))),NA())</f>
        <v>#N/A</v>
      </c>
      <c r="AD213" t="e">
        <f>IFERROR(IF(INDEX(Aux_puntos!$A$2:$OJ$901,209,MATCH($B$2&amp;"|yK",Aux_puntos!$1:$1,0))="",NA(),INDEX(Aux_puntos!$A$2:$OJ$901,209,MATCH($B$2&amp;"|yK",Aux_puntos!$1:$1,0))),NA())</f>
        <v>#N/A</v>
      </c>
      <c r="AE213" t="e">
        <f>IFERROR(IF(INDEX(Aux_puntos!$A$2:$OJ$901,209,MATCH($B$2&amp;"|xC",Aux_puntos!$1:$1,0))="",NA(),INDEX(Aux_puntos!$A$2:$OJ$901,209,MATCH($B$2&amp;"|xC",Aux_puntos!$1:$1,0))),NA())</f>
        <v>#N/A</v>
      </c>
      <c r="AF213" t="e">
        <f>IFERROR(IF(INDEX(Aux_puntos!$A$2:$OJ$901,209,MATCH($B$2&amp;"|yC",Aux_puntos!$1:$1,0))="",NA(),INDEX(Aux_puntos!$A$2:$OJ$901,209,MATCH($B$2&amp;"|yC",Aux_puntos!$1:$1,0))),NA())</f>
        <v>#N/A</v>
      </c>
      <c r="AG213" t="e">
        <f>IFERROR(IF(INDEX(Aux_puntos!$A$2:$OJ$901,209,MATCH($B$2&amp;"|xI",Aux_puntos!$1:$1,0))="",NA(),INDEX(Aux_puntos!$A$2:$OJ$901,209,MATCH($B$2&amp;"|xI",Aux_puntos!$1:$1,0))),NA())</f>
        <v>#N/A</v>
      </c>
      <c r="AH213" t="e">
        <f>IFERROR(IF(INDEX(Aux_puntos!$A$2:$OJ$901,209,MATCH($B$2&amp;"|yI",Aux_puntos!$1:$1,0))="",NA(),INDEX(Aux_puntos!$A$2:$OJ$901,209,MATCH($B$2&amp;"|yI",Aux_puntos!$1:$1,0))),NA())</f>
        <v>#N/A</v>
      </c>
      <c r="AI213" t="e">
        <f>IFERROR(IF(INDEX(Aux_puntos!$A$2:$OJ$901,209,MATCH($B$2&amp;"|xN",Aux_puntos!$1:$1,0))="",NA(),INDEX(Aux_puntos!$A$2:$OJ$901,209,MATCH($B$2&amp;"|xN",Aux_puntos!$1:$1,0))),NA())</f>
        <v>#N/A</v>
      </c>
      <c r="AJ213" t="e">
        <f>IFERROR(IF(INDEX(Aux_puntos!$A$2:$OJ$901,209,MATCH($B$2&amp;"|yN",Aux_puntos!$1:$1,0))="",NA(),INDEX(Aux_puntos!$A$2:$OJ$901,209,MATCH($B$2&amp;"|yN",Aux_puntos!$1:$1,0))),NA())</f>
        <v>#N/A</v>
      </c>
    </row>
    <row r="214" spans="29:36" x14ac:dyDescent="0.3">
      <c r="AC214" t="e">
        <f>IFERROR(IF(INDEX(Aux_puntos!$A$2:$OJ$901,210,MATCH($B$2&amp;"|xK",Aux_puntos!$1:$1,0))="",NA(),INDEX(Aux_puntos!$A$2:$OJ$901,210,MATCH($B$2&amp;"|xK",Aux_puntos!$1:$1,0))),NA())</f>
        <v>#N/A</v>
      </c>
      <c r="AD214" t="e">
        <f>IFERROR(IF(INDEX(Aux_puntos!$A$2:$OJ$901,210,MATCH($B$2&amp;"|yK",Aux_puntos!$1:$1,0))="",NA(),INDEX(Aux_puntos!$A$2:$OJ$901,210,MATCH($B$2&amp;"|yK",Aux_puntos!$1:$1,0))),NA())</f>
        <v>#N/A</v>
      </c>
      <c r="AE214" t="e">
        <f>IFERROR(IF(INDEX(Aux_puntos!$A$2:$OJ$901,210,MATCH($B$2&amp;"|xC",Aux_puntos!$1:$1,0))="",NA(),INDEX(Aux_puntos!$A$2:$OJ$901,210,MATCH($B$2&amp;"|xC",Aux_puntos!$1:$1,0))),NA())</f>
        <v>#N/A</v>
      </c>
      <c r="AF214" t="e">
        <f>IFERROR(IF(INDEX(Aux_puntos!$A$2:$OJ$901,210,MATCH($B$2&amp;"|yC",Aux_puntos!$1:$1,0))="",NA(),INDEX(Aux_puntos!$A$2:$OJ$901,210,MATCH($B$2&amp;"|yC",Aux_puntos!$1:$1,0))),NA())</f>
        <v>#N/A</v>
      </c>
      <c r="AG214" t="e">
        <f>IFERROR(IF(INDEX(Aux_puntos!$A$2:$OJ$901,210,MATCH($B$2&amp;"|xI",Aux_puntos!$1:$1,0))="",NA(),INDEX(Aux_puntos!$A$2:$OJ$901,210,MATCH($B$2&amp;"|xI",Aux_puntos!$1:$1,0))),NA())</f>
        <v>#N/A</v>
      </c>
      <c r="AH214" t="e">
        <f>IFERROR(IF(INDEX(Aux_puntos!$A$2:$OJ$901,210,MATCH($B$2&amp;"|yI",Aux_puntos!$1:$1,0))="",NA(),INDEX(Aux_puntos!$A$2:$OJ$901,210,MATCH($B$2&amp;"|yI",Aux_puntos!$1:$1,0))),NA())</f>
        <v>#N/A</v>
      </c>
      <c r="AI214" t="e">
        <f>IFERROR(IF(INDEX(Aux_puntos!$A$2:$OJ$901,210,MATCH($B$2&amp;"|xN",Aux_puntos!$1:$1,0))="",NA(),INDEX(Aux_puntos!$A$2:$OJ$901,210,MATCH($B$2&amp;"|xN",Aux_puntos!$1:$1,0))),NA())</f>
        <v>#N/A</v>
      </c>
      <c r="AJ214" t="e">
        <f>IFERROR(IF(INDEX(Aux_puntos!$A$2:$OJ$901,210,MATCH($B$2&amp;"|yN",Aux_puntos!$1:$1,0))="",NA(),INDEX(Aux_puntos!$A$2:$OJ$901,210,MATCH($B$2&amp;"|yN",Aux_puntos!$1:$1,0))),NA())</f>
        <v>#N/A</v>
      </c>
    </row>
    <row r="215" spans="29:36" x14ac:dyDescent="0.3">
      <c r="AC215" t="e">
        <f>IFERROR(IF(INDEX(Aux_puntos!$A$2:$OJ$901,211,MATCH($B$2&amp;"|xK",Aux_puntos!$1:$1,0))="",NA(),INDEX(Aux_puntos!$A$2:$OJ$901,211,MATCH($B$2&amp;"|xK",Aux_puntos!$1:$1,0))),NA())</f>
        <v>#N/A</v>
      </c>
      <c r="AD215" t="e">
        <f>IFERROR(IF(INDEX(Aux_puntos!$A$2:$OJ$901,211,MATCH($B$2&amp;"|yK",Aux_puntos!$1:$1,0))="",NA(),INDEX(Aux_puntos!$A$2:$OJ$901,211,MATCH($B$2&amp;"|yK",Aux_puntos!$1:$1,0))),NA())</f>
        <v>#N/A</v>
      </c>
      <c r="AE215" t="e">
        <f>IFERROR(IF(INDEX(Aux_puntos!$A$2:$OJ$901,211,MATCH($B$2&amp;"|xC",Aux_puntos!$1:$1,0))="",NA(),INDEX(Aux_puntos!$A$2:$OJ$901,211,MATCH($B$2&amp;"|xC",Aux_puntos!$1:$1,0))),NA())</f>
        <v>#N/A</v>
      </c>
      <c r="AF215" t="e">
        <f>IFERROR(IF(INDEX(Aux_puntos!$A$2:$OJ$901,211,MATCH($B$2&amp;"|yC",Aux_puntos!$1:$1,0))="",NA(),INDEX(Aux_puntos!$A$2:$OJ$901,211,MATCH($B$2&amp;"|yC",Aux_puntos!$1:$1,0))),NA())</f>
        <v>#N/A</v>
      </c>
      <c r="AG215" t="e">
        <f>IFERROR(IF(INDEX(Aux_puntos!$A$2:$OJ$901,211,MATCH($B$2&amp;"|xI",Aux_puntos!$1:$1,0))="",NA(),INDEX(Aux_puntos!$A$2:$OJ$901,211,MATCH($B$2&amp;"|xI",Aux_puntos!$1:$1,0))),NA())</f>
        <v>#N/A</v>
      </c>
      <c r="AH215" t="e">
        <f>IFERROR(IF(INDEX(Aux_puntos!$A$2:$OJ$901,211,MATCH($B$2&amp;"|yI",Aux_puntos!$1:$1,0))="",NA(),INDEX(Aux_puntos!$A$2:$OJ$901,211,MATCH($B$2&amp;"|yI",Aux_puntos!$1:$1,0))),NA())</f>
        <v>#N/A</v>
      </c>
      <c r="AI215" t="e">
        <f>IFERROR(IF(INDEX(Aux_puntos!$A$2:$OJ$901,211,MATCH($B$2&amp;"|xN",Aux_puntos!$1:$1,0))="",NA(),INDEX(Aux_puntos!$A$2:$OJ$901,211,MATCH($B$2&amp;"|xN",Aux_puntos!$1:$1,0))),NA())</f>
        <v>#N/A</v>
      </c>
      <c r="AJ215" t="e">
        <f>IFERROR(IF(INDEX(Aux_puntos!$A$2:$OJ$901,211,MATCH($B$2&amp;"|yN",Aux_puntos!$1:$1,0))="",NA(),INDEX(Aux_puntos!$A$2:$OJ$901,211,MATCH($B$2&amp;"|yN",Aux_puntos!$1:$1,0))),NA())</f>
        <v>#N/A</v>
      </c>
    </row>
    <row r="216" spans="29:36" x14ac:dyDescent="0.3">
      <c r="AC216" t="e">
        <f>IFERROR(IF(INDEX(Aux_puntos!$A$2:$OJ$901,212,MATCH($B$2&amp;"|xK",Aux_puntos!$1:$1,0))="",NA(),INDEX(Aux_puntos!$A$2:$OJ$901,212,MATCH($B$2&amp;"|xK",Aux_puntos!$1:$1,0))),NA())</f>
        <v>#N/A</v>
      </c>
      <c r="AD216" t="e">
        <f>IFERROR(IF(INDEX(Aux_puntos!$A$2:$OJ$901,212,MATCH($B$2&amp;"|yK",Aux_puntos!$1:$1,0))="",NA(),INDEX(Aux_puntos!$A$2:$OJ$901,212,MATCH($B$2&amp;"|yK",Aux_puntos!$1:$1,0))),NA())</f>
        <v>#N/A</v>
      </c>
      <c r="AE216" t="e">
        <f>IFERROR(IF(INDEX(Aux_puntos!$A$2:$OJ$901,212,MATCH($B$2&amp;"|xC",Aux_puntos!$1:$1,0))="",NA(),INDEX(Aux_puntos!$A$2:$OJ$901,212,MATCH($B$2&amp;"|xC",Aux_puntos!$1:$1,0))),NA())</f>
        <v>#N/A</v>
      </c>
      <c r="AF216" t="e">
        <f>IFERROR(IF(INDEX(Aux_puntos!$A$2:$OJ$901,212,MATCH($B$2&amp;"|yC",Aux_puntos!$1:$1,0))="",NA(),INDEX(Aux_puntos!$A$2:$OJ$901,212,MATCH($B$2&amp;"|yC",Aux_puntos!$1:$1,0))),NA())</f>
        <v>#N/A</v>
      </c>
      <c r="AG216" t="e">
        <f>IFERROR(IF(INDEX(Aux_puntos!$A$2:$OJ$901,212,MATCH($B$2&amp;"|xI",Aux_puntos!$1:$1,0))="",NA(),INDEX(Aux_puntos!$A$2:$OJ$901,212,MATCH($B$2&amp;"|xI",Aux_puntos!$1:$1,0))),NA())</f>
        <v>#N/A</v>
      </c>
      <c r="AH216" t="e">
        <f>IFERROR(IF(INDEX(Aux_puntos!$A$2:$OJ$901,212,MATCH($B$2&amp;"|yI",Aux_puntos!$1:$1,0))="",NA(),INDEX(Aux_puntos!$A$2:$OJ$901,212,MATCH($B$2&amp;"|yI",Aux_puntos!$1:$1,0))),NA())</f>
        <v>#N/A</v>
      </c>
      <c r="AI216" t="e">
        <f>IFERROR(IF(INDEX(Aux_puntos!$A$2:$OJ$901,212,MATCH($B$2&amp;"|xN",Aux_puntos!$1:$1,0))="",NA(),INDEX(Aux_puntos!$A$2:$OJ$901,212,MATCH($B$2&amp;"|xN",Aux_puntos!$1:$1,0))),NA())</f>
        <v>#N/A</v>
      </c>
      <c r="AJ216" t="e">
        <f>IFERROR(IF(INDEX(Aux_puntos!$A$2:$OJ$901,212,MATCH($B$2&amp;"|yN",Aux_puntos!$1:$1,0))="",NA(),INDEX(Aux_puntos!$A$2:$OJ$901,212,MATCH($B$2&amp;"|yN",Aux_puntos!$1:$1,0))),NA())</f>
        <v>#N/A</v>
      </c>
    </row>
    <row r="217" spans="29:36" x14ac:dyDescent="0.3">
      <c r="AC217" t="e">
        <f>IFERROR(IF(INDEX(Aux_puntos!$A$2:$OJ$901,213,MATCH($B$2&amp;"|xK",Aux_puntos!$1:$1,0))="",NA(),INDEX(Aux_puntos!$A$2:$OJ$901,213,MATCH($B$2&amp;"|xK",Aux_puntos!$1:$1,0))),NA())</f>
        <v>#N/A</v>
      </c>
      <c r="AD217" t="e">
        <f>IFERROR(IF(INDEX(Aux_puntos!$A$2:$OJ$901,213,MATCH($B$2&amp;"|yK",Aux_puntos!$1:$1,0))="",NA(),INDEX(Aux_puntos!$A$2:$OJ$901,213,MATCH($B$2&amp;"|yK",Aux_puntos!$1:$1,0))),NA())</f>
        <v>#N/A</v>
      </c>
      <c r="AE217" t="e">
        <f>IFERROR(IF(INDEX(Aux_puntos!$A$2:$OJ$901,213,MATCH($B$2&amp;"|xC",Aux_puntos!$1:$1,0))="",NA(),INDEX(Aux_puntos!$A$2:$OJ$901,213,MATCH($B$2&amp;"|xC",Aux_puntos!$1:$1,0))),NA())</f>
        <v>#N/A</v>
      </c>
      <c r="AF217" t="e">
        <f>IFERROR(IF(INDEX(Aux_puntos!$A$2:$OJ$901,213,MATCH($B$2&amp;"|yC",Aux_puntos!$1:$1,0))="",NA(),INDEX(Aux_puntos!$A$2:$OJ$901,213,MATCH($B$2&amp;"|yC",Aux_puntos!$1:$1,0))),NA())</f>
        <v>#N/A</v>
      </c>
      <c r="AG217" t="e">
        <f>IFERROR(IF(INDEX(Aux_puntos!$A$2:$OJ$901,213,MATCH($B$2&amp;"|xI",Aux_puntos!$1:$1,0))="",NA(),INDEX(Aux_puntos!$A$2:$OJ$901,213,MATCH($B$2&amp;"|xI",Aux_puntos!$1:$1,0))),NA())</f>
        <v>#N/A</v>
      </c>
      <c r="AH217" t="e">
        <f>IFERROR(IF(INDEX(Aux_puntos!$A$2:$OJ$901,213,MATCH($B$2&amp;"|yI",Aux_puntos!$1:$1,0))="",NA(),INDEX(Aux_puntos!$A$2:$OJ$901,213,MATCH($B$2&amp;"|yI",Aux_puntos!$1:$1,0))),NA())</f>
        <v>#N/A</v>
      </c>
      <c r="AI217" t="e">
        <f>IFERROR(IF(INDEX(Aux_puntos!$A$2:$OJ$901,213,MATCH($B$2&amp;"|xN",Aux_puntos!$1:$1,0))="",NA(),INDEX(Aux_puntos!$A$2:$OJ$901,213,MATCH($B$2&amp;"|xN",Aux_puntos!$1:$1,0))),NA())</f>
        <v>#N/A</v>
      </c>
      <c r="AJ217" t="e">
        <f>IFERROR(IF(INDEX(Aux_puntos!$A$2:$OJ$901,213,MATCH($B$2&amp;"|yN",Aux_puntos!$1:$1,0))="",NA(),INDEX(Aux_puntos!$A$2:$OJ$901,213,MATCH($B$2&amp;"|yN",Aux_puntos!$1:$1,0))),NA())</f>
        <v>#N/A</v>
      </c>
    </row>
    <row r="218" spans="29:36" x14ac:dyDescent="0.3">
      <c r="AC218" t="e">
        <f>IFERROR(IF(INDEX(Aux_puntos!$A$2:$OJ$901,214,MATCH($B$2&amp;"|xK",Aux_puntos!$1:$1,0))="",NA(),INDEX(Aux_puntos!$A$2:$OJ$901,214,MATCH($B$2&amp;"|xK",Aux_puntos!$1:$1,0))),NA())</f>
        <v>#N/A</v>
      </c>
      <c r="AD218" t="e">
        <f>IFERROR(IF(INDEX(Aux_puntos!$A$2:$OJ$901,214,MATCH($B$2&amp;"|yK",Aux_puntos!$1:$1,0))="",NA(),INDEX(Aux_puntos!$A$2:$OJ$901,214,MATCH($B$2&amp;"|yK",Aux_puntos!$1:$1,0))),NA())</f>
        <v>#N/A</v>
      </c>
      <c r="AE218" t="e">
        <f>IFERROR(IF(INDEX(Aux_puntos!$A$2:$OJ$901,214,MATCH($B$2&amp;"|xC",Aux_puntos!$1:$1,0))="",NA(),INDEX(Aux_puntos!$A$2:$OJ$901,214,MATCH($B$2&amp;"|xC",Aux_puntos!$1:$1,0))),NA())</f>
        <v>#N/A</v>
      </c>
      <c r="AF218" t="e">
        <f>IFERROR(IF(INDEX(Aux_puntos!$A$2:$OJ$901,214,MATCH($B$2&amp;"|yC",Aux_puntos!$1:$1,0))="",NA(),INDEX(Aux_puntos!$A$2:$OJ$901,214,MATCH($B$2&amp;"|yC",Aux_puntos!$1:$1,0))),NA())</f>
        <v>#N/A</v>
      </c>
      <c r="AG218" t="e">
        <f>IFERROR(IF(INDEX(Aux_puntos!$A$2:$OJ$901,214,MATCH($B$2&amp;"|xI",Aux_puntos!$1:$1,0))="",NA(),INDEX(Aux_puntos!$A$2:$OJ$901,214,MATCH($B$2&amp;"|xI",Aux_puntos!$1:$1,0))),NA())</f>
        <v>#N/A</v>
      </c>
      <c r="AH218" t="e">
        <f>IFERROR(IF(INDEX(Aux_puntos!$A$2:$OJ$901,214,MATCH($B$2&amp;"|yI",Aux_puntos!$1:$1,0))="",NA(),INDEX(Aux_puntos!$A$2:$OJ$901,214,MATCH($B$2&amp;"|yI",Aux_puntos!$1:$1,0))),NA())</f>
        <v>#N/A</v>
      </c>
      <c r="AI218" t="e">
        <f>IFERROR(IF(INDEX(Aux_puntos!$A$2:$OJ$901,214,MATCH($B$2&amp;"|xN",Aux_puntos!$1:$1,0))="",NA(),INDEX(Aux_puntos!$A$2:$OJ$901,214,MATCH($B$2&amp;"|xN",Aux_puntos!$1:$1,0))),NA())</f>
        <v>#N/A</v>
      </c>
      <c r="AJ218" t="e">
        <f>IFERROR(IF(INDEX(Aux_puntos!$A$2:$OJ$901,214,MATCH($B$2&amp;"|yN",Aux_puntos!$1:$1,0))="",NA(),INDEX(Aux_puntos!$A$2:$OJ$901,214,MATCH($B$2&amp;"|yN",Aux_puntos!$1:$1,0))),NA())</f>
        <v>#N/A</v>
      </c>
    </row>
    <row r="219" spans="29:36" x14ac:dyDescent="0.3">
      <c r="AC219" t="e">
        <f>IFERROR(IF(INDEX(Aux_puntos!$A$2:$OJ$901,215,MATCH($B$2&amp;"|xK",Aux_puntos!$1:$1,0))="",NA(),INDEX(Aux_puntos!$A$2:$OJ$901,215,MATCH($B$2&amp;"|xK",Aux_puntos!$1:$1,0))),NA())</f>
        <v>#N/A</v>
      </c>
      <c r="AD219" t="e">
        <f>IFERROR(IF(INDEX(Aux_puntos!$A$2:$OJ$901,215,MATCH($B$2&amp;"|yK",Aux_puntos!$1:$1,0))="",NA(),INDEX(Aux_puntos!$A$2:$OJ$901,215,MATCH($B$2&amp;"|yK",Aux_puntos!$1:$1,0))),NA())</f>
        <v>#N/A</v>
      </c>
      <c r="AE219" t="e">
        <f>IFERROR(IF(INDEX(Aux_puntos!$A$2:$OJ$901,215,MATCH($B$2&amp;"|xC",Aux_puntos!$1:$1,0))="",NA(),INDEX(Aux_puntos!$A$2:$OJ$901,215,MATCH($B$2&amp;"|xC",Aux_puntos!$1:$1,0))),NA())</f>
        <v>#N/A</v>
      </c>
      <c r="AF219" t="e">
        <f>IFERROR(IF(INDEX(Aux_puntos!$A$2:$OJ$901,215,MATCH($B$2&amp;"|yC",Aux_puntos!$1:$1,0))="",NA(),INDEX(Aux_puntos!$A$2:$OJ$901,215,MATCH($B$2&amp;"|yC",Aux_puntos!$1:$1,0))),NA())</f>
        <v>#N/A</v>
      </c>
      <c r="AG219" t="e">
        <f>IFERROR(IF(INDEX(Aux_puntos!$A$2:$OJ$901,215,MATCH($B$2&amp;"|xI",Aux_puntos!$1:$1,0))="",NA(),INDEX(Aux_puntos!$A$2:$OJ$901,215,MATCH($B$2&amp;"|xI",Aux_puntos!$1:$1,0))),NA())</f>
        <v>#N/A</v>
      </c>
      <c r="AH219" t="e">
        <f>IFERROR(IF(INDEX(Aux_puntos!$A$2:$OJ$901,215,MATCH($B$2&amp;"|yI",Aux_puntos!$1:$1,0))="",NA(),INDEX(Aux_puntos!$A$2:$OJ$901,215,MATCH($B$2&amp;"|yI",Aux_puntos!$1:$1,0))),NA())</f>
        <v>#N/A</v>
      </c>
      <c r="AI219" t="e">
        <f>IFERROR(IF(INDEX(Aux_puntos!$A$2:$OJ$901,215,MATCH($B$2&amp;"|xN",Aux_puntos!$1:$1,0))="",NA(),INDEX(Aux_puntos!$A$2:$OJ$901,215,MATCH($B$2&amp;"|xN",Aux_puntos!$1:$1,0))),NA())</f>
        <v>#N/A</v>
      </c>
      <c r="AJ219" t="e">
        <f>IFERROR(IF(INDEX(Aux_puntos!$A$2:$OJ$901,215,MATCH($B$2&amp;"|yN",Aux_puntos!$1:$1,0))="",NA(),INDEX(Aux_puntos!$A$2:$OJ$901,215,MATCH($B$2&amp;"|yN",Aux_puntos!$1:$1,0))),NA())</f>
        <v>#N/A</v>
      </c>
    </row>
    <row r="220" spans="29:36" x14ac:dyDescent="0.3">
      <c r="AC220" t="e">
        <f>IFERROR(IF(INDEX(Aux_puntos!$A$2:$OJ$901,216,MATCH($B$2&amp;"|xK",Aux_puntos!$1:$1,0))="",NA(),INDEX(Aux_puntos!$A$2:$OJ$901,216,MATCH($B$2&amp;"|xK",Aux_puntos!$1:$1,0))),NA())</f>
        <v>#N/A</v>
      </c>
      <c r="AD220" t="e">
        <f>IFERROR(IF(INDEX(Aux_puntos!$A$2:$OJ$901,216,MATCH($B$2&amp;"|yK",Aux_puntos!$1:$1,0))="",NA(),INDEX(Aux_puntos!$A$2:$OJ$901,216,MATCH($B$2&amp;"|yK",Aux_puntos!$1:$1,0))),NA())</f>
        <v>#N/A</v>
      </c>
      <c r="AE220" t="e">
        <f>IFERROR(IF(INDEX(Aux_puntos!$A$2:$OJ$901,216,MATCH($B$2&amp;"|xC",Aux_puntos!$1:$1,0))="",NA(),INDEX(Aux_puntos!$A$2:$OJ$901,216,MATCH($B$2&amp;"|xC",Aux_puntos!$1:$1,0))),NA())</f>
        <v>#N/A</v>
      </c>
      <c r="AF220" t="e">
        <f>IFERROR(IF(INDEX(Aux_puntos!$A$2:$OJ$901,216,MATCH($B$2&amp;"|yC",Aux_puntos!$1:$1,0))="",NA(),INDEX(Aux_puntos!$A$2:$OJ$901,216,MATCH($B$2&amp;"|yC",Aux_puntos!$1:$1,0))),NA())</f>
        <v>#N/A</v>
      </c>
      <c r="AG220" t="e">
        <f>IFERROR(IF(INDEX(Aux_puntos!$A$2:$OJ$901,216,MATCH($B$2&amp;"|xI",Aux_puntos!$1:$1,0))="",NA(),INDEX(Aux_puntos!$A$2:$OJ$901,216,MATCH($B$2&amp;"|xI",Aux_puntos!$1:$1,0))),NA())</f>
        <v>#N/A</v>
      </c>
      <c r="AH220" t="e">
        <f>IFERROR(IF(INDEX(Aux_puntos!$A$2:$OJ$901,216,MATCH($B$2&amp;"|yI",Aux_puntos!$1:$1,0))="",NA(),INDEX(Aux_puntos!$A$2:$OJ$901,216,MATCH($B$2&amp;"|yI",Aux_puntos!$1:$1,0))),NA())</f>
        <v>#N/A</v>
      </c>
      <c r="AI220" t="e">
        <f>IFERROR(IF(INDEX(Aux_puntos!$A$2:$OJ$901,216,MATCH($B$2&amp;"|xN",Aux_puntos!$1:$1,0))="",NA(),INDEX(Aux_puntos!$A$2:$OJ$901,216,MATCH($B$2&amp;"|xN",Aux_puntos!$1:$1,0))),NA())</f>
        <v>#N/A</v>
      </c>
      <c r="AJ220" t="e">
        <f>IFERROR(IF(INDEX(Aux_puntos!$A$2:$OJ$901,216,MATCH($B$2&amp;"|yN",Aux_puntos!$1:$1,0))="",NA(),INDEX(Aux_puntos!$A$2:$OJ$901,216,MATCH($B$2&amp;"|yN",Aux_puntos!$1:$1,0))),NA())</f>
        <v>#N/A</v>
      </c>
    </row>
    <row r="221" spans="29:36" x14ac:dyDescent="0.3">
      <c r="AC221" t="e">
        <f>IFERROR(IF(INDEX(Aux_puntos!$A$2:$OJ$901,217,MATCH($B$2&amp;"|xK",Aux_puntos!$1:$1,0))="",NA(),INDEX(Aux_puntos!$A$2:$OJ$901,217,MATCH($B$2&amp;"|xK",Aux_puntos!$1:$1,0))),NA())</f>
        <v>#N/A</v>
      </c>
      <c r="AD221" t="e">
        <f>IFERROR(IF(INDEX(Aux_puntos!$A$2:$OJ$901,217,MATCH($B$2&amp;"|yK",Aux_puntos!$1:$1,0))="",NA(),INDEX(Aux_puntos!$A$2:$OJ$901,217,MATCH($B$2&amp;"|yK",Aux_puntos!$1:$1,0))),NA())</f>
        <v>#N/A</v>
      </c>
      <c r="AE221" t="e">
        <f>IFERROR(IF(INDEX(Aux_puntos!$A$2:$OJ$901,217,MATCH($B$2&amp;"|xC",Aux_puntos!$1:$1,0))="",NA(),INDEX(Aux_puntos!$A$2:$OJ$901,217,MATCH($B$2&amp;"|xC",Aux_puntos!$1:$1,0))),NA())</f>
        <v>#N/A</v>
      </c>
      <c r="AF221" t="e">
        <f>IFERROR(IF(INDEX(Aux_puntos!$A$2:$OJ$901,217,MATCH($B$2&amp;"|yC",Aux_puntos!$1:$1,0))="",NA(),INDEX(Aux_puntos!$A$2:$OJ$901,217,MATCH($B$2&amp;"|yC",Aux_puntos!$1:$1,0))),NA())</f>
        <v>#N/A</v>
      </c>
      <c r="AG221" t="e">
        <f>IFERROR(IF(INDEX(Aux_puntos!$A$2:$OJ$901,217,MATCH($B$2&amp;"|xI",Aux_puntos!$1:$1,0))="",NA(),INDEX(Aux_puntos!$A$2:$OJ$901,217,MATCH($B$2&amp;"|xI",Aux_puntos!$1:$1,0))),NA())</f>
        <v>#N/A</v>
      </c>
      <c r="AH221" t="e">
        <f>IFERROR(IF(INDEX(Aux_puntos!$A$2:$OJ$901,217,MATCH($B$2&amp;"|yI",Aux_puntos!$1:$1,0))="",NA(),INDEX(Aux_puntos!$A$2:$OJ$901,217,MATCH($B$2&amp;"|yI",Aux_puntos!$1:$1,0))),NA())</f>
        <v>#N/A</v>
      </c>
      <c r="AI221" t="e">
        <f>IFERROR(IF(INDEX(Aux_puntos!$A$2:$OJ$901,217,MATCH($B$2&amp;"|xN",Aux_puntos!$1:$1,0))="",NA(),INDEX(Aux_puntos!$A$2:$OJ$901,217,MATCH($B$2&amp;"|xN",Aux_puntos!$1:$1,0))),NA())</f>
        <v>#N/A</v>
      </c>
      <c r="AJ221" t="e">
        <f>IFERROR(IF(INDEX(Aux_puntos!$A$2:$OJ$901,217,MATCH($B$2&amp;"|yN",Aux_puntos!$1:$1,0))="",NA(),INDEX(Aux_puntos!$A$2:$OJ$901,217,MATCH($B$2&amp;"|yN",Aux_puntos!$1:$1,0))),NA())</f>
        <v>#N/A</v>
      </c>
    </row>
    <row r="222" spans="29:36" x14ac:dyDescent="0.3">
      <c r="AC222" t="e">
        <f>IFERROR(IF(INDEX(Aux_puntos!$A$2:$OJ$901,218,MATCH($B$2&amp;"|xK",Aux_puntos!$1:$1,0))="",NA(),INDEX(Aux_puntos!$A$2:$OJ$901,218,MATCH($B$2&amp;"|xK",Aux_puntos!$1:$1,0))),NA())</f>
        <v>#N/A</v>
      </c>
      <c r="AD222" t="e">
        <f>IFERROR(IF(INDEX(Aux_puntos!$A$2:$OJ$901,218,MATCH($B$2&amp;"|yK",Aux_puntos!$1:$1,0))="",NA(),INDEX(Aux_puntos!$A$2:$OJ$901,218,MATCH($B$2&amp;"|yK",Aux_puntos!$1:$1,0))),NA())</f>
        <v>#N/A</v>
      </c>
      <c r="AE222" t="e">
        <f>IFERROR(IF(INDEX(Aux_puntos!$A$2:$OJ$901,218,MATCH($B$2&amp;"|xC",Aux_puntos!$1:$1,0))="",NA(),INDEX(Aux_puntos!$A$2:$OJ$901,218,MATCH($B$2&amp;"|xC",Aux_puntos!$1:$1,0))),NA())</f>
        <v>#N/A</v>
      </c>
      <c r="AF222" t="e">
        <f>IFERROR(IF(INDEX(Aux_puntos!$A$2:$OJ$901,218,MATCH($B$2&amp;"|yC",Aux_puntos!$1:$1,0))="",NA(),INDEX(Aux_puntos!$A$2:$OJ$901,218,MATCH($B$2&amp;"|yC",Aux_puntos!$1:$1,0))),NA())</f>
        <v>#N/A</v>
      </c>
      <c r="AG222" t="e">
        <f>IFERROR(IF(INDEX(Aux_puntos!$A$2:$OJ$901,218,MATCH($B$2&amp;"|xI",Aux_puntos!$1:$1,0))="",NA(),INDEX(Aux_puntos!$A$2:$OJ$901,218,MATCH($B$2&amp;"|xI",Aux_puntos!$1:$1,0))),NA())</f>
        <v>#N/A</v>
      </c>
      <c r="AH222" t="e">
        <f>IFERROR(IF(INDEX(Aux_puntos!$A$2:$OJ$901,218,MATCH($B$2&amp;"|yI",Aux_puntos!$1:$1,0))="",NA(),INDEX(Aux_puntos!$A$2:$OJ$901,218,MATCH($B$2&amp;"|yI",Aux_puntos!$1:$1,0))),NA())</f>
        <v>#N/A</v>
      </c>
      <c r="AI222" t="e">
        <f>IFERROR(IF(INDEX(Aux_puntos!$A$2:$OJ$901,218,MATCH($B$2&amp;"|xN",Aux_puntos!$1:$1,0))="",NA(),INDEX(Aux_puntos!$A$2:$OJ$901,218,MATCH($B$2&amp;"|xN",Aux_puntos!$1:$1,0))),NA())</f>
        <v>#N/A</v>
      </c>
      <c r="AJ222" t="e">
        <f>IFERROR(IF(INDEX(Aux_puntos!$A$2:$OJ$901,218,MATCH($B$2&amp;"|yN",Aux_puntos!$1:$1,0))="",NA(),INDEX(Aux_puntos!$A$2:$OJ$901,218,MATCH($B$2&amp;"|yN",Aux_puntos!$1:$1,0))),NA())</f>
        <v>#N/A</v>
      </c>
    </row>
    <row r="223" spans="29:36" x14ac:dyDescent="0.3">
      <c r="AC223" t="e">
        <f>IFERROR(IF(INDEX(Aux_puntos!$A$2:$OJ$901,219,MATCH($B$2&amp;"|xK",Aux_puntos!$1:$1,0))="",NA(),INDEX(Aux_puntos!$A$2:$OJ$901,219,MATCH($B$2&amp;"|xK",Aux_puntos!$1:$1,0))),NA())</f>
        <v>#N/A</v>
      </c>
      <c r="AD223" t="e">
        <f>IFERROR(IF(INDEX(Aux_puntos!$A$2:$OJ$901,219,MATCH($B$2&amp;"|yK",Aux_puntos!$1:$1,0))="",NA(),INDEX(Aux_puntos!$A$2:$OJ$901,219,MATCH($B$2&amp;"|yK",Aux_puntos!$1:$1,0))),NA())</f>
        <v>#N/A</v>
      </c>
      <c r="AE223" t="e">
        <f>IFERROR(IF(INDEX(Aux_puntos!$A$2:$OJ$901,219,MATCH($B$2&amp;"|xC",Aux_puntos!$1:$1,0))="",NA(),INDEX(Aux_puntos!$A$2:$OJ$901,219,MATCH($B$2&amp;"|xC",Aux_puntos!$1:$1,0))),NA())</f>
        <v>#N/A</v>
      </c>
      <c r="AF223" t="e">
        <f>IFERROR(IF(INDEX(Aux_puntos!$A$2:$OJ$901,219,MATCH($B$2&amp;"|yC",Aux_puntos!$1:$1,0))="",NA(),INDEX(Aux_puntos!$A$2:$OJ$901,219,MATCH($B$2&amp;"|yC",Aux_puntos!$1:$1,0))),NA())</f>
        <v>#N/A</v>
      </c>
      <c r="AG223" t="e">
        <f>IFERROR(IF(INDEX(Aux_puntos!$A$2:$OJ$901,219,MATCH($B$2&amp;"|xI",Aux_puntos!$1:$1,0))="",NA(),INDEX(Aux_puntos!$A$2:$OJ$901,219,MATCH($B$2&amp;"|xI",Aux_puntos!$1:$1,0))),NA())</f>
        <v>#N/A</v>
      </c>
      <c r="AH223" t="e">
        <f>IFERROR(IF(INDEX(Aux_puntos!$A$2:$OJ$901,219,MATCH($B$2&amp;"|yI",Aux_puntos!$1:$1,0))="",NA(),INDEX(Aux_puntos!$A$2:$OJ$901,219,MATCH($B$2&amp;"|yI",Aux_puntos!$1:$1,0))),NA())</f>
        <v>#N/A</v>
      </c>
      <c r="AI223" t="e">
        <f>IFERROR(IF(INDEX(Aux_puntos!$A$2:$OJ$901,219,MATCH($B$2&amp;"|xN",Aux_puntos!$1:$1,0))="",NA(),INDEX(Aux_puntos!$A$2:$OJ$901,219,MATCH($B$2&amp;"|xN",Aux_puntos!$1:$1,0))),NA())</f>
        <v>#N/A</v>
      </c>
      <c r="AJ223" t="e">
        <f>IFERROR(IF(INDEX(Aux_puntos!$A$2:$OJ$901,219,MATCH($B$2&amp;"|yN",Aux_puntos!$1:$1,0))="",NA(),INDEX(Aux_puntos!$A$2:$OJ$901,219,MATCH($B$2&amp;"|yN",Aux_puntos!$1:$1,0))),NA())</f>
        <v>#N/A</v>
      </c>
    </row>
    <row r="224" spans="29:36" x14ac:dyDescent="0.3">
      <c r="AC224" t="e">
        <f>IFERROR(IF(INDEX(Aux_puntos!$A$2:$OJ$901,220,MATCH($B$2&amp;"|xK",Aux_puntos!$1:$1,0))="",NA(),INDEX(Aux_puntos!$A$2:$OJ$901,220,MATCH($B$2&amp;"|xK",Aux_puntos!$1:$1,0))),NA())</f>
        <v>#N/A</v>
      </c>
      <c r="AD224" t="e">
        <f>IFERROR(IF(INDEX(Aux_puntos!$A$2:$OJ$901,220,MATCH($B$2&amp;"|yK",Aux_puntos!$1:$1,0))="",NA(),INDEX(Aux_puntos!$A$2:$OJ$901,220,MATCH($B$2&amp;"|yK",Aux_puntos!$1:$1,0))),NA())</f>
        <v>#N/A</v>
      </c>
      <c r="AE224" t="e">
        <f>IFERROR(IF(INDEX(Aux_puntos!$A$2:$OJ$901,220,MATCH($B$2&amp;"|xC",Aux_puntos!$1:$1,0))="",NA(),INDEX(Aux_puntos!$A$2:$OJ$901,220,MATCH($B$2&amp;"|xC",Aux_puntos!$1:$1,0))),NA())</f>
        <v>#N/A</v>
      </c>
      <c r="AF224" t="e">
        <f>IFERROR(IF(INDEX(Aux_puntos!$A$2:$OJ$901,220,MATCH($B$2&amp;"|yC",Aux_puntos!$1:$1,0))="",NA(),INDEX(Aux_puntos!$A$2:$OJ$901,220,MATCH($B$2&amp;"|yC",Aux_puntos!$1:$1,0))),NA())</f>
        <v>#N/A</v>
      </c>
      <c r="AG224" t="e">
        <f>IFERROR(IF(INDEX(Aux_puntos!$A$2:$OJ$901,220,MATCH($B$2&amp;"|xI",Aux_puntos!$1:$1,0))="",NA(),INDEX(Aux_puntos!$A$2:$OJ$901,220,MATCH($B$2&amp;"|xI",Aux_puntos!$1:$1,0))),NA())</f>
        <v>#N/A</v>
      </c>
      <c r="AH224" t="e">
        <f>IFERROR(IF(INDEX(Aux_puntos!$A$2:$OJ$901,220,MATCH($B$2&amp;"|yI",Aux_puntos!$1:$1,0))="",NA(),INDEX(Aux_puntos!$A$2:$OJ$901,220,MATCH($B$2&amp;"|yI",Aux_puntos!$1:$1,0))),NA())</f>
        <v>#N/A</v>
      </c>
      <c r="AI224" t="e">
        <f>IFERROR(IF(INDEX(Aux_puntos!$A$2:$OJ$901,220,MATCH($B$2&amp;"|xN",Aux_puntos!$1:$1,0))="",NA(),INDEX(Aux_puntos!$A$2:$OJ$901,220,MATCH($B$2&amp;"|xN",Aux_puntos!$1:$1,0))),NA())</f>
        <v>#N/A</v>
      </c>
      <c r="AJ224" t="e">
        <f>IFERROR(IF(INDEX(Aux_puntos!$A$2:$OJ$901,220,MATCH($B$2&amp;"|yN",Aux_puntos!$1:$1,0))="",NA(),INDEX(Aux_puntos!$A$2:$OJ$901,220,MATCH($B$2&amp;"|yN",Aux_puntos!$1:$1,0))),NA())</f>
        <v>#N/A</v>
      </c>
    </row>
    <row r="225" spans="29:36" x14ac:dyDescent="0.3">
      <c r="AC225" t="e">
        <f>IFERROR(IF(INDEX(Aux_puntos!$A$2:$OJ$901,221,MATCH($B$2&amp;"|xK",Aux_puntos!$1:$1,0))="",NA(),INDEX(Aux_puntos!$A$2:$OJ$901,221,MATCH($B$2&amp;"|xK",Aux_puntos!$1:$1,0))),NA())</f>
        <v>#N/A</v>
      </c>
      <c r="AD225" t="e">
        <f>IFERROR(IF(INDEX(Aux_puntos!$A$2:$OJ$901,221,MATCH($B$2&amp;"|yK",Aux_puntos!$1:$1,0))="",NA(),INDEX(Aux_puntos!$A$2:$OJ$901,221,MATCH($B$2&amp;"|yK",Aux_puntos!$1:$1,0))),NA())</f>
        <v>#N/A</v>
      </c>
      <c r="AE225" t="e">
        <f>IFERROR(IF(INDEX(Aux_puntos!$A$2:$OJ$901,221,MATCH($B$2&amp;"|xC",Aux_puntos!$1:$1,0))="",NA(),INDEX(Aux_puntos!$A$2:$OJ$901,221,MATCH($B$2&amp;"|xC",Aux_puntos!$1:$1,0))),NA())</f>
        <v>#N/A</v>
      </c>
      <c r="AF225" t="e">
        <f>IFERROR(IF(INDEX(Aux_puntos!$A$2:$OJ$901,221,MATCH($B$2&amp;"|yC",Aux_puntos!$1:$1,0))="",NA(),INDEX(Aux_puntos!$A$2:$OJ$901,221,MATCH($B$2&amp;"|yC",Aux_puntos!$1:$1,0))),NA())</f>
        <v>#N/A</v>
      </c>
      <c r="AG225" t="e">
        <f>IFERROR(IF(INDEX(Aux_puntos!$A$2:$OJ$901,221,MATCH($B$2&amp;"|xI",Aux_puntos!$1:$1,0))="",NA(),INDEX(Aux_puntos!$A$2:$OJ$901,221,MATCH($B$2&amp;"|xI",Aux_puntos!$1:$1,0))),NA())</f>
        <v>#N/A</v>
      </c>
      <c r="AH225" t="e">
        <f>IFERROR(IF(INDEX(Aux_puntos!$A$2:$OJ$901,221,MATCH($B$2&amp;"|yI",Aux_puntos!$1:$1,0))="",NA(),INDEX(Aux_puntos!$A$2:$OJ$901,221,MATCH($B$2&amp;"|yI",Aux_puntos!$1:$1,0))),NA())</f>
        <v>#N/A</v>
      </c>
      <c r="AI225" t="e">
        <f>IFERROR(IF(INDEX(Aux_puntos!$A$2:$OJ$901,221,MATCH($B$2&amp;"|xN",Aux_puntos!$1:$1,0))="",NA(),INDEX(Aux_puntos!$A$2:$OJ$901,221,MATCH($B$2&amp;"|xN",Aux_puntos!$1:$1,0))),NA())</f>
        <v>#N/A</v>
      </c>
      <c r="AJ225" t="e">
        <f>IFERROR(IF(INDEX(Aux_puntos!$A$2:$OJ$901,221,MATCH($B$2&amp;"|yN",Aux_puntos!$1:$1,0))="",NA(),INDEX(Aux_puntos!$A$2:$OJ$901,221,MATCH($B$2&amp;"|yN",Aux_puntos!$1:$1,0))),NA())</f>
        <v>#N/A</v>
      </c>
    </row>
    <row r="226" spans="29:36" x14ac:dyDescent="0.3">
      <c r="AC226" t="e">
        <f>IFERROR(IF(INDEX(Aux_puntos!$A$2:$OJ$901,222,MATCH($B$2&amp;"|xK",Aux_puntos!$1:$1,0))="",NA(),INDEX(Aux_puntos!$A$2:$OJ$901,222,MATCH($B$2&amp;"|xK",Aux_puntos!$1:$1,0))),NA())</f>
        <v>#N/A</v>
      </c>
      <c r="AD226" t="e">
        <f>IFERROR(IF(INDEX(Aux_puntos!$A$2:$OJ$901,222,MATCH($B$2&amp;"|yK",Aux_puntos!$1:$1,0))="",NA(),INDEX(Aux_puntos!$A$2:$OJ$901,222,MATCH($B$2&amp;"|yK",Aux_puntos!$1:$1,0))),NA())</f>
        <v>#N/A</v>
      </c>
      <c r="AE226" t="e">
        <f>IFERROR(IF(INDEX(Aux_puntos!$A$2:$OJ$901,222,MATCH($B$2&amp;"|xC",Aux_puntos!$1:$1,0))="",NA(),INDEX(Aux_puntos!$A$2:$OJ$901,222,MATCH($B$2&amp;"|xC",Aux_puntos!$1:$1,0))),NA())</f>
        <v>#N/A</v>
      </c>
      <c r="AF226" t="e">
        <f>IFERROR(IF(INDEX(Aux_puntos!$A$2:$OJ$901,222,MATCH($B$2&amp;"|yC",Aux_puntos!$1:$1,0))="",NA(),INDEX(Aux_puntos!$A$2:$OJ$901,222,MATCH($B$2&amp;"|yC",Aux_puntos!$1:$1,0))),NA())</f>
        <v>#N/A</v>
      </c>
      <c r="AG226" t="e">
        <f>IFERROR(IF(INDEX(Aux_puntos!$A$2:$OJ$901,222,MATCH($B$2&amp;"|xI",Aux_puntos!$1:$1,0))="",NA(),INDEX(Aux_puntos!$A$2:$OJ$901,222,MATCH($B$2&amp;"|xI",Aux_puntos!$1:$1,0))),NA())</f>
        <v>#N/A</v>
      </c>
      <c r="AH226" t="e">
        <f>IFERROR(IF(INDEX(Aux_puntos!$A$2:$OJ$901,222,MATCH($B$2&amp;"|yI",Aux_puntos!$1:$1,0))="",NA(),INDEX(Aux_puntos!$A$2:$OJ$901,222,MATCH($B$2&amp;"|yI",Aux_puntos!$1:$1,0))),NA())</f>
        <v>#N/A</v>
      </c>
      <c r="AI226" t="e">
        <f>IFERROR(IF(INDEX(Aux_puntos!$A$2:$OJ$901,222,MATCH($B$2&amp;"|xN",Aux_puntos!$1:$1,0))="",NA(),INDEX(Aux_puntos!$A$2:$OJ$901,222,MATCH($B$2&amp;"|xN",Aux_puntos!$1:$1,0))),NA())</f>
        <v>#N/A</v>
      </c>
      <c r="AJ226" t="e">
        <f>IFERROR(IF(INDEX(Aux_puntos!$A$2:$OJ$901,222,MATCH($B$2&amp;"|yN",Aux_puntos!$1:$1,0))="",NA(),INDEX(Aux_puntos!$A$2:$OJ$901,222,MATCH($B$2&amp;"|yN",Aux_puntos!$1:$1,0))),NA())</f>
        <v>#N/A</v>
      </c>
    </row>
    <row r="227" spans="29:36" x14ac:dyDescent="0.3">
      <c r="AC227" t="e">
        <f>IFERROR(IF(INDEX(Aux_puntos!$A$2:$OJ$901,223,MATCH($B$2&amp;"|xK",Aux_puntos!$1:$1,0))="",NA(),INDEX(Aux_puntos!$A$2:$OJ$901,223,MATCH($B$2&amp;"|xK",Aux_puntos!$1:$1,0))),NA())</f>
        <v>#N/A</v>
      </c>
      <c r="AD227" t="e">
        <f>IFERROR(IF(INDEX(Aux_puntos!$A$2:$OJ$901,223,MATCH($B$2&amp;"|yK",Aux_puntos!$1:$1,0))="",NA(),INDEX(Aux_puntos!$A$2:$OJ$901,223,MATCH($B$2&amp;"|yK",Aux_puntos!$1:$1,0))),NA())</f>
        <v>#N/A</v>
      </c>
      <c r="AE227" t="e">
        <f>IFERROR(IF(INDEX(Aux_puntos!$A$2:$OJ$901,223,MATCH($B$2&amp;"|xC",Aux_puntos!$1:$1,0))="",NA(),INDEX(Aux_puntos!$A$2:$OJ$901,223,MATCH($B$2&amp;"|xC",Aux_puntos!$1:$1,0))),NA())</f>
        <v>#N/A</v>
      </c>
      <c r="AF227" t="e">
        <f>IFERROR(IF(INDEX(Aux_puntos!$A$2:$OJ$901,223,MATCH($B$2&amp;"|yC",Aux_puntos!$1:$1,0))="",NA(),INDEX(Aux_puntos!$A$2:$OJ$901,223,MATCH($B$2&amp;"|yC",Aux_puntos!$1:$1,0))),NA())</f>
        <v>#N/A</v>
      </c>
      <c r="AG227" t="e">
        <f>IFERROR(IF(INDEX(Aux_puntos!$A$2:$OJ$901,223,MATCH($B$2&amp;"|xI",Aux_puntos!$1:$1,0))="",NA(),INDEX(Aux_puntos!$A$2:$OJ$901,223,MATCH($B$2&amp;"|xI",Aux_puntos!$1:$1,0))),NA())</f>
        <v>#N/A</v>
      </c>
      <c r="AH227" t="e">
        <f>IFERROR(IF(INDEX(Aux_puntos!$A$2:$OJ$901,223,MATCH($B$2&amp;"|yI",Aux_puntos!$1:$1,0))="",NA(),INDEX(Aux_puntos!$A$2:$OJ$901,223,MATCH($B$2&amp;"|yI",Aux_puntos!$1:$1,0))),NA())</f>
        <v>#N/A</v>
      </c>
      <c r="AI227" t="e">
        <f>IFERROR(IF(INDEX(Aux_puntos!$A$2:$OJ$901,223,MATCH($B$2&amp;"|xN",Aux_puntos!$1:$1,0))="",NA(),INDEX(Aux_puntos!$A$2:$OJ$901,223,MATCH($B$2&amp;"|xN",Aux_puntos!$1:$1,0))),NA())</f>
        <v>#N/A</v>
      </c>
      <c r="AJ227" t="e">
        <f>IFERROR(IF(INDEX(Aux_puntos!$A$2:$OJ$901,223,MATCH($B$2&amp;"|yN",Aux_puntos!$1:$1,0))="",NA(),INDEX(Aux_puntos!$A$2:$OJ$901,223,MATCH($B$2&amp;"|yN",Aux_puntos!$1:$1,0))),NA())</f>
        <v>#N/A</v>
      </c>
    </row>
    <row r="228" spans="29:36" x14ac:dyDescent="0.3">
      <c r="AC228" t="e">
        <f>IFERROR(IF(INDEX(Aux_puntos!$A$2:$OJ$901,224,MATCH($B$2&amp;"|xK",Aux_puntos!$1:$1,0))="",NA(),INDEX(Aux_puntos!$A$2:$OJ$901,224,MATCH($B$2&amp;"|xK",Aux_puntos!$1:$1,0))),NA())</f>
        <v>#N/A</v>
      </c>
      <c r="AD228" t="e">
        <f>IFERROR(IF(INDEX(Aux_puntos!$A$2:$OJ$901,224,MATCH($B$2&amp;"|yK",Aux_puntos!$1:$1,0))="",NA(),INDEX(Aux_puntos!$A$2:$OJ$901,224,MATCH($B$2&amp;"|yK",Aux_puntos!$1:$1,0))),NA())</f>
        <v>#N/A</v>
      </c>
      <c r="AE228" t="e">
        <f>IFERROR(IF(INDEX(Aux_puntos!$A$2:$OJ$901,224,MATCH($B$2&amp;"|xC",Aux_puntos!$1:$1,0))="",NA(),INDEX(Aux_puntos!$A$2:$OJ$901,224,MATCH($B$2&amp;"|xC",Aux_puntos!$1:$1,0))),NA())</f>
        <v>#N/A</v>
      </c>
      <c r="AF228" t="e">
        <f>IFERROR(IF(INDEX(Aux_puntos!$A$2:$OJ$901,224,MATCH($B$2&amp;"|yC",Aux_puntos!$1:$1,0))="",NA(),INDEX(Aux_puntos!$A$2:$OJ$901,224,MATCH($B$2&amp;"|yC",Aux_puntos!$1:$1,0))),NA())</f>
        <v>#N/A</v>
      </c>
      <c r="AG228" t="e">
        <f>IFERROR(IF(INDEX(Aux_puntos!$A$2:$OJ$901,224,MATCH($B$2&amp;"|xI",Aux_puntos!$1:$1,0))="",NA(),INDEX(Aux_puntos!$A$2:$OJ$901,224,MATCH($B$2&amp;"|xI",Aux_puntos!$1:$1,0))),NA())</f>
        <v>#N/A</v>
      </c>
      <c r="AH228" t="e">
        <f>IFERROR(IF(INDEX(Aux_puntos!$A$2:$OJ$901,224,MATCH($B$2&amp;"|yI",Aux_puntos!$1:$1,0))="",NA(),INDEX(Aux_puntos!$A$2:$OJ$901,224,MATCH($B$2&amp;"|yI",Aux_puntos!$1:$1,0))),NA())</f>
        <v>#N/A</v>
      </c>
      <c r="AI228" t="e">
        <f>IFERROR(IF(INDEX(Aux_puntos!$A$2:$OJ$901,224,MATCH($B$2&amp;"|xN",Aux_puntos!$1:$1,0))="",NA(),INDEX(Aux_puntos!$A$2:$OJ$901,224,MATCH($B$2&amp;"|xN",Aux_puntos!$1:$1,0))),NA())</f>
        <v>#N/A</v>
      </c>
      <c r="AJ228" t="e">
        <f>IFERROR(IF(INDEX(Aux_puntos!$A$2:$OJ$901,224,MATCH($B$2&amp;"|yN",Aux_puntos!$1:$1,0))="",NA(),INDEX(Aux_puntos!$A$2:$OJ$901,224,MATCH($B$2&amp;"|yN",Aux_puntos!$1:$1,0))),NA())</f>
        <v>#N/A</v>
      </c>
    </row>
    <row r="229" spans="29:36" x14ac:dyDescent="0.3">
      <c r="AC229" t="e">
        <f>IFERROR(IF(INDEX(Aux_puntos!$A$2:$OJ$901,225,MATCH($B$2&amp;"|xK",Aux_puntos!$1:$1,0))="",NA(),INDEX(Aux_puntos!$A$2:$OJ$901,225,MATCH($B$2&amp;"|xK",Aux_puntos!$1:$1,0))),NA())</f>
        <v>#N/A</v>
      </c>
      <c r="AD229" t="e">
        <f>IFERROR(IF(INDEX(Aux_puntos!$A$2:$OJ$901,225,MATCH($B$2&amp;"|yK",Aux_puntos!$1:$1,0))="",NA(),INDEX(Aux_puntos!$A$2:$OJ$901,225,MATCH($B$2&amp;"|yK",Aux_puntos!$1:$1,0))),NA())</f>
        <v>#N/A</v>
      </c>
      <c r="AE229" t="e">
        <f>IFERROR(IF(INDEX(Aux_puntos!$A$2:$OJ$901,225,MATCH($B$2&amp;"|xC",Aux_puntos!$1:$1,0))="",NA(),INDEX(Aux_puntos!$A$2:$OJ$901,225,MATCH($B$2&amp;"|xC",Aux_puntos!$1:$1,0))),NA())</f>
        <v>#N/A</v>
      </c>
      <c r="AF229" t="e">
        <f>IFERROR(IF(INDEX(Aux_puntos!$A$2:$OJ$901,225,MATCH($B$2&amp;"|yC",Aux_puntos!$1:$1,0))="",NA(),INDEX(Aux_puntos!$A$2:$OJ$901,225,MATCH($B$2&amp;"|yC",Aux_puntos!$1:$1,0))),NA())</f>
        <v>#N/A</v>
      </c>
      <c r="AG229" t="e">
        <f>IFERROR(IF(INDEX(Aux_puntos!$A$2:$OJ$901,225,MATCH($B$2&amp;"|xI",Aux_puntos!$1:$1,0))="",NA(),INDEX(Aux_puntos!$A$2:$OJ$901,225,MATCH($B$2&amp;"|xI",Aux_puntos!$1:$1,0))),NA())</f>
        <v>#N/A</v>
      </c>
      <c r="AH229" t="e">
        <f>IFERROR(IF(INDEX(Aux_puntos!$A$2:$OJ$901,225,MATCH($B$2&amp;"|yI",Aux_puntos!$1:$1,0))="",NA(),INDEX(Aux_puntos!$A$2:$OJ$901,225,MATCH($B$2&amp;"|yI",Aux_puntos!$1:$1,0))),NA())</f>
        <v>#N/A</v>
      </c>
      <c r="AI229" t="e">
        <f>IFERROR(IF(INDEX(Aux_puntos!$A$2:$OJ$901,225,MATCH($B$2&amp;"|xN",Aux_puntos!$1:$1,0))="",NA(),INDEX(Aux_puntos!$A$2:$OJ$901,225,MATCH($B$2&amp;"|xN",Aux_puntos!$1:$1,0))),NA())</f>
        <v>#N/A</v>
      </c>
      <c r="AJ229" t="e">
        <f>IFERROR(IF(INDEX(Aux_puntos!$A$2:$OJ$901,225,MATCH($B$2&amp;"|yN",Aux_puntos!$1:$1,0))="",NA(),INDEX(Aux_puntos!$A$2:$OJ$901,225,MATCH($B$2&amp;"|yN",Aux_puntos!$1:$1,0))),NA())</f>
        <v>#N/A</v>
      </c>
    </row>
    <row r="230" spans="29:36" x14ac:dyDescent="0.3">
      <c r="AC230" t="e">
        <f>IFERROR(IF(INDEX(Aux_puntos!$A$2:$OJ$901,226,MATCH($B$2&amp;"|xK",Aux_puntos!$1:$1,0))="",NA(),INDEX(Aux_puntos!$A$2:$OJ$901,226,MATCH($B$2&amp;"|xK",Aux_puntos!$1:$1,0))),NA())</f>
        <v>#N/A</v>
      </c>
      <c r="AD230" t="e">
        <f>IFERROR(IF(INDEX(Aux_puntos!$A$2:$OJ$901,226,MATCH($B$2&amp;"|yK",Aux_puntos!$1:$1,0))="",NA(),INDEX(Aux_puntos!$A$2:$OJ$901,226,MATCH($B$2&amp;"|yK",Aux_puntos!$1:$1,0))),NA())</f>
        <v>#N/A</v>
      </c>
      <c r="AE230" t="e">
        <f>IFERROR(IF(INDEX(Aux_puntos!$A$2:$OJ$901,226,MATCH($B$2&amp;"|xC",Aux_puntos!$1:$1,0))="",NA(),INDEX(Aux_puntos!$A$2:$OJ$901,226,MATCH($B$2&amp;"|xC",Aux_puntos!$1:$1,0))),NA())</f>
        <v>#N/A</v>
      </c>
      <c r="AF230" t="e">
        <f>IFERROR(IF(INDEX(Aux_puntos!$A$2:$OJ$901,226,MATCH($B$2&amp;"|yC",Aux_puntos!$1:$1,0))="",NA(),INDEX(Aux_puntos!$A$2:$OJ$901,226,MATCH($B$2&amp;"|yC",Aux_puntos!$1:$1,0))),NA())</f>
        <v>#N/A</v>
      </c>
      <c r="AG230" t="e">
        <f>IFERROR(IF(INDEX(Aux_puntos!$A$2:$OJ$901,226,MATCH($B$2&amp;"|xI",Aux_puntos!$1:$1,0))="",NA(),INDEX(Aux_puntos!$A$2:$OJ$901,226,MATCH($B$2&amp;"|xI",Aux_puntos!$1:$1,0))),NA())</f>
        <v>#N/A</v>
      </c>
      <c r="AH230" t="e">
        <f>IFERROR(IF(INDEX(Aux_puntos!$A$2:$OJ$901,226,MATCH($B$2&amp;"|yI",Aux_puntos!$1:$1,0))="",NA(),INDEX(Aux_puntos!$A$2:$OJ$901,226,MATCH($B$2&amp;"|yI",Aux_puntos!$1:$1,0))),NA())</f>
        <v>#N/A</v>
      </c>
      <c r="AI230" t="e">
        <f>IFERROR(IF(INDEX(Aux_puntos!$A$2:$OJ$901,226,MATCH($B$2&amp;"|xN",Aux_puntos!$1:$1,0))="",NA(),INDEX(Aux_puntos!$A$2:$OJ$901,226,MATCH($B$2&amp;"|xN",Aux_puntos!$1:$1,0))),NA())</f>
        <v>#N/A</v>
      </c>
      <c r="AJ230" t="e">
        <f>IFERROR(IF(INDEX(Aux_puntos!$A$2:$OJ$901,226,MATCH($B$2&amp;"|yN",Aux_puntos!$1:$1,0))="",NA(),INDEX(Aux_puntos!$A$2:$OJ$901,226,MATCH($B$2&amp;"|yN",Aux_puntos!$1:$1,0))),NA())</f>
        <v>#N/A</v>
      </c>
    </row>
    <row r="231" spans="29:36" x14ac:dyDescent="0.3">
      <c r="AC231" t="e">
        <f>IFERROR(IF(INDEX(Aux_puntos!$A$2:$OJ$901,227,MATCH($B$2&amp;"|xK",Aux_puntos!$1:$1,0))="",NA(),INDEX(Aux_puntos!$A$2:$OJ$901,227,MATCH($B$2&amp;"|xK",Aux_puntos!$1:$1,0))),NA())</f>
        <v>#N/A</v>
      </c>
      <c r="AD231" t="e">
        <f>IFERROR(IF(INDEX(Aux_puntos!$A$2:$OJ$901,227,MATCH($B$2&amp;"|yK",Aux_puntos!$1:$1,0))="",NA(),INDEX(Aux_puntos!$A$2:$OJ$901,227,MATCH($B$2&amp;"|yK",Aux_puntos!$1:$1,0))),NA())</f>
        <v>#N/A</v>
      </c>
      <c r="AE231" t="e">
        <f>IFERROR(IF(INDEX(Aux_puntos!$A$2:$OJ$901,227,MATCH($B$2&amp;"|xC",Aux_puntos!$1:$1,0))="",NA(),INDEX(Aux_puntos!$A$2:$OJ$901,227,MATCH($B$2&amp;"|xC",Aux_puntos!$1:$1,0))),NA())</f>
        <v>#N/A</v>
      </c>
      <c r="AF231" t="e">
        <f>IFERROR(IF(INDEX(Aux_puntos!$A$2:$OJ$901,227,MATCH($B$2&amp;"|yC",Aux_puntos!$1:$1,0))="",NA(),INDEX(Aux_puntos!$A$2:$OJ$901,227,MATCH($B$2&amp;"|yC",Aux_puntos!$1:$1,0))),NA())</f>
        <v>#N/A</v>
      </c>
      <c r="AG231" t="e">
        <f>IFERROR(IF(INDEX(Aux_puntos!$A$2:$OJ$901,227,MATCH($B$2&amp;"|xI",Aux_puntos!$1:$1,0))="",NA(),INDEX(Aux_puntos!$A$2:$OJ$901,227,MATCH($B$2&amp;"|xI",Aux_puntos!$1:$1,0))),NA())</f>
        <v>#N/A</v>
      </c>
      <c r="AH231" t="e">
        <f>IFERROR(IF(INDEX(Aux_puntos!$A$2:$OJ$901,227,MATCH($B$2&amp;"|yI",Aux_puntos!$1:$1,0))="",NA(),INDEX(Aux_puntos!$A$2:$OJ$901,227,MATCH($B$2&amp;"|yI",Aux_puntos!$1:$1,0))),NA())</f>
        <v>#N/A</v>
      </c>
      <c r="AI231" t="e">
        <f>IFERROR(IF(INDEX(Aux_puntos!$A$2:$OJ$901,227,MATCH($B$2&amp;"|xN",Aux_puntos!$1:$1,0))="",NA(),INDEX(Aux_puntos!$A$2:$OJ$901,227,MATCH($B$2&amp;"|xN",Aux_puntos!$1:$1,0))),NA())</f>
        <v>#N/A</v>
      </c>
      <c r="AJ231" t="e">
        <f>IFERROR(IF(INDEX(Aux_puntos!$A$2:$OJ$901,227,MATCH($B$2&amp;"|yN",Aux_puntos!$1:$1,0))="",NA(),INDEX(Aux_puntos!$A$2:$OJ$901,227,MATCH($B$2&amp;"|yN",Aux_puntos!$1:$1,0))),NA())</f>
        <v>#N/A</v>
      </c>
    </row>
    <row r="232" spans="29:36" x14ac:dyDescent="0.3">
      <c r="AC232" t="e">
        <f>IFERROR(IF(INDEX(Aux_puntos!$A$2:$OJ$901,228,MATCH($B$2&amp;"|xK",Aux_puntos!$1:$1,0))="",NA(),INDEX(Aux_puntos!$A$2:$OJ$901,228,MATCH($B$2&amp;"|xK",Aux_puntos!$1:$1,0))),NA())</f>
        <v>#N/A</v>
      </c>
      <c r="AD232" t="e">
        <f>IFERROR(IF(INDEX(Aux_puntos!$A$2:$OJ$901,228,MATCH($B$2&amp;"|yK",Aux_puntos!$1:$1,0))="",NA(),INDEX(Aux_puntos!$A$2:$OJ$901,228,MATCH($B$2&amp;"|yK",Aux_puntos!$1:$1,0))),NA())</f>
        <v>#N/A</v>
      </c>
      <c r="AE232" t="e">
        <f>IFERROR(IF(INDEX(Aux_puntos!$A$2:$OJ$901,228,MATCH($B$2&amp;"|xC",Aux_puntos!$1:$1,0))="",NA(),INDEX(Aux_puntos!$A$2:$OJ$901,228,MATCH($B$2&amp;"|xC",Aux_puntos!$1:$1,0))),NA())</f>
        <v>#N/A</v>
      </c>
      <c r="AF232" t="e">
        <f>IFERROR(IF(INDEX(Aux_puntos!$A$2:$OJ$901,228,MATCH($B$2&amp;"|yC",Aux_puntos!$1:$1,0))="",NA(),INDEX(Aux_puntos!$A$2:$OJ$901,228,MATCH($B$2&amp;"|yC",Aux_puntos!$1:$1,0))),NA())</f>
        <v>#N/A</v>
      </c>
      <c r="AG232" t="e">
        <f>IFERROR(IF(INDEX(Aux_puntos!$A$2:$OJ$901,228,MATCH($B$2&amp;"|xI",Aux_puntos!$1:$1,0))="",NA(),INDEX(Aux_puntos!$A$2:$OJ$901,228,MATCH($B$2&amp;"|xI",Aux_puntos!$1:$1,0))),NA())</f>
        <v>#N/A</v>
      </c>
      <c r="AH232" t="e">
        <f>IFERROR(IF(INDEX(Aux_puntos!$A$2:$OJ$901,228,MATCH($B$2&amp;"|yI",Aux_puntos!$1:$1,0))="",NA(),INDEX(Aux_puntos!$A$2:$OJ$901,228,MATCH($B$2&amp;"|yI",Aux_puntos!$1:$1,0))),NA())</f>
        <v>#N/A</v>
      </c>
      <c r="AI232" t="e">
        <f>IFERROR(IF(INDEX(Aux_puntos!$A$2:$OJ$901,228,MATCH($B$2&amp;"|xN",Aux_puntos!$1:$1,0))="",NA(),INDEX(Aux_puntos!$A$2:$OJ$901,228,MATCH($B$2&amp;"|xN",Aux_puntos!$1:$1,0))),NA())</f>
        <v>#N/A</v>
      </c>
      <c r="AJ232" t="e">
        <f>IFERROR(IF(INDEX(Aux_puntos!$A$2:$OJ$901,228,MATCH($B$2&amp;"|yN",Aux_puntos!$1:$1,0))="",NA(),INDEX(Aux_puntos!$A$2:$OJ$901,228,MATCH($B$2&amp;"|yN",Aux_puntos!$1:$1,0))),NA())</f>
        <v>#N/A</v>
      </c>
    </row>
    <row r="233" spans="29:36" x14ac:dyDescent="0.3">
      <c r="AC233" t="e">
        <f>IFERROR(IF(INDEX(Aux_puntos!$A$2:$OJ$901,229,MATCH($B$2&amp;"|xK",Aux_puntos!$1:$1,0))="",NA(),INDEX(Aux_puntos!$A$2:$OJ$901,229,MATCH($B$2&amp;"|xK",Aux_puntos!$1:$1,0))),NA())</f>
        <v>#N/A</v>
      </c>
      <c r="AD233" t="e">
        <f>IFERROR(IF(INDEX(Aux_puntos!$A$2:$OJ$901,229,MATCH($B$2&amp;"|yK",Aux_puntos!$1:$1,0))="",NA(),INDEX(Aux_puntos!$A$2:$OJ$901,229,MATCH($B$2&amp;"|yK",Aux_puntos!$1:$1,0))),NA())</f>
        <v>#N/A</v>
      </c>
      <c r="AE233" t="e">
        <f>IFERROR(IF(INDEX(Aux_puntos!$A$2:$OJ$901,229,MATCH($B$2&amp;"|xC",Aux_puntos!$1:$1,0))="",NA(),INDEX(Aux_puntos!$A$2:$OJ$901,229,MATCH($B$2&amp;"|xC",Aux_puntos!$1:$1,0))),NA())</f>
        <v>#N/A</v>
      </c>
      <c r="AF233" t="e">
        <f>IFERROR(IF(INDEX(Aux_puntos!$A$2:$OJ$901,229,MATCH($B$2&amp;"|yC",Aux_puntos!$1:$1,0))="",NA(),INDEX(Aux_puntos!$A$2:$OJ$901,229,MATCH($B$2&amp;"|yC",Aux_puntos!$1:$1,0))),NA())</f>
        <v>#N/A</v>
      </c>
      <c r="AG233" t="e">
        <f>IFERROR(IF(INDEX(Aux_puntos!$A$2:$OJ$901,229,MATCH($B$2&amp;"|xI",Aux_puntos!$1:$1,0))="",NA(),INDEX(Aux_puntos!$A$2:$OJ$901,229,MATCH($B$2&amp;"|xI",Aux_puntos!$1:$1,0))),NA())</f>
        <v>#N/A</v>
      </c>
      <c r="AH233" t="e">
        <f>IFERROR(IF(INDEX(Aux_puntos!$A$2:$OJ$901,229,MATCH($B$2&amp;"|yI",Aux_puntos!$1:$1,0))="",NA(),INDEX(Aux_puntos!$A$2:$OJ$901,229,MATCH($B$2&amp;"|yI",Aux_puntos!$1:$1,0))),NA())</f>
        <v>#N/A</v>
      </c>
      <c r="AI233" t="e">
        <f>IFERROR(IF(INDEX(Aux_puntos!$A$2:$OJ$901,229,MATCH($B$2&amp;"|xN",Aux_puntos!$1:$1,0))="",NA(),INDEX(Aux_puntos!$A$2:$OJ$901,229,MATCH($B$2&amp;"|xN",Aux_puntos!$1:$1,0))),NA())</f>
        <v>#N/A</v>
      </c>
      <c r="AJ233" t="e">
        <f>IFERROR(IF(INDEX(Aux_puntos!$A$2:$OJ$901,229,MATCH($B$2&amp;"|yN",Aux_puntos!$1:$1,0))="",NA(),INDEX(Aux_puntos!$A$2:$OJ$901,229,MATCH($B$2&amp;"|yN",Aux_puntos!$1:$1,0))),NA())</f>
        <v>#N/A</v>
      </c>
    </row>
    <row r="234" spans="29:36" x14ac:dyDescent="0.3">
      <c r="AC234" t="e">
        <f>IFERROR(IF(INDEX(Aux_puntos!$A$2:$OJ$901,230,MATCH($B$2&amp;"|xK",Aux_puntos!$1:$1,0))="",NA(),INDEX(Aux_puntos!$A$2:$OJ$901,230,MATCH($B$2&amp;"|xK",Aux_puntos!$1:$1,0))),NA())</f>
        <v>#N/A</v>
      </c>
      <c r="AD234" t="e">
        <f>IFERROR(IF(INDEX(Aux_puntos!$A$2:$OJ$901,230,MATCH($B$2&amp;"|yK",Aux_puntos!$1:$1,0))="",NA(),INDEX(Aux_puntos!$A$2:$OJ$901,230,MATCH($B$2&amp;"|yK",Aux_puntos!$1:$1,0))),NA())</f>
        <v>#N/A</v>
      </c>
      <c r="AE234" t="e">
        <f>IFERROR(IF(INDEX(Aux_puntos!$A$2:$OJ$901,230,MATCH($B$2&amp;"|xC",Aux_puntos!$1:$1,0))="",NA(),INDEX(Aux_puntos!$A$2:$OJ$901,230,MATCH($B$2&amp;"|xC",Aux_puntos!$1:$1,0))),NA())</f>
        <v>#N/A</v>
      </c>
      <c r="AF234" t="e">
        <f>IFERROR(IF(INDEX(Aux_puntos!$A$2:$OJ$901,230,MATCH($B$2&amp;"|yC",Aux_puntos!$1:$1,0))="",NA(),INDEX(Aux_puntos!$A$2:$OJ$901,230,MATCH($B$2&amp;"|yC",Aux_puntos!$1:$1,0))),NA())</f>
        <v>#N/A</v>
      </c>
      <c r="AG234" t="e">
        <f>IFERROR(IF(INDEX(Aux_puntos!$A$2:$OJ$901,230,MATCH($B$2&amp;"|xI",Aux_puntos!$1:$1,0))="",NA(),INDEX(Aux_puntos!$A$2:$OJ$901,230,MATCH($B$2&amp;"|xI",Aux_puntos!$1:$1,0))),NA())</f>
        <v>#N/A</v>
      </c>
      <c r="AH234" t="e">
        <f>IFERROR(IF(INDEX(Aux_puntos!$A$2:$OJ$901,230,MATCH($B$2&amp;"|yI",Aux_puntos!$1:$1,0))="",NA(),INDEX(Aux_puntos!$A$2:$OJ$901,230,MATCH($B$2&amp;"|yI",Aux_puntos!$1:$1,0))),NA())</f>
        <v>#N/A</v>
      </c>
      <c r="AI234" t="e">
        <f>IFERROR(IF(INDEX(Aux_puntos!$A$2:$OJ$901,230,MATCH($B$2&amp;"|xN",Aux_puntos!$1:$1,0))="",NA(),INDEX(Aux_puntos!$A$2:$OJ$901,230,MATCH($B$2&amp;"|xN",Aux_puntos!$1:$1,0))),NA())</f>
        <v>#N/A</v>
      </c>
      <c r="AJ234" t="e">
        <f>IFERROR(IF(INDEX(Aux_puntos!$A$2:$OJ$901,230,MATCH($B$2&amp;"|yN",Aux_puntos!$1:$1,0))="",NA(),INDEX(Aux_puntos!$A$2:$OJ$901,230,MATCH($B$2&amp;"|yN",Aux_puntos!$1:$1,0))),NA())</f>
        <v>#N/A</v>
      </c>
    </row>
    <row r="235" spans="29:36" x14ac:dyDescent="0.3">
      <c r="AC235" t="e">
        <f>IFERROR(IF(INDEX(Aux_puntos!$A$2:$OJ$901,231,MATCH($B$2&amp;"|xK",Aux_puntos!$1:$1,0))="",NA(),INDEX(Aux_puntos!$A$2:$OJ$901,231,MATCH($B$2&amp;"|xK",Aux_puntos!$1:$1,0))),NA())</f>
        <v>#N/A</v>
      </c>
      <c r="AD235" t="e">
        <f>IFERROR(IF(INDEX(Aux_puntos!$A$2:$OJ$901,231,MATCH($B$2&amp;"|yK",Aux_puntos!$1:$1,0))="",NA(),INDEX(Aux_puntos!$A$2:$OJ$901,231,MATCH($B$2&amp;"|yK",Aux_puntos!$1:$1,0))),NA())</f>
        <v>#N/A</v>
      </c>
      <c r="AE235" t="e">
        <f>IFERROR(IF(INDEX(Aux_puntos!$A$2:$OJ$901,231,MATCH($B$2&amp;"|xC",Aux_puntos!$1:$1,0))="",NA(),INDEX(Aux_puntos!$A$2:$OJ$901,231,MATCH($B$2&amp;"|xC",Aux_puntos!$1:$1,0))),NA())</f>
        <v>#N/A</v>
      </c>
      <c r="AF235" t="e">
        <f>IFERROR(IF(INDEX(Aux_puntos!$A$2:$OJ$901,231,MATCH($B$2&amp;"|yC",Aux_puntos!$1:$1,0))="",NA(),INDEX(Aux_puntos!$A$2:$OJ$901,231,MATCH($B$2&amp;"|yC",Aux_puntos!$1:$1,0))),NA())</f>
        <v>#N/A</v>
      </c>
      <c r="AG235" t="e">
        <f>IFERROR(IF(INDEX(Aux_puntos!$A$2:$OJ$901,231,MATCH($B$2&amp;"|xI",Aux_puntos!$1:$1,0))="",NA(),INDEX(Aux_puntos!$A$2:$OJ$901,231,MATCH($B$2&amp;"|xI",Aux_puntos!$1:$1,0))),NA())</f>
        <v>#N/A</v>
      </c>
      <c r="AH235" t="e">
        <f>IFERROR(IF(INDEX(Aux_puntos!$A$2:$OJ$901,231,MATCH($B$2&amp;"|yI",Aux_puntos!$1:$1,0))="",NA(),INDEX(Aux_puntos!$A$2:$OJ$901,231,MATCH($B$2&amp;"|yI",Aux_puntos!$1:$1,0))),NA())</f>
        <v>#N/A</v>
      </c>
      <c r="AI235" t="e">
        <f>IFERROR(IF(INDEX(Aux_puntos!$A$2:$OJ$901,231,MATCH($B$2&amp;"|xN",Aux_puntos!$1:$1,0))="",NA(),INDEX(Aux_puntos!$A$2:$OJ$901,231,MATCH($B$2&amp;"|xN",Aux_puntos!$1:$1,0))),NA())</f>
        <v>#N/A</v>
      </c>
      <c r="AJ235" t="e">
        <f>IFERROR(IF(INDEX(Aux_puntos!$A$2:$OJ$901,231,MATCH($B$2&amp;"|yN",Aux_puntos!$1:$1,0))="",NA(),INDEX(Aux_puntos!$A$2:$OJ$901,231,MATCH($B$2&amp;"|yN",Aux_puntos!$1:$1,0))),NA())</f>
        <v>#N/A</v>
      </c>
    </row>
    <row r="236" spans="29:36" x14ac:dyDescent="0.3">
      <c r="AC236" t="e">
        <f>IFERROR(IF(INDEX(Aux_puntos!$A$2:$OJ$901,232,MATCH($B$2&amp;"|xK",Aux_puntos!$1:$1,0))="",NA(),INDEX(Aux_puntos!$A$2:$OJ$901,232,MATCH($B$2&amp;"|xK",Aux_puntos!$1:$1,0))),NA())</f>
        <v>#N/A</v>
      </c>
      <c r="AD236" t="e">
        <f>IFERROR(IF(INDEX(Aux_puntos!$A$2:$OJ$901,232,MATCH($B$2&amp;"|yK",Aux_puntos!$1:$1,0))="",NA(),INDEX(Aux_puntos!$A$2:$OJ$901,232,MATCH($B$2&amp;"|yK",Aux_puntos!$1:$1,0))),NA())</f>
        <v>#N/A</v>
      </c>
      <c r="AE236" t="e">
        <f>IFERROR(IF(INDEX(Aux_puntos!$A$2:$OJ$901,232,MATCH($B$2&amp;"|xC",Aux_puntos!$1:$1,0))="",NA(),INDEX(Aux_puntos!$A$2:$OJ$901,232,MATCH($B$2&amp;"|xC",Aux_puntos!$1:$1,0))),NA())</f>
        <v>#N/A</v>
      </c>
      <c r="AF236" t="e">
        <f>IFERROR(IF(INDEX(Aux_puntos!$A$2:$OJ$901,232,MATCH($B$2&amp;"|yC",Aux_puntos!$1:$1,0))="",NA(),INDEX(Aux_puntos!$A$2:$OJ$901,232,MATCH($B$2&amp;"|yC",Aux_puntos!$1:$1,0))),NA())</f>
        <v>#N/A</v>
      </c>
      <c r="AG236" t="e">
        <f>IFERROR(IF(INDEX(Aux_puntos!$A$2:$OJ$901,232,MATCH($B$2&amp;"|xI",Aux_puntos!$1:$1,0))="",NA(),INDEX(Aux_puntos!$A$2:$OJ$901,232,MATCH($B$2&amp;"|xI",Aux_puntos!$1:$1,0))),NA())</f>
        <v>#N/A</v>
      </c>
      <c r="AH236" t="e">
        <f>IFERROR(IF(INDEX(Aux_puntos!$A$2:$OJ$901,232,MATCH($B$2&amp;"|yI",Aux_puntos!$1:$1,0))="",NA(),INDEX(Aux_puntos!$A$2:$OJ$901,232,MATCH($B$2&amp;"|yI",Aux_puntos!$1:$1,0))),NA())</f>
        <v>#N/A</v>
      </c>
      <c r="AI236" t="e">
        <f>IFERROR(IF(INDEX(Aux_puntos!$A$2:$OJ$901,232,MATCH($B$2&amp;"|xN",Aux_puntos!$1:$1,0))="",NA(),INDEX(Aux_puntos!$A$2:$OJ$901,232,MATCH($B$2&amp;"|xN",Aux_puntos!$1:$1,0))),NA())</f>
        <v>#N/A</v>
      </c>
      <c r="AJ236" t="e">
        <f>IFERROR(IF(INDEX(Aux_puntos!$A$2:$OJ$901,232,MATCH($B$2&amp;"|yN",Aux_puntos!$1:$1,0))="",NA(),INDEX(Aux_puntos!$A$2:$OJ$901,232,MATCH($B$2&amp;"|yN",Aux_puntos!$1:$1,0))),NA())</f>
        <v>#N/A</v>
      </c>
    </row>
    <row r="237" spans="29:36" x14ac:dyDescent="0.3">
      <c r="AC237" t="e">
        <f>IFERROR(IF(INDEX(Aux_puntos!$A$2:$OJ$901,233,MATCH($B$2&amp;"|xK",Aux_puntos!$1:$1,0))="",NA(),INDEX(Aux_puntos!$A$2:$OJ$901,233,MATCH($B$2&amp;"|xK",Aux_puntos!$1:$1,0))),NA())</f>
        <v>#N/A</v>
      </c>
      <c r="AD237" t="e">
        <f>IFERROR(IF(INDEX(Aux_puntos!$A$2:$OJ$901,233,MATCH($B$2&amp;"|yK",Aux_puntos!$1:$1,0))="",NA(),INDEX(Aux_puntos!$A$2:$OJ$901,233,MATCH($B$2&amp;"|yK",Aux_puntos!$1:$1,0))),NA())</f>
        <v>#N/A</v>
      </c>
      <c r="AE237" t="e">
        <f>IFERROR(IF(INDEX(Aux_puntos!$A$2:$OJ$901,233,MATCH($B$2&amp;"|xC",Aux_puntos!$1:$1,0))="",NA(),INDEX(Aux_puntos!$A$2:$OJ$901,233,MATCH($B$2&amp;"|xC",Aux_puntos!$1:$1,0))),NA())</f>
        <v>#N/A</v>
      </c>
      <c r="AF237" t="e">
        <f>IFERROR(IF(INDEX(Aux_puntos!$A$2:$OJ$901,233,MATCH($B$2&amp;"|yC",Aux_puntos!$1:$1,0))="",NA(),INDEX(Aux_puntos!$A$2:$OJ$901,233,MATCH($B$2&amp;"|yC",Aux_puntos!$1:$1,0))),NA())</f>
        <v>#N/A</v>
      </c>
      <c r="AG237" t="e">
        <f>IFERROR(IF(INDEX(Aux_puntos!$A$2:$OJ$901,233,MATCH($B$2&amp;"|xI",Aux_puntos!$1:$1,0))="",NA(),INDEX(Aux_puntos!$A$2:$OJ$901,233,MATCH($B$2&amp;"|xI",Aux_puntos!$1:$1,0))),NA())</f>
        <v>#N/A</v>
      </c>
      <c r="AH237" t="e">
        <f>IFERROR(IF(INDEX(Aux_puntos!$A$2:$OJ$901,233,MATCH($B$2&amp;"|yI",Aux_puntos!$1:$1,0))="",NA(),INDEX(Aux_puntos!$A$2:$OJ$901,233,MATCH($B$2&amp;"|yI",Aux_puntos!$1:$1,0))),NA())</f>
        <v>#N/A</v>
      </c>
      <c r="AI237" t="e">
        <f>IFERROR(IF(INDEX(Aux_puntos!$A$2:$OJ$901,233,MATCH($B$2&amp;"|xN",Aux_puntos!$1:$1,0))="",NA(),INDEX(Aux_puntos!$A$2:$OJ$901,233,MATCH($B$2&amp;"|xN",Aux_puntos!$1:$1,0))),NA())</f>
        <v>#N/A</v>
      </c>
      <c r="AJ237" t="e">
        <f>IFERROR(IF(INDEX(Aux_puntos!$A$2:$OJ$901,233,MATCH($B$2&amp;"|yN",Aux_puntos!$1:$1,0))="",NA(),INDEX(Aux_puntos!$A$2:$OJ$901,233,MATCH($B$2&amp;"|yN",Aux_puntos!$1:$1,0))),NA())</f>
        <v>#N/A</v>
      </c>
    </row>
    <row r="238" spans="29:36" x14ac:dyDescent="0.3">
      <c r="AC238" t="e">
        <f>IFERROR(IF(INDEX(Aux_puntos!$A$2:$OJ$901,234,MATCH($B$2&amp;"|xK",Aux_puntos!$1:$1,0))="",NA(),INDEX(Aux_puntos!$A$2:$OJ$901,234,MATCH($B$2&amp;"|xK",Aux_puntos!$1:$1,0))),NA())</f>
        <v>#N/A</v>
      </c>
      <c r="AD238" t="e">
        <f>IFERROR(IF(INDEX(Aux_puntos!$A$2:$OJ$901,234,MATCH($B$2&amp;"|yK",Aux_puntos!$1:$1,0))="",NA(),INDEX(Aux_puntos!$A$2:$OJ$901,234,MATCH($B$2&amp;"|yK",Aux_puntos!$1:$1,0))),NA())</f>
        <v>#N/A</v>
      </c>
      <c r="AE238" t="e">
        <f>IFERROR(IF(INDEX(Aux_puntos!$A$2:$OJ$901,234,MATCH($B$2&amp;"|xC",Aux_puntos!$1:$1,0))="",NA(),INDEX(Aux_puntos!$A$2:$OJ$901,234,MATCH($B$2&amp;"|xC",Aux_puntos!$1:$1,0))),NA())</f>
        <v>#N/A</v>
      </c>
      <c r="AF238" t="e">
        <f>IFERROR(IF(INDEX(Aux_puntos!$A$2:$OJ$901,234,MATCH($B$2&amp;"|yC",Aux_puntos!$1:$1,0))="",NA(),INDEX(Aux_puntos!$A$2:$OJ$901,234,MATCH($B$2&amp;"|yC",Aux_puntos!$1:$1,0))),NA())</f>
        <v>#N/A</v>
      </c>
      <c r="AG238" t="e">
        <f>IFERROR(IF(INDEX(Aux_puntos!$A$2:$OJ$901,234,MATCH($B$2&amp;"|xI",Aux_puntos!$1:$1,0))="",NA(),INDEX(Aux_puntos!$A$2:$OJ$901,234,MATCH($B$2&amp;"|xI",Aux_puntos!$1:$1,0))),NA())</f>
        <v>#N/A</v>
      </c>
      <c r="AH238" t="e">
        <f>IFERROR(IF(INDEX(Aux_puntos!$A$2:$OJ$901,234,MATCH($B$2&amp;"|yI",Aux_puntos!$1:$1,0))="",NA(),INDEX(Aux_puntos!$A$2:$OJ$901,234,MATCH($B$2&amp;"|yI",Aux_puntos!$1:$1,0))),NA())</f>
        <v>#N/A</v>
      </c>
      <c r="AI238" t="e">
        <f>IFERROR(IF(INDEX(Aux_puntos!$A$2:$OJ$901,234,MATCH($B$2&amp;"|xN",Aux_puntos!$1:$1,0))="",NA(),INDEX(Aux_puntos!$A$2:$OJ$901,234,MATCH($B$2&amp;"|xN",Aux_puntos!$1:$1,0))),NA())</f>
        <v>#N/A</v>
      </c>
      <c r="AJ238" t="e">
        <f>IFERROR(IF(INDEX(Aux_puntos!$A$2:$OJ$901,234,MATCH($B$2&amp;"|yN",Aux_puntos!$1:$1,0))="",NA(),INDEX(Aux_puntos!$A$2:$OJ$901,234,MATCH($B$2&amp;"|yN",Aux_puntos!$1:$1,0))),NA())</f>
        <v>#N/A</v>
      </c>
    </row>
    <row r="239" spans="29:36" x14ac:dyDescent="0.3">
      <c r="AC239" t="e">
        <f>IFERROR(IF(INDEX(Aux_puntos!$A$2:$OJ$901,235,MATCH($B$2&amp;"|xK",Aux_puntos!$1:$1,0))="",NA(),INDEX(Aux_puntos!$A$2:$OJ$901,235,MATCH($B$2&amp;"|xK",Aux_puntos!$1:$1,0))),NA())</f>
        <v>#N/A</v>
      </c>
      <c r="AD239" t="e">
        <f>IFERROR(IF(INDEX(Aux_puntos!$A$2:$OJ$901,235,MATCH($B$2&amp;"|yK",Aux_puntos!$1:$1,0))="",NA(),INDEX(Aux_puntos!$A$2:$OJ$901,235,MATCH($B$2&amp;"|yK",Aux_puntos!$1:$1,0))),NA())</f>
        <v>#N/A</v>
      </c>
      <c r="AE239" t="e">
        <f>IFERROR(IF(INDEX(Aux_puntos!$A$2:$OJ$901,235,MATCH($B$2&amp;"|xC",Aux_puntos!$1:$1,0))="",NA(),INDEX(Aux_puntos!$A$2:$OJ$901,235,MATCH($B$2&amp;"|xC",Aux_puntos!$1:$1,0))),NA())</f>
        <v>#N/A</v>
      </c>
      <c r="AF239" t="e">
        <f>IFERROR(IF(INDEX(Aux_puntos!$A$2:$OJ$901,235,MATCH($B$2&amp;"|yC",Aux_puntos!$1:$1,0))="",NA(),INDEX(Aux_puntos!$A$2:$OJ$901,235,MATCH($B$2&amp;"|yC",Aux_puntos!$1:$1,0))),NA())</f>
        <v>#N/A</v>
      </c>
      <c r="AG239" t="e">
        <f>IFERROR(IF(INDEX(Aux_puntos!$A$2:$OJ$901,235,MATCH($B$2&amp;"|xI",Aux_puntos!$1:$1,0))="",NA(),INDEX(Aux_puntos!$A$2:$OJ$901,235,MATCH($B$2&amp;"|xI",Aux_puntos!$1:$1,0))),NA())</f>
        <v>#N/A</v>
      </c>
      <c r="AH239" t="e">
        <f>IFERROR(IF(INDEX(Aux_puntos!$A$2:$OJ$901,235,MATCH($B$2&amp;"|yI",Aux_puntos!$1:$1,0))="",NA(),INDEX(Aux_puntos!$A$2:$OJ$901,235,MATCH($B$2&amp;"|yI",Aux_puntos!$1:$1,0))),NA())</f>
        <v>#N/A</v>
      </c>
      <c r="AI239" t="e">
        <f>IFERROR(IF(INDEX(Aux_puntos!$A$2:$OJ$901,235,MATCH($B$2&amp;"|xN",Aux_puntos!$1:$1,0))="",NA(),INDEX(Aux_puntos!$A$2:$OJ$901,235,MATCH($B$2&amp;"|xN",Aux_puntos!$1:$1,0))),NA())</f>
        <v>#N/A</v>
      </c>
      <c r="AJ239" t="e">
        <f>IFERROR(IF(INDEX(Aux_puntos!$A$2:$OJ$901,235,MATCH($B$2&amp;"|yN",Aux_puntos!$1:$1,0))="",NA(),INDEX(Aux_puntos!$A$2:$OJ$901,235,MATCH($B$2&amp;"|yN",Aux_puntos!$1:$1,0))),NA())</f>
        <v>#N/A</v>
      </c>
    </row>
    <row r="240" spans="29:36" x14ac:dyDescent="0.3">
      <c r="AC240" t="e">
        <f>IFERROR(IF(INDEX(Aux_puntos!$A$2:$OJ$901,236,MATCH($B$2&amp;"|xK",Aux_puntos!$1:$1,0))="",NA(),INDEX(Aux_puntos!$A$2:$OJ$901,236,MATCH($B$2&amp;"|xK",Aux_puntos!$1:$1,0))),NA())</f>
        <v>#N/A</v>
      </c>
      <c r="AD240" t="e">
        <f>IFERROR(IF(INDEX(Aux_puntos!$A$2:$OJ$901,236,MATCH($B$2&amp;"|yK",Aux_puntos!$1:$1,0))="",NA(),INDEX(Aux_puntos!$A$2:$OJ$901,236,MATCH($B$2&amp;"|yK",Aux_puntos!$1:$1,0))),NA())</f>
        <v>#N/A</v>
      </c>
      <c r="AE240" t="e">
        <f>IFERROR(IF(INDEX(Aux_puntos!$A$2:$OJ$901,236,MATCH($B$2&amp;"|xC",Aux_puntos!$1:$1,0))="",NA(),INDEX(Aux_puntos!$A$2:$OJ$901,236,MATCH($B$2&amp;"|xC",Aux_puntos!$1:$1,0))),NA())</f>
        <v>#N/A</v>
      </c>
      <c r="AF240" t="e">
        <f>IFERROR(IF(INDEX(Aux_puntos!$A$2:$OJ$901,236,MATCH($B$2&amp;"|yC",Aux_puntos!$1:$1,0))="",NA(),INDEX(Aux_puntos!$A$2:$OJ$901,236,MATCH($B$2&amp;"|yC",Aux_puntos!$1:$1,0))),NA())</f>
        <v>#N/A</v>
      </c>
      <c r="AG240" t="e">
        <f>IFERROR(IF(INDEX(Aux_puntos!$A$2:$OJ$901,236,MATCH($B$2&amp;"|xI",Aux_puntos!$1:$1,0))="",NA(),INDEX(Aux_puntos!$A$2:$OJ$901,236,MATCH($B$2&amp;"|xI",Aux_puntos!$1:$1,0))),NA())</f>
        <v>#N/A</v>
      </c>
      <c r="AH240" t="e">
        <f>IFERROR(IF(INDEX(Aux_puntos!$A$2:$OJ$901,236,MATCH($B$2&amp;"|yI",Aux_puntos!$1:$1,0))="",NA(),INDEX(Aux_puntos!$A$2:$OJ$901,236,MATCH($B$2&amp;"|yI",Aux_puntos!$1:$1,0))),NA())</f>
        <v>#N/A</v>
      </c>
      <c r="AI240" t="e">
        <f>IFERROR(IF(INDEX(Aux_puntos!$A$2:$OJ$901,236,MATCH($B$2&amp;"|xN",Aux_puntos!$1:$1,0))="",NA(),INDEX(Aux_puntos!$A$2:$OJ$901,236,MATCH($B$2&amp;"|xN",Aux_puntos!$1:$1,0))),NA())</f>
        <v>#N/A</v>
      </c>
      <c r="AJ240" t="e">
        <f>IFERROR(IF(INDEX(Aux_puntos!$A$2:$OJ$901,236,MATCH($B$2&amp;"|yN",Aux_puntos!$1:$1,0))="",NA(),INDEX(Aux_puntos!$A$2:$OJ$901,236,MATCH($B$2&amp;"|yN",Aux_puntos!$1:$1,0))),NA())</f>
        <v>#N/A</v>
      </c>
    </row>
    <row r="241" spans="29:36" x14ac:dyDescent="0.3">
      <c r="AC241" t="e">
        <f>IFERROR(IF(INDEX(Aux_puntos!$A$2:$OJ$901,237,MATCH($B$2&amp;"|xK",Aux_puntos!$1:$1,0))="",NA(),INDEX(Aux_puntos!$A$2:$OJ$901,237,MATCH($B$2&amp;"|xK",Aux_puntos!$1:$1,0))),NA())</f>
        <v>#N/A</v>
      </c>
      <c r="AD241" t="e">
        <f>IFERROR(IF(INDEX(Aux_puntos!$A$2:$OJ$901,237,MATCH($B$2&amp;"|yK",Aux_puntos!$1:$1,0))="",NA(),INDEX(Aux_puntos!$A$2:$OJ$901,237,MATCH($B$2&amp;"|yK",Aux_puntos!$1:$1,0))),NA())</f>
        <v>#N/A</v>
      </c>
      <c r="AE241" t="e">
        <f>IFERROR(IF(INDEX(Aux_puntos!$A$2:$OJ$901,237,MATCH($B$2&amp;"|xC",Aux_puntos!$1:$1,0))="",NA(),INDEX(Aux_puntos!$A$2:$OJ$901,237,MATCH($B$2&amp;"|xC",Aux_puntos!$1:$1,0))),NA())</f>
        <v>#N/A</v>
      </c>
      <c r="AF241" t="e">
        <f>IFERROR(IF(INDEX(Aux_puntos!$A$2:$OJ$901,237,MATCH($B$2&amp;"|yC",Aux_puntos!$1:$1,0))="",NA(),INDEX(Aux_puntos!$A$2:$OJ$901,237,MATCH($B$2&amp;"|yC",Aux_puntos!$1:$1,0))),NA())</f>
        <v>#N/A</v>
      </c>
      <c r="AG241" t="e">
        <f>IFERROR(IF(INDEX(Aux_puntos!$A$2:$OJ$901,237,MATCH($B$2&amp;"|xI",Aux_puntos!$1:$1,0))="",NA(),INDEX(Aux_puntos!$A$2:$OJ$901,237,MATCH($B$2&amp;"|xI",Aux_puntos!$1:$1,0))),NA())</f>
        <v>#N/A</v>
      </c>
      <c r="AH241" t="e">
        <f>IFERROR(IF(INDEX(Aux_puntos!$A$2:$OJ$901,237,MATCH($B$2&amp;"|yI",Aux_puntos!$1:$1,0))="",NA(),INDEX(Aux_puntos!$A$2:$OJ$901,237,MATCH($B$2&amp;"|yI",Aux_puntos!$1:$1,0))),NA())</f>
        <v>#N/A</v>
      </c>
      <c r="AI241" t="e">
        <f>IFERROR(IF(INDEX(Aux_puntos!$A$2:$OJ$901,237,MATCH($B$2&amp;"|xN",Aux_puntos!$1:$1,0))="",NA(),INDEX(Aux_puntos!$A$2:$OJ$901,237,MATCH($B$2&amp;"|xN",Aux_puntos!$1:$1,0))),NA())</f>
        <v>#N/A</v>
      </c>
      <c r="AJ241" t="e">
        <f>IFERROR(IF(INDEX(Aux_puntos!$A$2:$OJ$901,237,MATCH($B$2&amp;"|yN",Aux_puntos!$1:$1,0))="",NA(),INDEX(Aux_puntos!$A$2:$OJ$901,237,MATCH($B$2&amp;"|yN",Aux_puntos!$1:$1,0))),NA())</f>
        <v>#N/A</v>
      </c>
    </row>
    <row r="242" spans="29:36" x14ac:dyDescent="0.3">
      <c r="AC242" t="e">
        <f>IFERROR(IF(INDEX(Aux_puntos!$A$2:$OJ$901,238,MATCH($B$2&amp;"|xK",Aux_puntos!$1:$1,0))="",NA(),INDEX(Aux_puntos!$A$2:$OJ$901,238,MATCH($B$2&amp;"|xK",Aux_puntos!$1:$1,0))),NA())</f>
        <v>#N/A</v>
      </c>
      <c r="AD242" t="e">
        <f>IFERROR(IF(INDEX(Aux_puntos!$A$2:$OJ$901,238,MATCH($B$2&amp;"|yK",Aux_puntos!$1:$1,0))="",NA(),INDEX(Aux_puntos!$A$2:$OJ$901,238,MATCH($B$2&amp;"|yK",Aux_puntos!$1:$1,0))),NA())</f>
        <v>#N/A</v>
      </c>
      <c r="AE242" t="e">
        <f>IFERROR(IF(INDEX(Aux_puntos!$A$2:$OJ$901,238,MATCH($B$2&amp;"|xC",Aux_puntos!$1:$1,0))="",NA(),INDEX(Aux_puntos!$A$2:$OJ$901,238,MATCH($B$2&amp;"|xC",Aux_puntos!$1:$1,0))),NA())</f>
        <v>#N/A</v>
      </c>
      <c r="AF242" t="e">
        <f>IFERROR(IF(INDEX(Aux_puntos!$A$2:$OJ$901,238,MATCH($B$2&amp;"|yC",Aux_puntos!$1:$1,0))="",NA(),INDEX(Aux_puntos!$A$2:$OJ$901,238,MATCH($B$2&amp;"|yC",Aux_puntos!$1:$1,0))),NA())</f>
        <v>#N/A</v>
      </c>
      <c r="AG242" t="e">
        <f>IFERROR(IF(INDEX(Aux_puntos!$A$2:$OJ$901,238,MATCH($B$2&amp;"|xI",Aux_puntos!$1:$1,0))="",NA(),INDEX(Aux_puntos!$A$2:$OJ$901,238,MATCH($B$2&amp;"|xI",Aux_puntos!$1:$1,0))),NA())</f>
        <v>#N/A</v>
      </c>
      <c r="AH242" t="e">
        <f>IFERROR(IF(INDEX(Aux_puntos!$A$2:$OJ$901,238,MATCH($B$2&amp;"|yI",Aux_puntos!$1:$1,0))="",NA(),INDEX(Aux_puntos!$A$2:$OJ$901,238,MATCH($B$2&amp;"|yI",Aux_puntos!$1:$1,0))),NA())</f>
        <v>#N/A</v>
      </c>
      <c r="AI242" t="e">
        <f>IFERROR(IF(INDEX(Aux_puntos!$A$2:$OJ$901,238,MATCH($B$2&amp;"|xN",Aux_puntos!$1:$1,0))="",NA(),INDEX(Aux_puntos!$A$2:$OJ$901,238,MATCH($B$2&amp;"|xN",Aux_puntos!$1:$1,0))),NA())</f>
        <v>#N/A</v>
      </c>
      <c r="AJ242" t="e">
        <f>IFERROR(IF(INDEX(Aux_puntos!$A$2:$OJ$901,238,MATCH($B$2&amp;"|yN",Aux_puntos!$1:$1,0))="",NA(),INDEX(Aux_puntos!$A$2:$OJ$901,238,MATCH($B$2&amp;"|yN",Aux_puntos!$1:$1,0))),NA())</f>
        <v>#N/A</v>
      </c>
    </row>
    <row r="243" spans="29:36" x14ac:dyDescent="0.3">
      <c r="AC243" t="e">
        <f>IFERROR(IF(INDEX(Aux_puntos!$A$2:$OJ$901,239,MATCH($B$2&amp;"|xK",Aux_puntos!$1:$1,0))="",NA(),INDEX(Aux_puntos!$A$2:$OJ$901,239,MATCH($B$2&amp;"|xK",Aux_puntos!$1:$1,0))),NA())</f>
        <v>#N/A</v>
      </c>
      <c r="AD243" t="e">
        <f>IFERROR(IF(INDEX(Aux_puntos!$A$2:$OJ$901,239,MATCH($B$2&amp;"|yK",Aux_puntos!$1:$1,0))="",NA(),INDEX(Aux_puntos!$A$2:$OJ$901,239,MATCH($B$2&amp;"|yK",Aux_puntos!$1:$1,0))),NA())</f>
        <v>#N/A</v>
      </c>
      <c r="AE243" t="e">
        <f>IFERROR(IF(INDEX(Aux_puntos!$A$2:$OJ$901,239,MATCH($B$2&amp;"|xC",Aux_puntos!$1:$1,0))="",NA(),INDEX(Aux_puntos!$A$2:$OJ$901,239,MATCH($B$2&amp;"|xC",Aux_puntos!$1:$1,0))),NA())</f>
        <v>#N/A</v>
      </c>
      <c r="AF243" t="e">
        <f>IFERROR(IF(INDEX(Aux_puntos!$A$2:$OJ$901,239,MATCH($B$2&amp;"|yC",Aux_puntos!$1:$1,0))="",NA(),INDEX(Aux_puntos!$A$2:$OJ$901,239,MATCH($B$2&amp;"|yC",Aux_puntos!$1:$1,0))),NA())</f>
        <v>#N/A</v>
      </c>
      <c r="AG243" t="e">
        <f>IFERROR(IF(INDEX(Aux_puntos!$A$2:$OJ$901,239,MATCH($B$2&amp;"|xI",Aux_puntos!$1:$1,0))="",NA(),INDEX(Aux_puntos!$A$2:$OJ$901,239,MATCH($B$2&amp;"|xI",Aux_puntos!$1:$1,0))),NA())</f>
        <v>#N/A</v>
      </c>
      <c r="AH243" t="e">
        <f>IFERROR(IF(INDEX(Aux_puntos!$A$2:$OJ$901,239,MATCH($B$2&amp;"|yI",Aux_puntos!$1:$1,0))="",NA(),INDEX(Aux_puntos!$A$2:$OJ$901,239,MATCH($B$2&amp;"|yI",Aux_puntos!$1:$1,0))),NA())</f>
        <v>#N/A</v>
      </c>
      <c r="AI243" t="e">
        <f>IFERROR(IF(INDEX(Aux_puntos!$A$2:$OJ$901,239,MATCH($B$2&amp;"|xN",Aux_puntos!$1:$1,0))="",NA(),INDEX(Aux_puntos!$A$2:$OJ$901,239,MATCH($B$2&amp;"|xN",Aux_puntos!$1:$1,0))),NA())</f>
        <v>#N/A</v>
      </c>
      <c r="AJ243" t="e">
        <f>IFERROR(IF(INDEX(Aux_puntos!$A$2:$OJ$901,239,MATCH($B$2&amp;"|yN",Aux_puntos!$1:$1,0))="",NA(),INDEX(Aux_puntos!$A$2:$OJ$901,239,MATCH($B$2&amp;"|yN",Aux_puntos!$1:$1,0))),NA())</f>
        <v>#N/A</v>
      </c>
    </row>
    <row r="244" spans="29:36" x14ac:dyDescent="0.3">
      <c r="AC244" t="e">
        <f>IFERROR(IF(INDEX(Aux_puntos!$A$2:$OJ$901,240,MATCH($B$2&amp;"|xK",Aux_puntos!$1:$1,0))="",NA(),INDEX(Aux_puntos!$A$2:$OJ$901,240,MATCH($B$2&amp;"|xK",Aux_puntos!$1:$1,0))),NA())</f>
        <v>#N/A</v>
      </c>
      <c r="AD244" t="e">
        <f>IFERROR(IF(INDEX(Aux_puntos!$A$2:$OJ$901,240,MATCH($B$2&amp;"|yK",Aux_puntos!$1:$1,0))="",NA(),INDEX(Aux_puntos!$A$2:$OJ$901,240,MATCH($B$2&amp;"|yK",Aux_puntos!$1:$1,0))),NA())</f>
        <v>#N/A</v>
      </c>
      <c r="AE244" t="e">
        <f>IFERROR(IF(INDEX(Aux_puntos!$A$2:$OJ$901,240,MATCH($B$2&amp;"|xC",Aux_puntos!$1:$1,0))="",NA(),INDEX(Aux_puntos!$A$2:$OJ$901,240,MATCH($B$2&amp;"|xC",Aux_puntos!$1:$1,0))),NA())</f>
        <v>#N/A</v>
      </c>
      <c r="AF244" t="e">
        <f>IFERROR(IF(INDEX(Aux_puntos!$A$2:$OJ$901,240,MATCH($B$2&amp;"|yC",Aux_puntos!$1:$1,0))="",NA(),INDEX(Aux_puntos!$A$2:$OJ$901,240,MATCH($B$2&amp;"|yC",Aux_puntos!$1:$1,0))),NA())</f>
        <v>#N/A</v>
      </c>
      <c r="AG244" t="e">
        <f>IFERROR(IF(INDEX(Aux_puntos!$A$2:$OJ$901,240,MATCH($B$2&amp;"|xI",Aux_puntos!$1:$1,0))="",NA(),INDEX(Aux_puntos!$A$2:$OJ$901,240,MATCH($B$2&amp;"|xI",Aux_puntos!$1:$1,0))),NA())</f>
        <v>#N/A</v>
      </c>
      <c r="AH244" t="e">
        <f>IFERROR(IF(INDEX(Aux_puntos!$A$2:$OJ$901,240,MATCH($B$2&amp;"|yI",Aux_puntos!$1:$1,0))="",NA(),INDEX(Aux_puntos!$A$2:$OJ$901,240,MATCH($B$2&amp;"|yI",Aux_puntos!$1:$1,0))),NA())</f>
        <v>#N/A</v>
      </c>
      <c r="AI244" t="e">
        <f>IFERROR(IF(INDEX(Aux_puntos!$A$2:$OJ$901,240,MATCH($B$2&amp;"|xN",Aux_puntos!$1:$1,0))="",NA(),INDEX(Aux_puntos!$A$2:$OJ$901,240,MATCH($B$2&amp;"|xN",Aux_puntos!$1:$1,0))),NA())</f>
        <v>#N/A</v>
      </c>
      <c r="AJ244" t="e">
        <f>IFERROR(IF(INDEX(Aux_puntos!$A$2:$OJ$901,240,MATCH($B$2&amp;"|yN",Aux_puntos!$1:$1,0))="",NA(),INDEX(Aux_puntos!$A$2:$OJ$901,240,MATCH($B$2&amp;"|yN",Aux_puntos!$1:$1,0))),NA())</f>
        <v>#N/A</v>
      </c>
    </row>
    <row r="245" spans="29:36" x14ac:dyDescent="0.3">
      <c r="AC245" t="e">
        <f>IFERROR(IF(INDEX(Aux_puntos!$A$2:$OJ$901,241,MATCH($B$2&amp;"|xK",Aux_puntos!$1:$1,0))="",NA(),INDEX(Aux_puntos!$A$2:$OJ$901,241,MATCH($B$2&amp;"|xK",Aux_puntos!$1:$1,0))),NA())</f>
        <v>#N/A</v>
      </c>
      <c r="AD245" t="e">
        <f>IFERROR(IF(INDEX(Aux_puntos!$A$2:$OJ$901,241,MATCH($B$2&amp;"|yK",Aux_puntos!$1:$1,0))="",NA(),INDEX(Aux_puntos!$A$2:$OJ$901,241,MATCH($B$2&amp;"|yK",Aux_puntos!$1:$1,0))),NA())</f>
        <v>#N/A</v>
      </c>
      <c r="AE245" t="e">
        <f>IFERROR(IF(INDEX(Aux_puntos!$A$2:$OJ$901,241,MATCH($B$2&amp;"|xC",Aux_puntos!$1:$1,0))="",NA(),INDEX(Aux_puntos!$A$2:$OJ$901,241,MATCH($B$2&amp;"|xC",Aux_puntos!$1:$1,0))),NA())</f>
        <v>#N/A</v>
      </c>
      <c r="AF245" t="e">
        <f>IFERROR(IF(INDEX(Aux_puntos!$A$2:$OJ$901,241,MATCH($B$2&amp;"|yC",Aux_puntos!$1:$1,0))="",NA(),INDEX(Aux_puntos!$A$2:$OJ$901,241,MATCH($B$2&amp;"|yC",Aux_puntos!$1:$1,0))),NA())</f>
        <v>#N/A</v>
      </c>
      <c r="AG245" t="e">
        <f>IFERROR(IF(INDEX(Aux_puntos!$A$2:$OJ$901,241,MATCH($B$2&amp;"|xI",Aux_puntos!$1:$1,0))="",NA(),INDEX(Aux_puntos!$A$2:$OJ$901,241,MATCH($B$2&amp;"|xI",Aux_puntos!$1:$1,0))),NA())</f>
        <v>#N/A</v>
      </c>
      <c r="AH245" t="e">
        <f>IFERROR(IF(INDEX(Aux_puntos!$A$2:$OJ$901,241,MATCH($B$2&amp;"|yI",Aux_puntos!$1:$1,0))="",NA(),INDEX(Aux_puntos!$A$2:$OJ$901,241,MATCH($B$2&amp;"|yI",Aux_puntos!$1:$1,0))),NA())</f>
        <v>#N/A</v>
      </c>
      <c r="AI245" t="e">
        <f>IFERROR(IF(INDEX(Aux_puntos!$A$2:$OJ$901,241,MATCH($B$2&amp;"|xN",Aux_puntos!$1:$1,0))="",NA(),INDEX(Aux_puntos!$A$2:$OJ$901,241,MATCH($B$2&amp;"|xN",Aux_puntos!$1:$1,0))),NA())</f>
        <v>#N/A</v>
      </c>
      <c r="AJ245" t="e">
        <f>IFERROR(IF(INDEX(Aux_puntos!$A$2:$OJ$901,241,MATCH($B$2&amp;"|yN",Aux_puntos!$1:$1,0))="",NA(),INDEX(Aux_puntos!$A$2:$OJ$901,241,MATCH($B$2&amp;"|yN",Aux_puntos!$1:$1,0))),NA())</f>
        <v>#N/A</v>
      </c>
    </row>
    <row r="246" spans="29:36" x14ac:dyDescent="0.3">
      <c r="AC246" t="e">
        <f>IFERROR(IF(INDEX(Aux_puntos!$A$2:$OJ$901,242,MATCH($B$2&amp;"|xK",Aux_puntos!$1:$1,0))="",NA(),INDEX(Aux_puntos!$A$2:$OJ$901,242,MATCH($B$2&amp;"|xK",Aux_puntos!$1:$1,0))),NA())</f>
        <v>#N/A</v>
      </c>
      <c r="AD246" t="e">
        <f>IFERROR(IF(INDEX(Aux_puntos!$A$2:$OJ$901,242,MATCH($B$2&amp;"|yK",Aux_puntos!$1:$1,0))="",NA(),INDEX(Aux_puntos!$A$2:$OJ$901,242,MATCH($B$2&amp;"|yK",Aux_puntos!$1:$1,0))),NA())</f>
        <v>#N/A</v>
      </c>
      <c r="AE246" t="e">
        <f>IFERROR(IF(INDEX(Aux_puntos!$A$2:$OJ$901,242,MATCH($B$2&amp;"|xC",Aux_puntos!$1:$1,0))="",NA(),INDEX(Aux_puntos!$A$2:$OJ$901,242,MATCH($B$2&amp;"|xC",Aux_puntos!$1:$1,0))),NA())</f>
        <v>#N/A</v>
      </c>
      <c r="AF246" t="e">
        <f>IFERROR(IF(INDEX(Aux_puntos!$A$2:$OJ$901,242,MATCH($B$2&amp;"|yC",Aux_puntos!$1:$1,0))="",NA(),INDEX(Aux_puntos!$A$2:$OJ$901,242,MATCH($B$2&amp;"|yC",Aux_puntos!$1:$1,0))),NA())</f>
        <v>#N/A</v>
      </c>
      <c r="AG246" t="e">
        <f>IFERROR(IF(INDEX(Aux_puntos!$A$2:$OJ$901,242,MATCH($B$2&amp;"|xI",Aux_puntos!$1:$1,0))="",NA(),INDEX(Aux_puntos!$A$2:$OJ$901,242,MATCH($B$2&amp;"|xI",Aux_puntos!$1:$1,0))),NA())</f>
        <v>#N/A</v>
      </c>
      <c r="AH246" t="e">
        <f>IFERROR(IF(INDEX(Aux_puntos!$A$2:$OJ$901,242,MATCH($B$2&amp;"|yI",Aux_puntos!$1:$1,0))="",NA(),INDEX(Aux_puntos!$A$2:$OJ$901,242,MATCH($B$2&amp;"|yI",Aux_puntos!$1:$1,0))),NA())</f>
        <v>#N/A</v>
      </c>
      <c r="AI246" t="e">
        <f>IFERROR(IF(INDEX(Aux_puntos!$A$2:$OJ$901,242,MATCH($B$2&amp;"|xN",Aux_puntos!$1:$1,0))="",NA(),INDEX(Aux_puntos!$A$2:$OJ$901,242,MATCH($B$2&amp;"|xN",Aux_puntos!$1:$1,0))),NA())</f>
        <v>#N/A</v>
      </c>
      <c r="AJ246" t="e">
        <f>IFERROR(IF(INDEX(Aux_puntos!$A$2:$OJ$901,242,MATCH($B$2&amp;"|yN",Aux_puntos!$1:$1,0))="",NA(),INDEX(Aux_puntos!$A$2:$OJ$901,242,MATCH($B$2&amp;"|yN",Aux_puntos!$1:$1,0))),NA())</f>
        <v>#N/A</v>
      </c>
    </row>
    <row r="247" spans="29:36" x14ac:dyDescent="0.3">
      <c r="AC247" t="e">
        <f>IFERROR(IF(INDEX(Aux_puntos!$A$2:$OJ$901,243,MATCH($B$2&amp;"|xK",Aux_puntos!$1:$1,0))="",NA(),INDEX(Aux_puntos!$A$2:$OJ$901,243,MATCH($B$2&amp;"|xK",Aux_puntos!$1:$1,0))),NA())</f>
        <v>#N/A</v>
      </c>
      <c r="AD247" t="e">
        <f>IFERROR(IF(INDEX(Aux_puntos!$A$2:$OJ$901,243,MATCH($B$2&amp;"|yK",Aux_puntos!$1:$1,0))="",NA(),INDEX(Aux_puntos!$A$2:$OJ$901,243,MATCH($B$2&amp;"|yK",Aux_puntos!$1:$1,0))),NA())</f>
        <v>#N/A</v>
      </c>
      <c r="AE247" t="e">
        <f>IFERROR(IF(INDEX(Aux_puntos!$A$2:$OJ$901,243,MATCH($B$2&amp;"|xC",Aux_puntos!$1:$1,0))="",NA(),INDEX(Aux_puntos!$A$2:$OJ$901,243,MATCH($B$2&amp;"|xC",Aux_puntos!$1:$1,0))),NA())</f>
        <v>#N/A</v>
      </c>
      <c r="AF247" t="e">
        <f>IFERROR(IF(INDEX(Aux_puntos!$A$2:$OJ$901,243,MATCH($B$2&amp;"|yC",Aux_puntos!$1:$1,0))="",NA(),INDEX(Aux_puntos!$A$2:$OJ$901,243,MATCH($B$2&amp;"|yC",Aux_puntos!$1:$1,0))),NA())</f>
        <v>#N/A</v>
      </c>
      <c r="AG247" t="e">
        <f>IFERROR(IF(INDEX(Aux_puntos!$A$2:$OJ$901,243,MATCH($B$2&amp;"|xI",Aux_puntos!$1:$1,0))="",NA(),INDEX(Aux_puntos!$A$2:$OJ$901,243,MATCH($B$2&amp;"|xI",Aux_puntos!$1:$1,0))),NA())</f>
        <v>#N/A</v>
      </c>
      <c r="AH247" t="e">
        <f>IFERROR(IF(INDEX(Aux_puntos!$A$2:$OJ$901,243,MATCH($B$2&amp;"|yI",Aux_puntos!$1:$1,0))="",NA(),INDEX(Aux_puntos!$A$2:$OJ$901,243,MATCH($B$2&amp;"|yI",Aux_puntos!$1:$1,0))),NA())</f>
        <v>#N/A</v>
      </c>
      <c r="AI247" t="e">
        <f>IFERROR(IF(INDEX(Aux_puntos!$A$2:$OJ$901,243,MATCH($B$2&amp;"|xN",Aux_puntos!$1:$1,0))="",NA(),INDEX(Aux_puntos!$A$2:$OJ$901,243,MATCH($B$2&amp;"|xN",Aux_puntos!$1:$1,0))),NA())</f>
        <v>#N/A</v>
      </c>
      <c r="AJ247" t="e">
        <f>IFERROR(IF(INDEX(Aux_puntos!$A$2:$OJ$901,243,MATCH($B$2&amp;"|yN",Aux_puntos!$1:$1,0))="",NA(),INDEX(Aux_puntos!$A$2:$OJ$901,243,MATCH($B$2&amp;"|yN",Aux_puntos!$1:$1,0))),NA())</f>
        <v>#N/A</v>
      </c>
    </row>
    <row r="248" spans="29:36" x14ac:dyDescent="0.3">
      <c r="AC248" t="e">
        <f>IFERROR(IF(INDEX(Aux_puntos!$A$2:$OJ$901,244,MATCH($B$2&amp;"|xK",Aux_puntos!$1:$1,0))="",NA(),INDEX(Aux_puntos!$A$2:$OJ$901,244,MATCH($B$2&amp;"|xK",Aux_puntos!$1:$1,0))),NA())</f>
        <v>#N/A</v>
      </c>
      <c r="AD248" t="e">
        <f>IFERROR(IF(INDEX(Aux_puntos!$A$2:$OJ$901,244,MATCH($B$2&amp;"|yK",Aux_puntos!$1:$1,0))="",NA(),INDEX(Aux_puntos!$A$2:$OJ$901,244,MATCH($B$2&amp;"|yK",Aux_puntos!$1:$1,0))),NA())</f>
        <v>#N/A</v>
      </c>
      <c r="AE248" t="e">
        <f>IFERROR(IF(INDEX(Aux_puntos!$A$2:$OJ$901,244,MATCH($B$2&amp;"|xC",Aux_puntos!$1:$1,0))="",NA(),INDEX(Aux_puntos!$A$2:$OJ$901,244,MATCH($B$2&amp;"|xC",Aux_puntos!$1:$1,0))),NA())</f>
        <v>#N/A</v>
      </c>
      <c r="AF248" t="e">
        <f>IFERROR(IF(INDEX(Aux_puntos!$A$2:$OJ$901,244,MATCH($B$2&amp;"|yC",Aux_puntos!$1:$1,0))="",NA(),INDEX(Aux_puntos!$A$2:$OJ$901,244,MATCH($B$2&amp;"|yC",Aux_puntos!$1:$1,0))),NA())</f>
        <v>#N/A</v>
      </c>
      <c r="AG248" t="e">
        <f>IFERROR(IF(INDEX(Aux_puntos!$A$2:$OJ$901,244,MATCH($B$2&amp;"|xI",Aux_puntos!$1:$1,0))="",NA(),INDEX(Aux_puntos!$A$2:$OJ$901,244,MATCH($B$2&amp;"|xI",Aux_puntos!$1:$1,0))),NA())</f>
        <v>#N/A</v>
      </c>
      <c r="AH248" t="e">
        <f>IFERROR(IF(INDEX(Aux_puntos!$A$2:$OJ$901,244,MATCH($B$2&amp;"|yI",Aux_puntos!$1:$1,0))="",NA(),INDEX(Aux_puntos!$A$2:$OJ$901,244,MATCH($B$2&amp;"|yI",Aux_puntos!$1:$1,0))),NA())</f>
        <v>#N/A</v>
      </c>
      <c r="AI248" t="e">
        <f>IFERROR(IF(INDEX(Aux_puntos!$A$2:$OJ$901,244,MATCH($B$2&amp;"|xN",Aux_puntos!$1:$1,0))="",NA(),INDEX(Aux_puntos!$A$2:$OJ$901,244,MATCH($B$2&amp;"|xN",Aux_puntos!$1:$1,0))),NA())</f>
        <v>#N/A</v>
      </c>
      <c r="AJ248" t="e">
        <f>IFERROR(IF(INDEX(Aux_puntos!$A$2:$OJ$901,244,MATCH($B$2&amp;"|yN",Aux_puntos!$1:$1,0))="",NA(),INDEX(Aux_puntos!$A$2:$OJ$901,244,MATCH($B$2&amp;"|yN",Aux_puntos!$1:$1,0))),NA())</f>
        <v>#N/A</v>
      </c>
    </row>
    <row r="249" spans="29:36" x14ac:dyDescent="0.3">
      <c r="AC249" t="e">
        <f>IFERROR(IF(INDEX(Aux_puntos!$A$2:$OJ$901,245,MATCH($B$2&amp;"|xK",Aux_puntos!$1:$1,0))="",NA(),INDEX(Aux_puntos!$A$2:$OJ$901,245,MATCH($B$2&amp;"|xK",Aux_puntos!$1:$1,0))),NA())</f>
        <v>#N/A</v>
      </c>
      <c r="AD249" t="e">
        <f>IFERROR(IF(INDEX(Aux_puntos!$A$2:$OJ$901,245,MATCH($B$2&amp;"|yK",Aux_puntos!$1:$1,0))="",NA(),INDEX(Aux_puntos!$A$2:$OJ$901,245,MATCH($B$2&amp;"|yK",Aux_puntos!$1:$1,0))),NA())</f>
        <v>#N/A</v>
      </c>
      <c r="AE249" t="e">
        <f>IFERROR(IF(INDEX(Aux_puntos!$A$2:$OJ$901,245,MATCH($B$2&amp;"|xC",Aux_puntos!$1:$1,0))="",NA(),INDEX(Aux_puntos!$A$2:$OJ$901,245,MATCH($B$2&amp;"|xC",Aux_puntos!$1:$1,0))),NA())</f>
        <v>#N/A</v>
      </c>
      <c r="AF249" t="e">
        <f>IFERROR(IF(INDEX(Aux_puntos!$A$2:$OJ$901,245,MATCH($B$2&amp;"|yC",Aux_puntos!$1:$1,0))="",NA(),INDEX(Aux_puntos!$A$2:$OJ$901,245,MATCH($B$2&amp;"|yC",Aux_puntos!$1:$1,0))),NA())</f>
        <v>#N/A</v>
      </c>
      <c r="AG249" t="e">
        <f>IFERROR(IF(INDEX(Aux_puntos!$A$2:$OJ$901,245,MATCH($B$2&amp;"|xI",Aux_puntos!$1:$1,0))="",NA(),INDEX(Aux_puntos!$A$2:$OJ$901,245,MATCH($B$2&amp;"|xI",Aux_puntos!$1:$1,0))),NA())</f>
        <v>#N/A</v>
      </c>
      <c r="AH249" t="e">
        <f>IFERROR(IF(INDEX(Aux_puntos!$A$2:$OJ$901,245,MATCH($B$2&amp;"|yI",Aux_puntos!$1:$1,0))="",NA(),INDEX(Aux_puntos!$A$2:$OJ$901,245,MATCH($B$2&amp;"|yI",Aux_puntos!$1:$1,0))),NA())</f>
        <v>#N/A</v>
      </c>
      <c r="AI249" t="e">
        <f>IFERROR(IF(INDEX(Aux_puntos!$A$2:$OJ$901,245,MATCH($B$2&amp;"|xN",Aux_puntos!$1:$1,0))="",NA(),INDEX(Aux_puntos!$A$2:$OJ$901,245,MATCH($B$2&amp;"|xN",Aux_puntos!$1:$1,0))),NA())</f>
        <v>#N/A</v>
      </c>
      <c r="AJ249" t="e">
        <f>IFERROR(IF(INDEX(Aux_puntos!$A$2:$OJ$901,245,MATCH($B$2&amp;"|yN",Aux_puntos!$1:$1,0))="",NA(),INDEX(Aux_puntos!$A$2:$OJ$901,245,MATCH($B$2&amp;"|yN",Aux_puntos!$1:$1,0))),NA())</f>
        <v>#N/A</v>
      </c>
    </row>
    <row r="250" spans="29:36" x14ac:dyDescent="0.3">
      <c r="AC250" t="e">
        <f>IFERROR(IF(INDEX(Aux_puntos!$A$2:$OJ$901,246,MATCH($B$2&amp;"|xK",Aux_puntos!$1:$1,0))="",NA(),INDEX(Aux_puntos!$A$2:$OJ$901,246,MATCH($B$2&amp;"|xK",Aux_puntos!$1:$1,0))),NA())</f>
        <v>#N/A</v>
      </c>
      <c r="AD250" t="e">
        <f>IFERROR(IF(INDEX(Aux_puntos!$A$2:$OJ$901,246,MATCH($B$2&amp;"|yK",Aux_puntos!$1:$1,0))="",NA(),INDEX(Aux_puntos!$A$2:$OJ$901,246,MATCH($B$2&amp;"|yK",Aux_puntos!$1:$1,0))),NA())</f>
        <v>#N/A</v>
      </c>
      <c r="AE250" t="e">
        <f>IFERROR(IF(INDEX(Aux_puntos!$A$2:$OJ$901,246,MATCH($B$2&amp;"|xC",Aux_puntos!$1:$1,0))="",NA(),INDEX(Aux_puntos!$A$2:$OJ$901,246,MATCH($B$2&amp;"|xC",Aux_puntos!$1:$1,0))),NA())</f>
        <v>#N/A</v>
      </c>
      <c r="AF250" t="e">
        <f>IFERROR(IF(INDEX(Aux_puntos!$A$2:$OJ$901,246,MATCH($B$2&amp;"|yC",Aux_puntos!$1:$1,0))="",NA(),INDEX(Aux_puntos!$A$2:$OJ$901,246,MATCH($B$2&amp;"|yC",Aux_puntos!$1:$1,0))),NA())</f>
        <v>#N/A</v>
      </c>
      <c r="AG250" t="e">
        <f>IFERROR(IF(INDEX(Aux_puntos!$A$2:$OJ$901,246,MATCH($B$2&amp;"|xI",Aux_puntos!$1:$1,0))="",NA(),INDEX(Aux_puntos!$A$2:$OJ$901,246,MATCH($B$2&amp;"|xI",Aux_puntos!$1:$1,0))),NA())</f>
        <v>#N/A</v>
      </c>
      <c r="AH250" t="e">
        <f>IFERROR(IF(INDEX(Aux_puntos!$A$2:$OJ$901,246,MATCH($B$2&amp;"|yI",Aux_puntos!$1:$1,0))="",NA(),INDEX(Aux_puntos!$A$2:$OJ$901,246,MATCH($B$2&amp;"|yI",Aux_puntos!$1:$1,0))),NA())</f>
        <v>#N/A</v>
      </c>
      <c r="AI250" t="e">
        <f>IFERROR(IF(INDEX(Aux_puntos!$A$2:$OJ$901,246,MATCH($B$2&amp;"|xN",Aux_puntos!$1:$1,0))="",NA(),INDEX(Aux_puntos!$A$2:$OJ$901,246,MATCH($B$2&amp;"|xN",Aux_puntos!$1:$1,0))),NA())</f>
        <v>#N/A</v>
      </c>
      <c r="AJ250" t="e">
        <f>IFERROR(IF(INDEX(Aux_puntos!$A$2:$OJ$901,246,MATCH($B$2&amp;"|yN",Aux_puntos!$1:$1,0))="",NA(),INDEX(Aux_puntos!$A$2:$OJ$901,246,MATCH($B$2&amp;"|yN",Aux_puntos!$1:$1,0))),NA())</f>
        <v>#N/A</v>
      </c>
    </row>
    <row r="251" spans="29:36" x14ac:dyDescent="0.3">
      <c r="AC251" t="e">
        <f>IFERROR(IF(INDEX(Aux_puntos!$A$2:$OJ$901,247,MATCH($B$2&amp;"|xK",Aux_puntos!$1:$1,0))="",NA(),INDEX(Aux_puntos!$A$2:$OJ$901,247,MATCH($B$2&amp;"|xK",Aux_puntos!$1:$1,0))),NA())</f>
        <v>#N/A</v>
      </c>
      <c r="AD251" t="e">
        <f>IFERROR(IF(INDEX(Aux_puntos!$A$2:$OJ$901,247,MATCH($B$2&amp;"|yK",Aux_puntos!$1:$1,0))="",NA(),INDEX(Aux_puntos!$A$2:$OJ$901,247,MATCH($B$2&amp;"|yK",Aux_puntos!$1:$1,0))),NA())</f>
        <v>#N/A</v>
      </c>
      <c r="AE251" t="e">
        <f>IFERROR(IF(INDEX(Aux_puntos!$A$2:$OJ$901,247,MATCH($B$2&amp;"|xC",Aux_puntos!$1:$1,0))="",NA(),INDEX(Aux_puntos!$A$2:$OJ$901,247,MATCH($B$2&amp;"|xC",Aux_puntos!$1:$1,0))),NA())</f>
        <v>#N/A</v>
      </c>
      <c r="AF251" t="e">
        <f>IFERROR(IF(INDEX(Aux_puntos!$A$2:$OJ$901,247,MATCH($B$2&amp;"|yC",Aux_puntos!$1:$1,0))="",NA(),INDEX(Aux_puntos!$A$2:$OJ$901,247,MATCH($B$2&amp;"|yC",Aux_puntos!$1:$1,0))),NA())</f>
        <v>#N/A</v>
      </c>
      <c r="AG251" t="e">
        <f>IFERROR(IF(INDEX(Aux_puntos!$A$2:$OJ$901,247,MATCH($B$2&amp;"|xI",Aux_puntos!$1:$1,0))="",NA(),INDEX(Aux_puntos!$A$2:$OJ$901,247,MATCH($B$2&amp;"|xI",Aux_puntos!$1:$1,0))),NA())</f>
        <v>#N/A</v>
      </c>
      <c r="AH251" t="e">
        <f>IFERROR(IF(INDEX(Aux_puntos!$A$2:$OJ$901,247,MATCH($B$2&amp;"|yI",Aux_puntos!$1:$1,0))="",NA(),INDEX(Aux_puntos!$A$2:$OJ$901,247,MATCH($B$2&amp;"|yI",Aux_puntos!$1:$1,0))),NA())</f>
        <v>#N/A</v>
      </c>
      <c r="AI251" t="e">
        <f>IFERROR(IF(INDEX(Aux_puntos!$A$2:$OJ$901,247,MATCH($B$2&amp;"|xN",Aux_puntos!$1:$1,0))="",NA(),INDEX(Aux_puntos!$A$2:$OJ$901,247,MATCH($B$2&amp;"|xN",Aux_puntos!$1:$1,0))),NA())</f>
        <v>#N/A</v>
      </c>
      <c r="AJ251" t="e">
        <f>IFERROR(IF(INDEX(Aux_puntos!$A$2:$OJ$901,247,MATCH($B$2&amp;"|yN",Aux_puntos!$1:$1,0))="",NA(),INDEX(Aux_puntos!$A$2:$OJ$901,247,MATCH($B$2&amp;"|yN",Aux_puntos!$1:$1,0))),NA())</f>
        <v>#N/A</v>
      </c>
    </row>
    <row r="252" spans="29:36" x14ac:dyDescent="0.3">
      <c r="AC252" t="e">
        <f>IFERROR(IF(INDEX(Aux_puntos!$A$2:$OJ$901,248,MATCH($B$2&amp;"|xK",Aux_puntos!$1:$1,0))="",NA(),INDEX(Aux_puntos!$A$2:$OJ$901,248,MATCH($B$2&amp;"|xK",Aux_puntos!$1:$1,0))),NA())</f>
        <v>#N/A</v>
      </c>
      <c r="AD252" t="e">
        <f>IFERROR(IF(INDEX(Aux_puntos!$A$2:$OJ$901,248,MATCH($B$2&amp;"|yK",Aux_puntos!$1:$1,0))="",NA(),INDEX(Aux_puntos!$A$2:$OJ$901,248,MATCH($B$2&amp;"|yK",Aux_puntos!$1:$1,0))),NA())</f>
        <v>#N/A</v>
      </c>
      <c r="AE252" t="e">
        <f>IFERROR(IF(INDEX(Aux_puntos!$A$2:$OJ$901,248,MATCH($B$2&amp;"|xC",Aux_puntos!$1:$1,0))="",NA(),INDEX(Aux_puntos!$A$2:$OJ$901,248,MATCH($B$2&amp;"|xC",Aux_puntos!$1:$1,0))),NA())</f>
        <v>#N/A</v>
      </c>
      <c r="AF252" t="e">
        <f>IFERROR(IF(INDEX(Aux_puntos!$A$2:$OJ$901,248,MATCH($B$2&amp;"|yC",Aux_puntos!$1:$1,0))="",NA(),INDEX(Aux_puntos!$A$2:$OJ$901,248,MATCH($B$2&amp;"|yC",Aux_puntos!$1:$1,0))),NA())</f>
        <v>#N/A</v>
      </c>
      <c r="AG252" t="e">
        <f>IFERROR(IF(INDEX(Aux_puntos!$A$2:$OJ$901,248,MATCH($B$2&amp;"|xI",Aux_puntos!$1:$1,0))="",NA(),INDEX(Aux_puntos!$A$2:$OJ$901,248,MATCH($B$2&amp;"|xI",Aux_puntos!$1:$1,0))),NA())</f>
        <v>#N/A</v>
      </c>
      <c r="AH252" t="e">
        <f>IFERROR(IF(INDEX(Aux_puntos!$A$2:$OJ$901,248,MATCH($B$2&amp;"|yI",Aux_puntos!$1:$1,0))="",NA(),INDEX(Aux_puntos!$A$2:$OJ$901,248,MATCH($B$2&amp;"|yI",Aux_puntos!$1:$1,0))),NA())</f>
        <v>#N/A</v>
      </c>
      <c r="AI252" t="e">
        <f>IFERROR(IF(INDEX(Aux_puntos!$A$2:$OJ$901,248,MATCH($B$2&amp;"|xN",Aux_puntos!$1:$1,0))="",NA(),INDEX(Aux_puntos!$A$2:$OJ$901,248,MATCH($B$2&amp;"|xN",Aux_puntos!$1:$1,0))),NA())</f>
        <v>#N/A</v>
      </c>
      <c r="AJ252" t="e">
        <f>IFERROR(IF(INDEX(Aux_puntos!$A$2:$OJ$901,248,MATCH($B$2&amp;"|yN",Aux_puntos!$1:$1,0))="",NA(),INDEX(Aux_puntos!$A$2:$OJ$901,248,MATCH($B$2&amp;"|yN",Aux_puntos!$1:$1,0))),NA())</f>
        <v>#N/A</v>
      </c>
    </row>
    <row r="253" spans="29:36" x14ac:dyDescent="0.3">
      <c r="AC253" t="e">
        <f>IFERROR(IF(INDEX(Aux_puntos!$A$2:$OJ$901,249,MATCH($B$2&amp;"|xK",Aux_puntos!$1:$1,0))="",NA(),INDEX(Aux_puntos!$A$2:$OJ$901,249,MATCH($B$2&amp;"|xK",Aux_puntos!$1:$1,0))),NA())</f>
        <v>#N/A</v>
      </c>
      <c r="AD253" t="e">
        <f>IFERROR(IF(INDEX(Aux_puntos!$A$2:$OJ$901,249,MATCH($B$2&amp;"|yK",Aux_puntos!$1:$1,0))="",NA(),INDEX(Aux_puntos!$A$2:$OJ$901,249,MATCH($B$2&amp;"|yK",Aux_puntos!$1:$1,0))),NA())</f>
        <v>#N/A</v>
      </c>
      <c r="AE253" t="e">
        <f>IFERROR(IF(INDEX(Aux_puntos!$A$2:$OJ$901,249,MATCH($B$2&amp;"|xC",Aux_puntos!$1:$1,0))="",NA(),INDEX(Aux_puntos!$A$2:$OJ$901,249,MATCH($B$2&amp;"|xC",Aux_puntos!$1:$1,0))),NA())</f>
        <v>#N/A</v>
      </c>
      <c r="AF253" t="e">
        <f>IFERROR(IF(INDEX(Aux_puntos!$A$2:$OJ$901,249,MATCH($B$2&amp;"|yC",Aux_puntos!$1:$1,0))="",NA(),INDEX(Aux_puntos!$A$2:$OJ$901,249,MATCH($B$2&amp;"|yC",Aux_puntos!$1:$1,0))),NA())</f>
        <v>#N/A</v>
      </c>
      <c r="AG253" t="e">
        <f>IFERROR(IF(INDEX(Aux_puntos!$A$2:$OJ$901,249,MATCH($B$2&amp;"|xI",Aux_puntos!$1:$1,0))="",NA(),INDEX(Aux_puntos!$A$2:$OJ$901,249,MATCH($B$2&amp;"|xI",Aux_puntos!$1:$1,0))),NA())</f>
        <v>#N/A</v>
      </c>
      <c r="AH253" t="e">
        <f>IFERROR(IF(INDEX(Aux_puntos!$A$2:$OJ$901,249,MATCH($B$2&amp;"|yI",Aux_puntos!$1:$1,0))="",NA(),INDEX(Aux_puntos!$A$2:$OJ$901,249,MATCH($B$2&amp;"|yI",Aux_puntos!$1:$1,0))),NA())</f>
        <v>#N/A</v>
      </c>
      <c r="AI253" t="e">
        <f>IFERROR(IF(INDEX(Aux_puntos!$A$2:$OJ$901,249,MATCH($B$2&amp;"|xN",Aux_puntos!$1:$1,0))="",NA(),INDEX(Aux_puntos!$A$2:$OJ$901,249,MATCH($B$2&amp;"|xN",Aux_puntos!$1:$1,0))),NA())</f>
        <v>#N/A</v>
      </c>
      <c r="AJ253" t="e">
        <f>IFERROR(IF(INDEX(Aux_puntos!$A$2:$OJ$901,249,MATCH($B$2&amp;"|yN",Aux_puntos!$1:$1,0))="",NA(),INDEX(Aux_puntos!$A$2:$OJ$901,249,MATCH($B$2&amp;"|yN",Aux_puntos!$1:$1,0))),NA())</f>
        <v>#N/A</v>
      </c>
    </row>
    <row r="254" spans="29:36" x14ac:dyDescent="0.3">
      <c r="AC254" t="e">
        <f>IFERROR(IF(INDEX(Aux_puntos!$A$2:$OJ$901,250,MATCH($B$2&amp;"|xK",Aux_puntos!$1:$1,0))="",NA(),INDEX(Aux_puntos!$A$2:$OJ$901,250,MATCH($B$2&amp;"|xK",Aux_puntos!$1:$1,0))),NA())</f>
        <v>#N/A</v>
      </c>
      <c r="AD254" t="e">
        <f>IFERROR(IF(INDEX(Aux_puntos!$A$2:$OJ$901,250,MATCH($B$2&amp;"|yK",Aux_puntos!$1:$1,0))="",NA(),INDEX(Aux_puntos!$A$2:$OJ$901,250,MATCH($B$2&amp;"|yK",Aux_puntos!$1:$1,0))),NA())</f>
        <v>#N/A</v>
      </c>
      <c r="AE254" t="e">
        <f>IFERROR(IF(INDEX(Aux_puntos!$A$2:$OJ$901,250,MATCH($B$2&amp;"|xC",Aux_puntos!$1:$1,0))="",NA(),INDEX(Aux_puntos!$A$2:$OJ$901,250,MATCH($B$2&amp;"|xC",Aux_puntos!$1:$1,0))),NA())</f>
        <v>#N/A</v>
      </c>
      <c r="AF254" t="e">
        <f>IFERROR(IF(INDEX(Aux_puntos!$A$2:$OJ$901,250,MATCH($B$2&amp;"|yC",Aux_puntos!$1:$1,0))="",NA(),INDEX(Aux_puntos!$A$2:$OJ$901,250,MATCH($B$2&amp;"|yC",Aux_puntos!$1:$1,0))),NA())</f>
        <v>#N/A</v>
      </c>
      <c r="AG254" t="e">
        <f>IFERROR(IF(INDEX(Aux_puntos!$A$2:$OJ$901,250,MATCH($B$2&amp;"|xI",Aux_puntos!$1:$1,0))="",NA(),INDEX(Aux_puntos!$A$2:$OJ$901,250,MATCH($B$2&amp;"|xI",Aux_puntos!$1:$1,0))),NA())</f>
        <v>#N/A</v>
      </c>
      <c r="AH254" t="e">
        <f>IFERROR(IF(INDEX(Aux_puntos!$A$2:$OJ$901,250,MATCH($B$2&amp;"|yI",Aux_puntos!$1:$1,0))="",NA(),INDEX(Aux_puntos!$A$2:$OJ$901,250,MATCH($B$2&amp;"|yI",Aux_puntos!$1:$1,0))),NA())</f>
        <v>#N/A</v>
      </c>
      <c r="AI254" t="e">
        <f>IFERROR(IF(INDEX(Aux_puntos!$A$2:$OJ$901,250,MATCH($B$2&amp;"|xN",Aux_puntos!$1:$1,0))="",NA(),INDEX(Aux_puntos!$A$2:$OJ$901,250,MATCH($B$2&amp;"|xN",Aux_puntos!$1:$1,0))),NA())</f>
        <v>#N/A</v>
      </c>
      <c r="AJ254" t="e">
        <f>IFERROR(IF(INDEX(Aux_puntos!$A$2:$OJ$901,250,MATCH($B$2&amp;"|yN",Aux_puntos!$1:$1,0))="",NA(),INDEX(Aux_puntos!$A$2:$OJ$901,250,MATCH($B$2&amp;"|yN",Aux_puntos!$1:$1,0))),NA())</f>
        <v>#N/A</v>
      </c>
    </row>
    <row r="255" spans="29:36" x14ac:dyDescent="0.3">
      <c r="AC255" t="e">
        <f>IFERROR(IF(INDEX(Aux_puntos!$A$2:$OJ$901,251,MATCH($B$2&amp;"|xK",Aux_puntos!$1:$1,0))="",NA(),INDEX(Aux_puntos!$A$2:$OJ$901,251,MATCH($B$2&amp;"|xK",Aux_puntos!$1:$1,0))),NA())</f>
        <v>#N/A</v>
      </c>
      <c r="AD255" t="e">
        <f>IFERROR(IF(INDEX(Aux_puntos!$A$2:$OJ$901,251,MATCH($B$2&amp;"|yK",Aux_puntos!$1:$1,0))="",NA(),INDEX(Aux_puntos!$A$2:$OJ$901,251,MATCH($B$2&amp;"|yK",Aux_puntos!$1:$1,0))),NA())</f>
        <v>#N/A</v>
      </c>
      <c r="AE255" t="e">
        <f>IFERROR(IF(INDEX(Aux_puntos!$A$2:$OJ$901,251,MATCH($B$2&amp;"|xC",Aux_puntos!$1:$1,0))="",NA(),INDEX(Aux_puntos!$A$2:$OJ$901,251,MATCH($B$2&amp;"|xC",Aux_puntos!$1:$1,0))),NA())</f>
        <v>#N/A</v>
      </c>
      <c r="AF255" t="e">
        <f>IFERROR(IF(INDEX(Aux_puntos!$A$2:$OJ$901,251,MATCH($B$2&amp;"|yC",Aux_puntos!$1:$1,0))="",NA(),INDEX(Aux_puntos!$A$2:$OJ$901,251,MATCH($B$2&amp;"|yC",Aux_puntos!$1:$1,0))),NA())</f>
        <v>#N/A</v>
      </c>
      <c r="AG255" t="e">
        <f>IFERROR(IF(INDEX(Aux_puntos!$A$2:$OJ$901,251,MATCH($B$2&amp;"|xI",Aux_puntos!$1:$1,0))="",NA(),INDEX(Aux_puntos!$A$2:$OJ$901,251,MATCH($B$2&amp;"|xI",Aux_puntos!$1:$1,0))),NA())</f>
        <v>#N/A</v>
      </c>
      <c r="AH255" t="e">
        <f>IFERROR(IF(INDEX(Aux_puntos!$A$2:$OJ$901,251,MATCH($B$2&amp;"|yI",Aux_puntos!$1:$1,0))="",NA(),INDEX(Aux_puntos!$A$2:$OJ$901,251,MATCH($B$2&amp;"|yI",Aux_puntos!$1:$1,0))),NA())</f>
        <v>#N/A</v>
      </c>
      <c r="AI255" t="e">
        <f>IFERROR(IF(INDEX(Aux_puntos!$A$2:$OJ$901,251,MATCH($B$2&amp;"|xN",Aux_puntos!$1:$1,0))="",NA(),INDEX(Aux_puntos!$A$2:$OJ$901,251,MATCH($B$2&amp;"|xN",Aux_puntos!$1:$1,0))),NA())</f>
        <v>#N/A</v>
      </c>
      <c r="AJ255" t="e">
        <f>IFERROR(IF(INDEX(Aux_puntos!$A$2:$OJ$901,251,MATCH($B$2&amp;"|yN",Aux_puntos!$1:$1,0))="",NA(),INDEX(Aux_puntos!$A$2:$OJ$901,251,MATCH($B$2&amp;"|yN",Aux_puntos!$1:$1,0))),NA())</f>
        <v>#N/A</v>
      </c>
    </row>
    <row r="256" spans="29:36" x14ac:dyDescent="0.3">
      <c r="AC256" t="e">
        <f>IFERROR(IF(INDEX(Aux_puntos!$A$2:$OJ$901,252,MATCH($B$2&amp;"|xK",Aux_puntos!$1:$1,0))="",NA(),INDEX(Aux_puntos!$A$2:$OJ$901,252,MATCH($B$2&amp;"|xK",Aux_puntos!$1:$1,0))),NA())</f>
        <v>#N/A</v>
      </c>
      <c r="AD256" t="e">
        <f>IFERROR(IF(INDEX(Aux_puntos!$A$2:$OJ$901,252,MATCH($B$2&amp;"|yK",Aux_puntos!$1:$1,0))="",NA(),INDEX(Aux_puntos!$A$2:$OJ$901,252,MATCH($B$2&amp;"|yK",Aux_puntos!$1:$1,0))),NA())</f>
        <v>#N/A</v>
      </c>
      <c r="AE256" t="e">
        <f>IFERROR(IF(INDEX(Aux_puntos!$A$2:$OJ$901,252,MATCH($B$2&amp;"|xC",Aux_puntos!$1:$1,0))="",NA(),INDEX(Aux_puntos!$A$2:$OJ$901,252,MATCH($B$2&amp;"|xC",Aux_puntos!$1:$1,0))),NA())</f>
        <v>#N/A</v>
      </c>
      <c r="AF256" t="e">
        <f>IFERROR(IF(INDEX(Aux_puntos!$A$2:$OJ$901,252,MATCH($B$2&amp;"|yC",Aux_puntos!$1:$1,0))="",NA(),INDEX(Aux_puntos!$A$2:$OJ$901,252,MATCH($B$2&amp;"|yC",Aux_puntos!$1:$1,0))),NA())</f>
        <v>#N/A</v>
      </c>
      <c r="AG256" t="e">
        <f>IFERROR(IF(INDEX(Aux_puntos!$A$2:$OJ$901,252,MATCH($B$2&amp;"|xI",Aux_puntos!$1:$1,0))="",NA(),INDEX(Aux_puntos!$A$2:$OJ$901,252,MATCH($B$2&amp;"|xI",Aux_puntos!$1:$1,0))),NA())</f>
        <v>#N/A</v>
      </c>
      <c r="AH256" t="e">
        <f>IFERROR(IF(INDEX(Aux_puntos!$A$2:$OJ$901,252,MATCH($B$2&amp;"|yI",Aux_puntos!$1:$1,0))="",NA(),INDEX(Aux_puntos!$A$2:$OJ$901,252,MATCH($B$2&amp;"|yI",Aux_puntos!$1:$1,0))),NA())</f>
        <v>#N/A</v>
      </c>
      <c r="AI256" t="e">
        <f>IFERROR(IF(INDEX(Aux_puntos!$A$2:$OJ$901,252,MATCH($B$2&amp;"|xN",Aux_puntos!$1:$1,0))="",NA(),INDEX(Aux_puntos!$A$2:$OJ$901,252,MATCH($B$2&amp;"|xN",Aux_puntos!$1:$1,0))),NA())</f>
        <v>#N/A</v>
      </c>
      <c r="AJ256" t="e">
        <f>IFERROR(IF(INDEX(Aux_puntos!$A$2:$OJ$901,252,MATCH($B$2&amp;"|yN",Aux_puntos!$1:$1,0))="",NA(),INDEX(Aux_puntos!$A$2:$OJ$901,252,MATCH($B$2&amp;"|yN",Aux_puntos!$1:$1,0))),NA())</f>
        <v>#N/A</v>
      </c>
    </row>
    <row r="257" spans="29:36" x14ac:dyDescent="0.3">
      <c r="AC257" t="e">
        <f>IFERROR(IF(INDEX(Aux_puntos!$A$2:$OJ$901,253,MATCH($B$2&amp;"|xK",Aux_puntos!$1:$1,0))="",NA(),INDEX(Aux_puntos!$A$2:$OJ$901,253,MATCH($B$2&amp;"|xK",Aux_puntos!$1:$1,0))),NA())</f>
        <v>#N/A</v>
      </c>
      <c r="AD257" t="e">
        <f>IFERROR(IF(INDEX(Aux_puntos!$A$2:$OJ$901,253,MATCH($B$2&amp;"|yK",Aux_puntos!$1:$1,0))="",NA(),INDEX(Aux_puntos!$A$2:$OJ$901,253,MATCH($B$2&amp;"|yK",Aux_puntos!$1:$1,0))),NA())</f>
        <v>#N/A</v>
      </c>
      <c r="AE257" t="e">
        <f>IFERROR(IF(INDEX(Aux_puntos!$A$2:$OJ$901,253,MATCH($B$2&amp;"|xC",Aux_puntos!$1:$1,0))="",NA(),INDEX(Aux_puntos!$A$2:$OJ$901,253,MATCH($B$2&amp;"|xC",Aux_puntos!$1:$1,0))),NA())</f>
        <v>#N/A</v>
      </c>
      <c r="AF257" t="e">
        <f>IFERROR(IF(INDEX(Aux_puntos!$A$2:$OJ$901,253,MATCH($B$2&amp;"|yC",Aux_puntos!$1:$1,0))="",NA(),INDEX(Aux_puntos!$A$2:$OJ$901,253,MATCH($B$2&amp;"|yC",Aux_puntos!$1:$1,0))),NA())</f>
        <v>#N/A</v>
      </c>
      <c r="AG257" t="e">
        <f>IFERROR(IF(INDEX(Aux_puntos!$A$2:$OJ$901,253,MATCH($B$2&amp;"|xI",Aux_puntos!$1:$1,0))="",NA(),INDEX(Aux_puntos!$A$2:$OJ$901,253,MATCH($B$2&amp;"|xI",Aux_puntos!$1:$1,0))),NA())</f>
        <v>#N/A</v>
      </c>
      <c r="AH257" t="e">
        <f>IFERROR(IF(INDEX(Aux_puntos!$A$2:$OJ$901,253,MATCH($B$2&amp;"|yI",Aux_puntos!$1:$1,0))="",NA(),INDEX(Aux_puntos!$A$2:$OJ$901,253,MATCH($B$2&amp;"|yI",Aux_puntos!$1:$1,0))),NA())</f>
        <v>#N/A</v>
      </c>
      <c r="AI257" t="e">
        <f>IFERROR(IF(INDEX(Aux_puntos!$A$2:$OJ$901,253,MATCH($B$2&amp;"|xN",Aux_puntos!$1:$1,0))="",NA(),INDEX(Aux_puntos!$A$2:$OJ$901,253,MATCH($B$2&amp;"|xN",Aux_puntos!$1:$1,0))),NA())</f>
        <v>#N/A</v>
      </c>
      <c r="AJ257" t="e">
        <f>IFERROR(IF(INDEX(Aux_puntos!$A$2:$OJ$901,253,MATCH($B$2&amp;"|yN",Aux_puntos!$1:$1,0))="",NA(),INDEX(Aux_puntos!$A$2:$OJ$901,253,MATCH($B$2&amp;"|yN",Aux_puntos!$1:$1,0))),NA())</f>
        <v>#N/A</v>
      </c>
    </row>
    <row r="258" spans="29:36" x14ac:dyDescent="0.3">
      <c r="AC258" t="e">
        <f>IFERROR(IF(INDEX(Aux_puntos!$A$2:$OJ$901,254,MATCH($B$2&amp;"|xK",Aux_puntos!$1:$1,0))="",NA(),INDEX(Aux_puntos!$A$2:$OJ$901,254,MATCH($B$2&amp;"|xK",Aux_puntos!$1:$1,0))),NA())</f>
        <v>#N/A</v>
      </c>
      <c r="AD258" t="e">
        <f>IFERROR(IF(INDEX(Aux_puntos!$A$2:$OJ$901,254,MATCH($B$2&amp;"|yK",Aux_puntos!$1:$1,0))="",NA(),INDEX(Aux_puntos!$A$2:$OJ$901,254,MATCH($B$2&amp;"|yK",Aux_puntos!$1:$1,0))),NA())</f>
        <v>#N/A</v>
      </c>
      <c r="AE258" t="e">
        <f>IFERROR(IF(INDEX(Aux_puntos!$A$2:$OJ$901,254,MATCH($B$2&amp;"|xC",Aux_puntos!$1:$1,0))="",NA(),INDEX(Aux_puntos!$A$2:$OJ$901,254,MATCH($B$2&amp;"|xC",Aux_puntos!$1:$1,0))),NA())</f>
        <v>#N/A</v>
      </c>
      <c r="AF258" t="e">
        <f>IFERROR(IF(INDEX(Aux_puntos!$A$2:$OJ$901,254,MATCH($B$2&amp;"|yC",Aux_puntos!$1:$1,0))="",NA(),INDEX(Aux_puntos!$A$2:$OJ$901,254,MATCH($B$2&amp;"|yC",Aux_puntos!$1:$1,0))),NA())</f>
        <v>#N/A</v>
      </c>
      <c r="AG258" t="e">
        <f>IFERROR(IF(INDEX(Aux_puntos!$A$2:$OJ$901,254,MATCH($B$2&amp;"|xI",Aux_puntos!$1:$1,0))="",NA(),INDEX(Aux_puntos!$A$2:$OJ$901,254,MATCH($B$2&amp;"|xI",Aux_puntos!$1:$1,0))),NA())</f>
        <v>#N/A</v>
      </c>
      <c r="AH258" t="e">
        <f>IFERROR(IF(INDEX(Aux_puntos!$A$2:$OJ$901,254,MATCH($B$2&amp;"|yI",Aux_puntos!$1:$1,0))="",NA(),INDEX(Aux_puntos!$A$2:$OJ$901,254,MATCH($B$2&amp;"|yI",Aux_puntos!$1:$1,0))),NA())</f>
        <v>#N/A</v>
      </c>
      <c r="AI258" t="e">
        <f>IFERROR(IF(INDEX(Aux_puntos!$A$2:$OJ$901,254,MATCH($B$2&amp;"|xN",Aux_puntos!$1:$1,0))="",NA(),INDEX(Aux_puntos!$A$2:$OJ$901,254,MATCH($B$2&amp;"|xN",Aux_puntos!$1:$1,0))),NA())</f>
        <v>#N/A</v>
      </c>
      <c r="AJ258" t="e">
        <f>IFERROR(IF(INDEX(Aux_puntos!$A$2:$OJ$901,254,MATCH($B$2&amp;"|yN",Aux_puntos!$1:$1,0))="",NA(),INDEX(Aux_puntos!$A$2:$OJ$901,254,MATCH($B$2&amp;"|yN",Aux_puntos!$1:$1,0))),NA())</f>
        <v>#N/A</v>
      </c>
    </row>
    <row r="259" spans="29:36" x14ac:dyDescent="0.3">
      <c r="AC259" t="e">
        <f>IFERROR(IF(INDEX(Aux_puntos!$A$2:$OJ$901,255,MATCH($B$2&amp;"|xK",Aux_puntos!$1:$1,0))="",NA(),INDEX(Aux_puntos!$A$2:$OJ$901,255,MATCH($B$2&amp;"|xK",Aux_puntos!$1:$1,0))),NA())</f>
        <v>#N/A</v>
      </c>
      <c r="AD259" t="e">
        <f>IFERROR(IF(INDEX(Aux_puntos!$A$2:$OJ$901,255,MATCH($B$2&amp;"|yK",Aux_puntos!$1:$1,0))="",NA(),INDEX(Aux_puntos!$A$2:$OJ$901,255,MATCH($B$2&amp;"|yK",Aux_puntos!$1:$1,0))),NA())</f>
        <v>#N/A</v>
      </c>
      <c r="AE259" t="e">
        <f>IFERROR(IF(INDEX(Aux_puntos!$A$2:$OJ$901,255,MATCH($B$2&amp;"|xC",Aux_puntos!$1:$1,0))="",NA(),INDEX(Aux_puntos!$A$2:$OJ$901,255,MATCH($B$2&amp;"|xC",Aux_puntos!$1:$1,0))),NA())</f>
        <v>#N/A</v>
      </c>
      <c r="AF259" t="e">
        <f>IFERROR(IF(INDEX(Aux_puntos!$A$2:$OJ$901,255,MATCH($B$2&amp;"|yC",Aux_puntos!$1:$1,0))="",NA(),INDEX(Aux_puntos!$A$2:$OJ$901,255,MATCH($B$2&amp;"|yC",Aux_puntos!$1:$1,0))),NA())</f>
        <v>#N/A</v>
      </c>
      <c r="AG259" t="e">
        <f>IFERROR(IF(INDEX(Aux_puntos!$A$2:$OJ$901,255,MATCH($B$2&amp;"|xI",Aux_puntos!$1:$1,0))="",NA(),INDEX(Aux_puntos!$A$2:$OJ$901,255,MATCH($B$2&amp;"|xI",Aux_puntos!$1:$1,0))),NA())</f>
        <v>#N/A</v>
      </c>
      <c r="AH259" t="e">
        <f>IFERROR(IF(INDEX(Aux_puntos!$A$2:$OJ$901,255,MATCH($B$2&amp;"|yI",Aux_puntos!$1:$1,0))="",NA(),INDEX(Aux_puntos!$A$2:$OJ$901,255,MATCH($B$2&amp;"|yI",Aux_puntos!$1:$1,0))),NA())</f>
        <v>#N/A</v>
      </c>
      <c r="AI259" t="e">
        <f>IFERROR(IF(INDEX(Aux_puntos!$A$2:$OJ$901,255,MATCH($B$2&amp;"|xN",Aux_puntos!$1:$1,0))="",NA(),INDEX(Aux_puntos!$A$2:$OJ$901,255,MATCH($B$2&amp;"|xN",Aux_puntos!$1:$1,0))),NA())</f>
        <v>#N/A</v>
      </c>
      <c r="AJ259" t="e">
        <f>IFERROR(IF(INDEX(Aux_puntos!$A$2:$OJ$901,255,MATCH($B$2&amp;"|yN",Aux_puntos!$1:$1,0))="",NA(),INDEX(Aux_puntos!$A$2:$OJ$901,255,MATCH($B$2&amp;"|yN",Aux_puntos!$1:$1,0))),NA())</f>
        <v>#N/A</v>
      </c>
    </row>
    <row r="260" spans="29:36" x14ac:dyDescent="0.3">
      <c r="AC260" t="e">
        <f>IFERROR(IF(INDEX(Aux_puntos!$A$2:$OJ$901,256,MATCH($B$2&amp;"|xK",Aux_puntos!$1:$1,0))="",NA(),INDEX(Aux_puntos!$A$2:$OJ$901,256,MATCH($B$2&amp;"|xK",Aux_puntos!$1:$1,0))),NA())</f>
        <v>#N/A</v>
      </c>
      <c r="AD260" t="e">
        <f>IFERROR(IF(INDEX(Aux_puntos!$A$2:$OJ$901,256,MATCH($B$2&amp;"|yK",Aux_puntos!$1:$1,0))="",NA(),INDEX(Aux_puntos!$A$2:$OJ$901,256,MATCH($B$2&amp;"|yK",Aux_puntos!$1:$1,0))),NA())</f>
        <v>#N/A</v>
      </c>
      <c r="AE260" t="e">
        <f>IFERROR(IF(INDEX(Aux_puntos!$A$2:$OJ$901,256,MATCH($B$2&amp;"|xC",Aux_puntos!$1:$1,0))="",NA(),INDEX(Aux_puntos!$A$2:$OJ$901,256,MATCH($B$2&amp;"|xC",Aux_puntos!$1:$1,0))),NA())</f>
        <v>#N/A</v>
      </c>
      <c r="AF260" t="e">
        <f>IFERROR(IF(INDEX(Aux_puntos!$A$2:$OJ$901,256,MATCH($B$2&amp;"|yC",Aux_puntos!$1:$1,0))="",NA(),INDEX(Aux_puntos!$A$2:$OJ$901,256,MATCH($B$2&amp;"|yC",Aux_puntos!$1:$1,0))),NA())</f>
        <v>#N/A</v>
      </c>
      <c r="AG260" t="e">
        <f>IFERROR(IF(INDEX(Aux_puntos!$A$2:$OJ$901,256,MATCH($B$2&amp;"|xI",Aux_puntos!$1:$1,0))="",NA(),INDEX(Aux_puntos!$A$2:$OJ$901,256,MATCH($B$2&amp;"|xI",Aux_puntos!$1:$1,0))),NA())</f>
        <v>#N/A</v>
      </c>
      <c r="AH260" t="e">
        <f>IFERROR(IF(INDEX(Aux_puntos!$A$2:$OJ$901,256,MATCH($B$2&amp;"|yI",Aux_puntos!$1:$1,0))="",NA(),INDEX(Aux_puntos!$A$2:$OJ$901,256,MATCH($B$2&amp;"|yI",Aux_puntos!$1:$1,0))),NA())</f>
        <v>#N/A</v>
      </c>
      <c r="AI260" t="e">
        <f>IFERROR(IF(INDEX(Aux_puntos!$A$2:$OJ$901,256,MATCH($B$2&amp;"|xN",Aux_puntos!$1:$1,0))="",NA(),INDEX(Aux_puntos!$A$2:$OJ$901,256,MATCH($B$2&amp;"|xN",Aux_puntos!$1:$1,0))),NA())</f>
        <v>#N/A</v>
      </c>
      <c r="AJ260" t="e">
        <f>IFERROR(IF(INDEX(Aux_puntos!$A$2:$OJ$901,256,MATCH($B$2&amp;"|yN",Aux_puntos!$1:$1,0))="",NA(),INDEX(Aux_puntos!$A$2:$OJ$901,256,MATCH($B$2&amp;"|yN",Aux_puntos!$1:$1,0))),NA())</f>
        <v>#N/A</v>
      </c>
    </row>
    <row r="261" spans="29:36" x14ac:dyDescent="0.3">
      <c r="AC261" t="e">
        <f>IFERROR(IF(INDEX(Aux_puntos!$A$2:$OJ$901,257,MATCH($B$2&amp;"|xK",Aux_puntos!$1:$1,0))="",NA(),INDEX(Aux_puntos!$A$2:$OJ$901,257,MATCH($B$2&amp;"|xK",Aux_puntos!$1:$1,0))),NA())</f>
        <v>#N/A</v>
      </c>
      <c r="AD261" t="e">
        <f>IFERROR(IF(INDEX(Aux_puntos!$A$2:$OJ$901,257,MATCH($B$2&amp;"|yK",Aux_puntos!$1:$1,0))="",NA(),INDEX(Aux_puntos!$A$2:$OJ$901,257,MATCH($B$2&amp;"|yK",Aux_puntos!$1:$1,0))),NA())</f>
        <v>#N/A</v>
      </c>
      <c r="AE261" t="e">
        <f>IFERROR(IF(INDEX(Aux_puntos!$A$2:$OJ$901,257,MATCH($B$2&amp;"|xC",Aux_puntos!$1:$1,0))="",NA(),INDEX(Aux_puntos!$A$2:$OJ$901,257,MATCH($B$2&amp;"|xC",Aux_puntos!$1:$1,0))),NA())</f>
        <v>#N/A</v>
      </c>
      <c r="AF261" t="e">
        <f>IFERROR(IF(INDEX(Aux_puntos!$A$2:$OJ$901,257,MATCH($B$2&amp;"|yC",Aux_puntos!$1:$1,0))="",NA(),INDEX(Aux_puntos!$A$2:$OJ$901,257,MATCH($B$2&amp;"|yC",Aux_puntos!$1:$1,0))),NA())</f>
        <v>#N/A</v>
      </c>
      <c r="AG261" t="e">
        <f>IFERROR(IF(INDEX(Aux_puntos!$A$2:$OJ$901,257,MATCH($B$2&amp;"|xI",Aux_puntos!$1:$1,0))="",NA(),INDEX(Aux_puntos!$A$2:$OJ$901,257,MATCH($B$2&amp;"|xI",Aux_puntos!$1:$1,0))),NA())</f>
        <v>#N/A</v>
      </c>
      <c r="AH261" t="e">
        <f>IFERROR(IF(INDEX(Aux_puntos!$A$2:$OJ$901,257,MATCH($B$2&amp;"|yI",Aux_puntos!$1:$1,0))="",NA(),INDEX(Aux_puntos!$A$2:$OJ$901,257,MATCH($B$2&amp;"|yI",Aux_puntos!$1:$1,0))),NA())</f>
        <v>#N/A</v>
      </c>
      <c r="AI261" t="e">
        <f>IFERROR(IF(INDEX(Aux_puntos!$A$2:$OJ$901,257,MATCH($B$2&amp;"|xN",Aux_puntos!$1:$1,0))="",NA(),INDEX(Aux_puntos!$A$2:$OJ$901,257,MATCH($B$2&amp;"|xN",Aux_puntos!$1:$1,0))),NA())</f>
        <v>#N/A</v>
      </c>
      <c r="AJ261" t="e">
        <f>IFERROR(IF(INDEX(Aux_puntos!$A$2:$OJ$901,257,MATCH($B$2&amp;"|yN",Aux_puntos!$1:$1,0))="",NA(),INDEX(Aux_puntos!$A$2:$OJ$901,257,MATCH($B$2&amp;"|yN",Aux_puntos!$1:$1,0))),NA())</f>
        <v>#N/A</v>
      </c>
    </row>
    <row r="262" spans="29:36" x14ac:dyDescent="0.3">
      <c r="AC262" t="e">
        <f>IFERROR(IF(INDEX(Aux_puntos!$A$2:$OJ$901,258,MATCH($B$2&amp;"|xK",Aux_puntos!$1:$1,0))="",NA(),INDEX(Aux_puntos!$A$2:$OJ$901,258,MATCH($B$2&amp;"|xK",Aux_puntos!$1:$1,0))),NA())</f>
        <v>#N/A</v>
      </c>
      <c r="AD262" t="e">
        <f>IFERROR(IF(INDEX(Aux_puntos!$A$2:$OJ$901,258,MATCH($B$2&amp;"|yK",Aux_puntos!$1:$1,0))="",NA(),INDEX(Aux_puntos!$A$2:$OJ$901,258,MATCH($B$2&amp;"|yK",Aux_puntos!$1:$1,0))),NA())</f>
        <v>#N/A</v>
      </c>
      <c r="AE262" t="e">
        <f>IFERROR(IF(INDEX(Aux_puntos!$A$2:$OJ$901,258,MATCH($B$2&amp;"|xC",Aux_puntos!$1:$1,0))="",NA(),INDEX(Aux_puntos!$A$2:$OJ$901,258,MATCH($B$2&amp;"|xC",Aux_puntos!$1:$1,0))),NA())</f>
        <v>#N/A</v>
      </c>
      <c r="AF262" t="e">
        <f>IFERROR(IF(INDEX(Aux_puntos!$A$2:$OJ$901,258,MATCH($B$2&amp;"|yC",Aux_puntos!$1:$1,0))="",NA(),INDEX(Aux_puntos!$A$2:$OJ$901,258,MATCH($B$2&amp;"|yC",Aux_puntos!$1:$1,0))),NA())</f>
        <v>#N/A</v>
      </c>
      <c r="AG262" t="e">
        <f>IFERROR(IF(INDEX(Aux_puntos!$A$2:$OJ$901,258,MATCH($B$2&amp;"|xI",Aux_puntos!$1:$1,0))="",NA(),INDEX(Aux_puntos!$A$2:$OJ$901,258,MATCH($B$2&amp;"|xI",Aux_puntos!$1:$1,0))),NA())</f>
        <v>#N/A</v>
      </c>
      <c r="AH262" t="e">
        <f>IFERROR(IF(INDEX(Aux_puntos!$A$2:$OJ$901,258,MATCH($B$2&amp;"|yI",Aux_puntos!$1:$1,0))="",NA(),INDEX(Aux_puntos!$A$2:$OJ$901,258,MATCH($B$2&amp;"|yI",Aux_puntos!$1:$1,0))),NA())</f>
        <v>#N/A</v>
      </c>
      <c r="AI262" t="e">
        <f>IFERROR(IF(INDEX(Aux_puntos!$A$2:$OJ$901,258,MATCH($B$2&amp;"|xN",Aux_puntos!$1:$1,0))="",NA(),INDEX(Aux_puntos!$A$2:$OJ$901,258,MATCH($B$2&amp;"|xN",Aux_puntos!$1:$1,0))),NA())</f>
        <v>#N/A</v>
      </c>
      <c r="AJ262" t="e">
        <f>IFERROR(IF(INDEX(Aux_puntos!$A$2:$OJ$901,258,MATCH($B$2&amp;"|yN",Aux_puntos!$1:$1,0))="",NA(),INDEX(Aux_puntos!$A$2:$OJ$901,258,MATCH($B$2&amp;"|yN",Aux_puntos!$1:$1,0))),NA())</f>
        <v>#N/A</v>
      </c>
    </row>
    <row r="263" spans="29:36" x14ac:dyDescent="0.3">
      <c r="AC263" t="e">
        <f>IFERROR(IF(INDEX(Aux_puntos!$A$2:$OJ$901,259,MATCH($B$2&amp;"|xK",Aux_puntos!$1:$1,0))="",NA(),INDEX(Aux_puntos!$A$2:$OJ$901,259,MATCH($B$2&amp;"|xK",Aux_puntos!$1:$1,0))),NA())</f>
        <v>#N/A</v>
      </c>
      <c r="AD263" t="e">
        <f>IFERROR(IF(INDEX(Aux_puntos!$A$2:$OJ$901,259,MATCH($B$2&amp;"|yK",Aux_puntos!$1:$1,0))="",NA(),INDEX(Aux_puntos!$A$2:$OJ$901,259,MATCH($B$2&amp;"|yK",Aux_puntos!$1:$1,0))),NA())</f>
        <v>#N/A</v>
      </c>
      <c r="AE263" t="e">
        <f>IFERROR(IF(INDEX(Aux_puntos!$A$2:$OJ$901,259,MATCH($B$2&amp;"|xC",Aux_puntos!$1:$1,0))="",NA(),INDEX(Aux_puntos!$A$2:$OJ$901,259,MATCH($B$2&amp;"|xC",Aux_puntos!$1:$1,0))),NA())</f>
        <v>#N/A</v>
      </c>
      <c r="AF263" t="e">
        <f>IFERROR(IF(INDEX(Aux_puntos!$A$2:$OJ$901,259,MATCH($B$2&amp;"|yC",Aux_puntos!$1:$1,0))="",NA(),INDEX(Aux_puntos!$A$2:$OJ$901,259,MATCH($B$2&amp;"|yC",Aux_puntos!$1:$1,0))),NA())</f>
        <v>#N/A</v>
      </c>
      <c r="AG263" t="e">
        <f>IFERROR(IF(INDEX(Aux_puntos!$A$2:$OJ$901,259,MATCH($B$2&amp;"|xI",Aux_puntos!$1:$1,0))="",NA(),INDEX(Aux_puntos!$A$2:$OJ$901,259,MATCH($B$2&amp;"|xI",Aux_puntos!$1:$1,0))),NA())</f>
        <v>#N/A</v>
      </c>
      <c r="AH263" t="e">
        <f>IFERROR(IF(INDEX(Aux_puntos!$A$2:$OJ$901,259,MATCH($B$2&amp;"|yI",Aux_puntos!$1:$1,0))="",NA(),INDEX(Aux_puntos!$A$2:$OJ$901,259,MATCH($B$2&amp;"|yI",Aux_puntos!$1:$1,0))),NA())</f>
        <v>#N/A</v>
      </c>
      <c r="AI263" t="e">
        <f>IFERROR(IF(INDEX(Aux_puntos!$A$2:$OJ$901,259,MATCH($B$2&amp;"|xN",Aux_puntos!$1:$1,0))="",NA(),INDEX(Aux_puntos!$A$2:$OJ$901,259,MATCH($B$2&amp;"|xN",Aux_puntos!$1:$1,0))),NA())</f>
        <v>#N/A</v>
      </c>
      <c r="AJ263" t="e">
        <f>IFERROR(IF(INDEX(Aux_puntos!$A$2:$OJ$901,259,MATCH($B$2&amp;"|yN",Aux_puntos!$1:$1,0))="",NA(),INDEX(Aux_puntos!$A$2:$OJ$901,259,MATCH($B$2&amp;"|yN",Aux_puntos!$1:$1,0))),NA())</f>
        <v>#N/A</v>
      </c>
    </row>
    <row r="264" spans="29:36" x14ac:dyDescent="0.3">
      <c r="AC264" t="e">
        <f>IFERROR(IF(INDEX(Aux_puntos!$A$2:$OJ$901,260,MATCH($B$2&amp;"|xK",Aux_puntos!$1:$1,0))="",NA(),INDEX(Aux_puntos!$A$2:$OJ$901,260,MATCH($B$2&amp;"|xK",Aux_puntos!$1:$1,0))),NA())</f>
        <v>#N/A</v>
      </c>
      <c r="AD264" t="e">
        <f>IFERROR(IF(INDEX(Aux_puntos!$A$2:$OJ$901,260,MATCH($B$2&amp;"|yK",Aux_puntos!$1:$1,0))="",NA(),INDEX(Aux_puntos!$A$2:$OJ$901,260,MATCH($B$2&amp;"|yK",Aux_puntos!$1:$1,0))),NA())</f>
        <v>#N/A</v>
      </c>
      <c r="AE264" t="e">
        <f>IFERROR(IF(INDEX(Aux_puntos!$A$2:$OJ$901,260,MATCH($B$2&amp;"|xC",Aux_puntos!$1:$1,0))="",NA(),INDEX(Aux_puntos!$A$2:$OJ$901,260,MATCH($B$2&amp;"|xC",Aux_puntos!$1:$1,0))),NA())</f>
        <v>#N/A</v>
      </c>
      <c r="AF264" t="e">
        <f>IFERROR(IF(INDEX(Aux_puntos!$A$2:$OJ$901,260,MATCH($B$2&amp;"|yC",Aux_puntos!$1:$1,0))="",NA(),INDEX(Aux_puntos!$A$2:$OJ$901,260,MATCH($B$2&amp;"|yC",Aux_puntos!$1:$1,0))),NA())</f>
        <v>#N/A</v>
      </c>
      <c r="AG264" t="e">
        <f>IFERROR(IF(INDEX(Aux_puntos!$A$2:$OJ$901,260,MATCH($B$2&amp;"|xI",Aux_puntos!$1:$1,0))="",NA(),INDEX(Aux_puntos!$A$2:$OJ$901,260,MATCH($B$2&amp;"|xI",Aux_puntos!$1:$1,0))),NA())</f>
        <v>#N/A</v>
      </c>
      <c r="AH264" t="e">
        <f>IFERROR(IF(INDEX(Aux_puntos!$A$2:$OJ$901,260,MATCH($B$2&amp;"|yI",Aux_puntos!$1:$1,0))="",NA(),INDEX(Aux_puntos!$A$2:$OJ$901,260,MATCH($B$2&amp;"|yI",Aux_puntos!$1:$1,0))),NA())</f>
        <v>#N/A</v>
      </c>
      <c r="AI264" t="e">
        <f>IFERROR(IF(INDEX(Aux_puntos!$A$2:$OJ$901,260,MATCH($B$2&amp;"|xN",Aux_puntos!$1:$1,0))="",NA(),INDEX(Aux_puntos!$A$2:$OJ$901,260,MATCH($B$2&amp;"|xN",Aux_puntos!$1:$1,0))),NA())</f>
        <v>#N/A</v>
      </c>
      <c r="AJ264" t="e">
        <f>IFERROR(IF(INDEX(Aux_puntos!$A$2:$OJ$901,260,MATCH($B$2&amp;"|yN",Aux_puntos!$1:$1,0))="",NA(),INDEX(Aux_puntos!$A$2:$OJ$901,260,MATCH($B$2&amp;"|yN",Aux_puntos!$1:$1,0))),NA())</f>
        <v>#N/A</v>
      </c>
    </row>
    <row r="265" spans="29:36" x14ac:dyDescent="0.3">
      <c r="AC265" t="e">
        <f>IFERROR(IF(INDEX(Aux_puntos!$A$2:$OJ$901,261,MATCH($B$2&amp;"|xK",Aux_puntos!$1:$1,0))="",NA(),INDEX(Aux_puntos!$A$2:$OJ$901,261,MATCH($B$2&amp;"|xK",Aux_puntos!$1:$1,0))),NA())</f>
        <v>#N/A</v>
      </c>
      <c r="AD265" t="e">
        <f>IFERROR(IF(INDEX(Aux_puntos!$A$2:$OJ$901,261,MATCH($B$2&amp;"|yK",Aux_puntos!$1:$1,0))="",NA(),INDEX(Aux_puntos!$A$2:$OJ$901,261,MATCH($B$2&amp;"|yK",Aux_puntos!$1:$1,0))),NA())</f>
        <v>#N/A</v>
      </c>
      <c r="AE265" t="e">
        <f>IFERROR(IF(INDEX(Aux_puntos!$A$2:$OJ$901,261,MATCH($B$2&amp;"|xC",Aux_puntos!$1:$1,0))="",NA(),INDEX(Aux_puntos!$A$2:$OJ$901,261,MATCH($B$2&amp;"|xC",Aux_puntos!$1:$1,0))),NA())</f>
        <v>#N/A</v>
      </c>
      <c r="AF265" t="e">
        <f>IFERROR(IF(INDEX(Aux_puntos!$A$2:$OJ$901,261,MATCH($B$2&amp;"|yC",Aux_puntos!$1:$1,0))="",NA(),INDEX(Aux_puntos!$A$2:$OJ$901,261,MATCH($B$2&amp;"|yC",Aux_puntos!$1:$1,0))),NA())</f>
        <v>#N/A</v>
      </c>
      <c r="AG265" t="e">
        <f>IFERROR(IF(INDEX(Aux_puntos!$A$2:$OJ$901,261,MATCH($B$2&amp;"|xI",Aux_puntos!$1:$1,0))="",NA(),INDEX(Aux_puntos!$A$2:$OJ$901,261,MATCH($B$2&amp;"|xI",Aux_puntos!$1:$1,0))),NA())</f>
        <v>#N/A</v>
      </c>
      <c r="AH265" t="e">
        <f>IFERROR(IF(INDEX(Aux_puntos!$A$2:$OJ$901,261,MATCH($B$2&amp;"|yI",Aux_puntos!$1:$1,0))="",NA(),INDEX(Aux_puntos!$A$2:$OJ$901,261,MATCH($B$2&amp;"|yI",Aux_puntos!$1:$1,0))),NA())</f>
        <v>#N/A</v>
      </c>
      <c r="AI265" t="e">
        <f>IFERROR(IF(INDEX(Aux_puntos!$A$2:$OJ$901,261,MATCH($B$2&amp;"|xN",Aux_puntos!$1:$1,0))="",NA(),INDEX(Aux_puntos!$A$2:$OJ$901,261,MATCH($B$2&amp;"|xN",Aux_puntos!$1:$1,0))),NA())</f>
        <v>#N/A</v>
      </c>
      <c r="AJ265" t="e">
        <f>IFERROR(IF(INDEX(Aux_puntos!$A$2:$OJ$901,261,MATCH($B$2&amp;"|yN",Aux_puntos!$1:$1,0))="",NA(),INDEX(Aux_puntos!$A$2:$OJ$901,261,MATCH($B$2&amp;"|yN",Aux_puntos!$1:$1,0))),NA())</f>
        <v>#N/A</v>
      </c>
    </row>
    <row r="266" spans="29:36" x14ac:dyDescent="0.3">
      <c r="AC266" t="e">
        <f>IFERROR(IF(INDEX(Aux_puntos!$A$2:$OJ$901,262,MATCH($B$2&amp;"|xK",Aux_puntos!$1:$1,0))="",NA(),INDEX(Aux_puntos!$A$2:$OJ$901,262,MATCH($B$2&amp;"|xK",Aux_puntos!$1:$1,0))),NA())</f>
        <v>#N/A</v>
      </c>
      <c r="AD266" t="e">
        <f>IFERROR(IF(INDEX(Aux_puntos!$A$2:$OJ$901,262,MATCH($B$2&amp;"|yK",Aux_puntos!$1:$1,0))="",NA(),INDEX(Aux_puntos!$A$2:$OJ$901,262,MATCH($B$2&amp;"|yK",Aux_puntos!$1:$1,0))),NA())</f>
        <v>#N/A</v>
      </c>
      <c r="AE266" t="e">
        <f>IFERROR(IF(INDEX(Aux_puntos!$A$2:$OJ$901,262,MATCH($B$2&amp;"|xC",Aux_puntos!$1:$1,0))="",NA(),INDEX(Aux_puntos!$A$2:$OJ$901,262,MATCH($B$2&amp;"|xC",Aux_puntos!$1:$1,0))),NA())</f>
        <v>#N/A</v>
      </c>
      <c r="AF266" t="e">
        <f>IFERROR(IF(INDEX(Aux_puntos!$A$2:$OJ$901,262,MATCH($B$2&amp;"|yC",Aux_puntos!$1:$1,0))="",NA(),INDEX(Aux_puntos!$A$2:$OJ$901,262,MATCH($B$2&amp;"|yC",Aux_puntos!$1:$1,0))),NA())</f>
        <v>#N/A</v>
      </c>
      <c r="AG266" t="e">
        <f>IFERROR(IF(INDEX(Aux_puntos!$A$2:$OJ$901,262,MATCH($B$2&amp;"|xI",Aux_puntos!$1:$1,0))="",NA(),INDEX(Aux_puntos!$A$2:$OJ$901,262,MATCH($B$2&amp;"|xI",Aux_puntos!$1:$1,0))),NA())</f>
        <v>#N/A</v>
      </c>
      <c r="AH266" t="e">
        <f>IFERROR(IF(INDEX(Aux_puntos!$A$2:$OJ$901,262,MATCH($B$2&amp;"|yI",Aux_puntos!$1:$1,0))="",NA(),INDEX(Aux_puntos!$A$2:$OJ$901,262,MATCH($B$2&amp;"|yI",Aux_puntos!$1:$1,0))),NA())</f>
        <v>#N/A</v>
      </c>
      <c r="AI266" t="e">
        <f>IFERROR(IF(INDEX(Aux_puntos!$A$2:$OJ$901,262,MATCH($B$2&amp;"|xN",Aux_puntos!$1:$1,0))="",NA(),INDEX(Aux_puntos!$A$2:$OJ$901,262,MATCH($B$2&amp;"|xN",Aux_puntos!$1:$1,0))),NA())</f>
        <v>#N/A</v>
      </c>
      <c r="AJ266" t="e">
        <f>IFERROR(IF(INDEX(Aux_puntos!$A$2:$OJ$901,262,MATCH($B$2&amp;"|yN",Aux_puntos!$1:$1,0))="",NA(),INDEX(Aux_puntos!$A$2:$OJ$901,262,MATCH($B$2&amp;"|yN",Aux_puntos!$1:$1,0))),NA())</f>
        <v>#N/A</v>
      </c>
    </row>
    <row r="267" spans="29:36" x14ac:dyDescent="0.3">
      <c r="AC267" t="e">
        <f>IFERROR(IF(INDEX(Aux_puntos!$A$2:$OJ$901,263,MATCH($B$2&amp;"|xK",Aux_puntos!$1:$1,0))="",NA(),INDEX(Aux_puntos!$A$2:$OJ$901,263,MATCH($B$2&amp;"|xK",Aux_puntos!$1:$1,0))),NA())</f>
        <v>#N/A</v>
      </c>
      <c r="AD267" t="e">
        <f>IFERROR(IF(INDEX(Aux_puntos!$A$2:$OJ$901,263,MATCH($B$2&amp;"|yK",Aux_puntos!$1:$1,0))="",NA(),INDEX(Aux_puntos!$A$2:$OJ$901,263,MATCH($B$2&amp;"|yK",Aux_puntos!$1:$1,0))),NA())</f>
        <v>#N/A</v>
      </c>
      <c r="AE267" t="e">
        <f>IFERROR(IF(INDEX(Aux_puntos!$A$2:$OJ$901,263,MATCH($B$2&amp;"|xC",Aux_puntos!$1:$1,0))="",NA(),INDEX(Aux_puntos!$A$2:$OJ$901,263,MATCH($B$2&amp;"|xC",Aux_puntos!$1:$1,0))),NA())</f>
        <v>#N/A</v>
      </c>
      <c r="AF267" t="e">
        <f>IFERROR(IF(INDEX(Aux_puntos!$A$2:$OJ$901,263,MATCH($B$2&amp;"|yC",Aux_puntos!$1:$1,0))="",NA(),INDEX(Aux_puntos!$A$2:$OJ$901,263,MATCH($B$2&amp;"|yC",Aux_puntos!$1:$1,0))),NA())</f>
        <v>#N/A</v>
      </c>
      <c r="AG267" t="e">
        <f>IFERROR(IF(INDEX(Aux_puntos!$A$2:$OJ$901,263,MATCH($B$2&amp;"|xI",Aux_puntos!$1:$1,0))="",NA(),INDEX(Aux_puntos!$A$2:$OJ$901,263,MATCH($B$2&amp;"|xI",Aux_puntos!$1:$1,0))),NA())</f>
        <v>#N/A</v>
      </c>
      <c r="AH267" t="e">
        <f>IFERROR(IF(INDEX(Aux_puntos!$A$2:$OJ$901,263,MATCH($B$2&amp;"|yI",Aux_puntos!$1:$1,0))="",NA(),INDEX(Aux_puntos!$A$2:$OJ$901,263,MATCH($B$2&amp;"|yI",Aux_puntos!$1:$1,0))),NA())</f>
        <v>#N/A</v>
      </c>
      <c r="AI267" t="e">
        <f>IFERROR(IF(INDEX(Aux_puntos!$A$2:$OJ$901,263,MATCH($B$2&amp;"|xN",Aux_puntos!$1:$1,0))="",NA(),INDEX(Aux_puntos!$A$2:$OJ$901,263,MATCH($B$2&amp;"|xN",Aux_puntos!$1:$1,0))),NA())</f>
        <v>#N/A</v>
      </c>
      <c r="AJ267" t="e">
        <f>IFERROR(IF(INDEX(Aux_puntos!$A$2:$OJ$901,263,MATCH($B$2&amp;"|yN",Aux_puntos!$1:$1,0))="",NA(),INDEX(Aux_puntos!$A$2:$OJ$901,263,MATCH($B$2&amp;"|yN",Aux_puntos!$1:$1,0))),NA())</f>
        <v>#N/A</v>
      </c>
    </row>
    <row r="268" spans="29:36" x14ac:dyDescent="0.3">
      <c r="AC268" t="e">
        <f>IFERROR(IF(INDEX(Aux_puntos!$A$2:$OJ$901,264,MATCH($B$2&amp;"|xK",Aux_puntos!$1:$1,0))="",NA(),INDEX(Aux_puntos!$A$2:$OJ$901,264,MATCH($B$2&amp;"|xK",Aux_puntos!$1:$1,0))),NA())</f>
        <v>#N/A</v>
      </c>
      <c r="AD268" t="e">
        <f>IFERROR(IF(INDEX(Aux_puntos!$A$2:$OJ$901,264,MATCH($B$2&amp;"|yK",Aux_puntos!$1:$1,0))="",NA(),INDEX(Aux_puntos!$A$2:$OJ$901,264,MATCH($B$2&amp;"|yK",Aux_puntos!$1:$1,0))),NA())</f>
        <v>#N/A</v>
      </c>
      <c r="AE268" t="e">
        <f>IFERROR(IF(INDEX(Aux_puntos!$A$2:$OJ$901,264,MATCH($B$2&amp;"|xC",Aux_puntos!$1:$1,0))="",NA(),INDEX(Aux_puntos!$A$2:$OJ$901,264,MATCH($B$2&amp;"|xC",Aux_puntos!$1:$1,0))),NA())</f>
        <v>#N/A</v>
      </c>
      <c r="AF268" t="e">
        <f>IFERROR(IF(INDEX(Aux_puntos!$A$2:$OJ$901,264,MATCH($B$2&amp;"|yC",Aux_puntos!$1:$1,0))="",NA(),INDEX(Aux_puntos!$A$2:$OJ$901,264,MATCH($B$2&amp;"|yC",Aux_puntos!$1:$1,0))),NA())</f>
        <v>#N/A</v>
      </c>
      <c r="AG268" t="e">
        <f>IFERROR(IF(INDEX(Aux_puntos!$A$2:$OJ$901,264,MATCH($B$2&amp;"|xI",Aux_puntos!$1:$1,0))="",NA(),INDEX(Aux_puntos!$A$2:$OJ$901,264,MATCH($B$2&amp;"|xI",Aux_puntos!$1:$1,0))),NA())</f>
        <v>#N/A</v>
      </c>
      <c r="AH268" t="e">
        <f>IFERROR(IF(INDEX(Aux_puntos!$A$2:$OJ$901,264,MATCH($B$2&amp;"|yI",Aux_puntos!$1:$1,0))="",NA(),INDEX(Aux_puntos!$A$2:$OJ$901,264,MATCH($B$2&amp;"|yI",Aux_puntos!$1:$1,0))),NA())</f>
        <v>#N/A</v>
      </c>
      <c r="AI268" t="e">
        <f>IFERROR(IF(INDEX(Aux_puntos!$A$2:$OJ$901,264,MATCH($B$2&amp;"|xN",Aux_puntos!$1:$1,0))="",NA(),INDEX(Aux_puntos!$A$2:$OJ$901,264,MATCH($B$2&amp;"|xN",Aux_puntos!$1:$1,0))),NA())</f>
        <v>#N/A</v>
      </c>
      <c r="AJ268" t="e">
        <f>IFERROR(IF(INDEX(Aux_puntos!$A$2:$OJ$901,264,MATCH($B$2&amp;"|yN",Aux_puntos!$1:$1,0))="",NA(),INDEX(Aux_puntos!$A$2:$OJ$901,264,MATCH($B$2&amp;"|yN",Aux_puntos!$1:$1,0))),NA())</f>
        <v>#N/A</v>
      </c>
    </row>
    <row r="269" spans="29:36" x14ac:dyDescent="0.3">
      <c r="AC269" t="e">
        <f>IFERROR(IF(INDEX(Aux_puntos!$A$2:$OJ$901,265,MATCH($B$2&amp;"|xK",Aux_puntos!$1:$1,0))="",NA(),INDEX(Aux_puntos!$A$2:$OJ$901,265,MATCH($B$2&amp;"|xK",Aux_puntos!$1:$1,0))),NA())</f>
        <v>#N/A</v>
      </c>
      <c r="AD269" t="e">
        <f>IFERROR(IF(INDEX(Aux_puntos!$A$2:$OJ$901,265,MATCH($B$2&amp;"|yK",Aux_puntos!$1:$1,0))="",NA(),INDEX(Aux_puntos!$A$2:$OJ$901,265,MATCH($B$2&amp;"|yK",Aux_puntos!$1:$1,0))),NA())</f>
        <v>#N/A</v>
      </c>
      <c r="AE269" t="e">
        <f>IFERROR(IF(INDEX(Aux_puntos!$A$2:$OJ$901,265,MATCH($B$2&amp;"|xC",Aux_puntos!$1:$1,0))="",NA(),INDEX(Aux_puntos!$A$2:$OJ$901,265,MATCH($B$2&amp;"|xC",Aux_puntos!$1:$1,0))),NA())</f>
        <v>#N/A</v>
      </c>
      <c r="AF269" t="e">
        <f>IFERROR(IF(INDEX(Aux_puntos!$A$2:$OJ$901,265,MATCH($B$2&amp;"|yC",Aux_puntos!$1:$1,0))="",NA(),INDEX(Aux_puntos!$A$2:$OJ$901,265,MATCH($B$2&amp;"|yC",Aux_puntos!$1:$1,0))),NA())</f>
        <v>#N/A</v>
      </c>
      <c r="AG269" t="e">
        <f>IFERROR(IF(INDEX(Aux_puntos!$A$2:$OJ$901,265,MATCH($B$2&amp;"|xI",Aux_puntos!$1:$1,0))="",NA(),INDEX(Aux_puntos!$A$2:$OJ$901,265,MATCH($B$2&amp;"|xI",Aux_puntos!$1:$1,0))),NA())</f>
        <v>#N/A</v>
      </c>
      <c r="AH269" t="e">
        <f>IFERROR(IF(INDEX(Aux_puntos!$A$2:$OJ$901,265,MATCH($B$2&amp;"|yI",Aux_puntos!$1:$1,0))="",NA(),INDEX(Aux_puntos!$A$2:$OJ$901,265,MATCH($B$2&amp;"|yI",Aux_puntos!$1:$1,0))),NA())</f>
        <v>#N/A</v>
      </c>
      <c r="AI269" t="e">
        <f>IFERROR(IF(INDEX(Aux_puntos!$A$2:$OJ$901,265,MATCH($B$2&amp;"|xN",Aux_puntos!$1:$1,0))="",NA(),INDEX(Aux_puntos!$A$2:$OJ$901,265,MATCH($B$2&amp;"|xN",Aux_puntos!$1:$1,0))),NA())</f>
        <v>#N/A</v>
      </c>
      <c r="AJ269" t="e">
        <f>IFERROR(IF(INDEX(Aux_puntos!$A$2:$OJ$901,265,MATCH($B$2&amp;"|yN",Aux_puntos!$1:$1,0))="",NA(),INDEX(Aux_puntos!$A$2:$OJ$901,265,MATCH($B$2&amp;"|yN",Aux_puntos!$1:$1,0))),NA())</f>
        <v>#N/A</v>
      </c>
    </row>
    <row r="270" spans="29:36" x14ac:dyDescent="0.3">
      <c r="AC270" t="e">
        <f>IFERROR(IF(INDEX(Aux_puntos!$A$2:$OJ$901,266,MATCH($B$2&amp;"|xK",Aux_puntos!$1:$1,0))="",NA(),INDEX(Aux_puntos!$A$2:$OJ$901,266,MATCH($B$2&amp;"|xK",Aux_puntos!$1:$1,0))),NA())</f>
        <v>#N/A</v>
      </c>
      <c r="AD270" t="e">
        <f>IFERROR(IF(INDEX(Aux_puntos!$A$2:$OJ$901,266,MATCH($B$2&amp;"|yK",Aux_puntos!$1:$1,0))="",NA(),INDEX(Aux_puntos!$A$2:$OJ$901,266,MATCH($B$2&amp;"|yK",Aux_puntos!$1:$1,0))),NA())</f>
        <v>#N/A</v>
      </c>
      <c r="AE270" t="e">
        <f>IFERROR(IF(INDEX(Aux_puntos!$A$2:$OJ$901,266,MATCH($B$2&amp;"|xC",Aux_puntos!$1:$1,0))="",NA(),INDEX(Aux_puntos!$A$2:$OJ$901,266,MATCH($B$2&amp;"|xC",Aux_puntos!$1:$1,0))),NA())</f>
        <v>#N/A</v>
      </c>
      <c r="AF270" t="e">
        <f>IFERROR(IF(INDEX(Aux_puntos!$A$2:$OJ$901,266,MATCH($B$2&amp;"|yC",Aux_puntos!$1:$1,0))="",NA(),INDEX(Aux_puntos!$A$2:$OJ$901,266,MATCH($B$2&amp;"|yC",Aux_puntos!$1:$1,0))),NA())</f>
        <v>#N/A</v>
      </c>
      <c r="AG270" t="e">
        <f>IFERROR(IF(INDEX(Aux_puntos!$A$2:$OJ$901,266,MATCH($B$2&amp;"|xI",Aux_puntos!$1:$1,0))="",NA(),INDEX(Aux_puntos!$A$2:$OJ$901,266,MATCH($B$2&amp;"|xI",Aux_puntos!$1:$1,0))),NA())</f>
        <v>#N/A</v>
      </c>
      <c r="AH270" t="e">
        <f>IFERROR(IF(INDEX(Aux_puntos!$A$2:$OJ$901,266,MATCH($B$2&amp;"|yI",Aux_puntos!$1:$1,0))="",NA(),INDEX(Aux_puntos!$A$2:$OJ$901,266,MATCH($B$2&amp;"|yI",Aux_puntos!$1:$1,0))),NA())</f>
        <v>#N/A</v>
      </c>
      <c r="AI270" t="e">
        <f>IFERROR(IF(INDEX(Aux_puntos!$A$2:$OJ$901,266,MATCH($B$2&amp;"|xN",Aux_puntos!$1:$1,0))="",NA(),INDEX(Aux_puntos!$A$2:$OJ$901,266,MATCH($B$2&amp;"|xN",Aux_puntos!$1:$1,0))),NA())</f>
        <v>#N/A</v>
      </c>
      <c r="AJ270" t="e">
        <f>IFERROR(IF(INDEX(Aux_puntos!$A$2:$OJ$901,266,MATCH($B$2&amp;"|yN",Aux_puntos!$1:$1,0))="",NA(),INDEX(Aux_puntos!$A$2:$OJ$901,266,MATCH($B$2&amp;"|yN",Aux_puntos!$1:$1,0))),NA())</f>
        <v>#N/A</v>
      </c>
    </row>
    <row r="271" spans="29:36" x14ac:dyDescent="0.3">
      <c r="AC271" t="e">
        <f>IFERROR(IF(INDEX(Aux_puntos!$A$2:$OJ$901,267,MATCH($B$2&amp;"|xK",Aux_puntos!$1:$1,0))="",NA(),INDEX(Aux_puntos!$A$2:$OJ$901,267,MATCH($B$2&amp;"|xK",Aux_puntos!$1:$1,0))),NA())</f>
        <v>#N/A</v>
      </c>
      <c r="AD271" t="e">
        <f>IFERROR(IF(INDEX(Aux_puntos!$A$2:$OJ$901,267,MATCH($B$2&amp;"|yK",Aux_puntos!$1:$1,0))="",NA(),INDEX(Aux_puntos!$A$2:$OJ$901,267,MATCH($B$2&amp;"|yK",Aux_puntos!$1:$1,0))),NA())</f>
        <v>#N/A</v>
      </c>
      <c r="AE271" t="e">
        <f>IFERROR(IF(INDEX(Aux_puntos!$A$2:$OJ$901,267,MATCH($B$2&amp;"|xC",Aux_puntos!$1:$1,0))="",NA(),INDEX(Aux_puntos!$A$2:$OJ$901,267,MATCH($B$2&amp;"|xC",Aux_puntos!$1:$1,0))),NA())</f>
        <v>#N/A</v>
      </c>
      <c r="AF271" t="e">
        <f>IFERROR(IF(INDEX(Aux_puntos!$A$2:$OJ$901,267,MATCH($B$2&amp;"|yC",Aux_puntos!$1:$1,0))="",NA(),INDEX(Aux_puntos!$A$2:$OJ$901,267,MATCH($B$2&amp;"|yC",Aux_puntos!$1:$1,0))),NA())</f>
        <v>#N/A</v>
      </c>
      <c r="AG271" t="e">
        <f>IFERROR(IF(INDEX(Aux_puntos!$A$2:$OJ$901,267,MATCH($B$2&amp;"|xI",Aux_puntos!$1:$1,0))="",NA(),INDEX(Aux_puntos!$A$2:$OJ$901,267,MATCH($B$2&amp;"|xI",Aux_puntos!$1:$1,0))),NA())</f>
        <v>#N/A</v>
      </c>
      <c r="AH271" t="e">
        <f>IFERROR(IF(INDEX(Aux_puntos!$A$2:$OJ$901,267,MATCH($B$2&amp;"|yI",Aux_puntos!$1:$1,0))="",NA(),INDEX(Aux_puntos!$A$2:$OJ$901,267,MATCH($B$2&amp;"|yI",Aux_puntos!$1:$1,0))),NA())</f>
        <v>#N/A</v>
      </c>
      <c r="AI271" t="e">
        <f>IFERROR(IF(INDEX(Aux_puntos!$A$2:$OJ$901,267,MATCH($B$2&amp;"|xN",Aux_puntos!$1:$1,0))="",NA(),INDEX(Aux_puntos!$A$2:$OJ$901,267,MATCH($B$2&amp;"|xN",Aux_puntos!$1:$1,0))),NA())</f>
        <v>#N/A</v>
      </c>
      <c r="AJ271" t="e">
        <f>IFERROR(IF(INDEX(Aux_puntos!$A$2:$OJ$901,267,MATCH($B$2&amp;"|yN",Aux_puntos!$1:$1,0))="",NA(),INDEX(Aux_puntos!$A$2:$OJ$901,267,MATCH($B$2&amp;"|yN",Aux_puntos!$1:$1,0))),NA())</f>
        <v>#N/A</v>
      </c>
    </row>
    <row r="272" spans="29:36" x14ac:dyDescent="0.3">
      <c r="AC272" t="e">
        <f>IFERROR(IF(INDEX(Aux_puntos!$A$2:$OJ$901,268,MATCH($B$2&amp;"|xK",Aux_puntos!$1:$1,0))="",NA(),INDEX(Aux_puntos!$A$2:$OJ$901,268,MATCH($B$2&amp;"|xK",Aux_puntos!$1:$1,0))),NA())</f>
        <v>#N/A</v>
      </c>
      <c r="AD272" t="e">
        <f>IFERROR(IF(INDEX(Aux_puntos!$A$2:$OJ$901,268,MATCH($B$2&amp;"|yK",Aux_puntos!$1:$1,0))="",NA(),INDEX(Aux_puntos!$A$2:$OJ$901,268,MATCH($B$2&amp;"|yK",Aux_puntos!$1:$1,0))),NA())</f>
        <v>#N/A</v>
      </c>
      <c r="AE272" t="e">
        <f>IFERROR(IF(INDEX(Aux_puntos!$A$2:$OJ$901,268,MATCH($B$2&amp;"|xC",Aux_puntos!$1:$1,0))="",NA(),INDEX(Aux_puntos!$A$2:$OJ$901,268,MATCH($B$2&amp;"|xC",Aux_puntos!$1:$1,0))),NA())</f>
        <v>#N/A</v>
      </c>
      <c r="AF272" t="e">
        <f>IFERROR(IF(INDEX(Aux_puntos!$A$2:$OJ$901,268,MATCH($B$2&amp;"|yC",Aux_puntos!$1:$1,0))="",NA(),INDEX(Aux_puntos!$A$2:$OJ$901,268,MATCH($B$2&amp;"|yC",Aux_puntos!$1:$1,0))),NA())</f>
        <v>#N/A</v>
      </c>
      <c r="AG272" t="e">
        <f>IFERROR(IF(INDEX(Aux_puntos!$A$2:$OJ$901,268,MATCH($B$2&amp;"|xI",Aux_puntos!$1:$1,0))="",NA(),INDEX(Aux_puntos!$A$2:$OJ$901,268,MATCH($B$2&amp;"|xI",Aux_puntos!$1:$1,0))),NA())</f>
        <v>#N/A</v>
      </c>
      <c r="AH272" t="e">
        <f>IFERROR(IF(INDEX(Aux_puntos!$A$2:$OJ$901,268,MATCH($B$2&amp;"|yI",Aux_puntos!$1:$1,0))="",NA(),INDEX(Aux_puntos!$A$2:$OJ$901,268,MATCH($B$2&amp;"|yI",Aux_puntos!$1:$1,0))),NA())</f>
        <v>#N/A</v>
      </c>
      <c r="AI272" t="e">
        <f>IFERROR(IF(INDEX(Aux_puntos!$A$2:$OJ$901,268,MATCH($B$2&amp;"|xN",Aux_puntos!$1:$1,0))="",NA(),INDEX(Aux_puntos!$A$2:$OJ$901,268,MATCH($B$2&amp;"|xN",Aux_puntos!$1:$1,0))),NA())</f>
        <v>#N/A</v>
      </c>
      <c r="AJ272" t="e">
        <f>IFERROR(IF(INDEX(Aux_puntos!$A$2:$OJ$901,268,MATCH($B$2&amp;"|yN",Aux_puntos!$1:$1,0))="",NA(),INDEX(Aux_puntos!$A$2:$OJ$901,268,MATCH($B$2&amp;"|yN",Aux_puntos!$1:$1,0))),NA())</f>
        <v>#N/A</v>
      </c>
    </row>
    <row r="273" spans="29:36" x14ac:dyDescent="0.3">
      <c r="AC273" t="e">
        <f>IFERROR(IF(INDEX(Aux_puntos!$A$2:$OJ$901,269,MATCH($B$2&amp;"|xK",Aux_puntos!$1:$1,0))="",NA(),INDEX(Aux_puntos!$A$2:$OJ$901,269,MATCH($B$2&amp;"|xK",Aux_puntos!$1:$1,0))),NA())</f>
        <v>#N/A</v>
      </c>
      <c r="AD273" t="e">
        <f>IFERROR(IF(INDEX(Aux_puntos!$A$2:$OJ$901,269,MATCH($B$2&amp;"|yK",Aux_puntos!$1:$1,0))="",NA(),INDEX(Aux_puntos!$A$2:$OJ$901,269,MATCH($B$2&amp;"|yK",Aux_puntos!$1:$1,0))),NA())</f>
        <v>#N/A</v>
      </c>
      <c r="AE273" t="e">
        <f>IFERROR(IF(INDEX(Aux_puntos!$A$2:$OJ$901,269,MATCH($B$2&amp;"|xC",Aux_puntos!$1:$1,0))="",NA(),INDEX(Aux_puntos!$A$2:$OJ$901,269,MATCH($B$2&amp;"|xC",Aux_puntos!$1:$1,0))),NA())</f>
        <v>#N/A</v>
      </c>
      <c r="AF273" t="e">
        <f>IFERROR(IF(INDEX(Aux_puntos!$A$2:$OJ$901,269,MATCH($B$2&amp;"|yC",Aux_puntos!$1:$1,0))="",NA(),INDEX(Aux_puntos!$A$2:$OJ$901,269,MATCH($B$2&amp;"|yC",Aux_puntos!$1:$1,0))),NA())</f>
        <v>#N/A</v>
      </c>
      <c r="AG273" t="e">
        <f>IFERROR(IF(INDEX(Aux_puntos!$A$2:$OJ$901,269,MATCH($B$2&amp;"|xI",Aux_puntos!$1:$1,0))="",NA(),INDEX(Aux_puntos!$A$2:$OJ$901,269,MATCH($B$2&amp;"|xI",Aux_puntos!$1:$1,0))),NA())</f>
        <v>#N/A</v>
      </c>
      <c r="AH273" t="e">
        <f>IFERROR(IF(INDEX(Aux_puntos!$A$2:$OJ$901,269,MATCH($B$2&amp;"|yI",Aux_puntos!$1:$1,0))="",NA(),INDEX(Aux_puntos!$A$2:$OJ$901,269,MATCH($B$2&amp;"|yI",Aux_puntos!$1:$1,0))),NA())</f>
        <v>#N/A</v>
      </c>
      <c r="AI273" t="e">
        <f>IFERROR(IF(INDEX(Aux_puntos!$A$2:$OJ$901,269,MATCH($B$2&amp;"|xN",Aux_puntos!$1:$1,0))="",NA(),INDEX(Aux_puntos!$A$2:$OJ$901,269,MATCH($B$2&amp;"|xN",Aux_puntos!$1:$1,0))),NA())</f>
        <v>#N/A</v>
      </c>
      <c r="AJ273" t="e">
        <f>IFERROR(IF(INDEX(Aux_puntos!$A$2:$OJ$901,269,MATCH($B$2&amp;"|yN",Aux_puntos!$1:$1,0))="",NA(),INDEX(Aux_puntos!$A$2:$OJ$901,269,MATCH($B$2&amp;"|yN",Aux_puntos!$1:$1,0))),NA())</f>
        <v>#N/A</v>
      </c>
    </row>
    <row r="274" spans="29:36" x14ac:dyDescent="0.3">
      <c r="AC274" t="e">
        <f>IFERROR(IF(INDEX(Aux_puntos!$A$2:$OJ$901,270,MATCH($B$2&amp;"|xK",Aux_puntos!$1:$1,0))="",NA(),INDEX(Aux_puntos!$A$2:$OJ$901,270,MATCH($B$2&amp;"|xK",Aux_puntos!$1:$1,0))),NA())</f>
        <v>#N/A</v>
      </c>
      <c r="AD274" t="e">
        <f>IFERROR(IF(INDEX(Aux_puntos!$A$2:$OJ$901,270,MATCH($B$2&amp;"|yK",Aux_puntos!$1:$1,0))="",NA(),INDEX(Aux_puntos!$A$2:$OJ$901,270,MATCH($B$2&amp;"|yK",Aux_puntos!$1:$1,0))),NA())</f>
        <v>#N/A</v>
      </c>
      <c r="AE274" t="e">
        <f>IFERROR(IF(INDEX(Aux_puntos!$A$2:$OJ$901,270,MATCH($B$2&amp;"|xC",Aux_puntos!$1:$1,0))="",NA(),INDEX(Aux_puntos!$A$2:$OJ$901,270,MATCH($B$2&amp;"|xC",Aux_puntos!$1:$1,0))),NA())</f>
        <v>#N/A</v>
      </c>
      <c r="AF274" t="e">
        <f>IFERROR(IF(INDEX(Aux_puntos!$A$2:$OJ$901,270,MATCH($B$2&amp;"|yC",Aux_puntos!$1:$1,0))="",NA(),INDEX(Aux_puntos!$A$2:$OJ$901,270,MATCH($B$2&amp;"|yC",Aux_puntos!$1:$1,0))),NA())</f>
        <v>#N/A</v>
      </c>
      <c r="AG274" t="e">
        <f>IFERROR(IF(INDEX(Aux_puntos!$A$2:$OJ$901,270,MATCH($B$2&amp;"|xI",Aux_puntos!$1:$1,0))="",NA(),INDEX(Aux_puntos!$A$2:$OJ$901,270,MATCH($B$2&amp;"|xI",Aux_puntos!$1:$1,0))),NA())</f>
        <v>#N/A</v>
      </c>
      <c r="AH274" t="e">
        <f>IFERROR(IF(INDEX(Aux_puntos!$A$2:$OJ$901,270,MATCH($B$2&amp;"|yI",Aux_puntos!$1:$1,0))="",NA(),INDEX(Aux_puntos!$A$2:$OJ$901,270,MATCH($B$2&amp;"|yI",Aux_puntos!$1:$1,0))),NA())</f>
        <v>#N/A</v>
      </c>
      <c r="AI274" t="e">
        <f>IFERROR(IF(INDEX(Aux_puntos!$A$2:$OJ$901,270,MATCH($B$2&amp;"|xN",Aux_puntos!$1:$1,0))="",NA(),INDEX(Aux_puntos!$A$2:$OJ$901,270,MATCH($B$2&amp;"|xN",Aux_puntos!$1:$1,0))),NA())</f>
        <v>#N/A</v>
      </c>
      <c r="AJ274" t="e">
        <f>IFERROR(IF(INDEX(Aux_puntos!$A$2:$OJ$901,270,MATCH($B$2&amp;"|yN",Aux_puntos!$1:$1,0))="",NA(),INDEX(Aux_puntos!$A$2:$OJ$901,270,MATCH($B$2&amp;"|yN",Aux_puntos!$1:$1,0))),NA())</f>
        <v>#N/A</v>
      </c>
    </row>
    <row r="275" spans="29:36" x14ac:dyDescent="0.3">
      <c r="AC275" t="e">
        <f>IFERROR(IF(INDEX(Aux_puntos!$A$2:$OJ$901,271,MATCH($B$2&amp;"|xK",Aux_puntos!$1:$1,0))="",NA(),INDEX(Aux_puntos!$A$2:$OJ$901,271,MATCH($B$2&amp;"|xK",Aux_puntos!$1:$1,0))),NA())</f>
        <v>#N/A</v>
      </c>
      <c r="AD275" t="e">
        <f>IFERROR(IF(INDEX(Aux_puntos!$A$2:$OJ$901,271,MATCH($B$2&amp;"|yK",Aux_puntos!$1:$1,0))="",NA(),INDEX(Aux_puntos!$A$2:$OJ$901,271,MATCH($B$2&amp;"|yK",Aux_puntos!$1:$1,0))),NA())</f>
        <v>#N/A</v>
      </c>
      <c r="AE275" t="e">
        <f>IFERROR(IF(INDEX(Aux_puntos!$A$2:$OJ$901,271,MATCH($B$2&amp;"|xC",Aux_puntos!$1:$1,0))="",NA(),INDEX(Aux_puntos!$A$2:$OJ$901,271,MATCH($B$2&amp;"|xC",Aux_puntos!$1:$1,0))),NA())</f>
        <v>#N/A</v>
      </c>
      <c r="AF275" t="e">
        <f>IFERROR(IF(INDEX(Aux_puntos!$A$2:$OJ$901,271,MATCH($B$2&amp;"|yC",Aux_puntos!$1:$1,0))="",NA(),INDEX(Aux_puntos!$A$2:$OJ$901,271,MATCH($B$2&amp;"|yC",Aux_puntos!$1:$1,0))),NA())</f>
        <v>#N/A</v>
      </c>
      <c r="AG275" t="e">
        <f>IFERROR(IF(INDEX(Aux_puntos!$A$2:$OJ$901,271,MATCH($B$2&amp;"|xI",Aux_puntos!$1:$1,0))="",NA(),INDEX(Aux_puntos!$A$2:$OJ$901,271,MATCH($B$2&amp;"|xI",Aux_puntos!$1:$1,0))),NA())</f>
        <v>#N/A</v>
      </c>
      <c r="AH275" t="e">
        <f>IFERROR(IF(INDEX(Aux_puntos!$A$2:$OJ$901,271,MATCH($B$2&amp;"|yI",Aux_puntos!$1:$1,0))="",NA(),INDEX(Aux_puntos!$A$2:$OJ$901,271,MATCH($B$2&amp;"|yI",Aux_puntos!$1:$1,0))),NA())</f>
        <v>#N/A</v>
      </c>
      <c r="AI275" t="e">
        <f>IFERROR(IF(INDEX(Aux_puntos!$A$2:$OJ$901,271,MATCH($B$2&amp;"|xN",Aux_puntos!$1:$1,0))="",NA(),INDEX(Aux_puntos!$A$2:$OJ$901,271,MATCH($B$2&amp;"|xN",Aux_puntos!$1:$1,0))),NA())</f>
        <v>#N/A</v>
      </c>
      <c r="AJ275" t="e">
        <f>IFERROR(IF(INDEX(Aux_puntos!$A$2:$OJ$901,271,MATCH($B$2&amp;"|yN",Aux_puntos!$1:$1,0))="",NA(),INDEX(Aux_puntos!$A$2:$OJ$901,271,MATCH($B$2&amp;"|yN",Aux_puntos!$1:$1,0))),NA())</f>
        <v>#N/A</v>
      </c>
    </row>
    <row r="276" spans="29:36" x14ac:dyDescent="0.3">
      <c r="AC276" t="e">
        <f>IFERROR(IF(INDEX(Aux_puntos!$A$2:$OJ$901,272,MATCH($B$2&amp;"|xK",Aux_puntos!$1:$1,0))="",NA(),INDEX(Aux_puntos!$A$2:$OJ$901,272,MATCH($B$2&amp;"|xK",Aux_puntos!$1:$1,0))),NA())</f>
        <v>#N/A</v>
      </c>
      <c r="AD276" t="e">
        <f>IFERROR(IF(INDEX(Aux_puntos!$A$2:$OJ$901,272,MATCH($B$2&amp;"|yK",Aux_puntos!$1:$1,0))="",NA(),INDEX(Aux_puntos!$A$2:$OJ$901,272,MATCH($B$2&amp;"|yK",Aux_puntos!$1:$1,0))),NA())</f>
        <v>#N/A</v>
      </c>
      <c r="AE276" t="e">
        <f>IFERROR(IF(INDEX(Aux_puntos!$A$2:$OJ$901,272,MATCH($B$2&amp;"|xC",Aux_puntos!$1:$1,0))="",NA(),INDEX(Aux_puntos!$A$2:$OJ$901,272,MATCH($B$2&amp;"|xC",Aux_puntos!$1:$1,0))),NA())</f>
        <v>#N/A</v>
      </c>
      <c r="AF276" t="e">
        <f>IFERROR(IF(INDEX(Aux_puntos!$A$2:$OJ$901,272,MATCH($B$2&amp;"|yC",Aux_puntos!$1:$1,0))="",NA(),INDEX(Aux_puntos!$A$2:$OJ$901,272,MATCH($B$2&amp;"|yC",Aux_puntos!$1:$1,0))),NA())</f>
        <v>#N/A</v>
      </c>
      <c r="AG276" t="e">
        <f>IFERROR(IF(INDEX(Aux_puntos!$A$2:$OJ$901,272,MATCH($B$2&amp;"|xI",Aux_puntos!$1:$1,0))="",NA(),INDEX(Aux_puntos!$A$2:$OJ$901,272,MATCH($B$2&amp;"|xI",Aux_puntos!$1:$1,0))),NA())</f>
        <v>#N/A</v>
      </c>
      <c r="AH276" t="e">
        <f>IFERROR(IF(INDEX(Aux_puntos!$A$2:$OJ$901,272,MATCH($B$2&amp;"|yI",Aux_puntos!$1:$1,0))="",NA(),INDEX(Aux_puntos!$A$2:$OJ$901,272,MATCH($B$2&amp;"|yI",Aux_puntos!$1:$1,0))),NA())</f>
        <v>#N/A</v>
      </c>
      <c r="AI276" t="e">
        <f>IFERROR(IF(INDEX(Aux_puntos!$A$2:$OJ$901,272,MATCH($B$2&amp;"|xN",Aux_puntos!$1:$1,0))="",NA(),INDEX(Aux_puntos!$A$2:$OJ$901,272,MATCH($B$2&amp;"|xN",Aux_puntos!$1:$1,0))),NA())</f>
        <v>#N/A</v>
      </c>
      <c r="AJ276" t="e">
        <f>IFERROR(IF(INDEX(Aux_puntos!$A$2:$OJ$901,272,MATCH($B$2&amp;"|yN",Aux_puntos!$1:$1,0))="",NA(),INDEX(Aux_puntos!$A$2:$OJ$901,272,MATCH($B$2&amp;"|yN",Aux_puntos!$1:$1,0))),NA())</f>
        <v>#N/A</v>
      </c>
    </row>
    <row r="277" spans="29:36" x14ac:dyDescent="0.3">
      <c r="AC277" t="e">
        <f>IFERROR(IF(INDEX(Aux_puntos!$A$2:$OJ$901,273,MATCH($B$2&amp;"|xK",Aux_puntos!$1:$1,0))="",NA(),INDEX(Aux_puntos!$A$2:$OJ$901,273,MATCH($B$2&amp;"|xK",Aux_puntos!$1:$1,0))),NA())</f>
        <v>#N/A</v>
      </c>
      <c r="AD277" t="e">
        <f>IFERROR(IF(INDEX(Aux_puntos!$A$2:$OJ$901,273,MATCH($B$2&amp;"|yK",Aux_puntos!$1:$1,0))="",NA(),INDEX(Aux_puntos!$A$2:$OJ$901,273,MATCH($B$2&amp;"|yK",Aux_puntos!$1:$1,0))),NA())</f>
        <v>#N/A</v>
      </c>
      <c r="AE277" t="e">
        <f>IFERROR(IF(INDEX(Aux_puntos!$A$2:$OJ$901,273,MATCH($B$2&amp;"|xC",Aux_puntos!$1:$1,0))="",NA(),INDEX(Aux_puntos!$A$2:$OJ$901,273,MATCH($B$2&amp;"|xC",Aux_puntos!$1:$1,0))),NA())</f>
        <v>#N/A</v>
      </c>
      <c r="AF277" t="e">
        <f>IFERROR(IF(INDEX(Aux_puntos!$A$2:$OJ$901,273,MATCH($B$2&amp;"|yC",Aux_puntos!$1:$1,0))="",NA(),INDEX(Aux_puntos!$A$2:$OJ$901,273,MATCH($B$2&amp;"|yC",Aux_puntos!$1:$1,0))),NA())</f>
        <v>#N/A</v>
      </c>
      <c r="AG277" t="e">
        <f>IFERROR(IF(INDEX(Aux_puntos!$A$2:$OJ$901,273,MATCH($B$2&amp;"|xI",Aux_puntos!$1:$1,0))="",NA(),INDEX(Aux_puntos!$A$2:$OJ$901,273,MATCH($B$2&amp;"|xI",Aux_puntos!$1:$1,0))),NA())</f>
        <v>#N/A</v>
      </c>
      <c r="AH277" t="e">
        <f>IFERROR(IF(INDEX(Aux_puntos!$A$2:$OJ$901,273,MATCH($B$2&amp;"|yI",Aux_puntos!$1:$1,0))="",NA(),INDEX(Aux_puntos!$A$2:$OJ$901,273,MATCH($B$2&amp;"|yI",Aux_puntos!$1:$1,0))),NA())</f>
        <v>#N/A</v>
      </c>
      <c r="AI277" t="e">
        <f>IFERROR(IF(INDEX(Aux_puntos!$A$2:$OJ$901,273,MATCH($B$2&amp;"|xN",Aux_puntos!$1:$1,0))="",NA(),INDEX(Aux_puntos!$A$2:$OJ$901,273,MATCH($B$2&amp;"|xN",Aux_puntos!$1:$1,0))),NA())</f>
        <v>#N/A</v>
      </c>
      <c r="AJ277" t="e">
        <f>IFERROR(IF(INDEX(Aux_puntos!$A$2:$OJ$901,273,MATCH($B$2&amp;"|yN",Aux_puntos!$1:$1,0))="",NA(),INDEX(Aux_puntos!$A$2:$OJ$901,273,MATCH($B$2&amp;"|yN",Aux_puntos!$1:$1,0))),NA())</f>
        <v>#N/A</v>
      </c>
    </row>
    <row r="278" spans="29:36" x14ac:dyDescent="0.3">
      <c r="AC278" t="e">
        <f>IFERROR(IF(INDEX(Aux_puntos!$A$2:$OJ$901,274,MATCH($B$2&amp;"|xK",Aux_puntos!$1:$1,0))="",NA(),INDEX(Aux_puntos!$A$2:$OJ$901,274,MATCH($B$2&amp;"|xK",Aux_puntos!$1:$1,0))),NA())</f>
        <v>#N/A</v>
      </c>
      <c r="AD278" t="e">
        <f>IFERROR(IF(INDEX(Aux_puntos!$A$2:$OJ$901,274,MATCH($B$2&amp;"|yK",Aux_puntos!$1:$1,0))="",NA(),INDEX(Aux_puntos!$A$2:$OJ$901,274,MATCH($B$2&amp;"|yK",Aux_puntos!$1:$1,0))),NA())</f>
        <v>#N/A</v>
      </c>
      <c r="AE278" t="e">
        <f>IFERROR(IF(INDEX(Aux_puntos!$A$2:$OJ$901,274,MATCH($B$2&amp;"|xC",Aux_puntos!$1:$1,0))="",NA(),INDEX(Aux_puntos!$A$2:$OJ$901,274,MATCH($B$2&amp;"|xC",Aux_puntos!$1:$1,0))),NA())</f>
        <v>#N/A</v>
      </c>
      <c r="AF278" t="e">
        <f>IFERROR(IF(INDEX(Aux_puntos!$A$2:$OJ$901,274,MATCH($B$2&amp;"|yC",Aux_puntos!$1:$1,0))="",NA(),INDEX(Aux_puntos!$A$2:$OJ$901,274,MATCH($B$2&amp;"|yC",Aux_puntos!$1:$1,0))),NA())</f>
        <v>#N/A</v>
      </c>
      <c r="AG278" t="e">
        <f>IFERROR(IF(INDEX(Aux_puntos!$A$2:$OJ$901,274,MATCH($B$2&amp;"|xI",Aux_puntos!$1:$1,0))="",NA(),INDEX(Aux_puntos!$A$2:$OJ$901,274,MATCH($B$2&amp;"|xI",Aux_puntos!$1:$1,0))),NA())</f>
        <v>#N/A</v>
      </c>
      <c r="AH278" t="e">
        <f>IFERROR(IF(INDEX(Aux_puntos!$A$2:$OJ$901,274,MATCH($B$2&amp;"|yI",Aux_puntos!$1:$1,0))="",NA(),INDEX(Aux_puntos!$A$2:$OJ$901,274,MATCH($B$2&amp;"|yI",Aux_puntos!$1:$1,0))),NA())</f>
        <v>#N/A</v>
      </c>
      <c r="AI278" t="e">
        <f>IFERROR(IF(INDEX(Aux_puntos!$A$2:$OJ$901,274,MATCH($B$2&amp;"|xN",Aux_puntos!$1:$1,0))="",NA(),INDEX(Aux_puntos!$A$2:$OJ$901,274,MATCH($B$2&amp;"|xN",Aux_puntos!$1:$1,0))),NA())</f>
        <v>#N/A</v>
      </c>
      <c r="AJ278" t="e">
        <f>IFERROR(IF(INDEX(Aux_puntos!$A$2:$OJ$901,274,MATCH($B$2&amp;"|yN",Aux_puntos!$1:$1,0))="",NA(),INDEX(Aux_puntos!$A$2:$OJ$901,274,MATCH($B$2&amp;"|yN",Aux_puntos!$1:$1,0))),NA())</f>
        <v>#N/A</v>
      </c>
    </row>
    <row r="279" spans="29:36" x14ac:dyDescent="0.3">
      <c r="AC279" t="e">
        <f>IFERROR(IF(INDEX(Aux_puntos!$A$2:$OJ$901,275,MATCH($B$2&amp;"|xK",Aux_puntos!$1:$1,0))="",NA(),INDEX(Aux_puntos!$A$2:$OJ$901,275,MATCH($B$2&amp;"|xK",Aux_puntos!$1:$1,0))),NA())</f>
        <v>#N/A</v>
      </c>
      <c r="AD279" t="e">
        <f>IFERROR(IF(INDEX(Aux_puntos!$A$2:$OJ$901,275,MATCH($B$2&amp;"|yK",Aux_puntos!$1:$1,0))="",NA(),INDEX(Aux_puntos!$A$2:$OJ$901,275,MATCH($B$2&amp;"|yK",Aux_puntos!$1:$1,0))),NA())</f>
        <v>#N/A</v>
      </c>
      <c r="AE279" t="e">
        <f>IFERROR(IF(INDEX(Aux_puntos!$A$2:$OJ$901,275,MATCH($B$2&amp;"|xC",Aux_puntos!$1:$1,0))="",NA(),INDEX(Aux_puntos!$A$2:$OJ$901,275,MATCH($B$2&amp;"|xC",Aux_puntos!$1:$1,0))),NA())</f>
        <v>#N/A</v>
      </c>
      <c r="AF279" t="e">
        <f>IFERROR(IF(INDEX(Aux_puntos!$A$2:$OJ$901,275,MATCH($B$2&amp;"|yC",Aux_puntos!$1:$1,0))="",NA(),INDEX(Aux_puntos!$A$2:$OJ$901,275,MATCH($B$2&amp;"|yC",Aux_puntos!$1:$1,0))),NA())</f>
        <v>#N/A</v>
      </c>
      <c r="AG279" t="e">
        <f>IFERROR(IF(INDEX(Aux_puntos!$A$2:$OJ$901,275,MATCH($B$2&amp;"|xI",Aux_puntos!$1:$1,0))="",NA(),INDEX(Aux_puntos!$A$2:$OJ$901,275,MATCH($B$2&amp;"|xI",Aux_puntos!$1:$1,0))),NA())</f>
        <v>#N/A</v>
      </c>
      <c r="AH279" t="e">
        <f>IFERROR(IF(INDEX(Aux_puntos!$A$2:$OJ$901,275,MATCH($B$2&amp;"|yI",Aux_puntos!$1:$1,0))="",NA(),INDEX(Aux_puntos!$A$2:$OJ$901,275,MATCH($B$2&amp;"|yI",Aux_puntos!$1:$1,0))),NA())</f>
        <v>#N/A</v>
      </c>
      <c r="AI279" t="e">
        <f>IFERROR(IF(INDEX(Aux_puntos!$A$2:$OJ$901,275,MATCH($B$2&amp;"|xN",Aux_puntos!$1:$1,0))="",NA(),INDEX(Aux_puntos!$A$2:$OJ$901,275,MATCH($B$2&amp;"|xN",Aux_puntos!$1:$1,0))),NA())</f>
        <v>#N/A</v>
      </c>
      <c r="AJ279" t="e">
        <f>IFERROR(IF(INDEX(Aux_puntos!$A$2:$OJ$901,275,MATCH($B$2&amp;"|yN",Aux_puntos!$1:$1,0))="",NA(),INDEX(Aux_puntos!$A$2:$OJ$901,275,MATCH($B$2&amp;"|yN",Aux_puntos!$1:$1,0))),NA())</f>
        <v>#N/A</v>
      </c>
    </row>
    <row r="280" spans="29:36" x14ac:dyDescent="0.3">
      <c r="AC280" t="e">
        <f>IFERROR(IF(INDEX(Aux_puntos!$A$2:$OJ$901,276,MATCH($B$2&amp;"|xK",Aux_puntos!$1:$1,0))="",NA(),INDEX(Aux_puntos!$A$2:$OJ$901,276,MATCH($B$2&amp;"|xK",Aux_puntos!$1:$1,0))),NA())</f>
        <v>#N/A</v>
      </c>
      <c r="AD280" t="e">
        <f>IFERROR(IF(INDEX(Aux_puntos!$A$2:$OJ$901,276,MATCH($B$2&amp;"|yK",Aux_puntos!$1:$1,0))="",NA(),INDEX(Aux_puntos!$A$2:$OJ$901,276,MATCH($B$2&amp;"|yK",Aux_puntos!$1:$1,0))),NA())</f>
        <v>#N/A</v>
      </c>
      <c r="AE280" t="e">
        <f>IFERROR(IF(INDEX(Aux_puntos!$A$2:$OJ$901,276,MATCH($B$2&amp;"|xC",Aux_puntos!$1:$1,0))="",NA(),INDEX(Aux_puntos!$A$2:$OJ$901,276,MATCH($B$2&amp;"|xC",Aux_puntos!$1:$1,0))),NA())</f>
        <v>#N/A</v>
      </c>
      <c r="AF280" t="e">
        <f>IFERROR(IF(INDEX(Aux_puntos!$A$2:$OJ$901,276,MATCH($B$2&amp;"|yC",Aux_puntos!$1:$1,0))="",NA(),INDEX(Aux_puntos!$A$2:$OJ$901,276,MATCH($B$2&amp;"|yC",Aux_puntos!$1:$1,0))),NA())</f>
        <v>#N/A</v>
      </c>
      <c r="AG280" t="e">
        <f>IFERROR(IF(INDEX(Aux_puntos!$A$2:$OJ$901,276,MATCH($B$2&amp;"|xI",Aux_puntos!$1:$1,0))="",NA(),INDEX(Aux_puntos!$A$2:$OJ$901,276,MATCH($B$2&amp;"|xI",Aux_puntos!$1:$1,0))),NA())</f>
        <v>#N/A</v>
      </c>
      <c r="AH280" t="e">
        <f>IFERROR(IF(INDEX(Aux_puntos!$A$2:$OJ$901,276,MATCH($B$2&amp;"|yI",Aux_puntos!$1:$1,0))="",NA(),INDEX(Aux_puntos!$A$2:$OJ$901,276,MATCH($B$2&amp;"|yI",Aux_puntos!$1:$1,0))),NA())</f>
        <v>#N/A</v>
      </c>
      <c r="AI280" t="e">
        <f>IFERROR(IF(INDEX(Aux_puntos!$A$2:$OJ$901,276,MATCH($B$2&amp;"|xN",Aux_puntos!$1:$1,0))="",NA(),INDEX(Aux_puntos!$A$2:$OJ$901,276,MATCH($B$2&amp;"|xN",Aux_puntos!$1:$1,0))),NA())</f>
        <v>#N/A</v>
      </c>
      <c r="AJ280" t="e">
        <f>IFERROR(IF(INDEX(Aux_puntos!$A$2:$OJ$901,276,MATCH($B$2&amp;"|yN",Aux_puntos!$1:$1,0))="",NA(),INDEX(Aux_puntos!$A$2:$OJ$901,276,MATCH($B$2&amp;"|yN",Aux_puntos!$1:$1,0))),NA())</f>
        <v>#N/A</v>
      </c>
    </row>
    <row r="281" spans="29:36" x14ac:dyDescent="0.3">
      <c r="AC281" t="e">
        <f>IFERROR(IF(INDEX(Aux_puntos!$A$2:$OJ$901,277,MATCH($B$2&amp;"|xK",Aux_puntos!$1:$1,0))="",NA(),INDEX(Aux_puntos!$A$2:$OJ$901,277,MATCH($B$2&amp;"|xK",Aux_puntos!$1:$1,0))),NA())</f>
        <v>#N/A</v>
      </c>
      <c r="AD281" t="e">
        <f>IFERROR(IF(INDEX(Aux_puntos!$A$2:$OJ$901,277,MATCH($B$2&amp;"|yK",Aux_puntos!$1:$1,0))="",NA(),INDEX(Aux_puntos!$A$2:$OJ$901,277,MATCH($B$2&amp;"|yK",Aux_puntos!$1:$1,0))),NA())</f>
        <v>#N/A</v>
      </c>
      <c r="AE281" t="e">
        <f>IFERROR(IF(INDEX(Aux_puntos!$A$2:$OJ$901,277,MATCH($B$2&amp;"|xC",Aux_puntos!$1:$1,0))="",NA(),INDEX(Aux_puntos!$A$2:$OJ$901,277,MATCH($B$2&amp;"|xC",Aux_puntos!$1:$1,0))),NA())</f>
        <v>#N/A</v>
      </c>
      <c r="AF281" t="e">
        <f>IFERROR(IF(INDEX(Aux_puntos!$A$2:$OJ$901,277,MATCH($B$2&amp;"|yC",Aux_puntos!$1:$1,0))="",NA(),INDEX(Aux_puntos!$A$2:$OJ$901,277,MATCH($B$2&amp;"|yC",Aux_puntos!$1:$1,0))),NA())</f>
        <v>#N/A</v>
      </c>
      <c r="AG281" t="e">
        <f>IFERROR(IF(INDEX(Aux_puntos!$A$2:$OJ$901,277,MATCH($B$2&amp;"|xI",Aux_puntos!$1:$1,0))="",NA(),INDEX(Aux_puntos!$A$2:$OJ$901,277,MATCH($B$2&amp;"|xI",Aux_puntos!$1:$1,0))),NA())</f>
        <v>#N/A</v>
      </c>
      <c r="AH281" t="e">
        <f>IFERROR(IF(INDEX(Aux_puntos!$A$2:$OJ$901,277,MATCH($B$2&amp;"|yI",Aux_puntos!$1:$1,0))="",NA(),INDEX(Aux_puntos!$A$2:$OJ$901,277,MATCH($B$2&amp;"|yI",Aux_puntos!$1:$1,0))),NA())</f>
        <v>#N/A</v>
      </c>
      <c r="AI281" t="e">
        <f>IFERROR(IF(INDEX(Aux_puntos!$A$2:$OJ$901,277,MATCH($B$2&amp;"|xN",Aux_puntos!$1:$1,0))="",NA(),INDEX(Aux_puntos!$A$2:$OJ$901,277,MATCH($B$2&amp;"|xN",Aux_puntos!$1:$1,0))),NA())</f>
        <v>#N/A</v>
      </c>
      <c r="AJ281" t="e">
        <f>IFERROR(IF(INDEX(Aux_puntos!$A$2:$OJ$901,277,MATCH($B$2&amp;"|yN",Aux_puntos!$1:$1,0))="",NA(),INDEX(Aux_puntos!$A$2:$OJ$901,277,MATCH($B$2&amp;"|yN",Aux_puntos!$1:$1,0))),NA())</f>
        <v>#N/A</v>
      </c>
    </row>
    <row r="282" spans="29:36" x14ac:dyDescent="0.3">
      <c r="AC282" t="e">
        <f>IFERROR(IF(INDEX(Aux_puntos!$A$2:$OJ$901,278,MATCH($B$2&amp;"|xK",Aux_puntos!$1:$1,0))="",NA(),INDEX(Aux_puntos!$A$2:$OJ$901,278,MATCH($B$2&amp;"|xK",Aux_puntos!$1:$1,0))),NA())</f>
        <v>#N/A</v>
      </c>
      <c r="AD282" t="e">
        <f>IFERROR(IF(INDEX(Aux_puntos!$A$2:$OJ$901,278,MATCH($B$2&amp;"|yK",Aux_puntos!$1:$1,0))="",NA(),INDEX(Aux_puntos!$A$2:$OJ$901,278,MATCH($B$2&amp;"|yK",Aux_puntos!$1:$1,0))),NA())</f>
        <v>#N/A</v>
      </c>
      <c r="AE282" t="e">
        <f>IFERROR(IF(INDEX(Aux_puntos!$A$2:$OJ$901,278,MATCH($B$2&amp;"|xC",Aux_puntos!$1:$1,0))="",NA(),INDEX(Aux_puntos!$A$2:$OJ$901,278,MATCH($B$2&amp;"|xC",Aux_puntos!$1:$1,0))),NA())</f>
        <v>#N/A</v>
      </c>
      <c r="AF282" t="e">
        <f>IFERROR(IF(INDEX(Aux_puntos!$A$2:$OJ$901,278,MATCH($B$2&amp;"|yC",Aux_puntos!$1:$1,0))="",NA(),INDEX(Aux_puntos!$A$2:$OJ$901,278,MATCH($B$2&amp;"|yC",Aux_puntos!$1:$1,0))),NA())</f>
        <v>#N/A</v>
      </c>
      <c r="AG282" t="e">
        <f>IFERROR(IF(INDEX(Aux_puntos!$A$2:$OJ$901,278,MATCH($B$2&amp;"|xI",Aux_puntos!$1:$1,0))="",NA(),INDEX(Aux_puntos!$A$2:$OJ$901,278,MATCH($B$2&amp;"|xI",Aux_puntos!$1:$1,0))),NA())</f>
        <v>#N/A</v>
      </c>
      <c r="AH282" t="e">
        <f>IFERROR(IF(INDEX(Aux_puntos!$A$2:$OJ$901,278,MATCH($B$2&amp;"|yI",Aux_puntos!$1:$1,0))="",NA(),INDEX(Aux_puntos!$A$2:$OJ$901,278,MATCH($B$2&amp;"|yI",Aux_puntos!$1:$1,0))),NA())</f>
        <v>#N/A</v>
      </c>
      <c r="AI282" t="e">
        <f>IFERROR(IF(INDEX(Aux_puntos!$A$2:$OJ$901,278,MATCH($B$2&amp;"|xN",Aux_puntos!$1:$1,0))="",NA(),INDEX(Aux_puntos!$A$2:$OJ$901,278,MATCH($B$2&amp;"|xN",Aux_puntos!$1:$1,0))),NA())</f>
        <v>#N/A</v>
      </c>
      <c r="AJ282" t="e">
        <f>IFERROR(IF(INDEX(Aux_puntos!$A$2:$OJ$901,278,MATCH($B$2&amp;"|yN",Aux_puntos!$1:$1,0))="",NA(),INDEX(Aux_puntos!$A$2:$OJ$901,278,MATCH($B$2&amp;"|yN",Aux_puntos!$1:$1,0))),NA())</f>
        <v>#N/A</v>
      </c>
    </row>
    <row r="283" spans="29:36" x14ac:dyDescent="0.3">
      <c r="AC283" t="e">
        <f>IFERROR(IF(INDEX(Aux_puntos!$A$2:$OJ$901,279,MATCH($B$2&amp;"|xK",Aux_puntos!$1:$1,0))="",NA(),INDEX(Aux_puntos!$A$2:$OJ$901,279,MATCH($B$2&amp;"|xK",Aux_puntos!$1:$1,0))),NA())</f>
        <v>#N/A</v>
      </c>
      <c r="AD283" t="e">
        <f>IFERROR(IF(INDEX(Aux_puntos!$A$2:$OJ$901,279,MATCH($B$2&amp;"|yK",Aux_puntos!$1:$1,0))="",NA(),INDEX(Aux_puntos!$A$2:$OJ$901,279,MATCH($B$2&amp;"|yK",Aux_puntos!$1:$1,0))),NA())</f>
        <v>#N/A</v>
      </c>
      <c r="AE283" t="e">
        <f>IFERROR(IF(INDEX(Aux_puntos!$A$2:$OJ$901,279,MATCH($B$2&amp;"|xC",Aux_puntos!$1:$1,0))="",NA(),INDEX(Aux_puntos!$A$2:$OJ$901,279,MATCH($B$2&amp;"|xC",Aux_puntos!$1:$1,0))),NA())</f>
        <v>#N/A</v>
      </c>
      <c r="AF283" t="e">
        <f>IFERROR(IF(INDEX(Aux_puntos!$A$2:$OJ$901,279,MATCH($B$2&amp;"|yC",Aux_puntos!$1:$1,0))="",NA(),INDEX(Aux_puntos!$A$2:$OJ$901,279,MATCH($B$2&amp;"|yC",Aux_puntos!$1:$1,0))),NA())</f>
        <v>#N/A</v>
      </c>
      <c r="AG283" t="e">
        <f>IFERROR(IF(INDEX(Aux_puntos!$A$2:$OJ$901,279,MATCH($B$2&amp;"|xI",Aux_puntos!$1:$1,0))="",NA(),INDEX(Aux_puntos!$A$2:$OJ$901,279,MATCH($B$2&amp;"|xI",Aux_puntos!$1:$1,0))),NA())</f>
        <v>#N/A</v>
      </c>
      <c r="AH283" t="e">
        <f>IFERROR(IF(INDEX(Aux_puntos!$A$2:$OJ$901,279,MATCH($B$2&amp;"|yI",Aux_puntos!$1:$1,0))="",NA(),INDEX(Aux_puntos!$A$2:$OJ$901,279,MATCH($B$2&amp;"|yI",Aux_puntos!$1:$1,0))),NA())</f>
        <v>#N/A</v>
      </c>
      <c r="AI283" t="e">
        <f>IFERROR(IF(INDEX(Aux_puntos!$A$2:$OJ$901,279,MATCH($B$2&amp;"|xN",Aux_puntos!$1:$1,0))="",NA(),INDEX(Aux_puntos!$A$2:$OJ$901,279,MATCH($B$2&amp;"|xN",Aux_puntos!$1:$1,0))),NA())</f>
        <v>#N/A</v>
      </c>
      <c r="AJ283" t="e">
        <f>IFERROR(IF(INDEX(Aux_puntos!$A$2:$OJ$901,279,MATCH($B$2&amp;"|yN",Aux_puntos!$1:$1,0))="",NA(),INDEX(Aux_puntos!$A$2:$OJ$901,279,MATCH($B$2&amp;"|yN",Aux_puntos!$1:$1,0))),NA())</f>
        <v>#N/A</v>
      </c>
    </row>
    <row r="284" spans="29:36" x14ac:dyDescent="0.3">
      <c r="AC284" t="e">
        <f>IFERROR(IF(INDEX(Aux_puntos!$A$2:$OJ$901,280,MATCH($B$2&amp;"|xK",Aux_puntos!$1:$1,0))="",NA(),INDEX(Aux_puntos!$A$2:$OJ$901,280,MATCH($B$2&amp;"|xK",Aux_puntos!$1:$1,0))),NA())</f>
        <v>#N/A</v>
      </c>
      <c r="AD284" t="e">
        <f>IFERROR(IF(INDEX(Aux_puntos!$A$2:$OJ$901,280,MATCH($B$2&amp;"|yK",Aux_puntos!$1:$1,0))="",NA(),INDEX(Aux_puntos!$A$2:$OJ$901,280,MATCH($B$2&amp;"|yK",Aux_puntos!$1:$1,0))),NA())</f>
        <v>#N/A</v>
      </c>
      <c r="AE284" t="e">
        <f>IFERROR(IF(INDEX(Aux_puntos!$A$2:$OJ$901,280,MATCH($B$2&amp;"|xC",Aux_puntos!$1:$1,0))="",NA(),INDEX(Aux_puntos!$A$2:$OJ$901,280,MATCH($B$2&amp;"|xC",Aux_puntos!$1:$1,0))),NA())</f>
        <v>#N/A</v>
      </c>
      <c r="AF284" t="e">
        <f>IFERROR(IF(INDEX(Aux_puntos!$A$2:$OJ$901,280,MATCH($B$2&amp;"|yC",Aux_puntos!$1:$1,0))="",NA(),INDEX(Aux_puntos!$A$2:$OJ$901,280,MATCH($B$2&amp;"|yC",Aux_puntos!$1:$1,0))),NA())</f>
        <v>#N/A</v>
      </c>
      <c r="AG284" t="e">
        <f>IFERROR(IF(INDEX(Aux_puntos!$A$2:$OJ$901,280,MATCH($B$2&amp;"|xI",Aux_puntos!$1:$1,0))="",NA(),INDEX(Aux_puntos!$A$2:$OJ$901,280,MATCH($B$2&amp;"|xI",Aux_puntos!$1:$1,0))),NA())</f>
        <v>#N/A</v>
      </c>
      <c r="AH284" t="e">
        <f>IFERROR(IF(INDEX(Aux_puntos!$A$2:$OJ$901,280,MATCH($B$2&amp;"|yI",Aux_puntos!$1:$1,0))="",NA(),INDEX(Aux_puntos!$A$2:$OJ$901,280,MATCH($B$2&amp;"|yI",Aux_puntos!$1:$1,0))),NA())</f>
        <v>#N/A</v>
      </c>
      <c r="AI284" t="e">
        <f>IFERROR(IF(INDEX(Aux_puntos!$A$2:$OJ$901,280,MATCH($B$2&amp;"|xN",Aux_puntos!$1:$1,0))="",NA(),INDEX(Aux_puntos!$A$2:$OJ$901,280,MATCH($B$2&amp;"|xN",Aux_puntos!$1:$1,0))),NA())</f>
        <v>#N/A</v>
      </c>
      <c r="AJ284" t="e">
        <f>IFERROR(IF(INDEX(Aux_puntos!$A$2:$OJ$901,280,MATCH($B$2&amp;"|yN",Aux_puntos!$1:$1,0))="",NA(),INDEX(Aux_puntos!$A$2:$OJ$901,280,MATCH($B$2&amp;"|yN",Aux_puntos!$1:$1,0))),NA())</f>
        <v>#N/A</v>
      </c>
    </row>
    <row r="285" spans="29:36" x14ac:dyDescent="0.3">
      <c r="AC285" t="e">
        <f>IFERROR(IF(INDEX(Aux_puntos!$A$2:$OJ$901,281,MATCH($B$2&amp;"|xK",Aux_puntos!$1:$1,0))="",NA(),INDEX(Aux_puntos!$A$2:$OJ$901,281,MATCH($B$2&amp;"|xK",Aux_puntos!$1:$1,0))),NA())</f>
        <v>#N/A</v>
      </c>
      <c r="AD285" t="e">
        <f>IFERROR(IF(INDEX(Aux_puntos!$A$2:$OJ$901,281,MATCH($B$2&amp;"|yK",Aux_puntos!$1:$1,0))="",NA(),INDEX(Aux_puntos!$A$2:$OJ$901,281,MATCH($B$2&amp;"|yK",Aux_puntos!$1:$1,0))),NA())</f>
        <v>#N/A</v>
      </c>
      <c r="AE285" t="e">
        <f>IFERROR(IF(INDEX(Aux_puntos!$A$2:$OJ$901,281,MATCH($B$2&amp;"|xC",Aux_puntos!$1:$1,0))="",NA(),INDEX(Aux_puntos!$A$2:$OJ$901,281,MATCH($B$2&amp;"|xC",Aux_puntos!$1:$1,0))),NA())</f>
        <v>#N/A</v>
      </c>
      <c r="AF285" t="e">
        <f>IFERROR(IF(INDEX(Aux_puntos!$A$2:$OJ$901,281,MATCH($B$2&amp;"|yC",Aux_puntos!$1:$1,0))="",NA(),INDEX(Aux_puntos!$A$2:$OJ$901,281,MATCH($B$2&amp;"|yC",Aux_puntos!$1:$1,0))),NA())</f>
        <v>#N/A</v>
      </c>
      <c r="AG285" t="e">
        <f>IFERROR(IF(INDEX(Aux_puntos!$A$2:$OJ$901,281,MATCH($B$2&amp;"|xI",Aux_puntos!$1:$1,0))="",NA(),INDEX(Aux_puntos!$A$2:$OJ$901,281,MATCH($B$2&amp;"|xI",Aux_puntos!$1:$1,0))),NA())</f>
        <v>#N/A</v>
      </c>
      <c r="AH285" t="e">
        <f>IFERROR(IF(INDEX(Aux_puntos!$A$2:$OJ$901,281,MATCH($B$2&amp;"|yI",Aux_puntos!$1:$1,0))="",NA(),INDEX(Aux_puntos!$A$2:$OJ$901,281,MATCH($B$2&amp;"|yI",Aux_puntos!$1:$1,0))),NA())</f>
        <v>#N/A</v>
      </c>
      <c r="AI285" t="e">
        <f>IFERROR(IF(INDEX(Aux_puntos!$A$2:$OJ$901,281,MATCH($B$2&amp;"|xN",Aux_puntos!$1:$1,0))="",NA(),INDEX(Aux_puntos!$A$2:$OJ$901,281,MATCH($B$2&amp;"|xN",Aux_puntos!$1:$1,0))),NA())</f>
        <v>#N/A</v>
      </c>
      <c r="AJ285" t="e">
        <f>IFERROR(IF(INDEX(Aux_puntos!$A$2:$OJ$901,281,MATCH($B$2&amp;"|yN",Aux_puntos!$1:$1,0))="",NA(),INDEX(Aux_puntos!$A$2:$OJ$901,281,MATCH($B$2&amp;"|yN",Aux_puntos!$1:$1,0))),NA())</f>
        <v>#N/A</v>
      </c>
    </row>
    <row r="286" spans="29:36" x14ac:dyDescent="0.3">
      <c r="AC286" t="e">
        <f>IFERROR(IF(INDEX(Aux_puntos!$A$2:$OJ$901,282,MATCH($B$2&amp;"|xK",Aux_puntos!$1:$1,0))="",NA(),INDEX(Aux_puntos!$A$2:$OJ$901,282,MATCH($B$2&amp;"|xK",Aux_puntos!$1:$1,0))),NA())</f>
        <v>#N/A</v>
      </c>
      <c r="AD286" t="e">
        <f>IFERROR(IF(INDEX(Aux_puntos!$A$2:$OJ$901,282,MATCH($B$2&amp;"|yK",Aux_puntos!$1:$1,0))="",NA(),INDEX(Aux_puntos!$A$2:$OJ$901,282,MATCH($B$2&amp;"|yK",Aux_puntos!$1:$1,0))),NA())</f>
        <v>#N/A</v>
      </c>
      <c r="AE286" t="e">
        <f>IFERROR(IF(INDEX(Aux_puntos!$A$2:$OJ$901,282,MATCH($B$2&amp;"|xC",Aux_puntos!$1:$1,0))="",NA(),INDEX(Aux_puntos!$A$2:$OJ$901,282,MATCH($B$2&amp;"|xC",Aux_puntos!$1:$1,0))),NA())</f>
        <v>#N/A</v>
      </c>
      <c r="AF286" t="e">
        <f>IFERROR(IF(INDEX(Aux_puntos!$A$2:$OJ$901,282,MATCH($B$2&amp;"|yC",Aux_puntos!$1:$1,0))="",NA(),INDEX(Aux_puntos!$A$2:$OJ$901,282,MATCH($B$2&amp;"|yC",Aux_puntos!$1:$1,0))),NA())</f>
        <v>#N/A</v>
      </c>
      <c r="AG286" t="e">
        <f>IFERROR(IF(INDEX(Aux_puntos!$A$2:$OJ$901,282,MATCH($B$2&amp;"|xI",Aux_puntos!$1:$1,0))="",NA(),INDEX(Aux_puntos!$A$2:$OJ$901,282,MATCH($B$2&amp;"|xI",Aux_puntos!$1:$1,0))),NA())</f>
        <v>#N/A</v>
      </c>
      <c r="AH286" t="e">
        <f>IFERROR(IF(INDEX(Aux_puntos!$A$2:$OJ$901,282,MATCH($B$2&amp;"|yI",Aux_puntos!$1:$1,0))="",NA(),INDEX(Aux_puntos!$A$2:$OJ$901,282,MATCH($B$2&amp;"|yI",Aux_puntos!$1:$1,0))),NA())</f>
        <v>#N/A</v>
      </c>
      <c r="AI286" t="e">
        <f>IFERROR(IF(INDEX(Aux_puntos!$A$2:$OJ$901,282,MATCH($B$2&amp;"|xN",Aux_puntos!$1:$1,0))="",NA(),INDEX(Aux_puntos!$A$2:$OJ$901,282,MATCH($B$2&amp;"|xN",Aux_puntos!$1:$1,0))),NA())</f>
        <v>#N/A</v>
      </c>
      <c r="AJ286" t="e">
        <f>IFERROR(IF(INDEX(Aux_puntos!$A$2:$OJ$901,282,MATCH($B$2&amp;"|yN",Aux_puntos!$1:$1,0))="",NA(),INDEX(Aux_puntos!$A$2:$OJ$901,282,MATCH($B$2&amp;"|yN",Aux_puntos!$1:$1,0))),NA())</f>
        <v>#N/A</v>
      </c>
    </row>
    <row r="287" spans="29:36" x14ac:dyDescent="0.3">
      <c r="AC287" t="e">
        <f>IFERROR(IF(INDEX(Aux_puntos!$A$2:$OJ$901,283,MATCH($B$2&amp;"|xK",Aux_puntos!$1:$1,0))="",NA(),INDEX(Aux_puntos!$A$2:$OJ$901,283,MATCH($B$2&amp;"|xK",Aux_puntos!$1:$1,0))),NA())</f>
        <v>#N/A</v>
      </c>
      <c r="AD287" t="e">
        <f>IFERROR(IF(INDEX(Aux_puntos!$A$2:$OJ$901,283,MATCH($B$2&amp;"|yK",Aux_puntos!$1:$1,0))="",NA(),INDEX(Aux_puntos!$A$2:$OJ$901,283,MATCH($B$2&amp;"|yK",Aux_puntos!$1:$1,0))),NA())</f>
        <v>#N/A</v>
      </c>
      <c r="AE287" t="e">
        <f>IFERROR(IF(INDEX(Aux_puntos!$A$2:$OJ$901,283,MATCH($B$2&amp;"|xC",Aux_puntos!$1:$1,0))="",NA(),INDEX(Aux_puntos!$A$2:$OJ$901,283,MATCH($B$2&amp;"|xC",Aux_puntos!$1:$1,0))),NA())</f>
        <v>#N/A</v>
      </c>
      <c r="AF287" t="e">
        <f>IFERROR(IF(INDEX(Aux_puntos!$A$2:$OJ$901,283,MATCH($B$2&amp;"|yC",Aux_puntos!$1:$1,0))="",NA(),INDEX(Aux_puntos!$A$2:$OJ$901,283,MATCH($B$2&amp;"|yC",Aux_puntos!$1:$1,0))),NA())</f>
        <v>#N/A</v>
      </c>
      <c r="AG287" t="e">
        <f>IFERROR(IF(INDEX(Aux_puntos!$A$2:$OJ$901,283,MATCH($B$2&amp;"|xI",Aux_puntos!$1:$1,0))="",NA(),INDEX(Aux_puntos!$A$2:$OJ$901,283,MATCH($B$2&amp;"|xI",Aux_puntos!$1:$1,0))),NA())</f>
        <v>#N/A</v>
      </c>
      <c r="AH287" t="e">
        <f>IFERROR(IF(INDEX(Aux_puntos!$A$2:$OJ$901,283,MATCH($B$2&amp;"|yI",Aux_puntos!$1:$1,0))="",NA(),INDEX(Aux_puntos!$A$2:$OJ$901,283,MATCH($B$2&amp;"|yI",Aux_puntos!$1:$1,0))),NA())</f>
        <v>#N/A</v>
      </c>
      <c r="AI287" t="e">
        <f>IFERROR(IF(INDEX(Aux_puntos!$A$2:$OJ$901,283,MATCH($B$2&amp;"|xN",Aux_puntos!$1:$1,0))="",NA(),INDEX(Aux_puntos!$A$2:$OJ$901,283,MATCH($B$2&amp;"|xN",Aux_puntos!$1:$1,0))),NA())</f>
        <v>#N/A</v>
      </c>
      <c r="AJ287" t="e">
        <f>IFERROR(IF(INDEX(Aux_puntos!$A$2:$OJ$901,283,MATCH($B$2&amp;"|yN",Aux_puntos!$1:$1,0))="",NA(),INDEX(Aux_puntos!$A$2:$OJ$901,283,MATCH($B$2&amp;"|yN",Aux_puntos!$1:$1,0))),NA())</f>
        <v>#N/A</v>
      </c>
    </row>
    <row r="288" spans="29:36" x14ac:dyDescent="0.3">
      <c r="AC288" t="e">
        <f>IFERROR(IF(INDEX(Aux_puntos!$A$2:$OJ$901,284,MATCH($B$2&amp;"|xK",Aux_puntos!$1:$1,0))="",NA(),INDEX(Aux_puntos!$A$2:$OJ$901,284,MATCH($B$2&amp;"|xK",Aux_puntos!$1:$1,0))),NA())</f>
        <v>#N/A</v>
      </c>
      <c r="AD288" t="e">
        <f>IFERROR(IF(INDEX(Aux_puntos!$A$2:$OJ$901,284,MATCH($B$2&amp;"|yK",Aux_puntos!$1:$1,0))="",NA(),INDEX(Aux_puntos!$A$2:$OJ$901,284,MATCH($B$2&amp;"|yK",Aux_puntos!$1:$1,0))),NA())</f>
        <v>#N/A</v>
      </c>
      <c r="AE288" t="e">
        <f>IFERROR(IF(INDEX(Aux_puntos!$A$2:$OJ$901,284,MATCH($B$2&amp;"|xC",Aux_puntos!$1:$1,0))="",NA(),INDEX(Aux_puntos!$A$2:$OJ$901,284,MATCH($B$2&amp;"|xC",Aux_puntos!$1:$1,0))),NA())</f>
        <v>#N/A</v>
      </c>
      <c r="AF288" t="e">
        <f>IFERROR(IF(INDEX(Aux_puntos!$A$2:$OJ$901,284,MATCH($B$2&amp;"|yC",Aux_puntos!$1:$1,0))="",NA(),INDEX(Aux_puntos!$A$2:$OJ$901,284,MATCH($B$2&amp;"|yC",Aux_puntos!$1:$1,0))),NA())</f>
        <v>#N/A</v>
      </c>
      <c r="AG288" t="e">
        <f>IFERROR(IF(INDEX(Aux_puntos!$A$2:$OJ$901,284,MATCH($B$2&amp;"|xI",Aux_puntos!$1:$1,0))="",NA(),INDEX(Aux_puntos!$A$2:$OJ$901,284,MATCH($B$2&amp;"|xI",Aux_puntos!$1:$1,0))),NA())</f>
        <v>#N/A</v>
      </c>
      <c r="AH288" t="e">
        <f>IFERROR(IF(INDEX(Aux_puntos!$A$2:$OJ$901,284,MATCH($B$2&amp;"|yI",Aux_puntos!$1:$1,0))="",NA(),INDEX(Aux_puntos!$A$2:$OJ$901,284,MATCH($B$2&amp;"|yI",Aux_puntos!$1:$1,0))),NA())</f>
        <v>#N/A</v>
      </c>
      <c r="AI288" t="e">
        <f>IFERROR(IF(INDEX(Aux_puntos!$A$2:$OJ$901,284,MATCH($B$2&amp;"|xN",Aux_puntos!$1:$1,0))="",NA(),INDEX(Aux_puntos!$A$2:$OJ$901,284,MATCH($B$2&amp;"|xN",Aux_puntos!$1:$1,0))),NA())</f>
        <v>#N/A</v>
      </c>
      <c r="AJ288" t="e">
        <f>IFERROR(IF(INDEX(Aux_puntos!$A$2:$OJ$901,284,MATCH($B$2&amp;"|yN",Aux_puntos!$1:$1,0))="",NA(),INDEX(Aux_puntos!$A$2:$OJ$901,284,MATCH($B$2&amp;"|yN",Aux_puntos!$1:$1,0))),NA())</f>
        <v>#N/A</v>
      </c>
    </row>
    <row r="289" spans="29:36" x14ac:dyDescent="0.3">
      <c r="AC289" t="e">
        <f>IFERROR(IF(INDEX(Aux_puntos!$A$2:$OJ$901,285,MATCH($B$2&amp;"|xK",Aux_puntos!$1:$1,0))="",NA(),INDEX(Aux_puntos!$A$2:$OJ$901,285,MATCH($B$2&amp;"|xK",Aux_puntos!$1:$1,0))),NA())</f>
        <v>#N/A</v>
      </c>
      <c r="AD289" t="e">
        <f>IFERROR(IF(INDEX(Aux_puntos!$A$2:$OJ$901,285,MATCH($B$2&amp;"|yK",Aux_puntos!$1:$1,0))="",NA(),INDEX(Aux_puntos!$A$2:$OJ$901,285,MATCH($B$2&amp;"|yK",Aux_puntos!$1:$1,0))),NA())</f>
        <v>#N/A</v>
      </c>
      <c r="AE289" t="e">
        <f>IFERROR(IF(INDEX(Aux_puntos!$A$2:$OJ$901,285,MATCH($B$2&amp;"|xC",Aux_puntos!$1:$1,0))="",NA(),INDEX(Aux_puntos!$A$2:$OJ$901,285,MATCH($B$2&amp;"|xC",Aux_puntos!$1:$1,0))),NA())</f>
        <v>#N/A</v>
      </c>
      <c r="AF289" t="e">
        <f>IFERROR(IF(INDEX(Aux_puntos!$A$2:$OJ$901,285,MATCH($B$2&amp;"|yC",Aux_puntos!$1:$1,0))="",NA(),INDEX(Aux_puntos!$A$2:$OJ$901,285,MATCH($B$2&amp;"|yC",Aux_puntos!$1:$1,0))),NA())</f>
        <v>#N/A</v>
      </c>
      <c r="AG289" t="e">
        <f>IFERROR(IF(INDEX(Aux_puntos!$A$2:$OJ$901,285,MATCH($B$2&amp;"|xI",Aux_puntos!$1:$1,0))="",NA(),INDEX(Aux_puntos!$A$2:$OJ$901,285,MATCH($B$2&amp;"|xI",Aux_puntos!$1:$1,0))),NA())</f>
        <v>#N/A</v>
      </c>
      <c r="AH289" t="e">
        <f>IFERROR(IF(INDEX(Aux_puntos!$A$2:$OJ$901,285,MATCH($B$2&amp;"|yI",Aux_puntos!$1:$1,0))="",NA(),INDEX(Aux_puntos!$A$2:$OJ$901,285,MATCH($B$2&amp;"|yI",Aux_puntos!$1:$1,0))),NA())</f>
        <v>#N/A</v>
      </c>
      <c r="AI289" t="e">
        <f>IFERROR(IF(INDEX(Aux_puntos!$A$2:$OJ$901,285,MATCH($B$2&amp;"|xN",Aux_puntos!$1:$1,0))="",NA(),INDEX(Aux_puntos!$A$2:$OJ$901,285,MATCH($B$2&amp;"|xN",Aux_puntos!$1:$1,0))),NA())</f>
        <v>#N/A</v>
      </c>
      <c r="AJ289" t="e">
        <f>IFERROR(IF(INDEX(Aux_puntos!$A$2:$OJ$901,285,MATCH($B$2&amp;"|yN",Aux_puntos!$1:$1,0))="",NA(),INDEX(Aux_puntos!$A$2:$OJ$901,285,MATCH($B$2&amp;"|yN",Aux_puntos!$1:$1,0))),NA())</f>
        <v>#N/A</v>
      </c>
    </row>
    <row r="290" spans="29:36" x14ac:dyDescent="0.3">
      <c r="AC290" t="e">
        <f>IFERROR(IF(INDEX(Aux_puntos!$A$2:$OJ$901,286,MATCH($B$2&amp;"|xK",Aux_puntos!$1:$1,0))="",NA(),INDEX(Aux_puntos!$A$2:$OJ$901,286,MATCH($B$2&amp;"|xK",Aux_puntos!$1:$1,0))),NA())</f>
        <v>#N/A</v>
      </c>
      <c r="AD290" t="e">
        <f>IFERROR(IF(INDEX(Aux_puntos!$A$2:$OJ$901,286,MATCH($B$2&amp;"|yK",Aux_puntos!$1:$1,0))="",NA(),INDEX(Aux_puntos!$A$2:$OJ$901,286,MATCH($B$2&amp;"|yK",Aux_puntos!$1:$1,0))),NA())</f>
        <v>#N/A</v>
      </c>
      <c r="AE290" t="e">
        <f>IFERROR(IF(INDEX(Aux_puntos!$A$2:$OJ$901,286,MATCH($B$2&amp;"|xC",Aux_puntos!$1:$1,0))="",NA(),INDEX(Aux_puntos!$A$2:$OJ$901,286,MATCH($B$2&amp;"|xC",Aux_puntos!$1:$1,0))),NA())</f>
        <v>#N/A</v>
      </c>
      <c r="AF290" t="e">
        <f>IFERROR(IF(INDEX(Aux_puntos!$A$2:$OJ$901,286,MATCH($B$2&amp;"|yC",Aux_puntos!$1:$1,0))="",NA(),INDEX(Aux_puntos!$A$2:$OJ$901,286,MATCH($B$2&amp;"|yC",Aux_puntos!$1:$1,0))),NA())</f>
        <v>#N/A</v>
      </c>
      <c r="AG290" t="e">
        <f>IFERROR(IF(INDEX(Aux_puntos!$A$2:$OJ$901,286,MATCH($B$2&amp;"|xI",Aux_puntos!$1:$1,0))="",NA(),INDEX(Aux_puntos!$A$2:$OJ$901,286,MATCH($B$2&amp;"|xI",Aux_puntos!$1:$1,0))),NA())</f>
        <v>#N/A</v>
      </c>
      <c r="AH290" t="e">
        <f>IFERROR(IF(INDEX(Aux_puntos!$A$2:$OJ$901,286,MATCH($B$2&amp;"|yI",Aux_puntos!$1:$1,0))="",NA(),INDEX(Aux_puntos!$A$2:$OJ$901,286,MATCH($B$2&amp;"|yI",Aux_puntos!$1:$1,0))),NA())</f>
        <v>#N/A</v>
      </c>
      <c r="AI290" t="e">
        <f>IFERROR(IF(INDEX(Aux_puntos!$A$2:$OJ$901,286,MATCH($B$2&amp;"|xN",Aux_puntos!$1:$1,0))="",NA(),INDEX(Aux_puntos!$A$2:$OJ$901,286,MATCH($B$2&amp;"|xN",Aux_puntos!$1:$1,0))),NA())</f>
        <v>#N/A</v>
      </c>
      <c r="AJ290" t="e">
        <f>IFERROR(IF(INDEX(Aux_puntos!$A$2:$OJ$901,286,MATCH($B$2&amp;"|yN",Aux_puntos!$1:$1,0))="",NA(),INDEX(Aux_puntos!$A$2:$OJ$901,286,MATCH($B$2&amp;"|yN",Aux_puntos!$1:$1,0))),NA())</f>
        <v>#N/A</v>
      </c>
    </row>
    <row r="291" spans="29:36" x14ac:dyDescent="0.3">
      <c r="AC291" t="e">
        <f>IFERROR(IF(INDEX(Aux_puntos!$A$2:$OJ$901,287,MATCH($B$2&amp;"|xK",Aux_puntos!$1:$1,0))="",NA(),INDEX(Aux_puntos!$A$2:$OJ$901,287,MATCH($B$2&amp;"|xK",Aux_puntos!$1:$1,0))),NA())</f>
        <v>#N/A</v>
      </c>
      <c r="AD291" t="e">
        <f>IFERROR(IF(INDEX(Aux_puntos!$A$2:$OJ$901,287,MATCH($B$2&amp;"|yK",Aux_puntos!$1:$1,0))="",NA(),INDEX(Aux_puntos!$A$2:$OJ$901,287,MATCH($B$2&amp;"|yK",Aux_puntos!$1:$1,0))),NA())</f>
        <v>#N/A</v>
      </c>
      <c r="AE291" t="e">
        <f>IFERROR(IF(INDEX(Aux_puntos!$A$2:$OJ$901,287,MATCH($B$2&amp;"|xC",Aux_puntos!$1:$1,0))="",NA(),INDEX(Aux_puntos!$A$2:$OJ$901,287,MATCH($B$2&amp;"|xC",Aux_puntos!$1:$1,0))),NA())</f>
        <v>#N/A</v>
      </c>
      <c r="AF291" t="e">
        <f>IFERROR(IF(INDEX(Aux_puntos!$A$2:$OJ$901,287,MATCH($B$2&amp;"|yC",Aux_puntos!$1:$1,0))="",NA(),INDEX(Aux_puntos!$A$2:$OJ$901,287,MATCH($B$2&amp;"|yC",Aux_puntos!$1:$1,0))),NA())</f>
        <v>#N/A</v>
      </c>
      <c r="AG291" t="e">
        <f>IFERROR(IF(INDEX(Aux_puntos!$A$2:$OJ$901,287,MATCH($B$2&amp;"|xI",Aux_puntos!$1:$1,0))="",NA(),INDEX(Aux_puntos!$A$2:$OJ$901,287,MATCH($B$2&amp;"|xI",Aux_puntos!$1:$1,0))),NA())</f>
        <v>#N/A</v>
      </c>
      <c r="AH291" t="e">
        <f>IFERROR(IF(INDEX(Aux_puntos!$A$2:$OJ$901,287,MATCH($B$2&amp;"|yI",Aux_puntos!$1:$1,0))="",NA(),INDEX(Aux_puntos!$A$2:$OJ$901,287,MATCH($B$2&amp;"|yI",Aux_puntos!$1:$1,0))),NA())</f>
        <v>#N/A</v>
      </c>
      <c r="AI291" t="e">
        <f>IFERROR(IF(INDEX(Aux_puntos!$A$2:$OJ$901,287,MATCH($B$2&amp;"|xN",Aux_puntos!$1:$1,0))="",NA(),INDEX(Aux_puntos!$A$2:$OJ$901,287,MATCH($B$2&amp;"|xN",Aux_puntos!$1:$1,0))),NA())</f>
        <v>#N/A</v>
      </c>
      <c r="AJ291" t="e">
        <f>IFERROR(IF(INDEX(Aux_puntos!$A$2:$OJ$901,287,MATCH($B$2&amp;"|yN",Aux_puntos!$1:$1,0))="",NA(),INDEX(Aux_puntos!$A$2:$OJ$901,287,MATCH($B$2&amp;"|yN",Aux_puntos!$1:$1,0))),NA())</f>
        <v>#N/A</v>
      </c>
    </row>
    <row r="292" spans="29:36" x14ac:dyDescent="0.3">
      <c r="AC292" t="e">
        <f>IFERROR(IF(INDEX(Aux_puntos!$A$2:$OJ$901,288,MATCH($B$2&amp;"|xK",Aux_puntos!$1:$1,0))="",NA(),INDEX(Aux_puntos!$A$2:$OJ$901,288,MATCH($B$2&amp;"|xK",Aux_puntos!$1:$1,0))),NA())</f>
        <v>#N/A</v>
      </c>
      <c r="AD292" t="e">
        <f>IFERROR(IF(INDEX(Aux_puntos!$A$2:$OJ$901,288,MATCH($B$2&amp;"|yK",Aux_puntos!$1:$1,0))="",NA(),INDEX(Aux_puntos!$A$2:$OJ$901,288,MATCH($B$2&amp;"|yK",Aux_puntos!$1:$1,0))),NA())</f>
        <v>#N/A</v>
      </c>
      <c r="AE292" t="e">
        <f>IFERROR(IF(INDEX(Aux_puntos!$A$2:$OJ$901,288,MATCH($B$2&amp;"|xC",Aux_puntos!$1:$1,0))="",NA(),INDEX(Aux_puntos!$A$2:$OJ$901,288,MATCH($B$2&amp;"|xC",Aux_puntos!$1:$1,0))),NA())</f>
        <v>#N/A</v>
      </c>
      <c r="AF292" t="e">
        <f>IFERROR(IF(INDEX(Aux_puntos!$A$2:$OJ$901,288,MATCH($B$2&amp;"|yC",Aux_puntos!$1:$1,0))="",NA(),INDEX(Aux_puntos!$A$2:$OJ$901,288,MATCH($B$2&amp;"|yC",Aux_puntos!$1:$1,0))),NA())</f>
        <v>#N/A</v>
      </c>
      <c r="AG292" t="e">
        <f>IFERROR(IF(INDEX(Aux_puntos!$A$2:$OJ$901,288,MATCH($B$2&amp;"|xI",Aux_puntos!$1:$1,0))="",NA(),INDEX(Aux_puntos!$A$2:$OJ$901,288,MATCH($B$2&amp;"|xI",Aux_puntos!$1:$1,0))),NA())</f>
        <v>#N/A</v>
      </c>
      <c r="AH292" t="e">
        <f>IFERROR(IF(INDEX(Aux_puntos!$A$2:$OJ$901,288,MATCH($B$2&amp;"|yI",Aux_puntos!$1:$1,0))="",NA(),INDEX(Aux_puntos!$A$2:$OJ$901,288,MATCH($B$2&amp;"|yI",Aux_puntos!$1:$1,0))),NA())</f>
        <v>#N/A</v>
      </c>
      <c r="AI292" t="e">
        <f>IFERROR(IF(INDEX(Aux_puntos!$A$2:$OJ$901,288,MATCH($B$2&amp;"|xN",Aux_puntos!$1:$1,0))="",NA(),INDEX(Aux_puntos!$A$2:$OJ$901,288,MATCH($B$2&amp;"|xN",Aux_puntos!$1:$1,0))),NA())</f>
        <v>#N/A</v>
      </c>
      <c r="AJ292" t="e">
        <f>IFERROR(IF(INDEX(Aux_puntos!$A$2:$OJ$901,288,MATCH($B$2&amp;"|yN",Aux_puntos!$1:$1,0))="",NA(),INDEX(Aux_puntos!$A$2:$OJ$901,288,MATCH($B$2&amp;"|yN",Aux_puntos!$1:$1,0))),NA())</f>
        <v>#N/A</v>
      </c>
    </row>
    <row r="293" spans="29:36" x14ac:dyDescent="0.3">
      <c r="AC293" t="e">
        <f>IFERROR(IF(INDEX(Aux_puntos!$A$2:$OJ$901,289,MATCH($B$2&amp;"|xK",Aux_puntos!$1:$1,0))="",NA(),INDEX(Aux_puntos!$A$2:$OJ$901,289,MATCH($B$2&amp;"|xK",Aux_puntos!$1:$1,0))),NA())</f>
        <v>#N/A</v>
      </c>
      <c r="AD293" t="e">
        <f>IFERROR(IF(INDEX(Aux_puntos!$A$2:$OJ$901,289,MATCH($B$2&amp;"|yK",Aux_puntos!$1:$1,0))="",NA(),INDEX(Aux_puntos!$A$2:$OJ$901,289,MATCH($B$2&amp;"|yK",Aux_puntos!$1:$1,0))),NA())</f>
        <v>#N/A</v>
      </c>
      <c r="AE293" t="e">
        <f>IFERROR(IF(INDEX(Aux_puntos!$A$2:$OJ$901,289,MATCH($B$2&amp;"|xC",Aux_puntos!$1:$1,0))="",NA(),INDEX(Aux_puntos!$A$2:$OJ$901,289,MATCH($B$2&amp;"|xC",Aux_puntos!$1:$1,0))),NA())</f>
        <v>#N/A</v>
      </c>
      <c r="AF293" t="e">
        <f>IFERROR(IF(INDEX(Aux_puntos!$A$2:$OJ$901,289,MATCH($B$2&amp;"|yC",Aux_puntos!$1:$1,0))="",NA(),INDEX(Aux_puntos!$A$2:$OJ$901,289,MATCH($B$2&amp;"|yC",Aux_puntos!$1:$1,0))),NA())</f>
        <v>#N/A</v>
      </c>
      <c r="AG293" t="e">
        <f>IFERROR(IF(INDEX(Aux_puntos!$A$2:$OJ$901,289,MATCH($B$2&amp;"|xI",Aux_puntos!$1:$1,0))="",NA(),INDEX(Aux_puntos!$A$2:$OJ$901,289,MATCH($B$2&amp;"|xI",Aux_puntos!$1:$1,0))),NA())</f>
        <v>#N/A</v>
      </c>
      <c r="AH293" t="e">
        <f>IFERROR(IF(INDEX(Aux_puntos!$A$2:$OJ$901,289,MATCH($B$2&amp;"|yI",Aux_puntos!$1:$1,0))="",NA(),INDEX(Aux_puntos!$A$2:$OJ$901,289,MATCH($B$2&amp;"|yI",Aux_puntos!$1:$1,0))),NA())</f>
        <v>#N/A</v>
      </c>
      <c r="AI293" t="e">
        <f>IFERROR(IF(INDEX(Aux_puntos!$A$2:$OJ$901,289,MATCH($B$2&amp;"|xN",Aux_puntos!$1:$1,0))="",NA(),INDEX(Aux_puntos!$A$2:$OJ$901,289,MATCH($B$2&amp;"|xN",Aux_puntos!$1:$1,0))),NA())</f>
        <v>#N/A</v>
      </c>
      <c r="AJ293" t="e">
        <f>IFERROR(IF(INDEX(Aux_puntos!$A$2:$OJ$901,289,MATCH($B$2&amp;"|yN",Aux_puntos!$1:$1,0))="",NA(),INDEX(Aux_puntos!$A$2:$OJ$901,289,MATCH($B$2&amp;"|yN",Aux_puntos!$1:$1,0))),NA())</f>
        <v>#N/A</v>
      </c>
    </row>
    <row r="294" spans="29:36" x14ac:dyDescent="0.3">
      <c r="AC294" t="e">
        <f>IFERROR(IF(INDEX(Aux_puntos!$A$2:$OJ$901,290,MATCH($B$2&amp;"|xK",Aux_puntos!$1:$1,0))="",NA(),INDEX(Aux_puntos!$A$2:$OJ$901,290,MATCH($B$2&amp;"|xK",Aux_puntos!$1:$1,0))),NA())</f>
        <v>#N/A</v>
      </c>
      <c r="AD294" t="e">
        <f>IFERROR(IF(INDEX(Aux_puntos!$A$2:$OJ$901,290,MATCH($B$2&amp;"|yK",Aux_puntos!$1:$1,0))="",NA(),INDEX(Aux_puntos!$A$2:$OJ$901,290,MATCH($B$2&amp;"|yK",Aux_puntos!$1:$1,0))),NA())</f>
        <v>#N/A</v>
      </c>
      <c r="AE294" t="e">
        <f>IFERROR(IF(INDEX(Aux_puntos!$A$2:$OJ$901,290,MATCH($B$2&amp;"|xC",Aux_puntos!$1:$1,0))="",NA(),INDEX(Aux_puntos!$A$2:$OJ$901,290,MATCH($B$2&amp;"|xC",Aux_puntos!$1:$1,0))),NA())</f>
        <v>#N/A</v>
      </c>
      <c r="AF294" t="e">
        <f>IFERROR(IF(INDEX(Aux_puntos!$A$2:$OJ$901,290,MATCH($B$2&amp;"|yC",Aux_puntos!$1:$1,0))="",NA(),INDEX(Aux_puntos!$A$2:$OJ$901,290,MATCH($B$2&amp;"|yC",Aux_puntos!$1:$1,0))),NA())</f>
        <v>#N/A</v>
      </c>
      <c r="AG294" t="e">
        <f>IFERROR(IF(INDEX(Aux_puntos!$A$2:$OJ$901,290,MATCH($B$2&amp;"|xI",Aux_puntos!$1:$1,0))="",NA(),INDEX(Aux_puntos!$A$2:$OJ$901,290,MATCH($B$2&amp;"|xI",Aux_puntos!$1:$1,0))),NA())</f>
        <v>#N/A</v>
      </c>
      <c r="AH294" t="e">
        <f>IFERROR(IF(INDEX(Aux_puntos!$A$2:$OJ$901,290,MATCH($B$2&amp;"|yI",Aux_puntos!$1:$1,0))="",NA(),INDEX(Aux_puntos!$A$2:$OJ$901,290,MATCH($B$2&amp;"|yI",Aux_puntos!$1:$1,0))),NA())</f>
        <v>#N/A</v>
      </c>
      <c r="AI294" t="e">
        <f>IFERROR(IF(INDEX(Aux_puntos!$A$2:$OJ$901,290,MATCH($B$2&amp;"|xN",Aux_puntos!$1:$1,0))="",NA(),INDEX(Aux_puntos!$A$2:$OJ$901,290,MATCH($B$2&amp;"|xN",Aux_puntos!$1:$1,0))),NA())</f>
        <v>#N/A</v>
      </c>
      <c r="AJ294" t="e">
        <f>IFERROR(IF(INDEX(Aux_puntos!$A$2:$OJ$901,290,MATCH($B$2&amp;"|yN",Aux_puntos!$1:$1,0))="",NA(),INDEX(Aux_puntos!$A$2:$OJ$901,290,MATCH($B$2&amp;"|yN",Aux_puntos!$1:$1,0))),NA())</f>
        <v>#N/A</v>
      </c>
    </row>
    <row r="295" spans="29:36" x14ac:dyDescent="0.3">
      <c r="AC295" t="e">
        <f>IFERROR(IF(INDEX(Aux_puntos!$A$2:$OJ$901,291,MATCH($B$2&amp;"|xK",Aux_puntos!$1:$1,0))="",NA(),INDEX(Aux_puntos!$A$2:$OJ$901,291,MATCH($B$2&amp;"|xK",Aux_puntos!$1:$1,0))),NA())</f>
        <v>#N/A</v>
      </c>
      <c r="AD295" t="e">
        <f>IFERROR(IF(INDEX(Aux_puntos!$A$2:$OJ$901,291,MATCH($B$2&amp;"|yK",Aux_puntos!$1:$1,0))="",NA(),INDEX(Aux_puntos!$A$2:$OJ$901,291,MATCH($B$2&amp;"|yK",Aux_puntos!$1:$1,0))),NA())</f>
        <v>#N/A</v>
      </c>
      <c r="AE295" t="e">
        <f>IFERROR(IF(INDEX(Aux_puntos!$A$2:$OJ$901,291,MATCH($B$2&amp;"|xC",Aux_puntos!$1:$1,0))="",NA(),INDEX(Aux_puntos!$A$2:$OJ$901,291,MATCH($B$2&amp;"|xC",Aux_puntos!$1:$1,0))),NA())</f>
        <v>#N/A</v>
      </c>
      <c r="AF295" t="e">
        <f>IFERROR(IF(INDEX(Aux_puntos!$A$2:$OJ$901,291,MATCH($B$2&amp;"|yC",Aux_puntos!$1:$1,0))="",NA(),INDEX(Aux_puntos!$A$2:$OJ$901,291,MATCH($B$2&amp;"|yC",Aux_puntos!$1:$1,0))),NA())</f>
        <v>#N/A</v>
      </c>
      <c r="AG295" t="e">
        <f>IFERROR(IF(INDEX(Aux_puntos!$A$2:$OJ$901,291,MATCH($B$2&amp;"|xI",Aux_puntos!$1:$1,0))="",NA(),INDEX(Aux_puntos!$A$2:$OJ$901,291,MATCH($B$2&amp;"|xI",Aux_puntos!$1:$1,0))),NA())</f>
        <v>#N/A</v>
      </c>
      <c r="AH295" t="e">
        <f>IFERROR(IF(INDEX(Aux_puntos!$A$2:$OJ$901,291,MATCH($B$2&amp;"|yI",Aux_puntos!$1:$1,0))="",NA(),INDEX(Aux_puntos!$A$2:$OJ$901,291,MATCH($B$2&amp;"|yI",Aux_puntos!$1:$1,0))),NA())</f>
        <v>#N/A</v>
      </c>
      <c r="AI295" t="e">
        <f>IFERROR(IF(INDEX(Aux_puntos!$A$2:$OJ$901,291,MATCH($B$2&amp;"|xN",Aux_puntos!$1:$1,0))="",NA(),INDEX(Aux_puntos!$A$2:$OJ$901,291,MATCH($B$2&amp;"|xN",Aux_puntos!$1:$1,0))),NA())</f>
        <v>#N/A</v>
      </c>
      <c r="AJ295" t="e">
        <f>IFERROR(IF(INDEX(Aux_puntos!$A$2:$OJ$901,291,MATCH($B$2&amp;"|yN",Aux_puntos!$1:$1,0))="",NA(),INDEX(Aux_puntos!$A$2:$OJ$901,291,MATCH($B$2&amp;"|yN",Aux_puntos!$1:$1,0))),NA())</f>
        <v>#N/A</v>
      </c>
    </row>
    <row r="296" spans="29:36" x14ac:dyDescent="0.3">
      <c r="AC296" t="e">
        <f>IFERROR(IF(INDEX(Aux_puntos!$A$2:$OJ$901,292,MATCH($B$2&amp;"|xK",Aux_puntos!$1:$1,0))="",NA(),INDEX(Aux_puntos!$A$2:$OJ$901,292,MATCH($B$2&amp;"|xK",Aux_puntos!$1:$1,0))),NA())</f>
        <v>#N/A</v>
      </c>
      <c r="AD296" t="e">
        <f>IFERROR(IF(INDEX(Aux_puntos!$A$2:$OJ$901,292,MATCH($B$2&amp;"|yK",Aux_puntos!$1:$1,0))="",NA(),INDEX(Aux_puntos!$A$2:$OJ$901,292,MATCH($B$2&amp;"|yK",Aux_puntos!$1:$1,0))),NA())</f>
        <v>#N/A</v>
      </c>
      <c r="AE296" t="e">
        <f>IFERROR(IF(INDEX(Aux_puntos!$A$2:$OJ$901,292,MATCH($B$2&amp;"|xC",Aux_puntos!$1:$1,0))="",NA(),INDEX(Aux_puntos!$A$2:$OJ$901,292,MATCH($B$2&amp;"|xC",Aux_puntos!$1:$1,0))),NA())</f>
        <v>#N/A</v>
      </c>
      <c r="AF296" t="e">
        <f>IFERROR(IF(INDEX(Aux_puntos!$A$2:$OJ$901,292,MATCH($B$2&amp;"|yC",Aux_puntos!$1:$1,0))="",NA(),INDEX(Aux_puntos!$A$2:$OJ$901,292,MATCH($B$2&amp;"|yC",Aux_puntos!$1:$1,0))),NA())</f>
        <v>#N/A</v>
      </c>
      <c r="AG296" t="e">
        <f>IFERROR(IF(INDEX(Aux_puntos!$A$2:$OJ$901,292,MATCH($B$2&amp;"|xI",Aux_puntos!$1:$1,0))="",NA(),INDEX(Aux_puntos!$A$2:$OJ$901,292,MATCH($B$2&amp;"|xI",Aux_puntos!$1:$1,0))),NA())</f>
        <v>#N/A</v>
      </c>
      <c r="AH296" t="e">
        <f>IFERROR(IF(INDEX(Aux_puntos!$A$2:$OJ$901,292,MATCH($B$2&amp;"|yI",Aux_puntos!$1:$1,0))="",NA(),INDEX(Aux_puntos!$A$2:$OJ$901,292,MATCH($B$2&amp;"|yI",Aux_puntos!$1:$1,0))),NA())</f>
        <v>#N/A</v>
      </c>
      <c r="AI296" t="e">
        <f>IFERROR(IF(INDEX(Aux_puntos!$A$2:$OJ$901,292,MATCH($B$2&amp;"|xN",Aux_puntos!$1:$1,0))="",NA(),INDEX(Aux_puntos!$A$2:$OJ$901,292,MATCH($B$2&amp;"|xN",Aux_puntos!$1:$1,0))),NA())</f>
        <v>#N/A</v>
      </c>
      <c r="AJ296" t="e">
        <f>IFERROR(IF(INDEX(Aux_puntos!$A$2:$OJ$901,292,MATCH($B$2&amp;"|yN",Aux_puntos!$1:$1,0))="",NA(),INDEX(Aux_puntos!$A$2:$OJ$901,292,MATCH($B$2&amp;"|yN",Aux_puntos!$1:$1,0))),NA())</f>
        <v>#N/A</v>
      </c>
    </row>
    <row r="297" spans="29:36" x14ac:dyDescent="0.3">
      <c r="AC297" t="e">
        <f>IFERROR(IF(INDEX(Aux_puntos!$A$2:$OJ$901,293,MATCH($B$2&amp;"|xK",Aux_puntos!$1:$1,0))="",NA(),INDEX(Aux_puntos!$A$2:$OJ$901,293,MATCH($B$2&amp;"|xK",Aux_puntos!$1:$1,0))),NA())</f>
        <v>#N/A</v>
      </c>
      <c r="AD297" t="e">
        <f>IFERROR(IF(INDEX(Aux_puntos!$A$2:$OJ$901,293,MATCH($B$2&amp;"|yK",Aux_puntos!$1:$1,0))="",NA(),INDEX(Aux_puntos!$A$2:$OJ$901,293,MATCH($B$2&amp;"|yK",Aux_puntos!$1:$1,0))),NA())</f>
        <v>#N/A</v>
      </c>
      <c r="AE297" t="e">
        <f>IFERROR(IF(INDEX(Aux_puntos!$A$2:$OJ$901,293,MATCH($B$2&amp;"|xC",Aux_puntos!$1:$1,0))="",NA(),INDEX(Aux_puntos!$A$2:$OJ$901,293,MATCH($B$2&amp;"|xC",Aux_puntos!$1:$1,0))),NA())</f>
        <v>#N/A</v>
      </c>
      <c r="AF297" t="e">
        <f>IFERROR(IF(INDEX(Aux_puntos!$A$2:$OJ$901,293,MATCH($B$2&amp;"|yC",Aux_puntos!$1:$1,0))="",NA(),INDEX(Aux_puntos!$A$2:$OJ$901,293,MATCH($B$2&amp;"|yC",Aux_puntos!$1:$1,0))),NA())</f>
        <v>#N/A</v>
      </c>
      <c r="AG297" t="e">
        <f>IFERROR(IF(INDEX(Aux_puntos!$A$2:$OJ$901,293,MATCH($B$2&amp;"|xI",Aux_puntos!$1:$1,0))="",NA(),INDEX(Aux_puntos!$A$2:$OJ$901,293,MATCH($B$2&amp;"|xI",Aux_puntos!$1:$1,0))),NA())</f>
        <v>#N/A</v>
      </c>
      <c r="AH297" t="e">
        <f>IFERROR(IF(INDEX(Aux_puntos!$A$2:$OJ$901,293,MATCH($B$2&amp;"|yI",Aux_puntos!$1:$1,0))="",NA(),INDEX(Aux_puntos!$A$2:$OJ$901,293,MATCH($B$2&amp;"|yI",Aux_puntos!$1:$1,0))),NA())</f>
        <v>#N/A</v>
      </c>
      <c r="AI297" t="e">
        <f>IFERROR(IF(INDEX(Aux_puntos!$A$2:$OJ$901,293,MATCH($B$2&amp;"|xN",Aux_puntos!$1:$1,0))="",NA(),INDEX(Aux_puntos!$A$2:$OJ$901,293,MATCH($B$2&amp;"|xN",Aux_puntos!$1:$1,0))),NA())</f>
        <v>#N/A</v>
      </c>
      <c r="AJ297" t="e">
        <f>IFERROR(IF(INDEX(Aux_puntos!$A$2:$OJ$901,293,MATCH($B$2&amp;"|yN",Aux_puntos!$1:$1,0))="",NA(),INDEX(Aux_puntos!$A$2:$OJ$901,293,MATCH($B$2&amp;"|yN",Aux_puntos!$1:$1,0))),NA())</f>
        <v>#N/A</v>
      </c>
    </row>
    <row r="298" spans="29:36" x14ac:dyDescent="0.3">
      <c r="AC298" t="e">
        <f>IFERROR(IF(INDEX(Aux_puntos!$A$2:$OJ$901,294,MATCH($B$2&amp;"|xK",Aux_puntos!$1:$1,0))="",NA(),INDEX(Aux_puntos!$A$2:$OJ$901,294,MATCH($B$2&amp;"|xK",Aux_puntos!$1:$1,0))),NA())</f>
        <v>#N/A</v>
      </c>
      <c r="AD298" t="e">
        <f>IFERROR(IF(INDEX(Aux_puntos!$A$2:$OJ$901,294,MATCH($B$2&amp;"|yK",Aux_puntos!$1:$1,0))="",NA(),INDEX(Aux_puntos!$A$2:$OJ$901,294,MATCH($B$2&amp;"|yK",Aux_puntos!$1:$1,0))),NA())</f>
        <v>#N/A</v>
      </c>
      <c r="AE298" t="e">
        <f>IFERROR(IF(INDEX(Aux_puntos!$A$2:$OJ$901,294,MATCH($B$2&amp;"|xC",Aux_puntos!$1:$1,0))="",NA(),INDEX(Aux_puntos!$A$2:$OJ$901,294,MATCH($B$2&amp;"|xC",Aux_puntos!$1:$1,0))),NA())</f>
        <v>#N/A</v>
      </c>
      <c r="AF298" t="e">
        <f>IFERROR(IF(INDEX(Aux_puntos!$A$2:$OJ$901,294,MATCH($B$2&amp;"|yC",Aux_puntos!$1:$1,0))="",NA(),INDEX(Aux_puntos!$A$2:$OJ$901,294,MATCH($B$2&amp;"|yC",Aux_puntos!$1:$1,0))),NA())</f>
        <v>#N/A</v>
      </c>
      <c r="AG298" t="e">
        <f>IFERROR(IF(INDEX(Aux_puntos!$A$2:$OJ$901,294,MATCH($B$2&amp;"|xI",Aux_puntos!$1:$1,0))="",NA(),INDEX(Aux_puntos!$A$2:$OJ$901,294,MATCH($B$2&amp;"|xI",Aux_puntos!$1:$1,0))),NA())</f>
        <v>#N/A</v>
      </c>
      <c r="AH298" t="e">
        <f>IFERROR(IF(INDEX(Aux_puntos!$A$2:$OJ$901,294,MATCH($B$2&amp;"|yI",Aux_puntos!$1:$1,0))="",NA(),INDEX(Aux_puntos!$A$2:$OJ$901,294,MATCH($B$2&amp;"|yI",Aux_puntos!$1:$1,0))),NA())</f>
        <v>#N/A</v>
      </c>
      <c r="AI298" t="e">
        <f>IFERROR(IF(INDEX(Aux_puntos!$A$2:$OJ$901,294,MATCH($B$2&amp;"|xN",Aux_puntos!$1:$1,0))="",NA(),INDEX(Aux_puntos!$A$2:$OJ$901,294,MATCH($B$2&amp;"|xN",Aux_puntos!$1:$1,0))),NA())</f>
        <v>#N/A</v>
      </c>
      <c r="AJ298" t="e">
        <f>IFERROR(IF(INDEX(Aux_puntos!$A$2:$OJ$901,294,MATCH($B$2&amp;"|yN",Aux_puntos!$1:$1,0))="",NA(),INDEX(Aux_puntos!$A$2:$OJ$901,294,MATCH($B$2&amp;"|yN",Aux_puntos!$1:$1,0))),NA())</f>
        <v>#N/A</v>
      </c>
    </row>
    <row r="299" spans="29:36" x14ac:dyDescent="0.3">
      <c r="AC299" t="e">
        <f>IFERROR(IF(INDEX(Aux_puntos!$A$2:$OJ$901,295,MATCH($B$2&amp;"|xK",Aux_puntos!$1:$1,0))="",NA(),INDEX(Aux_puntos!$A$2:$OJ$901,295,MATCH($B$2&amp;"|xK",Aux_puntos!$1:$1,0))),NA())</f>
        <v>#N/A</v>
      </c>
      <c r="AD299" t="e">
        <f>IFERROR(IF(INDEX(Aux_puntos!$A$2:$OJ$901,295,MATCH($B$2&amp;"|yK",Aux_puntos!$1:$1,0))="",NA(),INDEX(Aux_puntos!$A$2:$OJ$901,295,MATCH($B$2&amp;"|yK",Aux_puntos!$1:$1,0))),NA())</f>
        <v>#N/A</v>
      </c>
      <c r="AE299" t="e">
        <f>IFERROR(IF(INDEX(Aux_puntos!$A$2:$OJ$901,295,MATCH($B$2&amp;"|xC",Aux_puntos!$1:$1,0))="",NA(),INDEX(Aux_puntos!$A$2:$OJ$901,295,MATCH($B$2&amp;"|xC",Aux_puntos!$1:$1,0))),NA())</f>
        <v>#N/A</v>
      </c>
      <c r="AF299" t="e">
        <f>IFERROR(IF(INDEX(Aux_puntos!$A$2:$OJ$901,295,MATCH($B$2&amp;"|yC",Aux_puntos!$1:$1,0))="",NA(),INDEX(Aux_puntos!$A$2:$OJ$901,295,MATCH($B$2&amp;"|yC",Aux_puntos!$1:$1,0))),NA())</f>
        <v>#N/A</v>
      </c>
      <c r="AG299" t="e">
        <f>IFERROR(IF(INDEX(Aux_puntos!$A$2:$OJ$901,295,MATCH($B$2&amp;"|xI",Aux_puntos!$1:$1,0))="",NA(),INDEX(Aux_puntos!$A$2:$OJ$901,295,MATCH($B$2&amp;"|xI",Aux_puntos!$1:$1,0))),NA())</f>
        <v>#N/A</v>
      </c>
      <c r="AH299" t="e">
        <f>IFERROR(IF(INDEX(Aux_puntos!$A$2:$OJ$901,295,MATCH($B$2&amp;"|yI",Aux_puntos!$1:$1,0))="",NA(),INDEX(Aux_puntos!$A$2:$OJ$901,295,MATCH($B$2&amp;"|yI",Aux_puntos!$1:$1,0))),NA())</f>
        <v>#N/A</v>
      </c>
      <c r="AI299" t="e">
        <f>IFERROR(IF(INDEX(Aux_puntos!$A$2:$OJ$901,295,MATCH($B$2&amp;"|xN",Aux_puntos!$1:$1,0))="",NA(),INDEX(Aux_puntos!$A$2:$OJ$901,295,MATCH($B$2&amp;"|xN",Aux_puntos!$1:$1,0))),NA())</f>
        <v>#N/A</v>
      </c>
      <c r="AJ299" t="e">
        <f>IFERROR(IF(INDEX(Aux_puntos!$A$2:$OJ$901,295,MATCH($B$2&amp;"|yN",Aux_puntos!$1:$1,0))="",NA(),INDEX(Aux_puntos!$A$2:$OJ$901,295,MATCH($B$2&amp;"|yN",Aux_puntos!$1:$1,0))),NA())</f>
        <v>#N/A</v>
      </c>
    </row>
    <row r="300" spans="29:36" x14ac:dyDescent="0.3">
      <c r="AC300" t="e">
        <f>IFERROR(IF(INDEX(Aux_puntos!$A$2:$OJ$901,296,MATCH($B$2&amp;"|xK",Aux_puntos!$1:$1,0))="",NA(),INDEX(Aux_puntos!$A$2:$OJ$901,296,MATCH($B$2&amp;"|xK",Aux_puntos!$1:$1,0))),NA())</f>
        <v>#N/A</v>
      </c>
      <c r="AD300" t="e">
        <f>IFERROR(IF(INDEX(Aux_puntos!$A$2:$OJ$901,296,MATCH($B$2&amp;"|yK",Aux_puntos!$1:$1,0))="",NA(),INDEX(Aux_puntos!$A$2:$OJ$901,296,MATCH($B$2&amp;"|yK",Aux_puntos!$1:$1,0))),NA())</f>
        <v>#N/A</v>
      </c>
      <c r="AE300" t="e">
        <f>IFERROR(IF(INDEX(Aux_puntos!$A$2:$OJ$901,296,MATCH($B$2&amp;"|xC",Aux_puntos!$1:$1,0))="",NA(),INDEX(Aux_puntos!$A$2:$OJ$901,296,MATCH($B$2&amp;"|xC",Aux_puntos!$1:$1,0))),NA())</f>
        <v>#N/A</v>
      </c>
      <c r="AF300" t="e">
        <f>IFERROR(IF(INDEX(Aux_puntos!$A$2:$OJ$901,296,MATCH($B$2&amp;"|yC",Aux_puntos!$1:$1,0))="",NA(),INDEX(Aux_puntos!$A$2:$OJ$901,296,MATCH($B$2&amp;"|yC",Aux_puntos!$1:$1,0))),NA())</f>
        <v>#N/A</v>
      </c>
      <c r="AG300" t="e">
        <f>IFERROR(IF(INDEX(Aux_puntos!$A$2:$OJ$901,296,MATCH($B$2&amp;"|xI",Aux_puntos!$1:$1,0))="",NA(),INDEX(Aux_puntos!$A$2:$OJ$901,296,MATCH($B$2&amp;"|xI",Aux_puntos!$1:$1,0))),NA())</f>
        <v>#N/A</v>
      </c>
      <c r="AH300" t="e">
        <f>IFERROR(IF(INDEX(Aux_puntos!$A$2:$OJ$901,296,MATCH($B$2&amp;"|yI",Aux_puntos!$1:$1,0))="",NA(),INDEX(Aux_puntos!$A$2:$OJ$901,296,MATCH($B$2&amp;"|yI",Aux_puntos!$1:$1,0))),NA())</f>
        <v>#N/A</v>
      </c>
      <c r="AI300" t="e">
        <f>IFERROR(IF(INDEX(Aux_puntos!$A$2:$OJ$901,296,MATCH($B$2&amp;"|xN",Aux_puntos!$1:$1,0))="",NA(),INDEX(Aux_puntos!$A$2:$OJ$901,296,MATCH($B$2&amp;"|xN",Aux_puntos!$1:$1,0))),NA())</f>
        <v>#N/A</v>
      </c>
      <c r="AJ300" t="e">
        <f>IFERROR(IF(INDEX(Aux_puntos!$A$2:$OJ$901,296,MATCH($B$2&amp;"|yN",Aux_puntos!$1:$1,0))="",NA(),INDEX(Aux_puntos!$A$2:$OJ$901,296,MATCH($B$2&amp;"|yN",Aux_puntos!$1:$1,0))),NA())</f>
        <v>#N/A</v>
      </c>
    </row>
    <row r="301" spans="29:36" x14ac:dyDescent="0.3">
      <c r="AC301" t="e">
        <f>IFERROR(IF(INDEX(Aux_puntos!$A$2:$OJ$901,297,MATCH($B$2&amp;"|xK",Aux_puntos!$1:$1,0))="",NA(),INDEX(Aux_puntos!$A$2:$OJ$901,297,MATCH($B$2&amp;"|xK",Aux_puntos!$1:$1,0))),NA())</f>
        <v>#N/A</v>
      </c>
      <c r="AD301" t="e">
        <f>IFERROR(IF(INDEX(Aux_puntos!$A$2:$OJ$901,297,MATCH($B$2&amp;"|yK",Aux_puntos!$1:$1,0))="",NA(),INDEX(Aux_puntos!$A$2:$OJ$901,297,MATCH($B$2&amp;"|yK",Aux_puntos!$1:$1,0))),NA())</f>
        <v>#N/A</v>
      </c>
      <c r="AE301" t="e">
        <f>IFERROR(IF(INDEX(Aux_puntos!$A$2:$OJ$901,297,MATCH($B$2&amp;"|xC",Aux_puntos!$1:$1,0))="",NA(),INDEX(Aux_puntos!$A$2:$OJ$901,297,MATCH($B$2&amp;"|xC",Aux_puntos!$1:$1,0))),NA())</f>
        <v>#N/A</v>
      </c>
      <c r="AF301" t="e">
        <f>IFERROR(IF(INDEX(Aux_puntos!$A$2:$OJ$901,297,MATCH($B$2&amp;"|yC",Aux_puntos!$1:$1,0))="",NA(),INDEX(Aux_puntos!$A$2:$OJ$901,297,MATCH($B$2&amp;"|yC",Aux_puntos!$1:$1,0))),NA())</f>
        <v>#N/A</v>
      </c>
      <c r="AG301" t="e">
        <f>IFERROR(IF(INDEX(Aux_puntos!$A$2:$OJ$901,297,MATCH($B$2&amp;"|xI",Aux_puntos!$1:$1,0))="",NA(),INDEX(Aux_puntos!$A$2:$OJ$901,297,MATCH($B$2&amp;"|xI",Aux_puntos!$1:$1,0))),NA())</f>
        <v>#N/A</v>
      </c>
      <c r="AH301" t="e">
        <f>IFERROR(IF(INDEX(Aux_puntos!$A$2:$OJ$901,297,MATCH($B$2&amp;"|yI",Aux_puntos!$1:$1,0))="",NA(),INDEX(Aux_puntos!$A$2:$OJ$901,297,MATCH($B$2&amp;"|yI",Aux_puntos!$1:$1,0))),NA())</f>
        <v>#N/A</v>
      </c>
      <c r="AI301" t="e">
        <f>IFERROR(IF(INDEX(Aux_puntos!$A$2:$OJ$901,297,MATCH($B$2&amp;"|xN",Aux_puntos!$1:$1,0))="",NA(),INDEX(Aux_puntos!$A$2:$OJ$901,297,MATCH($B$2&amp;"|xN",Aux_puntos!$1:$1,0))),NA())</f>
        <v>#N/A</v>
      </c>
      <c r="AJ301" t="e">
        <f>IFERROR(IF(INDEX(Aux_puntos!$A$2:$OJ$901,297,MATCH($B$2&amp;"|yN",Aux_puntos!$1:$1,0))="",NA(),INDEX(Aux_puntos!$A$2:$OJ$901,297,MATCH($B$2&amp;"|yN",Aux_puntos!$1:$1,0))),NA())</f>
        <v>#N/A</v>
      </c>
    </row>
    <row r="302" spans="29:36" x14ac:dyDescent="0.3">
      <c r="AC302" t="e">
        <f>IFERROR(IF(INDEX(Aux_puntos!$A$2:$OJ$901,298,MATCH($B$2&amp;"|xK",Aux_puntos!$1:$1,0))="",NA(),INDEX(Aux_puntos!$A$2:$OJ$901,298,MATCH($B$2&amp;"|xK",Aux_puntos!$1:$1,0))),NA())</f>
        <v>#N/A</v>
      </c>
      <c r="AD302" t="e">
        <f>IFERROR(IF(INDEX(Aux_puntos!$A$2:$OJ$901,298,MATCH($B$2&amp;"|yK",Aux_puntos!$1:$1,0))="",NA(),INDEX(Aux_puntos!$A$2:$OJ$901,298,MATCH($B$2&amp;"|yK",Aux_puntos!$1:$1,0))),NA())</f>
        <v>#N/A</v>
      </c>
      <c r="AE302" t="e">
        <f>IFERROR(IF(INDEX(Aux_puntos!$A$2:$OJ$901,298,MATCH($B$2&amp;"|xC",Aux_puntos!$1:$1,0))="",NA(),INDEX(Aux_puntos!$A$2:$OJ$901,298,MATCH($B$2&amp;"|xC",Aux_puntos!$1:$1,0))),NA())</f>
        <v>#N/A</v>
      </c>
      <c r="AF302" t="e">
        <f>IFERROR(IF(INDEX(Aux_puntos!$A$2:$OJ$901,298,MATCH($B$2&amp;"|yC",Aux_puntos!$1:$1,0))="",NA(),INDEX(Aux_puntos!$A$2:$OJ$901,298,MATCH($B$2&amp;"|yC",Aux_puntos!$1:$1,0))),NA())</f>
        <v>#N/A</v>
      </c>
      <c r="AG302" t="e">
        <f>IFERROR(IF(INDEX(Aux_puntos!$A$2:$OJ$901,298,MATCH($B$2&amp;"|xI",Aux_puntos!$1:$1,0))="",NA(),INDEX(Aux_puntos!$A$2:$OJ$901,298,MATCH($B$2&amp;"|xI",Aux_puntos!$1:$1,0))),NA())</f>
        <v>#N/A</v>
      </c>
      <c r="AH302" t="e">
        <f>IFERROR(IF(INDEX(Aux_puntos!$A$2:$OJ$901,298,MATCH($B$2&amp;"|yI",Aux_puntos!$1:$1,0))="",NA(),INDEX(Aux_puntos!$A$2:$OJ$901,298,MATCH($B$2&amp;"|yI",Aux_puntos!$1:$1,0))),NA())</f>
        <v>#N/A</v>
      </c>
      <c r="AI302" t="e">
        <f>IFERROR(IF(INDEX(Aux_puntos!$A$2:$OJ$901,298,MATCH($B$2&amp;"|xN",Aux_puntos!$1:$1,0))="",NA(),INDEX(Aux_puntos!$A$2:$OJ$901,298,MATCH($B$2&amp;"|xN",Aux_puntos!$1:$1,0))),NA())</f>
        <v>#N/A</v>
      </c>
      <c r="AJ302" t="e">
        <f>IFERROR(IF(INDEX(Aux_puntos!$A$2:$OJ$901,298,MATCH($B$2&amp;"|yN",Aux_puntos!$1:$1,0))="",NA(),INDEX(Aux_puntos!$A$2:$OJ$901,298,MATCH($B$2&amp;"|yN",Aux_puntos!$1:$1,0))),NA())</f>
        <v>#N/A</v>
      </c>
    </row>
    <row r="303" spans="29:36" x14ac:dyDescent="0.3">
      <c r="AC303" t="e">
        <f>IFERROR(IF(INDEX(Aux_puntos!$A$2:$OJ$901,299,MATCH($B$2&amp;"|xK",Aux_puntos!$1:$1,0))="",NA(),INDEX(Aux_puntos!$A$2:$OJ$901,299,MATCH($B$2&amp;"|xK",Aux_puntos!$1:$1,0))),NA())</f>
        <v>#N/A</v>
      </c>
      <c r="AD303" t="e">
        <f>IFERROR(IF(INDEX(Aux_puntos!$A$2:$OJ$901,299,MATCH($B$2&amp;"|yK",Aux_puntos!$1:$1,0))="",NA(),INDEX(Aux_puntos!$A$2:$OJ$901,299,MATCH($B$2&amp;"|yK",Aux_puntos!$1:$1,0))),NA())</f>
        <v>#N/A</v>
      </c>
      <c r="AE303" t="e">
        <f>IFERROR(IF(INDEX(Aux_puntos!$A$2:$OJ$901,299,MATCH($B$2&amp;"|xC",Aux_puntos!$1:$1,0))="",NA(),INDEX(Aux_puntos!$A$2:$OJ$901,299,MATCH($B$2&amp;"|xC",Aux_puntos!$1:$1,0))),NA())</f>
        <v>#N/A</v>
      </c>
      <c r="AF303" t="e">
        <f>IFERROR(IF(INDEX(Aux_puntos!$A$2:$OJ$901,299,MATCH($B$2&amp;"|yC",Aux_puntos!$1:$1,0))="",NA(),INDEX(Aux_puntos!$A$2:$OJ$901,299,MATCH($B$2&amp;"|yC",Aux_puntos!$1:$1,0))),NA())</f>
        <v>#N/A</v>
      </c>
      <c r="AG303" t="e">
        <f>IFERROR(IF(INDEX(Aux_puntos!$A$2:$OJ$901,299,MATCH($B$2&amp;"|xI",Aux_puntos!$1:$1,0))="",NA(),INDEX(Aux_puntos!$A$2:$OJ$901,299,MATCH($B$2&amp;"|xI",Aux_puntos!$1:$1,0))),NA())</f>
        <v>#N/A</v>
      </c>
      <c r="AH303" t="e">
        <f>IFERROR(IF(INDEX(Aux_puntos!$A$2:$OJ$901,299,MATCH($B$2&amp;"|yI",Aux_puntos!$1:$1,0))="",NA(),INDEX(Aux_puntos!$A$2:$OJ$901,299,MATCH($B$2&amp;"|yI",Aux_puntos!$1:$1,0))),NA())</f>
        <v>#N/A</v>
      </c>
      <c r="AI303" t="e">
        <f>IFERROR(IF(INDEX(Aux_puntos!$A$2:$OJ$901,299,MATCH($B$2&amp;"|xN",Aux_puntos!$1:$1,0))="",NA(),INDEX(Aux_puntos!$A$2:$OJ$901,299,MATCH($B$2&amp;"|xN",Aux_puntos!$1:$1,0))),NA())</f>
        <v>#N/A</v>
      </c>
      <c r="AJ303" t="e">
        <f>IFERROR(IF(INDEX(Aux_puntos!$A$2:$OJ$901,299,MATCH($B$2&amp;"|yN",Aux_puntos!$1:$1,0))="",NA(),INDEX(Aux_puntos!$A$2:$OJ$901,299,MATCH($B$2&amp;"|yN",Aux_puntos!$1:$1,0))),NA())</f>
        <v>#N/A</v>
      </c>
    </row>
    <row r="304" spans="29:36" x14ac:dyDescent="0.3">
      <c r="AC304" t="e">
        <f>IFERROR(IF(INDEX(Aux_puntos!$A$2:$OJ$901,300,MATCH($B$2&amp;"|xK",Aux_puntos!$1:$1,0))="",NA(),INDEX(Aux_puntos!$A$2:$OJ$901,300,MATCH($B$2&amp;"|xK",Aux_puntos!$1:$1,0))),NA())</f>
        <v>#N/A</v>
      </c>
      <c r="AD304" t="e">
        <f>IFERROR(IF(INDEX(Aux_puntos!$A$2:$OJ$901,300,MATCH($B$2&amp;"|yK",Aux_puntos!$1:$1,0))="",NA(),INDEX(Aux_puntos!$A$2:$OJ$901,300,MATCH($B$2&amp;"|yK",Aux_puntos!$1:$1,0))),NA())</f>
        <v>#N/A</v>
      </c>
      <c r="AE304" t="e">
        <f>IFERROR(IF(INDEX(Aux_puntos!$A$2:$OJ$901,300,MATCH($B$2&amp;"|xC",Aux_puntos!$1:$1,0))="",NA(),INDEX(Aux_puntos!$A$2:$OJ$901,300,MATCH($B$2&amp;"|xC",Aux_puntos!$1:$1,0))),NA())</f>
        <v>#N/A</v>
      </c>
      <c r="AF304" t="e">
        <f>IFERROR(IF(INDEX(Aux_puntos!$A$2:$OJ$901,300,MATCH($B$2&amp;"|yC",Aux_puntos!$1:$1,0))="",NA(),INDEX(Aux_puntos!$A$2:$OJ$901,300,MATCH($B$2&amp;"|yC",Aux_puntos!$1:$1,0))),NA())</f>
        <v>#N/A</v>
      </c>
      <c r="AG304" t="e">
        <f>IFERROR(IF(INDEX(Aux_puntos!$A$2:$OJ$901,300,MATCH($B$2&amp;"|xI",Aux_puntos!$1:$1,0))="",NA(),INDEX(Aux_puntos!$A$2:$OJ$901,300,MATCH($B$2&amp;"|xI",Aux_puntos!$1:$1,0))),NA())</f>
        <v>#N/A</v>
      </c>
      <c r="AH304" t="e">
        <f>IFERROR(IF(INDEX(Aux_puntos!$A$2:$OJ$901,300,MATCH($B$2&amp;"|yI",Aux_puntos!$1:$1,0))="",NA(),INDEX(Aux_puntos!$A$2:$OJ$901,300,MATCH($B$2&amp;"|yI",Aux_puntos!$1:$1,0))),NA())</f>
        <v>#N/A</v>
      </c>
      <c r="AI304" t="e">
        <f>IFERROR(IF(INDEX(Aux_puntos!$A$2:$OJ$901,300,MATCH($B$2&amp;"|xN",Aux_puntos!$1:$1,0))="",NA(),INDEX(Aux_puntos!$A$2:$OJ$901,300,MATCH($B$2&amp;"|xN",Aux_puntos!$1:$1,0))),NA())</f>
        <v>#N/A</v>
      </c>
      <c r="AJ304" t="e">
        <f>IFERROR(IF(INDEX(Aux_puntos!$A$2:$OJ$901,300,MATCH($B$2&amp;"|yN",Aux_puntos!$1:$1,0))="",NA(),INDEX(Aux_puntos!$A$2:$OJ$901,300,MATCH($B$2&amp;"|yN",Aux_puntos!$1:$1,0))),NA())</f>
        <v>#N/A</v>
      </c>
    </row>
    <row r="305" spans="29:36" x14ac:dyDescent="0.3">
      <c r="AC305" t="e">
        <f>IFERROR(IF(INDEX(Aux_puntos!$A$2:$OJ$901,301,MATCH($B$2&amp;"|xK",Aux_puntos!$1:$1,0))="",NA(),INDEX(Aux_puntos!$A$2:$OJ$901,301,MATCH($B$2&amp;"|xK",Aux_puntos!$1:$1,0))),NA())</f>
        <v>#N/A</v>
      </c>
      <c r="AD305" t="e">
        <f>IFERROR(IF(INDEX(Aux_puntos!$A$2:$OJ$901,301,MATCH($B$2&amp;"|yK",Aux_puntos!$1:$1,0))="",NA(),INDEX(Aux_puntos!$A$2:$OJ$901,301,MATCH($B$2&amp;"|yK",Aux_puntos!$1:$1,0))),NA())</f>
        <v>#N/A</v>
      </c>
      <c r="AE305" t="e">
        <f>IFERROR(IF(INDEX(Aux_puntos!$A$2:$OJ$901,301,MATCH($B$2&amp;"|xC",Aux_puntos!$1:$1,0))="",NA(),INDEX(Aux_puntos!$A$2:$OJ$901,301,MATCH($B$2&amp;"|xC",Aux_puntos!$1:$1,0))),NA())</f>
        <v>#N/A</v>
      </c>
      <c r="AF305" t="e">
        <f>IFERROR(IF(INDEX(Aux_puntos!$A$2:$OJ$901,301,MATCH($B$2&amp;"|yC",Aux_puntos!$1:$1,0))="",NA(),INDEX(Aux_puntos!$A$2:$OJ$901,301,MATCH($B$2&amp;"|yC",Aux_puntos!$1:$1,0))),NA())</f>
        <v>#N/A</v>
      </c>
      <c r="AG305" t="e">
        <f>IFERROR(IF(INDEX(Aux_puntos!$A$2:$OJ$901,301,MATCH($B$2&amp;"|xI",Aux_puntos!$1:$1,0))="",NA(),INDEX(Aux_puntos!$A$2:$OJ$901,301,MATCH($B$2&amp;"|xI",Aux_puntos!$1:$1,0))),NA())</f>
        <v>#N/A</v>
      </c>
      <c r="AH305" t="e">
        <f>IFERROR(IF(INDEX(Aux_puntos!$A$2:$OJ$901,301,MATCH($B$2&amp;"|yI",Aux_puntos!$1:$1,0))="",NA(),INDEX(Aux_puntos!$A$2:$OJ$901,301,MATCH($B$2&amp;"|yI",Aux_puntos!$1:$1,0))),NA())</f>
        <v>#N/A</v>
      </c>
      <c r="AI305" t="e">
        <f>IFERROR(IF(INDEX(Aux_puntos!$A$2:$OJ$901,301,MATCH($B$2&amp;"|xN",Aux_puntos!$1:$1,0))="",NA(),INDEX(Aux_puntos!$A$2:$OJ$901,301,MATCH($B$2&amp;"|xN",Aux_puntos!$1:$1,0))),NA())</f>
        <v>#N/A</v>
      </c>
      <c r="AJ305" t="e">
        <f>IFERROR(IF(INDEX(Aux_puntos!$A$2:$OJ$901,301,MATCH($B$2&amp;"|yN",Aux_puntos!$1:$1,0))="",NA(),INDEX(Aux_puntos!$A$2:$OJ$901,301,MATCH($B$2&amp;"|yN",Aux_puntos!$1:$1,0))),NA())</f>
        <v>#N/A</v>
      </c>
    </row>
    <row r="306" spans="29:36" x14ac:dyDescent="0.3">
      <c r="AC306" t="e">
        <f>IFERROR(IF(INDEX(Aux_puntos!$A$2:$OJ$901,302,MATCH($B$2&amp;"|xK",Aux_puntos!$1:$1,0))="",NA(),INDEX(Aux_puntos!$A$2:$OJ$901,302,MATCH($B$2&amp;"|xK",Aux_puntos!$1:$1,0))),NA())</f>
        <v>#N/A</v>
      </c>
      <c r="AD306" t="e">
        <f>IFERROR(IF(INDEX(Aux_puntos!$A$2:$OJ$901,302,MATCH($B$2&amp;"|yK",Aux_puntos!$1:$1,0))="",NA(),INDEX(Aux_puntos!$A$2:$OJ$901,302,MATCH($B$2&amp;"|yK",Aux_puntos!$1:$1,0))),NA())</f>
        <v>#N/A</v>
      </c>
      <c r="AE306" t="e">
        <f>IFERROR(IF(INDEX(Aux_puntos!$A$2:$OJ$901,302,MATCH($B$2&amp;"|xC",Aux_puntos!$1:$1,0))="",NA(),INDEX(Aux_puntos!$A$2:$OJ$901,302,MATCH($B$2&amp;"|xC",Aux_puntos!$1:$1,0))),NA())</f>
        <v>#N/A</v>
      </c>
      <c r="AF306" t="e">
        <f>IFERROR(IF(INDEX(Aux_puntos!$A$2:$OJ$901,302,MATCH($B$2&amp;"|yC",Aux_puntos!$1:$1,0))="",NA(),INDEX(Aux_puntos!$A$2:$OJ$901,302,MATCH($B$2&amp;"|yC",Aux_puntos!$1:$1,0))),NA())</f>
        <v>#N/A</v>
      </c>
      <c r="AG306" t="e">
        <f>IFERROR(IF(INDEX(Aux_puntos!$A$2:$OJ$901,302,MATCH($B$2&amp;"|xI",Aux_puntos!$1:$1,0))="",NA(),INDEX(Aux_puntos!$A$2:$OJ$901,302,MATCH($B$2&amp;"|xI",Aux_puntos!$1:$1,0))),NA())</f>
        <v>#N/A</v>
      </c>
      <c r="AH306" t="e">
        <f>IFERROR(IF(INDEX(Aux_puntos!$A$2:$OJ$901,302,MATCH($B$2&amp;"|yI",Aux_puntos!$1:$1,0))="",NA(),INDEX(Aux_puntos!$A$2:$OJ$901,302,MATCH($B$2&amp;"|yI",Aux_puntos!$1:$1,0))),NA())</f>
        <v>#N/A</v>
      </c>
      <c r="AI306" t="e">
        <f>IFERROR(IF(INDEX(Aux_puntos!$A$2:$OJ$901,302,MATCH($B$2&amp;"|xN",Aux_puntos!$1:$1,0))="",NA(),INDEX(Aux_puntos!$A$2:$OJ$901,302,MATCH($B$2&amp;"|xN",Aux_puntos!$1:$1,0))),NA())</f>
        <v>#N/A</v>
      </c>
      <c r="AJ306" t="e">
        <f>IFERROR(IF(INDEX(Aux_puntos!$A$2:$OJ$901,302,MATCH($B$2&amp;"|yN",Aux_puntos!$1:$1,0))="",NA(),INDEX(Aux_puntos!$A$2:$OJ$901,302,MATCH($B$2&amp;"|yN",Aux_puntos!$1:$1,0))),NA())</f>
        <v>#N/A</v>
      </c>
    </row>
    <row r="307" spans="29:36" x14ac:dyDescent="0.3">
      <c r="AC307" t="e">
        <f>IFERROR(IF(INDEX(Aux_puntos!$A$2:$OJ$901,303,MATCH($B$2&amp;"|xK",Aux_puntos!$1:$1,0))="",NA(),INDEX(Aux_puntos!$A$2:$OJ$901,303,MATCH($B$2&amp;"|xK",Aux_puntos!$1:$1,0))),NA())</f>
        <v>#N/A</v>
      </c>
      <c r="AD307" t="e">
        <f>IFERROR(IF(INDEX(Aux_puntos!$A$2:$OJ$901,303,MATCH($B$2&amp;"|yK",Aux_puntos!$1:$1,0))="",NA(),INDEX(Aux_puntos!$A$2:$OJ$901,303,MATCH($B$2&amp;"|yK",Aux_puntos!$1:$1,0))),NA())</f>
        <v>#N/A</v>
      </c>
      <c r="AE307" t="e">
        <f>IFERROR(IF(INDEX(Aux_puntos!$A$2:$OJ$901,303,MATCH($B$2&amp;"|xC",Aux_puntos!$1:$1,0))="",NA(),INDEX(Aux_puntos!$A$2:$OJ$901,303,MATCH($B$2&amp;"|xC",Aux_puntos!$1:$1,0))),NA())</f>
        <v>#N/A</v>
      </c>
      <c r="AF307" t="e">
        <f>IFERROR(IF(INDEX(Aux_puntos!$A$2:$OJ$901,303,MATCH($B$2&amp;"|yC",Aux_puntos!$1:$1,0))="",NA(),INDEX(Aux_puntos!$A$2:$OJ$901,303,MATCH($B$2&amp;"|yC",Aux_puntos!$1:$1,0))),NA())</f>
        <v>#N/A</v>
      </c>
      <c r="AG307" t="e">
        <f>IFERROR(IF(INDEX(Aux_puntos!$A$2:$OJ$901,303,MATCH($B$2&amp;"|xI",Aux_puntos!$1:$1,0))="",NA(),INDEX(Aux_puntos!$A$2:$OJ$901,303,MATCH($B$2&amp;"|xI",Aux_puntos!$1:$1,0))),NA())</f>
        <v>#N/A</v>
      </c>
      <c r="AH307" t="e">
        <f>IFERROR(IF(INDEX(Aux_puntos!$A$2:$OJ$901,303,MATCH($B$2&amp;"|yI",Aux_puntos!$1:$1,0))="",NA(),INDEX(Aux_puntos!$A$2:$OJ$901,303,MATCH($B$2&amp;"|yI",Aux_puntos!$1:$1,0))),NA())</f>
        <v>#N/A</v>
      </c>
      <c r="AI307" t="e">
        <f>IFERROR(IF(INDEX(Aux_puntos!$A$2:$OJ$901,303,MATCH($B$2&amp;"|xN",Aux_puntos!$1:$1,0))="",NA(),INDEX(Aux_puntos!$A$2:$OJ$901,303,MATCH($B$2&amp;"|xN",Aux_puntos!$1:$1,0))),NA())</f>
        <v>#N/A</v>
      </c>
      <c r="AJ307" t="e">
        <f>IFERROR(IF(INDEX(Aux_puntos!$A$2:$OJ$901,303,MATCH($B$2&amp;"|yN",Aux_puntos!$1:$1,0))="",NA(),INDEX(Aux_puntos!$A$2:$OJ$901,303,MATCH($B$2&amp;"|yN",Aux_puntos!$1:$1,0))),NA())</f>
        <v>#N/A</v>
      </c>
    </row>
    <row r="308" spans="29:36" x14ac:dyDescent="0.3">
      <c r="AC308" t="e">
        <f>IFERROR(IF(INDEX(Aux_puntos!$A$2:$OJ$901,304,MATCH($B$2&amp;"|xK",Aux_puntos!$1:$1,0))="",NA(),INDEX(Aux_puntos!$A$2:$OJ$901,304,MATCH($B$2&amp;"|xK",Aux_puntos!$1:$1,0))),NA())</f>
        <v>#N/A</v>
      </c>
      <c r="AD308" t="e">
        <f>IFERROR(IF(INDEX(Aux_puntos!$A$2:$OJ$901,304,MATCH($B$2&amp;"|yK",Aux_puntos!$1:$1,0))="",NA(),INDEX(Aux_puntos!$A$2:$OJ$901,304,MATCH($B$2&amp;"|yK",Aux_puntos!$1:$1,0))),NA())</f>
        <v>#N/A</v>
      </c>
      <c r="AE308" t="e">
        <f>IFERROR(IF(INDEX(Aux_puntos!$A$2:$OJ$901,304,MATCH($B$2&amp;"|xC",Aux_puntos!$1:$1,0))="",NA(),INDEX(Aux_puntos!$A$2:$OJ$901,304,MATCH($B$2&amp;"|xC",Aux_puntos!$1:$1,0))),NA())</f>
        <v>#N/A</v>
      </c>
      <c r="AF308" t="e">
        <f>IFERROR(IF(INDEX(Aux_puntos!$A$2:$OJ$901,304,MATCH($B$2&amp;"|yC",Aux_puntos!$1:$1,0))="",NA(),INDEX(Aux_puntos!$A$2:$OJ$901,304,MATCH($B$2&amp;"|yC",Aux_puntos!$1:$1,0))),NA())</f>
        <v>#N/A</v>
      </c>
      <c r="AG308" t="e">
        <f>IFERROR(IF(INDEX(Aux_puntos!$A$2:$OJ$901,304,MATCH($B$2&amp;"|xI",Aux_puntos!$1:$1,0))="",NA(),INDEX(Aux_puntos!$A$2:$OJ$901,304,MATCH($B$2&amp;"|xI",Aux_puntos!$1:$1,0))),NA())</f>
        <v>#N/A</v>
      </c>
      <c r="AH308" t="e">
        <f>IFERROR(IF(INDEX(Aux_puntos!$A$2:$OJ$901,304,MATCH($B$2&amp;"|yI",Aux_puntos!$1:$1,0))="",NA(),INDEX(Aux_puntos!$A$2:$OJ$901,304,MATCH($B$2&amp;"|yI",Aux_puntos!$1:$1,0))),NA())</f>
        <v>#N/A</v>
      </c>
      <c r="AI308" t="e">
        <f>IFERROR(IF(INDEX(Aux_puntos!$A$2:$OJ$901,304,MATCH($B$2&amp;"|xN",Aux_puntos!$1:$1,0))="",NA(),INDEX(Aux_puntos!$A$2:$OJ$901,304,MATCH($B$2&amp;"|xN",Aux_puntos!$1:$1,0))),NA())</f>
        <v>#N/A</v>
      </c>
      <c r="AJ308" t="e">
        <f>IFERROR(IF(INDEX(Aux_puntos!$A$2:$OJ$901,304,MATCH($B$2&amp;"|yN",Aux_puntos!$1:$1,0))="",NA(),INDEX(Aux_puntos!$A$2:$OJ$901,304,MATCH($B$2&amp;"|yN",Aux_puntos!$1:$1,0))),NA())</f>
        <v>#N/A</v>
      </c>
    </row>
    <row r="309" spans="29:36" x14ac:dyDescent="0.3">
      <c r="AC309" t="e">
        <f>IFERROR(IF(INDEX(Aux_puntos!$A$2:$OJ$901,305,MATCH($B$2&amp;"|xK",Aux_puntos!$1:$1,0))="",NA(),INDEX(Aux_puntos!$A$2:$OJ$901,305,MATCH($B$2&amp;"|xK",Aux_puntos!$1:$1,0))),NA())</f>
        <v>#N/A</v>
      </c>
      <c r="AD309" t="e">
        <f>IFERROR(IF(INDEX(Aux_puntos!$A$2:$OJ$901,305,MATCH($B$2&amp;"|yK",Aux_puntos!$1:$1,0))="",NA(),INDEX(Aux_puntos!$A$2:$OJ$901,305,MATCH($B$2&amp;"|yK",Aux_puntos!$1:$1,0))),NA())</f>
        <v>#N/A</v>
      </c>
      <c r="AE309" t="e">
        <f>IFERROR(IF(INDEX(Aux_puntos!$A$2:$OJ$901,305,MATCH($B$2&amp;"|xC",Aux_puntos!$1:$1,0))="",NA(),INDEX(Aux_puntos!$A$2:$OJ$901,305,MATCH($B$2&amp;"|xC",Aux_puntos!$1:$1,0))),NA())</f>
        <v>#N/A</v>
      </c>
      <c r="AF309" t="e">
        <f>IFERROR(IF(INDEX(Aux_puntos!$A$2:$OJ$901,305,MATCH($B$2&amp;"|yC",Aux_puntos!$1:$1,0))="",NA(),INDEX(Aux_puntos!$A$2:$OJ$901,305,MATCH($B$2&amp;"|yC",Aux_puntos!$1:$1,0))),NA())</f>
        <v>#N/A</v>
      </c>
      <c r="AG309" t="e">
        <f>IFERROR(IF(INDEX(Aux_puntos!$A$2:$OJ$901,305,MATCH($B$2&amp;"|xI",Aux_puntos!$1:$1,0))="",NA(),INDEX(Aux_puntos!$A$2:$OJ$901,305,MATCH($B$2&amp;"|xI",Aux_puntos!$1:$1,0))),NA())</f>
        <v>#N/A</v>
      </c>
      <c r="AH309" t="e">
        <f>IFERROR(IF(INDEX(Aux_puntos!$A$2:$OJ$901,305,MATCH($B$2&amp;"|yI",Aux_puntos!$1:$1,0))="",NA(),INDEX(Aux_puntos!$A$2:$OJ$901,305,MATCH($B$2&amp;"|yI",Aux_puntos!$1:$1,0))),NA())</f>
        <v>#N/A</v>
      </c>
      <c r="AI309" t="e">
        <f>IFERROR(IF(INDEX(Aux_puntos!$A$2:$OJ$901,305,MATCH($B$2&amp;"|xN",Aux_puntos!$1:$1,0))="",NA(),INDEX(Aux_puntos!$A$2:$OJ$901,305,MATCH($B$2&amp;"|xN",Aux_puntos!$1:$1,0))),NA())</f>
        <v>#N/A</v>
      </c>
      <c r="AJ309" t="e">
        <f>IFERROR(IF(INDEX(Aux_puntos!$A$2:$OJ$901,305,MATCH($B$2&amp;"|yN",Aux_puntos!$1:$1,0))="",NA(),INDEX(Aux_puntos!$A$2:$OJ$901,305,MATCH($B$2&amp;"|yN",Aux_puntos!$1:$1,0))),NA())</f>
        <v>#N/A</v>
      </c>
    </row>
    <row r="310" spans="29:36" x14ac:dyDescent="0.3">
      <c r="AC310" t="e">
        <f>IFERROR(IF(INDEX(Aux_puntos!$A$2:$OJ$901,306,MATCH($B$2&amp;"|xK",Aux_puntos!$1:$1,0))="",NA(),INDEX(Aux_puntos!$A$2:$OJ$901,306,MATCH($B$2&amp;"|xK",Aux_puntos!$1:$1,0))),NA())</f>
        <v>#N/A</v>
      </c>
      <c r="AD310" t="e">
        <f>IFERROR(IF(INDEX(Aux_puntos!$A$2:$OJ$901,306,MATCH($B$2&amp;"|yK",Aux_puntos!$1:$1,0))="",NA(),INDEX(Aux_puntos!$A$2:$OJ$901,306,MATCH($B$2&amp;"|yK",Aux_puntos!$1:$1,0))),NA())</f>
        <v>#N/A</v>
      </c>
      <c r="AE310" t="e">
        <f>IFERROR(IF(INDEX(Aux_puntos!$A$2:$OJ$901,306,MATCH($B$2&amp;"|xC",Aux_puntos!$1:$1,0))="",NA(),INDEX(Aux_puntos!$A$2:$OJ$901,306,MATCH($B$2&amp;"|xC",Aux_puntos!$1:$1,0))),NA())</f>
        <v>#N/A</v>
      </c>
      <c r="AF310" t="e">
        <f>IFERROR(IF(INDEX(Aux_puntos!$A$2:$OJ$901,306,MATCH($B$2&amp;"|yC",Aux_puntos!$1:$1,0))="",NA(),INDEX(Aux_puntos!$A$2:$OJ$901,306,MATCH($B$2&amp;"|yC",Aux_puntos!$1:$1,0))),NA())</f>
        <v>#N/A</v>
      </c>
      <c r="AG310" t="e">
        <f>IFERROR(IF(INDEX(Aux_puntos!$A$2:$OJ$901,306,MATCH($B$2&amp;"|xI",Aux_puntos!$1:$1,0))="",NA(),INDEX(Aux_puntos!$A$2:$OJ$901,306,MATCH($B$2&amp;"|xI",Aux_puntos!$1:$1,0))),NA())</f>
        <v>#N/A</v>
      </c>
      <c r="AH310" t="e">
        <f>IFERROR(IF(INDEX(Aux_puntos!$A$2:$OJ$901,306,MATCH($B$2&amp;"|yI",Aux_puntos!$1:$1,0))="",NA(),INDEX(Aux_puntos!$A$2:$OJ$901,306,MATCH($B$2&amp;"|yI",Aux_puntos!$1:$1,0))),NA())</f>
        <v>#N/A</v>
      </c>
      <c r="AI310" t="e">
        <f>IFERROR(IF(INDEX(Aux_puntos!$A$2:$OJ$901,306,MATCH($B$2&amp;"|xN",Aux_puntos!$1:$1,0))="",NA(),INDEX(Aux_puntos!$A$2:$OJ$901,306,MATCH($B$2&amp;"|xN",Aux_puntos!$1:$1,0))),NA())</f>
        <v>#N/A</v>
      </c>
      <c r="AJ310" t="e">
        <f>IFERROR(IF(INDEX(Aux_puntos!$A$2:$OJ$901,306,MATCH($B$2&amp;"|yN",Aux_puntos!$1:$1,0))="",NA(),INDEX(Aux_puntos!$A$2:$OJ$901,306,MATCH($B$2&amp;"|yN",Aux_puntos!$1:$1,0))),NA())</f>
        <v>#N/A</v>
      </c>
    </row>
    <row r="311" spans="29:36" x14ac:dyDescent="0.3">
      <c r="AC311" t="e">
        <f>IFERROR(IF(INDEX(Aux_puntos!$A$2:$OJ$901,307,MATCH($B$2&amp;"|xK",Aux_puntos!$1:$1,0))="",NA(),INDEX(Aux_puntos!$A$2:$OJ$901,307,MATCH($B$2&amp;"|xK",Aux_puntos!$1:$1,0))),NA())</f>
        <v>#N/A</v>
      </c>
      <c r="AD311" t="e">
        <f>IFERROR(IF(INDEX(Aux_puntos!$A$2:$OJ$901,307,MATCH($B$2&amp;"|yK",Aux_puntos!$1:$1,0))="",NA(),INDEX(Aux_puntos!$A$2:$OJ$901,307,MATCH($B$2&amp;"|yK",Aux_puntos!$1:$1,0))),NA())</f>
        <v>#N/A</v>
      </c>
      <c r="AE311" t="e">
        <f>IFERROR(IF(INDEX(Aux_puntos!$A$2:$OJ$901,307,MATCH($B$2&amp;"|xC",Aux_puntos!$1:$1,0))="",NA(),INDEX(Aux_puntos!$A$2:$OJ$901,307,MATCH($B$2&amp;"|xC",Aux_puntos!$1:$1,0))),NA())</f>
        <v>#N/A</v>
      </c>
      <c r="AF311" t="e">
        <f>IFERROR(IF(INDEX(Aux_puntos!$A$2:$OJ$901,307,MATCH($B$2&amp;"|yC",Aux_puntos!$1:$1,0))="",NA(),INDEX(Aux_puntos!$A$2:$OJ$901,307,MATCH($B$2&amp;"|yC",Aux_puntos!$1:$1,0))),NA())</f>
        <v>#N/A</v>
      </c>
      <c r="AG311" t="e">
        <f>IFERROR(IF(INDEX(Aux_puntos!$A$2:$OJ$901,307,MATCH($B$2&amp;"|xI",Aux_puntos!$1:$1,0))="",NA(),INDEX(Aux_puntos!$A$2:$OJ$901,307,MATCH($B$2&amp;"|xI",Aux_puntos!$1:$1,0))),NA())</f>
        <v>#N/A</v>
      </c>
      <c r="AH311" t="e">
        <f>IFERROR(IF(INDEX(Aux_puntos!$A$2:$OJ$901,307,MATCH($B$2&amp;"|yI",Aux_puntos!$1:$1,0))="",NA(),INDEX(Aux_puntos!$A$2:$OJ$901,307,MATCH($B$2&amp;"|yI",Aux_puntos!$1:$1,0))),NA())</f>
        <v>#N/A</v>
      </c>
      <c r="AI311" t="e">
        <f>IFERROR(IF(INDEX(Aux_puntos!$A$2:$OJ$901,307,MATCH($B$2&amp;"|xN",Aux_puntos!$1:$1,0))="",NA(),INDEX(Aux_puntos!$A$2:$OJ$901,307,MATCH($B$2&amp;"|xN",Aux_puntos!$1:$1,0))),NA())</f>
        <v>#N/A</v>
      </c>
      <c r="AJ311" t="e">
        <f>IFERROR(IF(INDEX(Aux_puntos!$A$2:$OJ$901,307,MATCH($B$2&amp;"|yN",Aux_puntos!$1:$1,0))="",NA(),INDEX(Aux_puntos!$A$2:$OJ$901,307,MATCH($B$2&amp;"|yN",Aux_puntos!$1:$1,0))),NA())</f>
        <v>#N/A</v>
      </c>
    </row>
    <row r="312" spans="29:36" x14ac:dyDescent="0.3">
      <c r="AC312" t="e">
        <f>IFERROR(IF(INDEX(Aux_puntos!$A$2:$OJ$901,308,MATCH($B$2&amp;"|xK",Aux_puntos!$1:$1,0))="",NA(),INDEX(Aux_puntos!$A$2:$OJ$901,308,MATCH($B$2&amp;"|xK",Aux_puntos!$1:$1,0))),NA())</f>
        <v>#N/A</v>
      </c>
      <c r="AD312" t="e">
        <f>IFERROR(IF(INDEX(Aux_puntos!$A$2:$OJ$901,308,MATCH($B$2&amp;"|yK",Aux_puntos!$1:$1,0))="",NA(),INDEX(Aux_puntos!$A$2:$OJ$901,308,MATCH($B$2&amp;"|yK",Aux_puntos!$1:$1,0))),NA())</f>
        <v>#N/A</v>
      </c>
      <c r="AE312" t="e">
        <f>IFERROR(IF(INDEX(Aux_puntos!$A$2:$OJ$901,308,MATCH($B$2&amp;"|xC",Aux_puntos!$1:$1,0))="",NA(),INDEX(Aux_puntos!$A$2:$OJ$901,308,MATCH($B$2&amp;"|xC",Aux_puntos!$1:$1,0))),NA())</f>
        <v>#N/A</v>
      </c>
      <c r="AF312" t="e">
        <f>IFERROR(IF(INDEX(Aux_puntos!$A$2:$OJ$901,308,MATCH($B$2&amp;"|yC",Aux_puntos!$1:$1,0))="",NA(),INDEX(Aux_puntos!$A$2:$OJ$901,308,MATCH($B$2&amp;"|yC",Aux_puntos!$1:$1,0))),NA())</f>
        <v>#N/A</v>
      </c>
      <c r="AG312" t="e">
        <f>IFERROR(IF(INDEX(Aux_puntos!$A$2:$OJ$901,308,MATCH($B$2&amp;"|xI",Aux_puntos!$1:$1,0))="",NA(),INDEX(Aux_puntos!$A$2:$OJ$901,308,MATCH($B$2&amp;"|xI",Aux_puntos!$1:$1,0))),NA())</f>
        <v>#N/A</v>
      </c>
      <c r="AH312" t="e">
        <f>IFERROR(IF(INDEX(Aux_puntos!$A$2:$OJ$901,308,MATCH($B$2&amp;"|yI",Aux_puntos!$1:$1,0))="",NA(),INDEX(Aux_puntos!$A$2:$OJ$901,308,MATCH($B$2&amp;"|yI",Aux_puntos!$1:$1,0))),NA())</f>
        <v>#N/A</v>
      </c>
      <c r="AI312" t="e">
        <f>IFERROR(IF(INDEX(Aux_puntos!$A$2:$OJ$901,308,MATCH($B$2&amp;"|xN",Aux_puntos!$1:$1,0))="",NA(),INDEX(Aux_puntos!$A$2:$OJ$901,308,MATCH($B$2&amp;"|xN",Aux_puntos!$1:$1,0))),NA())</f>
        <v>#N/A</v>
      </c>
      <c r="AJ312" t="e">
        <f>IFERROR(IF(INDEX(Aux_puntos!$A$2:$OJ$901,308,MATCH($B$2&amp;"|yN",Aux_puntos!$1:$1,0))="",NA(),INDEX(Aux_puntos!$A$2:$OJ$901,308,MATCH($B$2&amp;"|yN",Aux_puntos!$1:$1,0))),NA())</f>
        <v>#N/A</v>
      </c>
    </row>
    <row r="313" spans="29:36" x14ac:dyDescent="0.3">
      <c r="AC313" t="e">
        <f>IFERROR(IF(INDEX(Aux_puntos!$A$2:$OJ$901,309,MATCH($B$2&amp;"|xK",Aux_puntos!$1:$1,0))="",NA(),INDEX(Aux_puntos!$A$2:$OJ$901,309,MATCH($B$2&amp;"|xK",Aux_puntos!$1:$1,0))),NA())</f>
        <v>#N/A</v>
      </c>
      <c r="AD313" t="e">
        <f>IFERROR(IF(INDEX(Aux_puntos!$A$2:$OJ$901,309,MATCH($B$2&amp;"|yK",Aux_puntos!$1:$1,0))="",NA(),INDEX(Aux_puntos!$A$2:$OJ$901,309,MATCH($B$2&amp;"|yK",Aux_puntos!$1:$1,0))),NA())</f>
        <v>#N/A</v>
      </c>
      <c r="AE313" t="e">
        <f>IFERROR(IF(INDEX(Aux_puntos!$A$2:$OJ$901,309,MATCH($B$2&amp;"|xC",Aux_puntos!$1:$1,0))="",NA(),INDEX(Aux_puntos!$A$2:$OJ$901,309,MATCH($B$2&amp;"|xC",Aux_puntos!$1:$1,0))),NA())</f>
        <v>#N/A</v>
      </c>
      <c r="AF313" t="e">
        <f>IFERROR(IF(INDEX(Aux_puntos!$A$2:$OJ$901,309,MATCH($B$2&amp;"|yC",Aux_puntos!$1:$1,0))="",NA(),INDEX(Aux_puntos!$A$2:$OJ$901,309,MATCH($B$2&amp;"|yC",Aux_puntos!$1:$1,0))),NA())</f>
        <v>#N/A</v>
      </c>
      <c r="AG313" t="e">
        <f>IFERROR(IF(INDEX(Aux_puntos!$A$2:$OJ$901,309,MATCH($B$2&amp;"|xI",Aux_puntos!$1:$1,0))="",NA(),INDEX(Aux_puntos!$A$2:$OJ$901,309,MATCH($B$2&amp;"|xI",Aux_puntos!$1:$1,0))),NA())</f>
        <v>#N/A</v>
      </c>
      <c r="AH313" t="e">
        <f>IFERROR(IF(INDEX(Aux_puntos!$A$2:$OJ$901,309,MATCH($B$2&amp;"|yI",Aux_puntos!$1:$1,0))="",NA(),INDEX(Aux_puntos!$A$2:$OJ$901,309,MATCH($B$2&amp;"|yI",Aux_puntos!$1:$1,0))),NA())</f>
        <v>#N/A</v>
      </c>
      <c r="AI313" t="e">
        <f>IFERROR(IF(INDEX(Aux_puntos!$A$2:$OJ$901,309,MATCH($B$2&amp;"|xN",Aux_puntos!$1:$1,0))="",NA(),INDEX(Aux_puntos!$A$2:$OJ$901,309,MATCH($B$2&amp;"|xN",Aux_puntos!$1:$1,0))),NA())</f>
        <v>#N/A</v>
      </c>
      <c r="AJ313" t="e">
        <f>IFERROR(IF(INDEX(Aux_puntos!$A$2:$OJ$901,309,MATCH($B$2&amp;"|yN",Aux_puntos!$1:$1,0))="",NA(),INDEX(Aux_puntos!$A$2:$OJ$901,309,MATCH($B$2&amp;"|yN",Aux_puntos!$1:$1,0))),NA())</f>
        <v>#N/A</v>
      </c>
    </row>
    <row r="314" spans="29:36" x14ac:dyDescent="0.3">
      <c r="AC314" t="e">
        <f>IFERROR(IF(INDEX(Aux_puntos!$A$2:$OJ$901,310,MATCH($B$2&amp;"|xK",Aux_puntos!$1:$1,0))="",NA(),INDEX(Aux_puntos!$A$2:$OJ$901,310,MATCH($B$2&amp;"|xK",Aux_puntos!$1:$1,0))),NA())</f>
        <v>#N/A</v>
      </c>
      <c r="AD314" t="e">
        <f>IFERROR(IF(INDEX(Aux_puntos!$A$2:$OJ$901,310,MATCH($B$2&amp;"|yK",Aux_puntos!$1:$1,0))="",NA(),INDEX(Aux_puntos!$A$2:$OJ$901,310,MATCH($B$2&amp;"|yK",Aux_puntos!$1:$1,0))),NA())</f>
        <v>#N/A</v>
      </c>
      <c r="AE314" t="e">
        <f>IFERROR(IF(INDEX(Aux_puntos!$A$2:$OJ$901,310,MATCH($B$2&amp;"|xC",Aux_puntos!$1:$1,0))="",NA(),INDEX(Aux_puntos!$A$2:$OJ$901,310,MATCH($B$2&amp;"|xC",Aux_puntos!$1:$1,0))),NA())</f>
        <v>#N/A</v>
      </c>
      <c r="AF314" t="e">
        <f>IFERROR(IF(INDEX(Aux_puntos!$A$2:$OJ$901,310,MATCH($B$2&amp;"|yC",Aux_puntos!$1:$1,0))="",NA(),INDEX(Aux_puntos!$A$2:$OJ$901,310,MATCH($B$2&amp;"|yC",Aux_puntos!$1:$1,0))),NA())</f>
        <v>#N/A</v>
      </c>
      <c r="AG314" t="e">
        <f>IFERROR(IF(INDEX(Aux_puntos!$A$2:$OJ$901,310,MATCH($B$2&amp;"|xI",Aux_puntos!$1:$1,0))="",NA(),INDEX(Aux_puntos!$A$2:$OJ$901,310,MATCH($B$2&amp;"|xI",Aux_puntos!$1:$1,0))),NA())</f>
        <v>#N/A</v>
      </c>
      <c r="AH314" t="e">
        <f>IFERROR(IF(INDEX(Aux_puntos!$A$2:$OJ$901,310,MATCH($B$2&amp;"|yI",Aux_puntos!$1:$1,0))="",NA(),INDEX(Aux_puntos!$A$2:$OJ$901,310,MATCH($B$2&amp;"|yI",Aux_puntos!$1:$1,0))),NA())</f>
        <v>#N/A</v>
      </c>
      <c r="AI314" t="e">
        <f>IFERROR(IF(INDEX(Aux_puntos!$A$2:$OJ$901,310,MATCH($B$2&amp;"|xN",Aux_puntos!$1:$1,0))="",NA(),INDEX(Aux_puntos!$A$2:$OJ$901,310,MATCH($B$2&amp;"|xN",Aux_puntos!$1:$1,0))),NA())</f>
        <v>#N/A</v>
      </c>
      <c r="AJ314" t="e">
        <f>IFERROR(IF(INDEX(Aux_puntos!$A$2:$OJ$901,310,MATCH($B$2&amp;"|yN",Aux_puntos!$1:$1,0))="",NA(),INDEX(Aux_puntos!$A$2:$OJ$901,310,MATCH($B$2&amp;"|yN",Aux_puntos!$1:$1,0))),NA())</f>
        <v>#N/A</v>
      </c>
    </row>
    <row r="315" spans="29:36" x14ac:dyDescent="0.3">
      <c r="AC315" t="e">
        <f>IFERROR(IF(INDEX(Aux_puntos!$A$2:$OJ$901,311,MATCH($B$2&amp;"|xK",Aux_puntos!$1:$1,0))="",NA(),INDEX(Aux_puntos!$A$2:$OJ$901,311,MATCH($B$2&amp;"|xK",Aux_puntos!$1:$1,0))),NA())</f>
        <v>#N/A</v>
      </c>
      <c r="AD315" t="e">
        <f>IFERROR(IF(INDEX(Aux_puntos!$A$2:$OJ$901,311,MATCH($B$2&amp;"|yK",Aux_puntos!$1:$1,0))="",NA(),INDEX(Aux_puntos!$A$2:$OJ$901,311,MATCH($B$2&amp;"|yK",Aux_puntos!$1:$1,0))),NA())</f>
        <v>#N/A</v>
      </c>
      <c r="AE315" t="e">
        <f>IFERROR(IF(INDEX(Aux_puntos!$A$2:$OJ$901,311,MATCH($B$2&amp;"|xC",Aux_puntos!$1:$1,0))="",NA(),INDEX(Aux_puntos!$A$2:$OJ$901,311,MATCH($B$2&amp;"|xC",Aux_puntos!$1:$1,0))),NA())</f>
        <v>#N/A</v>
      </c>
      <c r="AF315" t="e">
        <f>IFERROR(IF(INDEX(Aux_puntos!$A$2:$OJ$901,311,MATCH($B$2&amp;"|yC",Aux_puntos!$1:$1,0))="",NA(),INDEX(Aux_puntos!$A$2:$OJ$901,311,MATCH($B$2&amp;"|yC",Aux_puntos!$1:$1,0))),NA())</f>
        <v>#N/A</v>
      </c>
      <c r="AG315" t="e">
        <f>IFERROR(IF(INDEX(Aux_puntos!$A$2:$OJ$901,311,MATCH($B$2&amp;"|xI",Aux_puntos!$1:$1,0))="",NA(),INDEX(Aux_puntos!$A$2:$OJ$901,311,MATCH($B$2&amp;"|xI",Aux_puntos!$1:$1,0))),NA())</f>
        <v>#N/A</v>
      </c>
      <c r="AH315" t="e">
        <f>IFERROR(IF(INDEX(Aux_puntos!$A$2:$OJ$901,311,MATCH($B$2&amp;"|yI",Aux_puntos!$1:$1,0))="",NA(),INDEX(Aux_puntos!$A$2:$OJ$901,311,MATCH($B$2&amp;"|yI",Aux_puntos!$1:$1,0))),NA())</f>
        <v>#N/A</v>
      </c>
      <c r="AI315" t="e">
        <f>IFERROR(IF(INDEX(Aux_puntos!$A$2:$OJ$901,311,MATCH($B$2&amp;"|xN",Aux_puntos!$1:$1,0))="",NA(),INDEX(Aux_puntos!$A$2:$OJ$901,311,MATCH($B$2&amp;"|xN",Aux_puntos!$1:$1,0))),NA())</f>
        <v>#N/A</v>
      </c>
      <c r="AJ315" t="e">
        <f>IFERROR(IF(INDEX(Aux_puntos!$A$2:$OJ$901,311,MATCH($B$2&amp;"|yN",Aux_puntos!$1:$1,0))="",NA(),INDEX(Aux_puntos!$A$2:$OJ$901,311,MATCH($B$2&amp;"|yN",Aux_puntos!$1:$1,0))),NA())</f>
        <v>#N/A</v>
      </c>
    </row>
    <row r="316" spans="29:36" x14ac:dyDescent="0.3">
      <c r="AC316" t="e">
        <f>IFERROR(IF(INDEX(Aux_puntos!$A$2:$OJ$901,312,MATCH($B$2&amp;"|xK",Aux_puntos!$1:$1,0))="",NA(),INDEX(Aux_puntos!$A$2:$OJ$901,312,MATCH($B$2&amp;"|xK",Aux_puntos!$1:$1,0))),NA())</f>
        <v>#N/A</v>
      </c>
      <c r="AD316" t="e">
        <f>IFERROR(IF(INDEX(Aux_puntos!$A$2:$OJ$901,312,MATCH($B$2&amp;"|yK",Aux_puntos!$1:$1,0))="",NA(),INDEX(Aux_puntos!$A$2:$OJ$901,312,MATCH($B$2&amp;"|yK",Aux_puntos!$1:$1,0))),NA())</f>
        <v>#N/A</v>
      </c>
      <c r="AE316" t="e">
        <f>IFERROR(IF(INDEX(Aux_puntos!$A$2:$OJ$901,312,MATCH($B$2&amp;"|xC",Aux_puntos!$1:$1,0))="",NA(),INDEX(Aux_puntos!$A$2:$OJ$901,312,MATCH($B$2&amp;"|xC",Aux_puntos!$1:$1,0))),NA())</f>
        <v>#N/A</v>
      </c>
      <c r="AF316" t="e">
        <f>IFERROR(IF(INDEX(Aux_puntos!$A$2:$OJ$901,312,MATCH($B$2&amp;"|yC",Aux_puntos!$1:$1,0))="",NA(),INDEX(Aux_puntos!$A$2:$OJ$901,312,MATCH($B$2&amp;"|yC",Aux_puntos!$1:$1,0))),NA())</f>
        <v>#N/A</v>
      </c>
      <c r="AG316" t="e">
        <f>IFERROR(IF(INDEX(Aux_puntos!$A$2:$OJ$901,312,MATCH($B$2&amp;"|xI",Aux_puntos!$1:$1,0))="",NA(),INDEX(Aux_puntos!$A$2:$OJ$901,312,MATCH($B$2&amp;"|xI",Aux_puntos!$1:$1,0))),NA())</f>
        <v>#N/A</v>
      </c>
      <c r="AH316" t="e">
        <f>IFERROR(IF(INDEX(Aux_puntos!$A$2:$OJ$901,312,MATCH($B$2&amp;"|yI",Aux_puntos!$1:$1,0))="",NA(),INDEX(Aux_puntos!$A$2:$OJ$901,312,MATCH($B$2&amp;"|yI",Aux_puntos!$1:$1,0))),NA())</f>
        <v>#N/A</v>
      </c>
      <c r="AI316" t="e">
        <f>IFERROR(IF(INDEX(Aux_puntos!$A$2:$OJ$901,312,MATCH($B$2&amp;"|xN",Aux_puntos!$1:$1,0))="",NA(),INDEX(Aux_puntos!$A$2:$OJ$901,312,MATCH($B$2&amp;"|xN",Aux_puntos!$1:$1,0))),NA())</f>
        <v>#N/A</v>
      </c>
      <c r="AJ316" t="e">
        <f>IFERROR(IF(INDEX(Aux_puntos!$A$2:$OJ$901,312,MATCH($B$2&amp;"|yN",Aux_puntos!$1:$1,0))="",NA(),INDEX(Aux_puntos!$A$2:$OJ$901,312,MATCH($B$2&amp;"|yN",Aux_puntos!$1:$1,0))),NA())</f>
        <v>#N/A</v>
      </c>
    </row>
    <row r="317" spans="29:36" x14ac:dyDescent="0.3">
      <c r="AC317" t="e">
        <f>IFERROR(IF(INDEX(Aux_puntos!$A$2:$OJ$901,313,MATCH($B$2&amp;"|xK",Aux_puntos!$1:$1,0))="",NA(),INDEX(Aux_puntos!$A$2:$OJ$901,313,MATCH($B$2&amp;"|xK",Aux_puntos!$1:$1,0))),NA())</f>
        <v>#N/A</v>
      </c>
      <c r="AD317" t="e">
        <f>IFERROR(IF(INDEX(Aux_puntos!$A$2:$OJ$901,313,MATCH($B$2&amp;"|yK",Aux_puntos!$1:$1,0))="",NA(),INDEX(Aux_puntos!$A$2:$OJ$901,313,MATCH($B$2&amp;"|yK",Aux_puntos!$1:$1,0))),NA())</f>
        <v>#N/A</v>
      </c>
      <c r="AE317" t="e">
        <f>IFERROR(IF(INDEX(Aux_puntos!$A$2:$OJ$901,313,MATCH($B$2&amp;"|xC",Aux_puntos!$1:$1,0))="",NA(),INDEX(Aux_puntos!$A$2:$OJ$901,313,MATCH($B$2&amp;"|xC",Aux_puntos!$1:$1,0))),NA())</f>
        <v>#N/A</v>
      </c>
      <c r="AF317" t="e">
        <f>IFERROR(IF(INDEX(Aux_puntos!$A$2:$OJ$901,313,MATCH($B$2&amp;"|yC",Aux_puntos!$1:$1,0))="",NA(),INDEX(Aux_puntos!$A$2:$OJ$901,313,MATCH($B$2&amp;"|yC",Aux_puntos!$1:$1,0))),NA())</f>
        <v>#N/A</v>
      </c>
      <c r="AG317" t="e">
        <f>IFERROR(IF(INDEX(Aux_puntos!$A$2:$OJ$901,313,MATCH($B$2&amp;"|xI",Aux_puntos!$1:$1,0))="",NA(),INDEX(Aux_puntos!$A$2:$OJ$901,313,MATCH($B$2&amp;"|xI",Aux_puntos!$1:$1,0))),NA())</f>
        <v>#N/A</v>
      </c>
      <c r="AH317" t="e">
        <f>IFERROR(IF(INDEX(Aux_puntos!$A$2:$OJ$901,313,MATCH($B$2&amp;"|yI",Aux_puntos!$1:$1,0))="",NA(),INDEX(Aux_puntos!$A$2:$OJ$901,313,MATCH($B$2&amp;"|yI",Aux_puntos!$1:$1,0))),NA())</f>
        <v>#N/A</v>
      </c>
      <c r="AI317" t="e">
        <f>IFERROR(IF(INDEX(Aux_puntos!$A$2:$OJ$901,313,MATCH($B$2&amp;"|xN",Aux_puntos!$1:$1,0))="",NA(),INDEX(Aux_puntos!$A$2:$OJ$901,313,MATCH($B$2&amp;"|xN",Aux_puntos!$1:$1,0))),NA())</f>
        <v>#N/A</v>
      </c>
      <c r="AJ317" t="e">
        <f>IFERROR(IF(INDEX(Aux_puntos!$A$2:$OJ$901,313,MATCH($B$2&amp;"|yN",Aux_puntos!$1:$1,0))="",NA(),INDEX(Aux_puntos!$A$2:$OJ$901,313,MATCH($B$2&amp;"|yN",Aux_puntos!$1:$1,0))),NA())</f>
        <v>#N/A</v>
      </c>
    </row>
    <row r="318" spans="29:36" x14ac:dyDescent="0.3">
      <c r="AC318" t="e">
        <f>IFERROR(IF(INDEX(Aux_puntos!$A$2:$OJ$901,314,MATCH($B$2&amp;"|xK",Aux_puntos!$1:$1,0))="",NA(),INDEX(Aux_puntos!$A$2:$OJ$901,314,MATCH($B$2&amp;"|xK",Aux_puntos!$1:$1,0))),NA())</f>
        <v>#N/A</v>
      </c>
      <c r="AD318" t="e">
        <f>IFERROR(IF(INDEX(Aux_puntos!$A$2:$OJ$901,314,MATCH($B$2&amp;"|yK",Aux_puntos!$1:$1,0))="",NA(),INDEX(Aux_puntos!$A$2:$OJ$901,314,MATCH($B$2&amp;"|yK",Aux_puntos!$1:$1,0))),NA())</f>
        <v>#N/A</v>
      </c>
      <c r="AE318" t="e">
        <f>IFERROR(IF(INDEX(Aux_puntos!$A$2:$OJ$901,314,MATCH($B$2&amp;"|xC",Aux_puntos!$1:$1,0))="",NA(),INDEX(Aux_puntos!$A$2:$OJ$901,314,MATCH($B$2&amp;"|xC",Aux_puntos!$1:$1,0))),NA())</f>
        <v>#N/A</v>
      </c>
      <c r="AF318" t="e">
        <f>IFERROR(IF(INDEX(Aux_puntos!$A$2:$OJ$901,314,MATCH($B$2&amp;"|yC",Aux_puntos!$1:$1,0))="",NA(),INDEX(Aux_puntos!$A$2:$OJ$901,314,MATCH($B$2&amp;"|yC",Aux_puntos!$1:$1,0))),NA())</f>
        <v>#N/A</v>
      </c>
      <c r="AG318" t="e">
        <f>IFERROR(IF(INDEX(Aux_puntos!$A$2:$OJ$901,314,MATCH($B$2&amp;"|xI",Aux_puntos!$1:$1,0))="",NA(),INDEX(Aux_puntos!$A$2:$OJ$901,314,MATCH($B$2&amp;"|xI",Aux_puntos!$1:$1,0))),NA())</f>
        <v>#N/A</v>
      </c>
      <c r="AH318" t="e">
        <f>IFERROR(IF(INDEX(Aux_puntos!$A$2:$OJ$901,314,MATCH($B$2&amp;"|yI",Aux_puntos!$1:$1,0))="",NA(),INDEX(Aux_puntos!$A$2:$OJ$901,314,MATCH($B$2&amp;"|yI",Aux_puntos!$1:$1,0))),NA())</f>
        <v>#N/A</v>
      </c>
      <c r="AI318" t="e">
        <f>IFERROR(IF(INDEX(Aux_puntos!$A$2:$OJ$901,314,MATCH($B$2&amp;"|xN",Aux_puntos!$1:$1,0))="",NA(),INDEX(Aux_puntos!$A$2:$OJ$901,314,MATCH($B$2&amp;"|xN",Aux_puntos!$1:$1,0))),NA())</f>
        <v>#N/A</v>
      </c>
      <c r="AJ318" t="e">
        <f>IFERROR(IF(INDEX(Aux_puntos!$A$2:$OJ$901,314,MATCH($B$2&amp;"|yN",Aux_puntos!$1:$1,0))="",NA(),INDEX(Aux_puntos!$A$2:$OJ$901,314,MATCH($B$2&amp;"|yN",Aux_puntos!$1:$1,0))),NA())</f>
        <v>#N/A</v>
      </c>
    </row>
    <row r="319" spans="29:36" x14ac:dyDescent="0.3">
      <c r="AC319" t="e">
        <f>IFERROR(IF(INDEX(Aux_puntos!$A$2:$OJ$901,315,MATCH($B$2&amp;"|xK",Aux_puntos!$1:$1,0))="",NA(),INDEX(Aux_puntos!$A$2:$OJ$901,315,MATCH($B$2&amp;"|xK",Aux_puntos!$1:$1,0))),NA())</f>
        <v>#N/A</v>
      </c>
      <c r="AD319" t="e">
        <f>IFERROR(IF(INDEX(Aux_puntos!$A$2:$OJ$901,315,MATCH($B$2&amp;"|yK",Aux_puntos!$1:$1,0))="",NA(),INDEX(Aux_puntos!$A$2:$OJ$901,315,MATCH($B$2&amp;"|yK",Aux_puntos!$1:$1,0))),NA())</f>
        <v>#N/A</v>
      </c>
      <c r="AE319" t="e">
        <f>IFERROR(IF(INDEX(Aux_puntos!$A$2:$OJ$901,315,MATCH($B$2&amp;"|xC",Aux_puntos!$1:$1,0))="",NA(),INDEX(Aux_puntos!$A$2:$OJ$901,315,MATCH($B$2&amp;"|xC",Aux_puntos!$1:$1,0))),NA())</f>
        <v>#N/A</v>
      </c>
      <c r="AF319" t="e">
        <f>IFERROR(IF(INDEX(Aux_puntos!$A$2:$OJ$901,315,MATCH($B$2&amp;"|yC",Aux_puntos!$1:$1,0))="",NA(),INDEX(Aux_puntos!$A$2:$OJ$901,315,MATCH($B$2&amp;"|yC",Aux_puntos!$1:$1,0))),NA())</f>
        <v>#N/A</v>
      </c>
      <c r="AG319" t="e">
        <f>IFERROR(IF(INDEX(Aux_puntos!$A$2:$OJ$901,315,MATCH($B$2&amp;"|xI",Aux_puntos!$1:$1,0))="",NA(),INDEX(Aux_puntos!$A$2:$OJ$901,315,MATCH($B$2&amp;"|xI",Aux_puntos!$1:$1,0))),NA())</f>
        <v>#N/A</v>
      </c>
      <c r="AH319" t="e">
        <f>IFERROR(IF(INDEX(Aux_puntos!$A$2:$OJ$901,315,MATCH($B$2&amp;"|yI",Aux_puntos!$1:$1,0))="",NA(),INDEX(Aux_puntos!$A$2:$OJ$901,315,MATCH($B$2&amp;"|yI",Aux_puntos!$1:$1,0))),NA())</f>
        <v>#N/A</v>
      </c>
      <c r="AI319" t="e">
        <f>IFERROR(IF(INDEX(Aux_puntos!$A$2:$OJ$901,315,MATCH($B$2&amp;"|xN",Aux_puntos!$1:$1,0))="",NA(),INDEX(Aux_puntos!$A$2:$OJ$901,315,MATCH($B$2&amp;"|xN",Aux_puntos!$1:$1,0))),NA())</f>
        <v>#N/A</v>
      </c>
      <c r="AJ319" t="e">
        <f>IFERROR(IF(INDEX(Aux_puntos!$A$2:$OJ$901,315,MATCH($B$2&amp;"|yN",Aux_puntos!$1:$1,0))="",NA(),INDEX(Aux_puntos!$A$2:$OJ$901,315,MATCH($B$2&amp;"|yN",Aux_puntos!$1:$1,0))),NA())</f>
        <v>#N/A</v>
      </c>
    </row>
    <row r="320" spans="29:36" x14ac:dyDescent="0.3">
      <c r="AC320" t="e">
        <f>IFERROR(IF(INDEX(Aux_puntos!$A$2:$OJ$901,316,MATCH($B$2&amp;"|xK",Aux_puntos!$1:$1,0))="",NA(),INDEX(Aux_puntos!$A$2:$OJ$901,316,MATCH($B$2&amp;"|xK",Aux_puntos!$1:$1,0))),NA())</f>
        <v>#N/A</v>
      </c>
      <c r="AD320" t="e">
        <f>IFERROR(IF(INDEX(Aux_puntos!$A$2:$OJ$901,316,MATCH($B$2&amp;"|yK",Aux_puntos!$1:$1,0))="",NA(),INDEX(Aux_puntos!$A$2:$OJ$901,316,MATCH($B$2&amp;"|yK",Aux_puntos!$1:$1,0))),NA())</f>
        <v>#N/A</v>
      </c>
      <c r="AE320" t="e">
        <f>IFERROR(IF(INDEX(Aux_puntos!$A$2:$OJ$901,316,MATCH($B$2&amp;"|xC",Aux_puntos!$1:$1,0))="",NA(),INDEX(Aux_puntos!$A$2:$OJ$901,316,MATCH($B$2&amp;"|xC",Aux_puntos!$1:$1,0))),NA())</f>
        <v>#N/A</v>
      </c>
      <c r="AF320" t="e">
        <f>IFERROR(IF(INDEX(Aux_puntos!$A$2:$OJ$901,316,MATCH($B$2&amp;"|yC",Aux_puntos!$1:$1,0))="",NA(),INDEX(Aux_puntos!$A$2:$OJ$901,316,MATCH($B$2&amp;"|yC",Aux_puntos!$1:$1,0))),NA())</f>
        <v>#N/A</v>
      </c>
      <c r="AG320" t="e">
        <f>IFERROR(IF(INDEX(Aux_puntos!$A$2:$OJ$901,316,MATCH($B$2&amp;"|xI",Aux_puntos!$1:$1,0))="",NA(),INDEX(Aux_puntos!$A$2:$OJ$901,316,MATCH($B$2&amp;"|xI",Aux_puntos!$1:$1,0))),NA())</f>
        <v>#N/A</v>
      </c>
      <c r="AH320" t="e">
        <f>IFERROR(IF(INDEX(Aux_puntos!$A$2:$OJ$901,316,MATCH($B$2&amp;"|yI",Aux_puntos!$1:$1,0))="",NA(),INDEX(Aux_puntos!$A$2:$OJ$901,316,MATCH($B$2&amp;"|yI",Aux_puntos!$1:$1,0))),NA())</f>
        <v>#N/A</v>
      </c>
      <c r="AI320" t="e">
        <f>IFERROR(IF(INDEX(Aux_puntos!$A$2:$OJ$901,316,MATCH($B$2&amp;"|xN",Aux_puntos!$1:$1,0))="",NA(),INDEX(Aux_puntos!$A$2:$OJ$901,316,MATCH($B$2&amp;"|xN",Aux_puntos!$1:$1,0))),NA())</f>
        <v>#N/A</v>
      </c>
      <c r="AJ320" t="e">
        <f>IFERROR(IF(INDEX(Aux_puntos!$A$2:$OJ$901,316,MATCH($B$2&amp;"|yN",Aux_puntos!$1:$1,0))="",NA(),INDEX(Aux_puntos!$A$2:$OJ$901,316,MATCH($B$2&amp;"|yN",Aux_puntos!$1:$1,0))),NA())</f>
        <v>#N/A</v>
      </c>
    </row>
    <row r="321" spans="29:36" x14ac:dyDescent="0.3">
      <c r="AC321" t="e">
        <f>IFERROR(IF(INDEX(Aux_puntos!$A$2:$OJ$901,317,MATCH($B$2&amp;"|xK",Aux_puntos!$1:$1,0))="",NA(),INDEX(Aux_puntos!$A$2:$OJ$901,317,MATCH($B$2&amp;"|xK",Aux_puntos!$1:$1,0))),NA())</f>
        <v>#N/A</v>
      </c>
      <c r="AD321" t="e">
        <f>IFERROR(IF(INDEX(Aux_puntos!$A$2:$OJ$901,317,MATCH($B$2&amp;"|yK",Aux_puntos!$1:$1,0))="",NA(),INDEX(Aux_puntos!$A$2:$OJ$901,317,MATCH($B$2&amp;"|yK",Aux_puntos!$1:$1,0))),NA())</f>
        <v>#N/A</v>
      </c>
      <c r="AE321" t="e">
        <f>IFERROR(IF(INDEX(Aux_puntos!$A$2:$OJ$901,317,MATCH($B$2&amp;"|xC",Aux_puntos!$1:$1,0))="",NA(),INDEX(Aux_puntos!$A$2:$OJ$901,317,MATCH($B$2&amp;"|xC",Aux_puntos!$1:$1,0))),NA())</f>
        <v>#N/A</v>
      </c>
      <c r="AF321" t="e">
        <f>IFERROR(IF(INDEX(Aux_puntos!$A$2:$OJ$901,317,MATCH($B$2&amp;"|yC",Aux_puntos!$1:$1,0))="",NA(),INDEX(Aux_puntos!$A$2:$OJ$901,317,MATCH($B$2&amp;"|yC",Aux_puntos!$1:$1,0))),NA())</f>
        <v>#N/A</v>
      </c>
      <c r="AG321" t="e">
        <f>IFERROR(IF(INDEX(Aux_puntos!$A$2:$OJ$901,317,MATCH($B$2&amp;"|xI",Aux_puntos!$1:$1,0))="",NA(),INDEX(Aux_puntos!$A$2:$OJ$901,317,MATCH($B$2&amp;"|xI",Aux_puntos!$1:$1,0))),NA())</f>
        <v>#N/A</v>
      </c>
      <c r="AH321" t="e">
        <f>IFERROR(IF(INDEX(Aux_puntos!$A$2:$OJ$901,317,MATCH($B$2&amp;"|yI",Aux_puntos!$1:$1,0))="",NA(),INDEX(Aux_puntos!$A$2:$OJ$901,317,MATCH($B$2&amp;"|yI",Aux_puntos!$1:$1,0))),NA())</f>
        <v>#N/A</v>
      </c>
      <c r="AI321" t="e">
        <f>IFERROR(IF(INDEX(Aux_puntos!$A$2:$OJ$901,317,MATCH($B$2&amp;"|xN",Aux_puntos!$1:$1,0))="",NA(),INDEX(Aux_puntos!$A$2:$OJ$901,317,MATCH($B$2&amp;"|xN",Aux_puntos!$1:$1,0))),NA())</f>
        <v>#N/A</v>
      </c>
      <c r="AJ321" t="e">
        <f>IFERROR(IF(INDEX(Aux_puntos!$A$2:$OJ$901,317,MATCH($B$2&amp;"|yN",Aux_puntos!$1:$1,0))="",NA(),INDEX(Aux_puntos!$A$2:$OJ$901,317,MATCH($B$2&amp;"|yN",Aux_puntos!$1:$1,0))),NA())</f>
        <v>#N/A</v>
      </c>
    </row>
    <row r="322" spans="29:36" x14ac:dyDescent="0.3">
      <c r="AC322" t="e">
        <f>IFERROR(IF(INDEX(Aux_puntos!$A$2:$OJ$901,318,MATCH($B$2&amp;"|xK",Aux_puntos!$1:$1,0))="",NA(),INDEX(Aux_puntos!$A$2:$OJ$901,318,MATCH($B$2&amp;"|xK",Aux_puntos!$1:$1,0))),NA())</f>
        <v>#N/A</v>
      </c>
      <c r="AD322" t="e">
        <f>IFERROR(IF(INDEX(Aux_puntos!$A$2:$OJ$901,318,MATCH($B$2&amp;"|yK",Aux_puntos!$1:$1,0))="",NA(),INDEX(Aux_puntos!$A$2:$OJ$901,318,MATCH($B$2&amp;"|yK",Aux_puntos!$1:$1,0))),NA())</f>
        <v>#N/A</v>
      </c>
      <c r="AE322" t="e">
        <f>IFERROR(IF(INDEX(Aux_puntos!$A$2:$OJ$901,318,MATCH($B$2&amp;"|xC",Aux_puntos!$1:$1,0))="",NA(),INDEX(Aux_puntos!$A$2:$OJ$901,318,MATCH($B$2&amp;"|xC",Aux_puntos!$1:$1,0))),NA())</f>
        <v>#N/A</v>
      </c>
      <c r="AF322" t="e">
        <f>IFERROR(IF(INDEX(Aux_puntos!$A$2:$OJ$901,318,MATCH($B$2&amp;"|yC",Aux_puntos!$1:$1,0))="",NA(),INDEX(Aux_puntos!$A$2:$OJ$901,318,MATCH($B$2&amp;"|yC",Aux_puntos!$1:$1,0))),NA())</f>
        <v>#N/A</v>
      </c>
      <c r="AG322" t="e">
        <f>IFERROR(IF(INDEX(Aux_puntos!$A$2:$OJ$901,318,MATCH($B$2&amp;"|xI",Aux_puntos!$1:$1,0))="",NA(),INDEX(Aux_puntos!$A$2:$OJ$901,318,MATCH($B$2&amp;"|xI",Aux_puntos!$1:$1,0))),NA())</f>
        <v>#N/A</v>
      </c>
      <c r="AH322" t="e">
        <f>IFERROR(IF(INDEX(Aux_puntos!$A$2:$OJ$901,318,MATCH($B$2&amp;"|yI",Aux_puntos!$1:$1,0))="",NA(),INDEX(Aux_puntos!$A$2:$OJ$901,318,MATCH($B$2&amp;"|yI",Aux_puntos!$1:$1,0))),NA())</f>
        <v>#N/A</v>
      </c>
      <c r="AI322" t="e">
        <f>IFERROR(IF(INDEX(Aux_puntos!$A$2:$OJ$901,318,MATCH($B$2&amp;"|xN",Aux_puntos!$1:$1,0))="",NA(),INDEX(Aux_puntos!$A$2:$OJ$901,318,MATCH($B$2&amp;"|xN",Aux_puntos!$1:$1,0))),NA())</f>
        <v>#N/A</v>
      </c>
      <c r="AJ322" t="e">
        <f>IFERROR(IF(INDEX(Aux_puntos!$A$2:$OJ$901,318,MATCH($B$2&amp;"|yN",Aux_puntos!$1:$1,0))="",NA(),INDEX(Aux_puntos!$A$2:$OJ$901,318,MATCH($B$2&amp;"|yN",Aux_puntos!$1:$1,0))),NA())</f>
        <v>#N/A</v>
      </c>
    </row>
    <row r="323" spans="29:36" x14ac:dyDescent="0.3">
      <c r="AC323" t="e">
        <f>IFERROR(IF(INDEX(Aux_puntos!$A$2:$OJ$901,319,MATCH($B$2&amp;"|xK",Aux_puntos!$1:$1,0))="",NA(),INDEX(Aux_puntos!$A$2:$OJ$901,319,MATCH($B$2&amp;"|xK",Aux_puntos!$1:$1,0))),NA())</f>
        <v>#N/A</v>
      </c>
      <c r="AD323" t="e">
        <f>IFERROR(IF(INDEX(Aux_puntos!$A$2:$OJ$901,319,MATCH($B$2&amp;"|yK",Aux_puntos!$1:$1,0))="",NA(),INDEX(Aux_puntos!$A$2:$OJ$901,319,MATCH($B$2&amp;"|yK",Aux_puntos!$1:$1,0))),NA())</f>
        <v>#N/A</v>
      </c>
      <c r="AE323" t="e">
        <f>IFERROR(IF(INDEX(Aux_puntos!$A$2:$OJ$901,319,MATCH($B$2&amp;"|xC",Aux_puntos!$1:$1,0))="",NA(),INDEX(Aux_puntos!$A$2:$OJ$901,319,MATCH($B$2&amp;"|xC",Aux_puntos!$1:$1,0))),NA())</f>
        <v>#N/A</v>
      </c>
      <c r="AF323" t="e">
        <f>IFERROR(IF(INDEX(Aux_puntos!$A$2:$OJ$901,319,MATCH($B$2&amp;"|yC",Aux_puntos!$1:$1,0))="",NA(),INDEX(Aux_puntos!$A$2:$OJ$901,319,MATCH($B$2&amp;"|yC",Aux_puntos!$1:$1,0))),NA())</f>
        <v>#N/A</v>
      </c>
      <c r="AG323" t="e">
        <f>IFERROR(IF(INDEX(Aux_puntos!$A$2:$OJ$901,319,MATCH($B$2&amp;"|xI",Aux_puntos!$1:$1,0))="",NA(),INDEX(Aux_puntos!$A$2:$OJ$901,319,MATCH($B$2&amp;"|xI",Aux_puntos!$1:$1,0))),NA())</f>
        <v>#N/A</v>
      </c>
      <c r="AH323" t="e">
        <f>IFERROR(IF(INDEX(Aux_puntos!$A$2:$OJ$901,319,MATCH($B$2&amp;"|yI",Aux_puntos!$1:$1,0))="",NA(),INDEX(Aux_puntos!$A$2:$OJ$901,319,MATCH($B$2&amp;"|yI",Aux_puntos!$1:$1,0))),NA())</f>
        <v>#N/A</v>
      </c>
      <c r="AI323" t="e">
        <f>IFERROR(IF(INDEX(Aux_puntos!$A$2:$OJ$901,319,MATCH($B$2&amp;"|xN",Aux_puntos!$1:$1,0))="",NA(),INDEX(Aux_puntos!$A$2:$OJ$901,319,MATCH($B$2&amp;"|xN",Aux_puntos!$1:$1,0))),NA())</f>
        <v>#N/A</v>
      </c>
      <c r="AJ323" t="e">
        <f>IFERROR(IF(INDEX(Aux_puntos!$A$2:$OJ$901,319,MATCH($B$2&amp;"|yN",Aux_puntos!$1:$1,0))="",NA(),INDEX(Aux_puntos!$A$2:$OJ$901,319,MATCH($B$2&amp;"|yN",Aux_puntos!$1:$1,0))),NA())</f>
        <v>#N/A</v>
      </c>
    </row>
    <row r="324" spans="29:36" x14ac:dyDescent="0.3">
      <c r="AC324" t="e">
        <f>IFERROR(IF(INDEX(Aux_puntos!$A$2:$OJ$901,320,MATCH($B$2&amp;"|xK",Aux_puntos!$1:$1,0))="",NA(),INDEX(Aux_puntos!$A$2:$OJ$901,320,MATCH($B$2&amp;"|xK",Aux_puntos!$1:$1,0))),NA())</f>
        <v>#N/A</v>
      </c>
      <c r="AD324" t="e">
        <f>IFERROR(IF(INDEX(Aux_puntos!$A$2:$OJ$901,320,MATCH($B$2&amp;"|yK",Aux_puntos!$1:$1,0))="",NA(),INDEX(Aux_puntos!$A$2:$OJ$901,320,MATCH($B$2&amp;"|yK",Aux_puntos!$1:$1,0))),NA())</f>
        <v>#N/A</v>
      </c>
      <c r="AE324" t="e">
        <f>IFERROR(IF(INDEX(Aux_puntos!$A$2:$OJ$901,320,MATCH($B$2&amp;"|xC",Aux_puntos!$1:$1,0))="",NA(),INDEX(Aux_puntos!$A$2:$OJ$901,320,MATCH($B$2&amp;"|xC",Aux_puntos!$1:$1,0))),NA())</f>
        <v>#N/A</v>
      </c>
      <c r="AF324" t="e">
        <f>IFERROR(IF(INDEX(Aux_puntos!$A$2:$OJ$901,320,MATCH($B$2&amp;"|yC",Aux_puntos!$1:$1,0))="",NA(),INDEX(Aux_puntos!$A$2:$OJ$901,320,MATCH($B$2&amp;"|yC",Aux_puntos!$1:$1,0))),NA())</f>
        <v>#N/A</v>
      </c>
      <c r="AG324" t="e">
        <f>IFERROR(IF(INDEX(Aux_puntos!$A$2:$OJ$901,320,MATCH($B$2&amp;"|xI",Aux_puntos!$1:$1,0))="",NA(),INDEX(Aux_puntos!$A$2:$OJ$901,320,MATCH($B$2&amp;"|xI",Aux_puntos!$1:$1,0))),NA())</f>
        <v>#N/A</v>
      </c>
      <c r="AH324" t="e">
        <f>IFERROR(IF(INDEX(Aux_puntos!$A$2:$OJ$901,320,MATCH($B$2&amp;"|yI",Aux_puntos!$1:$1,0))="",NA(),INDEX(Aux_puntos!$A$2:$OJ$901,320,MATCH($B$2&amp;"|yI",Aux_puntos!$1:$1,0))),NA())</f>
        <v>#N/A</v>
      </c>
      <c r="AI324" t="e">
        <f>IFERROR(IF(INDEX(Aux_puntos!$A$2:$OJ$901,320,MATCH($B$2&amp;"|xN",Aux_puntos!$1:$1,0))="",NA(),INDEX(Aux_puntos!$A$2:$OJ$901,320,MATCH($B$2&amp;"|xN",Aux_puntos!$1:$1,0))),NA())</f>
        <v>#N/A</v>
      </c>
      <c r="AJ324" t="e">
        <f>IFERROR(IF(INDEX(Aux_puntos!$A$2:$OJ$901,320,MATCH($B$2&amp;"|yN",Aux_puntos!$1:$1,0))="",NA(),INDEX(Aux_puntos!$A$2:$OJ$901,320,MATCH($B$2&amp;"|yN",Aux_puntos!$1:$1,0))),NA())</f>
        <v>#N/A</v>
      </c>
    </row>
    <row r="325" spans="29:36" x14ac:dyDescent="0.3">
      <c r="AC325" t="e">
        <f>IFERROR(IF(INDEX(Aux_puntos!$A$2:$OJ$901,321,MATCH($B$2&amp;"|xK",Aux_puntos!$1:$1,0))="",NA(),INDEX(Aux_puntos!$A$2:$OJ$901,321,MATCH($B$2&amp;"|xK",Aux_puntos!$1:$1,0))),NA())</f>
        <v>#N/A</v>
      </c>
      <c r="AD325" t="e">
        <f>IFERROR(IF(INDEX(Aux_puntos!$A$2:$OJ$901,321,MATCH($B$2&amp;"|yK",Aux_puntos!$1:$1,0))="",NA(),INDEX(Aux_puntos!$A$2:$OJ$901,321,MATCH($B$2&amp;"|yK",Aux_puntos!$1:$1,0))),NA())</f>
        <v>#N/A</v>
      </c>
      <c r="AE325" t="e">
        <f>IFERROR(IF(INDEX(Aux_puntos!$A$2:$OJ$901,321,MATCH($B$2&amp;"|xC",Aux_puntos!$1:$1,0))="",NA(),INDEX(Aux_puntos!$A$2:$OJ$901,321,MATCH($B$2&amp;"|xC",Aux_puntos!$1:$1,0))),NA())</f>
        <v>#N/A</v>
      </c>
      <c r="AF325" t="e">
        <f>IFERROR(IF(INDEX(Aux_puntos!$A$2:$OJ$901,321,MATCH($B$2&amp;"|yC",Aux_puntos!$1:$1,0))="",NA(),INDEX(Aux_puntos!$A$2:$OJ$901,321,MATCH($B$2&amp;"|yC",Aux_puntos!$1:$1,0))),NA())</f>
        <v>#N/A</v>
      </c>
      <c r="AG325" t="e">
        <f>IFERROR(IF(INDEX(Aux_puntos!$A$2:$OJ$901,321,MATCH($B$2&amp;"|xI",Aux_puntos!$1:$1,0))="",NA(),INDEX(Aux_puntos!$A$2:$OJ$901,321,MATCH($B$2&amp;"|xI",Aux_puntos!$1:$1,0))),NA())</f>
        <v>#N/A</v>
      </c>
      <c r="AH325" t="e">
        <f>IFERROR(IF(INDEX(Aux_puntos!$A$2:$OJ$901,321,MATCH($B$2&amp;"|yI",Aux_puntos!$1:$1,0))="",NA(),INDEX(Aux_puntos!$A$2:$OJ$901,321,MATCH($B$2&amp;"|yI",Aux_puntos!$1:$1,0))),NA())</f>
        <v>#N/A</v>
      </c>
      <c r="AI325" t="e">
        <f>IFERROR(IF(INDEX(Aux_puntos!$A$2:$OJ$901,321,MATCH($B$2&amp;"|xN",Aux_puntos!$1:$1,0))="",NA(),INDEX(Aux_puntos!$A$2:$OJ$901,321,MATCH($B$2&amp;"|xN",Aux_puntos!$1:$1,0))),NA())</f>
        <v>#N/A</v>
      </c>
      <c r="AJ325" t="e">
        <f>IFERROR(IF(INDEX(Aux_puntos!$A$2:$OJ$901,321,MATCH($B$2&amp;"|yN",Aux_puntos!$1:$1,0))="",NA(),INDEX(Aux_puntos!$A$2:$OJ$901,321,MATCH($B$2&amp;"|yN",Aux_puntos!$1:$1,0))),NA())</f>
        <v>#N/A</v>
      </c>
    </row>
    <row r="326" spans="29:36" x14ac:dyDescent="0.3">
      <c r="AC326" t="e">
        <f>IFERROR(IF(INDEX(Aux_puntos!$A$2:$OJ$901,322,MATCH($B$2&amp;"|xK",Aux_puntos!$1:$1,0))="",NA(),INDEX(Aux_puntos!$A$2:$OJ$901,322,MATCH($B$2&amp;"|xK",Aux_puntos!$1:$1,0))),NA())</f>
        <v>#N/A</v>
      </c>
      <c r="AD326" t="e">
        <f>IFERROR(IF(INDEX(Aux_puntos!$A$2:$OJ$901,322,MATCH($B$2&amp;"|yK",Aux_puntos!$1:$1,0))="",NA(),INDEX(Aux_puntos!$A$2:$OJ$901,322,MATCH($B$2&amp;"|yK",Aux_puntos!$1:$1,0))),NA())</f>
        <v>#N/A</v>
      </c>
      <c r="AE326" t="e">
        <f>IFERROR(IF(INDEX(Aux_puntos!$A$2:$OJ$901,322,MATCH($B$2&amp;"|xC",Aux_puntos!$1:$1,0))="",NA(),INDEX(Aux_puntos!$A$2:$OJ$901,322,MATCH($B$2&amp;"|xC",Aux_puntos!$1:$1,0))),NA())</f>
        <v>#N/A</v>
      </c>
      <c r="AF326" t="e">
        <f>IFERROR(IF(INDEX(Aux_puntos!$A$2:$OJ$901,322,MATCH($B$2&amp;"|yC",Aux_puntos!$1:$1,0))="",NA(),INDEX(Aux_puntos!$A$2:$OJ$901,322,MATCH($B$2&amp;"|yC",Aux_puntos!$1:$1,0))),NA())</f>
        <v>#N/A</v>
      </c>
      <c r="AG326" t="e">
        <f>IFERROR(IF(INDEX(Aux_puntos!$A$2:$OJ$901,322,MATCH($B$2&amp;"|xI",Aux_puntos!$1:$1,0))="",NA(),INDEX(Aux_puntos!$A$2:$OJ$901,322,MATCH($B$2&amp;"|xI",Aux_puntos!$1:$1,0))),NA())</f>
        <v>#N/A</v>
      </c>
      <c r="AH326" t="e">
        <f>IFERROR(IF(INDEX(Aux_puntos!$A$2:$OJ$901,322,MATCH($B$2&amp;"|yI",Aux_puntos!$1:$1,0))="",NA(),INDEX(Aux_puntos!$A$2:$OJ$901,322,MATCH($B$2&amp;"|yI",Aux_puntos!$1:$1,0))),NA())</f>
        <v>#N/A</v>
      </c>
      <c r="AI326" t="e">
        <f>IFERROR(IF(INDEX(Aux_puntos!$A$2:$OJ$901,322,MATCH($B$2&amp;"|xN",Aux_puntos!$1:$1,0))="",NA(),INDEX(Aux_puntos!$A$2:$OJ$901,322,MATCH($B$2&amp;"|xN",Aux_puntos!$1:$1,0))),NA())</f>
        <v>#N/A</v>
      </c>
      <c r="AJ326" t="e">
        <f>IFERROR(IF(INDEX(Aux_puntos!$A$2:$OJ$901,322,MATCH($B$2&amp;"|yN",Aux_puntos!$1:$1,0))="",NA(),INDEX(Aux_puntos!$A$2:$OJ$901,322,MATCH($B$2&amp;"|yN",Aux_puntos!$1:$1,0))),NA())</f>
        <v>#N/A</v>
      </c>
    </row>
    <row r="327" spans="29:36" x14ac:dyDescent="0.3">
      <c r="AC327" t="e">
        <f>IFERROR(IF(INDEX(Aux_puntos!$A$2:$OJ$901,323,MATCH($B$2&amp;"|xK",Aux_puntos!$1:$1,0))="",NA(),INDEX(Aux_puntos!$A$2:$OJ$901,323,MATCH($B$2&amp;"|xK",Aux_puntos!$1:$1,0))),NA())</f>
        <v>#N/A</v>
      </c>
      <c r="AD327" t="e">
        <f>IFERROR(IF(INDEX(Aux_puntos!$A$2:$OJ$901,323,MATCH($B$2&amp;"|yK",Aux_puntos!$1:$1,0))="",NA(),INDEX(Aux_puntos!$A$2:$OJ$901,323,MATCH($B$2&amp;"|yK",Aux_puntos!$1:$1,0))),NA())</f>
        <v>#N/A</v>
      </c>
      <c r="AE327" t="e">
        <f>IFERROR(IF(INDEX(Aux_puntos!$A$2:$OJ$901,323,MATCH($B$2&amp;"|xC",Aux_puntos!$1:$1,0))="",NA(),INDEX(Aux_puntos!$A$2:$OJ$901,323,MATCH($B$2&amp;"|xC",Aux_puntos!$1:$1,0))),NA())</f>
        <v>#N/A</v>
      </c>
      <c r="AF327" t="e">
        <f>IFERROR(IF(INDEX(Aux_puntos!$A$2:$OJ$901,323,MATCH($B$2&amp;"|yC",Aux_puntos!$1:$1,0))="",NA(),INDEX(Aux_puntos!$A$2:$OJ$901,323,MATCH($B$2&amp;"|yC",Aux_puntos!$1:$1,0))),NA())</f>
        <v>#N/A</v>
      </c>
      <c r="AG327" t="e">
        <f>IFERROR(IF(INDEX(Aux_puntos!$A$2:$OJ$901,323,MATCH($B$2&amp;"|xI",Aux_puntos!$1:$1,0))="",NA(),INDEX(Aux_puntos!$A$2:$OJ$901,323,MATCH($B$2&amp;"|xI",Aux_puntos!$1:$1,0))),NA())</f>
        <v>#N/A</v>
      </c>
      <c r="AH327" t="e">
        <f>IFERROR(IF(INDEX(Aux_puntos!$A$2:$OJ$901,323,MATCH($B$2&amp;"|yI",Aux_puntos!$1:$1,0))="",NA(),INDEX(Aux_puntos!$A$2:$OJ$901,323,MATCH($B$2&amp;"|yI",Aux_puntos!$1:$1,0))),NA())</f>
        <v>#N/A</v>
      </c>
      <c r="AI327" t="e">
        <f>IFERROR(IF(INDEX(Aux_puntos!$A$2:$OJ$901,323,MATCH($B$2&amp;"|xN",Aux_puntos!$1:$1,0))="",NA(),INDEX(Aux_puntos!$A$2:$OJ$901,323,MATCH($B$2&amp;"|xN",Aux_puntos!$1:$1,0))),NA())</f>
        <v>#N/A</v>
      </c>
      <c r="AJ327" t="e">
        <f>IFERROR(IF(INDEX(Aux_puntos!$A$2:$OJ$901,323,MATCH($B$2&amp;"|yN",Aux_puntos!$1:$1,0))="",NA(),INDEX(Aux_puntos!$A$2:$OJ$901,323,MATCH($B$2&amp;"|yN",Aux_puntos!$1:$1,0))),NA())</f>
        <v>#N/A</v>
      </c>
    </row>
    <row r="328" spans="29:36" x14ac:dyDescent="0.3">
      <c r="AC328" t="e">
        <f>IFERROR(IF(INDEX(Aux_puntos!$A$2:$OJ$901,324,MATCH($B$2&amp;"|xK",Aux_puntos!$1:$1,0))="",NA(),INDEX(Aux_puntos!$A$2:$OJ$901,324,MATCH($B$2&amp;"|xK",Aux_puntos!$1:$1,0))),NA())</f>
        <v>#N/A</v>
      </c>
      <c r="AD328" t="e">
        <f>IFERROR(IF(INDEX(Aux_puntos!$A$2:$OJ$901,324,MATCH($B$2&amp;"|yK",Aux_puntos!$1:$1,0))="",NA(),INDEX(Aux_puntos!$A$2:$OJ$901,324,MATCH($B$2&amp;"|yK",Aux_puntos!$1:$1,0))),NA())</f>
        <v>#N/A</v>
      </c>
      <c r="AE328" t="e">
        <f>IFERROR(IF(INDEX(Aux_puntos!$A$2:$OJ$901,324,MATCH($B$2&amp;"|xC",Aux_puntos!$1:$1,0))="",NA(),INDEX(Aux_puntos!$A$2:$OJ$901,324,MATCH($B$2&amp;"|xC",Aux_puntos!$1:$1,0))),NA())</f>
        <v>#N/A</v>
      </c>
      <c r="AF328" t="e">
        <f>IFERROR(IF(INDEX(Aux_puntos!$A$2:$OJ$901,324,MATCH($B$2&amp;"|yC",Aux_puntos!$1:$1,0))="",NA(),INDEX(Aux_puntos!$A$2:$OJ$901,324,MATCH($B$2&amp;"|yC",Aux_puntos!$1:$1,0))),NA())</f>
        <v>#N/A</v>
      </c>
      <c r="AG328" t="e">
        <f>IFERROR(IF(INDEX(Aux_puntos!$A$2:$OJ$901,324,MATCH($B$2&amp;"|xI",Aux_puntos!$1:$1,0))="",NA(),INDEX(Aux_puntos!$A$2:$OJ$901,324,MATCH($B$2&amp;"|xI",Aux_puntos!$1:$1,0))),NA())</f>
        <v>#N/A</v>
      </c>
      <c r="AH328" t="e">
        <f>IFERROR(IF(INDEX(Aux_puntos!$A$2:$OJ$901,324,MATCH($B$2&amp;"|yI",Aux_puntos!$1:$1,0))="",NA(),INDEX(Aux_puntos!$A$2:$OJ$901,324,MATCH($B$2&amp;"|yI",Aux_puntos!$1:$1,0))),NA())</f>
        <v>#N/A</v>
      </c>
      <c r="AI328" t="e">
        <f>IFERROR(IF(INDEX(Aux_puntos!$A$2:$OJ$901,324,MATCH($B$2&amp;"|xN",Aux_puntos!$1:$1,0))="",NA(),INDEX(Aux_puntos!$A$2:$OJ$901,324,MATCH($B$2&amp;"|xN",Aux_puntos!$1:$1,0))),NA())</f>
        <v>#N/A</v>
      </c>
      <c r="AJ328" t="e">
        <f>IFERROR(IF(INDEX(Aux_puntos!$A$2:$OJ$901,324,MATCH($B$2&amp;"|yN",Aux_puntos!$1:$1,0))="",NA(),INDEX(Aux_puntos!$A$2:$OJ$901,324,MATCH($B$2&amp;"|yN",Aux_puntos!$1:$1,0))),NA())</f>
        <v>#N/A</v>
      </c>
    </row>
    <row r="329" spans="29:36" x14ac:dyDescent="0.3">
      <c r="AC329" t="e">
        <f>IFERROR(IF(INDEX(Aux_puntos!$A$2:$OJ$901,325,MATCH($B$2&amp;"|xK",Aux_puntos!$1:$1,0))="",NA(),INDEX(Aux_puntos!$A$2:$OJ$901,325,MATCH($B$2&amp;"|xK",Aux_puntos!$1:$1,0))),NA())</f>
        <v>#N/A</v>
      </c>
      <c r="AD329" t="e">
        <f>IFERROR(IF(INDEX(Aux_puntos!$A$2:$OJ$901,325,MATCH($B$2&amp;"|yK",Aux_puntos!$1:$1,0))="",NA(),INDEX(Aux_puntos!$A$2:$OJ$901,325,MATCH($B$2&amp;"|yK",Aux_puntos!$1:$1,0))),NA())</f>
        <v>#N/A</v>
      </c>
      <c r="AE329" t="e">
        <f>IFERROR(IF(INDEX(Aux_puntos!$A$2:$OJ$901,325,MATCH($B$2&amp;"|xC",Aux_puntos!$1:$1,0))="",NA(),INDEX(Aux_puntos!$A$2:$OJ$901,325,MATCH($B$2&amp;"|xC",Aux_puntos!$1:$1,0))),NA())</f>
        <v>#N/A</v>
      </c>
      <c r="AF329" t="e">
        <f>IFERROR(IF(INDEX(Aux_puntos!$A$2:$OJ$901,325,MATCH($B$2&amp;"|yC",Aux_puntos!$1:$1,0))="",NA(),INDEX(Aux_puntos!$A$2:$OJ$901,325,MATCH($B$2&amp;"|yC",Aux_puntos!$1:$1,0))),NA())</f>
        <v>#N/A</v>
      </c>
      <c r="AG329" t="e">
        <f>IFERROR(IF(INDEX(Aux_puntos!$A$2:$OJ$901,325,MATCH($B$2&amp;"|xI",Aux_puntos!$1:$1,0))="",NA(),INDEX(Aux_puntos!$A$2:$OJ$901,325,MATCH($B$2&amp;"|xI",Aux_puntos!$1:$1,0))),NA())</f>
        <v>#N/A</v>
      </c>
      <c r="AH329" t="e">
        <f>IFERROR(IF(INDEX(Aux_puntos!$A$2:$OJ$901,325,MATCH($B$2&amp;"|yI",Aux_puntos!$1:$1,0))="",NA(),INDEX(Aux_puntos!$A$2:$OJ$901,325,MATCH($B$2&amp;"|yI",Aux_puntos!$1:$1,0))),NA())</f>
        <v>#N/A</v>
      </c>
      <c r="AI329" t="e">
        <f>IFERROR(IF(INDEX(Aux_puntos!$A$2:$OJ$901,325,MATCH($B$2&amp;"|xN",Aux_puntos!$1:$1,0))="",NA(),INDEX(Aux_puntos!$A$2:$OJ$901,325,MATCH($B$2&amp;"|xN",Aux_puntos!$1:$1,0))),NA())</f>
        <v>#N/A</v>
      </c>
      <c r="AJ329" t="e">
        <f>IFERROR(IF(INDEX(Aux_puntos!$A$2:$OJ$901,325,MATCH($B$2&amp;"|yN",Aux_puntos!$1:$1,0))="",NA(),INDEX(Aux_puntos!$A$2:$OJ$901,325,MATCH($B$2&amp;"|yN",Aux_puntos!$1:$1,0))),NA())</f>
        <v>#N/A</v>
      </c>
    </row>
    <row r="330" spans="29:36" x14ac:dyDescent="0.3">
      <c r="AC330" t="e">
        <f>IFERROR(IF(INDEX(Aux_puntos!$A$2:$OJ$901,326,MATCH($B$2&amp;"|xK",Aux_puntos!$1:$1,0))="",NA(),INDEX(Aux_puntos!$A$2:$OJ$901,326,MATCH($B$2&amp;"|xK",Aux_puntos!$1:$1,0))),NA())</f>
        <v>#N/A</v>
      </c>
      <c r="AD330" t="e">
        <f>IFERROR(IF(INDEX(Aux_puntos!$A$2:$OJ$901,326,MATCH($B$2&amp;"|yK",Aux_puntos!$1:$1,0))="",NA(),INDEX(Aux_puntos!$A$2:$OJ$901,326,MATCH($B$2&amp;"|yK",Aux_puntos!$1:$1,0))),NA())</f>
        <v>#N/A</v>
      </c>
      <c r="AE330" t="e">
        <f>IFERROR(IF(INDEX(Aux_puntos!$A$2:$OJ$901,326,MATCH($B$2&amp;"|xC",Aux_puntos!$1:$1,0))="",NA(),INDEX(Aux_puntos!$A$2:$OJ$901,326,MATCH($B$2&amp;"|xC",Aux_puntos!$1:$1,0))),NA())</f>
        <v>#N/A</v>
      </c>
      <c r="AF330" t="e">
        <f>IFERROR(IF(INDEX(Aux_puntos!$A$2:$OJ$901,326,MATCH($B$2&amp;"|yC",Aux_puntos!$1:$1,0))="",NA(),INDEX(Aux_puntos!$A$2:$OJ$901,326,MATCH($B$2&amp;"|yC",Aux_puntos!$1:$1,0))),NA())</f>
        <v>#N/A</v>
      </c>
      <c r="AG330" t="e">
        <f>IFERROR(IF(INDEX(Aux_puntos!$A$2:$OJ$901,326,MATCH($B$2&amp;"|xI",Aux_puntos!$1:$1,0))="",NA(),INDEX(Aux_puntos!$A$2:$OJ$901,326,MATCH($B$2&amp;"|xI",Aux_puntos!$1:$1,0))),NA())</f>
        <v>#N/A</v>
      </c>
      <c r="AH330" t="e">
        <f>IFERROR(IF(INDEX(Aux_puntos!$A$2:$OJ$901,326,MATCH($B$2&amp;"|yI",Aux_puntos!$1:$1,0))="",NA(),INDEX(Aux_puntos!$A$2:$OJ$901,326,MATCH($B$2&amp;"|yI",Aux_puntos!$1:$1,0))),NA())</f>
        <v>#N/A</v>
      </c>
      <c r="AI330" t="e">
        <f>IFERROR(IF(INDEX(Aux_puntos!$A$2:$OJ$901,326,MATCH($B$2&amp;"|xN",Aux_puntos!$1:$1,0))="",NA(),INDEX(Aux_puntos!$A$2:$OJ$901,326,MATCH($B$2&amp;"|xN",Aux_puntos!$1:$1,0))),NA())</f>
        <v>#N/A</v>
      </c>
      <c r="AJ330" t="e">
        <f>IFERROR(IF(INDEX(Aux_puntos!$A$2:$OJ$901,326,MATCH($B$2&amp;"|yN",Aux_puntos!$1:$1,0))="",NA(),INDEX(Aux_puntos!$A$2:$OJ$901,326,MATCH($B$2&amp;"|yN",Aux_puntos!$1:$1,0))),NA())</f>
        <v>#N/A</v>
      </c>
    </row>
    <row r="331" spans="29:36" x14ac:dyDescent="0.3">
      <c r="AC331" t="e">
        <f>IFERROR(IF(INDEX(Aux_puntos!$A$2:$OJ$901,327,MATCH($B$2&amp;"|xK",Aux_puntos!$1:$1,0))="",NA(),INDEX(Aux_puntos!$A$2:$OJ$901,327,MATCH($B$2&amp;"|xK",Aux_puntos!$1:$1,0))),NA())</f>
        <v>#N/A</v>
      </c>
      <c r="AD331" t="e">
        <f>IFERROR(IF(INDEX(Aux_puntos!$A$2:$OJ$901,327,MATCH($B$2&amp;"|yK",Aux_puntos!$1:$1,0))="",NA(),INDEX(Aux_puntos!$A$2:$OJ$901,327,MATCH($B$2&amp;"|yK",Aux_puntos!$1:$1,0))),NA())</f>
        <v>#N/A</v>
      </c>
      <c r="AE331" t="e">
        <f>IFERROR(IF(INDEX(Aux_puntos!$A$2:$OJ$901,327,MATCH($B$2&amp;"|xC",Aux_puntos!$1:$1,0))="",NA(),INDEX(Aux_puntos!$A$2:$OJ$901,327,MATCH($B$2&amp;"|xC",Aux_puntos!$1:$1,0))),NA())</f>
        <v>#N/A</v>
      </c>
      <c r="AF331" t="e">
        <f>IFERROR(IF(INDEX(Aux_puntos!$A$2:$OJ$901,327,MATCH($B$2&amp;"|yC",Aux_puntos!$1:$1,0))="",NA(),INDEX(Aux_puntos!$A$2:$OJ$901,327,MATCH($B$2&amp;"|yC",Aux_puntos!$1:$1,0))),NA())</f>
        <v>#N/A</v>
      </c>
      <c r="AG331" t="e">
        <f>IFERROR(IF(INDEX(Aux_puntos!$A$2:$OJ$901,327,MATCH($B$2&amp;"|xI",Aux_puntos!$1:$1,0))="",NA(),INDEX(Aux_puntos!$A$2:$OJ$901,327,MATCH($B$2&amp;"|xI",Aux_puntos!$1:$1,0))),NA())</f>
        <v>#N/A</v>
      </c>
      <c r="AH331" t="e">
        <f>IFERROR(IF(INDEX(Aux_puntos!$A$2:$OJ$901,327,MATCH($B$2&amp;"|yI",Aux_puntos!$1:$1,0))="",NA(),INDEX(Aux_puntos!$A$2:$OJ$901,327,MATCH($B$2&amp;"|yI",Aux_puntos!$1:$1,0))),NA())</f>
        <v>#N/A</v>
      </c>
      <c r="AI331" t="e">
        <f>IFERROR(IF(INDEX(Aux_puntos!$A$2:$OJ$901,327,MATCH($B$2&amp;"|xN",Aux_puntos!$1:$1,0))="",NA(),INDEX(Aux_puntos!$A$2:$OJ$901,327,MATCH($B$2&amp;"|xN",Aux_puntos!$1:$1,0))),NA())</f>
        <v>#N/A</v>
      </c>
      <c r="AJ331" t="e">
        <f>IFERROR(IF(INDEX(Aux_puntos!$A$2:$OJ$901,327,MATCH($B$2&amp;"|yN",Aux_puntos!$1:$1,0))="",NA(),INDEX(Aux_puntos!$A$2:$OJ$901,327,MATCH($B$2&amp;"|yN",Aux_puntos!$1:$1,0))),NA())</f>
        <v>#N/A</v>
      </c>
    </row>
    <row r="332" spans="29:36" x14ac:dyDescent="0.3">
      <c r="AC332" t="e">
        <f>IFERROR(IF(INDEX(Aux_puntos!$A$2:$OJ$901,328,MATCH($B$2&amp;"|xK",Aux_puntos!$1:$1,0))="",NA(),INDEX(Aux_puntos!$A$2:$OJ$901,328,MATCH($B$2&amp;"|xK",Aux_puntos!$1:$1,0))),NA())</f>
        <v>#N/A</v>
      </c>
      <c r="AD332" t="e">
        <f>IFERROR(IF(INDEX(Aux_puntos!$A$2:$OJ$901,328,MATCH($B$2&amp;"|yK",Aux_puntos!$1:$1,0))="",NA(),INDEX(Aux_puntos!$A$2:$OJ$901,328,MATCH($B$2&amp;"|yK",Aux_puntos!$1:$1,0))),NA())</f>
        <v>#N/A</v>
      </c>
      <c r="AE332" t="e">
        <f>IFERROR(IF(INDEX(Aux_puntos!$A$2:$OJ$901,328,MATCH($B$2&amp;"|xC",Aux_puntos!$1:$1,0))="",NA(),INDEX(Aux_puntos!$A$2:$OJ$901,328,MATCH($B$2&amp;"|xC",Aux_puntos!$1:$1,0))),NA())</f>
        <v>#N/A</v>
      </c>
      <c r="AF332" t="e">
        <f>IFERROR(IF(INDEX(Aux_puntos!$A$2:$OJ$901,328,MATCH($B$2&amp;"|yC",Aux_puntos!$1:$1,0))="",NA(),INDEX(Aux_puntos!$A$2:$OJ$901,328,MATCH($B$2&amp;"|yC",Aux_puntos!$1:$1,0))),NA())</f>
        <v>#N/A</v>
      </c>
      <c r="AG332" t="e">
        <f>IFERROR(IF(INDEX(Aux_puntos!$A$2:$OJ$901,328,MATCH($B$2&amp;"|xI",Aux_puntos!$1:$1,0))="",NA(),INDEX(Aux_puntos!$A$2:$OJ$901,328,MATCH($B$2&amp;"|xI",Aux_puntos!$1:$1,0))),NA())</f>
        <v>#N/A</v>
      </c>
      <c r="AH332" t="e">
        <f>IFERROR(IF(INDEX(Aux_puntos!$A$2:$OJ$901,328,MATCH($B$2&amp;"|yI",Aux_puntos!$1:$1,0))="",NA(),INDEX(Aux_puntos!$A$2:$OJ$901,328,MATCH($B$2&amp;"|yI",Aux_puntos!$1:$1,0))),NA())</f>
        <v>#N/A</v>
      </c>
      <c r="AI332" t="e">
        <f>IFERROR(IF(INDEX(Aux_puntos!$A$2:$OJ$901,328,MATCH($B$2&amp;"|xN",Aux_puntos!$1:$1,0))="",NA(),INDEX(Aux_puntos!$A$2:$OJ$901,328,MATCH($B$2&amp;"|xN",Aux_puntos!$1:$1,0))),NA())</f>
        <v>#N/A</v>
      </c>
      <c r="AJ332" t="e">
        <f>IFERROR(IF(INDEX(Aux_puntos!$A$2:$OJ$901,328,MATCH($B$2&amp;"|yN",Aux_puntos!$1:$1,0))="",NA(),INDEX(Aux_puntos!$A$2:$OJ$901,328,MATCH($B$2&amp;"|yN",Aux_puntos!$1:$1,0))),NA())</f>
        <v>#N/A</v>
      </c>
    </row>
    <row r="333" spans="29:36" x14ac:dyDescent="0.3">
      <c r="AC333" t="e">
        <f>IFERROR(IF(INDEX(Aux_puntos!$A$2:$OJ$901,329,MATCH($B$2&amp;"|xK",Aux_puntos!$1:$1,0))="",NA(),INDEX(Aux_puntos!$A$2:$OJ$901,329,MATCH($B$2&amp;"|xK",Aux_puntos!$1:$1,0))),NA())</f>
        <v>#N/A</v>
      </c>
      <c r="AD333" t="e">
        <f>IFERROR(IF(INDEX(Aux_puntos!$A$2:$OJ$901,329,MATCH($B$2&amp;"|yK",Aux_puntos!$1:$1,0))="",NA(),INDEX(Aux_puntos!$A$2:$OJ$901,329,MATCH($B$2&amp;"|yK",Aux_puntos!$1:$1,0))),NA())</f>
        <v>#N/A</v>
      </c>
      <c r="AE333" t="e">
        <f>IFERROR(IF(INDEX(Aux_puntos!$A$2:$OJ$901,329,MATCH($B$2&amp;"|xC",Aux_puntos!$1:$1,0))="",NA(),INDEX(Aux_puntos!$A$2:$OJ$901,329,MATCH($B$2&amp;"|xC",Aux_puntos!$1:$1,0))),NA())</f>
        <v>#N/A</v>
      </c>
      <c r="AF333" t="e">
        <f>IFERROR(IF(INDEX(Aux_puntos!$A$2:$OJ$901,329,MATCH($B$2&amp;"|yC",Aux_puntos!$1:$1,0))="",NA(),INDEX(Aux_puntos!$A$2:$OJ$901,329,MATCH($B$2&amp;"|yC",Aux_puntos!$1:$1,0))),NA())</f>
        <v>#N/A</v>
      </c>
      <c r="AG333" t="e">
        <f>IFERROR(IF(INDEX(Aux_puntos!$A$2:$OJ$901,329,MATCH($B$2&amp;"|xI",Aux_puntos!$1:$1,0))="",NA(),INDEX(Aux_puntos!$A$2:$OJ$901,329,MATCH($B$2&amp;"|xI",Aux_puntos!$1:$1,0))),NA())</f>
        <v>#N/A</v>
      </c>
      <c r="AH333" t="e">
        <f>IFERROR(IF(INDEX(Aux_puntos!$A$2:$OJ$901,329,MATCH($B$2&amp;"|yI",Aux_puntos!$1:$1,0))="",NA(),INDEX(Aux_puntos!$A$2:$OJ$901,329,MATCH($B$2&amp;"|yI",Aux_puntos!$1:$1,0))),NA())</f>
        <v>#N/A</v>
      </c>
      <c r="AI333" t="e">
        <f>IFERROR(IF(INDEX(Aux_puntos!$A$2:$OJ$901,329,MATCH($B$2&amp;"|xN",Aux_puntos!$1:$1,0))="",NA(),INDEX(Aux_puntos!$A$2:$OJ$901,329,MATCH($B$2&amp;"|xN",Aux_puntos!$1:$1,0))),NA())</f>
        <v>#N/A</v>
      </c>
      <c r="AJ333" t="e">
        <f>IFERROR(IF(INDEX(Aux_puntos!$A$2:$OJ$901,329,MATCH($B$2&amp;"|yN",Aux_puntos!$1:$1,0))="",NA(),INDEX(Aux_puntos!$A$2:$OJ$901,329,MATCH($B$2&amp;"|yN",Aux_puntos!$1:$1,0))),NA())</f>
        <v>#N/A</v>
      </c>
    </row>
    <row r="334" spans="29:36" x14ac:dyDescent="0.3">
      <c r="AC334" t="e">
        <f>IFERROR(IF(INDEX(Aux_puntos!$A$2:$OJ$901,330,MATCH($B$2&amp;"|xK",Aux_puntos!$1:$1,0))="",NA(),INDEX(Aux_puntos!$A$2:$OJ$901,330,MATCH($B$2&amp;"|xK",Aux_puntos!$1:$1,0))),NA())</f>
        <v>#N/A</v>
      </c>
      <c r="AD334" t="e">
        <f>IFERROR(IF(INDEX(Aux_puntos!$A$2:$OJ$901,330,MATCH($B$2&amp;"|yK",Aux_puntos!$1:$1,0))="",NA(),INDEX(Aux_puntos!$A$2:$OJ$901,330,MATCH($B$2&amp;"|yK",Aux_puntos!$1:$1,0))),NA())</f>
        <v>#N/A</v>
      </c>
      <c r="AE334" t="e">
        <f>IFERROR(IF(INDEX(Aux_puntos!$A$2:$OJ$901,330,MATCH($B$2&amp;"|xC",Aux_puntos!$1:$1,0))="",NA(),INDEX(Aux_puntos!$A$2:$OJ$901,330,MATCH($B$2&amp;"|xC",Aux_puntos!$1:$1,0))),NA())</f>
        <v>#N/A</v>
      </c>
      <c r="AF334" t="e">
        <f>IFERROR(IF(INDEX(Aux_puntos!$A$2:$OJ$901,330,MATCH($B$2&amp;"|yC",Aux_puntos!$1:$1,0))="",NA(),INDEX(Aux_puntos!$A$2:$OJ$901,330,MATCH($B$2&amp;"|yC",Aux_puntos!$1:$1,0))),NA())</f>
        <v>#N/A</v>
      </c>
      <c r="AG334" t="e">
        <f>IFERROR(IF(INDEX(Aux_puntos!$A$2:$OJ$901,330,MATCH($B$2&amp;"|xI",Aux_puntos!$1:$1,0))="",NA(),INDEX(Aux_puntos!$A$2:$OJ$901,330,MATCH($B$2&amp;"|xI",Aux_puntos!$1:$1,0))),NA())</f>
        <v>#N/A</v>
      </c>
      <c r="AH334" t="e">
        <f>IFERROR(IF(INDEX(Aux_puntos!$A$2:$OJ$901,330,MATCH($B$2&amp;"|yI",Aux_puntos!$1:$1,0))="",NA(),INDEX(Aux_puntos!$A$2:$OJ$901,330,MATCH($B$2&amp;"|yI",Aux_puntos!$1:$1,0))),NA())</f>
        <v>#N/A</v>
      </c>
      <c r="AI334" t="e">
        <f>IFERROR(IF(INDEX(Aux_puntos!$A$2:$OJ$901,330,MATCH($B$2&amp;"|xN",Aux_puntos!$1:$1,0))="",NA(),INDEX(Aux_puntos!$A$2:$OJ$901,330,MATCH($B$2&amp;"|xN",Aux_puntos!$1:$1,0))),NA())</f>
        <v>#N/A</v>
      </c>
      <c r="AJ334" t="e">
        <f>IFERROR(IF(INDEX(Aux_puntos!$A$2:$OJ$901,330,MATCH($B$2&amp;"|yN",Aux_puntos!$1:$1,0))="",NA(),INDEX(Aux_puntos!$A$2:$OJ$901,330,MATCH($B$2&amp;"|yN",Aux_puntos!$1:$1,0))),NA())</f>
        <v>#N/A</v>
      </c>
    </row>
    <row r="335" spans="29:36" x14ac:dyDescent="0.3">
      <c r="AC335" t="e">
        <f>IFERROR(IF(INDEX(Aux_puntos!$A$2:$OJ$901,331,MATCH($B$2&amp;"|xK",Aux_puntos!$1:$1,0))="",NA(),INDEX(Aux_puntos!$A$2:$OJ$901,331,MATCH($B$2&amp;"|xK",Aux_puntos!$1:$1,0))),NA())</f>
        <v>#N/A</v>
      </c>
      <c r="AD335" t="e">
        <f>IFERROR(IF(INDEX(Aux_puntos!$A$2:$OJ$901,331,MATCH($B$2&amp;"|yK",Aux_puntos!$1:$1,0))="",NA(),INDEX(Aux_puntos!$A$2:$OJ$901,331,MATCH($B$2&amp;"|yK",Aux_puntos!$1:$1,0))),NA())</f>
        <v>#N/A</v>
      </c>
      <c r="AE335" t="e">
        <f>IFERROR(IF(INDEX(Aux_puntos!$A$2:$OJ$901,331,MATCH($B$2&amp;"|xC",Aux_puntos!$1:$1,0))="",NA(),INDEX(Aux_puntos!$A$2:$OJ$901,331,MATCH($B$2&amp;"|xC",Aux_puntos!$1:$1,0))),NA())</f>
        <v>#N/A</v>
      </c>
      <c r="AF335" t="e">
        <f>IFERROR(IF(INDEX(Aux_puntos!$A$2:$OJ$901,331,MATCH($B$2&amp;"|yC",Aux_puntos!$1:$1,0))="",NA(),INDEX(Aux_puntos!$A$2:$OJ$901,331,MATCH($B$2&amp;"|yC",Aux_puntos!$1:$1,0))),NA())</f>
        <v>#N/A</v>
      </c>
      <c r="AG335" t="e">
        <f>IFERROR(IF(INDEX(Aux_puntos!$A$2:$OJ$901,331,MATCH($B$2&amp;"|xI",Aux_puntos!$1:$1,0))="",NA(),INDEX(Aux_puntos!$A$2:$OJ$901,331,MATCH($B$2&amp;"|xI",Aux_puntos!$1:$1,0))),NA())</f>
        <v>#N/A</v>
      </c>
      <c r="AH335" t="e">
        <f>IFERROR(IF(INDEX(Aux_puntos!$A$2:$OJ$901,331,MATCH($B$2&amp;"|yI",Aux_puntos!$1:$1,0))="",NA(),INDEX(Aux_puntos!$A$2:$OJ$901,331,MATCH($B$2&amp;"|yI",Aux_puntos!$1:$1,0))),NA())</f>
        <v>#N/A</v>
      </c>
      <c r="AI335" t="e">
        <f>IFERROR(IF(INDEX(Aux_puntos!$A$2:$OJ$901,331,MATCH($B$2&amp;"|xN",Aux_puntos!$1:$1,0))="",NA(),INDEX(Aux_puntos!$A$2:$OJ$901,331,MATCH($B$2&amp;"|xN",Aux_puntos!$1:$1,0))),NA())</f>
        <v>#N/A</v>
      </c>
      <c r="AJ335" t="e">
        <f>IFERROR(IF(INDEX(Aux_puntos!$A$2:$OJ$901,331,MATCH($B$2&amp;"|yN",Aux_puntos!$1:$1,0))="",NA(),INDEX(Aux_puntos!$A$2:$OJ$901,331,MATCH($B$2&amp;"|yN",Aux_puntos!$1:$1,0))),NA())</f>
        <v>#N/A</v>
      </c>
    </row>
    <row r="336" spans="29:36" x14ac:dyDescent="0.3">
      <c r="AC336" t="e">
        <f>IFERROR(IF(INDEX(Aux_puntos!$A$2:$OJ$901,332,MATCH($B$2&amp;"|xK",Aux_puntos!$1:$1,0))="",NA(),INDEX(Aux_puntos!$A$2:$OJ$901,332,MATCH($B$2&amp;"|xK",Aux_puntos!$1:$1,0))),NA())</f>
        <v>#N/A</v>
      </c>
      <c r="AD336" t="e">
        <f>IFERROR(IF(INDEX(Aux_puntos!$A$2:$OJ$901,332,MATCH($B$2&amp;"|yK",Aux_puntos!$1:$1,0))="",NA(),INDEX(Aux_puntos!$A$2:$OJ$901,332,MATCH($B$2&amp;"|yK",Aux_puntos!$1:$1,0))),NA())</f>
        <v>#N/A</v>
      </c>
      <c r="AE336" t="e">
        <f>IFERROR(IF(INDEX(Aux_puntos!$A$2:$OJ$901,332,MATCH($B$2&amp;"|xC",Aux_puntos!$1:$1,0))="",NA(),INDEX(Aux_puntos!$A$2:$OJ$901,332,MATCH($B$2&amp;"|xC",Aux_puntos!$1:$1,0))),NA())</f>
        <v>#N/A</v>
      </c>
      <c r="AF336" t="e">
        <f>IFERROR(IF(INDEX(Aux_puntos!$A$2:$OJ$901,332,MATCH($B$2&amp;"|yC",Aux_puntos!$1:$1,0))="",NA(),INDEX(Aux_puntos!$A$2:$OJ$901,332,MATCH($B$2&amp;"|yC",Aux_puntos!$1:$1,0))),NA())</f>
        <v>#N/A</v>
      </c>
      <c r="AG336" t="e">
        <f>IFERROR(IF(INDEX(Aux_puntos!$A$2:$OJ$901,332,MATCH($B$2&amp;"|xI",Aux_puntos!$1:$1,0))="",NA(),INDEX(Aux_puntos!$A$2:$OJ$901,332,MATCH($B$2&amp;"|xI",Aux_puntos!$1:$1,0))),NA())</f>
        <v>#N/A</v>
      </c>
      <c r="AH336" t="e">
        <f>IFERROR(IF(INDEX(Aux_puntos!$A$2:$OJ$901,332,MATCH($B$2&amp;"|yI",Aux_puntos!$1:$1,0))="",NA(),INDEX(Aux_puntos!$A$2:$OJ$901,332,MATCH($B$2&amp;"|yI",Aux_puntos!$1:$1,0))),NA())</f>
        <v>#N/A</v>
      </c>
      <c r="AI336" t="e">
        <f>IFERROR(IF(INDEX(Aux_puntos!$A$2:$OJ$901,332,MATCH($B$2&amp;"|xN",Aux_puntos!$1:$1,0))="",NA(),INDEX(Aux_puntos!$A$2:$OJ$901,332,MATCH($B$2&amp;"|xN",Aux_puntos!$1:$1,0))),NA())</f>
        <v>#N/A</v>
      </c>
      <c r="AJ336" t="e">
        <f>IFERROR(IF(INDEX(Aux_puntos!$A$2:$OJ$901,332,MATCH($B$2&amp;"|yN",Aux_puntos!$1:$1,0))="",NA(),INDEX(Aux_puntos!$A$2:$OJ$901,332,MATCH($B$2&amp;"|yN",Aux_puntos!$1:$1,0))),NA())</f>
        <v>#N/A</v>
      </c>
    </row>
    <row r="337" spans="29:36" x14ac:dyDescent="0.3">
      <c r="AC337" t="e">
        <f>IFERROR(IF(INDEX(Aux_puntos!$A$2:$OJ$901,333,MATCH($B$2&amp;"|xK",Aux_puntos!$1:$1,0))="",NA(),INDEX(Aux_puntos!$A$2:$OJ$901,333,MATCH($B$2&amp;"|xK",Aux_puntos!$1:$1,0))),NA())</f>
        <v>#N/A</v>
      </c>
      <c r="AD337" t="e">
        <f>IFERROR(IF(INDEX(Aux_puntos!$A$2:$OJ$901,333,MATCH($B$2&amp;"|yK",Aux_puntos!$1:$1,0))="",NA(),INDEX(Aux_puntos!$A$2:$OJ$901,333,MATCH($B$2&amp;"|yK",Aux_puntos!$1:$1,0))),NA())</f>
        <v>#N/A</v>
      </c>
      <c r="AE337" t="e">
        <f>IFERROR(IF(INDEX(Aux_puntos!$A$2:$OJ$901,333,MATCH($B$2&amp;"|xC",Aux_puntos!$1:$1,0))="",NA(),INDEX(Aux_puntos!$A$2:$OJ$901,333,MATCH($B$2&amp;"|xC",Aux_puntos!$1:$1,0))),NA())</f>
        <v>#N/A</v>
      </c>
      <c r="AF337" t="e">
        <f>IFERROR(IF(INDEX(Aux_puntos!$A$2:$OJ$901,333,MATCH($B$2&amp;"|yC",Aux_puntos!$1:$1,0))="",NA(),INDEX(Aux_puntos!$A$2:$OJ$901,333,MATCH($B$2&amp;"|yC",Aux_puntos!$1:$1,0))),NA())</f>
        <v>#N/A</v>
      </c>
      <c r="AG337" t="e">
        <f>IFERROR(IF(INDEX(Aux_puntos!$A$2:$OJ$901,333,MATCH($B$2&amp;"|xI",Aux_puntos!$1:$1,0))="",NA(),INDEX(Aux_puntos!$A$2:$OJ$901,333,MATCH($B$2&amp;"|xI",Aux_puntos!$1:$1,0))),NA())</f>
        <v>#N/A</v>
      </c>
      <c r="AH337" t="e">
        <f>IFERROR(IF(INDEX(Aux_puntos!$A$2:$OJ$901,333,MATCH($B$2&amp;"|yI",Aux_puntos!$1:$1,0))="",NA(),INDEX(Aux_puntos!$A$2:$OJ$901,333,MATCH($B$2&amp;"|yI",Aux_puntos!$1:$1,0))),NA())</f>
        <v>#N/A</v>
      </c>
      <c r="AI337" t="e">
        <f>IFERROR(IF(INDEX(Aux_puntos!$A$2:$OJ$901,333,MATCH($B$2&amp;"|xN",Aux_puntos!$1:$1,0))="",NA(),INDEX(Aux_puntos!$A$2:$OJ$901,333,MATCH($B$2&amp;"|xN",Aux_puntos!$1:$1,0))),NA())</f>
        <v>#N/A</v>
      </c>
      <c r="AJ337" t="e">
        <f>IFERROR(IF(INDEX(Aux_puntos!$A$2:$OJ$901,333,MATCH($B$2&amp;"|yN",Aux_puntos!$1:$1,0))="",NA(),INDEX(Aux_puntos!$A$2:$OJ$901,333,MATCH($B$2&amp;"|yN",Aux_puntos!$1:$1,0))),NA())</f>
        <v>#N/A</v>
      </c>
    </row>
    <row r="338" spans="29:36" x14ac:dyDescent="0.3">
      <c r="AC338" t="e">
        <f>IFERROR(IF(INDEX(Aux_puntos!$A$2:$OJ$901,334,MATCH($B$2&amp;"|xK",Aux_puntos!$1:$1,0))="",NA(),INDEX(Aux_puntos!$A$2:$OJ$901,334,MATCH($B$2&amp;"|xK",Aux_puntos!$1:$1,0))),NA())</f>
        <v>#N/A</v>
      </c>
      <c r="AD338" t="e">
        <f>IFERROR(IF(INDEX(Aux_puntos!$A$2:$OJ$901,334,MATCH($B$2&amp;"|yK",Aux_puntos!$1:$1,0))="",NA(),INDEX(Aux_puntos!$A$2:$OJ$901,334,MATCH($B$2&amp;"|yK",Aux_puntos!$1:$1,0))),NA())</f>
        <v>#N/A</v>
      </c>
      <c r="AE338" t="e">
        <f>IFERROR(IF(INDEX(Aux_puntos!$A$2:$OJ$901,334,MATCH($B$2&amp;"|xC",Aux_puntos!$1:$1,0))="",NA(),INDEX(Aux_puntos!$A$2:$OJ$901,334,MATCH($B$2&amp;"|xC",Aux_puntos!$1:$1,0))),NA())</f>
        <v>#N/A</v>
      </c>
      <c r="AF338" t="e">
        <f>IFERROR(IF(INDEX(Aux_puntos!$A$2:$OJ$901,334,MATCH($B$2&amp;"|yC",Aux_puntos!$1:$1,0))="",NA(),INDEX(Aux_puntos!$A$2:$OJ$901,334,MATCH($B$2&amp;"|yC",Aux_puntos!$1:$1,0))),NA())</f>
        <v>#N/A</v>
      </c>
      <c r="AG338" t="e">
        <f>IFERROR(IF(INDEX(Aux_puntos!$A$2:$OJ$901,334,MATCH($B$2&amp;"|xI",Aux_puntos!$1:$1,0))="",NA(),INDEX(Aux_puntos!$A$2:$OJ$901,334,MATCH($B$2&amp;"|xI",Aux_puntos!$1:$1,0))),NA())</f>
        <v>#N/A</v>
      </c>
      <c r="AH338" t="e">
        <f>IFERROR(IF(INDEX(Aux_puntos!$A$2:$OJ$901,334,MATCH($B$2&amp;"|yI",Aux_puntos!$1:$1,0))="",NA(),INDEX(Aux_puntos!$A$2:$OJ$901,334,MATCH($B$2&amp;"|yI",Aux_puntos!$1:$1,0))),NA())</f>
        <v>#N/A</v>
      </c>
      <c r="AI338" t="e">
        <f>IFERROR(IF(INDEX(Aux_puntos!$A$2:$OJ$901,334,MATCH($B$2&amp;"|xN",Aux_puntos!$1:$1,0))="",NA(),INDEX(Aux_puntos!$A$2:$OJ$901,334,MATCH($B$2&amp;"|xN",Aux_puntos!$1:$1,0))),NA())</f>
        <v>#N/A</v>
      </c>
      <c r="AJ338" t="e">
        <f>IFERROR(IF(INDEX(Aux_puntos!$A$2:$OJ$901,334,MATCH($B$2&amp;"|yN",Aux_puntos!$1:$1,0))="",NA(),INDEX(Aux_puntos!$A$2:$OJ$901,334,MATCH($B$2&amp;"|yN",Aux_puntos!$1:$1,0))),NA())</f>
        <v>#N/A</v>
      </c>
    </row>
    <row r="339" spans="29:36" x14ac:dyDescent="0.3">
      <c r="AC339" t="e">
        <f>IFERROR(IF(INDEX(Aux_puntos!$A$2:$OJ$901,335,MATCH($B$2&amp;"|xK",Aux_puntos!$1:$1,0))="",NA(),INDEX(Aux_puntos!$A$2:$OJ$901,335,MATCH($B$2&amp;"|xK",Aux_puntos!$1:$1,0))),NA())</f>
        <v>#N/A</v>
      </c>
      <c r="AD339" t="e">
        <f>IFERROR(IF(INDEX(Aux_puntos!$A$2:$OJ$901,335,MATCH($B$2&amp;"|yK",Aux_puntos!$1:$1,0))="",NA(),INDEX(Aux_puntos!$A$2:$OJ$901,335,MATCH($B$2&amp;"|yK",Aux_puntos!$1:$1,0))),NA())</f>
        <v>#N/A</v>
      </c>
      <c r="AE339" t="e">
        <f>IFERROR(IF(INDEX(Aux_puntos!$A$2:$OJ$901,335,MATCH($B$2&amp;"|xC",Aux_puntos!$1:$1,0))="",NA(),INDEX(Aux_puntos!$A$2:$OJ$901,335,MATCH($B$2&amp;"|xC",Aux_puntos!$1:$1,0))),NA())</f>
        <v>#N/A</v>
      </c>
      <c r="AF339" t="e">
        <f>IFERROR(IF(INDEX(Aux_puntos!$A$2:$OJ$901,335,MATCH($B$2&amp;"|yC",Aux_puntos!$1:$1,0))="",NA(),INDEX(Aux_puntos!$A$2:$OJ$901,335,MATCH($B$2&amp;"|yC",Aux_puntos!$1:$1,0))),NA())</f>
        <v>#N/A</v>
      </c>
      <c r="AG339" t="e">
        <f>IFERROR(IF(INDEX(Aux_puntos!$A$2:$OJ$901,335,MATCH($B$2&amp;"|xI",Aux_puntos!$1:$1,0))="",NA(),INDEX(Aux_puntos!$A$2:$OJ$901,335,MATCH($B$2&amp;"|xI",Aux_puntos!$1:$1,0))),NA())</f>
        <v>#N/A</v>
      </c>
      <c r="AH339" t="e">
        <f>IFERROR(IF(INDEX(Aux_puntos!$A$2:$OJ$901,335,MATCH($B$2&amp;"|yI",Aux_puntos!$1:$1,0))="",NA(),INDEX(Aux_puntos!$A$2:$OJ$901,335,MATCH($B$2&amp;"|yI",Aux_puntos!$1:$1,0))),NA())</f>
        <v>#N/A</v>
      </c>
      <c r="AI339" t="e">
        <f>IFERROR(IF(INDEX(Aux_puntos!$A$2:$OJ$901,335,MATCH($B$2&amp;"|xN",Aux_puntos!$1:$1,0))="",NA(),INDEX(Aux_puntos!$A$2:$OJ$901,335,MATCH($B$2&amp;"|xN",Aux_puntos!$1:$1,0))),NA())</f>
        <v>#N/A</v>
      </c>
      <c r="AJ339" t="e">
        <f>IFERROR(IF(INDEX(Aux_puntos!$A$2:$OJ$901,335,MATCH($B$2&amp;"|yN",Aux_puntos!$1:$1,0))="",NA(),INDEX(Aux_puntos!$A$2:$OJ$901,335,MATCH($B$2&amp;"|yN",Aux_puntos!$1:$1,0))),NA())</f>
        <v>#N/A</v>
      </c>
    </row>
    <row r="340" spans="29:36" x14ac:dyDescent="0.3">
      <c r="AC340" t="e">
        <f>IFERROR(IF(INDEX(Aux_puntos!$A$2:$OJ$901,336,MATCH($B$2&amp;"|xK",Aux_puntos!$1:$1,0))="",NA(),INDEX(Aux_puntos!$A$2:$OJ$901,336,MATCH($B$2&amp;"|xK",Aux_puntos!$1:$1,0))),NA())</f>
        <v>#N/A</v>
      </c>
      <c r="AD340" t="e">
        <f>IFERROR(IF(INDEX(Aux_puntos!$A$2:$OJ$901,336,MATCH($B$2&amp;"|yK",Aux_puntos!$1:$1,0))="",NA(),INDEX(Aux_puntos!$A$2:$OJ$901,336,MATCH($B$2&amp;"|yK",Aux_puntos!$1:$1,0))),NA())</f>
        <v>#N/A</v>
      </c>
      <c r="AE340" t="e">
        <f>IFERROR(IF(INDEX(Aux_puntos!$A$2:$OJ$901,336,MATCH($B$2&amp;"|xC",Aux_puntos!$1:$1,0))="",NA(),INDEX(Aux_puntos!$A$2:$OJ$901,336,MATCH($B$2&amp;"|xC",Aux_puntos!$1:$1,0))),NA())</f>
        <v>#N/A</v>
      </c>
      <c r="AF340" t="e">
        <f>IFERROR(IF(INDEX(Aux_puntos!$A$2:$OJ$901,336,MATCH($B$2&amp;"|yC",Aux_puntos!$1:$1,0))="",NA(),INDEX(Aux_puntos!$A$2:$OJ$901,336,MATCH($B$2&amp;"|yC",Aux_puntos!$1:$1,0))),NA())</f>
        <v>#N/A</v>
      </c>
      <c r="AG340" t="e">
        <f>IFERROR(IF(INDEX(Aux_puntos!$A$2:$OJ$901,336,MATCH($B$2&amp;"|xI",Aux_puntos!$1:$1,0))="",NA(),INDEX(Aux_puntos!$A$2:$OJ$901,336,MATCH($B$2&amp;"|xI",Aux_puntos!$1:$1,0))),NA())</f>
        <v>#N/A</v>
      </c>
      <c r="AH340" t="e">
        <f>IFERROR(IF(INDEX(Aux_puntos!$A$2:$OJ$901,336,MATCH($B$2&amp;"|yI",Aux_puntos!$1:$1,0))="",NA(),INDEX(Aux_puntos!$A$2:$OJ$901,336,MATCH($B$2&amp;"|yI",Aux_puntos!$1:$1,0))),NA())</f>
        <v>#N/A</v>
      </c>
      <c r="AI340" t="e">
        <f>IFERROR(IF(INDEX(Aux_puntos!$A$2:$OJ$901,336,MATCH($B$2&amp;"|xN",Aux_puntos!$1:$1,0))="",NA(),INDEX(Aux_puntos!$A$2:$OJ$901,336,MATCH($B$2&amp;"|xN",Aux_puntos!$1:$1,0))),NA())</f>
        <v>#N/A</v>
      </c>
      <c r="AJ340" t="e">
        <f>IFERROR(IF(INDEX(Aux_puntos!$A$2:$OJ$901,336,MATCH($B$2&amp;"|yN",Aux_puntos!$1:$1,0))="",NA(),INDEX(Aux_puntos!$A$2:$OJ$901,336,MATCH($B$2&amp;"|yN",Aux_puntos!$1:$1,0))),NA())</f>
        <v>#N/A</v>
      </c>
    </row>
    <row r="341" spans="29:36" x14ac:dyDescent="0.3">
      <c r="AC341" t="e">
        <f>IFERROR(IF(INDEX(Aux_puntos!$A$2:$OJ$901,337,MATCH($B$2&amp;"|xK",Aux_puntos!$1:$1,0))="",NA(),INDEX(Aux_puntos!$A$2:$OJ$901,337,MATCH($B$2&amp;"|xK",Aux_puntos!$1:$1,0))),NA())</f>
        <v>#N/A</v>
      </c>
      <c r="AD341" t="e">
        <f>IFERROR(IF(INDEX(Aux_puntos!$A$2:$OJ$901,337,MATCH($B$2&amp;"|yK",Aux_puntos!$1:$1,0))="",NA(),INDEX(Aux_puntos!$A$2:$OJ$901,337,MATCH($B$2&amp;"|yK",Aux_puntos!$1:$1,0))),NA())</f>
        <v>#N/A</v>
      </c>
      <c r="AE341" t="e">
        <f>IFERROR(IF(INDEX(Aux_puntos!$A$2:$OJ$901,337,MATCH($B$2&amp;"|xC",Aux_puntos!$1:$1,0))="",NA(),INDEX(Aux_puntos!$A$2:$OJ$901,337,MATCH($B$2&amp;"|xC",Aux_puntos!$1:$1,0))),NA())</f>
        <v>#N/A</v>
      </c>
      <c r="AF341" t="e">
        <f>IFERROR(IF(INDEX(Aux_puntos!$A$2:$OJ$901,337,MATCH($B$2&amp;"|yC",Aux_puntos!$1:$1,0))="",NA(),INDEX(Aux_puntos!$A$2:$OJ$901,337,MATCH($B$2&amp;"|yC",Aux_puntos!$1:$1,0))),NA())</f>
        <v>#N/A</v>
      </c>
      <c r="AG341" t="e">
        <f>IFERROR(IF(INDEX(Aux_puntos!$A$2:$OJ$901,337,MATCH($B$2&amp;"|xI",Aux_puntos!$1:$1,0))="",NA(),INDEX(Aux_puntos!$A$2:$OJ$901,337,MATCH($B$2&amp;"|xI",Aux_puntos!$1:$1,0))),NA())</f>
        <v>#N/A</v>
      </c>
      <c r="AH341" t="e">
        <f>IFERROR(IF(INDEX(Aux_puntos!$A$2:$OJ$901,337,MATCH($B$2&amp;"|yI",Aux_puntos!$1:$1,0))="",NA(),INDEX(Aux_puntos!$A$2:$OJ$901,337,MATCH($B$2&amp;"|yI",Aux_puntos!$1:$1,0))),NA())</f>
        <v>#N/A</v>
      </c>
      <c r="AI341" t="e">
        <f>IFERROR(IF(INDEX(Aux_puntos!$A$2:$OJ$901,337,MATCH($B$2&amp;"|xN",Aux_puntos!$1:$1,0))="",NA(),INDEX(Aux_puntos!$A$2:$OJ$901,337,MATCH($B$2&amp;"|xN",Aux_puntos!$1:$1,0))),NA())</f>
        <v>#N/A</v>
      </c>
      <c r="AJ341" t="e">
        <f>IFERROR(IF(INDEX(Aux_puntos!$A$2:$OJ$901,337,MATCH($B$2&amp;"|yN",Aux_puntos!$1:$1,0))="",NA(),INDEX(Aux_puntos!$A$2:$OJ$901,337,MATCH($B$2&amp;"|yN",Aux_puntos!$1:$1,0))),NA())</f>
        <v>#N/A</v>
      </c>
    </row>
    <row r="342" spans="29:36" x14ac:dyDescent="0.3">
      <c r="AC342" t="e">
        <f>IFERROR(IF(INDEX(Aux_puntos!$A$2:$OJ$901,338,MATCH($B$2&amp;"|xK",Aux_puntos!$1:$1,0))="",NA(),INDEX(Aux_puntos!$A$2:$OJ$901,338,MATCH($B$2&amp;"|xK",Aux_puntos!$1:$1,0))),NA())</f>
        <v>#N/A</v>
      </c>
      <c r="AD342" t="e">
        <f>IFERROR(IF(INDEX(Aux_puntos!$A$2:$OJ$901,338,MATCH($B$2&amp;"|yK",Aux_puntos!$1:$1,0))="",NA(),INDEX(Aux_puntos!$A$2:$OJ$901,338,MATCH($B$2&amp;"|yK",Aux_puntos!$1:$1,0))),NA())</f>
        <v>#N/A</v>
      </c>
      <c r="AE342" t="e">
        <f>IFERROR(IF(INDEX(Aux_puntos!$A$2:$OJ$901,338,MATCH($B$2&amp;"|xC",Aux_puntos!$1:$1,0))="",NA(),INDEX(Aux_puntos!$A$2:$OJ$901,338,MATCH($B$2&amp;"|xC",Aux_puntos!$1:$1,0))),NA())</f>
        <v>#N/A</v>
      </c>
      <c r="AF342" t="e">
        <f>IFERROR(IF(INDEX(Aux_puntos!$A$2:$OJ$901,338,MATCH($B$2&amp;"|yC",Aux_puntos!$1:$1,0))="",NA(),INDEX(Aux_puntos!$A$2:$OJ$901,338,MATCH($B$2&amp;"|yC",Aux_puntos!$1:$1,0))),NA())</f>
        <v>#N/A</v>
      </c>
      <c r="AG342" t="e">
        <f>IFERROR(IF(INDEX(Aux_puntos!$A$2:$OJ$901,338,MATCH($B$2&amp;"|xI",Aux_puntos!$1:$1,0))="",NA(),INDEX(Aux_puntos!$A$2:$OJ$901,338,MATCH($B$2&amp;"|xI",Aux_puntos!$1:$1,0))),NA())</f>
        <v>#N/A</v>
      </c>
      <c r="AH342" t="e">
        <f>IFERROR(IF(INDEX(Aux_puntos!$A$2:$OJ$901,338,MATCH($B$2&amp;"|yI",Aux_puntos!$1:$1,0))="",NA(),INDEX(Aux_puntos!$A$2:$OJ$901,338,MATCH($B$2&amp;"|yI",Aux_puntos!$1:$1,0))),NA())</f>
        <v>#N/A</v>
      </c>
      <c r="AI342" t="e">
        <f>IFERROR(IF(INDEX(Aux_puntos!$A$2:$OJ$901,338,MATCH($B$2&amp;"|xN",Aux_puntos!$1:$1,0))="",NA(),INDEX(Aux_puntos!$A$2:$OJ$901,338,MATCH($B$2&amp;"|xN",Aux_puntos!$1:$1,0))),NA())</f>
        <v>#N/A</v>
      </c>
      <c r="AJ342" t="e">
        <f>IFERROR(IF(INDEX(Aux_puntos!$A$2:$OJ$901,338,MATCH($B$2&amp;"|yN",Aux_puntos!$1:$1,0))="",NA(),INDEX(Aux_puntos!$A$2:$OJ$901,338,MATCH($B$2&amp;"|yN",Aux_puntos!$1:$1,0))),NA())</f>
        <v>#N/A</v>
      </c>
    </row>
    <row r="343" spans="29:36" x14ac:dyDescent="0.3">
      <c r="AC343" t="e">
        <f>IFERROR(IF(INDEX(Aux_puntos!$A$2:$OJ$901,339,MATCH($B$2&amp;"|xK",Aux_puntos!$1:$1,0))="",NA(),INDEX(Aux_puntos!$A$2:$OJ$901,339,MATCH($B$2&amp;"|xK",Aux_puntos!$1:$1,0))),NA())</f>
        <v>#N/A</v>
      </c>
      <c r="AD343" t="e">
        <f>IFERROR(IF(INDEX(Aux_puntos!$A$2:$OJ$901,339,MATCH($B$2&amp;"|yK",Aux_puntos!$1:$1,0))="",NA(),INDEX(Aux_puntos!$A$2:$OJ$901,339,MATCH($B$2&amp;"|yK",Aux_puntos!$1:$1,0))),NA())</f>
        <v>#N/A</v>
      </c>
      <c r="AE343" t="e">
        <f>IFERROR(IF(INDEX(Aux_puntos!$A$2:$OJ$901,339,MATCH($B$2&amp;"|xC",Aux_puntos!$1:$1,0))="",NA(),INDEX(Aux_puntos!$A$2:$OJ$901,339,MATCH($B$2&amp;"|xC",Aux_puntos!$1:$1,0))),NA())</f>
        <v>#N/A</v>
      </c>
      <c r="AF343" t="e">
        <f>IFERROR(IF(INDEX(Aux_puntos!$A$2:$OJ$901,339,MATCH($B$2&amp;"|yC",Aux_puntos!$1:$1,0))="",NA(),INDEX(Aux_puntos!$A$2:$OJ$901,339,MATCH($B$2&amp;"|yC",Aux_puntos!$1:$1,0))),NA())</f>
        <v>#N/A</v>
      </c>
      <c r="AG343" t="e">
        <f>IFERROR(IF(INDEX(Aux_puntos!$A$2:$OJ$901,339,MATCH($B$2&amp;"|xI",Aux_puntos!$1:$1,0))="",NA(),INDEX(Aux_puntos!$A$2:$OJ$901,339,MATCH($B$2&amp;"|xI",Aux_puntos!$1:$1,0))),NA())</f>
        <v>#N/A</v>
      </c>
      <c r="AH343" t="e">
        <f>IFERROR(IF(INDEX(Aux_puntos!$A$2:$OJ$901,339,MATCH($B$2&amp;"|yI",Aux_puntos!$1:$1,0))="",NA(),INDEX(Aux_puntos!$A$2:$OJ$901,339,MATCH($B$2&amp;"|yI",Aux_puntos!$1:$1,0))),NA())</f>
        <v>#N/A</v>
      </c>
      <c r="AI343" t="e">
        <f>IFERROR(IF(INDEX(Aux_puntos!$A$2:$OJ$901,339,MATCH($B$2&amp;"|xN",Aux_puntos!$1:$1,0))="",NA(),INDEX(Aux_puntos!$A$2:$OJ$901,339,MATCH($B$2&amp;"|xN",Aux_puntos!$1:$1,0))),NA())</f>
        <v>#N/A</v>
      </c>
      <c r="AJ343" t="e">
        <f>IFERROR(IF(INDEX(Aux_puntos!$A$2:$OJ$901,339,MATCH($B$2&amp;"|yN",Aux_puntos!$1:$1,0))="",NA(),INDEX(Aux_puntos!$A$2:$OJ$901,339,MATCH($B$2&amp;"|yN",Aux_puntos!$1:$1,0))),NA())</f>
        <v>#N/A</v>
      </c>
    </row>
    <row r="344" spans="29:36" x14ac:dyDescent="0.3">
      <c r="AC344" t="e">
        <f>IFERROR(IF(INDEX(Aux_puntos!$A$2:$OJ$901,340,MATCH($B$2&amp;"|xK",Aux_puntos!$1:$1,0))="",NA(),INDEX(Aux_puntos!$A$2:$OJ$901,340,MATCH($B$2&amp;"|xK",Aux_puntos!$1:$1,0))),NA())</f>
        <v>#N/A</v>
      </c>
      <c r="AD344" t="e">
        <f>IFERROR(IF(INDEX(Aux_puntos!$A$2:$OJ$901,340,MATCH($B$2&amp;"|yK",Aux_puntos!$1:$1,0))="",NA(),INDEX(Aux_puntos!$A$2:$OJ$901,340,MATCH($B$2&amp;"|yK",Aux_puntos!$1:$1,0))),NA())</f>
        <v>#N/A</v>
      </c>
      <c r="AE344" t="e">
        <f>IFERROR(IF(INDEX(Aux_puntos!$A$2:$OJ$901,340,MATCH($B$2&amp;"|xC",Aux_puntos!$1:$1,0))="",NA(),INDEX(Aux_puntos!$A$2:$OJ$901,340,MATCH($B$2&amp;"|xC",Aux_puntos!$1:$1,0))),NA())</f>
        <v>#N/A</v>
      </c>
      <c r="AF344" t="e">
        <f>IFERROR(IF(INDEX(Aux_puntos!$A$2:$OJ$901,340,MATCH($B$2&amp;"|yC",Aux_puntos!$1:$1,0))="",NA(),INDEX(Aux_puntos!$A$2:$OJ$901,340,MATCH($B$2&amp;"|yC",Aux_puntos!$1:$1,0))),NA())</f>
        <v>#N/A</v>
      </c>
      <c r="AG344" t="e">
        <f>IFERROR(IF(INDEX(Aux_puntos!$A$2:$OJ$901,340,MATCH($B$2&amp;"|xI",Aux_puntos!$1:$1,0))="",NA(),INDEX(Aux_puntos!$A$2:$OJ$901,340,MATCH($B$2&amp;"|xI",Aux_puntos!$1:$1,0))),NA())</f>
        <v>#N/A</v>
      </c>
      <c r="AH344" t="e">
        <f>IFERROR(IF(INDEX(Aux_puntos!$A$2:$OJ$901,340,MATCH($B$2&amp;"|yI",Aux_puntos!$1:$1,0))="",NA(),INDEX(Aux_puntos!$A$2:$OJ$901,340,MATCH($B$2&amp;"|yI",Aux_puntos!$1:$1,0))),NA())</f>
        <v>#N/A</v>
      </c>
      <c r="AI344" t="e">
        <f>IFERROR(IF(INDEX(Aux_puntos!$A$2:$OJ$901,340,MATCH($B$2&amp;"|xN",Aux_puntos!$1:$1,0))="",NA(),INDEX(Aux_puntos!$A$2:$OJ$901,340,MATCH($B$2&amp;"|xN",Aux_puntos!$1:$1,0))),NA())</f>
        <v>#N/A</v>
      </c>
      <c r="AJ344" t="e">
        <f>IFERROR(IF(INDEX(Aux_puntos!$A$2:$OJ$901,340,MATCH($B$2&amp;"|yN",Aux_puntos!$1:$1,0))="",NA(),INDEX(Aux_puntos!$A$2:$OJ$901,340,MATCH($B$2&amp;"|yN",Aux_puntos!$1:$1,0))),NA())</f>
        <v>#N/A</v>
      </c>
    </row>
    <row r="345" spans="29:36" x14ac:dyDescent="0.3">
      <c r="AC345" t="e">
        <f>IFERROR(IF(INDEX(Aux_puntos!$A$2:$OJ$901,341,MATCH($B$2&amp;"|xK",Aux_puntos!$1:$1,0))="",NA(),INDEX(Aux_puntos!$A$2:$OJ$901,341,MATCH($B$2&amp;"|xK",Aux_puntos!$1:$1,0))),NA())</f>
        <v>#N/A</v>
      </c>
      <c r="AD345" t="e">
        <f>IFERROR(IF(INDEX(Aux_puntos!$A$2:$OJ$901,341,MATCH($B$2&amp;"|yK",Aux_puntos!$1:$1,0))="",NA(),INDEX(Aux_puntos!$A$2:$OJ$901,341,MATCH($B$2&amp;"|yK",Aux_puntos!$1:$1,0))),NA())</f>
        <v>#N/A</v>
      </c>
      <c r="AE345" t="e">
        <f>IFERROR(IF(INDEX(Aux_puntos!$A$2:$OJ$901,341,MATCH($B$2&amp;"|xC",Aux_puntos!$1:$1,0))="",NA(),INDEX(Aux_puntos!$A$2:$OJ$901,341,MATCH($B$2&amp;"|xC",Aux_puntos!$1:$1,0))),NA())</f>
        <v>#N/A</v>
      </c>
      <c r="AF345" t="e">
        <f>IFERROR(IF(INDEX(Aux_puntos!$A$2:$OJ$901,341,MATCH($B$2&amp;"|yC",Aux_puntos!$1:$1,0))="",NA(),INDEX(Aux_puntos!$A$2:$OJ$901,341,MATCH($B$2&amp;"|yC",Aux_puntos!$1:$1,0))),NA())</f>
        <v>#N/A</v>
      </c>
      <c r="AG345" t="e">
        <f>IFERROR(IF(INDEX(Aux_puntos!$A$2:$OJ$901,341,MATCH($B$2&amp;"|xI",Aux_puntos!$1:$1,0))="",NA(),INDEX(Aux_puntos!$A$2:$OJ$901,341,MATCH($B$2&amp;"|xI",Aux_puntos!$1:$1,0))),NA())</f>
        <v>#N/A</v>
      </c>
      <c r="AH345" t="e">
        <f>IFERROR(IF(INDEX(Aux_puntos!$A$2:$OJ$901,341,MATCH($B$2&amp;"|yI",Aux_puntos!$1:$1,0))="",NA(),INDEX(Aux_puntos!$A$2:$OJ$901,341,MATCH($B$2&amp;"|yI",Aux_puntos!$1:$1,0))),NA())</f>
        <v>#N/A</v>
      </c>
      <c r="AI345" t="e">
        <f>IFERROR(IF(INDEX(Aux_puntos!$A$2:$OJ$901,341,MATCH($B$2&amp;"|xN",Aux_puntos!$1:$1,0))="",NA(),INDEX(Aux_puntos!$A$2:$OJ$901,341,MATCH($B$2&amp;"|xN",Aux_puntos!$1:$1,0))),NA())</f>
        <v>#N/A</v>
      </c>
      <c r="AJ345" t="e">
        <f>IFERROR(IF(INDEX(Aux_puntos!$A$2:$OJ$901,341,MATCH($B$2&amp;"|yN",Aux_puntos!$1:$1,0))="",NA(),INDEX(Aux_puntos!$A$2:$OJ$901,341,MATCH($B$2&amp;"|yN",Aux_puntos!$1:$1,0))),NA())</f>
        <v>#N/A</v>
      </c>
    </row>
    <row r="346" spans="29:36" x14ac:dyDescent="0.3">
      <c r="AC346" t="e">
        <f>IFERROR(IF(INDEX(Aux_puntos!$A$2:$OJ$901,342,MATCH($B$2&amp;"|xK",Aux_puntos!$1:$1,0))="",NA(),INDEX(Aux_puntos!$A$2:$OJ$901,342,MATCH($B$2&amp;"|xK",Aux_puntos!$1:$1,0))),NA())</f>
        <v>#N/A</v>
      </c>
      <c r="AD346" t="e">
        <f>IFERROR(IF(INDEX(Aux_puntos!$A$2:$OJ$901,342,MATCH($B$2&amp;"|yK",Aux_puntos!$1:$1,0))="",NA(),INDEX(Aux_puntos!$A$2:$OJ$901,342,MATCH($B$2&amp;"|yK",Aux_puntos!$1:$1,0))),NA())</f>
        <v>#N/A</v>
      </c>
      <c r="AE346" t="e">
        <f>IFERROR(IF(INDEX(Aux_puntos!$A$2:$OJ$901,342,MATCH($B$2&amp;"|xC",Aux_puntos!$1:$1,0))="",NA(),INDEX(Aux_puntos!$A$2:$OJ$901,342,MATCH($B$2&amp;"|xC",Aux_puntos!$1:$1,0))),NA())</f>
        <v>#N/A</v>
      </c>
      <c r="AF346" t="e">
        <f>IFERROR(IF(INDEX(Aux_puntos!$A$2:$OJ$901,342,MATCH($B$2&amp;"|yC",Aux_puntos!$1:$1,0))="",NA(),INDEX(Aux_puntos!$A$2:$OJ$901,342,MATCH($B$2&amp;"|yC",Aux_puntos!$1:$1,0))),NA())</f>
        <v>#N/A</v>
      </c>
      <c r="AG346" t="e">
        <f>IFERROR(IF(INDEX(Aux_puntos!$A$2:$OJ$901,342,MATCH($B$2&amp;"|xI",Aux_puntos!$1:$1,0))="",NA(),INDEX(Aux_puntos!$A$2:$OJ$901,342,MATCH($B$2&amp;"|xI",Aux_puntos!$1:$1,0))),NA())</f>
        <v>#N/A</v>
      </c>
      <c r="AH346" t="e">
        <f>IFERROR(IF(INDEX(Aux_puntos!$A$2:$OJ$901,342,MATCH($B$2&amp;"|yI",Aux_puntos!$1:$1,0))="",NA(),INDEX(Aux_puntos!$A$2:$OJ$901,342,MATCH($B$2&amp;"|yI",Aux_puntos!$1:$1,0))),NA())</f>
        <v>#N/A</v>
      </c>
      <c r="AI346" t="e">
        <f>IFERROR(IF(INDEX(Aux_puntos!$A$2:$OJ$901,342,MATCH($B$2&amp;"|xN",Aux_puntos!$1:$1,0))="",NA(),INDEX(Aux_puntos!$A$2:$OJ$901,342,MATCH($B$2&amp;"|xN",Aux_puntos!$1:$1,0))),NA())</f>
        <v>#N/A</v>
      </c>
      <c r="AJ346" t="e">
        <f>IFERROR(IF(INDEX(Aux_puntos!$A$2:$OJ$901,342,MATCH($B$2&amp;"|yN",Aux_puntos!$1:$1,0))="",NA(),INDEX(Aux_puntos!$A$2:$OJ$901,342,MATCH($B$2&amp;"|yN",Aux_puntos!$1:$1,0))),NA())</f>
        <v>#N/A</v>
      </c>
    </row>
    <row r="347" spans="29:36" x14ac:dyDescent="0.3">
      <c r="AC347" t="e">
        <f>IFERROR(IF(INDEX(Aux_puntos!$A$2:$OJ$901,343,MATCH($B$2&amp;"|xK",Aux_puntos!$1:$1,0))="",NA(),INDEX(Aux_puntos!$A$2:$OJ$901,343,MATCH($B$2&amp;"|xK",Aux_puntos!$1:$1,0))),NA())</f>
        <v>#N/A</v>
      </c>
      <c r="AD347" t="e">
        <f>IFERROR(IF(INDEX(Aux_puntos!$A$2:$OJ$901,343,MATCH($B$2&amp;"|yK",Aux_puntos!$1:$1,0))="",NA(),INDEX(Aux_puntos!$A$2:$OJ$901,343,MATCH($B$2&amp;"|yK",Aux_puntos!$1:$1,0))),NA())</f>
        <v>#N/A</v>
      </c>
      <c r="AE347" t="e">
        <f>IFERROR(IF(INDEX(Aux_puntos!$A$2:$OJ$901,343,MATCH($B$2&amp;"|xC",Aux_puntos!$1:$1,0))="",NA(),INDEX(Aux_puntos!$A$2:$OJ$901,343,MATCH($B$2&amp;"|xC",Aux_puntos!$1:$1,0))),NA())</f>
        <v>#N/A</v>
      </c>
      <c r="AF347" t="e">
        <f>IFERROR(IF(INDEX(Aux_puntos!$A$2:$OJ$901,343,MATCH($B$2&amp;"|yC",Aux_puntos!$1:$1,0))="",NA(),INDEX(Aux_puntos!$A$2:$OJ$901,343,MATCH($B$2&amp;"|yC",Aux_puntos!$1:$1,0))),NA())</f>
        <v>#N/A</v>
      </c>
      <c r="AG347" t="e">
        <f>IFERROR(IF(INDEX(Aux_puntos!$A$2:$OJ$901,343,MATCH($B$2&amp;"|xI",Aux_puntos!$1:$1,0))="",NA(),INDEX(Aux_puntos!$A$2:$OJ$901,343,MATCH($B$2&amp;"|xI",Aux_puntos!$1:$1,0))),NA())</f>
        <v>#N/A</v>
      </c>
      <c r="AH347" t="e">
        <f>IFERROR(IF(INDEX(Aux_puntos!$A$2:$OJ$901,343,MATCH($B$2&amp;"|yI",Aux_puntos!$1:$1,0))="",NA(),INDEX(Aux_puntos!$A$2:$OJ$901,343,MATCH($B$2&amp;"|yI",Aux_puntos!$1:$1,0))),NA())</f>
        <v>#N/A</v>
      </c>
      <c r="AI347" t="e">
        <f>IFERROR(IF(INDEX(Aux_puntos!$A$2:$OJ$901,343,MATCH($B$2&amp;"|xN",Aux_puntos!$1:$1,0))="",NA(),INDEX(Aux_puntos!$A$2:$OJ$901,343,MATCH($B$2&amp;"|xN",Aux_puntos!$1:$1,0))),NA())</f>
        <v>#N/A</v>
      </c>
      <c r="AJ347" t="e">
        <f>IFERROR(IF(INDEX(Aux_puntos!$A$2:$OJ$901,343,MATCH($B$2&amp;"|yN",Aux_puntos!$1:$1,0))="",NA(),INDEX(Aux_puntos!$A$2:$OJ$901,343,MATCH($B$2&amp;"|yN",Aux_puntos!$1:$1,0))),NA())</f>
        <v>#N/A</v>
      </c>
    </row>
    <row r="348" spans="29:36" x14ac:dyDescent="0.3">
      <c r="AC348" t="e">
        <f>IFERROR(IF(INDEX(Aux_puntos!$A$2:$OJ$901,344,MATCH($B$2&amp;"|xK",Aux_puntos!$1:$1,0))="",NA(),INDEX(Aux_puntos!$A$2:$OJ$901,344,MATCH($B$2&amp;"|xK",Aux_puntos!$1:$1,0))),NA())</f>
        <v>#N/A</v>
      </c>
      <c r="AD348" t="e">
        <f>IFERROR(IF(INDEX(Aux_puntos!$A$2:$OJ$901,344,MATCH($B$2&amp;"|yK",Aux_puntos!$1:$1,0))="",NA(),INDEX(Aux_puntos!$A$2:$OJ$901,344,MATCH($B$2&amp;"|yK",Aux_puntos!$1:$1,0))),NA())</f>
        <v>#N/A</v>
      </c>
      <c r="AE348" t="e">
        <f>IFERROR(IF(INDEX(Aux_puntos!$A$2:$OJ$901,344,MATCH($B$2&amp;"|xC",Aux_puntos!$1:$1,0))="",NA(),INDEX(Aux_puntos!$A$2:$OJ$901,344,MATCH($B$2&amp;"|xC",Aux_puntos!$1:$1,0))),NA())</f>
        <v>#N/A</v>
      </c>
      <c r="AF348" t="e">
        <f>IFERROR(IF(INDEX(Aux_puntos!$A$2:$OJ$901,344,MATCH($B$2&amp;"|yC",Aux_puntos!$1:$1,0))="",NA(),INDEX(Aux_puntos!$A$2:$OJ$901,344,MATCH($B$2&amp;"|yC",Aux_puntos!$1:$1,0))),NA())</f>
        <v>#N/A</v>
      </c>
      <c r="AG348" t="e">
        <f>IFERROR(IF(INDEX(Aux_puntos!$A$2:$OJ$901,344,MATCH($B$2&amp;"|xI",Aux_puntos!$1:$1,0))="",NA(),INDEX(Aux_puntos!$A$2:$OJ$901,344,MATCH($B$2&amp;"|xI",Aux_puntos!$1:$1,0))),NA())</f>
        <v>#N/A</v>
      </c>
      <c r="AH348" t="e">
        <f>IFERROR(IF(INDEX(Aux_puntos!$A$2:$OJ$901,344,MATCH($B$2&amp;"|yI",Aux_puntos!$1:$1,0))="",NA(),INDEX(Aux_puntos!$A$2:$OJ$901,344,MATCH($B$2&amp;"|yI",Aux_puntos!$1:$1,0))),NA())</f>
        <v>#N/A</v>
      </c>
      <c r="AI348" t="e">
        <f>IFERROR(IF(INDEX(Aux_puntos!$A$2:$OJ$901,344,MATCH($B$2&amp;"|xN",Aux_puntos!$1:$1,0))="",NA(),INDEX(Aux_puntos!$A$2:$OJ$901,344,MATCH($B$2&amp;"|xN",Aux_puntos!$1:$1,0))),NA())</f>
        <v>#N/A</v>
      </c>
      <c r="AJ348" t="e">
        <f>IFERROR(IF(INDEX(Aux_puntos!$A$2:$OJ$901,344,MATCH($B$2&amp;"|yN",Aux_puntos!$1:$1,0))="",NA(),INDEX(Aux_puntos!$A$2:$OJ$901,344,MATCH($B$2&amp;"|yN",Aux_puntos!$1:$1,0))),NA())</f>
        <v>#N/A</v>
      </c>
    </row>
    <row r="349" spans="29:36" x14ac:dyDescent="0.3">
      <c r="AC349" t="e">
        <f>IFERROR(IF(INDEX(Aux_puntos!$A$2:$OJ$901,345,MATCH($B$2&amp;"|xK",Aux_puntos!$1:$1,0))="",NA(),INDEX(Aux_puntos!$A$2:$OJ$901,345,MATCH($B$2&amp;"|xK",Aux_puntos!$1:$1,0))),NA())</f>
        <v>#N/A</v>
      </c>
      <c r="AD349" t="e">
        <f>IFERROR(IF(INDEX(Aux_puntos!$A$2:$OJ$901,345,MATCH($B$2&amp;"|yK",Aux_puntos!$1:$1,0))="",NA(),INDEX(Aux_puntos!$A$2:$OJ$901,345,MATCH($B$2&amp;"|yK",Aux_puntos!$1:$1,0))),NA())</f>
        <v>#N/A</v>
      </c>
      <c r="AE349" t="e">
        <f>IFERROR(IF(INDEX(Aux_puntos!$A$2:$OJ$901,345,MATCH($B$2&amp;"|xC",Aux_puntos!$1:$1,0))="",NA(),INDEX(Aux_puntos!$A$2:$OJ$901,345,MATCH($B$2&amp;"|xC",Aux_puntos!$1:$1,0))),NA())</f>
        <v>#N/A</v>
      </c>
      <c r="AF349" t="e">
        <f>IFERROR(IF(INDEX(Aux_puntos!$A$2:$OJ$901,345,MATCH($B$2&amp;"|yC",Aux_puntos!$1:$1,0))="",NA(),INDEX(Aux_puntos!$A$2:$OJ$901,345,MATCH($B$2&amp;"|yC",Aux_puntos!$1:$1,0))),NA())</f>
        <v>#N/A</v>
      </c>
      <c r="AG349" t="e">
        <f>IFERROR(IF(INDEX(Aux_puntos!$A$2:$OJ$901,345,MATCH($B$2&amp;"|xI",Aux_puntos!$1:$1,0))="",NA(),INDEX(Aux_puntos!$A$2:$OJ$901,345,MATCH($B$2&amp;"|xI",Aux_puntos!$1:$1,0))),NA())</f>
        <v>#N/A</v>
      </c>
      <c r="AH349" t="e">
        <f>IFERROR(IF(INDEX(Aux_puntos!$A$2:$OJ$901,345,MATCH($B$2&amp;"|yI",Aux_puntos!$1:$1,0))="",NA(),INDEX(Aux_puntos!$A$2:$OJ$901,345,MATCH($B$2&amp;"|yI",Aux_puntos!$1:$1,0))),NA())</f>
        <v>#N/A</v>
      </c>
      <c r="AI349" t="e">
        <f>IFERROR(IF(INDEX(Aux_puntos!$A$2:$OJ$901,345,MATCH($B$2&amp;"|xN",Aux_puntos!$1:$1,0))="",NA(),INDEX(Aux_puntos!$A$2:$OJ$901,345,MATCH($B$2&amp;"|xN",Aux_puntos!$1:$1,0))),NA())</f>
        <v>#N/A</v>
      </c>
      <c r="AJ349" t="e">
        <f>IFERROR(IF(INDEX(Aux_puntos!$A$2:$OJ$901,345,MATCH($B$2&amp;"|yN",Aux_puntos!$1:$1,0))="",NA(),INDEX(Aux_puntos!$A$2:$OJ$901,345,MATCH($B$2&amp;"|yN",Aux_puntos!$1:$1,0))),NA())</f>
        <v>#N/A</v>
      </c>
    </row>
    <row r="350" spans="29:36" x14ac:dyDescent="0.3">
      <c r="AC350" t="e">
        <f>IFERROR(IF(INDEX(Aux_puntos!$A$2:$OJ$901,346,MATCH($B$2&amp;"|xK",Aux_puntos!$1:$1,0))="",NA(),INDEX(Aux_puntos!$A$2:$OJ$901,346,MATCH($B$2&amp;"|xK",Aux_puntos!$1:$1,0))),NA())</f>
        <v>#N/A</v>
      </c>
      <c r="AD350" t="e">
        <f>IFERROR(IF(INDEX(Aux_puntos!$A$2:$OJ$901,346,MATCH($B$2&amp;"|yK",Aux_puntos!$1:$1,0))="",NA(),INDEX(Aux_puntos!$A$2:$OJ$901,346,MATCH($B$2&amp;"|yK",Aux_puntos!$1:$1,0))),NA())</f>
        <v>#N/A</v>
      </c>
      <c r="AE350" t="e">
        <f>IFERROR(IF(INDEX(Aux_puntos!$A$2:$OJ$901,346,MATCH($B$2&amp;"|xC",Aux_puntos!$1:$1,0))="",NA(),INDEX(Aux_puntos!$A$2:$OJ$901,346,MATCH($B$2&amp;"|xC",Aux_puntos!$1:$1,0))),NA())</f>
        <v>#N/A</v>
      </c>
      <c r="AF350" t="e">
        <f>IFERROR(IF(INDEX(Aux_puntos!$A$2:$OJ$901,346,MATCH($B$2&amp;"|yC",Aux_puntos!$1:$1,0))="",NA(),INDEX(Aux_puntos!$A$2:$OJ$901,346,MATCH($B$2&amp;"|yC",Aux_puntos!$1:$1,0))),NA())</f>
        <v>#N/A</v>
      </c>
      <c r="AG350" t="e">
        <f>IFERROR(IF(INDEX(Aux_puntos!$A$2:$OJ$901,346,MATCH($B$2&amp;"|xI",Aux_puntos!$1:$1,0))="",NA(),INDEX(Aux_puntos!$A$2:$OJ$901,346,MATCH($B$2&amp;"|xI",Aux_puntos!$1:$1,0))),NA())</f>
        <v>#N/A</v>
      </c>
      <c r="AH350" t="e">
        <f>IFERROR(IF(INDEX(Aux_puntos!$A$2:$OJ$901,346,MATCH($B$2&amp;"|yI",Aux_puntos!$1:$1,0))="",NA(),INDEX(Aux_puntos!$A$2:$OJ$901,346,MATCH($B$2&amp;"|yI",Aux_puntos!$1:$1,0))),NA())</f>
        <v>#N/A</v>
      </c>
      <c r="AI350" t="e">
        <f>IFERROR(IF(INDEX(Aux_puntos!$A$2:$OJ$901,346,MATCH($B$2&amp;"|xN",Aux_puntos!$1:$1,0))="",NA(),INDEX(Aux_puntos!$A$2:$OJ$901,346,MATCH($B$2&amp;"|xN",Aux_puntos!$1:$1,0))),NA())</f>
        <v>#N/A</v>
      </c>
      <c r="AJ350" t="e">
        <f>IFERROR(IF(INDEX(Aux_puntos!$A$2:$OJ$901,346,MATCH($B$2&amp;"|yN",Aux_puntos!$1:$1,0))="",NA(),INDEX(Aux_puntos!$A$2:$OJ$901,346,MATCH($B$2&amp;"|yN",Aux_puntos!$1:$1,0))),NA())</f>
        <v>#N/A</v>
      </c>
    </row>
    <row r="351" spans="29:36" x14ac:dyDescent="0.3">
      <c r="AC351" t="e">
        <f>IFERROR(IF(INDEX(Aux_puntos!$A$2:$OJ$901,347,MATCH($B$2&amp;"|xK",Aux_puntos!$1:$1,0))="",NA(),INDEX(Aux_puntos!$A$2:$OJ$901,347,MATCH($B$2&amp;"|xK",Aux_puntos!$1:$1,0))),NA())</f>
        <v>#N/A</v>
      </c>
      <c r="AD351" t="e">
        <f>IFERROR(IF(INDEX(Aux_puntos!$A$2:$OJ$901,347,MATCH($B$2&amp;"|yK",Aux_puntos!$1:$1,0))="",NA(),INDEX(Aux_puntos!$A$2:$OJ$901,347,MATCH($B$2&amp;"|yK",Aux_puntos!$1:$1,0))),NA())</f>
        <v>#N/A</v>
      </c>
      <c r="AE351" t="e">
        <f>IFERROR(IF(INDEX(Aux_puntos!$A$2:$OJ$901,347,MATCH($B$2&amp;"|xC",Aux_puntos!$1:$1,0))="",NA(),INDEX(Aux_puntos!$A$2:$OJ$901,347,MATCH($B$2&amp;"|xC",Aux_puntos!$1:$1,0))),NA())</f>
        <v>#N/A</v>
      </c>
      <c r="AF351" t="e">
        <f>IFERROR(IF(INDEX(Aux_puntos!$A$2:$OJ$901,347,MATCH($B$2&amp;"|yC",Aux_puntos!$1:$1,0))="",NA(),INDEX(Aux_puntos!$A$2:$OJ$901,347,MATCH($B$2&amp;"|yC",Aux_puntos!$1:$1,0))),NA())</f>
        <v>#N/A</v>
      </c>
      <c r="AG351" t="e">
        <f>IFERROR(IF(INDEX(Aux_puntos!$A$2:$OJ$901,347,MATCH($B$2&amp;"|xI",Aux_puntos!$1:$1,0))="",NA(),INDEX(Aux_puntos!$A$2:$OJ$901,347,MATCH($B$2&amp;"|xI",Aux_puntos!$1:$1,0))),NA())</f>
        <v>#N/A</v>
      </c>
      <c r="AH351" t="e">
        <f>IFERROR(IF(INDEX(Aux_puntos!$A$2:$OJ$901,347,MATCH($B$2&amp;"|yI",Aux_puntos!$1:$1,0))="",NA(),INDEX(Aux_puntos!$A$2:$OJ$901,347,MATCH($B$2&amp;"|yI",Aux_puntos!$1:$1,0))),NA())</f>
        <v>#N/A</v>
      </c>
      <c r="AI351" t="e">
        <f>IFERROR(IF(INDEX(Aux_puntos!$A$2:$OJ$901,347,MATCH($B$2&amp;"|xN",Aux_puntos!$1:$1,0))="",NA(),INDEX(Aux_puntos!$A$2:$OJ$901,347,MATCH($B$2&amp;"|xN",Aux_puntos!$1:$1,0))),NA())</f>
        <v>#N/A</v>
      </c>
      <c r="AJ351" t="e">
        <f>IFERROR(IF(INDEX(Aux_puntos!$A$2:$OJ$901,347,MATCH($B$2&amp;"|yN",Aux_puntos!$1:$1,0))="",NA(),INDEX(Aux_puntos!$A$2:$OJ$901,347,MATCH($B$2&amp;"|yN",Aux_puntos!$1:$1,0))),NA())</f>
        <v>#N/A</v>
      </c>
    </row>
    <row r="352" spans="29:36" x14ac:dyDescent="0.3">
      <c r="AC352" t="e">
        <f>IFERROR(IF(INDEX(Aux_puntos!$A$2:$OJ$901,348,MATCH($B$2&amp;"|xK",Aux_puntos!$1:$1,0))="",NA(),INDEX(Aux_puntos!$A$2:$OJ$901,348,MATCH($B$2&amp;"|xK",Aux_puntos!$1:$1,0))),NA())</f>
        <v>#N/A</v>
      </c>
      <c r="AD352" t="e">
        <f>IFERROR(IF(INDEX(Aux_puntos!$A$2:$OJ$901,348,MATCH($B$2&amp;"|yK",Aux_puntos!$1:$1,0))="",NA(),INDEX(Aux_puntos!$A$2:$OJ$901,348,MATCH($B$2&amp;"|yK",Aux_puntos!$1:$1,0))),NA())</f>
        <v>#N/A</v>
      </c>
      <c r="AE352" t="e">
        <f>IFERROR(IF(INDEX(Aux_puntos!$A$2:$OJ$901,348,MATCH($B$2&amp;"|xC",Aux_puntos!$1:$1,0))="",NA(),INDEX(Aux_puntos!$A$2:$OJ$901,348,MATCH($B$2&amp;"|xC",Aux_puntos!$1:$1,0))),NA())</f>
        <v>#N/A</v>
      </c>
      <c r="AF352" t="e">
        <f>IFERROR(IF(INDEX(Aux_puntos!$A$2:$OJ$901,348,MATCH($B$2&amp;"|yC",Aux_puntos!$1:$1,0))="",NA(),INDEX(Aux_puntos!$A$2:$OJ$901,348,MATCH($B$2&amp;"|yC",Aux_puntos!$1:$1,0))),NA())</f>
        <v>#N/A</v>
      </c>
      <c r="AG352" t="e">
        <f>IFERROR(IF(INDEX(Aux_puntos!$A$2:$OJ$901,348,MATCH($B$2&amp;"|xI",Aux_puntos!$1:$1,0))="",NA(),INDEX(Aux_puntos!$A$2:$OJ$901,348,MATCH($B$2&amp;"|xI",Aux_puntos!$1:$1,0))),NA())</f>
        <v>#N/A</v>
      </c>
      <c r="AH352" t="e">
        <f>IFERROR(IF(INDEX(Aux_puntos!$A$2:$OJ$901,348,MATCH($B$2&amp;"|yI",Aux_puntos!$1:$1,0))="",NA(),INDEX(Aux_puntos!$A$2:$OJ$901,348,MATCH($B$2&amp;"|yI",Aux_puntos!$1:$1,0))),NA())</f>
        <v>#N/A</v>
      </c>
      <c r="AI352" t="e">
        <f>IFERROR(IF(INDEX(Aux_puntos!$A$2:$OJ$901,348,MATCH($B$2&amp;"|xN",Aux_puntos!$1:$1,0))="",NA(),INDEX(Aux_puntos!$A$2:$OJ$901,348,MATCH($B$2&amp;"|xN",Aux_puntos!$1:$1,0))),NA())</f>
        <v>#N/A</v>
      </c>
      <c r="AJ352" t="e">
        <f>IFERROR(IF(INDEX(Aux_puntos!$A$2:$OJ$901,348,MATCH($B$2&amp;"|yN",Aux_puntos!$1:$1,0))="",NA(),INDEX(Aux_puntos!$A$2:$OJ$901,348,MATCH($B$2&amp;"|yN",Aux_puntos!$1:$1,0))),NA())</f>
        <v>#N/A</v>
      </c>
    </row>
    <row r="353" spans="29:36" x14ac:dyDescent="0.3">
      <c r="AC353" t="e">
        <f>IFERROR(IF(INDEX(Aux_puntos!$A$2:$OJ$901,349,MATCH($B$2&amp;"|xK",Aux_puntos!$1:$1,0))="",NA(),INDEX(Aux_puntos!$A$2:$OJ$901,349,MATCH($B$2&amp;"|xK",Aux_puntos!$1:$1,0))),NA())</f>
        <v>#N/A</v>
      </c>
      <c r="AD353" t="e">
        <f>IFERROR(IF(INDEX(Aux_puntos!$A$2:$OJ$901,349,MATCH($B$2&amp;"|yK",Aux_puntos!$1:$1,0))="",NA(),INDEX(Aux_puntos!$A$2:$OJ$901,349,MATCH($B$2&amp;"|yK",Aux_puntos!$1:$1,0))),NA())</f>
        <v>#N/A</v>
      </c>
      <c r="AE353" t="e">
        <f>IFERROR(IF(INDEX(Aux_puntos!$A$2:$OJ$901,349,MATCH($B$2&amp;"|xC",Aux_puntos!$1:$1,0))="",NA(),INDEX(Aux_puntos!$A$2:$OJ$901,349,MATCH($B$2&amp;"|xC",Aux_puntos!$1:$1,0))),NA())</f>
        <v>#N/A</v>
      </c>
      <c r="AF353" t="e">
        <f>IFERROR(IF(INDEX(Aux_puntos!$A$2:$OJ$901,349,MATCH($B$2&amp;"|yC",Aux_puntos!$1:$1,0))="",NA(),INDEX(Aux_puntos!$A$2:$OJ$901,349,MATCH($B$2&amp;"|yC",Aux_puntos!$1:$1,0))),NA())</f>
        <v>#N/A</v>
      </c>
      <c r="AG353" t="e">
        <f>IFERROR(IF(INDEX(Aux_puntos!$A$2:$OJ$901,349,MATCH($B$2&amp;"|xI",Aux_puntos!$1:$1,0))="",NA(),INDEX(Aux_puntos!$A$2:$OJ$901,349,MATCH($B$2&amp;"|xI",Aux_puntos!$1:$1,0))),NA())</f>
        <v>#N/A</v>
      </c>
      <c r="AH353" t="e">
        <f>IFERROR(IF(INDEX(Aux_puntos!$A$2:$OJ$901,349,MATCH($B$2&amp;"|yI",Aux_puntos!$1:$1,0))="",NA(),INDEX(Aux_puntos!$A$2:$OJ$901,349,MATCH($B$2&amp;"|yI",Aux_puntos!$1:$1,0))),NA())</f>
        <v>#N/A</v>
      </c>
      <c r="AI353" t="e">
        <f>IFERROR(IF(INDEX(Aux_puntos!$A$2:$OJ$901,349,MATCH($B$2&amp;"|xN",Aux_puntos!$1:$1,0))="",NA(),INDEX(Aux_puntos!$A$2:$OJ$901,349,MATCH($B$2&amp;"|xN",Aux_puntos!$1:$1,0))),NA())</f>
        <v>#N/A</v>
      </c>
      <c r="AJ353" t="e">
        <f>IFERROR(IF(INDEX(Aux_puntos!$A$2:$OJ$901,349,MATCH($B$2&amp;"|yN",Aux_puntos!$1:$1,0))="",NA(),INDEX(Aux_puntos!$A$2:$OJ$901,349,MATCH($B$2&amp;"|yN",Aux_puntos!$1:$1,0))),NA())</f>
        <v>#N/A</v>
      </c>
    </row>
    <row r="354" spans="29:36" x14ac:dyDescent="0.3">
      <c r="AC354" t="e">
        <f>IFERROR(IF(INDEX(Aux_puntos!$A$2:$OJ$901,350,MATCH($B$2&amp;"|xK",Aux_puntos!$1:$1,0))="",NA(),INDEX(Aux_puntos!$A$2:$OJ$901,350,MATCH($B$2&amp;"|xK",Aux_puntos!$1:$1,0))),NA())</f>
        <v>#N/A</v>
      </c>
      <c r="AD354" t="e">
        <f>IFERROR(IF(INDEX(Aux_puntos!$A$2:$OJ$901,350,MATCH($B$2&amp;"|yK",Aux_puntos!$1:$1,0))="",NA(),INDEX(Aux_puntos!$A$2:$OJ$901,350,MATCH($B$2&amp;"|yK",Aux_puntos!$1:$1,0))),NA())</f>
        <v>#N/A</v>
      </c>
      <c r="AE354" t="e">
        <f>IFERROR(IF(INDEX(Aux_puntos!$A$2:$OJ$901,350,MATCH($B$2&amp;"|xC",Aux_puntos!$1:$1,0))="",NA(),INDEX(Aux_puntos!$A$2:$OJ$901,350,MATCH($B$2&amp;"|xC",Aux_puntos!$1:$1,0))),NA())</f>
        <v>#N/A</v>
      </c>
      <c r="AF354" t="e">
        <f>IFERROR(IF(INDEX(Aux_puntos!$A$2:$OJ$901,350,MATCH($B$2&amp;"|yC",Aux_puntos!$1:$1,0))="",NA(),INDEX(Aux_puntos!$A$2:$OJ$901,350,MATCH($B$2&amp;"|yC",Aux_puntos!$1:$1,0))),NA())</f>
        <v>#N/A</v>
      </c>
      <c r="AG354" t="e">
        <f>IFERROR(IF(INDEX(Aux_puntos!$A$2:$OJ$901,350,MATCH($B$2&amp;"|xI",Aux_puntos!$1:$1,0))="",NA(),INDEX(Aux_puntos!$A$2:$OJ$901,350,MATCH($B$2&amp;"|xI",Aux_puntos!$1:$1,0))),NA())</f>
        <v>#N/A</v>
      </c>
      <c r="AH354" t="e">
        <f>IFERROR(IF(INDEX(Aux_puntos!$A$2:$OJ$901,350,MATCH($B$2&amp;"|yI",Aux_puntos!$1:$1,0))="",NA(),INDEX(Aux_puntos!$A$2:$OJ$901,350,MATCH($B$2&amp;"|yI",Aux_puntos!$1:$1,0))),NA())</f>
        <v>#N/A</v>
      </c>
      <c r="AI354" t="e">
        <f>IFERROR(IF(INDEX(Aux_puntos!$A$2:$OJ$901,350,MATCH($B$2&amp;"|xN",Aux_puntos!$1:$1,0))="",NA(),INDEX(Aux_puntos!$A$2:$OJ$901,350,MATCH($B$2&amp;"|xN",Aux_puntos!$1:$1,0))),NA())</f>
        <v>#N/A</v>
      </c>
      <c r="AJ354" t="e">
        <f>IFERROR(IF(INDEX(Aux_puntos!$A$2:$OJ$901,350,MATCH($B$2&amp;"|yN",Aux_puntos!$1:$1,0))="",NA(),INDEX(Aux_puntos!$A$2:$OJ$901,350,MATCH($B$2&amp;"|yN",Aux_puntos!$1:$1,0))),NA())</f>
        <v>#N/A</v>
      </c>
    </row>
    <row r="355" spans="29:36" x14ac:dyDescent="0.3">
      <c r="AC355" t="e">
        <f>IFERROR(IF(INDEX(Aux_puntos!$A$2:$OJ$901,351,MATCH($B$2&amp;"|xK",Aux_puntos!$1:$1,0))="",NA(),INDEX(Aux_puntos!$A$2:$OJ$901,351,MATCH($B$2&amp;"|xK",Aux_puntos!$1:$1,0))),NA())</f>
        <v>#N/A</v>
      </c>
      <c r="AD355" t="e">
        <f>IFERROR(IF(INDEX(Aux_puntos!$A$2:$OJ$901,351,MATCH($B$2&amp;"|yK",Aux_puntos!$1:$1,0))="",NA(),INDEX(Aux_puntos!$A$2:$OJ$901,351,MATCH($B$2&amp;"|yK",Aux_puntos!$1:$1,0))),NA())</f>
        <v>#N/A</v>
      </c>
      <c r="AE355" t="e">
        <f>IFERROR(IF(INDEX(Aux_puntos!$A$2:$OJ$901,351,MATCH($B$2&amp;"|xC",Aux_puntos!$1:$1,0))="",NA(),INDEX(Aux_puntos!$A$2:$OJ$901,351,MATCH($B$2&amp;"|xC",Aux_puntos!$1:$1,0))),NA())</f>
        <v>#N/A</v>
      </c>
      <c r="AF355" t="e">
        <f>IFERROR(IF(INDEX(Aux_puntos!$A$2:$OJ$901,351,MATCH($B$2&amp;"|yC",Aux_puntos!$1:$1,0))="",NA(),INDEX(Aux_puntos!$A$2:$OJ$901,351,MATCH($B$2&amp;"|yC",Aux_puntos!$1:$1,0))),NA())</f>
        <v>#N/A</v>
      </c>
      <c r="AG355" t="e">
        <f>IFERROR(IF(INDEX(Aux_puntos!$A$2:$OJ$901,351,MATCH($B$2&amp;"|xI",Aux_puntos!$1:$1,0))="",NA(),INDEX(Aux_puntos!$A$2:$OJ$901,351,MATCH($B$2&amp;"|xI",Aux_puntos!$1:$1,0))),NA())</f>
        <v>#N/A</v>
      </c>
      <c r="AH355" t="e">
        <f>IFERROR(IF(INDEX(Aux_puntos!$A$2:$OJ$901,351,MATCH($B$2&amp;"|yI",Aux_puntos!$1:$1,0))="",NA(),INDEX(Aux_puntos!$A$2:$OJ$901,351,MATCH($B$2&amp;"|yI",Aux_puntos!$1:$1,0))),NA())</f>
        <v>#N/A</v>
      </c>
      <c r="AI355" t="e">
        <f>IFERROR(IF(INDEX(Aux_puntos!$A$2:$OJ$901,351,MATCH($B$2&amp;"|xN",Aux_puntos!$1:$1,0))="",NA(),INDEX(Aux_puntos!$A$2:$OJ$901,351,MATCH($B$2&amp;"|xN",Aux_puntos!$1:$1,0))),NA())</f>
        <v>#N/A</v>
      </c>
      <c r="AJ355" t="e">
        <f>IFERROR(IF(INDEX(Aux_puntos!$A$2:$OJ$901,351,MATCH($B$2&amp;"|yN",Aux_puntos!$1:$1,0))="",NA(),INDEX(Aux_puntos!$A$2:$OJ$901,351,MATCH($B$2&amp;"|yN",Aux_puntos!$1:$1,0))),NA())</f>
        <v>#N/A</v>
      </c>
    </row>
    <row r="356" spans="29:36" x14ac:dyDescent="0.3">
      <c r="AC356" t="e">
        <f>IFERROR(IF(INDEX(Aux_puntos!$A$2:$OJ$901,352,MATCH($B$2&amp;"|xK",Aux_puntos!$1:$1,0))="",NA(),INDEX(Aux_puntos!$A$2:$OJ$901,352,MATCH($B$2&amp;"|xK",Aux_puntos!$1:$1,0))),NA())</f>
        <v>#N/A</v>
      </c>
      <c r="AD356" t="e">
        <f>IFERROR(IF(INDEX(Aux_puntos!$A$2:$OJ$901,352,MATCH($B$2&amp;"|yK",Aux_puntos!$1:$1,0))="",NA(),INDEX(Aux_puntos!$A$2:$OJ$901,352,MATCH($B$2&amp;"|yK",Aux_puntos!$1:$1,0))),NA())</f>
        <v>#N/A</v>
      </c>
      <c r="AE356" t="e">
        <f>IFERROR(IF(INDEX(Aux_puntos!$A$2:$OJ$901,352,MATCH($B$2&amp;"|xC",Aux_puntos!$1:$1,0))="",NA(),INDEX(Aux_puntos!$A$2:$OJ$901,352,MATCH($B$2&amp;"|xC",Aux_puntos!$1:$1,0))),NA())</f>
        <v>#N/A</v>
      </c>
      <c r="AF356" t="e">
        <f>IFERROR(IF(INDEX(Aux_puntos!$A$2:$OJ$901,352,MATCH($B$2&amp;"|yC",Aux_puntos!$1:$1,0))="",NA(),INDEX(Aux_puntos!$A$2:$OJ$901,352,MATCH($B$2&amp;"|yC",Aux_puntos!$1:$1,0))),NA())</f>
        <v>#N/A</v>
      </c>
      <c r="AG356" t="e">
        <f>IFERROR(IF(INDEX(Aux_puntos!$A$2:$OJ$901,352,MATCH($B$2&amp;"|xI",Aux_puntos!$1:$1,0))="",NA(),INDEX(Aux_puntos!$A$2:$OJ$901,352,MATCH($B$2&amp;"|xI",Aux_puntos!$1:$1,0))),NA())</f>
        <v>#N/A</v>
      </c>
      <c r="AH356" t="e">
        <f>IFERROR(IF(INDEX(Aux_puntos!$A$2:$OJ$901,352,MATCH($B$2&amp;"|yI",Aux_puntos!$1:$1,0))="",NA(),INDEX(Aux_puntos!$A$2:$OJ$901,352,MATCH($B$2&amp;"|yI",Aux_puntos!$1:$1,0))),NA())</f>
        <v>#N/A</v>
      </c>
      <c r="AI356" t="e">
        <f>IFERROR(IF(INDEX(Aux_puntos!$A$2:$OJ$901,352,MATCH($B$2&amp;"|xN",Aux_puntos!$1:$1,0))="",NA(),INDEX(Aux_puntos!$A$2:$OJ$901,352,MATCH($B$2&amp;"|xN",Aux_puntos!$1:$1,0))),NA())</f>
        <v>#N/A</v>
      </c>
      <c r="AJ356" t="e">
        <f>IFERROR(IF(INDEX(Aux_puntos!$A$2:$OJ$901,352,MATCH($B$2&amp;"|yN",Aux_puntos!$1:$1,0))="",NA(),INDEX(Aux_puntos!$A$2:$OJ$901,352,MATCH($B$2&amp;"|yN",Aux_puntos!$1:$1,0))),NA())</f>
        <v>#N/A</v>
      </c>
    </row>
    <row r="357" spans="29:36" x14ac:dyDescent="0.3">
      <c r="AC357" t="e">
        <f>IFERROR(IF(INDEX(Aux_puntos!$A$2:$OJ$901,353,MATCH($B$2&amp;"|xK",Aux_puntos!$1:$1,0))="",NA(),INDEX(Aux_puntos!$A$2:$OJ$901,353,MATCH($B$2&amp;"|xK",Aux_puntos!$1:$1,0))),NA())</f>
        <v>#N/A</v>
      </c>
      <c r="AD357" t="e">
        <f>IFERROR(IF(INDEX(Aux_puntos!$A$2:$OJ$901,353,MATCH($B$2&amp;"|yK",Aux_puntos!$1:$1,0))="",NA(),INDEX(Aux_puntos!$A$2:$OJ$901,353,MATCH($B$2&amp;"|yK",Aux_puntos!$1:$1,0))),NA())</f>
        <v>#N/A</v>
      </c>
      <c r="AE357" t="e">
        <f>IFERROR(IF(INDEX(Aux_puntos!$A$2:$OJ$901,353,MATCH($B$2&amp;"|xC",Aux_puntos!$1:$1,0))="",NA(),INDEX(Aux_puntos!$A$2:$OJ$901,353,MATCH($B$2&amp;"|xC",Aux_puntos!$1:$1,0))),NA())</f>
        <v>#N/A</v>
      </c>
      <c r="AF357" t="e">
        <f>IFERROR(IF(INDEX(Aux_puntos!$A$2:$OJ$901,353,MATCH($B$2&amp;"|yC",Aux_puntos!$1:$1,0))="",NA(),INDEX(Aux_puntos!$A$2:$OJ$901,353,MATCH($B$2&amp;"|yC",Aux_puntos!$1:$1,0))),NA())</f>
        <v>#N/A</v>
      </c>
      <c r="AG357" t="e">
        <f>IFERROR(IF(INDEX(Aux_puntos!$A$2:$OJ$901,353,MATCH($B$2&amp;"|xI",Aux_puntos!$1:$1,0))="",NA(),INDEX(Aux_puntos!$A$2:$OJ$901,353,MATCH($B$2&amp;"|xI",Aux_puntos!$1:$1,0))),NA())</f>
        <v>#N/A</v>
      </c>
      <c r="AH357" t="e">
        <f>IFERROR(IF(INDEX(Aux_puntos!$A$2:$OJ$901,353,MATCH($B$2&amp;"|yI",Aux_puntos!$1:$1,0))="",NA(),INDEX(Aux_puntos!$A$2:$OJ$901,353,MATCH($B$2&amp;"|yI",Aux_puntos!$1:$1,0))),NA())</f>
        <v>#N/A</v>
      </c>
      <c r="AI357" t="e">
        <f>IFERROR(IF(INDEX(Aux_puntos!$A$2:$OJ$901,353,MATCH($B$2&amp;"|xN",Aux_puntos!$1:$1,0))="",NA(),INDEX(Aux_puntos!$A$2:$OJ$901,353,MATCH($B$2&amp;"|xN",Aux_puntos!$1:$1,0))),NA())</f>
        <v>#N/A</v>
      </c>
      <c r="AJ357" t="e">
        <f>IFERROR(IF(INDEX(Aux_puntos!$A$2:$OJ$901,353,MATCH($B$2&amp;"|yN",Aux_puntos!$1:$1,0))="",NA(),INDEX(Aux_puntos!$A$2:$OJ$901,353,MATCH($B$2&amp;"|yN",Aux_puntos!$1:$1,0))),NA())</f>
        <v>#N/A</v>
      </c>
    </row>
    <row r="358" spans="29:36" x14ac:dyDescent="0.3">
      <c r="AC358" t="e">
        <f>IFERROR(IF(INDEX(Aux_puntos!$A$2:$OJ$901,354,MATCH($B$2&amp;"|xK",Aux_puntos!$1:$1,0))="",NA(),INDEX(Aux_puntos!$A$2:$OJ$901,354,MATCH($B$2&amp;"|xK",Aux_puntos!$1:$1,0))),NA())</f>
        <v>#N/A</v>
      </c>
      <c r="AD358" t="e">
        <f>IFERROR(IF(INDEX(Aux_puntos!$A$2:$OJ$901,354,MATCH($B$2&amp;"|yK",Aux_puntos!$1:$1,0))="",NA(),INDEX(Aux_puntos!$A$2:$OJ$901,354,MATCH($B$2&amp;"|yK",Aux_puntos!$1:$1,0))),NA())</f>
        <v>#N/A</v>
      </c>
      <c r="AE358" t="e">
        <f>IFERROR(IF(INDEX(Aux_puntos!$A$2:$OJ$901,354,MATCH($B$2&amp;"|xC",Aux_puntos!$1:$1,0))="",NA(),INDEX(Aux_puntos!$A$2:$OJ$901,354,MATCH($B$2&amp;"|xC",Aux_puntos!$1:$1,0))),NA())</f>
        <v>#N/A</v>
      </c>
      <c r="AF358" t="e">
        <f>IFERROR(IF(INDEX(Aux_puntos!$A$2:$OJ$901,354,MATCH($B$2&amp;"|yC",Aux_puntos!$1:$1,0))="",NA(),INDEX(Aux_puntos!$A$2:$OJ$901,354,MATCH($B$2&amp;"|yC",Aux_puntos!$1:$1,0))),NA())</f>
        <v>#N/A</v>
      </c>
      <c r="AG358" t="e">
        <f>IFERROR(IF(INDEX(Aux_puntos!$A$2:$OJ$901,354,MATCH($B$2&amp;"|xI",Aux_puntos!$1:$1,0))="",NA(),INDEX(Aux_puntos!$A$2:$OJ$901,354,MATCH($B$2&amp;"|xI",Aux_puntos!$1:$1,0))),NA())</f>
        <v>#N/A</v>
      </c>
      <c r="AH358" t="e">
        <f>IFERROR(IF(INDEX(Aux_puntos!$A$2:$OJ$901,354,MATCH($B$2&amp;"|yI",Aux_puntos!$1:$1,0))="",NA(),INDEX(Aux_puntos!$A$2:$OJ$901,354,MATCH($B$2&amp;"|yI",Aux_puntos!$1:$1,0))),NA())</f>
        <v>#N/A</v>
      </c>
      <c r="AI358" t="e">
        <f>IFERROR(IF(INDEX(Aux_puntos!$A$2:$OJ$901,354,MATCH($B$2&amp;"|xN",Aux_puntos!$1:$1,0))="",NA(),INDEX(Aux_puntos!$A$2:$OJ$901,354,MATCH($B$2&amp;"|xN",Aux_puntos!$1:$1,0))),NA())</f>
        <v>#N/A</v>
      </c>
      <c r="AJ358" t="e">
        <f>IFERROR(IF(INDEX(Aux_puntos!$A$2:$OJ$901,354,MATCH($B$2&amp;"|yN",Aux_puntos!$1:$1,0))="",NA(),INDEX(Aux_puntos!$A$2:$OJ$901,354,MATCH($B$2&amp;"|yN",Aux_puntos!$1:$1,0))),NA())</f>
        <v>#N/A</v>
      </c>
    </row>
    <row r="359" spans="29:36" x14ac:dyDescent="0.3">
      <c r="AC359" t="e">
        <f>IFERROR(IF(INDEX(Aux_puntos!$A$2:$OJ$901,355,MATCH($B$2&amp;"|xK",Aux_puntos!$1:$1,0))="",NA(),INDEX(Aux_puntos!$A$2:$OJ$901,355,MATCH($B$2&amp;"|xK",Aux_puntos!$1:$1,0))),NA())</f>
        <v>#N/A</v>
      </c>
      <c r="AD359" t="e">
        <f>IFERROR(IF(INDEX(Aux_puntos!$A$2:$OJ$901,355,MATCH($B$2&amp;"|yK",Aux_puntos!$1:$1,0))="",NA(),INDEX(Aux_puntos!$A$2:$OJ$901,355,MATCH($B$2&amp;"|yK",Aux_puntos!$1:$1,0))),NA())</f>
        <v>#N/A</v>
      </c>
      <c r="AE359" t="e">
        <f>IFERROR(IF(INDEX(Aux_puntos!$A$2:$OJ$901,355,MATCH($B$2&amp;"|xC",Aux_puntos!$1:$1,0))="",NA(),INDEX(Aux_puntos!$A$2:$OJ$901,355,MATCH($B$2&amp;"|xC",Aux_puntos!$1:$1,0))),NA())</f>
        <v>#N/A</v>
      </c>
      <c r="AF359" t="e">
        <f>IFERROR(IF(INDEX(Aux_puntos!$A$2:$OJ$901,355,MATCH($B$2&amp;"|yC",Aux_puntos!$1:$1,0))="",NA(),INDEX(Aux_puntos!$A$2:$OJ$901,355,MATCH($B$2&amp;"|yC",Aux_puntos!$1:$1,0))),NA())</f>
        <v>#N/A</v>
      </c>
      <c r="AG359" t="e">
        <f>IFERROR(IF(INDEX(Aux_puntos!$A$2:$OJ$901,355,MATCH($B$2&amp;"|xI",Aux_puntos!$1:$1,0))="",NA(),INDEX(Aux_puntos!$A$2:$OJ$901,355,MATCH($B$2&amp;"|xI",Aux_puntos!$1:$1,0))),NA())</f>
        <v>#N/A</v>
      </c>
      <c r="AH359" t="e">
        <f>IFERROR(IF(INDEX(Aux_puntos!$A$2:$OJ$901,355,MATCH($B$2&amp;"|yI",Aux_puntos!$1:$1,0))="",NA(),INDEX(Aux_puntos!$A$2:$OJ$901,355,MATCH($B$2&amp;"|yI",Aux_puntos!$1:$1,0))),NA())</f>
        <v>#N/A</v>
      </c>
      <c r="AI359" t="e">
        <f>IFERROR(IF(INDEX(Aux_puntos!$A$2:$OJ$901,355,MATCH($B$2&amp;"|xN",Aux_puntos!$1:$1,0))="",NA(),INDEX(Aux_puntos!$A$2:$OJ$901,355,MATCH($B$2&amp;"|xN",Aux_puntos!$1:$1,0))),NA())</f>
        <v>#N/A</v>
      </c>
      <c r="AJ359" t="e">
        <f>IFERROR(IF(INDEX(Aux_puntos!$A$2:$OJ$901,355,MATCH($B$2&amp;"|yN",Aux_puntos!$1:$1,0))="",NA(),INDEX(Aux_puntos!$A$2:$OJ$901,355,MATCH($B$2&amp;"|yN",Aux_puntos!$1:$1,0))),NA())</f>
        <v>#N/A</v>
      </c>
    </row>
    <row r="360" spans="29:36" x14ac:dyDescent="0.3">
      <c r="AC360" t="e">
        <f>IFERROR(IF(INDEX(Aux_puntos!$A$2:$OJ$901,356,MATCH($B$2&amp;"|xK",Aux_puntos!$1:$1,0))="",NA(),INDEX(Aux_puntos!$A$2:$OJ$901,356,MATCH($B$2&amp;"|xK",Aux_puntos!$1:$1,0))),NA())</f>
        <v>#N/A</v>
      </c>
      <c r="AD360" t="e">
        <f>IFERROR(IF(INDEX(Aux_puntos!$A$2:$OJ$901,356,MATCH($B$2&amp;"|yK",Aux_puntos!$1:$1,0))="",NA(),INDEX(Aux_puntos!$A$2:$OJ$901,356,MATCH($B$2&amp;"|yK",Aux_puntos!$1:$1,0))),NA())</f>
        <v>#N/A</v>
      </c>
      <c r="AE360" t="e">
        <f>IFERROR(IF(INDEX(Aux_puntos!$A$2:$OJ$901,356,MATCH($B$2&amp;"|xC",Aux_puntos!$1:$1,0))="",NA(),INDEX(Aux_puntos!$A$2:$OJ$901,356,MATCH($B$2&amp;"|xC",Aux_puntos!$1:$1,0))),NA())</f>
        <v>#N/A</v>
      </c>
      <c r="AF360" t="e">
        <f>IFERROR(IF(INDEX(Aux_puntos!$A$2:$OJ$901,356,MATCH($B$2&amp;"|yC",Aux_puntos!$1:$1,0))="",NA(),INDEX(Aux_puntos!$A$2:$OJ$901,356,MATCH($B$2&amp;"|yC",Aux_puntos!$1:$1,0))),NA())</f>
        <v>#N/A</v>
      </c>
      <c r="AG360" t="e">
        <f>IFERROR(IF(INDEX(Aux_puntos!$A$2:$OJ$901,356,MATCH($B$2&amp;"|xI",Aux_puntos!$1:$1,0))="",NA(),INDEX(Aux_puntos!$A$2:$OJ$901,356,MATCH($B$2&amp;"|xI",Aux_puntos!$1:$1,0))),NA())</f>
        <v>#N/A</v>
      </c>
      <c r="AH360" t="e">
        <f>IFERROR(IF(INDEX(Aux_puntos!$A$2:$OJ$901,356,MATCH($B$2&amp;"|yI",Aux_puntos!$1:$1,0))="",NA(),INDEX(Aux_puntos!$A$2:$OJ$901,356,MATCH($B$2&amp;"|yI",Aux_puntos!$1:$1,0))),NA())</f>
        <v>#N/A</v>
      </c>
      <c r="AI360" t="e">
        <f>IFERROR(IF(INDEX(Aux_puntos!$A$2:$OJ$901,356,MATCH($B$2&amp;"|xN",Aux_puntos!$1:$1,0))="",NA(),INDEX(Aux_puntos!$A$2:$OJ$901,356,MATCH($B$2&amp;"|xN",Aux_puntos!$1:$1,0))),NA())</f>
        <v>#N/A</v>
      </c>
      <c r="AJ360" t="e">
        <f>IFERROR(IF(INDEX(Aux_puntos!$A$2:$OJ$901,356,MATCH($B$2&amp;"|yN",Aux_puntos!$1:$1,0))="",NA(),INDEX(Aux_puntos!$A$2:$OJ$901,356,MATCH($B$2&amp;"|yN",Aux_puntos!$1:$1,0))),NA())</f>
        <v>#N/A</v>
      </c>
    </row>
    <row r="361" spans="29:36" x14ac:dyDescent="0.3">
      <c r="AC361" t="e">
        <f>IFERROR(IF(INDEX(Aux_puntos!$A$2:$OJ$901,357,MATCH($B$2&amp;"|xK",Aux_puntos!$1:$1,0))="",NA(),INDEX(Aux_puntos!$A$2:$OJ$901,357,MATCH($B$2&amp;"|xK",Aux_puntos!$1:$1,0))),NA())</f>
        <v>#N/A</v>
      </c>
      <c r="AD361" t="e">
        <f>IFERROR(IF(INDEX(Aux_puntos!$A$2:$OJ$901,357,MATCH($B$2&amp;"|yK",Aux_puntos!$1:$1,0))="",NA(),INDEX(Aux_puntos!$A$2:$OJ$901,357,MATCH($B$2&amp;"|yK",Aux_puntos!$1:$1,0))),NA())</f>
        <v>#N/A</v>
      </c>
      <c r="AE361" t="e">
        <f>IFERROR(IF(INDEX(Aux_puntos!$A$2:$OJ$901,357,MATCH($B$2&amp;"|xC",Aux_puntos!$1:$1,0))="",NA(),INDEX(Aux_puntos!$A$2:$OJ$901,357,MATCH($B$2&amp;"|xC",Aux_puntos!$1:$1,0))),NA())</f>
        <v>#N/A</v>
      </c>
      <c r="AF361" t="e">
        <f>IFERROR(IF(INDEX(Aux_puntos!$A$2:$OJ$901,357,MATCH($B$2&amp;"|yC",Aux_puntos!$1:$1,0))="",NA(),INDEX(Aux_puntos!$A$2:$OJ$901,357,MATCH($B$2&amp;"|yC",Aux_puntos!$1:$1,0))),NA())</f>
        <v>#N/A</v>
      </c>
      <c r="AG361" t="e">
        <f>IFERROR(IF(INDEX(Aux_puntos!$A$2:$OJ$901,357,MATCH($B$2&amp;"|xI",Aux_puntos!$1:$1,0))="",NA(),INDEX(Aux_puntos!$A$2:$OJ$901,357,MATCH($B$2&amp;"|xI",Aux_puntos!$1:$1,0))),NA())</f>
        <v>#N/A</v>
      </c>
      <c r="AH361" t="e">
        <f>IFERROR(IF(INDEX(Aux_puntos!$A$2:$OJ$901,357,MATCH($B$2&amp;"|yI",Aux_puntos!$1:$1,0))="",NA(),INDEX(Aux_puntos!$A$2:$OJ$901,357,MATCH($B$2&amp;"|yI",Aux_puntos!$1:$1,0))),NA())</f>
        <v>#N/A</v>
      </c>
      <c r="AI361" t="e">
        <f>IFERROR(IF(INDEX(Aux_puntos!$A$2:$OJ$901,357,MATCH($B$2&amp;"|xN",Aux_puntos!$1:$1,0))="",NA(),INDEX(Aux_puntos!$A$2:$OJ$901,357,MATCH($B$2&amp;"|xN",Aux_puntos!$1:$1,0))),NA())</f>
        <v>#N/A</v>
      </c>
      <c r="AJ361" t="e">
        <f>IFERROR(IF(INDEX(Aux_puntos!$A$2:$OJ$901,357,MATCH($B$2&amp;"|yN",Aux_puntos!$1:$1,0))="",NA(),INDEX(Aux_puntos!$A$2:$OJ$901,357,MATCH($B$2&amp;"|yN",Aux_puntos!$1:$1,0))),NA())</f>
        <v>#N/A</v>
      </c>
    </row>
    <row r="362" spans="29:36" x14ac:dyDescent="0.3">
      <c r="AC362" t="e">
        <f>IFERROR(IF(INDEX(Aux_puntos!$A$2:$OJ$901,358,MATCH($B$2&amp;"|xK",Aux_puntos!$1:$1,0))="",NA(),INDEX(Aux_puntos!$A$2:$OJ$901,358,MATCH($B$2&amp;"|xK",Aux_puntos!$1:$1,0))),NA())</f>
        <v>#N/A</v>
      </c>
      <c r="AD362" t="e">
        <f>IFERROR(IF(INDEX(Aux_puntos!$A$2:$OJ$901,358,MATCH($B$2&amp;"|yK",Aux_puntos!$1:$1,0))="",NA(),INDEX(Aux_puntos!$A$2:$OJ$901,358,MATCH($B$2&amp;"|yK",Aux_puntos!$1:$1,0))),NA())</f>
        <v>#N/A</v>
      </c>
      <c r="AE362" t="e">
        <f>IFERROR(IF(INDEX(Aux_puntos!$A$2:$OJ$901,358,MATCH($B$2&amp;"|xC",Aux_puntos!$1:$1,0))="",NA(),INDEX(Aux_puntos!$A$2:$OJ$901,358,MATCH($B$2&amp;"|xC",Aux_puntos!$1:$1,0))),NA())</f>
        <v>#N/A</v>
      </c>
      <c r="AF362" t="e">
        <f>IFERROR(IF(INDEX(Aux_puntos!$A$2:$OJ$901,358,MATCH($B$2&amp;"|yC",Aux_puntos!$1:$1,0))="",NA(),INDEX(Aux_puntos!$A$2:$OJ$901,358,MATCH($B$2&amp;"|yC",Aux_puntos!$1:$1,0))),NA())</f>
        <v>#N/A</v>
      </c>
      <c r="AG362" t="e">
        <f>IFERROR(IF(INDEX(Aux_puntos!$A$2:$OJ$901,358,MATCH($B$2&amp;"|xI",Aux_puntos!$1:$1,0))="",NA(),INDEX(Aux_puntos!$A$2:$OJ$901,358,MATCH($B$2&amp;"|xI",Aux_puntos!$1:$1,0))),NA())</f>
        <v>#N/A</v>
      </c>
      <c r="AH362" t="e">
        <f>IFERROR(IF(INDEX(Aux_puntos!$A$2:$OJ$901,358,MATCH($B$2&amp;"|yI",Aux_puntos!$1:$1,0))="",NA(),INDEX(Aux_puntos!$A$2:$OJ$901,358,MATCH($B$2&amp;"|yI",Aux_puntos!$1:$1,0))),NA())</f>
        <v>#N/A</v>
      </c>
      <c r="AI362" t="e">
        <f>IFERROR(IF(INDEX(Aux_puntos!$A$2:$OJ$901,358,MATCH($B$2&amp;"|xN",Aux_puntos!$1:$1,0))="",NA(),INDEX(Aux_puntos!$A$2:$OJ$901,358,MATCH($B$2&amp;"|xN",Aux_puntos!$1:$1,0))),NA())</f>
        <v>#N/A</v>
      </c>
      <c r="AJ362" t="e">
        <f>IFERROR(IF(INDEX(Aux_puntos!$A$2:$OJ$901,358,MATCH($B$2&amp;"|yN",Aux_puntos!$1:$1,0))="",NA(),INDEX(Aux_puntos!$A$2:$OJ$901,358,MATCH($B$2&amp;"|yN",Aux_puntos!$1:$1,0))),NA())</f>
        <v>#N/A</v>
      </c>
    </row>
    <row r="363" spans="29:36" x14ac:dyDescent="0.3">
      <c r="AC363" t="e">
        <f>IFERROR(IF(INDEX(Aux_puntos!$A$2:$OJ$901,359,MATCH($B$2&amp;"|xK",Aux_puntos!$1:$1,0))="",NA(),INDEX(Aux_puntos!$A$2:$OJ$901,359,MATCH($B$2&amp;"|xK",Aux_puntos!$1:$1,0))),NA())</f>
        <v>#N/A</v>
      </c>
      <c r="AD363" t="e">
        <f>IFERROR(IF(INDEX(Aux_puntos!$A$2:$OJ$901,359,MATCH($B$2&amp;"|yK",Aux_puntos!$1:$1,0))="",NA(),INDEX(Aux_puntos!$A$2:$OJ$901,359,MATCH($B$2&amp;"|yK",Aux_puntos!$1:$1,0))),NA())</f>
        <v>#N/A</v>
      </c>
      <c r="AE363" t="e">
        <f>IFERROR(IF(INDEX(Aux_puntos!$A$2:$OJ$901,359,MATCH($B$2&amp;"|xC",Aux_puntos!$1:$1,0))="",NA(),INDEX(Aux_puntos!$A$2:$OJ$901,359,MATCH($B$2&amp;"|xC",Aux_puntos!$1:$1,0))),NA())</f>
        <v>#N/A</v>
      </c>
      <c r="AF363" t="e">
        <f>IFERROR(IF(INDEX(Aux_puntos!$A$2:$OJ$901,359,MATCH($B$2&amp;"|yC",Aux_puntos!$1:$1,0))="",NA(),INDEX(Aux_puntos!$A$2:$OJ$901,359,MATCH($B$2&amp;"|yC",Aux_puntos!$1:$1,0))),NA())</f>
        <v>#N/A</v>
      </c>
      <c r="AG363" t="e">
        <f>IFERROR(IF(INDEX(Aux_puntos!$A$2:$OJ$901,359,MATCH($B$2&amp;"|xI",Aux_puntos!$1:$1,0))="",NA(),INDEX(Aux_puntos!$A$2:$OJ$901,359,MATCH($B$2&amp;"|xI",Aux_puntos!$1:$1,0))),NA())</f>
        <v>#N/A</v>
      </c>
      <c r="AH363" t="e">
        <f>IFERROR(IF(INDEX(Aux_puntos!$A$2:$OJ$901,359,MATCH($B$2&amp;"|yI",Aux_puntos!$1:$1,0))="",NA(),INDEX(Aux_puntos!$A$2:$OJ$901,359,MATCH($B$2&amp;"|yI",Aux_puntos!$1:$1,0))),NA())</f>
        <v>#N/A</v>
      </c>
      <c r="AI363" t="e">
        <f>IFERROR(IF(INDEX(Aux_puntos!$A$2:$OJ$901,359,MATCH($B$2&amp;"|xN",Aux_puntos!$1:$1,0))="",NA(),INDEX(Aux_puntos!$A$2:$OJ$901,359,MATCH($B$2&amp;"|xN",Aux_puntos!$1:$1,0))),NA())</f>
        <v>#N/A</v>
      </c>
      <c r="AJ363" t="e">
        <f>IFERROR(IF(INDEX(Aux_puntos!$A$2:$OJ$901,359,MATCH($B$2&amp;"|yN",Aux_puntos!$1:$1,0))="",NA(),INDEX(Aux_puntos!$A$2:$OJ$901,359,MATCH($B$2&amp;"|yN",Aux_puntos!$1:$1,0))),NA())</f>
        <v>#N/A</v>
      </c>
    </row>
    <row r="364" spans="29:36" x14ac:dyDescent="0.3">
      <c r="AC364" t="e">
        <f>IFERROR(IF(INDEX(Aux_puntos!$A$2:$OJ$901,360,MATCH($B$2&amp;"|xK",Aux_puntos!$1:$1,0))="",NA(),INDEX(Aux_puntos!$A$2:$OJ$901,360,MATCH($B$2&amp;"|xK",Aux_puntos!$1:$1,0))),NA())</f>
        <v>#N/A</v>
      </c>
      <c r="AD364" t="e">
        <f>IFERROR(IF(INDEX(Aux_puntos!$A$2:$OJ$901,360,MATCH($B$2&amp;"|yK",Aux_puntos!$1:$1,0))="",NA(),INDEX(Aux_puntos!$A$2:$OJ$901,360,MATCH($B$2&amp;"|yK",Aux_puntos!$1:$1,0))),NA())</f>
        <v>#N/A</v>
      </c>
      <c r="AE364" t="e">
        <f>IFERROR(IF(INDEX(Aux_puntos!$A$2:$OJ$901,360,MATCH($B$2&amp;"|xC",Aux_puntos!$1:$1,0))="",NA(),INDEX(Aux_puntos!$A$2:$OJ$901,360,MATCH($B$2&amp;"|xC",Aux_puntos!$1:$1,0))),NA())</f>
        <v>#N/A</v>
      </c>
      <c r="AF364" t="e">
        <f>IFERROR(IF(INDEX(Aux_puntos!$A$2:$OJ$901,360,MATCH($B$2&amp;"|yC",Aux_puntos!$1:$1,0))="",NA(),INDEX(Aux_puntos!$A$2:$OJ$901,360,MATCH($B$2&amp;"|yC",Aux_puntos!$1:$1,0))),NA())</f>
        <v>#N/A</v>
      </c>
      <c r="AG364" t="e">
        <f>IFERROR(IF(INDEX(Aux_puntos!$A$2:$OJ$901,360,MATCH($B$2&amp;"|xI",Aux_puntos!$1:$1,0))="",NA(),INDEX(Aux_puntos!$A$2:$OJ$901,360,MATCH($B$2&amp;"|xI",Aux_puntos!$1:$1,0))),NA())</f>
        <v>#N/A</v>
      </c>
      <c r="AH364" t="e">
        <f>IFERROR(IF(INDEX(Aux_puntos!$A$2:$OJ$901,360,MATCH($B$2&amp;"|yI",Aux_puntos!$1:$1,0))="",NA(),INDEX(Aux_puntos!$A$2:$OJ$901,360,MATCH($B$2&amp;"|yI",Aux_puntos!$1:$1,0))),NA())</f>
        <v>#N/A</v>
      </c>
      <c r="AI364" t="e">
        <f>IFERROR(IF(INDEX(Aux_puntos!$A$2:$OJ$901,360,MATCH($B$2&amp;"|xN",Aux_puntos!$1:$1,0))="",NA(),INDEX(Aux_puntos!$A$2:$OJ$901,360,MATCH($B$2&amp;"|xN",Aux_puntos!$1:$1,0))),NA())</f>
        <v>#N/A</v>
      </c>
      <c r="AJ364" t="e">
        <f>IFERROR(IF(INDEX(Aux_puntos!$A$2:$OJ$901,360,MATCH($B$2&amp;"|yN",Aux_puntos!$1:$1,0))="",NA(),INDEX(Aux_puntos!$A$2:$OJ$901,360,MATCH($B$2&amp;"|yN",Aux_puntos!$1:$1,0))),NA())</f>
        <v>#N/A</v>
      </c>
    </row>
    <row r="365" spans="29:36" x14ac:dyDescent="0.3">
      <c r="AC365" t="e">
        <f>IFERROR(IF(INDEX(Aux_puntos!$A$2:$OJ$901,361,MATCH($B$2&amp;"|xK",Aux_puntos!$1:$1,0))="",NA(),INDEX(Aux_puntos!$A$2:$OJ$901,361,MATCH($B$2&amp;"|xK",Aux_puntos!$1:$1,0))),NA())</f>
        <v>#N/A</v>
      </c>
      <c r="AD365" t="e">
        <f>IFERROR(IF(INDEX(Aux_puntos!$A$2:$OJ$901,361,MATCH($B$2&amp;"|yK",Aux_puntos!$1:$1,0))="",NA(),INDEX(Aux_puntos!$A$2:$OJ$901,361,MATCH($B$2&amp;"|yK",Aux_puntos!$1:$1,0))),NA())</f>
        <v>#N/A</v>
      </c>
      <c r="AE365" t="e">
        <f>IFERROR(IF(INDEX(Aux_puntos!$A$2:$OJ$901,361,MATCH($B$2&amp;"|xC",Aux_puntos!$1:$1,0))="",NA(),INDEX(Aux_puntos!$A$2:$OJ$901,361,MATCH($B$2&amp;"|xC",Aux_puntos!$1:$1,0))),NA())</f>
        <v>#N/A</v>
      </c>
      <c r="AF365" t="e">
        <f>IFERROR(IF(INDEX(Aux_puntos!$A$2:$OJ$901,361,MATCH($B$2&amp;"|yC",Aux_puntos!$1:$1,0))="",NA(),INDEX(Aux_puntos!$A$2:$OJ$901,361,MATCH($B$2&amp;"|yC",Aux_puntos!$1:$1,0))),NA())</f>
        <v>#N/A</v>
      </c>
      <c r="AG365" t="e">
        <f>IFERROR(IF(INDEX(Aux_puntos!$A$2:$OJ$901,361,MATCH($B$2&amp;"|xI",Aux_puntos!$1:$1,0))="",NA(),INDEX(Aux_puntos!$A$2:$OJ$901,361,MATCH($B$2&amp;"|xI",Aux_puntos!$1:$1,0))),NA())</f>
        <v>#N/A</v>
      </c>
      <c r="AH365" t="e">
        <f>IFERROR(IF(INDEX(Aux_puntos!$A$2:$OJ$901,361,MATCH($B$2&amp;"|yI",Aux_puntos!$1:$1,0))="",NA(),INDEX(Aux_puntos!$A$2:$OJ$901,361,MATCH($B$2&amp;"|yI",Aux_puntos!$1:$1,0))),NA())</f>
        <v>#N/A</v>
      </c>
      <c r="AI365" t="e">
        <f>IFERROR(IF(INDEX(Aux_puntos!$A$2:$OJ$901,361,MATCH($B$2&amp;"|xN",Aux_puntos!$1:$1,0))="",NA(),INDEX(Aux_puntos!$A$2:$OJ$901,361,MATCH($B$2&amp;"|xN",Aux_puntos!$1:$1,0))),NA())</f>
        <v>#N/A</v>
      </c>
      <c r="AJ365" t="e">
        <f>IFERROR(IF(INDEX(Aux_puntos!$A$2:$OJ$901,361,MATCH($B$2&amp;"|yN",Aux_puntos!$1:$1,0))="",NA(),INDEX(Aux_puntos!$A$2:$OJ$901,361,MATCH($B$2&amp;"|yN",Aux_puntos!$1:$1,0))),NA())</f>
        <v>#N/A</v>
      </c>
    </row>
    <row r="366" spans="29:36" x14ac:dyDescent="0.3">
      <c r="AC366" t="e">
        <f>IFERROR(IF(INDEX(Aux_puntos!$A$2:$OJ$901,362,MATCH($B$2&amp;"|xK",Aux_puntos!$1:$1,0))="",NA(),INDEX(Aux_puntos!$A$2:$OJ$901,362,MATCH($B$2&amp;"|xK",Aux_puntos!$1:$1,0))),NA())</f>
        <v>#N/A</v>
      </c>
      <c r="AD366" t="e">
        <f>IFERROR(IF(INDEX(Aux_puntos!$A$2:$OJ$901,362,MATCH($B$2&amp;"|yK",Aux_puntos!$1:$1,0))="",NA(),INDEX(Aux_puntos!$A$2:$OJ$901,362,MATCH($B$2&amp;"|yK",Aux_puntos!$1:$1,0))),NA())</f>
        <v>#N/A</v>
      </c>
      <c r="AE366" t="e">
        <f>IFERROR(IF(INDEX(Aux_puntos!$A$2:$OJ$901,362,MATCH($B$2&amp;"|xC",Aux_puntos!$1:$1,0))="",NA(),INDEX(Aux_puntos!$A$2:$OJ$901,362,MATCH($B$2&amp;"|xC",Aux_puntos!$1:$1,0))),NA())</f>
        <v>#N/A</v>
      </c>
      <c r="AF366" t="e">
        <f>IFERROR(IF(INDEX(Aux_puntos!$A$2:$OJ$901,362,MATCH($B$2&amp;"|yC",Aux_puntos!$1:$1,0))="",NA(),INDEX(Aux_puntos!$A$2:$OJ$901,362,MATCH($B$2&amp;"|yC",Aux_puntos!$1:$1,0))),NA())</f>
        <v>#N/A</v>
      </c>
      <c r="AG366" t="e">
        <f>IFERROR(IF(INDEX(Aux_puntos!$A$2:$OJ$901,362,MATCH($B$2&amp;"|xI",Aux_puntos!$1:$1,0))="",NA(),INDEX(Aux_puntos!$A$2:$OJ$901,362,MATCH($B$2&amp;"|xI",Aux_puntos!$1:$1,0))),NA())</f>
        <v>#N/A</v>
      </c>
      <c r="AH366" t="e">
        <f>IFERROR(IF(INDEX(Aux_puntos!$A$2:$OJ$901,362,MATCH($B$2&amp;"|yI",Aux_puntos!$1:$1,0))="",NA(),INDEX(Aux_puntos!$A$2:$OJ$901,362,MATCH($B$2&amp;"|yI",Aux_puntos!$1:$1,0))),NA())</f>
        <v>#N/A</v>
      </c>
      <c r="AI366" t="e">
        <f>IFERROR(IF(INDEX(Aux_puntos!$A$2:$OJ$901,362,MATCH($B$2&amp;"|xN",Aux_puntos!$1:$1,0))="",NA(),INDEX(Aux_puntos!$A$2:$OJ$901,362,MATCH($B$2&amp;"|xN",Aux_puntos!$1:$1,0))),NA())</f>
        <v>#N/A</v>
      </c>
      <c r="AJ366" t="e">
        <f>IFERROR(IF(INDEX(Aux_puntos!$A$2:$OJ$901,362,MATCH($B$2&amp;"|yN",Aux_puntos!$1:$1,0))="",NA(),INDEX(Aux_puntos!$A$2:$OJ$901,362,MATCH($B$2&amp;"|yN",Aux_puntos!$1:$1,0))),NA())</f>
        <v>#N/A</v>
      </c>
    </row>
    <row r="367" spans="29:36" x14ac:dyDescent="0.3">
      <c r="AC367" t="e">
        <f>IFERROR(IF(INDEX(Aux_puntos!$A$2:$OJ$901,363,MATCH($B$2&amp;"|xK",Aux_puntos!$1:$1,0))="",NA(),INDEX(Aux_puntos!$A$2:$OJ$901,363,MATCH($B$2&amp;"|xK",Aux_puntos!$1:$1,0))),NA())</f>
        <v>#N/A</v>
      </c>
      <c r="AD367" t="e">
        <f>IFERROR(IF(INDEX(Aux_puntos!$A$2:$OJ$901,363,MATCH($B$2&amp;"|yK",Aux_puntos!$1:$1,0))="",NA(),INDEX(Aux_puntos!$A$2:$OJ$901,363,MATCH($B$2&amp;"|yK",Aux_puntos!$1:$1,0))),NA())</f>
        <v>#N/A</v>
      </c>
      <c r="AE367" t="e">
        <f>IFERROR(IF(INDEX(Aux_puntos!$A$2:$OJ$901,363,MATCH($B$2&amp;"|xC",Aux_puntos!$1:$1,0))="",NA(),INDEX(Aux_puntos!$A$2:$OJ$901,363,MATCH($B$2&amp;"|xC",Aux_puntos!$1:$1,0))),NA())</f>
        <v>#N/A</v>
      </c>
      <c r="AF367" t="e">
        <f>IFERROR(IF(INDEX(Aux_puntos!$A$2:$OJ$901,363,MATCH($B$2&amp;"|yC",Aux_puntos!$1:$1,0))="",NA(),INDEX(Aux_puntos!$A$2:$OJ$901,363,MATCH($B$2&amp;"|yC",Aux_puntos!$1:$1,0))),NA())</f>
        <v>#N/A</v>
      </c>
      <c r="AG367" t="e">
        <f>IFERROR(IF(INDEX(Aux_puntos!$A$2:$OJ$901,363,MATCH($B$2&amp;"|xI",Aux_puntos!$1:$1,0))="",NA(),INDEX(Aux_puntos!$A$2:$OJ$901,363,MATCH($B$2&amp;"|xI",Aux_puntos!$1:$1,0))),NA())</f>
        <v>#N/A</v>
      </c>
      <c r="AH367" t="e">
        <f>IFERROR(IF(INDEX(Aux_puntos!$A$2:$OJ$901,363,MATCH($B$2&amp;"|yI",Aux_puntos!$1:$1,0))="",NA(),INDEX(Aux_puntos!$A$2:$OJ$901,363,MATCH($B$2&amp;"|yI",Aux_puntos!$1:$1,0))),NA())</f>
        <v>#N/A</v>
      </c>
      <c r="AI367" t="e">
        <f>IFERROR(IF(INDEX(Aux_puntos!$A$2:$OJ$901,363,MATCH($B$2&amp;"|xN",Aux_puntos!$1:$1,0))="",NA(),INDEX(Aux_puntos!$A$2:$OJ$901,363,MATCH($B$2&amp;"|xN",Aux_puntos!$1:$1,0))),NA())</f>
        <v>#N/A</v>
      </c>
      <c r="AJ367" t="e">
        <f>IFERROR(IF(INDEX(Aux_puntos!$A$2:$OJ$901,363,MATCH($B$2&amp;"|yN",Aux_puntos!$1:$1,0))="",NA(),INDEX(Aux_puntos!$A$2:$OJ$901,363,MATCH($B$2&amp;"|yN",Aux_puntos!$1:$1,0))),NA())</f>
        <v>#N/A</v>
      </c>
    </row>
    <row r="368" spans="29:36" x14ac:dyDescent="0.3">
      <c r="AC368" t="e">
        <f>IFERROR(IF(INDEX(Aux_puntos!$A$2:$OJ$901,364,MATCH($B$2&amp;"|xK",Aux_puntos!$1:$1,0))="",NA(),INDEX(Aux_puntos!$A$2:$OJ$901,364,MATCH($B$2&amp;"|xK",Aux_puntos!$1:$1,0))),NA())</f>
        <v>#N/A</v>
      </c>
      <c r="AD368" t="e">
        <f>IFERROR(IF(INDEX(Aux_puntos!$A$2:$OJ$901,364,MATCH($B$2&amp;"|yK",Aux_puntos!$1:$1,0))="",NA(),INDEX(Aux_puntos!$A$2:$OJ$901,364,MATCH($B$2&amp;"|yK",Aux_puntos!$1:$1,0))),NA())</f>
        <v>#N/A</v>
      </c>
      <c r="AE368" t="e">
        <f>IFERROR(IF(INDEX(Aux_puntos!$A$2:$OJ$901,364,MATCH($B$2&amp;"|xC",Aux_puntos!$1:$1,0))="",NA(),INDEX(Aux_puntos!$A$2:$OJ$901,364,MATCH($B$2&amp;"|xC",Aux_puntos!$1:$1,0))),NA())</f>
        <v>#N/A</v>
      </c>
      <c r="AF368" t="e">
        <f>IFERROR(IF(INDEX(Aux_puntos!$A$2:$OJ$901,364,MATCH($B$2&amp;"|yC",Aux_puntos!$1:$1,0))="",NA(),INDEX(Aux_puntos!$A$2:$OJ$901,364,MATCH($B$2&amp;"|yC",Aux_puntos!$1:$1,0))),NA())</f>
        <v>#N/A</v>
      </c>
      <c r="AG368" t="e">
        <f>IFERROR(IF(INDEX(Aux_puntos!$A$2:$OJ$901,364,MATCH($B$2&amp;"|xI",Aux_puntos!$1:$1,0))="",NA(),INDEX(Aux_puntos!$A$2:$OJ$901,364,MATCH($B$2&amp;"|xI",Aux_puntos!$1:$1,0))),NA())</f>
        <v>#N/A</v>
      </c>
      <c r="AH368" t="e">
        <f>IFERROR(IF(INDEX(Aux_puntos!$A$2:$OJ$901,364,MATCH($B$2&amp;"|yI",Aux_puntos!$1:$1,0))="",NA(),INDEX(Aux_puntos!$A$2:$OJ$901,364,MATCH($B$2&amp;"|yI",Aux_puntos!$1:$1,0))),NA())</f>
        <v>#N/A</v>
      </c>
      <c r="AI368" t="e">
        <f>IFERROR(IF(INDEX(Aux_puntos!$A$2:$OJ$901,364,MATCH($B$2&amp;"|xN",Aux_puntos!$1:$1,0))="",NA(),INDEX(Aux_puntos!$A$2:$OJ$901,364,MATCH($B$2&amp;"|xN",Aux_puntos!$1:$1,0))),NA())</f>
        <v>#N/A</v>
      </c>
      <c r="AJ368" t="e">
        <f>IFERROR(IF(INDEX(Aux_puntos!$A$2:$OJ$901,364,MATCH($B$2&amp;"|yN",Aux_puntos!$1:$1,0))="",NA(),INDEX(Aux_puntos!$A$2:$OJ$901,364,MATCH($B$2&amp;"|yN",Aux_puntos!$1:$1,0))),NA())</f>
        <v>#N/A</v>
      </c>
    </row>
    <row r="369" spans="29:36" x14ac:dyDescent="0.3">
      <c r="AC369" t="e">
        <f>IFERROR(IF(INDEX(Aux_puntos!$A$2:$OJ$901,365,MATCH($B$2&amp;"|xK",Aux_puntos!$1:$1,0))="",NA(),INDEX(Aux_puntos!$A$2:$OJ$901,365,MATCH($B$2&amp;"|xK",Aux_puntos!$1:$1,0))),NA())</f>
        <v>#N/A</v>
      </c>
      <c r="AD369" t="e">
        <f>IFERROR(IF(INDEX(Aux_puntos!$A$2:$OJ$901,365,MATCH($B$2&amp;"|yK",Aux_puntos!$1:$1,0))="",NA(),INDEX(Aux_puntos!$A$2:$OJ$901,365,MATCH($B$2&amp;"|yK",Aux_puntos!$1:$1,0))),NA())</f>
        <v>#N/A</v>
      </c>
      <c r="AE369" t="e">
        <f>IFERROR(IF(INDEX(Aux_puntos!$A$2:$OJ$901,365,MATCH($B$2&amp;"|xC",Aux_puntos!$1:$1,0))="",NA(),INDEX(Aux_puntos!$A$2:$OJ$901,365,MATCH($B$2&amp;"|xC",Aux_puntos!$1:$1,0))),NA())</f>
        <v>#N/A</v>
      </c>
      <c r="AF369" t="e">
        <f>IFERROR(IF(INDEX(Aux_puntos!$A$2:$OJ$901,365,MATCH($B$2&amp;"|yC",Aux_puntos!$1:$1,0))="",NA(),INDEX(Aux_puntos!$A$2:$OJ$901,365,MATCH($B$2&amp;"|yC",Aux_puntos!$1:$1,0))),NA())</f>
        <v>#N/A</v>
      </c>
      <c r="AG369" t="e">
        <f>IFERROR(IF(INDEX(Aux_puntos!$A$2:$OJ$901,365,MATCH($B$2&amp;"|xI",Aux_puntos!$1:$1,0))="",NA(),INDEX(Aux_puntos!$A$2:$OJ$901,365,MATCH($B$2&amp;"|xI",Aux_puntos!$1:$1,0))),NA())</f>
        <v>#N/A</v>
      </c>
      <c r="AH369" t="e">
        <f>IFERROR(IF(INDEX(Aux_puntos!$A$2:$OJ$901,365,MATCH($B$2&amp;"|yI",Aux_puntos!$1:$1,0))="",NA(),INDEX(Aux_puntos!$A$2:$OJ$901,365,MATCH($B$2&amp;"|yI",Aux_puntos!$1:$1,0))),NA())</f>
        <v>#N/A</v>
      </c>
      <c r="AI369" t="e">
        <f>IFERROR(IF(INDEX(Aux_puntos!$A$2:$OJ$901,365,MATCH($B$2&amp;"|xN",Aux_puntos!$1:$1,0))="",NA(),INDEX(Aux_puntos!$A$2:$OJ$901,365,MATCH($B$2&amp;"|xN",Aux_puntos!$1:$1,0))),NA())</f>
        <v>#N/A</v>
      </c>
      <c r="AJ369" t="e">
        <f>IFERROR(IF(INDEX(Aux_puntos!$A$2:$OJ$901,365,MATCH($B$2&amp;"|yN",Aux_puntos!$1:$1,0))="",NA(),INDEX(Aux_puntos!$A$2:$OJ$901,365,MATCH($B$2&amp;"|yN",Aux_puntos!$1:$1,0))),NA())</f>
        <v>#N/A</v>
      </c>
    </row>
    <row r="370" spans="29:36" x14ac:dyDescent="0.3">
      <c r="AC370" t="e">
        <f>IFERROR(IF(INDEX(Aux_puntos!$A$2:$OJ$901,366,MATCH($B$2&amp;"|xK",Aux_puntos!$1:$1,0))="",NA(),INDEX(Aux_puntos!$A$2:$OJ$901,366,MATCH($B$2&amp;"|xK",Aux_puntos!$1:$1,0))),NA())</f>
        <v>#N/A</v>
      </c>
      <c r="AD370" t="e">
        <f>IFERROR(IF(INDEX(Aux_puntos!$A$2:$OJ$901,366,MATCH($B$2&amp;"|yK",Aux_puntos!$1:$1,0))="",NA(),INDEX(Aux_puntos!$A$2:$OJ$901,366,MATCH($B$2&amp;"|yK",Aux_puntos!$1:$1,0))),NA())</f>
        <v>#N/A</v>
      </c>
      <c r="AE370" t="e">
        <f>IFERROR(IF(INDEX(Aux_puntos!$A$2:$OJ$901,366,MATCH($B$2&amp;"|xC",Aux_puntos!$1:$1,0))="",NA(),INDEX(Aux_puntos!$A$2:$OJ$901,366,MATCH($B$2&amp;"|xC",Aux_puntos!$1:$1,0))),NA())</f>
        <v>#N/A</v>
      </c>
      <c r="AF370" t="e">
        <f>IFERROR(IF(INDEX(Aux_puntos!$A$2:$OJ$901,366,MATCH($B$2&amp;"|yC",Aux_puntos!$1:$1,0))="",NA(),INDEX(Aux_puntos!$A$2:$OJ$901,366,MATCH($B$2&amp;"|yC",Aux_puntos!$1:$1,0))),NA())</f>
        <v>#N/A</v>
      </c>
      <c r="AG370" t="e">
        <f>IFERROR(IF(INDEX(Aux_puntos!$A$2:$OJ$901,366,MATCH($B$2&amp;"|xI",Aux_puntos!$1:$1,0))="",NA(),INDEX(Aux_puntos!$A$2:$OJ$901,366,MATCH($B$2&amp;"|xI",Aux_puntos!$1:$1,0))),NA())</f>
        <v>#N/A</v>
      </c>
      <c r="AH370" t="e">
        <f>IFERROR(IF(INDEX(Aux_puntos!$A$2:$OJ$901,366,MATCH($B$2&amp;"|yI",Aux_puntos!$1:$1,0))="",NA(),INDEX(Aux_puntos!$A$2:$OJ$901,366,MATCH($B$2&amp;"|yI",Aux_puntos!$1:$1,0))),NA())</f>
        <v>#N/A</v>
      </c>
      <c r="AI370" t="e">
        <f>IFERROR(IF(INDEX(Aux_puntos!$A$2:$OJ$901,366,MATCH($B$2&amp;"|xN",Aux_puntos!$1:$1,0))="",NA(),INDEX(Aux_puntos!$A$2:$OJ$901,366,MATCH($B$2&amp;"|xN",Aux_puntos!$1:$1,0))),NA())</f>
        <v>#N/A</v>
      </c>
      <c r="AJ370" t="e">
        <f>IFERROR(IF(INDEX(Aux_puntos!$A$2:$OJ$901,366,MATCH($B$2&amp;"|yN",Aux_puntos!$1:$1,0))="",NA(),INDEX(Aux_puntos!$A$2:$OJ$901,366,MATCH($B$2&amp;"|yN",Aux_puntos!$1:$1,0))),NA())</f>
        <v>#N/A</v>
      </c>
    </row>
    <row r="371" spans="29:36" x14ac:dyDescent="0.3">
      <c r="AC371" t="e">
        <f>IFERROR(IF(INDEX(Aux_puntos!$A$2:$OJ$901,367,MATCH($B$2&amp;"|xK",Aux_puntos!$1:$1,0))="",NA(),INDEX(Aux_puntos!$A$2:$OJ$901,367,MATCH($B$2&amp;"|xK",Aux_puntos!$1:$1,0))),NA())</f>
        <v>#N/A</v>
      </c>
      <c r="AD371" t="e">
        <f>IFERROR(IF(INDEX(Aux_puntos!$A$2:$OJ$901,367,MATCH($B$2&amp;"|yK",Aux_puntos!$1:$1,0))="",NA(),INDEX(Aux_puntos!$A$2:$OJ$901,367,MATCH($B$2&amp;"|yK",Aux_puntos!$1:$1,0))),NA())</f>
        <v>#N/A</v>
      </c>
      <c r="AE371" t="e">
        <f>IFERROR(IF(INDEX(Aux_puntos!$A$2:$OJ$901,367,MATCH($B$2&amp;"|xC",Aux_puntos!$1:$1,0))="",NA(),INDEX(Aux_puntos!$A$2:$OJ$901,367,MATCH($B$2&amp;"|xC",Aux_puntos!$1:$1,0))),NA())</f>
        <v>#N/A</v>
      </c>
      <c r="AF371" t="e">
        <f>IFERROR(IF(INDEX(Aux_puntos!$A$2:$OJ$901,367,MATCH($B$2&amp;"|yC",Aux_puntos!$1:$1,0))="",NA(),INDEX(Aux_puntos!$A$2:$OJ$901,367,MATCH($B$2&amp;"|yC",Aux_puntos!$1:$1,0))),NA())</f>
        <v>#N/A</v>
      </c>
      <c r="AG371" t="e">
        <f>IFERROR(IF(INDEX(Aux_puntos!$A$2:$OJ$901,367,MATCH($B$2&amp;"|xI",Aux_puntos!$1:$1,0))="",NA(),INDEX(Aux_puntos!$A$2:$OJ$901,367,MATCH($B$2&amp;"|xI",Aux_puntos!$1:$1,0))),NA())</f>
        <v>#N/A</v>
      </c>
      <c r="AH371" t="e">
        <f>IFERROR(IF(INDEX(Aux_puntos!$A$2:$OJ$901,367,MATCH($B$2&amp;"|yI",Aux_puntos!$1:$1,0))="",NA(),INDEX(Aux_puntos!$A$2:$OJ$901,367,MATCH($B$2&amp;"|yI",Aux_puntos!$1:$1,0))),NA())</f>
        <v>#N/A</v>
      </c>
      <c r="AI371" t="e">
        <f>IFERROR(IF(INDEX(Aux_puntos!$A$2:$OJ$901,367,MATCH($B$2&amp;"|xN",Aux_puntos!$1:$1,0))="",NA(),INDEX(Aux_puntos!$A$2:$OJ$901,367,MATCH($B$2&amp;"|xN",Aux_puntos!$1:$1,0))),NA())</f>
        <v>#N/A</v>
      </c>
      <c r="AJ371" t="e">
        <f>IFERROR(IF(INDEX(Aux_puntos!$A$2:$OJ$901,367,MATCH($B$2&amp;"|yN",Aux_puntos!$1:$1,0))="",NA(),INDEX(Aux_puntos!$A$2:$OJ$901,367,MATCH($B$2&amp;"|yN",Aux_puntos!$1:$1,0))),NA())</f>
        <v>#N/A</v>
      </c>
    </row>
    <row r="372" spans="29:36" x14ac:dyDescent="0.3">
      <c r="AC372" t="e">
        <f>IFERROR(IF(INDEX(Aux_puntos!$A$2:$OJ$901,368,MATCH($B$2&amp;"|xK",Aux_puntos!$1:$1,0))="",NA(),INDEX(Aux_puntos!$A$2:$OJ$901,368,MATCH($B$2&amp;"|xK",Aux_puntos!$1:$1,0))),NA())</f>
        <v>#N/A</v>
      </c>
      <c r="AD372" t="e">
        <f>IFERROR(IF(INDEX(Aux_puntos!$A$2:$OJ$901,368,MATCH($B$2&amp;"|yK",Aux_puntos!$1:$1,0))="",NA(),INDEX(Aux_puntos!$A$2:$OJ$901,368,MATCH($B$2&amp;"|yK",Aux_puntos!$1:$1,0))),NA())</f>
        <v>#N/A</v>
      </c>
      <c r="AE372" t="e">
        <f>IFERROR(IF(INDEX(Aux_puntos!$A$2:$OJ$901,368,MATCH($B$2&amp;"|xC",Aux_puntos!$1:$1,0))="",NA(),INDEX(Aux_puntos!$A$2:$OJ$901,368,MATCH($B$2&amp;"|xC",Aux_puntos!$1:$1,0))),NA())</f>
        <v>#N/A</v>
      </c>
      <c r="AF372" t="e">
        <f>IFERROR(IF(INDEX(Aux_puntos!$A$2:$OJ$901,368,MATCH($B$2&amp;"|yC",Aux_puntos!$1:$1,0))="",NA(),INDEX(Aux_puntos!$A$2:$OJ$901,368,MATCH($B$2&amp;"|yC",Aux_puntos!$1:$1,0))),NA())</f>
        <v>#N/A</v>
      </c>
      <c r="AG372" t="e">
        <f>IFERROR(IF(INDEX(Aux_puntos!$A$2:$OJ$901,368,MATCH($B$2&amp;"|xI",Aux_puntos!$1:$1,0))="",NA(),INDEX(Aux_puntos!$A$2:$OJ$901,368,MATCH($B$2&amp;"|xI",Aux_puntos!$1:$1,0))),NA())</f>
        <v>#N/A</v>
      </c>
      <c r="AH372" t="e">
        <f>IFERROR(IF(INDEX(Aux_puntos!$A$2:$OJ$901,368,MATCH($B$2&amp;"|yI",Aux_puntos!$1:$1,0))="",NA(),INDEX(Aux_puntos!$A$2:$OJ$901,368,MATCH($B$2&amp;"|yI",Aux_puntos!$1:$1,0))),NA())</f>
        <v>#N/A</v>
      </c>
      <c r="AI372" t="e">
        <f>IFERROR(IF(INDEX(Aux_puntos!$A$2:$OJ$901,368,MATCH($B$2&amp;"|xN",Aux_puntos!$1:$1,0))="",NA(),INDEX(Aux_puntos!$A$2:$OJ$901,368,MATCH($B$2&amp;"|xN",Aux_puntos!$1:$1,0))),NA())</f>
        <v>#N/A</v>
      </c>
      <c r="AJ372" t="e">
        <f>IFERROR(IF(INDEX(Aux_puntos!$A$2:$OJ$901,368,MATCH($B$2&amp;"|yN",Aux_puntos!$1:$1,0))="",NA(),INDEX(Aux_puntos!$A$2:$OJ$901,368,MATCH($B$2&amp;"|yN",Aux_puntos!$1:$1,0))),NA())</f>
        <v>#N/A</v>
      </c>
    </row>
    <row r="373" spans="29:36" x14ac:dyDescent="0.3">
      <c r="AC373" t="e">
        <f>IFERROR(IF(INDEX(Aux_puntos!$A$2:$OJ$901,369,MATCH($B$2&amp;"|xK",Aux_puntos!$1:$1,0))="",NA(),INDEX(Aux_puntos!$A$2:$OJ$901,369,MATCH($B$2&amp;"|xK",Aux_puntos!$1:$1,0))),NA())</f>
        <v>#N/A</v>
      </c>
      <c r="AD373" t="e">
        <f>IFERROR(IF(INDEX(Aux_puntos!$A$2:$OJ$901,369,MATCH($B$2&amp;"|yK",Aux_puntos!$1:$1,0))="",NA(),INDEX(Aux_puntos!$A$2:$OJ$901,369,MATCH($B$2&amp;"|yK",Aux_puntos!$1:$1,0))),NA())</f>
        <v>#N/A</v>
      </c>
      <c r="AE373" t="e">
        <f>IFERROR(IF(INDEX(Aux_puntos!$A$2:$OJ$901,369,MATCH($B$2&amp;"|xC",Aux_puntos!$1:$1,0))="",NA(),INDEX(Aux_puntos!$A$2:$OJ$901,369,MATCH($B$2&amp;"|xC",Aux_puntos!$1:$1,0))),NA())</f>
        <v>#N/A</v>
      </c>
      <c r="AF373" t="e">
        <f>IFERROR(IF(INDEX(Aux_puntos!$A$2:$OJ$901,369,MATCH($B$2&amp;"|yC",Aux_puntos!$1:$1,0))="",NA(),INDEX(Aux_puntos!$A$2:$OJ$901,369,MATCH($B$2&amp;"|yC",Aux_puntos!$1:$1,0))),NA())</f>
        <v>#N/A</v>
      </c>
      <c r="AG373" t="e">
        <f>IFERROR(IF(INDEX(Aux_puntos!$A$2:$OJ$901,369,MATCH($B$2&amp;"|xI",Aux_puntos!$1:$1,0))="",NA(),INDEX(Aux_puntos!$A$2:$OJ$901,369,MATCH($B$2&amp;"|xI",Aux_puntos!$1:$1,0))),NA())</f>
        <v>#N/A</v>
      </c>
      <c r="AH373" t="e">
        <f>IFERROR(IF(INDEX(Aux_puntos!$A$2:$OJ$901,369,MATCH($B$2&amp;"|yI",Aux_puntos!$1:$1,0))="",NA(),INDEX(Aux_puntos!$A$2:$OJ$901,369,MATCH($B$2&amp;"|yI",Aux_puntos!$1:$1,0))),NA())</f>
        <v>#N/A</v>
      </c>
      <c r="AI373" t="e">
        <f>IFERROR(IF(INDEX(Aux_puntos!$A$2:$OJ$901,369,MATCH($B$2&amp;"|xN",Aux_puntos!$1:$1,0))="",NA(),INDEX(Aux_puntos!$A$2:$OJ$901,369,MATCH($B$2&amp;"|xN",Aux_puntos!$1:$1,0))),NA())</f>
        <v>#N/A</v>
      </c>
      <c r="AJ373" t="e">
        <f>IFERROR(IF(INDEX(Aux_puntos!$A$2:$OJ$901,369,MATCH($B$2&amp;"|yN",Aux_puntos!$1:$1,0))="",NA(),INDEX(Aux_puntos!$A$2:$OJ$901,369,MATCH($B$2&amp;"|yN",Aux_puntos!$1:$1,0))),NA())</f>
        <v>#N/A</v>
      </c>
    </row>
    <row r="374" spans="29:36" x14ac:dyDescent="0.3">
      <c r="AC374" t="e">
        <f>IFERROR(IF(INDEX(Aux_puntos!$A$2:$OJ$901,370,MATCH($B$2&amp;"|xK",Aux_puntos!$1:$1,0))="",NA(),INDEX(Aux_puntos!$A$2:$OJ$901,370,MATCH($B$2&amp;"|xK",Aux_puntos!$1:$1,0))),NA())</f>
        <v>#N/A</v>
      </c>
      <c r="AD374" t="e">
        <f>IFERROR(IF(INDEX(Aux_puntos!$A$2:$OJ$901,370,MATCH($B$2&amp;"|yK",Aux_puntos!$1:$1,0))="",NA(),INDEX(Aux_puntos!$A$2:$OJ$901,370,MATCH($B$2&amp;"|yK",Aux_puntos!$1:$1,0))),NA())</f>
        <v>#N/A</v>
      </c>
      <c r="AE374" t="e">
        <f>IFERROR(IF(INDEX(Aux_puntos!$A$2:$OJ$901,370,MATCH($B$2&amp;"|xC",Aux_puntos!$1:$1,0))="",NA(),INDEX(Aux_puntos!$A$2:$OJ$901,370,MATCH($B$2&amp;"|xC",Aux_puntos!$1:$1,0))),NA())</f>
        <v>#N/A</v>
      </c>
      <c r="AF374" t="e">
        <f>IFERROR(IF(INDEX(Aux_puntos!$A$2:$OJ$901,370,MATCH($B$2&amp;"|yC",Aux_puntos!$1:$1,0))="",NA(),INDEX(Aux_puntos!$A$2:$OJ$901,370,MATCH($B$2&amp;"|yC",Aux_puntos!$1:$1,0))),NA())</f>
        <v>#N/A</v>
      </c>
      <c r="AG374" t="e">
        <f>IFERROR(IF(INDEX(Aux_puntos!$A$2:$OJ$901,370,MATCH($B$2&amp;"|xI",Aux_puntos!$1:$1,0))="",NA(),INDEX(Aux_puntos!$A$2:$OJ$901,370,MATCH($B$2&amp;"|xI",Aux_puntos!$1:$1,0))),NA())</f>
        <v>#N/A</v>
      </c>
      <c r="AH374" t="e">
        <f>IFERROR(IF(INDEX(Aux_puntos!$A$2:$OJ$901,370,MATCH($B$2&amp;"|yI",Aux_puntos!$1:$1,0))="",NA(),INDEX(Aux_puntos!$A$2:$OJ$901,370,MATCH($B$2&amp;"|yI",Aux_puntos!$1:$1,0))),NA())</f>
        <v>#N/A</v>
      </c>
      <c r="AI374" t="e">
        <f>IFERROR(IF(INDEX(Aux_puntos!$A$2:$OJ$901,370,MATCH($B$2&amp;"|xN",Aux_puntos!$1:$1,0))="",NA(),INDEX(Aux_puntos!$A$2:$OJ$901,370,MATCH($B$2&amp;"|xN",Aux_puntos!$1:$1,0))),NA())</f>
        <v>#N/A</v>
      </c>
      <c r="AJ374" t="e">
        <f>IFERROR(IF(INDEX(Aux_puntos!$A$2:$OJ$901,370,MATCH($B$2&amp;"|yN",Aux_puntos!$1:$1,0))="",NA(),INDEX(Aux_puntos!$A$2:$OJ$901,370,MATCH($B$2&amp;"|yN",Aux_puntos!$1:$1,0))),NA())</f>
        <v>#N/A</v>
      </c>
    </row>
    <row r="375" spans="29:36" x14ac:dyDescent="0.3">
      <c r="AC375" t="e">
        <f>IFERROR(IF(INDEX(Aux_puntos!$A$2:$OJ$901,371,MATCH($B$2&amp;"|xK",Aux_puntos!$1:$1,0))="",NA(),INDEX(Aux_puntos!$A$2:$OJ$901,371,MATCH($B$2&amp;"|xK",Aux_puntos!$1:$1,0))),NA())</f>
        <v>#N/A</v>
      </c>
      <c r="AD375" t="e">
        <f>IFERROR(IF(INDEX(Aux_puntos!$A$2:$OJ$901,371,MATCH($B$2&amp;"|yK",Aux_puntos!$1:$1,0))="",NA(),INDEX(Aux_puntos!$A$2:$OJ$901,371,MATCH($B$2&amp;"|yK",Aux_puntos!$1:$1,0))),NA())</f>
        <v>#N/A</v>
      </c>
      <c r="AE375" t="e">
        <f>IFERROR(IF(INDEX(Aux_puntos!$A$2:$OJ$901,371,MATCH($B$2&amp;"|xC",Aux_puntos!$1:$1,0))="",NA(),INDEX(Aux_puntos!$A$2:$OJ$901,371,MATCH($B$2&amp;"|xC",Aux_puntos!$1:$1,0))),NA())</f>
        <v>#N/A</v>
      </c>
      <c r="AF375" t="e">
        <f>IFERROR(IF(INDEX(Aux_puntos!$A$2:$OJ$901,371,MATCH($B$2&amp;"|yC",Aux_puntos!$1:$1,0))="",NA(),INDEX(Aux_puntos!$A$2:$OJ$901,371,MATCH($B$2&amp;"|yC",Aux_puntos!$1:$1,0))),NA())</f>
        <v>#N/A</v>
      </c>
      <c r="AG375" t="e">
        <f>IFERROR(IF(INDEX(Aux_puntos!$A$2:$OJ$901,371,MATCH($B$2&amp;"|xI",Aux_puntos!$1:$1,0))="",NA(),INDEX(Aux_puntos!$A$2:$OJ$901,371,MATCH($B$2&amp;"|xI",Aux_puntos!$1:$1,0))),NA())</f>
        <v>#N/A</v>
      </c>
      <c r="AH375" t="e">
        <f>IFERROR(IF(INDEX(Aux_puntos!$A$2:$OJ$901,371,MATCH($B$2&amp;"|yI",Aux_puntos!$1:$1,0))="",NA(),INDEX(Aux_puntos!$A$2:$OJ$901,371,MATCH($B$2&amp;"|yI",Aux_puntos!$1:$1,0))),NA())</f>
        <v>#N/A</v>
      </c>
      <c r="AI375" t="e">
        <f>IFERROR(IF(INDEX(Aux_puntos!$A$2:$OJ$901,371,MATCH($B$2&amp;"|xN",Aux_puntos!$1:$1,0))="",NA(),INDEX(Aux_puntos!$A$2:$OJ$901,371,MATCH($B$2&amp;"|xN",Aux_puntos!$1:$1,0))),NA())</f>
        <v>#N/A</v>
      </c>
      <c r="AJ375" t="e">
        <f>IFERROR(IF(INDEX(Aux_puntos!$A$2:$OJ$901,371,MATCH($B$2&amp;"|yN",Aux_puntos!$1:$1,0))="",NA(),INDEX(Aux_puntos!$A$2:$OJ$901,371,MATCH($B$2&amp;"|yN",Aux_puntos!$1:$1,0))),NA())</f>
        <v>#N/A</v>
      </c>
    </row>
    <row r="376" spans="29:36" x14ac:dyDescent="0.3">
      <c r="AC376" t="e">
        <f>IFERROR(IF(INDEX(Aux_puntos!$A$2:$OJ$901,372,MATCH($B$2&amp;"|xK",Aux_puntos!$1:$1,0))="",NA(),INDEX(Aux_puntos!$A$2:$OJ$901,372,MATCH($B$2&amp;"|xK",Aux_puntos!$1:$1,0))),NA())</f>
        <v>#N/A</v>
      </c>
      <c r="AD376" t="e">
        <f>IFERROR(IF(INDEX(Aux_puntos!$A$2:$OJ$901,372,MATCH($B$2&amp;"|yK",Aux_puntos!$1:$1,0))="",NA(),INDEX(Aux_puntos!$A$2:$OJ$901,372,MATCH($B$2&amp;"|yK",Aux_puntos!$1:$1,0))),NA())</f>
        <v>#N/A</v>
      </c>
      <c r="AE376" t="e">
        <f>IFERROR(IF(INDEX(Aux_puntos!$A$2:$OJ$901,372,MATCH($B$2&amp;"|xC",Aux_puntos!$1:$1,0))="",NA(),INDEX(Aux_puntos!$A$2:$OJ$901,372,MATCH($B$2&amp;"|xC",Aux_puntos!$1:$1,0))),NA())</f>
        <v>#N/A</v>
      </c>
      <c r="AF376" t="e">
        <f>IFERROR(IF(INDEX(Aux_puntos!$A$2:$OJ$901,372,MATCH($B$2&amp;"|yC",Aux_puntos!$1:$1,0))="",NA(),INDEX(Aux_puntos!$A$2:$OJ$901,372,MATCH($B$2&amp;"|yC",Aux_puntos!$1:$1,0))),NA())</f>
        <v>#N/A</v>
      </c>
      <c r="AG376" t="e">
        <f>IFERROR(IF(INDEX(Aux_puntos!$A$2:$OJ$901,372,MATCH($B$2&amp;"|xI",Aux_puntos!$1:$1,0))="",NA(),INDEX(Aux_puntos!$A$2:$OJ$901,372,MATCH($B$2&amp;"|xI",Aux_puntos!$1:$1,0))),NA())</f>
        <v>#N/A</v>
      </c>
      <c r="AH376" t="e">
        <f>IFERROR(IF(INDEX(Aux_puntos!$A$2:$OJ$901,372,MATCH($B$2&amp;"|yI",Aux_puntos!$1:$1,0))="",NA(),INDEX(Aux_puntos!$A$2:$OJ$901,372,MATCH($B$2&amp;"|yI",Aux_puntos!$1:$1,0))),NA())</f>
        <v>#N/A</v>
      </c>
      <c r="AI376" t="e">
        <f>IFERROR(IF(INDEX(Aux_puntos!$A$2:$OJ$901,372,MATCH($B$2&amp;"|xN",Aux_puntos!$1:$1,0))="",NA(),INDEX(Aux_puntos!$A$2:$OJ$901,372,MATCH($B$2&amp;"|xN",Aux_puntos!$1:$1,0))),NA())</f>
        <v>#N/A</v>
      </c>
      <c r="AJ376" t="e">
        <f>IFERROR(IF(INDEX(Aux_puntos!$A$2:$OJ$901,372,MATCH($B$2&amp;"|yN",Aux_puntos!$1:$1,0))="",NA(),INDEX(Aux_puntos!$A$2:$OJ$901,372,MATCH($B$2&amp;"|yN",Aux_puntos!$1:$1,0))),NA())</f>
        <v>#N/A</v>
      </c>
    </row>
    <row r="377" spans="29:36" x14ac:dyDescent="0.3">
      <c r="AC377" t="e">
        <f>IFERROR(IF(INDEX(Aux_puntos!$A$2:$OJ$901,373,MATCH($B$2&amp;"|xK",Aux_puntos!$1:$1,0))="",NA(),INDEX(Aux_puntos!$A$2:$OJ$901,373,MATCH($B$2&amp;"|xK",Aux_puntos!$1:$1,0))),NA())</f>
        <v>#N/A</v>
      </c>
      <c r="AD377" t="e">
        <f>IFERROR(IF(INDEX(Aux_puntos!$A$2:$OJ$901,373,MATCH($B$2&amp;"|yK",Aux_puntos!$1:$1,0))="",NA(),INDEX(Aux_puntos!$A$2:$OJ$901,373,MATCH($B$2&amp;"|yK",Aux_puntos!$1:$1,0))),NA())</f>
        <v>#N/A</v>
      </c>
      <c r="AE377" t="e">
        <f>IFERROR(IF(INDEX(Aux_puntos!$A$2:$OJ$901,373,MATCH($B$2&amp;"|xC",Aux_puntos!$1:$1,0))="",NA(),INDEX(Aux_puntos!$A$2:$OJ$901,373,MATCH($B$2&amp;"|xC",Aux_puntos!$1:$1,0))),NA())</f>
        <v>#N/A</v>
      </c>
      <c r="AF377" t="e">
        <f>IFERROR(IF(INDEX(Aux_puntos!$A$2:$OJ$901,373,MATCH($B$2&amp;"|yC",Aux_puntos!$1:$1,0))="",NA(),INDEX(Aux_puntos!$A$2:$OJ$901,373,MATCH($B$2&amp;"|yC",Aux_puntos!$1:$1,0))),NA())</f>
        <v>#N/A</v>
      </c>
      <c r="AG377" t="e">
        <f>IFERROR(IF(INDEX(Aux_puntos!$A$2:$OJ$901,373,MATCH($B$2&amp;"|xI",Aux_puntos!$1:$1,0))="",NA(),INDEX(Aux_puntos!$A$2:$OJ$901,373,MATCH($B$2&amp;"|xI",Aux_puntos!$1:$1,0))),NA())</f>
        <v>#N/A</v>
      </c>
      <c r="AH377" t="e">
        <f>IFERROR(IF(INDEX(Aux_puntos!$A$2:$OJ$901,373,MATCH($B$2&amp;"|yI",Aux_puntos!$1:$1,0))="",NA(),INDEX(Aux_puntos!$A$2:$OJ$901,373,MATCH($B$2&amp;"|yI",Aux_puntos!$1:$1,0))),NA())</f>
        <v>#N/A</v>
      </c>
      <c r="AI377" t="e">
        <f>IFERROR(IF(INDEX(Aux_puntos!$A$2:$OJ$901,373,MATCH($B$2&amp;"|xN",Aux_puntos!$1:$1,0))="",NA(),INDEX(Aux_puntos!$A$2:$OJ$901,373,MATCH($B$2&amp;"|xN",Aux_puntos!$1:$1,0))),NA())</f>
        <v>#N/A</v>
      </c>
      <c r="AJ377" t="e">
        <f>IFERROR(IF(INDEX(Aux_puntos!$A$2:$OJ$901,373,MATCH($B$2&amp;"|yN",Aux_puntos!$1:$1,0))="",NA(),INDEX(Aux_puntos!$A$2:$OJ$901,373,MATCH($B$2&amp;"|yN",Aux_puntos!$1:$1,0))),NA())</f>
        <v>#N/A</v>
      </c>
    </row>
    <row r="378" spans="29:36" x14ac:dyDescent="0.3">
      <c r="AC378" t="e">
        <f>IFERROR(IF(INDEX(Aux_puntos!$A$2:$OJ$901,374,MATCH($B$2&amp;"|xK",Aux_puntos!$1:$1,0))="",NA(),INDEX(Aux_puntos!$A$2:$OJ$901,374,MATCH($B$2&amp;"|xK",Aux_puntos!$1:$1,0))),NA())</f>
        <v>#N/A</v>
      </c>
      <c r="AD378" t="e">
        <f>IFERROR(IF(INDEX(Aux_puntos!$A$2:$OJ$901,374,MATCH($B$2&amp;"|yK",Aux_puntos!$1:$1,0))="",NA(),INDEX(Aux_puntos!$A$2:$OJ$901,374,MATCH($B$2&amp;"|yK",Aux_puntos!$1:$1,0))),NA())</f>
        <v>#N/A</v>
      </c>
      <c r="AE378" t="e">
        <f>IFERROR(IF(INDEX(Aux_puntos!$A$2:$OJ$901,374,MATCH($B$2&amp;"|xC",Aux_puntos!$1:$1,0))="",NA(),INDEX(Aux_puntos!$A$2:$OJ$901,374,MATCH($B$2&amp;"|xC",Aux_puntos!$1:$1,0))),NA())</f>
        <v>#N/A</v>
      </c>
      <c r="AF378" t="e">
        <f>IFERROR(IF(INDEX(Aux_puntos!$A$2:$OJ$901,374,MATCH($B$2&amp;"|yC",Aux_puntos!$1:$1,0))="",NA(),INDEX(Aux_puntos!$A$2:$OJ$901,374,MATCH($B$2&amp;"|yC",Aux_puntos!$1:$1,0))),NA())</f>
        <v>#N/A</v>
      </c>
      <c r="AG378" t="e">
        <f>IFERROR(IF(INDEX(Aux_puntos!$A$2:$OJ$901,374,MATCH($B$2&amp;"|xI",Aux_puntos!$1:$1,0))="",NA(),INDEX(Aux_puntos!$A$2:$OJ$901,374,MATCH($B$2&amp;"|xI",Aux_puntos!$1:$1,0))),NA())</f>
        <v>#N/A</v>
      </c>
      <c r="AH378" t="e">
        <f>IFERROR(IF(INDEX(Aux_puntos!$A$2:$OJ$901,374,MATCH($B$2&amp;"|yI",Aux_puntos!$1:$1,0))="",NA(),INDEX(Aux_puntos!$A$2:$OJ$901,374,MATCH($B$2&amp;"|yI",Aux_puntos!$1:$1,0))),NA())</f>
        <v>#N/A</v>
      </c>
      <c r="AI378" t="e">
        <f>IFERROR(IF(INDEX(Aux_puntos!$A$2:$OJ$901,374,MATCH($B$2&amp;"|xN",Aux_puntos!$1:$1,0))="",NA(),INDEX(Aux_puntos!$A$2:$OJ$901,374,MATCH($B$2&amp;"|xN",Aux_puntos!$1:$1,0))),NA())</f>
        <v>#N/A</v>
      </c>
      <c r="AJ378" t="e">
        <f>IFERROR(IF(INDEX(Aux_puntos!$A$2:$OJ$901,374,MATCH($B$2&amp;"|yN",Aux_puntos!$1:$1,0))="",NA(),INDEX(Aux_puntos!$A$2:$OJ$901,374,MATCH($B$2&amp;"|yN",Aux_puntos!$1:$1,0))),NA())</f>
        <v>#N/A</v>
      </c>
    </row>
    <row r="379" spans="29:36" x14ac:dyDescent="0.3">
      <c r="AC379" t="e">
        <f>IFERROR(IF(INDEX(Aux_puntos!$A$2:$OJ$901,375,MATCH($B$2&amp;"|xK",Aux_puntos!$1:$1,0))="",NA(),INDEX(Aux_puntos!$A$2:$OJ$901,375,MATCH($B$2&amp;"|xK",Aux_puntos!$1:$1,0))),NA())</f>
        <v>#N/A</v>
      </c>
      <c r="AD379" t="e">
        <f>IFERROR(IF(INDEX(Aux_puntos!$A$2:$OJ$901,375,MATCH($B$2&amp;"|yK",Aux_puntos!$1:$1,0))="",NA(),INDEX(Aux_puntos!$A$2:$OJ$901,375,MATCH($B$2&amp;"|yK",Aux_puntos!$1:$1,0))),NA())</f>
        <v>#N/A</v>
      </c>
      <c r="AE379" t="e">
        <f>IFERROR(IF(INDEX(Aux_puntos!$A$2:$OJ$901,375,MATCH($B$2&amp;"|xC",Aux_puntos!$1:$1,0))="",NA(),INDEX(Aux_puntos!$A$2:$OJ$901,375,MATCH($B$2&amp;"|xC",Aux_puntos!$1:$1,0))),NA())</f>
        <v>#N/A</v>
      </c>
      <c r="AF379" t="e">
        <f>IFERROR(IF(INDEX(Aux_puntos!$A$2:$OJ$901,375,MATCH($B$2&amp;"|yC",Aux_puntos!$1:$1,0))="",NA(),INDEX(Aux_puntos!$A$2:$OJ$901,375,MATCH($B$2&amp;"|yC",Aux_puntos!$1:$1,0))),NA())</f>
        <v>#N/A</v>
      </c>
      <c r="AG379" t="e">
        <f>IFERROR(IF(INDEX(Aux_puntos!$A$2:$OJ$901,375,MATCH($B$2&amp;"|xI",Aux_puntos!$1:$1,0))="",NA(),INDEX(Aux_puntos!$A$2:$OJ$901,375,MATCH($B$2&amp;"|xI",Aux_puntos!$1:$1,0))),NA())</f>
        <v>#N/A</v>
      </c>
      <c r="AH379" t="e">
        <f>IFERROR(IF(INDEX(Aux_puntos!$A$2:$OJ$901,375,MATCH($B$2&amp;"|yI",Aux_puntos!$1:$1,0))="",NA(),INDEX(Aux_puntos!$A$2:$OJ$901,375,MATCH($B$2&amp;"|yI",Aux_puntos!$1:$1,0))),NA())</f>
        <v>#N/A</v>
      </c>
      <c r="AI379" t="e">
        <f>IFERROR(IF(INDEX(Aux_puntos!$A$2:$OJ$901,375,MATCH($B$2&amp;"|xN",Aux_puntos!$1:$1,0))="",NA(),INDEX(Aux_puntos!$A$2:$OJ$901,375,MATCH($B$2&amp;"|xN",Aux_puntos!$1:$1,0))),NA())</f>
        <v>#N/A</v>
      </c>
      <c r="AJ379" t="e">
        <f>IFERROR(IF(INDEX(Aux_puntos!$A$2:$OJ$901,375,MATCH($B$2&amp;"|yN",Aux_puntos!$1:$1,0))="",NA(),INDEX(Aux_puntos!$A$2:$OJ$901,375,MATCH($B$2&amp;"|yN",Aux_puntos!$1:$1,0))),NA())</f>
        <v>#N/A</v>
      </c>
    </row>
    <row r="380" spans="29:36" x14ac:dyDescent="0.3">
      <c r="AC380" t="e">
        <f>IFERROR(IF(INDEX(Aux_puntos!$A$2:$OJ$901,376,MATCH($B$2&amp;"|xK",Aux_puntos!$1:$1,0))="",NA(),INDEX(Aux_puntos!$A$2:$OJ$901,376,MATCH($B$2&amp;"|xK",Aux_puntos!$1:$1,0))),NA())</f>
        <v>#N/A</v>
      </c>
      <c r="AD380" t="e">
        <f>IFERROR(IF(INDEX(Aux_puntos!$A$2:$OJ$901,376,MATCH($B$2&amp;"|yK",Aux_puntos!$1:$1,0))="",NA(),INDEX(Aux_puntos!$A$2:$OJ$901,376,MATCH($B$2&amp;"|yK",Aux_puntos!$1:$1,0))),NA())</f>
        <v>#N/A</v>
      </c>
      <c r="AE380" t="e">
        <f>IFERROR(IF(INDEX(Aux_puntos!$A$2:$OJ$901,376,MATCH($B$2&amp;"|xC",Aux_puntos!$1:$1,0))="",NA(),INDEX(Aux_puntos!$A$2:$OJ$901,376,MATCH($B$2&amp;"|xC",Aux_puntos!$1:$1,0))),NA())</f>
        <v>#N/A</v>
      </c>
      <c r="AF380" t="e">
        <f>IFERROR(IF(INDEX(Aux_puntos!$A$2:$OJ$901,376,MATCH($B$2&amp;"|yC",Aux_puntos!$1:$1,0))="",NA(),INDEX(Aux_puntos!$A$2:$OJ$901,376,MATCH($B$2&amp;"|yC",Aux_puntos!$1:$1,0))),NA())</f>
        <v>#N/A</v>
      </c>
      <c r="AG380" t="e">
        <f>IFERROR(IF(INDEX(Aux_puntos!$A$2:$OJ$901,376,MATCH($B$2&amp;"|xI",Aux_puntos!$1:$1,0))="",NA(),INDEX(Aux_puntos!$A$2:$OJ$901,376,MATCH($B$2&amp;"|xI",Aux_puntos!$1:$1,0))),NA())</f>
        <v>#N/A</v>
      </c>
      <c r="AH380" t="e">
        <f>IFERROR(IF(INDEX(Aux_puntos!$A$2:$OJ$901,376,MATCH($B$2&amp;"|yI",Aux_puntos!$1:$1,0))="",NA(),INDEX(Aux_puntos!$A$2:$OJ$901,376,MATCH($B$2&amp;"|yI",Aux_puntos!$1:$1,0))),NA())</f>
        <v>#N/A</v>
      </c>
      <c r="AI380" t="e">
        <f>IFERROR(IF(INDEX(Aux_puntos!$A$2:$OJ$901,376,MATCH($B$2&amp;"|xN",Aux_puntos!$1:$1,0))="",NA(),INDEX(Aux_puntos!$A$2:$OJ$901,376,MATCH($B$2&amp;"|xN",Aux_puntos!$1:$1,0))),NA())</f>
        <v>#N/A</v>
      </c>
      <c r="AJ380" t="e">
        <f>IFERROR(IF(INDEX(Aux_puntos!$A$2:$OJ$901,376,MATCH($B$2&amp;"|yN",Aux_puntos!$1:$1,0))="",NA(),INDEX(Aux_puntos!$A$2:$OJ$901,376,MATCH($B$2&amp;"|yN",Aux_puntos!$1:$1,0))),NA())</f>
        <v>#N/A</v>
      </c>
    </row>
    <row r="381" spans="29:36" x14ac:dyDescent="0.3">
      <c r="AC381" t="e">
        <f>IFERROR(IF(INDEX(Aux_puntos!$A$2:$OJ$901,377,MATCH($B$2&amp;"|xK",Aux_puntos!$1:$1,0))="",NA(),INDEX(Aux_puntos!$A$2:$OJ$901,377,MATCH($B$2&amp;"|xK",Aux_puntos!$1:$1,0))),NA())</f>
        <v>#N/A</v>
      </c>
      <c r="AD381" t="e">
        <f>IFERROR(IF(INDEX(Aux_puntos!$A$2:$OJ$901,377,MATCH($B$2&amp;"|yK",Aux_puntos!$1:$1,0))="",NA(),INDEX(Aux_puntos!$A$2:$OJ$901,377,MATCH($B$2&amp;"|yK",Aux_puntos!$1:$1,0))),NA())</f>
        <v>#N/A</v>
      </c>
      <c r="AE381" t="e">
        <f>IFERROR(IF(INDEX(Aux_puntos!$A$2:$OJ$901,377,MATCH($B$2&amp;"|xC",Aux_puntos!$1:$1,0))="",NA(),INDEX(Aux_puntos!$A$2:$OJ$901,377,MATCH($B$2&amp;"|xC",Aux_puntos!$1:$1,0))),NA())</f>
        <v>#N/A</v>
      </c>
      <c r="AF381" t="e">
        <f>IFERROR(IF(INDEX(Aux_puntos!$A$2:$OJ$901,377,MATCH($B$2&amp;"|yC",Aux_puntos!$1:$1,0))="",NA(),INDEX(Aux_puntos!$A$2:$OJ$901,377,MATCH($B$2&amp;"|yC",Aux_puntos!$1:$1,0))),NA())</f>
        <v>#N/A</v>
      </c>
      <c r="AG381" t="e">
        <f>IFERROR(IF(INDEX(Aux_puntos!$A$2:$OJ$901,377,MATCH($B$2&amp;"|xI",Aux_puntos!$1:$1,0))="",NA(),INDEX(Aux_puntos!$A$2:$OJ$901,377,MATCH($B$2&amp;"|xI",Aux_puntos!$1:$1,0))),NA())</f>
        <v>#N/A</v>
      </c>
      <c r="AH381" t="e">
        <f>IFERROR(IF(INDEX(Aux_puntos!$A$2:$OJ$901,377,MATCH($B$2&amp;"|yI",Aux_puntos!$1:$1,0))="",NA(),INDEX(Aux_puntos!$A$2:$OJ$901,377,MATCH($B$2&amp;"|yI",Aux_puntos!$1:$1,0))),NA())</f>
        <v>#N/A</v>
      </c>
      <c r="AI381" t="e">
        <f>IFERROR(IF(INDEX(Aux_puntos!$A$2:$OJ$901,377,MATCH($B$2&amp;"|xN",Aux_puntos!$1:$1,0))="",NA(),INDEX(Aux_puntos!$A$2:$OJ$901,377,MATCH($B$2&amp;"|xN",Aux_puntos!$1:$1,0))),NA())</f>
        <v>#N/A</v>
      </c>
      <c r="AJ381" t="e">
        <f>IFERROR(IF(INDEX(Aux_puntos!$A$2:$OJ$901,377,MATCH($B$2&amp;"|yN",Aux_puntos!$1:$1,0))="",NA(),INDEX(Aux_puntos!$A$2:$OJ$901,377,MATCH($B$2&amp;"|yN",Aux_puntos!$1:$1,0))),NA())</f>
        <v>#N/A</v>
      </c>
    </row>
    <row r="382" spans="29:36" x14ac:dyDescent="0.3">
      <c r="AC382" t="e">
        <f>IFERROR(IF(INDEX(Aux_puntos!$A$2:$OJ$901,378,MATCH($B$2&amp;"|xK",Aux_puntos!$1:$1,0))="",NA(),INDEX(Aux_puntos!$A$2:$OJ$901,378,MATCH($B$2&amp;"|xK",Aux_puntos!$1:$1,0))),NA())</f>
        <v>#N/A</v>
      </c>
      <c r="AD382" t="e">
        <f>IFERROR(IF(INDEX(Aux_puntos!$A$2:$OJ$901,378,MATCH($B$2&amp;"|yK",Aux_puntos!$1:$1,0))="",NA(),INDEX(Aux_puntos!$A$2:$OJ$901,378,MATCH($B$2&amp;"|yK",Aux_puntos!$1:$1,0))),NA())</f>
        <v>#N/A</v>
      </c>
      <c r="AE382" t="e">
        <f>IFERROR(IF(INDEX(Aux_puntos!$A$2:$OJ$901,378,MATCH($B$2&amp;"|xC",Aux_puntos!$1:$1,0))="",NA(),INDEX(Aux_puntos!$A$2:$OJ$901,378,MATCH($B$2&amp;"|xC",Aux_puntos!$1:$1,0))),NA())</f>
        <v>#N/A</v>
      </c>
      <c r="AF382" t="e">
        <f>IFERROR(IF(INDEX(Aux_puntos!$A$2:$OJ$901,378,MATCH($B$2&amp;"|yC",Aux_puntos!$1:$1,0))="",NA(),INDEX(Aux_puntos!$A$2:$OJ$901,378,MATCH($B$2&amp;"|yC",Aux_puntos!$1:$1,0))),NA())</f>
        <v>#N/A</v>
      </c>
      <c r="AG382" t="e">
        <f>IFERROR(IF(INDEX(Aux_puntos!$A$2:$OJ$901,378,MATCH($B$2&amp;"|xI",Aux_puntos!$1:$1,0))="",NA(),INDEX(Aux_puntos!$A$2:$OJ$901,378,MATCH($B$2&amp;"|xI",Aux_puntos!$1:$1,0))),NA())</f>
        <v>#N/A</v>
      </c>
      <c r="AH382" t="e">
        <f>IFERROR(IF(INDEX(Aux_puntos!$A$2:$OJ$901,378,MATCH($B$2&amp;"|yI",Aux_puntos!$1:$1,0))="",NA(),INDEX(Aux_puntos!$A$2:$OJ$901,378,MATCH($B$2&amp;"|yI",Aux_puntos!$1:$1,0))),NA())</f>
        <v>#N/A</v>
      </c>
      <c r="AI382" t="e">
        <f>IFERROR(IF(INDEX(Aux_puntos!$A$2:$OJ$901,378,MATCH($B$2&amp;"|xN",Aux_puntos!$1:$1,0))="",NA(),INDEX(Aux_puntos!$A$2:$OJ$901,378,MATCH($B$2&amp;"|xN",Aux_puntos!$1:$1,0))),NA())</f>
        <v>#N/A</v>
      </c>
      <c r="AJ382" t="e">
        <f>IFERROR(IF(INDEX(Aux_puntos!$A$2:$OJ$901,378,MATCH($B$2&amp;"|yN",Aux_puntos!$1:$1,0))="",NA(),INDEX(Aux_puntos!$A$2:$OJ$901,378,MATCH($B$2&amp;"|yN",Aux_puntos!$1:$1,0))),NA())</f>
        <v>#N/A</v>
      </c>
    </row>
    <row r="383" spans="29:36" x14ac:dyDescent="0.3">
      <c r="AC383" t="e">
        <f>IFERROR(IF(INDEX(Aux_puntos!$A$2:$OJ$901,379,MATCH($B$2&amp;"|xK",Aux_puntos!$1:$1,0))="",NA(),INDEX(Aux_puntos!$A$2:$OJ$901,379,MATCH($B$2&amp;"|xK",Aux_puntos!$1:$1,0))),NA())</f>
        <v>#N/A</v>
      </c>
      <c r="AD383" t="e">
        <f>IFERROR(IF(INDEX(Aux_puntos!$A$2:$OJ$901,379,MATCH($B$2&amp;"|yK",Aux_puntos!$1:$1,0))="",NA(),INDEX(Aux_puntos!$A$2:$OJ$901,379,MATCH($B$2&amp;"|yK",Aux_puntos!$1:$1,0))),NA())</f>
        <v>#N/A</v>
      </c>
      <c r="AE383" t="e">
        <f>IFERROR(IF(INDEX(Aux_puntos!$A$2:$OJ$901,379,MATCH($B$2&amp;"|xC",Aux_puntos!$1:$1,0))="",NA(),INDEX(Aux_puntos!$A$2:$OJ$901,379,MATCH($B$2&amp;"|xC",Aux_puntos!$1:$1,0))),NA())</f>
        <v>#N/A</v>
      </c>
      <c r="AF383" t="e">
        <f>IFERROR(IF(INDEX(Aux_puntos!$A$2:$OJ$901,379,MATCH($B$2&amp;"|yC",Aux_puntos!$1:$1,0))="",NA(),INDEX(Aux_puntos!$A$2:$OJ$901,379,MATCH($B$2&amp;"|yC",Aux_puntos!$1:$1,0))),NA())</f>
        <v>#N/A</v>
      </c>
      <c r="AG383" t="e">
        <f>IFERROR(IF(INDEX(Aux_puntos!$A$2:$OJ$901,379,MATCH($B$2&amp;"|xI",Aux_puntos!$1:$1,0))="",NA(),INDEX(Aux_puntos!$A$2:$OJ$901,379,MATCH($B$2&amp;"|xI",Aux_puntos!$1:$1,0))),NA())</f>
        <v>#N/A</v>
      </c>
      <c r="AH383" t="e">
        <f>IFERROR(IF(INDEX(Aux_puntos!$A$2:$OJ$901,379,MATCH($B$2&amp;"|yI",Aux_puntos!$1:$1,0))="",NA(),INDEX(Aux_puntos!$A$2:$OJ$901,379,MATCH($B$2&amp;"|yI",Aux_puntos!$1:$1,0))),NA())</f>
        <v>#N/A</v>
      </c>
      <c r="AI383" t="e">
        <f>IFERROR(IF(INDEX(Aux_puntos!$A$2:$OJ$901,379,MATCH($B$2&amp;"|xN",Aux_puntos!$1:$1,0))="",NA(),INDEX(Aux_puntos!$A$2:$OJ$901,379,MATCH($B$2&amp;"|xN",Aux_puntos!$1:$1,0))),NA())</f>
        <v>#N/A</v>
      </c>
      <c r="AJ383" t="e">
        <f>IFERROR(IF(INDEX(Aux_puntos!$A$2:$OJ$901,379,MATCH($B$2&amp;"|yN",Aux_puntos!$1:$1,0))="",NA(),INDEX(Aux_puntos!$A$2:$OJ$901,379,MATCH($B$2&amp;"|yN",Aux_puntos!$1:$1,0))),NA())</f>
        <v>#N/A</v>
      </c>
    </row>
    <row r="384" spans="29:36" x14ac:dyDescent="0.3">
      <c r="AC384" t="e">
        <f>IFERROR(IF(INDEX(Aux_puntos!$A$2:$OJ$901,380,MATCH($B$2&amp;"|xK",Aux_puntos!$1:$1,0))="",NA(),INDEX(Aux_puntos!$A$2:$OJ$901,380,MATCH($B$2&amp;"|xK",Aux_puntos!$1:$1,0))),NA())</f>
        <v>#N/A</v>
      </c>
      <c r="AD384" t="e">
        <f>IFERROR(IF(INDEX(Aux_puntos!$A$2:$OJ$901,380,MATCH($B$2&amp;"|yK",Aux_puntos!$1:$1,0))="",NA(),INDEX(Aux_puntos!$A$2:$OJ$901,380,MATCH($B$2&amp;"|yK",Aux_puntos!$1:$1,0))),NA())</f>
        <v>#N/A</v>
      </c>
      <c r="AE384" t="e">
        <f>IFERROR(IF(INDEX(Aux_puntos!$A$2:$OJ$901,380,MATCH($B$2&amp;"|xC",Aux_puntos!$1:$1,0))="",NA(),INDEX(Aux_puntos!$A$2:$OJ$901,380,MATCH($B$2&amp;"|xC",Aux_puntos!$1:$1,0))),NA())</f>
        <v>#N/A</v>
      </c>
      <c r="AF384" t="e">
        <f>IFERROR(IF(INDEX(Aux_puntos!$A$2:$OJ$901,380,MATCH($B$2&amp;"|yC",Aux_puntos!$1:$1,0))="",NA(),INDEX(Aux_puntos!$A$2:$OJ$901,380,MATCH($B$2&amp;"|yC",Aux_puntos!$1:$1,0))),NA())</f>
        <v>#N/A</v>
      </c>
      <c r="AG384" t="e">
        <f>IFERROR(IF(INDEX(Aux_puntos!$A$2:$OJ$901,380,MATCH($B$2&amp;"|xI",Aux_puntos!$1:$1,0))="",NA(),INDEX(Aux_puntos!$A$2:$OJ$901,380,MATCH($B$2&amp;"|xI",Aux_puntos!$1:$1,0))),NA())</f>
        <v>#N/A</v>
      </c>
      <c r="AH384" t="e">
        <f>IFERROR(IF(INDEX(Aux_puntos!$A$2:$OJ$901,380,MATCH($B$2&amp;"|yI",Aux_puntos!$1:$1,0))="",NA(),INDEX(Aux_puntos!$A$2:$OJ$901,380,MATCH($B$2&amp;"|yI",Aux_puntos!$1:$1,0))),NA())</f>
        <v>#N/A</v>
      </c>
      <c r="AI384" t="e">
        <f>IFERROR(IF(INDEX(Aux_puntos!$A$2:$OJ$901,380,MATCH($B$2&amp;"|xN",Aux_puntos!$1:$1,0))="",NA(),INDEX(Aux_puntos!$A$2:$OJ$901,380,MATCH($B$2&amp;"|xN",Aux_puntos!$1:$1,0))),NA())</f>
        <v>#N/A</v>
      </c>
      <c r="AJ384" t="e">
        <f>IFERROR(IF(INDEX(Aux_puntos!$A$2:$OJ$901,380,MATCH($B$2&amp;"|yN",Aux_puntos!$1:$1,0))="",NA(),INDEX(Aux_puntos!$A$2:$OJ$901,380,MATCH($B$2&amp;"|yN",Aux_puntos!$1:$1,0))),NA())</f>
        <v>#N/A</v>
      </c>
    </row>
    <row r="385" spans="29:36" x14ac:dyDescent="0.3">
      <c r="AC385" t="e">
        <f>IFERROR(IF(INDEX(Aux_puntos!$A$2:$OJ$901,381,MATCH($B$2&amp;"|xK",Aux_puntos!$1:$1,0))="",NA(),INDEX(Aux_puntos!$A$2:$OJ$901,381,MATCH($B$2&amp;"|xK",Aux_puntos!$1:$1,0))),NA())</f>
        <v>#N/A</v>
      </c>
      <c r="AD385" t="e">
        <f>IFERROR(IF(INDEX(Aux_puntos!$A$2:$OJ$901,381,MATCH($B$2&amp;"|yK",Aux_puntos!$1:$1,0))="",NA(),INDEX(Aux_puntos!$A$2:$OJ$901,381,MATCH($B$2&amp;"|yK",Aux_puntos!$1:$1,0))),NA())</f>
        <v>#N/A</v>
      </c>
      <c r="AE385" t="e">
        <f>IFERROR(IF(INDEX(Aux_puntos!$A$2:$OJ$901,381,MATCH($B$2&amp;"|xC",Aux_puntos!$1:$1,0))="",NA(),INDEX(Aux_puntos!$A$2:$OJ$901,381,MATCH($B$2&amp;"|xC",Aux_puntos!$1:$1,0))),NA())</f>
        <v>#N/A</v>
      </c>
      <c r="AF385" t="e">
        <f>IFERROR(IF(INDEX(Aux_puntos!$A$2:$OJ$901,381,MATCH($B$2&amp;"|yC",Aux_puntos!$1:$1,0))="",NA(),INDEX(Aux_puntos!$A$2:$OJ$901,381,MATCH($B$2&amp;"|yC",Aux_puntos!$1:$1,0))),NA())</f>
        <v>#N/A</v>
      </c>
      <c r="AG385" t="e">
        <f>IFERROR(IF(INDEX(Aux_puntos!$A$2:$OJ$901,381,MATCH($B$2&amp;"|xI",Aux_puntos!$1:$1,0))="",NA(),INDEX(Aux_puntos!$A$2:$OJ$901,381,MATCH($B$2&amp;"|xI",Aux_puntos!$1:$1,0))),NA())</f>
        <v>#N/A</v>
      </c>
      <c r="AH385" t="e">
        <f>IFERROR(IF(INDEX(Aux_puntos!$A$2:$OJ$901,381,MATCH($B$2&amp;"|yI",Aux_puntos!$1:$1,0))="",NA(),INDEX(Aux_puntos!$A$2:$OJ$901,381,MATCH($B$2&amp;"|yI",Aux_puntos!$1:$1,0))),NA())</f>
        <v>#N/A</v>
      </c>
      <c r="AI385" t="e">
        <f>IFERROR(IF(INDEX(Aux_puntos!$A$2:$OJ$901,381,MATCH($B$2&amp;"|xN",Aux_puntos!$1:$1,0))="",NA(),INDEX(Aux_puntos!$A$2:$OJ$901,381,MATCH($B$2&amp;"|xN",Aux_puntos!$1:$1,0))),NA())</f>
        <v>#N/A</v>
      </c>
      <c r="AJ385" t="e">
        <f>IFERROR(IF(INDEX(Aux_puntos!$A$2:$OJ$901,381,MATCH($B$2&amp;"|yN",Aux_puntos!$1:$1,0))="",NA(),INDEX(Aux_puntos!$A$2:$OJ$901,381,MATCH($B$2&amp;"|yN",Aux_puntos!$1:$1,0))),NA())</f>
        <v>#N/A</v>
      </c>
    </row>
    <row r="386" spans="29:36" x14ac:dyDescent="0.3">
      <c r="AC386" t="e">
        <f>IFERROR(IF(INDEX(Aux_puntos!$A$2:$OJ$901,382,MATCH($B$2&amp;"|xK",Aux_puntos!$1:$1,0))="",NA(),INDEX(Aux_puntos!$A$2:$OJ$901,382,MATCH($B$2&amp;"|xK",Aux_puntos!$1:$1,0))),NA())</f>
        <v>#N/A</v>
      </c>
      <c r="AD386" t="e">
        <f>IFERROR(IF(INDEX(Aux_puntos!$A$2:$OJ$901,382,MATCH($B$2&amp;"|yK",Aux_puntos!$1:$1,0))="",NA(),INDEX(Aux_puntos!$A$2:$OJ$901,382,MATCH($B$2&amp;"|yK",Aux_puntos!$1:$1,0))),NA())</f>
        <v>#N/A</v>
      </c>
      <c r="AE386" t="e">
        <f>IFERROR(IF(INDEX(Aux_puntos!$A$2:$OJ$901,382,MATCH($B$2&amp;"|xC",Aux_puntos!$1:$1,0))="",NA(),INDEX(Aux_puntos!$A$2:$OJ$901,382,MATCH($B$2&amp;"|xC",Aux_puntos!$1:$1,0))),NA())</f>
        <v>#N/A</v>
      </c>
      <c r="AF386" t="e">
        <f>IFERROR(IF(INDEX(Aux_puntos!$A$2:$OJ$901,382,MATCH($B$2&amp;"|yC",Aux_puntos!$1:$1,0))="",NA(),INDEX(Aux_puntos!$A$2:$OJ$901,382,MATCH($B$2&amp;"|yC",Aux_puntos!$1:$1,0))),NA())</f>
        <v>#N/A</v>
      </c>
      <c r="AG386" t="e">
        <f>IFERROR(IF(INDEX(Aux_puntos!$A$2:$OJ$901,382,MATCH($B$2&amp;"|xI",Aux_puntos!$1:$1,0))="",NA(),INDEX(Aux_puntos!$A$2:$OJ$901,382,MATCH($B$2&amp;"|xI",Aux_puntos!$1:$1,0))),NA())</f>
        <v>#N/A</v>
      </c>
      <c r="AH386" t="e">
        <f>IFERROR(IF(INDEX(Aux_puntos!$A$2:$OJ$901,382,MATCH($B$2&amp;"|yI",Aux_puntos!$1:$1,0))="",NA(),INDEX(Aux_puntos!$A$2:$OJ$901,382,MATCH($B$2&amp;"|yI",Aux_puntos!$1:$1,0))),NA())</f>
        <v>#N/A</v>
      </c>
      <c r="AI386" t="e">
        <f>IFERROR(IF(INDEX(Aux_puntos!$A$2:$OJ$901,382,MATCH($B$2&amp;"|xN",Aux_puntos!$1:$1,0))="",NA(),INDEX(Aux_puntos!$A$2:$OJ$901,382,MATCH($B$2&amp;"|xN",Aux_puntos!$1:$1,0))),NA())</f>
        <v>#N/A</v>
      </c>
      <c r="AJ386" t="e">
        <f>IFERROR(IF(INDEX(Aux_puntos!$A$2:$OJ$901,382,MATCH($B$2&amp;"|yN",Aux_puntos!$1:$1,0))="",NA(),INDEX(Aux_puntos!$A$2:$OJ$901,382,MATCH($B$2&amp;"|yN",Aux_puntos!$1:$1,0))),NA())</f>
        <v>#N/A</v>
      </c>
    </row>
    <row r="387" spans="29:36" x14ac:dyDescent="0.3">
      <c r="AC387" t="e">
        <f>IFERROR(IF(INDEX(Aux_puntos!$A$2:$OJ$901,383,MATCH($B$2&amp;"|xK",Aux_puntos!$1:$1,0))="",NA(),INDEX(Aux_puntos!$A$2:$OJ$901,383,MATCH($B$2&amp;"|xK",Aux_puntos!$1:$1,0))),NA())</f>
        <v>#N/A</v>
      </c>
      <c r="AD387" t="e">
        <f>IFERROR(IF(INDEX(Aux_puntos!$A$2:$OJ$901,383,MATCH($B$2&amp;"|yK",Aux_puntos!$1:$1,0))="",NA(),INDEX(Aux_puntos!$A$2:$OJ$901,383,MATCH($B$2&amp;"|yK",Aux_puntos!$1:$1,0))),NA())</f>
        <v>#N/A</v>
      </c>
      <c r="AE387" t="e">
        <f>IFERROR(IF(INDEX(Aux_puntos!$A$2:$OJ$901,383,MATCH($B$2&amp;"|xC",Aux_puntos!$1:$1,0))="",NA(),INDEX(Aux_puntos!$A$2:$OJ$901,383,MATCH($B$2&amp;"|xC",Aux_puntos!$1:$1,0))),NA())</f>
        <v>#N/A</v>
      </c>
      <c r="AF387" t="e">
        <f>IFERROR(IF(INDEX(Aux_puntos!$A$2:$OJ$901,383,MATCH($B$2&amp;"|yC",Aux_puntos!$1:$1,0))="",NA(),INDEX(Aux_puntos!$A$2:$OJ$901,383,MATCH($B$2&amp;"|yC",Aux_puntos!$1:$1,0))),NA())</f>
        <v>#N/A</v>
      </c>
      <c r="AG387" t="e">
        <f>IFERROR(IF(INDEX(Aux_puntos!$A$2:$OJ$901,383,MATCH($B$2&amp;"|xI",Aux_puntos!$1:$1,0))="",NA(),INDEX(Aux_puntos!$A$2:$OJ$901,383,MATCH($B$2&amp;"|xI",Aux_puntos!$1:$1,0))),NA())</f>
        <v>#N/A</v>
      </c>
      <c r="AH387" t="e">
        <f>IFERROR(IF(INDEX(Aux_puntos!$A$2:$OJ$901,383,MATCH($B$2&amp;"|yI",Aux_puntos!$1:$1,0))="",NA(),INDEX(Aux_puntos!$A$2:$OJ$901,383,MATCH($B$2&amp;"|yI",Aux_puntos!$1:$1,0))),NA())</f>
        <v>#N/A</v>
      </c>
      <c r="AI387" t="e">
        <f>IFERROR(IF(INDEX(Aux_puntos!$A$2:$OJ$901,383,MATCH($B$2&amp;"|xN",Aux_puntos!$1:$1,0))="",NA(),INDEX(Aux_puntos!$A$2:$OJ$901,383,MATCH($B$2&amp;"|xN",Aux_puntos!$1:$1,0))),NA())</f>
        <v>#N/A</v>
      </c>
      <c r="AJ387" t="e">
        <f>IFERROR(IF(INDEX(Aux_puntos!$A$2:$OJ$901,383,MATCH($B$2&amp;"|yN",Aux_puntos!$1:$1,0))="",NA(),INDEX(Aux_puntos!$A$2:$OJ$901,383,MATCH($B$2&amp;"|yN",Aux_puntos!$1:$1,0))),NA())</f>
        <v>#N/A</v>
      </c>
    </row>
    <row r="388" spans="29:36" x14ac:dyDescent="0.3">
      <c r="AC388" t="e">
        <f>IFERROR(IF(INDEX(Aux_puntos!$A$2:$OJ$901,384,MATCH($B$2&amp;"|xK",Aux_puntos!$1:$1,0))="",NA(),INDEX(Aux_puntos!$A$2:$OJ$901,384,MATCH($B$2&amp;"|xK",Aux_puntos!$1:$1,0))),NA())</f>
        <v>#N/A</v>
      </c>
      <c r="AD388" t="e">
        <f>IFERROR(IF(INDEX(Aux_puntos!$A$2:$OJ$901,384,MATCH($B$2&amp;"|yK",Aux_puntos!$1:$1,0))="",NA(),INDEX(Aux_puntos!$A$2:$OJ$901,384,MATCH($B$2&amp;"|yK",Aux_puntos!$1:$1,0))),NA())</f>
        <v>#N/A</v>
      </c>
      <c r="AE388" t="e">
        <f>IFERROR(IF(INDEX(Aux_puntos!$A$2:$OJ$901,384,MATCH($B$2&amp;"|xC",Aux_puntos!$1:$1,0))="",NA(),INDEX(Aux_puntos!$A$2:$OJ$901,384,MATCH($B$2&amp;"|xC",Aux_puntos!$1:$1,0))),NA())</f>
        <v>#N/A</v>
      </c>
      <c r="AF388" t="e">
        <f>IFERROR(IF(INDEX(Aux_puntos!$A$2:$OJ$901,384,MATCH($B$2&amp;"|yC",Aux_puntos!$1:$1,0))="",NA(),INDEX(Aux_puntos!$A$2:$OJ$901,384,MATCH($B$2&amp;"|yC",Aux_puntos!$1:$1,0))),NA())</f>
        <v>#N/A</v>
      </c>
      <c r="AG388" t="e">
        <f>IFERROR(IF(INDEX(Aux_puntos!$A$2:$OJ$901,384,MATCH($B$2&amp;"|xI",Aux_puntos!$1:$1,0))="",NA(),INDEX(Aux_puntos!$A$2:$OJ$901,384,MATCH($B$2&amp;"|xI",Aux_puntos!$1:$1,0))),NA())</f>
        <v>#N/A</v>
      </c>
      <c r="AH388" t="e">
        <f>IFERROR(IF(INDEX(Aux_puntos!$A$2:$OJ$901,384,MATCH($B$2&amp;"|yI",Aux_puntos!$1:$1,0))="",NA(),INDEX(Aux_puntos!$A$2:$OJ$901,384,MATCH($B$2&amp;"|yI",Aux_puntos!$1:$1,0))),NA())</f>
        <v>#N/A</v>
      </c>
      <c r="AI388" t="e">
        <f>IFERROR(IF(INDEX(Aux_puntos!$A$2:$OJ$901,384,MATCH($B$2&amp;"|xN",Aux_puntos!$1:$1,0))="",NA(),INDEX(Aux_puntos!$A$2:$OJ$901,384,MATCH($B$2&amp;"|xN",Aux_puntos!$1:$1,0))),NA())</f>
        <v>#N/A</v>
      </c>
      <c r="AJ388" t="e">
        <f>IFERROR(IF(INDEX(Aux_puntos!$A$2:$OJ$901,384,MATCH($B$2&amp;"|yN",Aux_puntos!$1:$1,0))="",NA(),INDEX(Aux_puntos!$A$2:$OJ$901,384,MATCH($B$2&amp;"|yN",Aux_puntos!$1:$1,0))),NA())</f>
        <v>#N/A</v>
      </c>
    </row>
    <row r="389" spans="29:36" x14ac:dyDescent="0.3">
      <c r="AC389" t="e">
        <f>IFERROR(IF(INDEX(Aux_puntos!$A$2:$OJ$901,385,MATCH($B$2&amp;"|xK",Aux_puntos!$1:$1,0))="",NA(),INDEX(Aux_puntos!$A$2:$OJ$901,385,MATCH($B$2&amp;"|xK",Aux_puntos!$1:$1,0))),NA())</f>
        <v>#N/A</v>
      </c>
      <c r="AD389" t="e">
        <f>IFERROR(IF(INDEX(Aux_puntos!$A$2:$OJ$901,385,MATCH($B$2&amp;"|yK",Aux_puntos!$1:$1,0))="",NA(),INDEX(Aux_puntos!$A$2:$OJ$901,385,MATCH($B$2&amp;"|yK",Aux_puntos!$1:$1,0))),NA())</f>
        <v>#N/A</v>
      </c>
      <c r="AE389" t="e">
        <f>IFERROR(IF(INDEX(Aux_puntos!$A$2:$OJ$901,385,MATCH($B$2&amp;"|xC",Aux_puntos!$1:$1,0))="",NA(),INDEX(Aux_puntos!$A$2:$OJ$901,385,MATCH($B$2&amp;"|xC",Aux_puntos!$1:$1,0))),NA())</f>
        <v>#N/A</v>
      </c>
      <c r="AF389" t="e">
        <f>IFERROR(IF(INDEX(Aux_puntos!$A$2:$OJ$901,385,MATCH($B$2&amp;"|yC",Aux_puntos!$1:$1,0))="",NA(),INDEX(Aux_puntos!$A$2:$OJ$901,385,MATCH($B$2&amp;"|yC",Aux_puntos!$1:$1,0))),NA())</f>
        <v>#N/A</v>
      </c>
      <c r="AG389" t="e">
        <f>IFERROR(IF(INDEX(Aux_puntos!$A$2:$OJ$901,385,MATCH($B$2&amp;"|xI",Aux_puntos!$1:$1,0))="",NA(),INDEX(Aux_puntos!$A$2:$OJ$901,385,MATCH($B$2&amp;"|xI",Aux_puntos!$1:$1,0))),NA())</f>
        <v>#N/A</v>
      </c>
      <c r="AH389" t="e">
        <f>IFERROR(IF(INDEX(Aux_puntos!$A$2:$OJ$901,385,MATCH($B$2&amp;"|yI",Aux_puntos!$1:$1,0))="",NA(),INDEX(Aux_puntos!$A$2:$OJ$901,385,MATCH($B$2&amp;"|yI",Aux_puntos!$1:$1,0))),NA())</f>
        <v>#N/A</v>
      </c>
      <c r="AI389" t="e">
        <f>IFERROR(IF(INDEX(Aux_puntos!$A$2:$OJ$901,385,MATCH($B$2&amp;"|xN",Aux_puntos!$1:$1,0))="",NA(),INDEX(Aux_puntos!$A$2:$OJ$901,385,MATCH($B$2&amp;"|xN",Aux_puntos!$1:$1,0))),NA())</f>
        <v>#N/A</v>
      </c>
      <c r="AJ389" t="e">
        <f>IFERROR(IF(INDEX(Aux_puntos!$A$2:$OJ$901,385,MATCH($B$2&amp;"|yN",Aux_puntos!$1:$1,0))="",NA(),INDEX(Aux_puntos!$A$2:$OJ$901,385,MATCH($B$2&amp;"|yN",Aux_puntos!$1:$1,0))),NA())</f>
        <v>#N/A</v>
      </c>
    </row>
    <row r="390" spans="29:36" x14ac:dyDescent="0.3">
      <c r="AC390" t="e">
        <f>IFERROR(IF(INDEX(Aux_puntos!$A$2:$OJ$901,386,MATCH($B$2&amp;"|xK",Aux_puntos!$1:$1,0))="",NA(),INDEX(Aux_puntos!$A$2:$OJ$901,386,MATCH($B$2&amp;"|xK",Aux_puntos!$1:$1,0))),NA())</f>
        <v>#N/A</v>
      </c>
      <c r="AD390" t="e">
        <f>IFERROR(IF(INDEX(Aux_puntos!$A$2:$OJ$901,386,MATCH($B$2&amp;"|yK",Aux_puntos!$1:$1,0))="",NA(),INDEX(Aux_puntos!$A$2:$OJ$901,386,MATCH($B$2&amp;"|yK",Aux_puntos!$1:$1,0))),NA())</f>
        <v>#N/A</v>
      </c>
      <c r="AE390" t="e">
        <f>IFERROR(IF(INDEX(Aux_puntos!$A$2:$OJ$901,386,MATCH($B$2&amp;"|xC",Aux_puntos!$1:$1,0))="",NA(),INDEX(Aux_puntos!$A$2:$OJ$901,386,MATCH($B$2&amp;"|xC",Aux_puntos!$1:$1,0))),NA())</f>
        <v>#N/A</v>
      </c>
      <c r="AF390" t="e">
        <f>IFERROR(IF(INDEX(Aux_puntos!$A$2:$OJ$901,386,MATCH($B$2&amp;"|yC",Aux_puntos!$1:$1,0))="",NA(),INDEX(Aux_puntos!$A$2:$OJ$901,386,MATCH($B$2&amp;"|yC",Aux_puntos!$1:$1,0))),NA())</f>
        <v>#N/A</v>
      </c>
      <c r="AG390" t="e">
        <f>IFERROR(IF(INDEX(Aux_puntos!$A$2:$OJ$901,386,MATCH($B$2&amp;"|xI",Aux_puntos!$1:$1,0))="",NA(),INDEX(Aux_puntos!$A$2:$OJ$901,386,MATCH($B$2&amp;"|xI",Aux_puntos!$1:$1,0))),NA())</f>
        <v>#N/A</v>
      </c>
      <c r="AH390" t="e">
        <f>IFERROR(IF(INDEX(Aux_puntos!$A$2:$OJ$901,386,MATCH($B$2&amp;"|yI",Aux_puntos!$1:$1,0))="",NA(),INDEX(Aux_puntos!$A$2:$OJ$901,386,MATCH($B$2&amp;"|yI",Aux_puntos!$1:$1,0))),NA())</f>
        <v>#N/A</v>
      </c>
      <c r="AI390" t="e">
        <f>IFERROR(IF(INDEX(Aux_puntos!$A$2:$OJ$901,386,MATCH($B$2&amp;"|xN",Aux_puntos!$1:$1,0))="",NA(),INDEX(Aux_puntos!$A$2:$OJ$901,386,MATCH($B$2&amp;"|xN",Aux_puntos!$1:$1,0))),NA())</f>
        <v>#N/A</v>
      </c>
      <c r="AJ390" t="e">
        <f>IFERROR(IF(INDEX(Aux_puntos!$A$2:$OJ$901,386,MATCH($B$2&amp;"|yN",Aux_puntos!$1:$1,0))="",NA(),INDEX(Aux_puntos!$A$2:$OJ$901,386,MATCH($B$2&amp;"|yN",Aux_puntos!$1:$1,0))),NA())</f>
        <v>#N/A</v>
      </c>
    </row>
    <row r="391" spans="29:36" x14ac:dyDescent="0.3">
      <c r="AC391" t="e">
        <f>IFERROR(IF(INDEX(Aux_puntos!$A$2:$OJ$901,387,MATCH($B$2&amp;"|xK",Aux_puntos!$1:$1,0))="",NA(),INDEX(Aux_puntos!$A$2:$OJ$901,387,MATCH($B$2&amp;"|xK",Aux_puntos!$1:$1,0))),NA())</f>
        <v>#N/A</v>
      </c>
      <c r="AD391" t="e">
        <f>IFERROR(IF(INDEX(Aux_puntos!$A$2:$OJ$901,387,MATCH($B$2&amp;"|yK",Aux_puntos!$1:$1,0))="",NA(),INDEX(Aux_puntos!$A$2:$OJ$901,387,MATCH($B$2&amp;"|yK",Aux_puntos!$1:$1,0))),NA())</f>
        <v>#N/A</v>
      </c>
      <c r="AE391" t="e">
        <f>IFERROR(IF(INDEX(Aux_puntos!$A$2:$OJ$901,387,MATCH($B$2&amp;"|xC",Aux_puntos!$1:$1,0))="",NA(),INDEX(Aux_puntos!$A$2:$OJ$901,387,MATCH($B$2&amp;"|xC",Aux_puntos!$1:$1,0))),NA())</f>
        <v>#N/A</v>
      </c>
      <c r="AF391" t="e">
        <f>IFERROR(IF(INDEX(Aux_puntos!$A$2:$OJ$901,387,MATCH($B$2&amp;"|yC",Aux_puntos!$1:$1,0))="",NA(),INDEX(Aux_puntos!$A$2:$OJ$901,387,MATCH($B$2&amp;"|yC",Aux_puntos!$1:$1,0))),NA())</f>
        <v>#N/A</v>
      </c>
      <c r="AG391" t="e">
        <f>IFERROR(IF(INDEX(Aux_puntos!$A$2:$OJ$901,387,MATCH($B$2&amp;"|xI",Aux_puntos!$1:$1,0))="",NA(),INDEX(Aux_puntos!$A$2:$OJ$901,387,MATCH($B$2&amp;"|xI",Aux_puntos!$1:$1,0))),NA())</f>
        <v>#N/A</v>
      </c>
      <c r="AH391" t="e">
        <f>IFERROR(IF(INDEX(Aux_puntos!$A$2:$OJ$901,387,MATCH($B$2&amp;"|yI",Aux_puntos!$1:$1,0))="",NA(),INDEX(Aux_puntos!$A$2:$OJ$901,387,MATCH($B$2&amp;"|yI",Aux_puntos!$1:$1,0))),NA())</f>
        <v>#N/A</v>
      </c>
      <c r="AI391" t="e">
        <f>IFERROR(IF(INDEX(Aux_puntos!$A$2:$OJ$901,387,MATCH($B$2&amp;"|xN",Aux_puntos!$1:$1,0))="",NA(),INDEX(Aux_puntos!$A$2:$OJ$901,387,MATCH($B$2&amp;"|xN",Aux_puntos!$1:$1,0))),NA())</f>
        <v>#N/A</v>
      </c>
      <c r="AJ391" t="e">
        <f>IFERROR(IF(INDEX(Aux_puntos!$A$2:$OJ$901,387,MATCH($B$2&amp;"|yN",Aux_puntos!$1:$1,0))="",NA(),INDEX(Aux_puntos!$A$2:$OJ$901,387,MATCH($B$2&amp;"|yN",Aux_puntos!$1:$1,0))),NA())</f>
        <v>#N/A</v>
      </c>
    </row>
    <row r="392" spans="29:36" x14ac:dyDescent="0.3">
      <c r="AC392" t="e">
        <f>IFERROR(IF(INDEX(Aux_puntos!$A$2:$OJ$901,388,MATCH($B$2&amp;"|xK",Aux_puntos!$1:$1,0))="",NA(),INDEX(Aux_puntos!$A$2:$OJ$901,388,MATCH($B$2&amp;"|xK",Aux_puntos!$1:$1,0))),NA())</f>
        <v>#N/A</v>
      </c>
      <c r="AD392" t="e">
        <f>IFERROR(IF(INDEX(Aux_puntos!$A$2:$OJ$901,388,MATCH($B$2&amp;"|yK",Aux_puntos!$1:$1,0))="",NA(),INDEX(Aux_puntos!$A$2:$OJ$901,388,MATCH($B$2&amp;"|yK",Aux_puntos!$1:$1,0))),NA())</f>
        <v>#N/A</v>
      </c>
      <c r="AE392" t="e">
        <f>IFERROR(IF(INDEX(Aux_puntos!$A$2:$OJ$901,388,MATCH($B$2&amp;"|xC",Aux_puntos!$1:$1,0))="",NA(),INDEX(Aux_puntos!$A$2:$OJ$901,388,MATCH($B$2&amp;"|xC",Aux_puntos!$1:$1,0))),NA())</f>
        <v>#N/A</v>
      </c>
      <c r="AF392" t="e">
        <f>IFERROR(IF(INDEX(Aux_puntos!$A$2:$OJ$901,388,MATCH($B$2&amp;"|yC",Aux_puntos!$1:$1,0))="",NA(),INDEX(Aux_puntos!$A$2:$OJ$901,388,MATCH($B$2&amp;"|yC",Aux_puntos!$1:$1,0))),NA())</f>
        <v>#N/A</v>
      </c>
      <c r="AG392" t="e">
        <f>IFERROR(IF(INDEX(Aux_puntos!$A$2:$OJ$901,388,MATCH($B$2&amp;"|xI",Aux_puntos!$1:$1,0))="",NA(),INDEX(Aux_puntos!$A$2:$OJ$901,388,MATCH($B$2&amp;"|xI",Aux_puntos!$1:$1,0))),NA())</f>
        <v>#N/A</v>
      </c>
      <c r="AH392" t="e">
        <f>IFERROR(IF(INDEX(Aux_puntos!$A$2:$OJ$901,388,MATCH($B$2&amp;"|yI",Aux_puntos!$1:$1,0))="",NA(),INDEX(Aux_puntos!$A$2:$OJ$901,388,MATCH($B$2&amp;"|yI",Aux_puntos!$1:$1,0))),NA())</f>
        <v>#N/A</v>
      </c>
      <c r="AI392" t="e">
        <f>IFERROR(IF(INDEX(Aux_puntos!$A$2:$OJ$901,388,MATCH($B$2&amp;"|xN",Aux_puntos!$1:$1,0))="",NA(),INDEX(Aux_puntos!$A$2:$OJ$901,388,MATCH($B$2&amp;"|xN",Aux_puntos!$1:$1,0))),NA())</f>
        <v>#N/A</v>
      </c>
      <c r="AJ392" t="e">
        <f>IFERROR(IF(INDEX(Aux_puntos!$A$2:$OJ$901,388,MATCH($B$2&amp;"|yN",Aux_puntos!$1:$1,0))="",NA(),INDEX(Aux_puntos!$A$2:$OJ$901,388,MATCH($B$2&amp;"|yN",Aux_puntos!$1:$1,0))),NA())</f>
        <v>#N/A</v>
      </c>
    </row>
    <row r="393" spans="29:36" x14ac:dyDescent="0.3">
      <c r="AC393" t="e">
        <f>IFERROR(IF(INDEX(Aux_puntos!$A$2:$OJ$901,389,MATCH($B$2&amp;"|xK",Aux_puntos!$1:$1,0))="",NA(),INDEX(Aux_puntos!$A$2:$OJ$901,389,MATCH($B$2&amp;"|xK",Aux_puntos!$1:$1,0))),NA())</f>
        <v>#N/A</v>
      </c>
      <c r="AD393" t="e">
        <f>IFERROR(IF(INDEX(Aux_puntos!$A$2:$OJ$901,389,MATCH($B$2&amp;"|yK",Aux_puntos!$1:$1,0))="",NA(),INDEX(Aux_puntos!$A$2:$OJ$901,389,MATCH($B$2&amp;"|yK",Aux_puntos!$1:$1,0))),NA())</f>
        <v>#N/A</v>
      </c>
      <c r="AE393" t="e">
        <f>IFERROR(IF(INDEX(Aux_puntos!$A$2:$OJ$901,389,MATCH($B$2&amp;"|xC",Aux_puntos!$1:$1,0))="",NA(),INDEX(Aux_puntos!$A$2:$OJ$901,389,MATCH($B$2&amp;"|xC",Aux_puntos!$1:$1,0))),NA())</f>
        <v>#N/A</v>
      </c>
      <c r="AF393" t="e">
        <f>IFERROR(IF(INDEX(Aux_puntos!$A$2:$OJ$901,389,MATCH($B$2&amp;"|yC",Aux_puntos!$1:$1,0))="",NA(),INDEX(Aux_puntos!$A$2:$OJ$901,389,MATCH($B$2&amp;"|yC",Aux_puntos!$1:$1,0))),NA())</f>
        <v>#N/A</v>
      </c>
      <c r="AG393" t="e">
        <f>IFERROR(IF(INDEX(Aux_puntos!$A$2:$OJ$901,389,MATCH($B$2&amp;"|xI",Aux_puntos!$1:$1,0))="",NA(),INDEX(Aux_puntos!$A$2:$OJ$901,389,MATCH($B$2&amp;"|xI",Aux_puntos!$1:$1,0))),NA())</f>
        <v>#N/A</v>
      </c>
      <c r="AH393" t="e">
        <f>IFERROR(IF(INDEX(Aux_puntos!$A$2:$OJ$901,389,MATCH($B$2&amp;"|yI",Aux_puntos!$1:$1,0))="",NA(),INDEX(Aux_puntos!$A$2:$OJ$901,389,MATCH($B$2&amp;"|yI",Aux_puntos!$1:$1,0))),NA())</f>
        <v>#N/A</v>
      </c>
      <c r="AI393" t="e">
        <f>IFERROR(IF(INDEX(Aux_puntos!$A$2:$OJ$901,389,MATCH($B$2&amp;"|xN",Aux_puntos!$1:$1,0))="",NA(),INDEX(Aux_puntos!$A$2:$OJ$901,389,MATCH($B$2&amp;"|xN",Aux_puntos!$1:$1,0))),NA())</f>
        <v>#N/A</v>
      </c>
      <c r="AJ393" t="e">
        <f>IFERROR(IF(INDEX(Aux_puntos!$A$2:$OJ$901,389,MATCH($B$2&amp;"|yN",Aux_puntos!$1:$1,0))="",NA(),INDEX(Aux_puntos!$A$2:$OJ$901,389,MATCH($B$2&amp;"|yN",Aux_puntos!$1:$1,0))),NA())</f>
        <v>#N/A</v>
      </c>
    </row>
    <row r="394" spans="29:36" x14ac:dyDescent="0.3">
      <c r="AC394" t="e">
        <f>IFERROR(IF(INDEX(Aux_puntos!$A$2:$OJ$901,390,MATCH($B$2&amp;"|xK",Aux_puntos!$1:$1,0))="",NA(),INDEX(Aux_puntos!$A$2:$OJ$901,390,MATCH($B$2&amp;"|xK",Aux_puntos!$1:$1,0))),NA())</f>
        <v>#N/A</v>
      </c>
      <c r="AD394" t="e">
        <f>IFERROR(IF(INDEX(Aux_puntos!$A$2:$OJ$901,390,MATCH($B$2&amp;"|yK",Aux_puntos!$1:$1,0))="",NA(),INDEX(Aux_puntos!$A$2:$OJ$901,390,MATCH($B$2&amp;"|yK",Aux_puntos!$1:$1,0))),NA())</f>
        <v>#N/A</v>
      </c>
      <c r="AE394" t="e">
        <f>IFERROR(IF(INDEX(Aux_puntos!$A$2:$OJ$901,390,MATCH($B$2&amp;"|xC",Aux_puntos!$1:$1,0))="",NA(),INDEX(Aux_puntos!$A$2:$OJ$901,390,MATCH($B$2&amp;"|xC",Aux_puntos!$1:$1,0))),NA())</f>
        <v>#N/A</v>
      </c>
      <c r="AF394" t="e">
        <f>IFERROR(IF(INDEX(Aux_puntos!$A$2:$OJ$901,390,MATCH($B$2&amp;"|yC",Aux_puntos!$1:$1,0))="",NA(),INDEX(Aux_puntos!$A$2:$OJ$901,390,MATCH($B$2&amp;"|yC",Aux_puntos!$1:$1,0))),NA())</f>
        <v>#N/A</v>
      </c>
      <c r="AG394" t="e">
        <f>IFERROR(IF(INDEX(Aux_puntos!$A$2:$OJ$901,390,MATCH($B$2&amp;"|xI",Aux_puntos!$1:$1,0))="",NA(),INDEX(Aux_puntos!$A$2:$OJ$901,390,MATCH($B$2&amp;"|xI",Aux_puntos!$1:$1,0))),NA())</f>
        <v>#N/A</v>
      </c>
      <c r="AH394" t="e">
        <f>IFERROR(IF(INDEX(Aux_puntos!$A$2:$OJ$901,390,MATCH($B$2&amp;"|yI",Aux_puntos!$1:$1,0))="",NA(),INDEX(Aux_puntos!$A$2:$OJ$901,390,MATCH($B$2&amp;"|yI",Aux_puntos!$1:$1,0))),NA())</f>
        <v>#N/A</v>
      </c>
      <c r="AI394" t="e">
        <f>IFERROR(IF(INDEX(Aux_puntos!$A$2:$OJ$901,390,MATCH($B$2&amp;"|xN",Aux_puntos!$1:$1,0))="",NA(),INDEX(Aux_puntos!$A$2:$OJ$901,390,MATCH($B$2&amp;"|xN",Aux_puntos!$1:$1,0))),NA())</f>
        <v>#N/A</v>
      </c>
      <c r="AJ394" t="e">
        <f>IFERROR(IF(INDEX(Aux_puntos!$A$2:$OJ$901,390,MATCH($B$2&amp;"|yN",Aux_puntos!$1:$1,0))="",NA(),INDEX(Aux_puntos!$A$2:$OJ$901,390,MATCH($B$2&amp;"|yN",Aux_puntos!$1:$1,0))),NA())</f>
        <v>#N/A</v>
      </c>
    </row>
    <row r="395" spans="29:36" x14ac:dyDescent="0.3">
      <c r="AC395" t="e">
        <f>IFERROR(IF(INDEX(Aux_puntos!$A$2:$OJ$901,391,MATCH($B$2&amp;"|xK",Aux_puntos!$1:$1,0))="",NA(),INDEX(Aux_puntos!$A$2:$OJ$901,391,MATCH($B$2&amp;"|xK",Aux_puntos!$1:$1,0))),NA())</f>
        <v>#N/A</v>
      </c>
      <c r="AD395" t="e">
        <f>IFERROR(IF(INDEX(Aux_puntos!$A$2:$OJ$901,391,MATCH($B$2&amp;"|yK",Aux_puntos!$1:$1,0))="",NA(),INDEX(Aux_puntos!$A$2:$OJ$901,391,MATCH($B$2&amp;"|yK",Aux_puntos!$1:$1,0))),NA())</f>
        <v>#N/A</v>
      </c>
      <c r="AE395" t="e">
        <f>IFERROR(IF(INDEX(Aux_puntos!$A$2:$OJ$901,391,MATCH($B$2&amp;"|xC",Aux_puntos!$1:$1,0))="",NA(),INDEX(Aux_puntos!$A$2:$OJ$901,391,MATCH($B$2&amp;"|xC",Aux_puntos!$1:$1,0))),NA())</f>
        <v>#N/A</v>
      </c>
      <c r="AF395" t="e">
        <f>IFERROR(IF(INDEX(Aux_puntos!$A$2:$OJ$901,391,MATCH($B$2&amp;"|yC",Aux_puntos!$1:$1,0))="",NA(),INDEX(Aux_puntos!$A$2:$OJ$901,391,MATCH($B$2&amp;"|yC",Aux_puntos!$1:$1,0))),NA())</f>
        <v>#N/A</v>
      </c>
      <c r="AG395" t="e">
        <f>IFERROR(IF(INDEX(Aux_puntos!$A$2:$OJ$901,391,MATCH($B$2&amp;"|xI",Aux_puntos!$1:$1,0))="",NA(),INDEX(Aux_puntos!$A$2:$OJ$901,391,MATCH($B$2&amp;"|xI",Aux_puntos!$1:$1,0))),NA())</f>
        <v>#N/A</v>
      </c>
      <c r="AH395" t="e">
        <f>IFERROR(IF(INDEX(Aux_puntos!$A$2:$OJ$901,391,MATCH($B$2&amp;"|yI",Aux_puntos!$1:$1,0))="",NA(),INDEX(Aux_puntos!$A$2:$OJ$901,391,MATCH($B$2&amp;"|yI",Aux_puntos!$1:$1,0))),NA())</f>
        <v>#N/A</v>
      </c>
      <c r="AI395" t="e">
        <f>IFERROR(IF(INDEX(Aux_puntos!$A$2:$OJ$901,391,MATCH($B$2&amp;"|xN",Aux_puntos!$1:$1,0))="",NA(),INDEX(Aux_puntos!$A$2:$OJ$901,391,MATCH($B$2&amp;"|xN",Aux_puntos!$1:$1,0))),NA())</f>
        <v>#N/A</v>
      </c>
      <c r="AJ395" t="e">
        <f>IFERROR(IF(INDEX(Aux_puntos!$A$2:$OJ$901,391,MATCH($B$2&amp;"|yN",Aux_puntos!$1:$1,0))="",NA(),INDEX(Aux_puntos!$A$2:$OJ$901,391,MATCH($B$2&amp;"|yN",Aux_puntos!$1:$1,0))),NA())</f>
        <v>#N/A</v>
      </c>
    </row>
    <row r="396" spans="29:36" x14ac:dyDescent="0.3">
      <c r="AC396" t="e">
        <f>IFERROR(IF(INDEX(Aux_puntos!$A$2:$OJ$901,392,MATCH($B$2&amp;"|xK",Aux_puntos!$1:$1,0))="",NA(),INDEX(Aux_puntos!$A$2:$OJ$901,392,MATCH($B$2&amp;"|xK",Aux_puntos!$1:$1,0))),NA())</f>
        <v>#N/A</v>
      </c>
      <c r="AD396" t="e">
        <f>IFERROR(IF(INDEX(Aux_puntos!$A$2:$OJ$901,392,MATCH($B$2&amp;"|yK",Aux_puntos!$1:$1,0))="",NA(),INDEX(Aux_puntos!$A$2:$OJ$901,392,MATCH($B$2&amp;"|yK",Aux_puntos!$1:$1,0))),NA())</f>
        <v>#N/A</v>
      </c>
      <c r="AE396" t="e">
        <f>IFERROR(IF(INDEX(Aux_puntos!$A$2:$OJ$901,392,MATCH($B$2&amp;"|xC",Aux_puntos!$1:$1,0))="",NA(),INDEX(Aux_puntos!$A$2:$OJ$901,392,MATCH($B$2&amp;"|xC",Aux_puntos!$1:$1,0))),NA())</f>
        <v>#N/A</v>
      </c>
      <c r="AF396" t="e">
        <f>IFERROR(IF(INDEX(Aux_puntos!$A$2:$OJ$901,392,MATCH($B$2&amp;"|yC",Aux_puntos!$1:$1,0))="",NA(),INDEX(Aux_puntos!$A$2:$OJ$901,392,MATCH($B$2&amp;"|yC",Aux_puntos!$1:$1,0))),NA())</f>
        <v>#N/A</v>
      </c>
      <c r="AG396" t="e">
        <f>IFERROR(IF(INDEX(Aux_puntos!$A$2:$OJ$901,392,MATCH($B$2&amp;"|xI",Aux_puntos!$1:$1,0))="",NA(),INDEX(Aux_puntos!$A$2:$OJ$901,392,MATCH($B$2&amp;"|xI",Aux_puntos!$1:$1,0))),NA())</f>
        <v>#N/A</v>
      </c>
      <c r="AH396" t="e">
        <f>IFERROR(IF(INDEX(Aux_puntos!$A$2:$OJ$901,392,MATCH($B$2&amp;"|yI",Aux_puntos!$1:$1,0))="",NA(),INDEX(Aux_puntos!$A$2:$OJ$901,392,MATCH($B$2&amp;"|yI",Aux_puntos!$1:$1,0))),NA())</f>
        <v>#N/A</v>
      </c>
      <c r="AI396" t="e">
        <f>IFERROR(IF(INDEX(Aux_puntos!$A$2:$OJ$901,392,MATCH($B$2&amp;"|xN",Aux_puntos!$1:$1,0))="",NA(),INDEX(Aux_puntos!$A$2:$OJ$901,392,MATCH($B$2&amp;"|xN",Aux_puntos!$1:$1,0))),NA())</f>
        <v>#N/A</v>
      </c>
      <c r="AJ396" t="e">
        <f>IFERROR(IF(INDEX(Aux_puntos!$A$2:$OJ$901,392,MATCH($B$2&amp;"|yN",Aux_puntos!$1:$1,0))="",NA(),INDEX(Aux_puntos!$A$2:$OJ$901,392,MATCH($B$2&amp;"|yN",Aux_puntos!$1:$1,0))),NA())</f>
        <v>#N/A</v>
      </c>
    </row>
    <row r="397" spans="29:36" x14ac:dyDescent="0.3">
      <c r="AC397" t="e">
        <f>IFERROR(IF(INDEX(Aux_puntos!$A$2:$OJ$901,393,MATCH($B$2&amp;"|xK",Aux_puntos!$1:$1,0))="",NA(),INDEX(Aux_puntos!$A$2:$OJ$901,393,MATCH($B$2&amp;"|xK",Aux_puntos!$1:$1,0))),NA())</f>
        <v>#N/A</v>
      </c>
      <c r="AD397" t="e">
        <f>IFERROR(IF(INDEX(Aux_puntos!$A$2:$OJ$901,393,MATCH($B$2&amp;"|yK",Aux_puntos!$1:$1,0))="",NA(),INDEX(Aux_puntos!$A$2:$OJ$901,393,MATCH($B$2&amp;"|yK",Aux_puntos!$1:$1,0))),NA())</f>
        <v>#N/A</v>
      </c>
      <c r="AE397" t="e">
        <f>IFERROR(IF(INDEX(Aux_puntos!$A$2:$OJ$901,393,MATCH($B$2&amp;"|xC",Aux_puntos!$1:$1,0))="",NA(),INDEX(Aux_puntos!$A$2:$OJ$901,393,MATCH($B$2&amp;"|xC",Aux_puntos!$1:$1,0))),NA())</f>
        <v>#N/A</v>
      </c>
      <c r="AF397" t="e">
        <f>IFERROR(IF(INDEX(Aux_puntos!$A$2:$OJ$901,393,MATCH($B$2&amp;"|yC",Aux_puntos!$1:$1,0))="",NA(),INDEX(Aux_puntos!$A$2:$OJ$901,393,MATCH($B$2&amp;"|yC",Aux_puntos!$1:$1,0))),NA())</f>
        <v>#N/A</v>
      </c>
      <c r="AG397" t="e">
        <f>IFERROR(IF(INDEX(Aux_puntos!$A$2:$OJ$901,393,MATCH($B$2&amp;"|xI",Aux_puntos!$1:$1,0))="",NA(),INDEX(Aux_puntos!$A$2:$OJ$901,393,MATCH($B$2&amp;"|xI",Aux_puntos!$1:$1,0))),NA())</f>
        <v>#N/A</v>
      </c>
      <c r="AH397" t="e">
        <f>IFERROR(IF(INDEX(Aux_puntos!$A$2:$OJ$901,393,MATCH($B$2&amp;"|yI",Aux_puntos!$1:$1,0))="",NA(),INDEX(Aux_puntos!$A$2:$OJ$901,393,MATCH($B$2&amp;"|yI",Aux_puntos!$1:$1,0))),NA())</f>
        <v>#N/A</v>
      </c>
      <c r="AI397" t="e">
        <f>IFERROR(IF(INDEX(Aux_puntos!$A$2:$OJ$901,393,MATCH($B$2&amp;"|xN",Aux_puntos!$1:$1,0))="",NA(),INDEX(Aux_puntos!$A$2:$OJ$901,393,MATCH($B$2&amp;"|xN",Aux_puntos!$1:$1,0))),NA())</f>
        <v>#N/A</v>
      </c>
      <c r="AJ397" t="e">
        <f>IFERROR(IF(INDEX(Aux_puntos!$A$2:$OJ$901,393,MATCH($B$2&amp;"|yN",Aux_puntos!$1:$1,0))="",NA(),INDEX(Aux_puntos!$A$2:$OJ$901,393,MATCH($B$2&amp;"|yN",Aux_puntos!$1:$1,0))),NA())</f>
        <v>#N/A</v>
      </c>
    </row>
    <row r="398" spans="29:36" x14ac:dyDescent="0.3">
      <c r="AC398" t="e">
        <f>IFERROR(IF(INDEX(Aux_puntos!$A$2:$OJ$901,394,MATCH($B$2&amp;"|xK",Aux_puntos!$1:$1,0))="",NA(),INDEX(Aux_puntos!$A$2:$OJ$901,394,MATCH($B$2&amp;"|xK",Aux_puntos!$1:$1,0))),NA())</f>
        <v>#N/A</v>
      </c>
      <c r="AD398" t="e">
        <f>IFERROR(IF(INDEX(Aux_puntos!$A$2:$OJ$901,394,MATCH($B$2&amp;"|yK",Aux_puntos!$1:$1,0))="",NA(),INDEX(Aux_puntos!$A$2:$OJ$901,394,MATCH($B$2&amp;"|yK",Aux_puntos!$1:$1,0))),NA())</f>
        <v>#N/A</v>
      </c>
      <c r="AE398" t="e">
        <f>IFERROR(IF(INDEX(Aux_puntos!$A$2:$OJ$901,394,MATCH($B$2&amp;"|xC",Aux_puntos!$1:$1,0))="",NA(),INDEX(Aux_puntos!$A$2:$OJ$901,394,MATCH($B$2&amp;"|xC",Aux_puntos!$1:$1,0))),NA())</f>
        <v>#N/A</v>
      </c>
      <c r="AF398" t="e">
        <f>IFERROR(IF(INDEX(Aux_puntos!$A$2:$OJ$901,394,MATCH($B$2&amp;"|yC",Aux_puntos!$1:$1,0))="",NA(),INDEX(Aux_puntos!$A$2:$OJ$901,394,MATCH($B$2&amp;"|yC",Aux_puntos!$1:$1,0))),NA())</f>
        <v>#N/A</v>
      </c>
      <c r="AG398" t="e">
        <f>IFERROR(IF(INDEX(Aux_puntos!$A$2:$OJ$901,394,MATCH($B$2&amp;"|xI",Aux_puntos!$1:$1,0))="",NA(),INDEX(Aux_puntos!$A$2:$OJ$901,394,MATCH($B$2&amp;"|xI",Aux_puntos!$1:$1,0))),NA())</f>
        <v>#N/A</v>
      </c>
      <c r="AH398" t="e">
        <f>IFERROR(IF(INDEX(Aux_puntos!$A$2:$OJ$901,394,MATCH($B$2&amp;"|yI",Aux_puntos!$1:$1,0))="",NA(),INDEX(Aux_puntos!$A$2:$OJ$901,394,MATCH($B$2&amp;"|yI",Aux_puntos!$1:$1,0))),NA())</f>
        <v>#N/A</v>
      </c>
      <c r="AI398" t="e">
        <f>IFERROR(IF(INDEX(Aux_puntos!$A$2:$OJ$901,394,MATCH($B$2&amp;"|xN",Aux_puntos!$1:$1,0))="",NA(),INDEX(Aux_puntos!$A$2:$OJ$901,394,MATCH($B$2&amp;"|xN",Aux_puntos!$1:$1,0))),NA())</f>
        <v>#N/A</v>
      </c>
      <c r="AJ398" t="e">
        <f>IFERROR(IF(INDEX(Aux_puntos!$A$2:$OJ$901,394,MATCH($B$2&amp;"|yN",Aux_puntos!$1:$1,0))="",NA(),INDEX(Aux_puntos!$A$2:$OJ$901,394,MATCH($B$2&amp;"|yN",Aux_puntos!$1:$1,0))),NA())</f>
        <v>#N/A</v>
      </c>
    </row>
    <row r="399" spans="29:36" x14ac:dyDescent="0.3">
      <c r="AC399" t="e">
        <f>IFERROR(IF(INDEX(Aux_puntos!$A$2:$OJ$901,395,MATCH($B$2&amp;"|xK",Aux_puntos!$1:$1,0))="",NA(),INDEX(Aux_puntos!$A$2:$OJ$901,395,MATCH($B$2&amp;"|xK",Aux_puntos!$1:$1,0))),NA())</f>
        <v>#N/A</v>
      </c>
      <c r="AD399" t="e">
        <f>IFERROR(IF(INDEX(Aux_puntos!$A$2:$OJ$901,395,MATCH($B$2&amp;"|yK",Aux_puntos!$1:$1,0))="",NA(),INDEX(Aux_puntos!$A$2:$OJ$901,395,MATCH($B$2&amp;"|yK",Aux_puntos!$1:$1,0))),NA())</f>
        <v>#N/A</v>
      </c>
      <c r="AE399" t="e">
        <f>IFERROR(IF(INDEX(Aux_puntos!$A$2:$OJ$901,395,MATCH($B$2&amp;"|xC",Aux_puntos!$1:$1,0))="",NA(),INDEX(Aux_puntos!$A$2:$OJ$901,395,MATCH($B$2&amp;"|xC",Aux_puntos!$1:$1,0))),NA())</f>
        <v>#N/A</v>
      </c>
      <c r="AF399" t="e">
        <f>IFERROR(IF(INDEX(Aux_puntos!$A$2:$OJ$901,395,MATCH($B$2&amp;"|yC",Aux_puntos!$1:$1,0))="",NA(),INDEX(Aux_puntos!$A$2:$OJ$901,395,MATCH($B$2&amp;"|yC",Aux_puntos!$1:$1,0))),NA())</f>
        <v>#N/A</v>
      </c>
      <c r="AG399" t="e">
        <f>IFERROR(IF(INDEX(Aux_puntos!$A$2:$OJ$901,395,MATCH($B$2&amp;"|xI",Aux_puntos!$1:$1,0))="",NA(),INDEX(Aux_puntos!$A$2:$OJ$901,395,MATCH($B$2&amp;"|xI",Aux_puntos!$1:$1,0))),NA())</f>
        <v>#N/A</v>
      </c>
      <c r="AH399" t="e">
        <f>IFERROR(IF(INDEX(Aux_puntos!$A$2:$OJ$901,395,MATCH($B$2&amp;"|yI",Aux_puntos!$1:$1,0))="",NA(),INDEX(Aux_puntos!$A$2:$OJ$901,395,MATCH($B$2&amp;"|yI",Aux_puntos!$1:$1,0))),NA())</f>
        <v>#N/A</v>
      </c>
      <c r="AI399" t="e">
        <f>IFERROR(IF(INDEX(Aux_puntos!$A$2:$OJ$901,395,MATCH($B$2&amp;"|xN",Aux_puntos!$1:$1,0))="",NA(),INDEX(Aux_puntos!$A$2:$OJ$901,395,MATCH($B$2&amp;"|xN",Aux_puntos!$1:$1,0))),NA())</f>
        <v>#N/A</v>
      </c>
      <c r="AJ399" t="e">
        <f>IFERROR(IF(INDEX(Aux_puntos!$A$2:$OJ$901,395,MATCH($B$2&amp;"|yN",Aux_puntos!$1:$1,0))="",NA(),INDEX(Aux_puntos!$A$2:$OJ$901,395,MATCH($B$2&amp;"|yN",Aux_puntos!$1:$1,0))),NA())</f>
        <v>#N/A</v>
      </c>
    </row>
    <row r="400" spans="29:36" x14ac:dyDescent="0.3">
      <c r="AC400" t="e">
        <f>IFERROR(IF(INDEX(Aux_puntos!$A$2:$OJ$901,396,MATCH($B$2&amp;"|xK",Aux_puntos!$1:$1,0))="",NA(),INDEX(Aux_puntos!$A$2:$OJ$901,396,MATCH($B$2&amp;"|xK",Aux_puntos!$1:$1,0))),NA())</f>
        <v>#N/A</v>
      </c>
      <c r="AD400" t="e">
        <f>IFERROR(IF(INDEX(Aux_puntos!$A$2:$OJ$901,396,MATCH($B$2&amp;"|yK",Aux_puntos!$1:$1,0))="",NA(),INDEX(Aux_puntos!$A$2:$OJ$901,396,MATCH($B$2&amp;"|yK",Aux_puntos!$1:$1,0))),NA())</f>
        <v>#N/A</v>
      </c>
      <c r="AE400" t="e">
        <f>IFERROR(IF(INDEX(Aux_puntos!$A$2:$OJ$901,396,MATCH($B$2&amp;"|xC",Aux_puntos!$1:$1,0))="",NA(),INDEX(Aux_puntos!$A$2:$OJ$901,396,MATCH($B$2&amp;"|xC",Aux_puntos!$1:$1,0))),NA())</f>
        <v>#N/A</v>
      </c>
      <c r="AF400" t="e">
        <f>IFERROR(IF(INDEX(Aux_puntos!$A$2:$OJ$901,396,MATCH($B$2&amp;"|yC",Aux_puntos!$1:$1,0))="",NA(),INDEX(Aux_puntos!$A$2:$OJ$901,396,MATCH($B$2&amp;"|yC",Aux_puntos!$1:$1,0))),NA())</f>
        <v>#N/A</v>
      </c>
      <c r="AG400" t="e">
        <f>IFERROR(IF(INDEX(Aux_puntos!$A$2:$OJ$901,396,MATCH($B$2&amp;"|xI",Aux_puntos!$1:$1,0))="",NA(),INDEX(Aux_puntos!$A$2:$OJ$901,396,MATCH($B$2&amp;"|xI",Aux_puntos!$1:$1,0))),NA())</f>
        <v>#N/A</v>
      </c>
      <c r="AH400" t="e">
        <f>IFERROR(IF(INDEX(Aux_puntos!$A$2:$OJ$901,396,MATCH($B$2&amp;"|yI",Aux_puntos!$1:$1,0))="",NA(),INDEX(Aux_puntos!$A$2:$OJ$901,396,MATCH($B$2&amp;"|yI",Aux_puntos!$1:$1,0))),NA())</f>
        <v>#N/A</v>
      </c>
      <c r="AI400" t="e">
        <f>IFERROR(IF(INDEX(Aux_puntos!$A$2:$OJ$901,396,MATCH($B$2&amp;"|xN",Aux_puntos!$1:$1,0))="",NA(),INDEX(Aux_puntos!$A$2:$OJ$901,396,MATCH($B$2&amp;"|xN",Aux_puntos!$1:$1,0))),NA())</f>
        <v>#N/A</v>
      </c>
      <c r="AJ400" t="e">
        <f>IFERROR(IF(INDEX(Aux_puntos!$A$2:$OJ$901,396,MATCH($B$2&amp;"|yN",Aux_puntos!$1:$1,0))="",NA(),INDEX(Aux_puntos!$A$2:$OJ$901,396,MATCH($B$2&amp;"|yN",Aux_puntos!$1:$1,0))),NA())</f>
        <v>#N/A</v>
      </c>
    </row>
    <row r="401" spans="29:36" x14ac:dyDescent="0.3">
      <c r="AC401" t="e">
        <f>IFERROR(IF(INDEX(Aux_puntos!$A$2:$OJ$901,397,MATCH($B$2&amp;"|xK",Aux_puntos!$1:$1,0))="",NA(),INDEX(Aux_puntos!$A$2:$OJ$901,397,MATCH($B$2&amp;"|xK",Aux_puntos!$1:$1,0))),NA())</f>
        <v>#N/A</v>
      </c>
      <c r="AD401" t="e">
        <f>IFERROR(IF(INDEX(Aux_puntos!$A$2:$OJ$901,397,MATCH($B$2&amp;"|yK",Aux_puntos!$1:$1,0))="",NA(),INDEX(Aux_puntos!$A$2:$OJ$901,397,MATCH($B$2&amp;"|yK",Aux_puntos!$1:$1,0))),NA())</f>
        <v>#N/A</v>
      </c>
      <c r="AE401" t="e">
        <f>IFERROR(IF(INDEX(Aux_puntos!$A$2:$OJ$901,397,MATCH($B$2&amp;"|xC",Aux_puntos!$1:$1,0))="",NA(),INDEX(Aux_puntos!$A$2:$OJ$901,397,MATCH($B$2&amp;"|xC",Aux_puntos!$1:$1,0))),NA())</f>
        <v>#N/A</v>
      </c>
      <c r="AF401" t="e">
        <f>IFERROR(IF(INDEX(Aux_puntos!$A$2:$OJ$901,397,MATCH($B$2&amp;"|yC",Aux_puntos!$1:$1,0))="",NA(),INDEX(Aux_puntos!$A$2:$OJ$901,397,MATCH($B$2&amp;"|yC",Aux_puntos!$1:$1,0))),NA())</f>
        <v>#N/A</v>
      </c>
      <c r="AG401" t="e">
        <f>IFERROR(IF(INDEX(Aux_puntos!$A$2:$OJ$901,397,MATCH($B$2&amp;"|xI",Aux_puntos!$1:$1,0))="",NA(),INDEX(Aux_puntos!$A$2:$OJ$901,397,MATCH($B$2&amp;"|xI",Aux_puntos!$1:$1,0))),NA())</f>
        <v>#N/A</v>
      </c>
      <c r="AH401" t="e">
        <f>IFERROR(IF(INDEX(Aux_puntos!$A$2:$OJ$901,397,MATCH($B$2&amp;"|yI",Aux_puntos!$1:$1,0))="",NA(),INDEX(Aux_puntos!$A$2:$OJ$901,397,MATCH($B$2&amp;"|yI",Aux_puntos!$1:$1,0))),NA())</f>
        <v>#N/A</v>
      </c>
      <c r="AI401" t="e">
        <f>IFERROR(IF(INDEX(Aux_puntos!$A$2:$OJ$901,397,MATCH($B$2&amp;"|xN",Aux_puntos!$1:$1,0))="",NA(),INDEX(Aux_puntos!$A$2:$OJ$901,397,MATCH($B$2&amp;"|xN",Aux_puntos!$1:$1,0))),NA())</f>
        <v>#N/A</v>
      </c>
      <c r="AJ401" t="e">
        <f>IFERROR(IF(INDEX(Aux_puntos!$A$2:$OJ$901,397,MATCH($B$2&amp;"|yN",Aux_puntos!$1:$1,0))="",NA(),INDEX(Aux_puntos!$A$2:$OJ$901,397,MATCH($B$2&amp;"|yN",Aux_puntos!$1:$1,0))),NA())</f>
        <v>#N/A</v>
      </c>
    </row>
    <row r="402" spans="29:36" x14ac:dyDescent="0.3">
      <c r="AC402" t="e">
        <f>IFERROR(IF(INDEX(Aux_puntos!$A$2:$OJ$901,398,MATCH($B$2&amp;"|xK",Aux_puntos!$1:$1,0))="",NA(),INDEX(Aux_puntos!$A$2:$OJ$901,398,MATCH($B$2&amp;"|xK",Aux_puntos!$1:$1,0))),NA())</f>
        <v>#N/A</v>
      </c>
      <c r="AD402" t="e">
        <f>IFERROR(IF(INDEX(Aux_puntos!$A$2:$OJ$901,398,MATCH($B$2&amp;"|yK",Aux_puntos!$1:$1,0))="",NA(),INDEX(Aux_puntos!$A$2:$OJ$901,398,MATCH($B$2&amp;"|yK",Aux_puntos!$1:$1,0))),NA())</f>
        <v>#N/A</v>
      </c>
      <c r="AE402" t="e">
        <f>IFERROR(IF(INDEX(Aux_puntos!$A$2:$OJ$901,398,MATCH($B$2&amp;"|xC",Aux_puntos!$1:$1,0))="",NA(),INDEX(Aux_puntos!$A$2:$OJ$901,398,MATCH($B$2&amp;"|xC",Aux_puntos!$1:$1,0))),NA())</f>
        <v>#N/A</v>
      </c>
      <c r="AF402" t="e">
        <f>IFERROR(IF(INDEX(Aux_puntos!$A$2:$OJ$901,398,MATCH($B$2&amp;"|yC",Aux_puntos!$1:$1,0))="",NA(),INDEX(Aux_puntos!$A$2:$OJ$901,398,MATCH($B$2&amp;"|yC",Aux_puntos!$1:$1,0))),NA())</f>
        <v>#N/A</v>
      </c>
      <c r="AG402" t="e">
        <f>IFERROR(IF(INDEX(Aux_puntos!$A$2:$OJ$901,398,MATCH($B$2&amp;"|xI",Aux_puntos!$1:$1,0))="",NA(),INDEX(Aux_puntos!$A$2:$OJ$901,398,MATCH($B$2&amp;"|xI",Aux_puntos!$1:$1,0))),NA())</f>
        <v>#N/A</v>
      </c>
      <c r="AH402" t="e">
        <f>IFERROR(IF(INDEX(Aux_puntos!$A$2:$OJ$901,398,MATCH($B$2&amp;"|yI",Aux_puntos!$1:$1,0))="",NA(),INDEX(Aux_puntos!$A$2:$OJ$901,398,MATCH($B$2&amp;"|yI",Aux_puntos!$1:$1,0))),NA())</f>
        <v>#N/A</v>
      </c>
      <c r="AI402" t="e">
        <f>IFERROR(IF(INDEX(Aux_puntos!$A$2:$OJ$901,398,MATCH($B$2&amp;"|xN",Aux_puntos!$1:$1,0))="",NA(),INDEX(Aux_puntos!$A$2:$OJ$901,398,MATCH($B$2&amp;"|xN",Aux_puntos!$1:$1,0))),NA())</f>
        <v>#N/A</v>
      </c>
      <c r="AJ402" t="e">
        <f>IFERROR(IF(INDEX(Aux_puntos!$A$2:$OJ$901,398,MATCH($B$2&amp;"|yN",Aux_puntos!$1:$1,0))="",NA(),INDEX(Aux_puntos!$A$2:$OJ$901,398,MATCH($B$2&amp;"|yN",Aux_puntos!$1:$1,0))),NA())</f>
        <v>#N/A</v>
      </c>
    </row>
    <row r="403" spans="29:36" x14ac:dyDescent="0.3">
      <c r="AC403" t="e">
        <f>IFERROR(IF(INDEX(Aux_puntos!$A$2:$OJ$901,399,MATCH($B$2&amp;"|xK",Aux_puntos!$1:$1,0))="",NA(),INDEX(Aux_puntos!$A$2:$OJ$901,399,MATCH($B$2&amp;"|xK",Aux_puntos!$1:$1,0))),NA())</f>
        <v>#N/A</v>
      </c>
      <c r="AD403" t="e">
        <f>IFERROR(IF(INDEX(Aux_puntos!$A$2:$OJ$901,399,MATCH($B$2&amp;"|yK",Aux_puntos!$1:$1,0))="",NA(),INDEX(Aux_puntos!$A$2:$OJ$901,399,MATCH($B$2&amp;"|yK",Aux_puntos!$1:$1,0))),NA())</f>
        <v>#N/A</v>
      </c>
      <c r="AE403" t="e">
        <f>IFERROR(IF(INDEX(Aux_puntos!$A$2:$OJ$901,399,MATCH($B$2&amp;"|xC",Aux_puntos!$1:$1,0))="",NA(),INDEX(Aux_puntos!$A$2:$OJ$901,399,MATCH($B$2&amp;"|xC",Aux_puntos!$1:$1,0))),NA())</f>
        <v>#N/A</v>
      </c>
      <c r="AF403" t="e">
        <f>IFERROR(IF(INDEX(Aux_puntos!$A$2:$OJ$901,399,MATCH($B$2&amp;"|yC",Aux_puntos!$1:$1,0))="",NA(),INDEX(Aux_puntos!$A$2:$OJ$901,399,MATCH($B$2&amp;"|yC",Aux_puntos!$1:$1,0))),NA())</f>
        <v>#N/A</v>
      </c>
      <c r="AG403" t="e">
        <f>IFERROR(IF(INDEX(Aux_puntos!$A$2:$OJ$901,399,MATCH($B$2&amp;"|xI",Aux_puntos!$1:$1,0))="",NA(),INDEX(Aux_puntos!$A$2:$OJ$901,399,MATCH($B$2&amp;"|xI",Aux_puntos!$1:$1,0))),NA())</f>
        <v>#N/A</v>
      </c>
      <c r="AH403" t="e">
        <f>IFERROR(IF(INDEX(Aux_puntos!$A$2:$OJ$901,399,MATCH($B$2&amp;"|yI",Aux_puntos!$1:$1,0))="",NA(),INDEX(Aux_puntos!$A$2:$OJ$901,399,MATCH($B$2&amp;"|yI",Aux_puntos!$1:$1,0))),NA())</f>
        <v>#N/A</v>
      </c>
      <c r="AI403" t="e">
        <f>IFERROR(IF(INDEX(Aux_puntos!$A$2:$OJ$901,399,MATCH($B$2&amp;"|xN",Aux_puntos!$1:$1,0))="",NA(),INDEX(Aux_puntos!$A$2:$OJ$901,399,MATCH($B$2&amp;"|xN",Aux_puntos!$1:$1,0))),NA())</f>
        <v>#N/A</v>
      </c>
      <c r="AJ403" t="e">
        <f>IFERROR(IF(INDEX(Aux_puntos!$A$2:$OJ$901,399,MATCH($B$2&amp;"|yN",Aux_puntos!$1:$1,0))="",NA(),INDEX(Aux_puntos!$A$2:$OJ$901,399,MATCH($B$2&amp;"|yN",Aux_puntos!$1:$1,0))),NA())</f>
        <v>#N/A</v>
      </c>
    </row>
    <row r="404" spans="29:36" x14ac:dyDescent="0.3">
      <c r="AC404" t="e">
        <f>IFERROR(IF(INDEX(Aux_puntos!$A$2:$OJ$901,400,MATCH($B$2&amp;"|xK",Aux_puntos!$1:$1,0))="",NA(),INDEX(Aux_puntos!$A$2:$OJ$901,400,MATCH($B$2&amp;"|xK",Aux_puntos!$1:$1,0))),NA())</f>
        <v>#N/A</v>
      </c>
      <c r="AD404" t="e">
        <f>IFERROR(IF(INDEX(Aux_puntos!$A$2:$OJ$901,400,MATCH($B$2&amp;"|yK",Aux_puntos!$1:$1,0))="",NA(),INDEX(Aux_puntos!$A$2:$OJ$901,400,MATCH($B$2&amp;"|yK",Aux_puntos!$1:$1,0))),NA())</f>
        <v>#N/A</v>
      </c>
      <c r="AE404" t="e">
        <f>IFERROR(IF(INDEX(Aux_puntos!$A$2:$OJ$901,400,MATCH($B$2&amp;"|xC",Aux_puntos!$1:$1,0))="",NA(),INDEX(Aux_puntos!$A$2:$OJ$901,400,MATCH($B$2&amp;"|xC",Aux_puntos!$1:$1,0))),NA())</f>
        <v>#N/A</v>
      </c>
      <c r="AF404" t="e">
        <f>IFERROR(IF(INDEX(Aux_puntos!$A$2:$OJ$901,400,MATCH($B$2&amp;"|yC",Aux_puntos!$1:$1,0))="",NA(),INDEX(Aux_puntos!$A$2:$OJ$901,400,MATCH($B$2&amp;"|yC",Aux_puntos!$1:$1,0))),NA())</f>
        <v>#N/A</v>
      </c>
      <c r="AG404" t="e">
        <f>IFERROR(IF(INDEX(Aux_puntos!$A$2:$OJ$901,400,MATCH($B$2&amp;"|xI",Aux_puntos!$1:$1,0))="",NA(),INDEX(Aux_puntos!$A$2:$OJ$901,400,MATCH($B$2&amp;"|xI",Aux_puntos!$1:$1,0))),NA())</f>
        <v>#N/A</v>
      </c>
      <c r="AH404" t="e">
        <f>IFERROR(IF(INDEX(Aux_puntos!$A$2:$OJ$901,400,MATCH($B$2&amp;"|yI",Aux_puntos!$1:$1,0))="",NA(),INDEX(Aux_puntos!$A$2:$OJ$901,400,MATCH($B$2&amp;"|yI",Aux_puntos!$1:$1,0))),NA())</f>
        <v>#N/A</v>
      </c>
      <c r="AI404" t="e">
        <f>IFERROR(IF(INDEX(Aux_puntos!$A$2:$OJ$901,400,MATCH($B$2&amp;"|xN",Aux_puntos!$1:$1,0))="",NA(),INDEX(Aux_puntos!$A$2:$OJ$901,400,MATCH($B$2&amp;"|xN",Aux_puntos!$1:$1,0))),NA())</f>
        <v>#N/A</v>
      </c>
      <c r="AJ404" t="e">
        <f>IFERROR(IF(INDEX(Aux_puntos!$A$2:$OJ$901,400,MATCH($B$2&amp;"|yN",Aux_puntos!$1:$1,0))="",NA(),INDEX(Aux_puntos!$A$2:$OJ$901,400,MATCH($B$2&amp;"|yN",Aux_puntos!$1:$1,0))),NA())</f>
        <v>#N/A</v>
      </c>
    </row>
    <row r="405" spans="29:36" x14ac:dyDescent="0.3">
      <c r="AC405" t="e">
        <f>IFERROR(IF(INDEX(Aux_puntos!$A$2:$OJ$901,401,MATCH($B$2&amp;"|xK",Aux_puntos!$1:$1,0))="",NA(),INDEX(Aux_puntos!$A$2:$OJ$901,401,MATCH($B$2&amp;"|xK",Aux_puntos!$1:$1,0))),NA())</f>
        <v>#N/A</v>
      </c>
      <c r="AD405" t="e">
        <f>IFERROR(IF(INDEX(Aux_puntos!$A$2:$OJ$901,401,MATCH($B$2&amp;"|yK",Aux_puntos!$1:$1,0))="",NA(),INDEX(Aux_puntos!$A$2:$OJ$901,401,MATCH($B$2&amp;"|yK",Aux_puntos!$1:$1,0))),NA())</f>
        <v>#N/A</v>
      </c>
      <c r="AE405" t="e">
        <f>IFERROR(IF(INDEX(Aux_puntos!$A$2:$OJ$901,401,MATCH($B$2&amp;"|xC",Aux_puntos!$1:$1,0))="",NA(),INDEX(Aux_puntos!$A$2:$OJ$901,401,MATCH($B$2&amp;"|xC",Aux_puntos!$1:$1,0))),NA())</f>
        <v>#N/A</v>
      </c>
      <c r="AF405" t="e">
        <f>IFERROR(IF(INDEX(Aux_puntos!$A$2:$OJ$901,401,MATCH($B$2&amp;"|yC",Aux_puntos!$1:$1,0))="",NA(),INDEX(Aux_puntos!$A$2:$OJ$901,401,MATCH($B$2&amp;"|yC",Aux_puntos!$1:$1,0))),NA())</f>
        <v>#N/A</v>
      </c>
      <c r="AG405" t="e">
        <f>IFERROR(IF(INDEX(Aux_puntos!$A$2:$OJ$901,401,MATCH($B$2&amp;"|xI",Aux_puntos!$1:$1,0))="",NA(),INDEX(Aux_puntos!$A$2:$OJ$901,401,MATCH($B$2&amp;"|xI",Aux_puntos!$1:$1,0))),NA())</f>
        <v>#N/A</v>
      </c>
      <c r="AH405" t="e">
        <f>IFERROR(IF(INDEX(Aux_puntos!$A$2:$OJ$901,401,MATCH($B$2&amp;"|yI",Aux_puntos!$1:$1,0))="",NA(),INDEX(Aux_puntos!$A$2:$OJ$901,401,MATCH($B$2&amp;"|yI",Aux_puntos!$1:$1,0))),NA())</f>
        <v>#N/A</v>
      </c>
      <c r="AI405" t="e">
        <f>IFERROR(IF(INDEX(Aux_puntos!$A$2:$OJ$901,401,MATCH($B$2&amp;"|xN",Aux_puntos!$1:$1,0))="",NA(),INDEX(Aux_puntos!$A$2:$OJ$901,401,MATCH($B$2&amp;"|xN",Aux_puntos!$1:$1,0))),NA())</f>
        <v>#N/A</v>
      </c>
      <c r="AJ405" t="e">
        <f>IFERROR(IF(INDEX(Aux_puntos!$A$2:$OJ$901,401,MATCH($B$2&amp;"|yN",Aux_puntos!$1:$1,0))="",NA(),INDEX(Aux_puntos!$A$2:$OJ$901,401,MATCH($B$2&amp;"|yN",Aux_puntos!$1:$1,0))),NA())</f>
        <v>#N/A</v>
      </c>
    </row>
    <row r="406" spans="29:36" x14ac:dyDescent="0.3">
      <c r="AC406" t="e">
        <f>IFERROR(IF(INDEX(Aux_puntos!$A$2:$OJ$901,402,MATCH($B$2&amp;"|xK",Aux_puntos!$1:$1,0))="",NA(),INDEX(Aux_puntos!$A$2:$OJ$901,402,MATCH($B$2&amp;"|xK",Aux_puntos!$1:$1,0))),NA())</f>
        <v>#N/A</v>
      </c>
      <c r="AD406" t="e">
        <f>IFERROR(IF(INDEX(Aux_puntos!$A$2:$OJ$901,402,MATCH($B$2&amp;"|yK",Aux_puntos!$1:$1,0))="",NA(),INDEX(Aux_puntos!$A$2:$OJ$901,402,MATCH($B$2&amp;"|yK",Aux_puntos!$1:$1,0))),NA())</f>
        <v>#N/A</v>
      </c>
      <c r="AE406" t="e">
        <f>IFERROR(IF(INDEX(Aux_puntos!$A$2:$OJ$901,402,MATCH($B$2&amp;"|xC",Aux_puntos!$1:$1,0))="",NA(),INDEX(Aux_puntos!$A$2:$OJ$901,402,MATCH($B$2&amp;"|xC",Aux_puntos!$1:$1,0))),NA())</f>
        <v>#N/A</v>
      </c>
      <c r="AF406" t="e">
        <f>IFERROR(IF(INDEX(Aux_puntos!$A$2:$OJ$901,402,MATCH($B$2&amp;"|yC",Aux_puntos!$1:$1,0))="",NA(),INDEX(Aux_puntos!$A$2:$OJ$901,402,MATCH($B$2&amp;"|yC",Aux_puntos!$1:$1,0))),NA())</f>
        <v>#N/A</v>
      </c>
      <c r="AG406" t="e">
        <f>IFERROR(IF(INDEX(Aux_puntos!$A$2:$OJ$901,402,MATCH($B$2&amp;"|xI",Aux_puntos!$1:$1,0))="",NA(),INDEX(Aux_puntos!$A$2:$OJ$901,402,MATCH($B$2&amp;"|xI",Aux_puntos!$1:$1,0))),NA())</f>
        <v>#N/A</v>
      </c>
      <c r="AH406" t="e">
        <f>IFERROR(IF(INDEX(Aux_puntos!$A$2:$OJ$901,402,MATCH($B$2&amp;"|yI",Aux_puntos!$1:$1,0))="",NA(),INDEX(Aux_puntos!$A$2:$OJ$901,402,MATCH($B$2&amp;"|yI",Aux_puntos!$1:$1,0))),NA())</f>
        <v>#N/A</v>
      </c>
      <c r="AI406" t="e">
        <f>IFERROR(IF(INDEX(Aux_puntos!$A$2:$OJ$901,402,MATCH($B$2&amp;"|xN",Aux_puntos!$1:$1,0))="",NA(),INDEX(Aux_puntos!$A$2:$OJ$901,402,MATCH($B$2&amp;"|xN",Aux_puntos!$1:$1,0))),NA())</f>
        <v>#N/A</v>
      </c>
      <c r="AJ406" t="e">
        <f>IFERROR(IF(INDEX(Aux_puntos!$A$2:$OJ$901,402,MATCH($B$2&amp;"|yN",Aux_puntos!$1:$1,0))="",NA(),INDEX(Aux_puntos!$A$2:$OJ$901,402,MATCH($B$2&amp;"|yN",Aux_puntos!$1:$1,0))),NA())</f>
        <v>#N/A</v>
      </c>
    </row>
    <row r="407" spans="29:36" x14ac:dyDescent="0.3">
      <c r="AC407" t="e">
        <f>IFERROR(IF(INDEX(Aux_puntos!$A$2:$OJ$901,403,MATCH($B$2&amp;"|xK",Aux_puntos!$1:$1,0))="",NA(),INDEX(Aux_puntos!$A$2:$OJ$901,403,MATCH($B$2&amp;"|xK",Aux_puntos!$1:$1,0))),NA())</f>
        <v>#N/A</v>
      </c>
      <c r="AD407" t="e">
        <f>IFERROR(IF(INDEX(Aux_puntos!$A$2:$OJ$901,403,MATCH($B$2&amp;"|yK",Aux_puntos!$1:$1,0))="",NA(),INDEX(Aux_puntos!$A$2:$OJ$901,403,MATCH($B$2&amp;"|yK",Aux_puntos!$1:$1,0))),NA())</f>
        <v>#N/A</v>
      </c>
      <c r="AE407" t="e">
        <f>IFERROR(IF(INDEX(Aux_puntos!$A$2:$OJ$901,403,MATCH($B$2&amp;"|xC",Aux_puntos!$1:$1,0))="",NA(),INDEX(Aux_puntos!$A$2:$OJ$901,403,MATCH($B$2&amp;"|xC",Aux_puntos!$1:$1,0))),NA())</f>
        <v>#N/A</v>
      </c>
      <c r="AF407" t="e">
        <f>IFERROR(IF(INDEX(Aux_puntos!$A$2:$OJ$901,403,MATCH($B$2&amp;"|yC",Aux_puntos!$1:$1,0))="",NA(),INDEX(Aux_puntos!$A$2:$OJ$901,403,MATCH($B$2&amp;"|yC",Aux_puntos!$1:$1,0))),NA())</f>
        <v>#N/A</v>
      </c>
      <c r="AG407" t="e">
        <f>IFERROR(IF(INDEX(Aux_puntos!$A$2:$OJ$901,403,MATCH($B$2&amp;"|xI",Aux_puntos!$1:$1,0))="",NA(),INDEX(Aux_puntos!$A$2:$OJ$901,403,MATCH($B$2&amp;"|xI",Aux_puntos!$1:$1,0))),NA())</f>
        <v>#N/A</v>
      </c>
      <c r="AH407" t="e">
        <f>IFERROR(IF(INDEX(Aux_puntos!$A$2:$OJ$901,403,MATCH($B$2&amp;"|yI",Aux_puntos!$1:$1,0))="",NA(),INDEX(Aux_puntos!$A$2:$OJ$901,403,MATCH($B$2&amp;"|yI",Aux_puntos!$1:$1,0))),NA())</f>
        <v>#N/A</v>
      </c>
      <c r="AI407" t="e">
        <f>IFERROR(IF(INDEX(Aux_puntos!$A$2:$OJ$901,403,MATCH($B$2&amp;"|xN",Aux_puntos!$1:$1,0))="",NA(),INDEX(Aux_puntos!$A$2:$OJ$901,403,MATCH($B$2&amp;"|xN",Aux_puntos!$1:$1,0))),NA())</f>
        <v>#N/A</v>
      </c>
      <c r="AJ407" t="e">
        <f>IFERROR(IF(INDEX(Aux_puntos!$A$2:$OJ$901,403,MATCH($B$2&amp;"|yN",Aux_puntos!$1:$1,0))="",NA(),INDEX(Aux_puntos!$A$2:$OJ$901,403,MATCH($B$2&amp;"|yN",Aux_puntos!$1:$1,0))),NA())</f>
        <v>#N/A</v>
      </c>
    </row>
    <row r="408" spans="29:36" x14ac:dyDescent="0.3">
      <c r="AC408" t="e">
        <f>IFERROR(IF(INDEX(Aux_puntos!$A$2:$OJ$901,404,MATCH($B$2&amp;"|xK",Aux_puntos!$1:$1,0))="",NA(),INDEX(Aux_puntos!$A$2:$OJ$901,404,MATCH($B$2&amp;"|xK",Aux_puntos!$1:$1,0))),NA())</f>
        <v>#N/A</v>
      </c>
      <c r="AD408" t="e">
        <f>IFERROR(IF(INDEX(Aux_puntos!$A$2:$OJ$901,404,MATCH($B$2&amp;"|yK",Aux_puntos!$1:$1,0))="",NA(),INDEX(Aux_puntos!$A$2:$OJ$901,404,MATCH($B$2&amp;"|yK",Aux_puntos!$1:$1,0))),NA())</f>
        <v>#N/A</v>
      </c>
      <c r="AE408" t="e">
        <f>IFERROR(IF(INDEX(Aux_puntos!$A$2:$OJ$901,404,MATCH($B$2&amp;"|xC",Aux_puntos!$1:$1,0))="",NA(),INDEX(Aux_puntos!$A$2:$OJ$901,404,MATCH($B$2&amp;"|xC",Aux_puntos!$1:$1,0))),NA())</f>
        <v>#N/A</v>
      </c>
      <c r="AF408" t="e">
        <f>IFERROR(IF(INDEX(Aux_puntos!$A$2:$OJ$901,404,MATCH($B$2&amp;"|yC",Aux_puntos!$1:$1,0))="",NA(),INDEX(Aux_puntos!$A$2:$OJ$901,404,MATCH($B$2&amp;"|yC",Aux_puntos!$1:$1,0))),NA())</f>
        <v>#N/A</v>
      </c>
      <c r="AG408" t="e">
        <f>IFERROR(IF(INDEX(Aux_puntos!$A$2:$OJ$901,404,MATCH($B$2&amp;"|xI",Aux_puntos!$1:$1,0))="",NA(),INDEX(Aux_puntos!$A$2:$OJ$901,404,MATCH($B$2&amp;"|xI",Aux_puntos!$1:$1,0))),NA())</f>
        <v>#N/A</v>
      </c>
      <c r="AH408" t="e">
        <f>IFERROR(IF(INDEX(Aux_puntos!$A$2:$OJ$901,404,MATCH($B$2&amp;"|yI",Aux_puntos!$1:$1,0))="",NA(),INDEX(Aux_puntos!$A$2:$OJ$901,404,MATCH($B$2&amp;"|yI",Aux_puntos!$1:$1,0))),NA())</f>
        <v>#N/A</v>
      </c>
      <c r="AI408" t="e">
        <f>IFERROR(IF(INDEX(Aux_puntos!$A$2:$OJ$901,404,MATCH($B$2&amp;"|xN",Aux_puntos!$1:$1,0))="",NA(),INDEX(Aux_puntos!$A$2:$OJ$901,404,MATCH($B$2&amp;"|xN",Aux_puntos!$1:$1,0))),NA())</f>
        <v>#N/A</v>
      </c>
      <c r="AJ408" t="e">
        <f>IFERROR(IF(INDEX(Aux_puntos!$A$2:$OJ$901,404,MATCH($B$2&amp;"|yN",Aux_puntos!$1:$1,0))="",NA(),INDEX(Aux_puntos!$A$2:$OJ$901,404,MATCH($B$2&amp;"|yN",Aux_puntos!$1:$1,0))),NA())</f>
        <v>#N/A</v>
      </c>
    </row>
    <row r="409" spans="29:36" x14ac:dyDescent="0.3">
      <c r="AC409" t="e">
        <f>IFERROR(IF(INDEX(Aux_puntos!$A$2:$OJ$901,405,MATCH($B$2&amp;"|xK",Aux_puntos!$1:$1,0))="",NA(),INDEX(Aux_puntos!$A$2:$OJ$901,405,MATCH($B$2&amp;"|xK",Aux_puntos!$1:$1,0))),NA())</f>
        <v>#N/A</v>
      </c>
      <c r="AD409" t="e">
        <f>IFERROR(IF(INDEX(Aux_puntos!$A$2:$OJ$901,405,MATCH($B$2&amp;"|yK",Aux_puntos!$1:$1,0))="",NA(),INDEX(Aux_puntos!$A$2:$OJ$901,405,MATCH($B$2&amp;"|yK",Aux_puntos!$1:$1,0))),NA())</f>
        <v>#N/A</v>
      </c>
      <c r="AE409" t="e">
        <f>IFERROR(IF(INDEX(Aux_puntos!$A$2:$OJ$901,405,MATCH($B$2&amp;"|xC",Aux_puntos!$1:$1,0))="",NA(),INDEX(Aux_puntos!$A$2:$OJ$901,405,MATCH($B$2&amp;"|xC",Aux_puntos!$1:$1,0))),NA())</f>
        <v>#N/A</v>
      </c>
      <c r="AF409" t="e">
        <f>IFERROR(IF(INDEX(Aux_puntos!$A$2:$OJ$901,405,MATCH($B$2&amp;"|yC",Aux_puntos!$1:$1,0))="",NA(),INDEX(Aux_puntos!$A$2:$OJ$901,405,MATCH($B$2&amp;"|yC",Aux_puntos!$1:$1,0))),NA())</f>
        <v>#N/A</v>
      </c>
      <c r="AG409" t="e">
        <f>IFERROR(IF(INDEX(Aux_puntos!$A$2:$OJ$901,405,MATCH($B$2&amp;"|xI",Aux_puntos!$1:$1,0))="",NA(),INDEX(Aux_puntos!$A$2:$OJ$901,405,MATCH($B$2&amp;"|xI",Aux_puntos!$1:$1,0))),NA())</f>
        <v>#N/A</v>
      </c>
      <c r="AH409" t="e">
        <f>IFERROR(IF(INDEX(Aux_puntos!$A$2:$OJ$901,405,MATCH($B$2&amp;"|yI",Aux_puntos!$1:$1,0))="",NA(),INDEX(Aux_puntos!$A$2:$OJ$901,405,MATCH($B$2&amp;"|yI",Aux_puntos!$1:$1,0))),NA())</f>
        <v>#N/A</v>
      </c>
      <c r="AI409" t="e">
        <f>IFERROR(IF(INDEX(Aux_puntos!$A$2:$OJ$901,405,MATCH($B$2&amp;"|xN",Aux_puntos!$1:$1,0))="",NA(),INDEX(Aux_puntos!$A$2:$OJ$901,405,MATCH($B$2&amp;"|xN",Aux_puntos!$1:$1,0))),NA())</f>
        <v>#N/A</v>
      </c>
      <c r="AJ409" t="e">
        <f>IFERROR(IF(INDEX(Aux_puntos!$A$2:$OJ$901,405,MATCH($B$2&amp;"|yN",Aux_puntos!$1:$1,0))="",NA(),INDEX(Aux_puntos!$A$2:$OJ$901,405,MATCH($B$2&amp;"|yN",Aux_puntos!$1:$1,0))),NA())</f>
        <v>#N/A</v>
      </c>
    </row>
    <row r="410" spans="29:36" x14ac:dyDescent="0.3">
      <c r="AC410" t="e">
        <f>IFERROR(IF(INDEX(Aux_puntos!$A$2:$OJ$901,406,MATCH($B$2&amp;"|xK",Aux_puntos!$1:$1,0))="",NA(),INDEX(Aux_puntos!$A$2:$OJ$901,406,MATCH($B$2&amp;"|xK",Aux_puntos!$1:$1,0))),NA())</f>
        <v>#N/A</v>
      </c>
      <c r="AD410" t="e">
        <f>IFERROR(IF(INDEX(Aux_puntos!$A$2:$OJ$901,406,MATCH($B$2&amp;"|yK",Aux_puntos!$1:$1,0))="",NA(),INDEX(Aux_puntos!$A$2:$OJ$901,406,MATCH($B$2&amp;"|yK",Aux_puntos!$1:$1,0))),NA())</f>
        <v>#N/A</v>
      </c>
      <c r="AE410" t="e">
        <f>IFERROR(IF(INDEX(Aux_puntos!$A$2:$OJ$901,406,MATCH($B$2&amp;"|xC",Aux_puntos!$1:$1,0))="",NA(),INDEX(Aux_puntos!$A$2:$OJ$901,406,MATCH($B$2&amp;"|xC",Aux_puntos!$1:$1,0))),NA())</f>
        <v>#N/A</v>
      </c>
      <c r="AF410" t="e">
        <f>IFERROR(IF(INDEX(Aux_puntos!$A$2:$OJ$901,406,MATCH($B$2&amp;"|yC",Aux_puntos!$1:$1,0))="",NA(),INDEX(Aux_puntos!$A$2:$OJ$901,406,MATCH($B$2&amp;"|yC",Aux_puntos!$1:$1,0))),NA())</f>
        <v>#N/A</v>
      </c>
      <c r="AG410" t="e">
        <f>IFERROR(IF(INDEX(Aux_puntos!$A$2:$OJ$901,406,MATCH($B$2&amp;"|xI",Aux_puntos!$1:$1,0))="",NA(),INDEX(Aux_puntos!$A$2:$OJ$901,406,MATCH($B$2&amp;"|xI",Aux_puntos!$1:$1,0))),NA())</f>
        <v>#N/A</v>
      </c>
      <c r="AH410" t="e">
        <f>IFERROR(IF(INDEX(Aux_puntos!$A$2:$OJ$901,406,MATCH($B$2&amp;"|yI",Aux_puntos!$1:$1,0))="",NA(),INDEX(Aux_puntos!$A$2:$OJ$901,406,MATCH($B$2&amp;"|yI",Aux_puntos!$1:$1,0))),NA())</f>
        <v>#N/A</v>
      </c>
      <c r="AI410" t="e">
        <f>IFERROR(IF(INDEX(Aux_puntos!$A$2:$OJ$901,406,MATCH($B$2&amp;"|xN",Aux_puntos!$1:$1,0))="",NA(),INDEX(Aux_puntos!$A$2:$OJ$901,406,MATCH($B$2&amp;"|xN",Aux_puntos!$1:$1,0))),NA())</f>
        <v>#N/A</v>
      </c>
      <c r="AJ410" t="e">
        <f>IFERROR(IF(INDEX(Aux_puntos!$A$2:$OJ$901,406,MATCH($B$2&amp;"|yN",Aux_puntos!$1:$1,0))="",NA(),INDEX(Aux_puntos!$A$2:$OJ$901,406,MATCH($B$2&amp;"|yN",Aux_puntos!$1:$1,0))),NA())</f>
        <v>#N/A</v>
      </c>
    </row>
    <row r="411" spans="29:36" x14ac:dyDescent="0.3">
      <c r="AC411" t="e">
        <f>IFERROR(IF(INDEX(Aux_puntos!$A$2:$OJ$901,407,MATCH($B$2&amp;"|xK",Aux_puntos!$1:$1,0))="",NA(),INDEX(Aux_puntos!$A$2:$OJ$901,407,MATCH($B$2&amp;"|xK",Aux_puntos!$1:$1,0))),NA())</f>
        <v>#N/A</v>
      </c>
      <c r="AD411" t="e">
        <f>IFERROR(IF(INDEX(Aux_puntos!$A$2:$OJ$901,407,MATCH($B$2&amp;"|yK",Aux_puntos!$1:$1,0))="",NA(),INDEX(Aux_puntos!$A$2:$OJ$901,407,MATCH($B$2&amp;"|yK",Aux_puntos!$1:$1,0))),NA())</f>
        <v>#N/A</v>
      </c>
      <c r="AE411" t="e">
        <f>IFERROR(IF(INDEX(Aux_puntos!$A$2:$OJ$901,407,MATCH($B$2&amp;"|xC",Aux_puntos!$1:$1,0))="",NA(),INDEX(Aux_puntos!$A$2:$OJ$901,407,MATCH($B$2&amp;"|xC",Aux_puntos!$1:$1,0))),NA())</f>
        <v>#N/A</v>
      </c>
      <c r="AF411" t="e">
        <f>IFERROR(IF(INDEX(Aux_puntos!$A$2:$OJ$901,407,MATCH($B$2&amp;"|yC",Aux_puntos!$1:$1,0))="",NA(),INDEX(Aux_puntos!$A$2:$OJ$901,407,MATCH($B$2&amp;"|yC",Aux_puntos!$1:$1,0))),NA())</f>
        <v>#N/A</v>
      </c>
      <c r="AG411" t="e">
        <f>IFERROR(IF(INDEX(Aux_puntos!$A$2:$OJ$901,407,MATCH($B$2&amp;"|xI",Aux_puntos!$1:$1,0))="",NA(),INDEX(Aux_puntos!$A$2:$OJ$901,407,MATCH($B$2&amp;"|xI",Aux_puntos!$1:$1,0))),NA())</f>
        <v>#N/A</v>
      </c>
      <c r="AH411" t="e">
        <f>IFERROR(IF(INDEX(Aux_puntos!$A$2:$OJ$901,407,MATCH($B$2&amp;"|yI",Aux_puntos!$1:$1,0))="",NA(),INDEX(Aux_puntos!$A$2:$OJ$901,407,MATCH($B$2&amp;"|yI",Aux_puntos!$1:$1,0))),NA())</f>
        <v>#N/A</v>
      </c>
      <c r="AI411" t="e">
        <f>IFERROR(IF(INDEX(Aux_puntos!$A$2:$OJ$901,407,MATCH($B$2&amp;"|xN",Aux_puntos!$1:$1,0))="",NA(),INDEX(Aux_puntos!$A$2:$OJ$901,407,MATCH($B$2&amp;"|xN",Aux_puntos!$1:$1,0))),NA())</f>
        <v>#N/A</v>
      </c>
      <c r="AJ411" t="e">
        <f>IFERROR(IF(INDEX(Aux_puntos!$A$2:$OJ$901,407,MATCH($B$2&amp;"|yN",Aux_puntos!$1:$1,0))="",NA(),INDEX(Aux_puntos!$A$2:$OJ$901,407,MATCH($B$2&amp;"|yN",Aux_puntos!$1:$1,0))),NA())</f>
        <v>#N/A</v>
      </c>
    </row>
    <row r="412" spans="29:36" x14ac:dyDescent="0.3">
      <c r="AC412" t="e">
        <f>IFERROR(IF(INDEX(Aux_puntos!$A$2:$OJ$901,408,MATCH($B$2&amp;"|xK",Aux_puntos!$1:$1,0))="",NA(),INDEX(Aux_puntos!$A$2:$OJ$901,408,MATCH($B$2&amp;"|xK",Aux_puntos!$1:$1,0))),NA())</f>
        <v>#N/A</v>
      </c>
      <c r="AD412" t="e">
        <f>IFERROR(IF(INDEX(Aux_puntos!$A$2:$OJ$901,408,MATCH($B$2&amp;"|yK",Aux_puntos!$1:$1,0))="",NA(),INDEX(Aux_puntos!$A$2:$OJ$901,408,MATCH($B$2&amp;"|yK",Aux_puntos!$1:$1,0))),NA())</f>
        <v>#N/A</v>
      </c>
      <c r="AE412" t="e">
        <f>IFERROR(IF(INDEX(Aux_puntos!$A$2:$OJ$901,408,MATCH($B$2&amp;"|xC",Aux_puntos!$1:$1,0))="",NA(),INDEX(Aux_puntos!$A$2:$OJ$901,408,MATCH($B$2&amp;"|xC",Aux_puntos!$1:$1,0))),NA())</f>
        <v>#N/A</v>
      </c>
      <c r="AF412" t="e">
        <f>IFERROR(IF(INDEX(Aux_puntos!$A$2:$OJ$901,408,MATCH($B$2&amp;"|yC",Aux_puntos!$1:$1,0))="",NA(),INDEX(Aux_puntos!$A$2:$OJ$901,408,MATCH($B$2&amp;"|yC",Aux_puntos!$1:$1,0))),NA())</f>
        <v>#N/A</v>
      </c>
      <c r="AG412" t="e">
        <f>IFERROR(IF(INDEX(Aux_puntos!$A$2:$OJ$901,408,MATCH($B$2&amp;"|xI",Aux_puntos!$1:$1,0))="",NA(),INDEX(Aux_puntos!$A$2:$OJ$901,408,MATCH($B$2&amp;"|xI",Aux_puntos!$1:$1,0))),NA())</f>
        <v>#N/A</v>
      </c>
      <c r="AH412" t="e">
        <f>IFERROR(IF(INDEX(Aux_puntos!$A$2:$OJ$901,408,MATCH($B$2&amp;"|yI",Aux_puntos!$1:$1,0))="",NA(),INDEX(Aux_puntos!$A$2:$OJ$901,408,MATCH($B$2&amp;"|yI",Aux_puntos!$1:$1,0))),NA())</f>
        <v>#N/A</v>
      </c>
      <c r="AI412" t="e">
        <f>IFERROR(IF(INDEX(Aux_puntos!$A$2:$OJ$901,408,MATCH($B$2&amp;"|xN",Aux_puntos!$1:$1,0))="",NA(),INDEX(Aux_puntos!$A$2:$OJ$901,408,MATCH($B$2&amp;"|xN",Aux_puntos!$1:$1,0))),NA())</f>
        <v>#N/A</v>
      </c>
      <c r="AJ412" t="e">
        <f>IFERROR(IF(INDEX(Aux_puntos!$A$2:$OJ$901,408,MATCH($B$2&amp;"|yN",Aux_puntos!$1:$1,0))="",NA(),INDEX(Aux_puntos!$A$2:$OJ$901,408,MATCH($B$2&amp;"|yN",Aux_puntos!$1:$1,0))),NA())</f>
        <v>#N/A</v>
      </c>
    </row>
    <row r="413" spans="29:36" x14ac:dyDescent="0.3">
      <c r="AC413" t="e">
        <f>IFERROR(IF(INDEX(Aux_puntos!$A$2:$OJ$901,409,MATCH($B$2&amp;"|xK",Aux_puntos!$1:$1,0))="",NA(),INDEX(Aux_puntos!$A$2:$OJ$901,409,MATCH($B$2&amp;"|xK",Aux_puntos!$1:$1,0))),NA())</f>
        <v>#N/A</v>
      </c>
      <c r="AD413" t="e">
        <f>IFERROR(IF(INDEX(Aux_puntos!$A$2:$OJ$901,409,MATCH($B$2&amp;"|yK",Aux_puntos!$1:$1,0))="",NA(),INDEX(Aux_puntos!$A$2:$OJ$901,409,MATCH($B$2&amp;"|yK",Aux_puntos!$1:$1,0))),NA())</f>
        <v>#N/A</v>
      </c>
      <c r="AE413" t="e">
        <f>IFERROR(IF(INDEX(Aux_puntos!$A$2:$OJ$901,409,MATCH($B$2&amp;"|xC",Aux_puntos!$1:$1,0))="",NA(),INDEX(Aux_puntos!$A$2:$OJ$901,409,MATCH($B$2&amp;"|xC",Aux_puntos!$1:$1,0))),NA())</f>
        <v>#N/A</v>
      </c>
      <c r="AF413" t="e">
        <f>IFERROR(IF(INDEX(Aux_puntos!$A$2:$OJ$901,409,MATCH($B$2&amp;"|yC",Aux_puntos!$1:$1,0))="",NA(),INDEX(Aux_puntos!$A$2:$OJ$901,409,MATCH($B$2&amp;"|yC",Aux_puntos!$1:$1,0))),NA())</f>
        <v>#N/A</v>
      </c>
      <c r="AG413" t="e">
        <f>IFERROR(IF(INDEX(Aux_puntos!$A$2:$OJ$901,409,MATCH($B$2&amp;"|xI",Aux_puntos!$1:$1,0))="",NA(),INDEX(Aux_puntos!$A$2:$OJ$901,409,MATCH($B$2&amp;"|xI",Aux_puntos!$1:$1,0))),NA())</f>
        <v>#N/A</v>
      </c>
      <c r="AH413" t="e">
        <f>IFERROR(IF(INDEX(Aux_puntos!$A$2:$OJ$901,409,MATCH($B$2&amp;"|yI",Aux_puntos!$1:$1,0))="",NA(),INDEX(Aux_puntos!$A$2:$OJ$901,409,MATCH($B$2&amp;"|yI",Aux_puntos!$1:$1,0))),NA())</f>
        <v>#N/A</v>
      </c>
      <c r="AI413" t="e">
        <f>IFERROR(IF(INDEX(Aux_puntos!$A$2:$OJ$901,409,MATCH($B$2&amp;"|xN",Aux_puntos!$1:$1,0))="",NA(),INDEX(Aux_puntos!$A$2:$OJ$901,409,MATCH($B$2&amp;"|xN",Aux_puntos!$1:$1,0))),NA())</f>
        <v>#N/A</v>
      </c>
      <c r="AJ413" t="e">
        <f>IFERROR(IF(INDEX(Aux_puntos!$A$2:$OJ$901,409,MATCH($B$2&amp;"|yN",Aux_puntos!$1:$1,0))="",NA(),INDEX(Aux_puntos!$A$2:$OJ$901,409,MATCH($B$2&amp;"|yN",Aux_puntos!$1:$1,0))),NA())</f>
        <v>#N/A</v>
      </c>
    </row>
    <row r="414" spans="29:36" x14ac:dyDescent="0.3">
      <c r="AC414" t="e">
        <f>IFERROR(IF(INDEX(Aux_puntos!$A$2:$OJ$901,410,MATCH($B$2&amp;"|xK",Aux_puntos!$1:$1,0))="",NA(),INDEX(Aux_puntos!$A$2:$OJ$901,410,MATCH($B$2&amp;"|xK",Aux_puntos!$1:$1,0))),NA())</f>
        <v>#N/A</v>
      </c>
      <c r="AD414" t="e">
        <f>IFERROR(IF(INDEX(Aux_puntos!$A$2:$OJ$901,410,MATCH($B$2&amp;"|yK",Aux_puntos!$1:$1,0))="",NA(),INDEX(Aux_puntos!$A$2:$OJ$901,410,MATCH($B$2&amp;"|yK",Aux_puntos!$1:$1,0))),NA())</f>
        <v>#N/A</v>
      </c>
      <c r="AE414" t="e">
        <f>IFERROR(IF(INDEX(Aux_puntos!$A$2:$OJ$901,410,MATCH($B$2&amp;"|xC",Aux_puntos!$1:$1,0))="",NA(),INDEX(Aux_puntos!$A$2:$OJ$901,410,MATCH($B$2&amp;"|xC",Aux_puntos!$1:$1,0))),NA())</f>
        <v>#N/A</v>
      </c>
      <c r="AF414" t="e">
        <f>IFERROR(IF(INDEX(Aux_puntos!$A$2:$OJ$901,410,MATCH($B$2&amp;"|yC",Aux_puntos!$1:$1,0))="",NA(),INDEX(Aux_puntos!$A$2:$OJ$901,410,MATCH($B$2&amp;"|yC",Aux_puntos!$1:$1,0))),NA())</f>
        <v>#N/A</v>
      </c>
      <c r="AG414" t="e">
        <f>IFERROR(IF(INDEX(Aux_puntos!$A$2:$OJ$901,410,MATCH($B$2&amp;"|xI",Aux_puntos!$1:$1,0))="",NA(),INDEX(Aux_puntos!$A$2:$OJ$901,410,MATCH($B$2&amp;"|xI",Aux_puntos!$1:$1,0))),NA())</f>
        <v>#N/A</v>
      </c>
      <c r="AH414" t="e">
        <f>IFERROR(IF(INDEX(Aux_puntos!$A$2:$OJ$901,410,MATCH($B$2&amp;"|yI",Aux_puntos!$1:$1,0))="",NA(),INDEX(Aux_puntos!$A$2:$OJ$901,410,MATCH($B$2&amp;"|yI",Aux_puntos!$1:$1,0))),NA())</f>
        <v>#N/A</v>
      </c>
      <c r="AI414" t="e">
        <f>IFERROR(IF(INDEX(Aux_puntos!$A$2:$OJ$901,410,MATCH($B$2&amp;"|xN",Aux_puntos!$1:$1,0))="",NA(),INDEX(Aux_puntos!$A$2:$OJ$901,410,MATCH($B$2&amp;"|xN",Aux_puntos!$1:$1,0))),NA())</f>
        <v>#N/A</v>
      </c>
      <c r="AJ414" t="e">
        <f>IFERROR(IF(INDEX(Aux_puntos!$A$2:$OJ$901,410,MATCH($B$2&amp;"|yN",Aux_puntos!$1:$1,0))="",NA(),INDEX(Aux_puntos!$A$2:$OJ$901,410,MATCH($B$2&amp;"|yN",Aux_puntos!$1:$1,0))),NA())</f>
        <v>#N/A</v>
      </c>
    </row>
    <row r="415" spans="29:36" x14ac:dyDescent="0.3">
      <c r="AC415" t="e">
        <f>IFERROR(IF(INDEX(Aux_puntos!$A$2:$OJ$901,411,MATCH($B$2&amp;"|xK",Aux_puntos!$1:$1,0))="",NA(),INDEX(Aux_puntos!$A$2:$OJ$901,411,MATCH($B$2&amp;"|xK",Aux_puntos!$1:$1,0))),NA())</f>
        <v>#N/A</v>
      </c>
      <c r="AD415" t="e">
        <f>IFERROR(IF(INDEX(Aux_puntos!$A$2:$OJ$901,411,MATCH($B$2&amp;"|yK",Aux_puntos!$1:$1,0))="",NA(),INDEX(Aux_puntos!$A$2:$OJ$901,411,MATCH($B$2&amp;"|yK",Aux_puntos!$1:$1,0))),NA())</f>
        <v>#N/A</v>
      </c>
      <c r="AE415" t="e">
        <f>IFERROR(IF(INDEX(Aux_puntos!$A$2:$OJ$901,411,MATCH($B$2&amp;"|xC",Aux_puntos!$1:$1,0))="",NA(),INDEX(Aux_puntos!$A$2:$OJ$901,411,MATCH($B$2&amp;"|xC",Aux_puntos!$1:$1,0))),NA())</f>
        <v>#N/A</v>
      </c>
      <c r="AF415" t="e">
        <f>IFERROR(IF(INDEX(Aux_puntos!$A$2:$OJ$901,411,MATCH($B$2&amp;"|yC",Aux_puntos!$1:$1,0))="",NA(),INDEX(Aux_puntos!$A$2:$OJ$901,411,MATCH($B$2&amp;"|yC",Aux_puntos!$1:$1,0))),NA())</f>
        <v>#N/A</v>
      </c>
      <c r="AG415" t="e">
        <f>IFERROR(IF(INDEX(Aux_puntos!$A$2:$OJ$901,411,MATCH($B$2&amp;"|xI",Aux_puntos!$1:$1,0))="",NA(),INDEX(Aux_puntos!$A$2:$OJ$901,411,MATCH($B$2&amp;"|xI",Aux_puntos!$1:$1,0))),NA())</f>
        <v>#N/A</v>
      </c>
      <c r="AH415" t="e">
        <f>IFERROR(IF(INDEX(Aux_puntos!$A$2:$OJ$901,411,MATCH($B$2&amp;"|yI",Aux_puntos!$1:$1,0))="",NA(),INDEX(Aux_puntos!$A$2:$OJ$901,411,MATCH($B$2&amp;"|yI",Aux_puntos!$1:$1,0))),NA())</f>
        <v>#N/A</v>
      </c>
      <c r="AI415" t="e">
        <f>IFERROR(IF(INDEX(Aux_puntos!$A$2:$OJ$901,411,MATCH($B$2&amp;"|xN",Aux_puntos!$1:$1,0))="",NA(),INDEX(Aux_puntos!$A$2:$OJ$901,411,MATCH($B$2&amp;"|xN",Aux_puntos!$1:$1,0))),NA())</f>
        <v>#N/A</v>
      </c>
      <c r="AJ415" t="e">
        <f>IFERROR(IF(INDEX(Aux_puntos!$A$2:$OJ$901,411,MATCH($B$2&amp;"|yN",Aux_puntos!$1:$1,0))="",NA(),INDEX(Aux_puntos!$A$2:$OJ$901,411,MATCH($B$2&amp;"|yN",Aux_puntos!$1:$1,0))),NA())</f>
        <v>#N/A</v>
      </c>
    </row>
    <row r="416" spans="29:36" x14ac:dyDescent="0.3">
      <c r="AC416" t="e">
        <f>IFERROR(IF(INDEX(Aux_puntos!$A$2:$OJ$901,412,MATCH($B$2&amp;"|xK",Aux_puntos!$1:$1,0))="",NA(),INDEX(Aux_puntos!$A$2:$OJ$901,412,MATCH($B$2&amp;"|xK",Aux_puntos!$1:$1,0))),NA())</f>
        <v>#N/A</v>
      </c>
      <c r="AD416" t="e">
        <f>IFERROR(IF(INDEX(Aux_puntos!$A$2:$OJ$901,412,MATCH($B$2&amp;"|yK",Aux_puntos!$1:$1,0))="",NA(),INDEX(Aux_puntos!$A$2:$OJ$901,412,MATCH($B$2&amp;"|yK",Aux_puntos!$1:$1,0))),NA())</f>
        <v>#N/A</v>
      </c>
      <c r="AE416" t="e">
        <f>IFERROR(IF(INDEX(Aux_puntos!$A$2:$OJ$901,412,MATCH($B$2&amp;"|xC",Aux_puntos!$1:$1,0))="",NA(),INDEX(Aux_puntos!$A$2:$OJ$901,412,MATCH($B$2&amp;"|xC",Aux_puntos!$1:$1,0))),NA())</f>
        <v>#N/A</v>
      </c>
      <c r="AF416" t="e">
        <f>IFERROR(IF(INDEX(Aux_puntos!$A$2:$OJ$901,412,MATCH($B$2&amp;"|yC",Aux_puntos!$1:$1,0))="",NA(),INDEX(Aux_puntos!$A$2:$OJ$901,412,MATCH($B$2&amp;"|yC",Aux_puntos!$1:$1,0))),NA())</f>
        <v>#N/A</v>
      </c>
      <c r="AG416" t="e">
        <f>IFERROR(IF(INDEX(Aux_puntos!$A$2:$OJ$901,412,MATCH($B$2&amp;"|xI",Aux_puntos!$1:$1,0))="",NA(),INDEX(Aux_puntos!$A$2:$OJ$901,412,MATCH($B$2&amp;"|xI",Aux_puntos!$1:$1,0))),NA())</f>
        <v>#N/A</v>
      </c>
      <c r="AH416" t="e">
        <f>IFERROR(IF(INDEX(Aux_puntos!$A$2:$OJ$901,412,MATCH($B$2&amp;"|yI",Aux_puntos!$1:$1,0))="",NA(),INDEX(Aux_puntos!$A$2:$OJ$901,412,MATCH($B$2&amp;"|yI",Aux_puntos!$1:$1,0))),NA())</f>
        <v>#N/A</v>
      </c>
      <c r="AI416" t="e">
        <f>IFERROR(IF(INDEX(Aux_puntos!$A$2:$OJ$901,412,MATCH($B$2&amp;"|xN",Aux_puntos!$1:$1,0))="",NA(),INDEX(Aux_puntos!$A$2:$OJ$901,412,MATCH($B$2&amp;"|xN",Aux_puntos!$1:$1,0))),NA())</f>
        <v>#N/A</v>
      </c>
      <c r="AJ416" t="e">
        <f>IFERROR(IF(INDEX(Aux_puntos!$A$2:$OJ$901,412,MATCH($B$2&amp;"|yN",Aux_puntos!$1:$1,0))="",NA(),INDEX(Aux_puntos!$A$2:$OJ$901,412,MATCH($B$2&amp;"|yN",Aux_puntos!$1:$1,0))),NA())</f>
        <v>#N/A</v>
      </c>
    </row>
    <row r="417" spans="29:36" x14ac:dyDescent="0.3">
      <c r="AC417" t="e">
        <f>IFERROR(IF(INDEX(Aux_puntos!$A$2:$OJ$901,413,MATCH($B$2&amp;"|xK",Aux_puntos!$1:$1,0))="",NA(),INDEX(Aux_puntos!$A$2:$OJ$901,413,MATCH($B$2&amp;"|xK",Aux_puntos!$1:$1,0))),NA())</f>
        <v>#N/A</v>
      </c>
      <c r="AD417" t="e">
        <f>IFERROR(IF(INDEX(Aux_puntos!$A$2:$OJ$901,413,MATCH($B$2&amp;"|yK",Aux_puntos!$1:$1,0))="",NA(),INDEX(Aux_puntos!$A$2:$OJ$901,413,MATCH($B$2&amp;"|yK",Aux_puntos!$1:$1,0))),NA())</f>
        <v>#N/A</v>
      </c>
      <c r="AE417" t="e">
        <f>IFERROR(IF(INDEX(Aux_puntos!$A$2:$OJ$901,413,MATCH($B$2&amp;"|xC",Aux_puntos!$1:$1,0))="",NA(),INDEX(Aux_puntos!$A$2:$OJ$901,413,MATCH($B$2&amp;"|xC",Aux_puntos!$1:$1,0))),NA())</f>
        <v>#N/A</v>
      </c>
      <c r="AF417" t="e">
        <f>IFERROR(IF(INDEX(Aux_puntos!$A$2:$OJ$901,413,MATCH($B$2&amp;"|yC",Aux_puntos!$1:$1,0))="",NA(),INDEX(Aux_puntos!$A$2:$OJ$901,413,MATCH($B$2&amp;"|yC",Aux_puntos!$1:$1,0))),NA())</f>
        <v>#N/A</v>
      </c>
      <c r="AG417" t="e">
        <f>IFERROR(IF(INDEX(Aux_puntos!$A$2:$OJ$901,413,MATCH($B$2&amp;"|xI",Aux_puntos!$1:$1,0))="",NA(),INDEX(Aux_puntos!$A$2:$OJ$901,413,MATCH($B$2&amp;"|xI",Aux_puntos!$1:$1,0))),NA())</f>
        <v>#N/A</v>
      </c>
      <c r="AH417" t="e">
        <f>IFERROR(IF(INDEX(Aux_puntos!$A$2:$OJ$901,413,MATCH($B$2&amp;"|yI",Aux_puntos!$1:$1,0))="",NA(),INDEX(Aux_puntos!$A$2:$OJ$901,413,MATCH($B$2&amp;"|yI",Aux_puntos!$1:$1,0))),NA())</f>
        <v>#N/A</v>
      </c>
      <c r="AI417" t="e">
        <f>IFERROR(IF(INDEX(Aux_puntos!$A$2:$OJ$901,413,MATCH($B$2&amp;"|xN",Aux_puntos!$1:$1,0))="",NA(),INDEX(Aux_puntos!$A$2:$OJ$901,413,MATCH($B$2&amp;"|xN",Aux_puntos!$1:$1,0))),NA())</f>
        <v>#N/A</v>
      </c>
      <c r="AJ417" t="e">
        <f>IFERROR(IF(INDEX(Aux_puntos!$A$2:$OJ$901,413,MATCH($B$2&amp;"|yN",Aux_puntos!$1:$1,0))="",NA(),INDEX(Aux_puntos!$A$2:$OJ$901,413,MATCH($B$2&amp;"|yN",Aux_puntos!$1:$1,0))),NA())</f>
        <v>#N/A</v>
      </c>
    </row>
    <row r="418" spans="29:36" x14ac:dyDescent="0.3">
      <c r="AC418" t="e">
        <f>IFERROR(IF(INDEX(Aux_puntos!$A$2:$OJ$901,414,MATCH($B$2&amp;"|xK",Aux_puntos!$1:$1,0))="",NA(),INDEX(Aux_puntos!$A$2:$OJ$901,414,MATCH($B$2&amp;"|xK",Aux_puntos!$1:$1,0))),NA())</f>
        <v>#N/A</v>
      </c>
      <c r="AD418" t="e">
        <f>IFERROR(IF(INDEX(Aux_puntos!$A$2:$OJ$901,414,MATCH($B$2&amp;"|yK",Aux_puntos!$1:$1,0))="",NA(),INDEX(Aux_puntos!$A$2:$OJ$901,414,MATCH($B$2&amp;"|yK",Aux_puntos!$1:$1,0))),NA())</f>
        <v>#N/A</v>
      </c>
      <c r="AE418" t="e">
        <f>IFERROR(IF(INDEX(Aux_puntos!$A$2:$OJ$901,414,MATCH($B$2&amp;"|xC",Aux_puntos!$1:$1,0))="",NA(),INDEX(Aux_puntos!$A$2:$OJ$901,414,MATCH($B$2&amp;"|xC",Aux_puntos!$1:$1,0))),NA())</f>
        <v>#N/A</v>
      </c>
      <c r="AF418" t="e">
        <f>IFERROR(IF(INDEX(Aux_puntos!$A$2:$OJ$901,414,MATCH($B$2&amp;"|yC",Aux_puntos!$1:$1,0))="",NA(),INDEX(Aux_puntos!$A$2:$OJ$901,414,MATCH($B$2&amp;"|yC",Aux_puntos!$1:$1,0))),NA())</f>
        <v>#N/A</v>
      </c>
      <c r="AG418" t="e">
        <f>IFERROR(IF(INDEX(Aux_puntos!$A$2:$OJ$901,414,MATCH($B$2&amp;"|xI",Aux_puntos!$1:$1,0))="",NA(),INDEX(Aux_puntos!$A$2:$OJ$901,414,MATCH($B$2&amp;"|xI",Aux_puntos!$1:$1,0))),NA())</f>
        <v>#N/A</v>
      </c>
      <c r="AH418" t="e">
        <f>IFERROR(IF(INDEX(Aux_puntos!$A$2:$OJ$901,414,MATCH($B$2&amp;"|yI",Aux_puntos!$1:$1,0))="",NA(),INDEX(Aux_puntos!$A$2:$OJ$901,414,MATCH($B$2&amp;"|yI",Aux_puntos!$1:$1,0))),NA())</f>
        <v>#N/A</v>
      </c>
      <c r="AI418" t="e">
        <f>IFERROR(IF(INDEX(Aux_puntos!$A$2:$OJ$901,414,MATCH($B$2&amp;"|xN",Aux_puntos!$1:$1,0))="",NA(),INDEX(Aux_puntos!$A$2:$OJ$901,414,MATCH($B$2&amp;"|xN",Aux_puntos!$1:$1,0))),NA())</f>
        <v>#N/A</v>
      </c>
      <c r="AJ418" t="e">
        <f>IFERROR(IF(INDEX(Aux_puntos!$A$2:$OJ$901,414,MATCH($B$2&amp;"|yN",Aux_puntos!$1:$1,0))="",NA(),INDEX(Aux_puntos!$A$2:$OJ$901,414,MATCH($B$2&amp;"|yN",Aux_puntos!$1:$1,0))),NA())</f>
        <v>#N/A</v>
      </c>
    </row>
    <row r="419" spans="29:36" x14ac:dyDescent="0.3">
      <c r="AC419" t="e">
        <f>IFERROR(IF(INDEX(Aux_puntos!$A$2:$OJ$901,415,MATCH($B$2&amp;"|xK",Aux_puntos!$1:$1,0))="",NA(),INDEX(Aux_puntos!$A$2:$OJ$901,415,MATCH($B$2&amp;"|xK",Aux_puntos!$1:$1,0))),NA())</f>
        <v>#N/A</v>
      </c>
      <c r="AD419" t="e">
        <f>IFERROR(IF(INDEX(Aux_puntos!$A$2:$OJ$901,415,MATCH($B$2&amp;"|yK",Aux_puntos!$1:$1,0))="",NA(),INDEX(Aux_puntos!$A$2:$OJ$901,415,MATCH($B$2&amp;"|yK",Aux_puntos!$1:$1,0))),NA())</f>
        <v>#N/A</v>
      </c>
      <c r="AE419" t="e">
        <f>IFERROR(IF(INDEX(Aux_puntos!$A$2:$OJ$901,415,MATCH($B$2&amp;"|xC",Aux_puntos!$1:$1,0))="",NA(),INDEX(Aux_puntos!$A$2:$OJ$901,415,MATCH($B$2&amp;"|xC",Aux_puntos!$1:$1,0))),NA())</f>
        <v>#N/A</v>
      </c>
      <c r="AF419" t="e">
        <f>IFERROR(IF(INDEX(Aux_puntos!$A$2:$OJ$901,415,MATCH($B$2&amp;"|yC",Aux_puntos!$1:$1,0))="",NA(),INDEX(Aux_puntos!$A$2:$OJ$901,415,MATCH($B$2&amp;"|yC",Aux_puntos!$1:$1,0))),NA())</f>
        <v>#N/A</v>
      </c>
      <c r="AG419" t="e">
        <f>IFERROR(IF(INDEX(Aux_puntos!$A$2:$OJ$901,415,MATCH($B$2&amp;"|xI",Aux_puntos!$1:$1,0))="",NA(),INDEX(Aux_puntos!$A$2:$OJ$901,415,MATCH($B$2&amp;"|xI",Aux_puntos!$1:$1,0))),NA())</f>
        <v>#N/A</v>
      </c>
      <c r="AH419" t="e">
        <f>IFERROR(IF(INDEX(Aux_puntos!$A$2:$OJ$901,415,MATCH($B$2&amp;"|yI",Aux_puntos!$1:$1,0))="",NA(),INDEX(Aux_puntos!$A$2:$OJ$901,415,MATCH($B$2&amp;"|yI",Aux_puntos!$1:$1,0))),NA())</f>
        <v>#N/A</v>
      </c>
      <c r="AI419" t="e">
        <f>IFERROR(IF(INDEX(Aux_puntos!$A$2:$OJ$901,415,MATCH($B$2&amp;"|xN",Aux_puntos!$1:$1,0))="",NA(),INDEX(Aux_puntos!$A$2:$OJ$901,415,MATCH($B$2&amp;"|xN",Aux_puntos!$1:$1,0))),NA())</f>
        <v>#N/A</v>
      </c>
      <c r="AJ419" t="e">
        <f>IFERROR(IF(INDEX(Aux_puntos!$A$2:$OJ$901,415,MATCH($B$2&amp;"|yN",Aux_puntos!$1:$1,0))="",NA(),INDEX(Aux_puntos!$A$2:$OJ$901,415,MATCH($B$2&amp;"|yN",Aux_puntos!$1:$1,0))),NA())</f>
        <v>#N/A</v>
      </c>
    </row>
    <row r="420" spans="29:36" x14ac:dyDescent="0.3">
      <c r="AC420" t="e">
        <f>IFERROR(IF(INDEX(Aux_puntos!$A$2:$OJ$901,416,MATCH($B$2&amp;"|xK",Aux_puntos!$1:$1,0))="",NA(),INDEX(Aux_puntos!$A$2:$OJ$901,416,MATCH($B$2&amp;"|xK",Aux_puntos!$1:$1,0))),NA())</f>
        <v>#N/A</v>
      </c>
      <c r="AD420" t="e">
        <f>IFERROR(IF(INDEX(Aux_puntos!$A$2:$OJ$901,416,MATCH($B$2&amp;"|yK",Aux_puntos!$1:$1,0))="",NA(),INDEX(Aux_puntos!$A$2:$OJ$901,416,MATCH($B$2&amp;"|yK",Aux_puntos!$1:$1,0))),NA())</f>
        <v>#N/A</v>
      </c>
      <c r="AE420" t="e">
        <f>IFERROR(IF(INDEX(Aux_puntos!$A$2:$OJ$901,416,MATCH($B$2&amp;"|xC",Aux_puntos!$1:$1,0))="",NA(),INDEX(Aux_puntos!$A$2:$OJ$901,416,MATCH($B$2&amp;"|xC",Aux_puntos!$1:$1,0))),NA())</f>
        <v>#N/A</v>
      </c>
      <c r="AF420" t="e">
        <f>IFERROR(IF(INDEX(Aux_puntos!$A$2:$OJ$901,416,MATCH($B$2&amp;"|yC",Aux_puntos!$1:$1,0))="",NA(),INDEX(Aux_puntos!$A$2:$OJ$901,416,MATCH($B$2&amp;"|yC",Aux_puntos!$1:$1,0))),NA())</f>
        <v>#N/A</v>
      </c>
      <c r="AG420" t="e">
        <f>IFERROR(IF(INDEX(Aux_puntos!$A$2:$OJ$901,416,MATCH($B$2&amp;"|xI",Aux_puntos!$1:$1,0))="",NA(),INDEX(Aux_puntos!$A$2:$OJ$901,416,MATCH($B$2&amp;"|xI",Aux_puntos!$1:$1,0))),NA())</f>
        <v>#N/A</v>
      </c>
      <c r="AH420" t="e">
        <f>IFERROR(IF(INDEX(Aux_puntos!$A$2:$OJ$901,416,MATCH($B$2&amp;"|yI",Aux_puntos!$1:$1,0))="",NA(),INDEX(Aux_puntos!$A$2:$OJ$901,416,MATCH($B$2&amp;"|yI",Aux_puntos!$1:$1,0))),NA())</f>
        <v>#N/A</v>
      </c>
      <c r="AI420" t="e">
        <f>IFERROR(IF(INDEX(Aux_puntos!$A$2:$OJ$901,416,MATCH($B$2&amp;"|xN",Aux_puntos!$1:$1,0))="",NA(),INDEX(Aux_puntos!$A$2:$OJ$901,416,MATCH($B$2&amp;"|xN",Aux_puntos!$1:$1,0))),NA())</f>
        <v>#N/A</v>
      </c>
      <c r="AJ420" t="e">
        <f>IFERROR(IF(INDEX(Aux_puntos!$A$2:$OJ$901,416,MATCH($B$2&amp;"|yN",Aux_puntos!$1:$1,0))="",NA(),INDEX(Aux_puntos!$A$2:$OJ$901,416,MATCH($B$2&amp;"|yN",Aux_puntos!$1:$1,0))),NA())</f>
        <v>#N/A</v>
      </c>
    </row>
    <row r="421" spans="29:36" x14ac:dyDescent="0.3">
      <c r="AC421" t="e">
        <f>IFERROR(IF(INDEX(Aux_puntos!$A$2:$OJ$901,417,MATCH($B$2&amp;"|xK",Aux_puntos!$1:$1,0))="",NA(),INDEX(Aux_puntos!$A$2:$OJ$901,417,MATCH($B$2&amp;"|xK",Aux_puntos!$1:$1,0))),NA())</f>
        <v>#N/A</v>
      </c>
      <c r="AD421" t="e">
        <f>IFERROR(IF(INDEX(Aux_puntos!$A$2:$OJ$901,417,MATCH($B$2&amp;"|yK",Aux_puntos!$1:$1,0))="",NA(),INDEX(Aux_puntos!$A$2:$OJ$901,417,MATCH($B$2&amp;"|yK",Aux_puntos!$1:$1,0))),NA())</f>
        <v>#N/A</v>
      </c>
      <c r="AE421" t="e">
        <f>IFERROR(IF(INDEX(Aux_puntos!$A$2:$OJ$901,417,MATCH($B$2&amp;"|xC",Aux_puntos!$1:$1,0))="",NA(),INDEX(Aux_puntos!$A$2:$OJ$901,417,MATCH($B$2&amp;"|xC",Aux_puntos!$1:$1,0))),NA())</f>
        <v>#N/A</v>
      </c>
      <c r="AF421" t="e">
        <f>IFERROR(IF(INDEX(Aux_puntos!$A$2:$OJ$901,417,MATCH($B$2&amp;"|yC",Aux_puntos!$1:$1,0))="",NA(),INDEX(Aux_puntos!$A$2:$OJ$901,417,MATCH($B$2&amp;"|yC",Aux_puntos!$1:$1,0))),NA())</f>
        <v>#N/A</v>
      </c>
      <c r="AG421" t="e">
        <f>IFERROR(IF(INDEX(Aux_puntos!$A$2:$OJ$901,417,MATCH($B$2&amp;"|xI",Aux_puntos!$1:$1,0))="",NA(),INDEX(Aux_puntos!$A$2:$OJ$901,417,MATCH($B$2&amp;"|xI",Aux_puntos!$1:$1,0))),NA())</f>
        <v>#N/A</v>
      </c>
      <c r="AH421" t="e">
        <f>IFERROR(IF(INDEX(Aux_puntos!$A$2:$OJ$901,417,MATCH($B$2&amp;"|yI",Aux_puntos!$1:$1,0))="",NA(),INDEX(Aux_puntos!$A$2:$OJ$901,417,MATCH($B$2&amp;"|yI",Aux_puntos!$1:$1,0))),NA())</f>
        <v>#N/A</v>
      </c>
      <c r="AI421" t="e">
        <f>IFERROR(IF(INDEX(Aux_puntos!$A$2:$OJ$901,417,MATCH($B$2&amp;"|xN",Aux_puntos!$1:$1,0))="",NA(),INDEX(Aux_puntos!$A$2:$OJ$901,417,MATCH($B$2&amp;"|xN",Aux_puntos!$1:$1,0))),NA())</f>
        <v>#N/A</v>
      </c>
      <c r="AJ421" t="e">
        <f>IFERROR(IF(INDEX(Aux_puntos!$A$2:$OJ$901,417,MATCH($B$2&amp;"|yN",Aux_puntos!$1:$1,0))="",NA(),INDEX(Aux_puntos!$A$2:$OJ$901,417,MATCH($B$2&amp;"|yN",Aux_puntos!$1:$1,0))),NA())</f>
        <v>#N/A</v>
      </c>
    </row>
    <row r="422" spans="29:36" x14ac:dyDescent="0.3">
      <c r="AC422" t="e">
        <f>IFERROR(IF(INDEX(Aux_puntos!$A$2:$OJ$901,418,MATCH($B$2&amp;"|xK",Aux_puntos!$1:$1,0))="",NA(),INDEX(Aux_puntos!$A$2:$OJ$901,418,MATCH($B$2&amp;"|xK",Aux_puntos!$1:$1,0))),NA())</f>
        <v>#N/A</v>
      </c>
      <c r="AD422" t="e">
        <f>IFERROR(IF(INDEX(Aux_puntos!$A$2:$OJ$901,418,MATCH($B$2&amp;"|yK",Aux_puntos!$1:$1,0))="",NA(),INDEX(Aux_puntos!$A$2:$OJ$901,418,MATCH($B$2&amp;"|yK",Aux_puntos!$1:$1,0))),NA())</f>
        <v>#N/A</v>
      </c>
      <c r="AE422" t="e">
        <f>IFERROR(IF(INDEX(Aux_puntos!$A$2:$OJ$901,418,MATCH($B$2&amp;"|xC",Aux_puntos!$1:$1,0))="",NA(),INDEX(Aux_puntos!$A$2:$OJ$901,418,MATCH($B$2&amp;"|xC",Aux_puntos!$1:$1,0))),NA())</f>
        <v>#N/A</v>
      </c>
      <c r="AF422" t="e">
        <f>IFERROR(IF(INDEX(Aux_puntos!$A$2:$OJ$901,418,MATCH($B$2&amp;"|yC",Aux_puntos!$1:$1,0))="",NA(),INDEX(Aux_puntos!$A$2:$OJ$901,418,MATCH($B$2&amp;"|yC",Aux_puntos!$1:$1,0))),NA())</f>
        <v>#N/A</v>
      </c>
      <c r="AG422" t="e">
        <f>IFERROR(IF(INDEX(Aux_puntos!$A$2:$OJ$901,418,MATCH($B$2&amp;"|xI",Aux_puntos!$1:$1,0))="",NA(),INDEX(Aux_puntos!$A$2:$OJ$901,418,MATCH($B$2&amp;"|xI",Aux_puntos!$1:$1,0))),NA())</f>
        <v>#N/A</v>
      </c>
      <c r="AH422" t="e">
        <f>IFERROR(IF(INDEX(Aux_puntos!$A$2:$OJ$901,418,MATCH($B$2&amp;"|yI",Aux_puntos!$1:$1,0))="",NA(),INDEX(Aux_puntos!$A$2:$OJ$901,418,MATCH($B$2&amp;"|yI",Aux_puntos!$1:$1,0))),NA())</f>
        <v>#N/A</v>
      </c>
      <c r="AI422" t="e">
        <f>IFERROR(IF(INDEX(Aux_puntos!$A$2:$OJ$901,418,MATCH($B$2&amp;"|xN",Aux_puntos!$1:$1,0))="",NA(),INDEX(Aux_puntos!$A$2:$OJ$901,418,MATCH($B$2&amp;"|xN",Aux_puntos!$1:$1,0))),NA())</f>
        <v>#N/A</v>
      </c>
      <c r="AJ422" t="e">
        <f>IFERROR(IF(INDEX(Aux_puntos!$A$2:$OJ$901,418,MATCH($B$2&amp;"|yN",Aux_puntos!$1:$1,0))="",NA(),INDEX(Aux_puntos!$A$2:$OJ$901,418,MATCH($B$2&amp;"|yN",Aux_puntos!$1:$1,0))),NA())</f>
        <v>#N/A</v>
      </c>
    </row>
    <row r="423" spans="29:36" x14ac:dyDescent="0.3">
      <c r="AC423" t="e">
        <f>IFERROR(IF(INDEX(Aux_puntos!$A$2:$OJ$901,419,MATCH($B$2&amp;"|xK",Aux_puntos!$1:$1,0))="",NA(),INDEX(Aux_puntos!$A$2:$OJ$901,419,MATCH($B$2&amp;"|xK",Aux_puntos!$1:$1,0))),NA())</f>
        <v>#N/A</v>
      </c>
      <c r="AD423" t="e">
        <f>IFERROR(IF(INDEX(Aux_puntos!$A$2:$OJ$901,419,MATCH($B$2&amp;"|yK",Aux_puntos!$1:$1,0))="",NA(),INDEX(Aux_puntos!$A$2:$OJ$901,419,MATCH($B$2&amp;"|yK",Aux_puntos!$1:$1,0))),NA())</f>
        <v>#N/A</v>
      </c>
      <c r="AE423" t="e">
        <f>IFERROR(IF(INDEX(Aux_puntos!$A$2:$OJ$901,419,MATCH($B$2&amp;"|xC",Aux_puntos!$1:$1,0))="",NA(),INDEX(Aux_puntos!$A$2:$OJ$901,419,MATCH($B$2&amp;"|xC",Aux_puntos!$1:$1,0))),NA())</f>
        <v>#N/A</v>
      </c>
      <c r="AF423" t="e">
        <f>IFERROR(IF(INDEX(Aux_puntos!$A$2:$OJ$901,419,MATCH($B$2&amp;"|yC",Aux_puntos!$1:$1,0))="",NA(),INDEX(Aux_puntos!$A$2:$OJ$901,419,MATCH($B$2&amp;"|yC",Aux_puntos!$1:$1,0))),NA())</f>
        <v>#N/A</v>
      </c>
      <c r="AG423" t="e">
        <f>IFERROR(IF(INDEX(Aux_puntos!$A$2:$OJ$901,419,MATCH($B$2&amp;"|xI",Aux_puntos!$1:$1,0))="",NA(),INDEX(Aux_puntos!$A$2:$OJ$901,419,MATCH($B$2&amp;"|xI",Aux_puntos!$1:$1,0))),NA())</f>
        <v>#N/A</v>
      </c>
      <c r="AH423" t="e">
        <f>IFERROR(IF(INDEX(Aux_puntos!$A$2:$OJ$901,419,MATCH($B$2&amp;"|yI",Aux_puntos!$1:$1,0))="",NA(),INDEX(Aux_puntos!$A$2:$OJ$901,419,MATCH($B$2&amp;"|yI",Aux_puntos!$1:$1,0))),NA())</f>
        <v>#N/A</v>
      </c>
      <c r="AI423" t="e">
        <f>IFERROR(IF(INDEX(Aux_puntos!$A$2:$OJ$901,419,MATCH($B$2&amp;"|xN",Aux_puntos!$1:$1,0))="",NA(),INDEX(Aux_puntos!$A$2:$OJ$901,419,MATCH($B$2&amp;"|xN",Aux_puntos!$1:$1,0))),NA())</f>
        <v>#N/A</v>
      </c>
      <c r="AJ423" t="e">
        <f>IFERROR(IF(INDEX(Aux_puntos!$A$2:$OJ$901,419,MATCH($B$2&amp;"|yN",Aux_puntos!$1:$1,0))="",NA(),INDEX(Aux_puntos!$A$2:$OJ$901,419,MATCH($B$2&amp;"|yN",Aux_puntos!$1:$1,0))),NA())</f>
        <v>#N/A</v>
      </c>
    </row>
    <row r="424" spans="29:36" x14ac:dyDescent="0.3">
      <c r="AC424" t="e">
        <f>IFERROR(IF(INDEX(Aux_puntos!$A$2:$OJ$901,420,MATCH($B$2&amp;"|xK",Aux_puntos!$1:$1,0))="",NA(),INDEX(Aux_puntos!$A$2:$OJ$901,420,MATCH($B$2&amp;"|xK",Aux_puntos!$1:$1,0))),NA())</f>
        <v>#N/A</v>
      </c>
      <c r="AD424" t="e">
        <f>IFERROR(IF(INDEX(Aux_puntos!$A$2:$OJ$901,420,MATCH($B$2&amp;"|yK",Aux_puntos!$1:$1,0))="",NA(),INDEX(Aux_puntos!$A$2:$OJ$901,420,MATCH($B$2&amp;"|yK",Aux_puntos!$1:$1,0))),NA())</f>
        <v>#N/A</v>
      </c>
      <c r="AE424" t="e">
        <f>IFERROR(IF(INDEX(Aux_puntos!$A$2:$OJ$901,420,MATCH($B$2&amp;"|xC",Aux_puntos!$1:$1,0))="",NA(),INDEX(Aux_puntos!$A$2:$OJ$901,420,MATCH($B$2&amp;"|xC",Aux_puntos!$1:$1,0))),NA())</f>
        <v>#N/A</v>
      </c>
      <c r="AF424" t="e">
        <f>IFERROR(IF(INDEX(Aux_puntos!$A$2:$OJ$901,420,MATCH($B$2&amp;"|yC",Aux_puntos!$1:$1,0))="",NA(),INDEX(Aux_puntos!$A$2:$OJ$901,420,MATCH($B$2&amp;"|yC",Aux_puntos!$1:$1,0))),NA())</f>
        <v>#N/A</v>
      </c>
      <c r="AG424" t="e">
        <f>IFERROR(IF(INDEX(Aux_puntos!$A$2:$OJ$901,420,MATCH($B$2&amp;"|xI",Aux_puntos!$1:$1,0))="",NA(),INDEX(Aux_puntos!$A$2:$OJ$901,420,MATCH($B$2&amp;"|xI",Aux_puntos!$1:$1,0))),NA())</f>
        <v>#N/A</v>
      </c>
      <c r="AH424" t="e">
        <f>IFERROR(IF(INDEX(Aux_puntos!$A$2:$OJ$901,420,MATCH($B$2&amp;"|yI",Aux_puntos!$1:$1,0))="",NA(),INDEX(Aux_puntos!$A$2:$OJ$901,420,MATCH($B$2&amp;"|yI",Aux_puntos!$1:$1,0))),NA())</f>
        <v>#N/A</v>
      </c>
      <c r="AI424" t="e">
        <f>IFERROR(IF(INDEX(Aux_puntos!$A$2:$OJ$901,420,MATCH($B$2&amp;"|xN",Aux_puntos!$1:$1,0))="",NA(),INDEX(Aux_puntos!$A$2:$OJ$901,420,MATCH($B$2&amp;"|xN",Aux_puntos!$1:$1,0))),NA())</f>
        <v>#N/A</v>
      </c>
      <c r="AJ424" t="e">
        <f>IFERROR(IF(INDEX(Aux_puntos!$A$2:$OJ$901,420,MATCH($B$2&amp;"|yN",Aux_puntos!$1:$1,0))="",NA(),INDEX(Aux_puntos!$A$2:$OJ$901,420,MATCH($B$2&amp;"|yN",Aux_puntos!$1:$1,0))),NA())</f>
        <v>#N/A</v>
      </c>
    </row>
    <row r="425" spans="29:36" x14ac:dyDescent="0.3">
      <c r="AC425" t="e">
        <f>IFERROR(IF(INDEX(Aux_puntos!$A$2:$OJ$901,421,MATCH($B$2&amp;"|xK",Aux_puntos!$1:$1,0))="",NA(),INDEX(Aux_puntos!$A$2:$OJ$901,421,MATCH($B$2&amp;"|xK",Aux_puntos!$1:$1,0))),NA())</f>
        <v>#N/A</v>
      </c>
      <c r="AD425" t="e">
        <f>IFERROR(IF(INDEX(Aux_puntos!$A$2:$OJ$901,421,MATCH($B$2&amp;"|yK",Aux_puntos!$1:$1,0))="",NA(),INDEX(Aux_puntos!$A$2:$OJ$901,421,MATCH($B$2&amp;"|yK",Aux_puntos!$1:$1,0))),NA())</f>
        <v>#N/A</v>
      </c>
      <c r="AE425" t="e">
        <f>IFERROR(IF(INDEX(Aux_puntos!$A$2:$OJ$901,421,MATCH($B$2&amp;"|xC",Aux_puntos!$1:$1,0))="",NA(),INDEX(Aux_puntos!$A$2:$OJ$901,421,MATCH($B$2&amp;"|xC",Aux_puntos!$1:$1,0))),NA())</f>
        <v>#N/A</v>
      </c>
      <c r="AF425" t="e">
        <f>IFERROR(IF(INDEX(Aux_puntos!$A$2:$OJ$901,421,MATCH($B$2&amp;"|yC",Aux_puntos!$1:$1,0))="",NA(),INDEX(Aux_puntos!$A$2:$OJ$901,421,MATCH($B$2&amp;"|yC",Aux_puntos!$1:$1,0))),NA())</f>
        <v>#N/A</v>
      </c>
      <c r="AG425" t="e">
        <f>IFERROR(IF(INDEX(Aux_puntos!$A$2:$OJ$901,421,MATCH($B$2&amp;"|xI",Aux_puntos!$1:$1,0))="",NA(),INDEX(Aux_puntos!$A$2:$OJ$901,421,MATCH($B$2&amp;"|xI",Aux_puntos!$1:$1,0))),NA())</f>
        <v>#N/A</v>
      </c>
      <c r="AH425" t="e">
        <f>IFERROR(IF(INDEX(Aux_puntos!$A$2:$OJ$901,421,MATCH($B$2&amp;"|yI",Aux_puntos!$1:$1,0))="",NA(),INDEX(Aux_puntos!$A$2:$OJ$901,421,MATCH($B$2&amp;"|yI",Aux_puntos!$1:$1,0))),NA())</f>
        <v>#N/A</v>
      </c>
      <c r="AI425" t="e">
        <f>IFERROR(IF(INDEX(Aux_puntos!$A$2:$OJ$901,421,MATCH($B$2&amp;"|xN",Aux_puntos!$1:$1,0))="",NA(),INDEX(Aux_puntos!$A$2:$OJ$901,421,MATCH($B$2&amp;"|xN",Aux_puntos!$1:$1,0))),NA())</f>
        <v>#N/A</v>
      </c>
      <c r="AJ425" t="e">
        <f>IFERROR(IF(INDEX(Aux_puntos!$A$2:$OJ$901,421,MATCH($B$2&amp;"|yN",Aux_puntos!$1:$1,0))="",NA(),INDEX(Aux_puntos!$A$2:$OJ$901,421,MATCH($B$2&amp;"|yN",Aux_puntos!$1:$1,0))),NA())</f>
        <v>#N/A</v>
      </c>
    </row>
    <row r="426" spans="29:36" x14ac:dyDescent="0.3">
      <c r="AC426" t="e">
        <f>IFERROR(IF(INDEX(Aux_puntos!$A$2:$OJ$901,422,MATCH($B$2&amp;"|xK",Aux_puntos!$1:$1,0))="",NA(),INDEX(Aux_puntos!$A$2:$OJ$901,422,MATCH($B$2&amp;"|xK",Aux_puntos!$1:$1,0))),NA())</f>
        <v>#N/A</v>
      </c>
      <c r="AD426" t="e">
        <f>IFERROR(IF(INDEX(Aux_puntos!$A$2:$OJ$901,422,MATCH($B$2&amp;"|yK",Aux_puntos!$1:$1,0))="",NA(),INDEX(Aux_puntos!$A$2:$OJ$901,422,MATCH($B$2&amp;"|yK",Aux_puntos!$1:$1,0))),NA())</f>
        <v>#N/A</v>
      </c>
      <c r="AE426" t="e">
        <f>IFERROR(IF(INDEX(Aux_puntos!$A$2:$OJ$901,422,MATCH($B$2&amp;"|xC",Aux_puntos!$1:$1,0))="",NA(),INDEX(Aux_puntos!$A$2:$OJ$901,422,MATCH($B$2&amp;"|xC",Aux_puntos!$1:$1,0))),NA())</f>
        <v>#N/A</v>
      </c>
      <c r="AF426" t="e">
        <f>IFERROR(IF(INDEX(Aux_puntos!$A$2:$OJ$901,422,MATCH($B$2&amp;"|yC",Aux_puntos!$1:$1,0))="",NA(),INDEX(Aux_puntos!$A$2:$OJ$901,422,MATCH($B$2&amp;"|yC",Aux_puntos!$1:$1,0))),NA())</f>
        <v>#N/A</v>
      </c>
      <c r="AG426" t="e">
        <f>IFERROR(IF(INDEX(Aux_puntos!$A$2:$OJ$901,422,MATCH($B$2&amp;"|xI",Aux_puntos!$1:$1,0))="",NA(),INDEX(Aux_puntos!$A$2:$OJ$901,422,MATCH($B$2&amp;"|xI",Aux_puntos!$1:$1,0))),NA())</f>
        <v>#N/A</v>
      </c>
      <c r="AH426" t="e">
        <f>IFERROR(IF(INDEX(Aux_puntos!$A$2:$OJ$901,422,MATCH($B$2&amp;"|yI",Aux_puntos!$1:$1,0))="",NA(),INDEX(Aux_puntos!$A$2:$OJ$901,422,MATCH($B$2&amp;"|yI",Aux_puntos!$1:$1,0))),NA())</f>
        <v>#N/A</v>
      </c>
      <c r="AI426" t="e">
        <f>IFERROR(IF(INDEX(Aux_puntos!$A$2:$OJ$901,422,MATCH($B$2&amp;"|xN",Aux_puntos!$1:$1,0))="",NA(),INDEX(Aux_puntos!$A$2:$OJ$901,422,MATCH($B$2&amp;"|xN",Aux_puntos!$1:$1,0))),NA())</f>
        <v>#N/A</v>
      </c>
      <c r="AJ426" t="e">
        <f>IFERROR(IF(INDEX(Aux_puntos!$A$2:$OJ$901,422,MATCH($B$2&amp;"|yN",Aux_puntos!$1:$1,0))="",NA(),INDEX(Aux_puntos!$A$2:$OJ$901,422,MATCH($B$2&amp;"|yN",Aux_puntos!$1:$1,0))),NA())</f>
        <v>#N/A</v>
      </c>
    </row>
    <row r="427" spans="29:36" x14ac:dyDescent="0.3">
      <c r="AC427" t="e">
        <f>IFERROR(IF(INDEX(Aux_puntos!$A$2:$OJ$901,423,MATCH($B$2&amp;"|xK",Aux_puntos!$1:$1,0))="",NA(),INDEX(Aux_puntos!$A$2:$OJ$901,423,MATCH($B$2&amp;"|xK",Aux_puntos!$1:$1,0))),NA())</f>
        <v>#N/A</v>
      </c>
      <c r="AD427" t="e">
        <f>IFERROR(IF(INDEX(Aux_puntos!$A$2:$OJ$901,423,MATCH($B$2&amp;"|yK",Aux_puntos!$1:$1,0))="",NA(),INDEX(Aux_puntos!$A$2:$OJ$901,423,MATCH($B$2&amp;"|yK",Aux_puntos!$1:$1,0))),NA())</f>
        <v>#N/A</v>
      </c>
      <c r="AE427" t="e">
        <f>IFERROR(IF(INDEX(Aux_puntos!$A$2:$OJ$901,423,MATCH($B$2&amp;"|xC",Aux_puntos!$1:$1,0))="",NA(),INDEX(Aux_puntos!$A$2:$OJ$901,423,MATCH($B$2&amp;"|xC",Aux_puntos!$1:$1,0))),NA())</f>
        <v>#N/A</v>
      </c>
      <c r="AF427" t="e">
        <f>IFERROR(IF(INDEX(Aux_puntos!$A$2:$OJ$901,423,MATCH($B$2&amp;"|yC",Aux_puntos!$1:$1,0))="",NA(),INDEX(Aux_puntos!$A$2:$OJ$901,423,MATCH($B$2&amp;"|yC",Aux_puntos!$1:$1,0))),NA())</f>
        <v>#N/A</v>
      </c>
      <c r="AG427" t="e">
        <f>IFERROR(IF(INDEX(Aux_puntos!$A$2:$OJ$901,423,MATCH($B$2&amp;"|xI",Aux_puntos!$1:$1,0))="",NA(),INDEX(Aux_puntos!$A$2:$OJ$901,423,MATCH($B$2&amp;"|xI",Aux_puntos!$1:$1,0))),NA())</f>
        <v>#N/A</v>
      </c>
      <c r="AH427" t="e">
        <f>IFERROR(IF(INDEX(Aux_puntos!$A$2:$OJ$901,423,MATCH($B$2&amp;"|yI",Aux_puntos!$1:$1,0))="",NA(),INDEX(Aux_puntos!$A$2:$OJ$901,423,MATCH($B$2&amp;"|yI",Aux_puntos!$1:$1,0))),NA())</f>
        <v>#N/A</v>
      </c>
      <c r="AI427" t="e">
        <f>IFERROR(IF(INDEX(Aux_puntos!$A$2:$OJ$901,423,MATCH($B$2&amp;"|xN",Aux_puntos!$1:$1,0))="",NA(),INDEX(Aux_puntos!$A$2:$OJ$901,423,MATCH($B$2&amp;"|xN",Aux_puntos!$1:$1,0))),NA())</f>
        <v>#N/A</v>
      </c>
      <c r="AJ427" t="e">
        <f>IFERROR(IF(INDEX(Aux_puntos!$A$2:$OJ$901,423,MATCH($B$2&amp;"|yN",Aux_puntos!$1:$1,0))="",NA(),INDEX(Aux_puntos!$A$2:$OJ$901,423,MATCH($B$2&amp;"|yN",Aux_puntos!$1:$1,0))),NA())</f>
        <v>#N/A</v>
      </c>
    </row>
    <row r="428" spans="29:36" x14ac:dyDescent="0.3">
      <c r="AC428" t="e">
        <f>IFERROR(IF(INDEX(Aux_puntos!$A$2:$OJ$901,424,MATCH($B$2&amp;"|xK",Aux_puntos!$1:$1,0))="",NA(),INDEX(Aux_puntos!$A$2:$OJ$901,424,MATCH($B$2&amp;"|xK",Aux_puntos!$1:$1,0))),NA())</f>
        <v>#N/A</v>
      </c>
      <c r="AD428" t="e">
        <f>IFERROR(IF(INDEX(Aux_puntos!$A$2:$OJ$901,424,MATCH($B$2&amp;"|yK",Aux_puntos!$1:$1,0))="",NA(),INDEX(Aux_puntos!$A$2:$OJ$901,424,MATCH($B$2&amp;"|yK",Aux_puntos!$1:$1,0))),NA())</f>
        <v>#N/A</v>
      </c>
      <c r="AE428" t="e">
        <f>IFERROR(IF(INDEX(Aux_puntos!$A$2:$OJ$901,424,MATCH($B$2&amp;"|xC",Aux_puntos!$1:$1,0))="",NA(),INDEX(Aux_puntos!$A$2:$OJ$901,424,MATCH($B$2&amp;"|xC",Aux_puntos!$1:$1,0))),NA())</f>
        <v>#N/A</v>
      </c>
      <c r="AF428" t="e">
        <f>IFERROR(IF(INDEX(Aux_puntos!$A$2:$OJ$901,424,MATCH($B$2&amp;"|yC",Aux_puntos!$1:$1,0))="",NA(),INDEX(Aux_puntos!$A$2:$OJ$901,424,MATCH($B$2&amp;"|yC",Aux_puntos!$1:$1,0))),NA())</f>
        <v>#N/A</v>
      </c>
      <c r="AG428" t="e">
        <f>IFERROR(IF(INDEX(Aux_puntos!$A$2:$OJ$901,424,MATCH($B$2&amp;"|xI",Aux_puntos!$1:$1,0))="",NA(),INDEX(Aux_puntos!$A$2:$OJ$901,424,MATCH($B$2&amp;"|xI",Aux_puntos!$1:$1,0))),NA())</f>
        <v>#N/A</v>
      </c>
      <c r="AH428" t="e">
        <f>IFERROR(IF(INDEX(Aux_puntos!$A$2:$OJ$901,424,MATCH($B$2&amp;"|yI",Aux_puntos!$1:$1,0))="",NA(),INDEX(Aux_puntos!$A$2:$OJ$901,424,MATCH($B$2&amp;"|yI",Aux_puntos!$1:$1,0))),NA())</f>
        <v>#N/A</v>
      </c>
      <c r="AI428" t="e">
        <f>IFERROR(IF(INDEX(Aux_puntos!$A$2:$OJ$901,424,MATCH($B$2&amp;"|xN",Aux_puntos!$1:$1,0))="",NA(),INDEX(Aux_puntos!$A$2:$OJ$901,424,MATCH($B$2&amp;"|xN",Aux_puntos!$1:$1,0))),NA())</f>
        <v>#N/A</v>
      </c>
      <c r="AJ428" t="e">
        <f>IFERROR(IF(INDEX(Aux_puntos!$A$2:$OJ$901,424,MATCH($B$2&amp;"|yN",Aux_puntos!$1:$1,0))="",NA(),INDEX(Aux_puntos!$A$2:$OJ$901,424,MATCH($B$2&amp;"|yN",Aux_puntos!$1:$1,0))),NA())</f>
        <v>#N/A</v>
      </c>
    </row>
    <row r="429" spans="29:36" x14ac:dyDescent="0.3">
      <c r="AC429" t="e">
        <f>IFERROR(IF(INDEX(Aux_puntos!$A$2:$OJ$901,425,MATCH($B$2&amp;"|xK",Aux_puntos!$1:$1,0))="",NA(),INDEX(Aux_puntos!$A$2:$OJ$901,425,MATCH($B$2&amp;"|xK",Aux_puntos!$1:$1,0))),NA())</f>
        <v>#N/A</v>
      </c>
      <c r="AD429" t="e">
        <f>IFERROR(IF(INDEX(Aux_puntos!$A$2:$OJ$901,425,MATCH($B$2&amp;"|yK",Aux_puntos!$1:$1,0))="",NA(),INDEX(Aux_puntos!$A$2:$OJ$901,425,MATCH($B$2&amp;"|yK",Aux_puntos!$1:$1,0))),NA())</f>
        <v>#N/A</v>
      </c>
      <c r="AE429" t="e">
        <f>IFERROR(IF(INDEX(Aux_puntos!$A$2:$OJ$901,425,MATCH($B$2&amp;"|xC",Aux_puntos!$1:$1,0))="",NA(),INDEX(Aux_puntos!$A$2:$OJ$901,425,MATCH($B$2&amp;"|xC",Aux_puntos!$1:$1,0))),NA())</f>
        <v>#N/A</v>
      </c>
      <c r="AF429" t="e">
        <f>IFERROR(IF(INDEX(Aux_puntos!$A$2:$OJ$901,425,MATCH($B$2&amp;"|yC",Aux_puntos!$1:$1,0))="",NA(),INDEX(Aux_puntos!$A$2:$OJ$901,425,MATCH($B$2&amp;"|yC",Aux_puntos!$1:$1,0))),NA())</f>
        <v>#N/A</v>
      </c>
      <c r="AG429" t="e">
        <f>IFERROR(IF(INDEX(Aux_puntos!$A$2:$OJ$901,425,MATCH($B$2&amp;"|xI",Aux_puntos!$1:$1,0))="",NA(),INDEX(Aux_puntos!$A$2:$OJ$901,425,MATCH($B$2&amp;"|xI",Aux_puntos!$1:$1,0))),NA())</f>
        <v>#N/A</v>
      </c>
      <c r="AH429" t="e">
        <f>IFERROR(IF(INDEX(Aux_puntos!$A$2:$OJ$901,425,MATCH($B$2&amp;"|yI",Aux_puntos!$1:$1,0))="",NA(),INDEX(Aux_puntos!$A$2:$OJ$901,425,MATCH($B$2&amp;"|yI",Aux_puntos!$1:$1,0))),NA())</f>
        <v>#N/A</v>
      </c>
      <c r="AI429" t="e">
        <f>IFERROR(IF(INDEX(Aux_puntos!$A$2:$OJ$901,425,MATCH($B$2&amp;"|xN",Aux_puntos!$1:$1,0))="",NA(),INDEX(Aux_puntos!$A$2:$OJ$901,425,MATCH($B$2&amp;"|xN",Aux_puntos!$1:$1,0))),NA())</f>
        <v>#N/A</v>
      </c>
      <c r="AJ429" t="e">
        <f>IFERROR(IF(INDEX(Aux_puntos!$A$2:$OJ$901,425,MATCH($B$2&amp;"|yN",Aux_puntos!$1:$1,0))="",NA(),INDEX(Aux_puntos!$A$2:$OJ$901,425,MATCH($B$2&amp;"|yN",Aux_puntos!$1:$1,0))),NA())</f>
        <v>#N/A</v>
      </c>
    </row>
    <row r="430" spans="29:36" x14ac:dyDescent="0.3">
      <c r="AC430" t="e">
        <f>IFERROR(IF(INDEX(Aux_puntos!$A$2:$OJ$901,426,MATCH($B$2&amp;"|xK",Aux_puntos!$1:$1,0))="",NA(),INDEX(Aux_puntos!$A$2:$OJ$901,426,MATCH($B$2&amp;"|xK",Aux_puntos!$1:$1,0))),NA())</f>
        <v>#N/A</v>
      </c>
      <c r="AD430" t="e">
        <f>IFERROR(IF(INDEX(Aux_puntos!$A$2:$OJ$901,426,MATCH($B$2&amp;"|yK",Aux_puntos!$1:$1,0))="",NA(),INDEX(Aux_puntos!$A$2:$OJ$901,426,MATCH($B$2&amp;"|yK",Aux_puntos!$1:$1,0))),NA())</f>
        <v>#N/A</v>
      </c>
      <c r="AE430" t="e">
        <f>IFERROR(IF(INDEX(Aux_puntos!$A$2:$OJ$901,426,MATCH($B$2&amp;"|xC",Aux_puntos!$1:$1,0))="",NA(),INDEX(Aux_puntos!$A$2:$OJ$901,426,MATCH($B$2&amp;"|xC",Aux_puntos!$1:$1,0))),NA())</f>
        <v>#N/A</v>
      </c>
      <c r="AF430" t="e">
        <f>IFERROR(IF(INDEX(Aux_puntos!$A$2:$OJ$901,426,MATCH($B$2&amp;"|yC",Aux_puntos!$1:$1,0))="",NA(),INDEX(Aux_puntos!$A$2:$OJ$901,426,MATCH($B$2&amp;"|yC",Aux_puntos!$1:$1,0))),NA())</f>
        <v>#N/A</v>
      </c>
      <c r="AG430" t="e">
        <f>IFERROR(IF(INDEX(Aux_puntos!$A$2:$OJ$901,426,MATCH($B$2&amp;"|xI",Aux_puntos!$1:$1,0))="",NA(),INDEX(Aux_puntos!$A$2:$OJ$901,426,MATCH($B$2&amp;"|xI",Aux_puntos!$1:$1,0))),NA())</f>
        <v>#N/A</v>
      </c>
      <c r="AH430" t="e">
        <f>IFERROR(IF(INDEX(Aux_puntos!$A$2:$OJ$901,426,MATCH($B$2&amp;"|yI",Aux_puntos!$1:$1,0))="",NA(),INDEX(Aux_puntos!$A$2:$OJ$901,426,MATCH($B$2&amp;"|yI",Aux_puntos!$1:$1,0))),NA())</f>
        <v>#N/A</v>
      </c>
      <c r="AI430" t="e">
        <f>IFERROR(IF(INDEX(Aux_puntos!$A$2:$OJ$901,426,MATCH($B$2&amp;"|xN",Aux_puntos!$1:$1,0))="",NA(),INDEX(Aux_puntos!$A$2:$OJ$901,426,MATCH($B$2&amp;"|xN",Aux_puntos!$1:$1,0))),NA())</f>
        <v>#N/A</v>
      </c>
      <c r="AJ430" t="e">
        <f>IFERROR(IF(INDEX(Aux_puntos!$A$2:$OJ$901,426,MATCH($B$2&amp;"|yN",Aux_puntos!$1:$1,0))="",NA(),INDEX(Aux_puntos!$A$2:$OJ$901,426,MATCH($B$2&amp;"|yN",Aux_puntos!$1:$1,0))),NA())</f>
        <v>#N/A</v>
      </c>
    </row>
    <row r="431" spans="29:36" x14ac:dyDescent="0.3">
      <c r="AC431" t="e">
        <f>IFERROR(IF(INDEX(Aux_puntos!$A$2:$OJ$901,427,MATCH($B$2&amp;"|xK",Aux_puntos!$1:$1,0))="",NA(),INDEX(Aux_puntos!$A$2:$OJ$901,427,MATCH($B$2&amp;"|xK",Aux_puntos!$1:$1,0))),NA())</f>
        <v>#N/A</v>
      </c>
      <c r="AD431" t="e">
        <f>IFERROR(IF(INDEX(Aux_puntos!$A$2:$OJ$901,427,MATCH($B$2&amp;"|yK",Aux_puntos!$1:$1,0))="",NA(),INDEX(Aux_puntos!$A$2:$OJ$901,427,MATCH($B$2&amp;"|yK",Aux_puntos!$1:$1,0))),NA())</f>
        <v>#N/A</v>
      </c>
      <c r="AE431" t="e">
        <f>IFERROR(IF(INDEX(Aux_puntos!$A$2:$OJ$901,427,MATCH($B$2&amp;"|xC",Aux_puntos!$1:$1,0))="",NA(),INDEX(Aux_puntos!$A$2:$OJ$901,427,MATCH($B$2&amp;"|xC",Aux_puntos!$1:$1,0))),NA())</f>
        <v>#N/A</v>
      </c>
      <c r="AF431" t="e">
        <f>IFERROR(IF(INDEX(Aux_puntos!$A$2:$OJ$901,427,MATCH($B$2&amp;"|yC",Aux_puntos!$1:$1,0))="",NA(),INDEX(Aux_puntos!$A$2:$OJ$901,427,MATCH($B$2&amp;"|yC",Aux_puntos!$1:$1,0))),NA())</f>
        <v>#N/A</v>
      </c>
      <c r="AG431" t="e">
        <f>IFERROR(IF(INDEX(Aux_puntos!$A$2:$OJ$901,427,MATCH($B$2&amp;"|xI",Aux_puntos!$1:$1,0))="",NA(),INDEX(Aux_puntos!$A$2:$OJ$901,427,MATCH($B$2&amp;"|xI",Aux_puntos!$1:$1,0))),NA())</f>
        <v>#N/A</v>
      </c>
      <c r="AH431" t="e">
        <f>IFERROR(IF(INDEX(Aux_puntos!$A$2:$OJ$901,427,MATCH($B$2&amp;"|yI",Aux_puntos!$1:$1,0))="",NA(),INDEX(Aux_puntos!$A$2:$OJ$901,427,MATCH($B$2&amp;"|yI",Aux_puntos!$1:$1,0))),NA())</f>
        <v>#N/A</v>
      </c>
      <c r="AI431" t="e">
        <f>IFERROR(IF(INDEX(Aux_puntos!$A$2:$OJ$901,427,MATCH($B$2&amp;"|xN",Aux_puntos!$1:$1,0))="",NA(),INDEX(Aux_puntos!$A$2:$OJ$901,427,MATCH($B$2&amp;"|xN",Aux_puntos!$1:$1,0))),NA())</f>
        <v>#N/A</v>
      </c>
      <c r="AJ431" t="e">
        <f>IFERROR(IF(INDEX(Aux_puntos!$A$2:$OJ$901,427,MATCH($B$2&amp;"|yN",Aux_puntos!$1:$1,0))="",NA(),INDEX(Aux_puntos!$A$2:$OJ$901,427,MATCH($B$2&amp;"|yN",Aux_puntos!$1:$1,0))),NA())</f>
        <v>#N/A</v>
      </c>
    </row>
    <row r="432" spans="29:36" x14ac:dyDescent="0.3">
      <c r="AC432" t="e">
        <f>IFERROR(IF(INDEX(Aux_puntos!$A$2:$OJ$901,428,MATCH($B$2&amp;"|xK",Aux_puntos!$1:$1,0))="",NA(),INDEX(Aux_puntos!$A$2:$OJ$901,428,MATCH($B$2&amp;"|xK",Aux_puntos!$1:$1,0))),NA())</f>
        <v>#N/A</v>
      </c>
      <c r="AD432" t="e">
        <f>IFERROR(IF(INDEX(Aux_puntos!$A$2:$OJ$901,428,MATCH($B$2&amp;"|yK",Aux_puntos!$1:$1,0))="",NA(),INDEX(Aux_puntos!$A$2:$OJ$901,428,MATCH($B$2&amp;"|yK",Aux_puntos!$1:$1,0))),NA())</f>
        <v>#N/A</v>
      </c>
      <c r="AE432" t="e">
        <f>IFERROR(IF(INDEX(Aux_puntos!$A$2:$OJ$901,428,MATCH($B$2&amp;"|xC",Aux_puntos!$1:$1,0))="",NA(),INDEX(Aux_puntos!$A$2:$OJ$901,428,MATCH($B$2&amp;"|xC",Aux_puntos!$1:$1,0))),NA())</f>
        <v>#N/A</v>
      </c>
      <c r="AF432" t="e">
        <f>IFERROR(IF(INDEX(Aux_puntos!$A$2:$OJ$901,428,MATCH($B$2&amp;"|yC",Aux_puntos!$1:$1,0))="",NA(),INDEX(Aux_puntos!$A$2:$OJ$901,428,MATCH($B$2&amp;"|yC",Aux_puntos!$1:$1,0))),NA())</f>
        <v>#N/A</v>
      </c>
      <c r="AG432" t="e">
        <f>IFERROR(IF(INDEX(Aux_puntos!$A$2:$OJ$901,428,MATCH($B$2&amp;"|xI",Aux_puntos!$1:$1,0))="",NA(),INDEX(Aux_puntos!$A$2:$OJ$901,428,MATCH($B$2&amp;"|xI",Aux_puntos!$1:$1,0))),NA())</f>
        <v>#N/A</v>
      </c>
      <c r="AH432" t="e">
        <f>IFERROR(IF(INDEX(Aux_puntos!$A$2:$OJ$901,428,MATCH($B$2&amp;"|yI",Aux_puntos!$1:$1,0))="",NA(),INDEX(Aux_puntos!$A$2:$OJ$901,428,MATCH($B$2&amp;"|yI",Aux_puntos!$1:$1,0))),NA())</f>
        <v>#N/A</v>
      </c>
      <c r="AI432" t="e">
        <f>IFERROR(IF(INDEX(Aux_puntos!$A$2:$OJ$901,428,MATCH($B$2&amp;"|xN",Aux_puntos!$1:$1,0))="",NA(),INDEX(Aux_puntos!$A$2:$OJ$901,428,MATCH($B$2&amp;"|xN",Aux_puntos!$1:$1,0))),NA())</f>
        <v>#N/A</v>
      </c>
      <c r="AJ432" t="e">
        <f>IFERROR(IF(INDEX(Aux_puntos!$A$2:$OJ$901,428,MATCH($B$2&amp;"|yN",Aux_puntos!$1:$1,0))="",NA(),INDEX(Aux_puntos!$A$2:$OJ$901,428,MATCH($B$2&amp;"|yN",Aux_puntos!$1:$1,0))),NA())</f>
        <v>#N/A</v>
      </c>
    </row>
    <row r="433" spans="29:36" x14ac:dyDescent="0.3">
      <c r="AC433" t="e">
        <f>IFERROR(IF(INDEX(Aux_puntos!$A$2:$OJ$901,429,MATCH($B$2&amp;"|xK",Aux_puntos!$1:$1,0))="",NA(),INDEX(Aux_puntos!$A$2:$OJ$901,429,MATCH($B$2&amp;"|xK",Aux_puntos!$1:$1,0))),NA())</f>
        <v>#N/A</v>
      </c>
      <c r="AD433" t="e">
        <f>IFERROR(IF(INDEX(Aux_puntos!$A$2:$OJ$901,429,MATCH($B$2&amp;"|yK",Aux_puntos!$1:$1,0))="",NA(),INDEX(Aux_puntos!$A$2:$OJ$901,429,MATCH($B$2&amp;"|yK",Aux_puntos!$1:$1,0))),NA())</f>
        <v>#N/A</v>
      </c>
      <c r="AE433" t="e">
        <f>IFERROR(IF(INDEX(Aux_puntos!$A$2:$OJ$901,429,MATCH($B$2&amp;"|xC",Aux_puntos!$1:$1,0))="",NA(),INDEX(Aux_puntos!$A$2:$OJ$901,429,MATCH($B$2&amp;"|xC",Aux_puntos!$1:$1,0))),NA())</f>
        <v>#N/A</v>
      </c>
      <c r="AF433" t="e">
        <f>IFERROR(IF(INDEX(Aux_puntos!$A$2:$OJ$901,429,MATCH($B$2&amp;"|yC",Aux_puntos!$1:$1,0))="",NA(),INDEX(Aux_puntos!$A$2:$OJ$901,429,MATCH($B$2&amp;"|yC",Aux_puntos!$1:$1,0))),NA())</f>
        <v>#N/A</v>
      </c>
      <c r="AG433" t="e">
        <f>IFERROR(IF(INDEX(Aux_puntos!$A$2:$OJ$901,429,MATCH($B$2&amp;"|xI",Aux_puntos!$1:$1,0))="",NA(),INDEX(Aux_puntos!$A$2:$OJ$901,429,MATCH($B$2&amp;"|xI",Aux_puntos!$1:$1,0))),NA())</f>
        <v>#N/A</v>
      </c>
      <c r="AH433" t="e">
        <f>IFERROR(IF(INDEX(Aux_puntos!$A$2:$OJ$901,429,MATCH($B$2&amp;"|yI",Aux_puntos!$1:$1,0))="",NA(),INDEX(Aux_puntos!$A$2:$OJ$901,429,MATCH($B$2&amp;"|yI",Aux_puntos!$1:$1,0))),NA())</f>
        <v>#N/A</v>
      </c>
      <c r="AI433" t="e">
        <f>IFERROR(IF(INDEX(Aux_puntos!$A$2:$OJ$901,429,MATCH($B$2&amp;"|xN",Aux_puntos!$1:$1,0))="",NA(),INDEX(Aux_puntos!$A$2:$OJ$901,429,MATCH($B$2&amp;"|xN",Aux_puntos!$1:$1,0))),NA())</f>
        <v>#N/A</v>
      </c>
      <c r="AJ433" t="e">
        <f>IFERROR(IF(INDEX(Aux_puntos!$A$2:$OJ$901,429,MATCH($B$2&amp;"|yN",Aux_puntos!$1:$1,0))="",NA(),INDEX(Aux_puntos!$A$2:$OJ$901,429,MATCH($B$2&amp;"|yN",Aux_puntos!$1:$1,0))),NA())</f>
        <v>#N/A</v>
      </c>
    </row>
    <row r="434" spans="29:36" x14ac:dyDescent="0.3">
      <c r="AC434" t="e">
        <f>IFERROR(IF(INDEX(Aux_puntos!$A$2:$OJ$901,430,MATCH($B$2&amp;"|xK",Aux_puntos!$1:$1,0))="",NA(),INDEX(Aux_puntos!$A$2:$OJ$901,430,MATCH($B$2&amp;"|xK",Aux_puntos!$1:$1,0))),NA())</f>
        <v>#N/A</v>
      </c>
      <c r="AD434" t="e">
        <f>IFERROR(IF(INDEX(Aux_puntos!$A$2:$OJ$901,430,MATCH($B$2&amp;"|yK",Aux_puntos!$1:$1,0))="",NA(),INDEX(Aux_puntos!$A$2:$OJ$901,430,MATCH($B$2&amp;"|yK",Aux_puntos!$1:$1,0))),NA())</f>
        <v>#N/A</v>
      </c>
      <c r="AE434" t="e">
        <f>IFERROR(IF(INDEX(Aux_puntos!$A$2:$OJ$901,430,MATCH($B$2&amp;"|xC",Aux_puntos!$1:$1,0))="",NA(),INDEX(Aux_puntos!$A$2:$OJ$901,430,MATCH($B$2&amp;"|xC",Aux_puntos!$1:$1,0))),NA())</f>
        <v>#N/A</v>
      </c>
      <c r="AF434" t="e">
        <f>IFERROR(IF(INDEX(Aux_puntos!$A$2:$OJ$901,430,MATCH($B$2&amp;"|yC",Aux_puntos!$1:$1,0))="",NA(),INDEX(Aux_puntos!$A$2:$OJ$901,430,MATCH($B$2&amp;"|yC",Aux_puntos!$1:$1,0))),NA())</f>
        <v>#N/A</v>
      </c>
      <c r="AG434" t="e">
        <f>IFERROR(IF(INDEX(Aux_puntos!$A$2:$OJ$901,430,MATCH($B$2&amp;"|xI",Aux_puntos!$1:$1,0))="",NA(),INDEX(Aux_puntos!$A$2:$OJ$901,430,MATCH($B$2&amp;"|xI",Aux_puntos!$1:$1,0))),NA())</f>
        <v>#N/A</v>
      </c>
      <c r="AH434" t="e">
        <f>IFERROR(IF(INDEX(Aux_puntos!$A$2:$OJ$901,430,MATCH($B$2&amp;"|yI",Aux_puntos!$1:$1,0))="",NA(),INDEX(Aux_puntos!$A$2:$OJ$901,430,MATCH($B$2&amp;"|yI",Aux_puntos!$1:$1,0))),NA())</f>
        <v>#N/A</v>
      </c>
      <c r="AI434" t="e">
        <f>IFERROR(IF(INDEX(Aux_puntos!$A$2:$OJ$901,430,MATCH($B$2&amp;"|xN",Aux_puntos!$1:$1,0))="",NA(),INDEX(Aux_puntos!$A$2:$OJ$901,430,MATCH($B$2&amp;"|xN",Aux_puntos!$1:$1,0))),NA())</f>
        <v>#N/A</v>
      </c>
      <c r="AJ434" t="e">
        <f>IFERROR(IF(INDEX(Aux_puntos!$A$2:$OJ$901,430,MATCH($B$2&amp;"|yN",Aux_puntos!$1:$1,0))="",NA(),INDEX(Aux_puntos!$A$2:$OJ$901,430,MATCH($B$2&amp;"|yN",Aux_puntos!$1:$1,0))),NA())</f>
        <v>#N/A</v>
      </c>
    </row>
    <row r="435" spans="29:36" x14ac:dyDescent="0.3">
      <c r="AC435" t="e">
        <f>IFERROR(IF(INDEX(Aux_puntos!$A$2:$OJ$901,431,MATCH($B$2&amp;"|xK",Aux_puntos!$1:$1,0))="",NA(),INDEX(Aux_puntos!$A$2:$OJ$901,431,MATCH($B$2&amp;"|xK",Aux_puntos!$1:$1,0))),NA())</f>
        <v>#N/A</v>
      </c>
      <c r="AD435" t="e">
        <f>IFERROR(IF(INDEX(Aux_puntos!$A$2:$OJ$901,431,MATCH($B$2&amp;"|yK",Aux_puntos!$1:$1,0))="",NA(),INDEX(Aux_puntos!$A$2:$OJ$901,431,MATCH($B$2&amp;"|yK",Aux_puntos!$1:$1,0))),NA())</f>
        <v>#N/A</v>
      </c>
      <c r="AE435" t="e">
        <f>IFERROR(IF(INDEX(Aux_puntos!$A$2:$OJ$901,431,MATCH($B$2&amp;"|xC",Aux_puntos!$1:$1,0))="",NA(),INDEX(Aux_puntos!$A$2:$OJ$901,431,MATCH($B$2&amp;"|xC",Aux_puntos!$1:$1,0))),NA())</f>
        <v>#N/A</v>
      </c>
      <c r="AF435" t="e">
        <f>IFERROR(IF(INDEX(Aux_puntos!$A$2:$OJ$901,431,MATCH($B$2&amp;"|yC",Aux_puntos!$1:$1,0))="",NA(),INDEX(Aux_puntos!$A$2:$OJ$901,431,MATCH($B$2&amp;"|yC",Aux_puntos!$1:$1,0))),NA())</f>
        <v>#N/A</v>
      </c>
      <c r="AG435" t="e">
        <f>IFERROR(IF(INDEX(Aux_puntos!$A$2:$OJ$901,431,MATCH($B$2&amp;"|xI",Aux_puntos!$1:$1,0))="",NA(),INDEX(Aux_puntos!$A$2:$OJ$901,431,MATCH($B$2&amp;"|xI",Aux_puntos!$1:$1,0))),NA())</f>
        <v>#N/A</v>
      </c>
      <c r="AH435" t="e">
        <f>IFERROR(IF(INDEX(Aux_puntos!$A$2:$OJ$901,431,MATCH($B$2&amp;"|yI",Aux_puntos!$1:$1,0))="",NA(),INDEX(Aux_puntos!$A$2:$OJ$901,431,MATCH($B$2&amp;"|yI",Aux_puntos!$1:$1,0))),NA())</f>
        <v>#N/A</v>
      </c>
      <c r="AI435" t="e">
        <f>IFERROR(IF(INDEX(Aux_puntos!$A$2:$OJ$901,431,MATCH($B$2&amp;"|xN",Aux_puntos!$1:$1,0))="",NA(),INDEX(Aux_puntos!$A$2:$OJ$901,431,MATCH($B$2&amp;"|xN",Aux_puntos!$1:$1,0))),NA())</f>
        <v>#N/A</v>
      </c>
      <c r="AJ435" t="e">
        <f>IFERROR(IF(INDEX(Aux_puntos!$A$2:$OJ$901,431,MATCH($B$2&amp;"|yN",Aux_puntos!$1:$1,0))="",NA(),INDEX(Aux_puntos!$A$2:$OJ$901,431,MATCH($B$2&amp;"|yN",Aux_puntos!$1:$1,0))),NA())</f>
        <v>#N/A</v>
      </c>
    </row>
    <row r="436" spans="29:36" x14ac:dyDescent="0.3">
      <c r="AC436" t="e">
        <f>IFERROR(IF(INDEX(Aux_puntos!$A$2:$OJ$901,432,MATCH($B$2&amp;"|xK",Aux_puntos!$1:$1,0))="",NA(),INDEX(Aux_puntos!$A$2:$OJ$901,432,MATCH($B$2&amp;"|xK",Aux_puntos!$1:$1,0))),NA())</f>
        <v>#N/A</v>
      </c>
      <c r="AD436" t="e">
        <f>IFERROR(IF(INDEX(Aux_puntos!$A$2:$OJ$901,432,MATCH($B$2&amp;"|yK",Aux_puntos!$1:$1,0))="",NA(),INDEX(Aux_puntos!$A$2:$OJ$901,432,MATCH($B$2&amp;"|yK",Aux_puntos!$1:$1,0))),NA())</f>
        <v>#N/A</v>
      </c>
      <c r="AE436" t="e">
        <f>IFERROR(IF(INDEX(Aux_puntos!$A$2:$OJ$901,432,MATCH($B$2&amp;"|xC",Aux_puntos!$1:$1,0))="",NA(),INDEX(Aux_puntos!$A$2:$OJ$901,432,MATCH($B$2&amp;"|xC",Aux_puntos!$1:$1,0))),NA())</f>
        <v>#N/A</v>
      </c>
      <c r="AF436" t="e">
        <f>IFERROR(IF(INDEX(Aux_puntos!$A$2:$OJ$901,432,MATCH($B$2&amp;"|yC",Aux_puntos!$1:$1,0))="",NA(),INDEX(Aux_puntos!$A$2:$OJ$901,432,MATCH($B$2&amp;"|yC",Aux_puntos!$1:$1,0))),NA())</f>
        <v>#N/A</v>
      </c>
      <c r="AG436" t="e">
        <f>IFERROR(IF(INDEX(Aux_puntos!$A$2:$OJ$901,432,MATCH($B$2&amp;"|xI",Aux_puntos!$1:$1,0))="",NA(),INDEX(Aux_puntos!$A$2:$OJ$901,432,MATCH($B$2&amp;"|xI",Aux_puntos!$1:$1,0))),NA())</f>
        <v>#N/A</v>
      </c>
      <c r="AH436" t="e">
        <f>IFERROR(IF(INDEX(Aux_puntos!$A$2:$OJ$901,432,MATCH($B$2&amp;"|yI",Aux_puntos!$1:$1,0))="",NA(),INDEX(Aux_puntos!$A$2:$OJ$901,432,MATCH($B$2&amp;"|yI",Aux_puntos!$1:$1,0))),NA())</f>
        <v>#N/A</v>
      </c>
      <c r="AI436" t="e">
        <f>IFERROR(IF(INDEX(Aux_puntos!$A$2:$OJ$901,432,MATCH($B$2&amp;"|xN",Aux_puntos!$1:$1,0))="",NA(),INDEX(Aux_puntos!$A$2:$OJ$901,432,MATCH($B$2&amp;"|xN",Aux_puntos!$1:$1,0))),NA())</f>
        <v>#N/A</v>
      </c>
      <c r="AJ436" t="e">
        <f>IFERROR(IF(INDEX(Aux_puntos!$A$2:$OJ$901,432,MATCH($B$2&amp;"|yN",Aux_puntos!$1:$1,0))="",NA(),INDEX(Aux_puntos!$A$2:$OJ$901,432,MATCH($B$2&amp;"|yN",Aux_puntos!$1:$1,0))),NA())</f>
        <v>#N/A</v>
      </c>
    </row>
    <row r="437" spans="29:36" x14ac:dyDescent="0.3">
      <c r="AC437" t="e">
        <f>IFERROR(IF(INDEX(Aux_puntos!$A$2:$OJ$901,433,MATCH($B$2&amp;"|xK",Aux_puntos!$1:$1,0))="",NA(),INDEX(Aux_puntos!$A$2:$OJ$901,433,MATCH($B$2&amp;"|xK",Aux_puntos!$1:$1,0))),NA())</f>
        <v>#N/A</v>
      </c>
      <c r="AD437" t="e">
        <f>IFERROR(IF(INDEX(Aux_puntos!$A$2:$OJ$901,433,MATCH($B$2&amp;"|yK",Aux_puntos!$1:$1,0))="",NA(),INDEX(Aux_puntos!$A$2:$OJ$901,433,MATCH($B$2&amp;"|yK",Aux_puntos!$1:$1,0))),NA())</f>
        <v>#N/A</v>
      </c>
      <c r="AE437" t="e">
        <f>IFERROR(IF(INDEX(Aux_puntos!$A$2:$OJ$901,433,MATCH($B$2&amp;"|xC",Aux_puntos!$1:$1,0))="",NA(),INDEX(Aux_puntos!$A$2:$OJ$901,433,MATCH($B$2&amp;"|xC",Aux_puntos!$1:$1,0))),NA())</f>
        <v>#N/A</v>
      </c>
      <c r="AF437" t="e">
        <f>IFERROR(IF(INDEX(Aux_puntos!$A$2:$OJ$901,433,MATCH($B$2&amp;"|yC",Aux_puntos!$1:$1,0))="",NA(),INDEX(Aux_puntos!$A$2:$OJ$901,433,MATCH($B$2&amp;"|yC",Aux_puntos!$1:$1,0))),NA())</f>
        <v>#N/A</v>
      </c>
      <c r="AG437" t="e">
        <f>IFERROR(IF(INDEX(Aux_puntos!$A$2:$OJ$901,433,MATCH($B$2&amp;"|xI",Aux_puntos!$1:$1,0))="",NA(),INDEX(Aux_puntos!$A$2:$OJ$901,433,MATCH($B$2&amp;"|xI",Aux_puntos!$1:$1,0))),NA())</f>
        <v>#N/A</v>
      </c>
      <c r="AH437" t="e">
        <f>IFERROR(IF(INDEX(Aux_puntos!$A$2:$OJ$901,433,MATCH($B$2&amp;"|yI",Aux_puntos!$1:$1,0))="",NA(),INDEX(Aux_puntos!$A$2:$OJ$901,433,MATCH($B$2&amp;"|yI",Aux_puntos!$1:$1,0))),NA())</f>
        <v>#N/A</v>
      </c>
      <c r="AI437" t="e">
        <f>IFERROR(IF(INDEX(Aux_puntos!$A$2:$OJ$901,433,MATCH($B$2&amp;"|xN",Aux_puntos!$1:$1,0))="",NA(),INDEX(Aux_puntos!$A$2:$OJ$901,433,MATCH($B$2&amp;"|xN",Aux_puntos!$1:$1,0))),NA())</f>
        <v>#N/A</v>
      </c>
      <c r="AJ437" t="e">
        <f>IFERROR(IF(INDEX(Aux_puntos!$A$2:$OJ$901,433,MATCH($B$2&amp;"|yN",Aux_puntos!$1:$1,0))="",NA(),INDEX(Aux_puntos!$A$2:$OJ$901,433,MATCH($B$2&amp;"|yN",Aux_puntos!$1:$1,0))),NA())</f>
        <v>#N/A</v>
      </c>
    </row>
    <row r="438" spans="29:36" x14ac:dyDescent="0.3">
      <c r="AC438" t="e">
        <f>IFERROR(IF(INDEX(Aux_puntos!$A$2:$OJ$901,434,MATCH($B$2&amp;"|xK",Aux_puntos!$1:$1,0))="",NA(),INDEX(Aux_puntos!$A$2:$OJ$901,434,MATCH($B$2&amp;"|xK",Aux_puntos!$1:$1,0))),NA())</f>
        <v>#N/A</v>
      </c>
      <c r="AD438" t="e">
        <f>IFERROR(IF(INDEX(Aux_puntos!$A$2:$OJ$901,434,MATCH($B$2&amp;"|yK",Aux_puntos!$1:$1,0))="",NA(),INDEX(Aux_puntos!$A$2:$OJ$901,434,MATCH($B$2&amp;"|yK",Aux_puntos!$1:$1,0))),NA())</f>
        <v>#N/A</v>
      </c>
      <c r="AE438" t="e">
        <f>IFERROR(IF(INDEX(Aux_puntos!$A$2:$OJ$901,434,MATCH($B$2&amp;"|xC",Aux_puntos!$1:$1,0))="",NA(),INDEX(Aux_puntos!$A$2:$OJ$901,434,MATCH($B$2&amp;"|xC",Aux_puntos!$1:$1,0))),NA())</f>
        <v>#N/A</v>
      </c>
      <c r="AF438" t="e">
        <f>IFERROR(IF(INDEX(Aux_puntos!$A$2:$OJ$901,434,MATCH($B$2&amp;"|yC",Aux_puntos!$1:$1,0))="",NA(),INDEX(Aux_puntos!$A$2:$OJ$901,434,MATCH($B$2&amp;"|yC",Aux_puntos!$1:$1,0))),NA())</f>
        <v>#N/A</v>
      </c>
      <c r="AG438" t="e">
        <f>IFERROR(IF(INDEX(Aux_puntos!$A$2:$OJ$901,434,MATCH($B$2&amp;"|xI",Aux_puntos!$1:$1,0))="",NA(),INDEX(Aux_puntos!$A$2:$OJ$901,434,MATCH($B$2&amp;"|xI",Aux_puntos!$1:$1,0))),NA())</f>
        <v>#N/A</v>
      </c>
      <c r="AH438" t="e">
        <f>IFERROR(IF(INDEX(Aux_puntos!$A$2:$OJ$901,434,MATCH($B$2&amp;"|yI",Aux_puntos!$1:$1,0))="",NA(),INDEX(Aux_puntos!$A$2:$OJ$901,434,MATCH($B$2&amp;"|yI",Aux_puntos!$1:$1,0))),NA())</f>
        <v>#N/A</v>
      </c>
      <c r="AI438" t="e">
        <f>IFERROR(IF(INDEX(Aux_puntos!$A$2:$OJ$901,434,MATCH($B$2&amp;"|xN",Aux_puntos!$1:$1,0))="",NA(),INDEX(Aux_puntos!$A$2:$OJ$901,434,MATCH($B$2&amp;"|xN",Aux_puntos!$1:$1,0))),NA())</f>
        <v>#N/A</v>
      </c>
      <c r="AJ438" t="e">
        <f>IFERROR(IF(INDEX(Aux_puntos!$A$2:$OJ$901,434,MATCH($B$2&amp;"|yN",Aux_puntos!$1:$1,0))="",NA(),INDEX(Aux_puntos!$A$2:$OJ$901,434,MATCH($B$2&amp;"|yN",Aux_puntos!$1:$1,0))),NA())</f>
        <v>#N/A</v>
      </c>
    </row>
    <row r="439" spans="29:36" x14ac:dyDescent="0.3">
      <c r="AC439" t="e">
        <f>IFERROR(IF(INDEX(Aux_puntos!$A$2:$OJ$901,435,MATCH($B$2&amp;"|xK",Aux_puntos!$1:$1,0))="",NA(),INDEX(Aux_puntos!$A$2:$OJ$901,435,MATCH($B$2&amp;"|xK",Aux_puntos!$1:$1,0))),NA())</f>
        <v>#N/A</v>
      </c>
      <c r="AD439" t="e">
        <f>IFERROR(IF(INDEX(Aux_puntos!$A$2:$OJ$901,435,MATCH($B$2&amp;"|yK",Aux_puntos!$1:$1,0))="",NA(),INDEX(Aux_puntos!$A$2:$OJ$901,435,MATCH($B$2&amp;"|yK",Aux_puntos!$1:$1,0))),NA())</f>
        <v>#N/A</v>
      </c>
      <c r="AE439" t="e">
        <f>IFERROR(IF(INDEX(Aux_puntos!$A$2:$OJ$901,435,MATCH($B$2&amp;"|xC",Aux_puntos!$1:$1,0))="",NA(),INDEX(Aux_puntos!$A$2:$OJ$901,435,MATCH($B$2&amp;"|xC",Aux_puntos!$1:$1,0))),NA())</f>
        <v>#N/A</v>
      </c>
      <c r="AF439" t="e">
        <f>IFERROR(IF(INDEX(Aux_puntos!$A$2:$OJ$901,435,MATCH($B$2&amp;"|yC",Aux_puntos!$1:$1,0))="",NA(),INDEX(Aux_puntos!$A$2:$OJ$901,435,MATCH($B$2&amp;"|yC",Aux_puntos!$1:$1,0))),NA())</f>
        <v>#N/A</v>
      </c>
      <c r="AG439" t="e">
        <f>IFERROR(IF(INDEX(Aux_puntos!$A$2:$OJ$901,435,MATCH($B$2&amp;"|xI",Aux_puntos!$1:$1,0))="",NA(),INDEX(Aux_puntos!$A$2:$OJ$901,435,MATCH($B$2&amp;"|xI",Aux_puntos!$1:$1,0))),NA())</f>
        <v>#N/A</v>
      </c>
      <c r="AH439" t="e">
        <f>IFERROR(IF(INDEX(Aux_puntos!$A$2:$OJ$901,435,MATCH($B$2&amp;"|yI",Aux_puntos!$1:$1,0))="",NA(),INDEX(Aux_puntos!$A$2:$OJ$901,435,MATCH($B$2&amp;"|yI",Aux_puntos!$1:$1,0))),NA())</f>
        <v>#N/A</v>
      </c>
      <c r="AI439" t="e">
        <f>IFERROR(IF(INDEX(Aux_puntos!$A$2:$OJ$901,435,MATCH($B$2&amp;"|xN",Aux_puntos!$1:$1,0))="",NA(),INDEX(Aux_puntos!$A$2:$OJ$901,435,MATCH($B$2&amp;"|xN",Aux_puntos!$1:$1,0))),NA())</f>
        <v>#N/A</v>
      </c>
      <c r="AJ439" t="e">
        <f>IFERROR(IF(INDEX(Aux_puntos!$A$2:$OJ$901,435,MATCH($B$2&amp;"|yN",Aux_puntos!$1:$1,0))="",NA(),INDEX(Aux_puntos!$A$2:$OJ$901,435,MATCH($B$2&amp;"|yN",Aux_puntos!$1:$1,0))),NA())</f>
        <v>#N/A</v>
      </c>
    </row>
    <row r="440" spans="29:36" x14ac:dyDescent="0.3">
      <c r="AC440" t="e">
        <f>IFERROR(IF(INDEX(Aux_puntos!$A$2:$OJ$901,436,MATCH($B$2&amp;"|xK",Aux_puntos!$1:$1,0))="",NA(),INDEX(Aux_puntos!$A$2:$OJ$901,436,MATCH($B$2&amp;"|xK",Aux_puntos!$1:$1,0))),NA())</f>
        <v>#N/A</v>
      </c>
      <c r="AD440" t="e">
        <f>IFERROR(IF(INDEX(Aux_puntos!$A$2:$OJ$901,436,MATCH($B$2&amp;"|yK",Aux_puntos!$1:$1,0))="",NA(),INDEX(Aux_puntos!$A$2:$OJ$901,436,MATCH($B$2&amp;"|yK",Aux_puntos!$1:$1,0))),NA())</f>
        <v>#N/A</v>
      </c>
      <c r="AE440" t="e">
        <f>IFERROR(IF(INDEX(Aux_puntos!$A$2:$OJ$901,436,MATCH($B$2&amp;"|xC",Aux_puntos!$1:$1,0))="",NA(),INDEX(Aux_puntos!$A$2:$OJ$901,436,MATCH($B$2&amp;"|xC",Aux_puntos!$1:$1,0))),NA())</f>
        <v>#N/A</v>
      </c>
      <c r="AF440" t="e">
        <f>IFERROR(IF(INDEX(Aux_puntos!$A$2:$OJ$901,436,MATCH($B$2&amp;"|yC",Aux_puntos!$1:$1,0))="",NA(),INDEX(Aux_puntos!$A$2:$OJ$901,436,MATCH($B$2&amp;"|yC",Aux_puntos!$1:$1,0))),NA())</f>
        <v>#N/A</v>
      </c>
      <c r="AG440" t="e">
        <f>IFERROR(IF(INDEX(Aux_puntos!$A$2:$OJ$901,436,MATCH($B$2&amp;"|xI",Aux_puntos!$1:$1,0))="",NA(),INDEX(Aux_puntos!$A$2:$OJ$901,436,MATCH($B$2&amp;"|xI",Aux_puntos!$1:$1,0))),NA())</f>
        <v>#N/A</v>
      </c>
      <c r="AH440" t="e">
        <f>IFERROR(IF(INDEX(Aux_puntos!$A$2:$OJ$901,436,MATCH($B$2&amp;"|yI",Aux_puntos!$1:$1,0))="",NA(),INDEX(Aux_puntos!$A$2:$OJ$901,436,MATCH($B$2&amp;"|yI",Aux_puntos!$1:$1,0))),NA())</f>
        <v>#N/A</v>
      </c>
      <c r="AI440" t="e">
        <f>IFERROR(IF(INDEX(Aux_puntos!$A$2:$OJ$901,436,MATCH($B$2&amp;"|xN",Aux_puntos!$1:$1,0))="",NA(),INDEX(Aux_puntos!$A$2:$OJ$901,436,MATCH($B$2&amp;"|xN",Aux_puntos!$1:$1,0))),NA())</f>
        <v>#N/A</v>
      </c>
      <c r="AJ440" t="e">
        <f>IFERROR(IF(INDEX(Aux_puntos!$A$2:$OJ$901,436,MATCH($B$2&amp;"|yN",Aux_puntos!$1:$1,0))="",NA(),INDEX(Aux_puntos!$A$2:$OJ$901,436,MATCH($B$2&amp;"|yN",Aux_puntos!$1:$1,0))),NA())</f>
        <v>#N/A</v>
      </c>
    </row>
    <row r="441" spans="29:36" x14ac:dyDescent="0.3">
      <c r="AC441" t="e">
        <f>IFERROR(IF(INDEX(Aux_puntos!$A$2:$OJ$901,437,MATCH($B$2&amp;"|xK",Aux_puntos!$1:$1,0))="",NA(),INDEX(Aux_puntos!$A$2:$OJ$901,437,MATCH($B$2&amp;"|xK",Aux_puntos!$1:$1,0))),NA())</f>
        <v>#N/A</v>
      </c>
      <c r="AD441" t="e">
        <f>IFERROR(IF(INDEX(Aux_puntos!$A$2:$OJ$901,437,MATCH($B$2&amp;"|yK",Aux_puntos!$1:$1,0))="",NA(),INDEX(Aux_puntos!$A$2:$OJ$901,437,MATCH($B$2&amp;"|yK",Aux_puntos!$1:$1,0))),NA())</f>
        <v>#N/A</v>
      </c>
      <c r="AE441" t="e">
        <f>IFERROR(IF(INDEX(Aux_puntos!$A$2:$OJ$901,437,MATCH($B$2&amp;"|xC",Aux_puntos!$1:$1,0))="",NA(),INDEX(Aux_puntos!$A$2:$OJ$901,437,MATCH($B$2&amp;"|xC",Aux_puntos!$1:$1,0))),NA())</f>
        <v>#N/A</v>
      </c>
      <c r="AF441" t="e">
        <f>IFERROR(IF(INDEX(Aux_puntos!$A$2:$OJ$901,437,MATCH($B$2&amp;"|yC",Aux_puntos!$1:$1,0))="",NA(),INDEX(Aux_puntos!$A$2:$OJ$901,437,MATCH($B$2&amp;"|yC",Aux_puntos!$1:$1,0))),NA())</f>
        <v>#N/A</v>
      </c>
      <c r="AG441" t="e">
        <f>IFERROR(IF(INDEX(Aux_puntos!$A$2:$OJ$901,437,MATCH($B$2&amp;"|xI",Aux_puntos!$1:$1,0))="",NA(),INDEX(Aux_puntos!$A$2:$OJ$901,437,MATCH($B$2&amp;"|xI",Aux_puntos!$1:$1,0))),NA())</f>
        <v>#N/A</v>
      </c>
      <c r="AH441" t="e">
        <f>IFERROR(IF(INDEX(Aux_puntos!$A$2:$OJ$901,437,MATCH($B$2&amp;"|yI",Aux_puntos!$1:$1,0))="",NA(),INDEX(Aux_puntos!$A$2:$OJ$901,437,MATCH($B$2&amp;"|yI",Aux_puntos!$1:$1,0))),NA())</f>
        <v>#N/A</v>
      </c>
      <c r="AI441" t="e">
        <f>IFERROR(IF(INDEX(Aux_puntos!$A$2:$OJ$901,437,MATCH($B$2&amp;"|xN",Aux_puntos!$1:$1,0))="",NA(),INDEX(Aux_puntos!$A$2:$OJ$901,437,MATCH($B$2&amp;"|xN",Aux_puntos!$1:$1,0))),NA())</f>
        <v>#N/A</v>
      </c>
      <c r="AJ441" t="e">
        <f>IFERROR(IF(INDEX(Aux_puntos!$A$2:$OJ$901,437,MATCH($B$2&amp;"|yN",Aux_puntos!$1:$1,0))="",NA(),INDEX(Aux_puntos!$A$2:$OJ$901,437,MATCH($B$2&amp;"|yN",Aux_puntos!$1:$1,0))),NA())</f>
        <v>#N/A</v>
      </c>
    </row>
    <row r="442" spans="29:36" x14ac:dyDescent="0.3">
      <c r="AC442" t="e">
        <f>IFERROR(IF(INDEX(Aux_puntos!$A$2:$OJ$901,438,MATCH($B$2&amp;"|xK",Aux_puntos!$1:$1,0))="",NA(),INDEX(Aux_puntos!$A$2:$OJ$901,438,MATCH($B$2&amp;"|xK",Aux_puntos!$1:$1,0))),NA())</f>
        <v>#N/A</v>
      </c>
      <c r="AD442" t="e">
        <f>IFERROR(IF(INDEX(Aux_puntos!$A$2:$OJ$901,438,MATCH($B$2&amp;"|yK",Aux_puntos!$1:$1,0))="",NA(),INDEX(Aux_puntos!$A$2:$OJ$901,438,MATCH($B$2&amp;"|yK",Aux_puntos!$1:$1,0))),NA())</f>
        <v>#N/A</v>
      </c>
      <c r="AE442" t="e">
        <f>IFERROR(IF(INDEX(Aux_puntos!$A$2:$OJ$901,438,MATCH($B$2&amp;"|xC",Aux_puntos!$1:$1,0))="",NA(),INDEX(Aux_puntos!$A$2:$OJ$901,438,MATCH($B$2&amp;"|xC",Aux_puntos!$1:$1,0))),NA())</f>
        <v>#N/A</v>
      </c>
      <c r="AF442" t="e">
        <f>IFERROR(IF(INDEX(Aux_puntos!$A$2:$OJ$901,438,MATCH($B$2&amp;"|yC",Aux_puntos!$1:$1,0))="",NA(),INDEX(Aux_puntos!$A$2:$OJ$901,438,MATCH($B$2&amp;"|yC",Aux_puntos!$1:$1,0))),NA())</f>
        <v>#N/A</v>
      </c>
      <c r="AG442" t="e">
        <f>IFERROR(IF(INDEX(Aux_puntos!$A$2:$OJ$901,438,MATCH($B$2&amp;"|xI",Aux_puntos!$1:$1,0))="",NA(),INDEX(Aux_puntos!$A$2:$OJ$901,438,MATCH($B$2&amp;"|xI",Aux_puntos!$1:$1,0))),NA())</f>
        <v>#N/A</v>
      </c>
      <c r="AH442" t="e">
        <f>IFERROR(IF(INDEX(Aux_puntos!$A$2:$OJ$901,438,MATCH($B$2&amp;"|yI",Aux_puntos!$1:$1,0))="",NA(),INDEX(Aux_puntos!$A$2:$OJ$901,438,MATCH($B$2&amp;"|yI",Aux_puntos!$1:$1,0))),NA())</f>
        <v>#N/A</v>
      </c>
      <c r="AI442" t="e">
        <f>IFERROR(IF(INDEX(Aux_puntos!$A$2:$OJ$901,438,MATCH($B$2&amp;"|xN",Aux_puntos!$1:$1,0))="",NA(),INDEX(Aux_puntos!$A$2:$OJ$901,438,MATCH($B$2&amp;"|xN",Aux_puntos!$1:$1,0))),NA())</f>
        <v>#N/A</v>
      </c>
      <c r="AJ442" t="e">
        <f>IFERROR(IF(INDEX(Aux_puntos!$A$2:$OJ$901,438,MATCH($B$2&amp;"|yN",Aux_puntos!$1:$1,0))="",NA(),INDEX(Aux_puntos!$A$2:$OJ$901,438,MATCH($B$2&amp;"|yN",Aux_puntos!$1:$1,0))),NA())</f>
        <v>#N/A</v>
      </c>
    </row>
    <row r="443" spans="29:36" x14ac:dyDescent="0.3">
      <c r="AC443" t="e">
        <f>IFERROR(IF(INDEX(Aux_puntos!$A$2:$OJ$901,439,MATCH($B$2&amp;"|xK",Aux_puntos!$1:$1,0))="",NA(),INDEX(Aux_puntos!$A$2:$OJ$901,439,MATCH($B$2&amp;"|xK",Aux_puntos!$1:$1,0))),NA())</f>
        <v>#N/A</v>
      </c>
      <c r="AD443" t="e">
        <f>IFERROR(IF(INDEX(Aux_puntos!$A$2:$OJ$901,439,MATCH($B$2&amp;"|yK",Aux_puntos!$1:$1,0))="",NA(),INDEX(Aux_puntos!$A$2:$OJ$901,439,MATCH($B$2&amp;"|yK",Aux_puntos!$1:$1,0))),NA())</f>
        <v>#N/A</v>
      </c>
      <c r="AE443" t="e">
        <f>IFERROR(IF(INDEX(Aux_puntos!$A$2:$OJ$901,439,MATCH($B$2&amp;"|xC",Aux_puntos!$1:$1,0))="",NA(),INDEX(Aux_puntos!$A$2:$OJ$901,439,MATCH($B$2&amp;"|xC",Aux_puntos!$1:$1,0))),NA())</f>
        <v>#N/A</v>
      </c>
      <c r="AF443" t="e">
        <f>IFERROR(IF(INDEX(Aux_puntos!$A$2:$OJ$901,439,MATCH($B$2&amp;"|yC",Aux_puntos!$1:$1,0))="",NA(),INDEX(Aux_puntos!$A$2:$OJ$901,439,MATCH($B$2&amp;"|yC",Aux_puntos!$1:$1,0))),NA())</f>
        <v>#N/A</v>
      </c>
      <c r="AG443" t="e">
        <f>IFERROR(IF(INDEX(Aux_puntos!$A$2:$OJ$901,439,MATCH($B$2&amp;"|xI",Aux_puntos!$1:$1,0))="",NA(),INDEX(Aux_puntos!$A$2:$OJ$901,439,MATCH($B$2&amp;"|xI",Aux_puntos!$1:$1,0))),NA())</f>
        <v>#N/A</v>
      </c>
      <c r="AH443" t="e">
        <f>IFERROR(IF(INDEX(Aux_puntos!$A$2:$OJ$901,439,MATCH($B$2&amp;"|yI",Aux_puntos!$1:$1,0))="",NA(),INDEX(Aux_puntos!$A$2:$OJ$901,439,MATCH($B$2&amp;"|yI",Aux_puntos!$1:$1,0))),NA())</f>
        <v>#N/A</v>
      </c>
      <c r="AI443" t="e">
        <f>IFERROR(IF(INDEX(Aux_puntos!$A$2:$OJ$901,439,MATCH($B$2&amp;"|xN",Aux_puntos!$1:$1,0))="",NA(),INDEX(Aux_puntos!$A$2:$OJ$901,439,MATCH($B$2&amp;"|xN",Aux_puntos!$1:$1,0))),NA())</f>
        <v>#N/A</v>
      </c>
      <c r="AJ443" t="e">
        <f>IFERROR(IF(INDEX(Aux_puntos!$A$2:$OJ$901,439,MATCH($B$2&amp;"|yN",Aux_puntos!$1:$1,0))="",NA(),INDEX(Aux_puntos!$A$2:$OJ$901,439,MATCH($B$2&amp;"|yN",Aux_puntos!$1:$1,0))),NA())</f>
        <v>#N/A</v>
      </c>
    </row>
    <row r="444" spans="29:36" x14ac:dyDescent="0.3">
      <c r="AC444" t="e">
        <f>IFERROR(IF(INDEX(Aux_puntos!$A$2:$OJ$901,440,MATCH($B$2&amp;"|xK",Aux_puntos!$1:$1,0))="",NA(),INDEX(Aux_puntos!$A$2:$OJ$901,440,MATCH($B$2&amp;"|xK",Aux_puntos!$1:$1,0))),NA())</f>
        <v>#N/A</v>
      </c>
      <c r="AD444" t="e">
        <f>IFERROR(IF(INDEX(Aux_puntos!$A$2:$OJ$901,440,MATCH($B$2&amp;"|yK",Aux_puntos!$1:$1,0))="",NA(),INDEX(Aux_puntos!$A$2:$OJ$901,440,MATCH($B$2&amp;"|yK",Aux_puntos!$1:$1,0))),NA())</f>
        <v>#N/A</v>
      </c>
      <c r="AE444" t="e">
        <f>IFERROR(IF(INDEX(Aux_puntos!$A$2:$OJ$901,440,MATCH($B$2&amp;"|xC",Aux_puntos!$1:$1,0))="",NA(),INDEX(Aux_puntos!$A$2:$OJ$901,440,MATCH($B$2&amp;"|xC",Aux_puntos!$1:$1,0))),NA())</f>
        <v>#N/A</v>
      </c>
      <c r="AF444" t="e">
        <f>IFERROR(IF(INDEX(Aux_puntos!$A$2:$OJ$901,440,MATCH($B$2&amp;"|yC",Aux_puntos!$1:$1,0))="",NA(),INDEX(Aux_puntos!$A$2:$OJ$901,440,MATCH($B$2&amp;"|yC",Aux_puntos!$1:$1,0))),NA())</f>
        <v>#N/A</v>
      </c>
      <c r="AG444" t="e">
        <f>IFERROR(IF(INDEX(Aux_puntos!$A$2:$OJ$901,440,MATCH($B$2&amp;"|xI",Aux_puntos!$1:$1,0))="",NA(),INDEX(Aux_puntos!$A$2:$OJ$901,440,MATCH($B$2&amp;"|xI",Aux_puntos!$1:$1,0))),NA())</f>
        <v>#N/A</v>
      </c>
      <c r="AH444" t="e">
        <f>IFERROR(IF(INDEX(Aux_puntos!$A$2:$OJ$901,440,MATCH($B$2&amp;"|yI",Aux_puntos!$1:$1,0))="",NA(),INDEX(Aux_puntos!$A$2:$OJ$901,440,MATCH($B$2&amp;"|yI",Aux_puntos!$1:$1,0))),NA())</f>
        <v>#N/A</v>
      </c>
      <c r="AI444" t="e">
        <f>IFERROR(IF(INDEX(Aux_puntos!$A$2:$OJ$901,440,MATCH($B$2&amp;"|xN",Aux_puntos!$1:$1,0))="",NA(),INDEX(Aux_puntos!$A$2:$OJ$901,440,MATCH($B$2&amp;"|xN",Aux_puntos!$1:$1,0))),NA())</f>
        <v>#N/A</v>
      </c>
      <c r="AJ444" t="e">
        <f>IFERROR(IF(INDEX(Aux_puntos!$A$2:$OJ$901,440,MATCH($B$2&amp;"|yN",Aux_puntos!$1:$1,0))="",NA(),INDEX(Aux_puntos!$A$2:$OJ$901,440,MATCH($B$2&amp;"|yN",Aux_puntos!$1:$1,0))),NA())</f>
        <v>#N/A</v>
      </c>
    </row>
    <row r="445" spans="29:36" x14ac:dyDescent="0.3">
      <c r="AC445" t="e">
        <f>IFERROR(IF(INDEX(Aux_puntos!$A$2:$OJ$901,441,MATCH($B$2&amp;"|xK",Aux_puntos!$1:$1,0))="",NA(),INDEX(Aux_puntos!$A$2:$OJ$901,441,MATCH($B$2&amp;"|xK",Aux_puntos!$1:$1,0))),NA())</f>
        <v>#N/A</v>
      </c>
      <c r="AD445" t="e">
        <f>IFERROR(IF(INDEX(Aux_puntos!$A$2:$OJ$901,441,MATCH($B$2&amp;"|yK",Aux_puntos!$1:$1,0))="",NA(),INDEX(Aux_puntos!$A$2:$OJ$901,441,MATCH($B$2&amp;"|yK",Aux_puntos!$1:$1,0))),NA())</f>
        <v>#N/A</v>
      </c>
      <c r="AE445" t="e">
        <f>IFERROR(IF(INDEX(Aux_puntos!$A$2:$OJ$901,441,MATCH($B$2&amp;"|xC",Aux_puntos!$1:$1,0))="",NA(),INDEX(Aux_puntos!$A$2:$OJ$901,441,MATCH($B$2&amp;"|xC",Aux_puntos!$1:$1,0))),NA())</f>
        <v>#N/A</v>
      </c>
      <c r="AF445" t="e">
        <f>IFERROR(IF(INDEX(Aux_puntos!$A$2:$OJ$901,441,MATCH($B$2&amp;"|yC",Aux_puntos!$1:$1,0))="",NA(),INDEX(Aux_puntos!$A$2:$OJ$901,441,MATCH($B$2&amp;"|yC",Aux_puntos!$1:$1,0))),NA())</f>
        <v>#N/A</v>
      </c>
      <c r="AG445" t="e">
        <f>IFERROR(IF(INDEX(Aux_puntos!$A$2:$OJ$901,441,MATCH($B$2&amp;"|xI",Aux_puntos!$1:$1,0))="",NA(),INDEX(Aux_puntos!$A$2:$OJ$901,441,MATCH($B$2&amp;"|xI",Aux_puntos!$1:$1,0))),NA())</f>
        <v>#N/A</v>
      </c>
      <c r="AH445" t="e">
        <f>IFERROR(IF(INDEX(Aux_puntos!$A$2:$OJ$901,441,MATCH($B$2&amp;"|yI",Aux_puntos!$1:$1,0))="",NA(),INDEX(Aux_puntos!$A$2:$OJ$901,441,MATCH($B$2&amp;"|yI",Aux_puntos!$1:$1,0))),NA())</f>
        <v>#N/A</v>
      </c>
      <c r="AI445" t="e">
        <f>IFERROR(IF(INDEX(Aux_puntos!$A$2:$OJ$901,441,MATCH($B$2&amp;"|xN",Aux_puntos!$1:$1,0))="",NA(),INDEX(Aux_puntos!$A$2:$OJ$901,441,MATCH($B$2&amp;"|xN",Aux_puntos!$1:$1,0))),NA())</f>
        <v>#N/A</v>
      </c>
      <c r="AJ445" t="e">
        <f>IFERROR(IF(INDEX(Aux_puntos!$A$2:$OJ$901,441,MATCH($B$2&amp;"|yN",Aux_puntos!$1:$1,0))="",NA(),INDEX(Aux_puntos!$A$2:$OJ$901,441,MATCH($B$2&amp;"|yN",Aux_puntos!$1:$1,0))),NA())</f>
        <v>#N/A</v>
      </c>
    </row>
    <row r="446" spans="29:36" x14ac:dyDescent="0.3">
      <c r="AC446" t="e">
        <f>IFERROR(IF(INDEX(Aux_puntos!$A$2:$OJ$901,442,MATCH($B$2&amp;"|xK",Aux_puntos!$1:$1,0))="",NA(),INDEX(Aux_puntos!$A$2:$OJ$901,442,MATCH($B$2&amp;"|xK",Aux_puntos!$1:$1,0))),NA())</f>
        <v>#N/A</v>
      </c>
      <c r="AD446" t="e">
        <f>IFERROR(IF(INDEX(Aux_puntos!$A$2:$OJ$901,442,MATCH($B$2&amp;"|yK",Aux_puntos!$1:$1,0))="",NA(),INDEX(Aux_puntos!$A$2:$OJ$901,442,MATCH($B$2&amp;"|yK",Aux_puntos!$1:$1,0))),NA())</f>
        <v>#N/A</v>
      </c>
      <c r="AE446" t="e">
        <f>IFERROR(IF(INDEX(Aux_puntos!$A$2:$OJ$901,442,MATCH($B$2&amp;"|xC",Aux_puntos!$1:$1,0))="",NA(),INDEX(Aux_puntos!$A$2:$OJ$901,442,MATCH($B$2&amp;"|xC",Aux_puntos!$1:$1,0))),NA())</f>
        <v>#N/A</v>
      </c>
      <c r="AF446" t="e">
        <f>IFERROR(IF(INDEX(Aux_puntos!$A$2:$OJ$901,442,MATCH($B$2&amp;"|yC",Aux_puntos!$1:$1,0))="",NA(),INDEX(Aux_puntos!$A$2:$OJ$901,442,MATCH($B$2&amp;"|yC",Aux_puntos!$1:$1,0))),NA())</f>
        <v>#N/A</v>
      </c>
      <c r="AG446" t="e">
        <f>IFERROR(IF(INDEX(Aux_puntos!$A$2:$OJ$901,442,MATCH($B$2&amp;"|xI",Aux_puntos!$1:$1,0))="",NA(),INDEX(Aux_puntos!$A$2:$OJ$901,442,MATCH($B$2&amp;"|xI",Aux_puntos!$1:$1,0))),NA())</f>
        <v>#N/A</v>
      </c>
      <c r="AH446" t="e">
        <f>IFERROR(IF(INDEX(Aux_puntos!$A$2:$OJ$901,442,MATCH($B$2&amp;"|yI",Aux_puntos!$1:$1,0))="",NA(),INDEX(Aux_puntos!$A$2:$OJ$901,442,MATCH($B$2&amp;"|yI",Aux_puntos!$1:$1,0))),NA())</f>
        <v>#N/A</v>
      </c>
      <c r="AI446" t="e">
        <f>IFERROR(IF(INDEX(Aux_puntos!$A$2:$OJ$901,442,MATCH($B$2&amp;"|xN",Aux_puntos!$1:$1,0))="",NA(),INDEX(Aux_puntos!$A$2:$OJ$901,442,MATCH($B$2&amp;"|xN",Aux_puntos!$1:$1,0))),NA())</f>
        <v>#N/A</v>
      </c>
      <c r="AJ446" t="e">
        <f>IFERROR(IF(INDEX(Aux_puntos!$A$2:$OJ$901,442,MATCH($B$2&amp;"|yN",Aux_puntos!$1:$1,0))="",NA(),INDEX(Aux_puntos!$A$2:$OJ$901,442,MATCH($B$2&amp;"|yN",Aux_puntos!$1:$1,0))),NA())</f>
        <v>#N/A</v>
      </c>
    </row>
    <row r="447" spans="29:36" x14ac:dyDescent="0.3">
      <c r="AC447" t="e">
        <f>IFERROR(IF(INDEX(Aux_puntos!$A$2:$OJ$901,443,MATCH($B$2&amp;"|xK",Aux_puntos!$1:$1,0))="",NA(),INDEX(Aux_puntos!$A$2:$OJ$901,443,MATCH($B$2&amp;"|xK",Aux_puntos!$1:$1,0))),NA())</f>
        <v>#N/A</v>
      </c>
      <c r="AD447" t="e">
        <f>IFERROR(IF(INDEX(Aux_puntos!$A$2:$OJ$901,443,MATCH($B$2&amp;"|yK",Aux_puntos!$1:$1,0))="",NA(),INDEX(Aux_puntos!$A$2:$OJ$901,443,MATCH($B$2&amp;"|yK",Aux_puntos!$1:$1,0))),NA())</f>
        <v>#N/A</v>
      </c>
      <c r="AE447" t="e">
        <f>IFERROR(IF(INDEX(Aux_puntos!$A$2:$OJ$901,443,MATCH($B$2&amp;"|xC",Aux_puntos!$1:$1,0))="",NA(),INDEX(Aux_puntos!$A$2:$OJ$901,443,MATCH($B$2&amp;"|xC",Aux_puntos!$1:$1,0))),NA())</f>
        <v>#N/A</v>
      </c>
      <c r="AF447" t="e">
        <f>IFERROR(IF(INDEX(Aux_puntos!$A$2:$OJ$901,443,MATCH($B$2&amp;"|yC",Aux_puntos!$1:$1,0))="",NA(),INDEX(Aux_puntos!$A$2:$OJ$901,443,MATCH($B$2&amp;"|yC",Aux_puntos!$1:$1,0))),NA())</f>
        <v>#N/A</v>
      </c>
      <c r="AG447" t="e">
        <f>IFERROR(IF(INDEX(Aux_puntos!$A$2:$OJ$901,443,MATCH($B$2&amp;"|xI",Aux_puntos!$1:$1,0))="",NA(),INDEX(Aux_puntos!$A$2:$OJ$901,443,MATCH($B$2&amp;"|xI",Aux_puntos!$1:$1,0))),NA())</f>
        <v>#N/A</v>
      </c>
      <c r="AH447" t="e">
        <f>IFERROR(IF(INDEX(Aux_puntos!$A$2:$OJ$901,443,MATCH($B$2&amp;"|yI",Aux_puntos!$1:$1,0))="",NA(),INDEX(Aux_puntos!$A$2:$OJ$901,443,MATCH($B$2&amp;"|yI",Aux_puntos!$1:$1,0))),NA())</f>
        <v>#N/A</v>
      </c>
      <c r="AI447" t="e">
        <f>IFERROR(IF(INDEX(Aux_puntos!$A$2:$OJ$901,443,MATCH($B$2&amp;"|xN",Aux_puntos!$1:$1,0))="",NA(),INDEX(Aux_puntos!$A$2:$OJ$901,443,MATCH($B$2&amp;"|xN",Aux_puntos!$1:$1,0))),NA())</f>
        <v>#N/A</v>
      </c>
      <c r="AJ447" t="e">
        <f>IFERROR(IF(INDEX(Aux_puntos!$A$2:$OJ$901,443,MATCH($B$2&amp;"|yN",Aux_puntos!$1:$1,0))="",NA(),INDEX(Aux_puntos!$A$2:$OJ$901,443,MATCH($B$2&amp;"|yN",Aux_puntos!$1:$1,0))),NA())</f>
        <v>#N/A</v>
      </c>
    </row>
    <row r="448" spans="29:36" x14ac:dyDescent="0.3">
      <c r="AC448" t="e">
        <f>IFERROR(IF(INDEX(Aux_puntos!$A$2:$OJ$901,444,MATCH($B$2&amp;"|xK",Aux_puntos!$1:$1,0))="",NA(),INDEX(Aux_puntos!$A$2:$OJ$901,444,MATCH($B$2&amp;"|xK",Aux_puntos!$1:$1,0))),NA())</f>
        <v>#N/A</v>
      </c>
      <c r="AD448" t="e">
        <f>IFERROR(IF(INDEX(Aux_puntos!$A$2:$OJ$901,444,MATCH($B$2&amp;"|yK",Aux_puntos!$1:$1,0))="",NA(),INDEX(Aux_puntos!$A$2:$OJ$901,444,MATCH($B$2&amp;"|yK",Aux_puntos!$1:$1,0))),NA())</f>
        <v>#N/A</v>
      </c>
      <c r="AE448" t="e">
        <f>IFERROR(IF(INDEX(Aux_puntos!$A$2:$OJ$901,444,MATCH($B$2&amp;"|xC",Aux_puntos!$1:$1,0))="",NA(),INDEX(Aux_puntos!$A$2:$OJ$901,444,MATCH($B$2&amp;"|xC",Aux_puntos!$1:$1,0))),NA())</f>
        <v>#N/A</v>
      </c>
      <c r="AF448" t="e">
        <f>IFERROR(IF(INDEX(Aux_puntos!$A$2:$OJ$901,444,MATCH($B$2&amp;"|yC",Aux_puntos!$1:$1,0))="",NA(),INDEX(Aux_puntos!$A$2:$OJ$901,444,MATCH($B$2&amp;"|yC",Aux_puntos!$1:$1,0))),NA())</f>
        <v>#N/A</v>
      </c>
      <c r="AG448" t="e">
        <f>IFERROR(IF(INDEX(Aux_puntos!$A$2:$OJ$901,444,MATCH($B$2&amp;"|xI",Aux_puntos!$1:$1,0))="",NA(),INDEX(Aux_puntos!$A$2:$OJ$901,444,MATCH($B$2&amp;"|xI",Aux_puntos!$1:$1,0))),NA())</f>
        <v>#N/A</v>
      </c>
      <c r="AH448" t="e">
        <f>IFERROR(IF(INDEX(Aux_puntos!$A$2:$OJ$901,444,MATCH($B$2&amp;"|yI",Aux_puntos!$1:$1,0))="",NA(),INDEX(Aux_puntos!$A$2:$OJ$901,444,MATCH($B$2&amp;"|yI",Aux_puntos!$1:$1,0))),NA())</f>
        <v>#N/A</v>
      </c>
      <c r="AI448" t="e">
        <f>IFERROR(IF(INDEX(Aux_puntos!$A$2:$OJ$901,444,MATCH($B$2&amp;"|xN",Aux_puntos!$1:$1,0))="",NA(),INDEX(Aux_puntos!$A$2:$OJ$901,444,MATCH($B$2&amp;"|xN",Aux_puntos!$1:$1,0))),NA())</f>
        <v>#N/A</v>
      </c>
      <c r="AJ448" t="e">
        <f>IFERROR(IF(INDEX(Aux_puntos!$A$2:$OJ$901,444,MATCH($B$2&amp;"|yN",Aux_puntos!$1:$1,0))="",NA(),INDEX(Aux_puntos!$A$2:$OJ$901,444,MATCH($B$2&amp;"|yN",Aux_puntos!$1:$1,0))),NA())</f>
        <v>#N/A</v>
      </c>
    </row>
    <row r="449" spans="29:36" x14ac:dyDescent="0.3">
      <c r="AC449" t="e">
        <f>IFERROR(IF(INDEX(Aux_puntos!$A$2:$OJ$901,445,MATCH($B$2&amp;"|xK",Aux_puntos!$1:$1,0))="",NA(),INDEX(Aux_puntos!$A$2:$OJ$901,445,MATCH($B$2&amp;"|xK",Aux_puntos!$1:$1,0))),NA())</f>
        <v>#N/A</v>
      </c>
      <c r="AD449" t="e">
        <f>IFERROR(IF(INDEX(Aux_puntos!$A$2:$OJ$901,445,MATCH($B$2&amp;"|yK",Aux_puntos!$1:$1,0))="",NA(),INDEX(Aux_puntos!$A$2:$OJ$901,445,MATCH($B$2&amp;"|yK",Aux_puntos!$1:$1,0))),NA())</f>
        <v>#N/A</v>
      </c>
      <c r="AE449" t="e">
        <f>IFERROR(IF(INDEX(Aux_puntos!$A$2:$OJ$901,445,MATCH($B$2&amp;"|xC",Aux_puntos!$1:$1,0))="",NA(),INDEX(Aux_puntos!$A$2:$OJ$901,445,MATCH($B$2&amp;"|xC",Aux_puntos!$1:$1,0))),NA())</f>
        <v>#N/A</v>
      </c>
      <c r="AF449" t="e">
        <f>IFERROR(IF(INDEX(Aux_puntos!$A$2:$OJ$901,445,MATCH($B$2&amp;"|yC",Aux_puntos!$1:$1,0))="",NA(),INDEX(Aux_puntos!$A$2:$OJ$901,445,MATCH($B$2&amp;"|yC",Aux_puntos!$1:$1,0))),NA())</f>
        <v>#N/A</v>
      </c>
      <c r="AG449" t="e">
        <f>IFERROR(IF(INDEX(Aux_puntos!$A$2:$OJ$901,445,MATCH($B$2&amp;"|xI",Aux_puntos!$1:$1,0))="",NA(),INDEX(Aux_puntos!$A$2:$OJ$901,445,MATCH($B$2&amp;"|xI",Aux_puntos!$1:$1,0))),NA())</f>
        <v>#N/A</v>
      </c>
      <c r="AH449" t="e">
        <f>IFERROR(IF(INDEX(Aux_puntos!$A$2:$OJ$901,445,MATCH($B$2&amp;"|yI",Aux_puntos!$1:$1,0))="",NA(),INDEX(Aux_puntos!$A$2:$OJ$901,445,MATCH($B$2&amp;"|yI",Aux_puntos!$1:$1,0))),NA())</f>
        <v>#N/A</v>
      </c>
      <c r="AI449" t="e">
        <f>IFERROR(IF(INDEX(Aux_puntos!$A$2:$OJ$901,445,MATCH($B$2&amp;"|xN",Aux_puntos!$1:$1,0))="",NA(),INDEX(Aux_puntos!$A$2:$OJ$901,445,MATCH($B$2&amp;"|xN",Aux_puntos!$1:$1,0))),NA())</f>
        <v>#N/A</v>
      </c>
      <c r="AJ449" t="e">
        <f>IFERROR(IF(INDEX(Aux_puntos!$A$2:$OJ$901,445,MATCH($B$2&amp;"|yN",Aux_puntos!$1:$1,0))="",NA(),INDEX(Aux_puntos!$A$2:$OJ$901,445,MATCH($B$2&amp;"|yN",Aux_puntos!$1:$1,0))),NA())</f>
        <v>#N/A</v>
      </c>
    </row>
    <row r="450" spans="29:36" x14ac:dyDescent="0.3">
      <c r="AC450" t="e">
        <f>IFERROR(IF(INDEX(Aux_puntos!$A$2:$OJ$901,446,MATCH($B$2&amp;"|xK",Aux_puntos!$1:$1,0))="",NA(),INDEX(Aux_puntos!$A$2:$OJ$901,446,MATCH($B$2&amp;"|xK",Aux_puntos!$1:$1,0))),NA())</f>
        <v>#N/A</v>
      </c>
      <c r="AD450" t="e">
        <f>IFERROR(IF(INDEX(Aux_puntos!$A$2:$OJ$901,446,MATCH($B$2&amp;"|yK",Aux_puntos!$1:$1,0))="",NA(),INDEX(Aux_puntos!$A$2:$OJ$901,446,MATCH($B$2&amp;"|yK",Aux_puntos!$1:$1,0))),NA())</f>
        <v>#N/A</v>
      </c>
      <c r="AE450" t="e">
        <f>IFERROR(IF(INDEX(Aux_puntos!$A$2:$OJ$901,446,MATCH($B$2&amp;"|xC",Aux_puntos!$1:$1,0))="",NA(),INDEX(Aux_puntos!$A$2:$OJ$901,446,MATCH($B$2&amp;"|xC",Aux_puntos!$1:$1,0))),NA())</f>
        <v>#N/A</v>
      </c>
      <c r="AF450" t="e">
        <f>IFERROR(IF(INDEX(Aux_puntos!$A$2:$OJ$901,446,MATCH($B$2&amp;"|yC",Aux_puntos!$1:$1,0))="",NA(),INDEX(Aux_puntos!$A$2:$OJ$901,446,MATCH($B$2&amp;"|yC",Aux_puntos!$1:$1,0))),NA())</f>
        <v>#N/A</v>
      </c>
      <c r="AG450" t="e">
        <f>IFERROR(IF(INDEX(Aux_puntos!$A$2:$OJ$901,446,MATCH($B$2&amp;"|xI",Aux_puntos!$1:$1,0))="",NA(),INDEX(Aux_puntos!$A$2:$OJ$901,446,MATCH($B$2&amp;"|xI",Aux_puntos!$1:$1,0))),NA())</f>
        <v>#N/A</v>
      </c>
      <c r="AH450" t="e">
        <f>IFERROR(IF(INDEX(Aux_puntos!$A$2:$OJ$901,446,MATCH($B$2&amp;"|yI",Aux_puntos!$1:$1,0))="",NA(),INDEX(Aux_puntos!$A$2:$OJ$901,446,MATCH($B$2&amp;"|yI",Aux_puntos!$1:$1,0))),NA())</f>
        <v>#N/A</v>
      </c>
      <c r="AI450" t="e">
        <f>IFERROR(IF(INDEX(Aux_puntos!$A$2:$OJ$901,446,MATCH($B$2&amp;"|xN",Aux_puntos!$1:$1,0))="",NA(),INDEX(Aux_puntos!$A$2:$OJ$901,446,MATCH($B$2&amp;"|xN",Aux_puntos!$1:$1,0))),NA())</f>
        <v>#N/A</v>
      </c>
      <c r="AJ450" t="e">
        <f>IFERROR(IF(INDEX(Aux_puntos!$A$2:$OJ$901,446,MATCH($B$2&amp;"|yN",Aux_puntos!$1:$1,0))="",NA(),INDEX(Aux_puntos!$A$2:$OJ$901,446,MATCH($B$2&amp;"|yN",Aux_puntos!$1:$1,0))),NA())</f>
        <v>#N/A</v>
      </c>
    </row>
    <row r="451" spans="29:36" x14ac:dyDescent="0.3">
      <c r="AC451" t="e">
        <f>IFERROR(IF(INDEX(Aux_puntos!$A$2:$OJ$901,447,MATCH($B$2&amp;"|xK",Aux_puntos!$1:$1,0))="",NA(),INDEX(Aux_puntos!$A$2:$OJ$901,447,MATCH($B$2&amp;"|xK",Aux_puntos!$1:$1,0))),NA())</f>
        <v>#N/A</v>
      </c>
      <c r="AD451" t="e">
        <f>IFERROR(IF(INDEX(Aux_puntos!$A$2:$OJ$901,447,MATCH($B$2&amp;"|yK",Aux_puntos!$1:$1,0))="",NA(),INDEX(Aux_puntos!$A$2:$OJ$901,447,MATCH($B$2&amp;"|yK",Aux_puntos!$1:$1,0))),NA())</f>
        <v>#N/A</v>
      </c>
      <c r="AE451" t="e">
        <f>IFERROR(IF(INDEX(Aux_puntos!$A$2:$OJ$901,447,MATCH($B$2&amp;"|xC",Aux_puntos!$1:$1,0))="",NA(),INDEX(Aux_puntos!$A$2:$OJ$901,447,MATCH($B$2&amp;"|xC",Aux_puntos!$1:$1,0))),NA())</f>
        <v>#N/A</v>
      </c>
      <c r="AF451" t="e">
        <f>IFERROR(IF(INDEX(Aux_puntos!$A$2:$OJ$901,447,MATCH($B$2&amp;"|yC",Aux_puntos!$1:$1,0))="",NA(),INDEX(Aux_puntos!$A$2:$OJ$901,447,MATCH($B$2&amp;"|yC",Aux_puntos!$1:$1,0))),NA())</f>
        <v>#N/A</v>
      </c>
      <c r="AG451" t="e">
        <f>IFERROR(IF(INDEX(Aux_puntos!$A$2:$OJ$901,447,MATCH($B$2&amp;"|xI",Aux_puntos!$1:$1,0))="",NA(),INDEX(Aux_puntos!$A$2:$OJ$901,447,MATCH($B$2&amp;"|xI",Aux_puntos!$1:$1,0))),NA())</f>
        <v>#N/A</v>
      </c>
      <c r="AH451" t="e">
        <f>IFERROR(IF(INDEX(Aux_puntos!$A$2:$OJ$901,447,MATCH($B$2&amp;"|yI",Aux_puntos!$1:$1,0))="",NA(),INDEX(Aux_puntos!$A$2:$OJ$901,447,MATCH($B$2&amp;"|yI",Aux_puntos!$1:$1,0))),NA())</f>
        <v>#N/A</v>
      </c>
      <c r="AI451" t="e">
        <f>IFERROR(IF(INDEX(Aux_puntos!$A$2:$OJ$901,447,MATCH($B$2&amp;"|xN",Aux_puntos!$1:$1,0))="",NA(),INDEX(Aux_puntos!$A$2:$OJ$901,447,MATCH($B$2&amp;"|xN",Aux_puntos!$1:$1,0))),NA())</f>
        <v>#N/A</v>
      </c>
      <c r="AJ451" t="e">
        <f>IFERROR(IF(INDEX(Aux_puntos!$A$2:$OJ$901,447,MATCH($B$2&amp;"|yN",Aux_puntos!$1:$1,0))="",NA(),INDEX(Aux_puntos!$A$2:$OJ$901,447,MATCH($B$2&amp;"|yN",Aux_puntos!$1:$1,0))),NA())</f>
        <v>#N/A</v>
      </c>
    </row>
    <row r="452" spans="29:36" x14ac:dyDescent="0.3">
      <c r="AC452" t="e">
        <f>IFERROR(IF(INDEX(Aux_puntos!$A$2:$OJ$901,448,MATCH($B$2&amp;"|xK",Aux_puntos!$1:$1,0))="",NA(),INDEX(Aux_puntos!$A$2:$OJ$901,448,MATCH($B$2&amp;"|xK",Aux_puntos!$1:$1,0))),NA())</f>
        <v>#N/A</v>
      </c>
      <c r="AD452" t="e">
        <f>IFERROR(IF(INDEX(Aux_puntos!$A$2:$OJ$901,448,MATCH($B$2&amp;"|yK",Aux_puntos!$1:$1,0))="",NA(),INDEX(Aux_puntos!$A$2:$OJ$901,448,MATCH($B$2&amp;"|yK",Aux_puntos!$1:$1,0))),NA())</f>
        <v>#N/A</v>
      </c>
      <c r="AE452" t="e">
        <f>IFERROR(IF(INDEX(Aux_puntos!$A$2:$OJ$901,448,MATCH($B$2&amp;"|xC",Aux_puntos!$1:$1,0))="",NA(),INDEX(Aux_puntos!$A$2:$OJ$901,448,MATCH($B$2&amp;"|xC",Aux_puntos!$1:$1,0))),NA())</f>
        <v>#N/A</v>
      </c>
      <c r="AF452" t="e">
        <f>IFERROR(IF(INDEX(Aux_puntos!$A$2:$OJ$901,448,MATCH($B$2&amp;"|yC",Aux_puntos!$1:$1,0))="",NA(),INDEX(Aux_puntos!$A$2:$OJ$901,448,MATCH($B$2&amp;"|yC",Aux_puntos!$1:$1,0))),NA())</f>
        <v>#N/A</v>
      </c>
      <c r="AG452" t="e">
        <f>IFERROR(IF(INDEX(Aux_puntos!$A$2:$OJ$901,448,MATCH($B$2&amp;"|xI",Aux_puntos!$1:$1,0))="",NA(),INDEX(Aux_puntos!$A$2:$OJ$901,448,MATCH($B$2&amp;"|xI",Aux_puntos!$1:$1,0))),NA())</f>
        <v>#N/A</v>
      </c>
      <c r="AH452" t="e">
        <f>IFERROR(IF(INDEX(Aux_puntos!$A$2:$OJ$901,448,MATCH($B$2&amp;"|yI",Aux_puntos!$1:$1,0))="",NA(),INDEX(Aux_puntos!$A$2:$OJ$901,448,MATCH($B$2&amp;"|yI",Aux_puntos!$1:$1,0))),NA())</f>
        <v>#N/A</v>
      </c>
      <c r="AI452" t="e">
        <f>IFERROR(IF(INDEX(Aux_puntos!$A$2:$OJ$901,448,MATCH($B$2&amp;"|xN",Aux_puntos!$1:$1,0))="",NA(),INDEX(Aux_puntos!$A$2:$OJ$901,448,MATCH($B$2&amp;"|xN",Aux_puntos!$1:$1,0))),NA())</f>
        <v>#N/A</v>
      </c>
      <c r="AJ452" t="e">
        <f>IFERROR(IF(INDEX(Aux_puntos!$A$2:$OJ$901,448,MATCH($B$2&amp;"|yN",Aux_puntos!$1:$1,0))="",NA(),INDEX(Aux_puntos!$A$2:$OJ$901,448,MATCH($B$2&amp;"|yN",Aux_puntos!$1:$1,0))),NA())</f>
        <v>#N/A</v>
      </c>
    </row>
    <row r="453" spans="29:36" x14ac:dyDescent="0.3">
      <c r="AC453" t="e">
        <f>IFERROR(IF(INDEX(Aux_puntos!$A$2:$OJ$901,449,MATCH($B$2&amp;"|xK",Aux_puntos!$1:$1,0))="",NA(),INDEX(Aux_puntos!$A$2:$OJ$901,449,MATCH($B$2&amp;"|xK",Aux_puntos!$1:$1,0))),NA())</f>
        <v>#N/A</v>
      </c>
      <c r="AD453" t="e">
        <f>IFERROR(IF(INDEX(Aux_puntos!$A$2:$OJ$901,449,MATCH($B$2&amp;"|yK",Aux_puntos!$1:$1,0))="",NA(),INDEX(Aux_puntos!$A$2:$OJ$901,449,MATCH($B$2&amp;"|yK",Aux_puntos!$1:$1,0))),NA())</f>
        <v>#N/A</v>
      </c>
      <c r="AE453" t="e">
        <f>IFERROR(IF(INDEX(Aux_puntos!$A$2:$OJ$901,449,MATCH($B$2&amp;"|xC",Aux_puntos!$1:$1,0))="",NA(),INDEX(Aux_puntos!$A$2:$OJ$901,449,MATCH($B$2&amp;"|xC",Aux_puntos!$1:$1,0))),NA())</f>
        <v>#N/A</v>
      </c>
      <c r="AF453" t="e">
        <f>IFERROR(IF(INDEX(Aux_puntos!$A$2:$OJ$901,449,MATCH($B$2&amp;"|yC",Aux_puntos!$1:$1,0))="",NA(),INDEX(Aux_puntos!$A$2:$OJ$901,449,MATCH($B$2&amp;"|yC",Aux_puntos!$1:$1,0))),NA())</f>
        <v>#N/A</v>
      </c>
      <c r="AG453" t="e">
        <f>IFERROR(IF(INDEX(Aux_puntos!$A$2:$OJ$901,449,MATCH($B$2&amp;"|xI",Aux_puntos!$1:$1,0))="",NA(),INDEX(Aux_puntos!$A$2:$OJ$901,449,MATCH($B$2&amp;"|xI",Aux_puntos!$1:$1,0))),NA())</f>
        <v>#N/A</v>
      </c>
      <c r="AH453" t="e">
        <f>IFERROR(IF(INDEX(Aux_puntos!$A$2:$OJ$901,449,MATCH($B$2&amp;"|yI",Aux_puntos!$1:$1,0))="",NA(),INDEX(Aux_puntos!$A$2:$OJ$901,449,MATCH($B$2&amp;"|yI",Aux_puntos!$1:$1,0))),NA())</f>
        <v>#N/A</v>
      </c>
      <c r="AI453" t="e">
        <f>IFERROR(IF(INDEX(Aux_puntos!$A$2:$OJ$901,449,MATCH($B$2&amp;"|xN",Aux_puntos!$1:$1,0))="",NA(),INDEX(Aux_puntos!$A$2:$OJ$901,449,MATCH($B$2&amp;"|xN",Aux_puntos!$1:$1,0))),NA())</f>
        <v>#N/A</v>
      </c>
      <c r="AJ453" t="e">
        <f>IFERROR(IF(INDEX(Aux_puntos!$A$2:$OJ$901,449,MATCH($B$2&amp;"|yN",Aux_puntos!$1:$1,0))="",NA(),INDEX(Aux_puntos!$A$2:$OJ$901,449,MATCH($B$2&amp;"|yN",Aux_puntos!$1:$1,0))),NA())</f>
        <v>#N/A</v>
      </c>
    </row>
    <row r="454" spans="29:36" x14ac:dyDescent="0.3">
      <c r="AC454" t="e">
        <f>IFERROR(IF(INDEX(Aux_puntos!$A$2:$OJ$901,450,MATCH($B$2&amp;"|xK",Aux_puntos!$1:$1,0))="",NA(),INDEX(Aux_puntos!$A$2:$OJ$901,450,MATCH($B$2&amp;"|xK",Aux_puntos!$1:$1,0))),NA())</f>
        <v>#N/A</v>
      </c>
      <c r="AD454" t="e">
        <f>IFERROR(IF(INDEX(Aux_puntos!$A$2:$OJ$901,450,MATCH($B$2&amp;"|yK",Aux_puntos!$1:$1,0))="",NA(),INDEX(Aux_puntos!$A$2:$OJ$901,450,MATCH($B$2&amp;"|yK",Aux_puntos!$1:$1,0))),NA())</f>
        <v>#N/A</v>
      </c>
      <c r="AE454" t="e">
        <f>IFERROR(IF(INDEX(Aux_puntos!$A$2:$OJ$901,450,MATCH($B$2&amp;"|xC",Aux_puntos!$1:$1,0))="",NA(),INDEX(Aux_puntos!$A$2:$OJ$901,450,MATCH($B$2&amp;"|xC",Aux_puntos!$1:$1,0))),NA())</f>
        <v>#N/A</v>
      </c>
      <c r="AF454" t="e">
        <f>IFERROR(IF(INDEX(Aux_puntos!$A$2:$OJ$901,450,MATCH($B$2&amp;"|yC",Aux_puntos!$1:$1,0))="",NA(),INDEX(Aux_puntos!$A$2:$OJ$901,450,MATCH($B$2&amp;"|yC",Aux_puntos!$1:$1,0))),NA())</f>
        <v>#N/A</v>
      </c>
      <c r="AG454" t="e">
        <f>IFERROR(IF(INDEX(Aux_puntos!$A$2:$OJ$901,450,MATCH($B$2&amp;"|xI",Aux_puntos!$1:$1,0))="",NA(),INDEX(Aux_puntos!$A$2:$OJ$901,450,MATCH($B$2&amp;"|xI",Aux_puntos!$1:$1,0))),NA())</f>
        <v>#N/A</v>
      </c>
      <c r="AH454" t="e">
        <f>IFERROR(IF(INDEX(Aux_puntos!$A$2:$OJ$901,450,MATCH($B$2&amp;"|yI",Aux_puntos!$1:$1,0))="",NA(),INDEX(Aux_puntos!$A$2:$OJ$901,450,MATCH($B$2&amp;"|yI",Aux_puntos!$1:$1,0))),NA())</f>
        <v>#N/A</v>
      </c>
      <c r="AI454" t="e">
        <f>IFERROR(IF(INDEX(Aux_puntos!$A$2:$OJ$901,450,MATCH($B$2&amp;"|xN",Aux_puntos!$1:$1,0))="",NA(),INDEX(Aux_puntos!$A$2:$OJ$901,450,MATCH($B$2&amp;"|xN",Aux_puntos!$1:$1,0))),NA())</f>
        <v>#N/A</v>
      </c>
      <c r="AJ454" t="e">
        <f>IFERROR(IF(INDEX(Aux_puntos!$A$2:$OJ$901,450,MATCH($B$2&amp;"|yN",Aux_puntos!$1:$1,0))="",NA(),INDEX(Aux_puntos!$A$2:$OJ$901,450,MATCH($B$2&amp;"|yN",Aux_puntos!$1:$1,0))),NA())</f>
        <v>#N/A</v>
      </c>
    </row>
    <row r="455" spans="29:36" x14ac:dyDescent="0.3">
      <c r="AC455" t="e">
        <f>IFERROR(IF(INDEX(Aux_puntos!$A$2:$OJ$901,451,MATCH($B$2&amp;"|xK",Aux_puntos!$1:$1,0))="",NA(),INDEX(Aux_puntos!$A$2:$OJ$901,451,MATCH($B$2&amp;"|xK",Aux_puntos!$1:$1,0))),NA())</f>
        <v>#N/A</v>
      </c>
      <c r="AD455" t="e">
        <f>IFERROR(IF(INDEX(Aux_puntos!$A$2:$OJ$901,451,MATCH($B$2&amp;"|yK",Aux_puntos!$1:$1,0))="",NA(),INDEX(Aux_puntos!$A$2:$OJ$901,451,MATCH($B$2&amp;"|yK",Aux_puntos!$1:$1,0))),NA())</f>
        <v>#N/A</v>
      </c>
      <c r="AE455" t="e">
        <f>IFERROR(IF(INDEX(Aux_puntos!$A$2:$OJ$901,451,MATCH($B$2&amp;"|xC",Aux_puntos!$1:$1,0))="",NA(),INDEX(Aux_puntos!$A$2:$OJ$901,451,MATCH($B$2&amp;"|xC",Aux_puntos!$1:$1,0))),NA())</f>
        <v>#N/A</v>
      </c>
      <c r="AF455" t="e">
        <f>IFERROR(IF(INDEX(Aux_puntos!$A$2:$OJ$901,451,MATCH($B$2&amp;"|yC",Aux_puntos!$1:$1,0))="",NA(),INDEX(Aux_puntos!$A$2:$OJ$901,451,MATCH($B$2&amp;"|yC",Aux_puntos!$1:$1,0))),NA())</f>
        <v>#N/A</v>
      </c>
      <c r="AG455" t="e">
        <f>IFERROR(IF(INDEX(Aux_puntos!$A$2:$OJ$901,451,MATCH($B$2&amp;"|xI",Aux_puntos!$1:$1,0))="",NA(),INDEX(Aux_puntos!$A$2:$OJ$901,451,MATCH($B$2&amp;"|xI",Aux_puntos!$1:$1,0))),NA())</f>
        <v>#N/A</v>
      </c>
      <c r="AH455" t="e">
        <f>IFERROR(IF(INDEX(Aux_puntos!$A$2:$OJ$901,451,MATCH($B$2&amp;"|yI",Aux_puntos!$1:$1,0))="",NA(),INDEX(Aux_puntos!$A$2:$OJ$901,451,MATCH($B$2&amp;"|yI",Aux_puntos!$1:$1,0))),NA())</f>
        <v>#N/A</v>
      </c>
      <c r="AI455" t="e">
        <f>IFERROR(IF(INDEX(Aux_puntos!$A$2:$OJ$901,451,MATCH($B$2&amp;"|xN",Aux_puntos!$1:$1,0))="",NA(),INDEX(Aux_puntos!$A$2:$OJ$901,451,MATCH($B$2&amp;"|xN",Aux_puntos!$1:$1,0))),NA())</f>
        <v>#N/A</v>
      </c>
      <c r="AJ455" t="e">
        <f>IFERROR(IF(INDEX(Aux_puntos!$A$2:$OJ$901,451,MATCH($B$2&amp;"|yN",Aux_puntos!$1:$1,0))="",NA(),INDEX(Aux_puntos!$A$2:$OJ$901,451,MATCH($B$2&amp;"|yN",Aux_puntos!$1:$1,0))),NA())</f>
        <v>#N/A</v>
      </c>
    </row>
    <row r="456" spans="29:36" x14ac:dyDescent="0.3">
      <c r="AC456" t="e">
        <f>IFERROR(IF(INDEX(Aux_puntos!$A$2:$OJ$901,452,MATCH($B$2&amp;"|xK",Aux_puntos!$1:$1,0))="",NA(),INDEX(Aux_puntos!$A$2:$OJ$901,452,MATCH($B$2&amp;"|xK",Aux_puntos!$1:$1,0))),NA())</f>
        <v>#N/A</v>
      </c>
      <c r="AD456" t="e">
        <f>IFERROR(IF(INDEX(Aux_puntos!$A$2:$OJ$901,452,MATCH($B$2&amp;"|yK",Aux_puntos!$1:$1,0))="",NA(),INDEX(Aux_puntos!$A$2:$OJ$901,452,MATCH($B$2&amp;"|yK",Aux_puntos!$1:$1,0))),NA())</f>
        <v>#N/A</v>
      </c>
      <c r="AE456" t="e">
        <f>IFERROR(IF(INDEX(Aux_puntos!$A$2:$OJ$901,452,MATCH($B$2&amp;"|xC",Aux_puntos!$1:$1,0))="",NA(),INDEX(Aux_puntos!$A$2:$OJ$901,452,MATCH($B$2&amp;"|xC",Aux_puntos!$1:$1,0))),NA())</f>
        <v>#N/A</v>
      </c>
      <c r="AF456" t="e">
        <f>IFERROR(IF(INDEX(Aux_puntos!$A$2:$OJ$901,452,MATCH($B$2&amp;"|yC",Aux_puntos!$1:$1,0))="",NA(),INDEX(Aux_puntos!$A$2:$OJ$901,452,MATCH($B$2&amp;"|yC",Aux_puntos!$1:$1,0))),NA())</f>
        <v>#N/A</v>
      </c>
      <c r="AG456" t="e">
        <f>IFERROR(IF(INDEX(Aux_puntos!$A$2:$OJ$901,452,MATCH($B$2&amp;"|xI",Aux_puntos!$1:$1,0))="",NA(),INDEX(Aux_puntos!$A$2:$OJ$901,452,MATCH($B$2&amp;"|xI",Aux_puntos!$1:$1,0))),NA())</f>
        <v>#N/A</v>
      </c>
      <c r="AH456" t="e">
        <f>IFERROR(IF(INDEX(Aux_puntos!$A$2:$OJ$901,452,MATCH($B$2&amp;"|yI",Aux_puntos!$1:$1,0))="",NA(),INDEX(Aux_puntos!$A$2:$OJ$901,452,MATCH($B$2&amp;"|yI",Aux_puntos!$1:$1,0))),NA())</f>
        <v>#N/A</v>
      </c>
      <c r="AI456" t="e">
        <f>IFERROR(IF(INDEX(Aux_puntos!$A$2:$OJ$901,452,MATCH($B$2&amp;"|xN",Aux_puntos!$1:$1,0))="",NA(),INDEX(Aux_puntos!$A$2:$OJ$901,452,MATCH($B$2&amp;"|xN",Aux_puntos!$1:$1,0))),NA())</f>
        <v>#N/A</v>
      </c>
      <c r="AJ456" t="e">
        <f>IFERROR(IF(INDEX(Aux_puntos!$A$2:$OJ$901,452,MATCH($B$2&amp;"|yN",Aux_puntos!$1:$1,0))="",NA(),INDEX(Aux_puntos!$A$2:$OJ$901,452,MATCH($B$2&amp;"|yN",Aux_puntos!$1:$1,0))),NA())</f>
        <v>#N/A</v>
      </c>
    </row>
    <row r="457" spans="29:36" x14ac:dyDescent="0.3">
      <c r="AC457" t="e">
        <f>IFERROR(IF(INDEX(Aux_puntos!$A$2:$OJ$901,453,MATCH($B$2&amp;"|xK",Aux_puntos!$1:$1,0))="",NA(),INDEX(Aux_puntos!$A$2:$OJ$901,453,MATCH($B$2&amp;"|xK",Aux_puntos!$1:$1,0))),NA())</f>
        <v>#N/A</v>
      </c>
      <c r="AD457" t="e">
        <f>IFERROR(IF(INDEX(Aux_puntos!$A$2:$OJ$901,453,MATCH($B$2&amp;"|yK",Aux_puntos!$1:$1,0))="",NA(),INDEX(Aux_puntos!$A$2:$OJ$901,453,MATCH($B$2&amp;"|yK",Aux_puntos!$1:$1,0))),NA())</f>
        <v>#N/A</v>
      </c>
      <c r="AE457" t="e">
        <f>IFERROR(IF(INDEX(Aux_puntos!$A$2:$OJ$901,453,MATCH($B$2&amp;"|xC",Aux_puntos!$1:$1,0))="",NA(),INDEX(Aux_puntos!$A$2:$OJ$901,453,MATCH($B$2&amp;"|xC",Aux_puntos!$1:$1,0))),NA())</f>
        <v>#N/A</v>
      </c>
      <c r="AF457" t="e">
        <f>IFERROR(IF(INDEX(Aux_puntos!$A$2:$OJ$901,453,MATCH($B$2&amp;"|yC",Aux_puntos!$1:$1,0))="",NA(),INDEX(Aux_puntos!$A$2:$OJ$901,453,MATCH($B$2&amp;"|yC",Aux_puntos!$1:$1,0))),NA())</f>
        <v>#N/A</v>
      </c>
      <c r="AG457" t="e">
        <f>IFERROR(IF(INDEX(Aux_puntos!$A$2:$OJ$901,453,MATCH($B$2&amp;"|xI",Aux_puntos!$1:$1,0))="",NA(),INDEX(Aux_puntos!$A$2:$OJ$901,453,MATCH($B$2&amp;"|xI",Aux_puntos!$1:$1,0))),NA())</f>
        <v>#N/A</v>
      </c>
      <c r="AH457" t="e">
        <f>IFERROR(IF(INDEX(Aux_puntos!$A$2:$OJ$901,453,MATCH($B$2&amp;"|yI",Aux_puntos!$1:$1,0))="",NA(),INDEX(Aux_puntos!$A$2:$OJ$901,453,MATCH($B$2&amp;"|yI",Aux_puntos!$1:$1,0))),NA())</f>
        <v>#N/A</v>
      </c>
      <c r="AI457" t="e">
        <f>IFERROR(IF(INDEX(Aux_puntos!$A$2:$OJ$901,453,MATCH($B$2&amp;"|xN",Aux_puntos!$1:$1,0))="",NA(),INDEX(Aux_puntos!$A$2:$OJ$901,453,MATCH($B$2&amp;"|xN",Aux_puntos!$1:$1,0))),NA())</f>
        <v>#N/A</v>
      </c>
      <c r="AJ457" t="e">
        <f>IFERROR(IF(INDEX(Aux_puntos!$A$2:$OJ$901,453,MATCH($B$2&amp;"|yN",Aux_puntos!$1:$1,0))="",NA(),INDEX(Aux_puntos!$A$2:$OJ$901,453,MATCH($B$2&amp;"|yN",Aux_puntos!$1:$1,0))),NA())</f>
        <v>#N/A</v>
      </c>
    </row>
    <row r="458" spans="29:36" x14ac:dyDescent="0.3">
      <c r="AC458" t="e">
        <f>IFERROR(IF(INDEX(Aux_puntos!$A$2:$OJ$901,454,MATCH($B$2&amp;"|xK",Aux_puntos!$1:$1,0))="",NA(),INDEX(Aux_puntos!$A$2:$OJ$901,454,MATCH($B$2&amp;"|xK",Aux_puntos!$1:$1,0))),NA())</f>
        <v>#N/A</v>
      </c>
      <c r="AD458" t="e">
        <f>IFERROR(IF(INDEX(Aux_puntos!$A$2:$OJ$901,454,MATCH($B$2&amp;"|yK",Aux_puntos!$1:$1,0))="",NA(),INDEX(Aux_puntos!$A$2:$OJ$901,454,MATCH($B$2&amp;"|yK",Aux_puntos!$1:$1,0))),NA())</f>
        <v>#N/A</v>
      </c>
      <c r="AE458" t="e">
        <f>IFERROR(IF(INDEX(Aux_puntos!$A$2:$OJ$901,454,MATCH($B$2&amp;"|xC",Aux_puntos!$1:$1,0))="",NA(),INDEX(Aux_puntos!$A$2:$OJ$901,454,MATCH($B$2&amp;"|xC",Aux_puntos!$1:$1,0))),NA())</f>
        <v>#N/A</v>
      </c>
      <c r="AF458" t="e">
        <f>IFERROR(IF(INDEX(Aux_puntos!$A$2:$OJ$901,454,MATCH($B$2&amp;"|yC",Aux_puntos!$1:$1,0))="",NA(),INDEX(Aux_puntos!$A$2:$OJ$901,454,MATCH($B$2&amp;"|yC",Aux_puntos!$1:$1,0))),NA())</f>
        <v>#N/A</v>
      </c>
      <c r="AG458" t="e">
        <f>IFERROR(IF(INDEX(Aux_puntos!$A$2:$OJ$901,454,MATCH($B$2&amp;"|xI",Aux_puntos!$1:$1,0))="",NA(),INDEX(Aux_puntos!$A$2:$OJ$901,454,MATCH($B$2&amp;"|xI",Aux_puntos!$1:$1,0))),NA())</f>
        <v>#N/A</v>
      </c>
      <c r="AH458" t="e">
        <f>IFERROR(IF(INDEX(Aux_puntos!$A$2:$OJ$901,454,MATCH($B$2&amp;"|yI",Aux_puntos!$1:$1,0))="",NA(),INDEX(Aux_puntos!$A$2:$OJ$901,454,MATCH($B$2&amp;"|yI",Aux_puntos!$1:$1,0))),NA())</f>
        <v>#N/A</v>
      </c>
      <c r="AI458" t="e">
        <f>IFERROR(IF(INDEX(Aux_puntos!$A$2:$OJ$901,454,MATCH($B$2&amp;"|xN",Aux_puntos!$1:$1,0))="",NA(),INDEX(Aux_puntos!$A$2:$OJ$901,454,MATCH($B$2&amp;"|xN",Aux_puntos!$1:$1,0))),NA())</f>
        <v>#N/A</v>
      </c>
      <c r="AJ458" t="e">
        <f>IFERROR(IF(INDEX(Aux_puntos!$A$2:$OJ$901,454,MATCH($B$2&amp;"|yN",Aux_puntos!$1:$1,0))="",NA(),INDEX(Aux_puntos!$A$2:$OJ$901,454,MATCH($B$2&amp;"|yN",Aux_puntos!$1:$1,0))),NA())</f>
        <v>#N/A</v>
      </c>
    </row>
    <row r="459" spans="29:36" x14ac:dyDescent="0.3">
      <c r="AC459" t="e">
        <f>IFERROR(IF(INDEX(Aux_puntos!$A$2:$OJ$901,455,MATCH($B$2&amp;"|xK",Aux_puntos!$1:$1,0))="",NA(),INDEX(Aux_puntos!$A$2:$OJ$901,455,MATCH($B$2&amp;"|xK",Aux_puntos!$1:$1,0))),NA())</f>
        <v>#N/A</v>
      </c>
      <c r="AD459" t="e">
        <f>IFERROR(IF(INDEX(Aux_puntos!$A$2:$OJ$901,455,MATCH($B$2&amp;"|yK",Aux_puntos!$1:$1,0))="",NA(),INDEX(Aux_puntos!$A$2:$OJ$901,455,MATCH($B$2&amp;"|yK",Aux_puntos!$1:$1,0))),NA())</f>
        <v>#N/A</v>
      </c>
      <c r="AE459" t="e">
        <f>IFERROR(IF(INDEX(Aux_puntos!$A$2:$OJ$901,455,MATCH($B$2&amp;"|xC",Aux_puntos!$1:$1,0))="",NA(),INDEX(Aux_puntos!$A$2:$OJ$901,455,MATCH($B$2&amp;"|xC",Aux_puntos!$1:$1,0))),NA())</f>
        <v>#N/A</v>
      </c>
      <c r="AF459" t="e">
        <f>IFERROR(IF(INDEX(Aux_puntos!$A$2:$OJ$901,455,MATCH($B$2&amp;"|yC",Aux_puntos!$1:$1,0))="",NA(),INDEX(Aux_puntos!$A$2:$OJ$901,455,MATCH($B$2&amp;"|yC",Aux_puntos!$1:$1,0))),NA())</f>
        <v>#N/A</v>
      </c>
      <c r="AG459" t="e">
        <f>IFERROR(IF(INDEX(Aux_puntos!$A$2:$OJ$901,455,MATCH($B$2&amp;"|xI",Aux_puntos!$1:$1,0))="",NA(),INDEX(Aux_puntos!$A$2:$OJ$901,455,MATCH($B$2&amp;"|xI",Aux_puntos!$1:$1,0))),NA())</f>
        <v>#N/A</v>
      </c>
      <c r="AH459" t="e">
        <f>IFERROR(IF(INDEX(Aux_puntos!$A$2:$OJ$901,455,MATCH($B$2&amp;"|yI",Aux_puntos!$1:$1,0))="",NA(),INDEX(Aux_puntos!$A$2:$OJ$901,455,MATCH($B$2&amp;"|yI",Aux_puntos!$1:$1,0))),NA())</f>
        <v>#N/A</v>
      </c>
      <c r="AI459" t="e">
        <f>IFERROR(IF(INDEX(Aux_puntos!$A$2:$OJ$901,455,MATCH($B$2&amp;"|xN",Aux_puntos!$1:$1,0))="",NA(),INDEX(Aux_puntos!$A$2:$OJ$901,455,MATCH($B$2&amp;"|xN",Aux_puntos!$1:$1,0))),NA())</f>
        <v>#N/A</v>
      </c>
      <c r="AJ459" t="e">
        <f>IFERROR(IF(INDEX(Aux_puntos!$A$2:$OJ$901,455,MATCH($B$2&amp;"|yN",Aux_puntos!$1:$1,0))="",NA(),INDEX(Aux_puntos!$A$2:$OJ$901,455,MATCH($B$2&amp;"|yN",Aux_puntos!$1:$1,0))),NA())</f>
        <v>#N/A</v>
      </c>
    </row>
    <row r="460" spans="29:36" x14ac:dyDescent="0.3">
      <c r="AC460" t="e">
        <f>IFERROR(IF(INDEX(Aux_puntos!$A$2:$OJ$901,456,MATCH($B$2&amp;"|xK",Aux_puntos!$1:$1,0))="",NA(),INDEX(Aux_puntos!$A$2:$OJ$901,456,MATCH($B$2&amp;"|xK",Aux_puntos!$1:$1,0))),NA())</f>
        <v>#N/A</v>
      </c>
      <c r="AD460" t="e">
        <f>IFERROR(IF(INDEX(Aux_puntos!$A$2:$OJ$901,456,MATCH($B$2&amp;"|yK",Aux_puntos!$1:$1,0))="",NA(),INDEX(Aux_puntos!$A$2:$OJ$901,456,MATCH($B$2&amp;"|yK",Aux_puntos!$1:$1,0))),NA())</f>
        <v>#N/A</v>
      </c>
      <c r="AE460" t="e">
        <f>IFERROR(IF(INDEX(Aux_puntos!$A$2:$OJ$901,456,MATCH($B$2&amp;"|xC",Aux_puntos!$1:$1,0))="",NA(),INDEX(Aux_puntos!$A$2:$OJ$901,456,MATCH($B$2&amp;"|xC",Aux_puntos!$1:$1,0))),NA())</f>
        <v>#N/A</v>
      </c>
      <c r="AF460" t="e">
        <f>IFERROR(IF(INDEX(Aux_puntos!$A$2:$OJ$901,456,MATCH($B$2&amp;"|yC",Aux_puntos!$1:$1,0))="",NA(),INDEX(Aux_puntos!$A$2:$OJ$901,456,MATCH($B$2&amp;"|yC",Aux_puntos!$1:$1,0))),NA())</f>
        <v>#N/A</v>
      </c>
      <c r="AG460" t="e">
        <f>IFERROR(IF(INDEX(Aux_puntos!$A$2:$OJ$901,456,MATCH($B$2&amp;"|xI",Aux_puntos!$1:$1,0))="",NA(),INDEX(Aux_puntos!$A$2:$OJ$901,456,MATCH($B$2&amp;"|xI",Aux_puntos!$1:$1,0))),NA())</f>
        <v>#N/A</v>
      </c>
      <c r="AH460" t="e">
        <f>IFERROR(IF(INDEX(Aux_puntos!$A$2:$OJ$901,456,MATCH($B$2&amp;"|yI",Aux_puntos!$1:$1,0))="",NA(),INDEX(Aux_puntos!$A$2:$OJ$901,456,MATCH($B$2&amp;"|yI",Aux_puntos!$1:$1,0))),NA())</f>
        <v>#N/A</v>
      </c>
      <c r="AI460" t="e">
        <f>IFERROR(IF(INDEX(Aux_puntos!$A$2:$OJ$901,456,MATCH($B$2&amp;"|xN",Aux_puntos!$1:$1,0))="",NA(),INDEX(Aux_puntos!$A$2:$OJ$901,456,MATCH($B$2&amp;"|xN",Aux_puntos!$1:$1,0))),NA())</f>
        <v>#N/A</v>
      </c>
      <c r="AJ460" t="e">
        <f>IFERROR(IF(INDEX(Aux_puntos!$A$2:$OJ$901,456,MATCH($B$2&amp;"|yN",Aux_puntos!$1:$1,0))="",NA(),INDEX(Aux_puntos!$A$2:$OJ$901,456,MATCH($B$2&amp;"|yN",Aux_puntos!$1:$1,0))),NA())</f>
        <v>#N/A</v>
      </c>
    </row>
    <row r="461" spans="29:36" x14ac:dyDescent="0.3">
      <c r="AC461" t="e">
        <f>IFERROR(IF(INDEX(Aux_puntos!$A$2:$OJ$901,457,MATCH($B$2&amp;"|xK",Aux_puntos!$1:$1,0))="",NA(),INDEX(Aux_puntos!$A$2:$OJ$901,457,MATCH($B$2&amp;"|xK",Aux_puntos!$1:$1,0))),NA())</f>
        <v>#N/A</v>
      </c>
      <c r="AD461" t="e">
        <f>IFERROR(IF(INDEX(Aux_puntos!$A$2:$OJ$901,457,MATCH($B$2&amp;"|yK",Aux_puntos!$1:$1,0))="",NA(),INDEX(Aux_puntos!$A$2:$OJ$901,457,MATCH($B$2&amp;"|yK",Aux_puntos!$1:$1,0))),NA())</f>
        <v>#N/A</v>
      </c>
      <c r="AE461" t="e">
        <f>IFERROR(IF(INDEX(Aux_puntos!$A$2:$OJ$901,457,MATCH($B$2&amp;"|xC",Aux_puntos!$1:$1,0))="",NA(),INDEX(Aux_puntos!$A$2:$OJ$901,457,MATCH($B$2&amp;"|xC",Aux_puntos!$1:$1,0))),NA())</f>
        <v>#N/A</v>
      </c>
      <c r="AF461" t="e">
        <f>IFERROR(IF(INDEX(Aux_puntos!$A$2:$OJ$901,457,MATCH($B$2&amp;"|yC",Aux_puntos!$1:$1,0))="",NA(),INDEX(Aux_puntos!$A$2:$OJ$901,457,MATCH($B$2&amp;"|yC",Aux_puntos!$1:$1,0))),NA())</f>
        <v>#N/A</v>
      </c>
      <c r="AG461" t="e">
        <f>IFERROR(IF(INDEX(Aux_puntos!$A$2:$OJ$901,457,MATCH($B$2&amp;"|xI",Aux_puntos!$1:$1,0))="",NA(),INDEX(Aux_puntos!$A$2:$OJ$901,457,MATCH($B$2&amp;"|xI",Aux_puntos!$1:$1,0))),NA())</f>
        <v>#N/A</v>
      </c>
      <c r="AH461" t="e">
        <f>IFERROR(IF(INDEX(Aux_puntos!$A$2:$OJ$901,457,MATCH($B$2&amp;"|yI",Aux_puntos!$1:$1,0))="",NA(),INDEX(Aux_puntos!$A$2:$OJ$901,457,MATCH($B$2&amp;"|yI",Aux_puntos!$1:$1,0))),NA())</f>
        <v>#N/A</v>
      </c>
      <c r="AI461" t="e">
        <f>IFERROR(IF(INDEX(Aux_puntos!$A$2:$OJ$901,457,MATCH($B$2&amp;"|xN",Aux_puntos!$1:$1,0))="",NA(),INDEX(Aux_puntos!$A$2:$OJ$901,457,MATCH($B$2&amp;"|xN",Aux_puntos!$1:$1,0))),NA())</f>
        <v>#N/A</v>
      </c>
      <c r="AJ461" t="e">
        <f>IFERROR(IF(INDEX(Aux_puntos!$A$2:$OJ$901,457,MATCH($B$2&amp;"|yN",Aux_puntos!$1:$1,0))="",NA(),INDEX(Aux_puntos!$A$2:$OJ$901,457,MATCH($B$2&amp;"|yN",Aux_puntos!$1:$1,0))),NA())</f>
        <v>#N/A</v>
      </c>
    </row>
    <row r="462" spans="29:36" x14ac:dyDescent="0.3">
      <c r="AC462" t="e">
        <f>IFERROR(IF(INDEX(Aux_puntos!$A$2:$OJ$901,458,MATCH($B$2&amp;"|xK",Aux_puntos!$1:$1,0))="",NA(),INDEX(Aux_puntos!$A$2:$OJ$901,458,MATCH($B$2&amp;"|xK",Aux_puntos!$1:$1,0))),NA())</f>
        <v>#N/A</v>
      </c>
      <c r="AD462" t="e">
        <f>IFERROR(IF(INDEX(Aux_puntos!$A$2:$OJ$901,458,MATCH($B$2&amp;"|yK",Aux_puntos!$1:$1,0))="",NA(),INDEX(Aux_puntos!$A$2:$OJ$901,458,MATCH($B$2&amp;"|yK",Aux_puntos!$1:$1,0))),NA())</f>
        <v>#N/A</v>
      </c>
      <c r="AE462" t="e">
        <f>IFERROR(IF(INDEX(Aux_puntos!$A$2:$OJ$901,458,MATCH($B$2&amp;"|xC",Aux_puntos!$1:$1,0))="",NA(),INDEX(Aux_puntos!$A$2:$OJ$901,458,MATCH($B$2&amp;"|xC",Aux_puntos!$1:$1,0))),NA())</f>
        <v>#N/A</v>
      </c>
      <c r="AF462" t="e">
        <f>IFERROR(IF(INDEX(Aux_puntos!$A$2:$OJ$901,458,MATCH($B$2&amp;"|yC",Aux_puntos!$1:$1,0))="",NA(),INDEX(Aux_puntos!$A$2:$OJ$901,458,MATCH($B$2&amp;"|yC",Aux_puntos!$1:$1,0))),NA())</f>
        <v>#N/A</v>
      </c>
      <c r="AG462" t="e">
        <f>IFERROR(IF(INDEX(Aux_puntos!$A$2:$OJ$901,458,MATCH($B$2&amp;"|xI",Aux_puntos!$1:$1,0))="",NA(),INDEX(Aux_puntos!$A$2:$OJ$901,458,MATCH($B$2&amp;"|xI",Aux_puntos!$1:$1,0))),NA())</f>
        <v>#N/A</v>
      </c>
      <c r="AH462" t="e">
        <f>IFERROR(IF(INDEX(Aux_puntos!$A$2:$OJ$901,458,MATCH($B$2&amp;"|yI",Aux_puntos!$1:$1,0))="",NA(),INDEX(Aux_puntos!$A$2:$OJ$901,458,MATCH($B$2&amp;"|yI",Aux_puntos!$1:$1,0))),NA())</f>
        <v>#N/A</v>
      </c>
      <c r="AI462" t="e">
        <f>IFERROR(IF(INDEX(Aux_puntos!$A$2:$OJ$901,458,MATCH($B$2&amp;"|xN",Aux_puntos!$1:$1,0))="",NA(),INDEX(Aux_puntos!$A$2:$OJ$901,458,MATCH($B$2&amp;"|xN",Aux_puntos!$1:$1,0))),NA())</f>
        <v>#N/A</v>
      </c>
      <c r="AJ462" t="e">
        <f>IFERROR(IF(INDEX(Aux_puntos!$A$2:$OJ$901,458,MATCH($B$2&amp;"|yN",Aux_puntos!$1:$1,0))="",NA(),INDEX(Aux_puntos!$A$2:$OJ$901,458,MATCH($B$2&amp;"|yN",Aux_puntos!$1:$1,0))),NA())</f>
        <v>#N/A</v>
      </c>
    </row>
    <row r="463" spans="29:36" x14ac:dyDescent="0.3">
      <c r="AC463" t="e">
        <f>IFERROR(IF(INDEX(Aux_puntos!$A$2:$OJ$901,459,MATCH($B$2&amp;"|xK",Aux_puntos!$1:$1,0))="",NA(),INDEX(Aux_puntos!$A$2:$OJ$901,459,MATCH($B$2&amp;"|xK",Aux_puntos!$1:$1,0))),NA())</f>
        <v>#N/A</v>
      </c>
      <c r="AD463" t="e">
        <f>IFERROR(IF(INDEX(Aux_puntos!$A$2:$OJ$901,459,MATCH($B$2&amp;"|yK",Aux_puntos!$1:$1,0))="",NA(),INDEX(Aux_puntos!$A$2:$OJ$901,459,MATCH($B$2&amp;"|yK",Aux_puntos!$1:$1,0))),NA())</f>
        <v>#N/A</v>
      </c>
      <c r="AE463" t="e">
        <f>IFERROR(IF(INDEX(Aux_puntos!$A$2:$OJ$901,459,MATCH($B$2&amp;"|xC",Aux_puntos!$1:$1,0))="",NA(),INDEX(Aux_puntos!$A$2:$OJ$901,459,MATCH($B$2&amp;"|xC",Aux_puntos!$1:$1,0))),NA())</f>
        <v>#N/A</v>
      </c>
      <c r="AF463" t="e">
        <f>IFERROR(IF(INDEX(Aux_puntos!$A$2:$OJ$901,459,MATCH($B$2&amp;"|yC",Aux_puntos!$1:$1,0))="",NA(),INDEX(Aux_puntos!$A$2:$OJ$901,459,MATCH($B$2&amp;"|yC",Aux_puntos!$1:$1,0))),NA())</f>
        <v>#N/A</v>
      </c>
      <c r="AG463" t="e">
        <f>IFERROR(IF(INDEX(Aux_puntos!$A$2:$OJ$901,459,MATCH($B$2&amp;"|xI",Aux_puntos!$1:$1,0))="",NA(),INDEX(Aux_puntos!$A$2:$OJ$901,459,MATCH($B$2&amp;"|xI",Aux_puntos!$1:$1,0))),NA())</f>
        <v>#N/A</v>
      </c>
      <c r="AH463" t="e">
        <f>IFERROR(IF(INDEX(Aux_puntos!$A$2:$OJ$901,459,MATCH($B$2&amp;"|yI",Aux_puntos!$1:$1,0))="",NA(),INDEX(Aux_puntos!$A$2:$OJ$901,459,MATCH($B$2&amp;"|yI",Aux_puntos!$1:$1,0))),NA())</f>
        <v>#N/A</v>
      </c>
      <c r="AI463" t="e">
        <f>IFERROR(IF(INDEX(Aux_puntos!$A$2:$OJ$901,459,MATCH($B$2&amp;"|xN",Aux_puntos!$1:$1,0))="",NA(),INDEX(Aux_puntos!$A$2:$OJ$901,459,MATCH($B$2&amp;"|xN",Aux_puntos!$1:$1,0))),NA())</f>
        <v>#N/A</v>
      </c>
      <c r="AJ463" t="e">
        <f>IFERROR(IF(INDEX(Aux_puntos!$A$2:$OJ$901,459,MATCH($B$2&amp;"|yN",Aux_puntos!$1:$1,0))="",NA(),INDEX(Aux_puntos!$A$2:$OJ$901,459,MATCH($B$2&amp;"|yN",Aux_puntos!$1:$1,0))),NA())</f>
        <v>#N/A</v>
      </c>
    </row>
    <row r="464" spans="29:36" x14ac:dyDescent="0.3">
      <c r="AC464" t="e">
        <f>IFERROR(IF(INDEX(Aux_puntos!$A$2:$OJ$901,460,MATCH($B$2&amp;"|xK",Aux_puntos!$1:$1,0))="",NA(),INDEX(Aux_puntos!$A$2:$OJ$901,460,MATCH($B$2&amp;"|xK",Aux_puntos!$1:$1,0))),NA())</f>
        <v>#N/A</v>
      </c>
      <c r="AD464" t="e">
        <f>IFERROR(IF(INDEX(Aux_puntos!$A$2:$OJ$901,460,MATCH($B$2&amp;"|yK",Aux_puntos!$1:$1,0))="",NA(),INDEX(Aux_puntos!$A$2:$OJ$901,460,MATCH($B$2&amp;"|yK",Aux_puntos!$1:$1,0))),NA())</f>
        <v>#N/A</v>
      </c>
      <c r="AE464" t="e">
        <f>IFERROR(IF(INDEX(Aux_puntos!$A$2:$OJ$901,460,MATCH($B$2&amp;"|xC",Aux_puntos!$1:$1,0))="",NA(),INDEX(Aux_puntos!$A$2:$OJ$901,460,MATCH($B$2&amp;"|xC",Aux_puntos!$1:$1,0))),NA())</f>
        <v>#N/A</v>
      </c>
      <c r="AF464" t="e">
        <f>IFERROR(IF(INDEX(Aux_puntos!$A$2:$OJ$901,460,MATCH($B$2&amp;"|yC",Aux_puntos!$1:$1,0))="",NA(),INDEX(Aux_puntos!$A$2:$OJ$901,460,MATCH($B$2&amp;"|yC",Aux_puntos!$1:$1,0))),NA())</f>
        <v>#N/A</v>
      </c>
      <c r="AG464" t="e">
        <f>IFERROR(IF(INDEX(Aux_puntos!$A$2:$OJ$901,460,MATCH($B$2&amp;"|xI",Aux_puntos!$1:$1,0))="",NA(),INDEX(Aux_puntos!$A$2:$OJ$901,460,MATCH($B$2&amp;"|xI",Aux_puntos!$1:$1,0))),NA())</f>
        <v>#N/A</v>
      </c>
      <c r="AH464" t="e">
        <f>IFERROR(IF(INDEX(Aux_puntos!$A$2:$OJ$901,460,MATCH($B$2&amp;"|yI",Aux_puntos!$1:$1,0))="",NA(),INDEX(Aux_puntos!$A$2:$OJ$901,460,MATCH($B$2&amp;"|yI",Aux_puntos!$1:$1,0))),NA())</f>
        <v>#N/A</v>
      </c>
      <c r="AI464" t="e">
        <f>IFERROR(IF(INDEX(Aux_puntos!$A$2:$OJ$901,460,MATCH($B$2&amp;"|xN",Aux_puntos!$1:$1,0))="",NA(),INDEX(Aux_puntos!$A$2:$OJ$901,460,MATCH($B$2&amp;"|xN",Aux_puntos!$1:$1,0))),NA())</f>
        <v>#N/A</v>
      </c>
      <c r="AJ464" t="e">
        <f>IFERROR(IF(INDEX(Aux_puntos!$A$2:$OJ$901,460,MATCH($B$2&amp;"|yN",Aux_puntos!$1:$1,0))="",NA(),INDEX(Aux_puntos!$A$2:$OJ$901,460,MATCH($B$2&amp;"|yN",Aux_puntos!$1:$1,0))),NA())</f>
        <v>#N/A</v>
      </c>
    </row>
    <row r="465" spans="29:36" x14ac:dyDescent="0.3">
      <c r="AC465" t="e">
        <f>IFERROR(IF(INDEX(Aux_puntos!$A$2:$OJ$901,461,MATCH($B$2&amp;"|xK",Aux_puntos!$1:$1,0))="",NA(),INDEX(Aux_puntos!$A$2:$OJ$901,461,MATCH($B$2&amp;"|xK",Aux_puntos!$1:$1,0))),NA())</f>
        <v>#N/A</v>
      </c>
      <c r="AD465" t="e">
        <f>IFERROR(IF(INDEX(Aux_puntos!$A$2:$OJ$901,461,MATCH($B$2&amp;"|yK",Aux_puntos!$1:$1,0))="",NA(),INDEX(Aux_puntos!$A$2:$OJ$901,461,MATCH($B$2&amp;"|yK",Aux_puntos!$1:$1,0))),NA())</f>
        <v>#N/A</v>
      </c>
      <c r="AE465" t="e">
        <f>IFERROR(IF(INDEX(Aux_puntos!$A$2:$OJ$901,461,MATCH($B$2&amp;"|xC",Aux_puntos!$1:$1,0))="",NA(),INDEX(Aux_puntos!$A$2:$OJ$901,461,MATCH($B$2&amp;"|xC",Aux_puntos!$1:$1,0))),NA())</f>
        <v>#N/A</v>
      </c>
      <c r="AF465" t="e">
        <f>IFERROR(IF(INDEX(Aux_puntos!$A$2:$OJ$901,461,MATCH($B$2&amp;"|yC",Aux_puntos!$1:$1,0))="",NA(),INDEX(Aux_puntos!$A$2:$OJ$901,461,MATCH($B$2&amp;"|yC",Aux_puntos!$1:$1,0))),NA())</f>
        <v>#N/A</v>
      </c>
      <c r="AG465" t="e">
        <f>IFERROR(IF(INDEX(Aux_puntos!$A$2:$OJ$901,461,MATCH($B$2&amp;"|xI",Aux_puntos!$1:$1,0))="",NA(),INDEX(Aux_puntos!$A$2:$OJ$901,461,MATCH($B$2&amp;"|xI",Aux_puntos!$1:$1,0))),NA())</f>
        <v>#N/A</v>
      </c>
      <c r="AH465" t="e">
        <f>IFERROR(IF(INDEX(Aux_puntos!$A$2:$OJ$901,461,MATCH($B$2&amp;"|yI",Aux_puntos!$1:$1,0))="",NA(),INDEX(Aux_puntos!$A$2:$OJ$901,461,MATCH($B$2&amp;"|yI",Aux_puntos!$1:$1,0))),NA())</f>
        <v>#N/A</v>
      </c>
      <c r="AI465" t="e">
        <f>IFERROR(IF(INDEX(Aux_puntos!$A$2:$OJ$901,461,MATCH($B$2&amp;"|xN",Aux_puntos!$1:$1,0))="",NA(),INDEX(Aux_puntos!$A$2:$OJ$901,461,MATCH($B$2&amp;"|xN",Aux_puntos!$1:$1,0))),NA())</f>
        <v>#N/A</v>
      </c>
      <c r="AJ465" t="e">
        <f>IFERROR(IF(INDEX(Aux_puntos!$A$2:$OJ$901,461,MATCH($B$2&amp;"|yN",Aux_puntos!$1:$1,0))="",NA(),INDEX(Aux_puntos!$A$2:$OJ$901,461,MATCH($B$2&amp;"|yN",Aux_puntos!$1:$1,0))),NA())</f>
        <v>#N/A</v>
      </c>
    </row>
    <row r="466" spans="29:36" x14ac:dyDescent="0.3">
      <c r="AC466" t="e">
        <f>IFERROR(IF(INDEX(Aux_puntos!$A$2:$OJ$901,462,MATCH($B$2&amp;"|xK",Aux_puntos!$1:$1,0))="",NA(),INDEX(Aux_puntos!$A$2:$OJ$901,462,MATCH($B$2&amp;"|xK",Aux_puntos!$1:$1,0))),NA())</f>
        <v>#N/A</v>
      </c>
      <c r="AD466" t="e">
        <f>IFERROR(IF(INDEX(Aux_puntos!$A$2:$OJ$901,462,MATCH($B$2&amp;"|yK",Aux_puntos!$1:$1,0))="",NA(),INDEX(Aux_puntos!$A$2:$OJ$901,462,MATCH($B$2&amp;"|yK",Aux_puntos!$1:$1,0))),NA())</f>
        <v>#N/A</v>
      </c>
      <c r="AE466" t="e">
        <f>IFERROR(IF(INDEX(Aux_puntos!$A$2:$OJ$901,462,MATCH($B$2&amp;"|xC",Aux_puntos!$1:$1,0))="",NA(),INDEX(Aux_puntos!$A$2:$OJ$901,462,MATCH($B$2&amp;"|xC",Aux_puntos!$1:$1,0))),NA())</f>
        <v>#N/A</v>
      </c>
      <c r="AF466" t="e">
        <f>IFERROR(IF(INDEX(Aux_puntos!$A$2:$OJ$901,462,MATCH($B$2&amp;"|yC",Aux_puntos!$1:$1,0))="",NA(),INDEX(Aux_puntos!$A$2:$OJ$901,462,MATCH($B$2&amp;"|yC",Aux_puntos!$1:$1,0))),NA())</f>
        <v>#N/A</v>
      </c>
      <c r="AG466" t="e">
        <f>IFERROR(IF(INDEX(Aux_puntos!$A$2:$OJ$901,462,MATCH($B$2&amp;"|xI",Aux_puntos!$1:$1,0))="",NA(),INDEX(Aux_puntos!$A$2:$OJ$901,462,MATCH($B$2&amp;"|xI",Aux_puntos!$1:$1,0))),NA())</f>
        <v>#N/A</v>
      </c>
      <c r="AH466" t="e">
        <f>IFERROR(IF(INDEX(Aux_puntos!$A$2:$OJ$901,462,MATCH($B$2&amp;"|yI",Aux_puntos!$1:$1,0))="",NA(),INDEX(Aux_puntos!$A$2:$OJ$901,462,MATCH($B$2&amp;"|yI",Aux_puntos!$1:$1,0))),NA())</f>
        <v>#N/A</v>
      </c>
      <c r="AI466" t="e">
        <f>IFERROR(IF(INDEX(Aux_puntos!$A$2:$OJ$901,462,MATCH($B$2&amp;"|xN",Aux_puntos!$1:$1,0))="",NA(),INDEX(Aux_puntos!$A$2:$OJ$901,462,MATCH($B$2&amp;"|xN",Aux_puntos!$1:$1,0))),NA())</f>
        <v>#N/A</v>
      </c>
      <c r="AJ466" t="e">
        <f>IFERROR(IF(INDEX(Aux_puntos!$A$2:$OJ$901,462,MATCH($B$2&amp;"|yN",Aux_puntos!$1:$1,0))="",NA(),INDEX(Aux_puntos!$A$2:$OJ$901,462,MATCH($B$2&amp;"|yN",Aux_puntos!$1:$1,0))),NA())</f>
        <v>#N/A</v>
      </c>
    </row>
    <row r="467" spans="29:36" x14ac:dyDescent="0.3">
      <c r="AC467" t="e">
        <f>IFERROR(IF(INDEX(Aux_puntos!$A$2:$OJ$901,463,MATCH($B$2&amp;"|xK",Aux_puntos!$1:$1,0))="",NA(),INDEX(Aux_puntos!$A$2:$OJ$901,463,MATCH($B$2&amp;"|xK",Aux_puntos!$1:$1,0))),NA())</f>
        <v>#N/A</v>
      </c>
      <c r="AD467" t="e">
        <f>IFERROR(IF(INDEX(Aux_puntos!$A$2:$OJ$901,463,MATCH($B$2&amp;"|yK",Aux_puntos!$1:$1,0))="",NA(),INDEX(Aux_puntos!$A$2:$OJ$901,463,MATCH($B$2&amp;"|yK",Aux_puntos!$1:$1,0))),NA())</f>
        <v>#N/A</v>
      </c>
      <c r="AE467" t="e">
        <f>IFERROR(IF(INDEX(Aux_puntos!$A$2:$OJ$901,463,MATCH($B$2&amp;"|xC",Aux_puntos!$1:$1,0))="",NA(),INDEX(Aux_puntos!$A$2:$OJ$901,463,MATCH($B$2&amp;"|xC",Aux_puntos!$1:$1,0))),NA())</f>
        <v>#N/A</v>
      </c>
      <c r="AF467" t="e">
        <f>IFERROR(IF(INDEX(Aux_puntos!$A$2:$OJ$901,463,MATCH($B$2&amp;"|yC",Aux_puntos!$1:$1,0))="",NA(),INDEX(Aux_puntos!$A$2:$OJ$901,463,MATCH($B$2&amp;"|yC",Aux_puntos!$1:$1,0))),NA())</f>
        <v>#N/A</v>
      </c>
      <c r="AG467" t="e">
        <f>IFERROR(IF(INDEX(Aux_puntos!$A$2:$OJ$901,463,MATCH($B$2&amp;"|xI",Aux_puntos!$1:$1,0))="",NA(),INDEX(Aux_puntos!$A$2:$OJ$901,463,MATCH($B$2&amp;"|xI",Aux_puntos!$1:$1,0))),NA())</f>
        <v>#N/A</v>
      </c>
      <c r="AH467" t="e">
        <f>IFERROR(IF(INDEX(Aux_puntos!$A$2:$OJ$901,463,MATCH($B$2&amp;"|yI",Aux_puntos!$1:$1,0))="",NA(),INDEX(Aux_puntos!$A$2:$OJ$901,463,MATCH($B$2&amp;"|yI",Aux_puntos!$1:$1,0))),NA())</f>
        <v>#N/A</v>
      </c>
      <c r="AI467" t="e">
        <f>IFERROR(IF(INDEX(Aux_puntos!$A$2:$OJ$901,463,MATCH($B$2&amp;"|xN",Aux_puntos!$1:$1,0))="",NA(),INDEX(Aux_puntos!$A$2:$OJ$901,463,MATCH($B$2&amp;"|xN",Aux_puntos!$1:$1,0))),NA())</f>
        <v>#N/A</v>
      </c>
      <c r="AJ467" t="e">
        <f>IFERROR(IF(INDEX(Aux_puntos!$A$2:$OJ$901,463,MATCH($B$2&amp;"|yN",Aux_puntos!$1:$1,0))="",NA(),INDEX(Aux_puntos!$A$2:$OJ$901,463,MATCH($B$2&amp;"|yN",Aux_puntos!$1:$1,0))),NA())</f>
        <v>#N/A</v>
      </c>
    </row>
    <row r="468" spans="29:36" x14ac:dyDescent="0.3">
      <c r="AC468" t="e">
        <f>IFERROR(IF(INDEX(Aux_puntos!$A$2:$OJ$901,464,MATCH($B$2&amp;"|xK",Aux_puntos!$1:$1,0))="",NA(),INDEX(Aux_puntos!$A$2:$OJ$901,464,MATCH($B$2&amp;"|xK",Aux_puntos!$1:$1,0))),NA())</f>
        <v>#N/A</v>
      </c>
      <c r="AD468" t="e">
        <f>IFERROR(IF(INDEX(Aux_puntos!$A$2:$OJ$901,464,MATCH($B$2&amp;"|yK",Aux_puntos!$1:$1,0))="",NA(),INDEX(Aux_puntos!$A$2:$OJ$901,464,MATCH($B$2&amp;"|yK",Aux_puntos!$1:$1,0))),NA())</f>
        <v>#N/A</v>
      </c>
      <c r="AE468" t="e">
        <f>IFERROR(IF(INDEX(Aux_puntos!$A$2:$OJ$901,464,MATCH($B$2&amp;"|xC",Aux_puntos!$1:$1,0))="",NA(),INDEX(Aux_puntos!$A$2:$OJ$901,464,MATCH($B$2&amp;"|xC",Aux_puntos!$1:$1,0))),NA())</f>
        <v>#N/A</v>
      </c>
      <c r="AF468" t="e">
        <f>IFERROR(IF(INDEX(Aux_puntos!$A$2:$OJ$901,464,MATCH($B$2&amp;"|yC",Aux_puntos!$1:$1,0))="",NA(),INDEX(Aux_puntos!$A$2:$OJ$901,464,MATCH($B$2&amp;"|yC",Aux_puntos!$1:$1,0))),NA())</f>
        <v>#N/A</v>
      </c>
      <c r="AG468" t="e">
        <f>IFERROR(IF(INDEX(Aux_puntos!$A$2:$OJ$901,464,MATCH($B$2&amp;"|xI",Aux_puntos!$1:$1,0))="",NA(),INDEX(Aux_puntos!$A$2:$OJ$901,464,MATCH($B$2&amp;"|xI",Aux_puntos!$1:$1,0))),NA())</f>
        <v>#N/A</v>
      </c>
      <c r="AH468" t="e">
        <f>IFERROR(IF(INDEX(Aux_puntos!$A$2:$OJ$901,464,MATCH($B$2&amp;"|yI",Aux_puntos!$1:$1,0))="",NA(),INDEX(Aux_puntos!$A$2:$OJ$901,464,MATCH($B$2&amp;"|yI",Aux_puntos!$1:$1,0))),NA())</f>
        <v>#N/A</v>
      </c>
      <c r="AI468" t="e">
        <f>IFERROR(IF(INDEX(Aux_puntos!$A$2:$OJ$901,464,MATCH($B$2&amp;"|xN",Aux_puntos!$1:$1,0))="",NA(),INDEX(Aux_puntos!$A$2:$OJ$901,464,MATCH($B$2&amp;"|xN",Aux_puntos!$1:$1,0))),NA())</f>
        <v>#N/A</v>
      </c>
      <c r="AJ468" t="e">
        <f>IFERROR(IF(INDEX(Aux_puntos!$A$2:$OJ$901,464,MATCH($B$2&amp;"|yN",Aux_puntos!$1:$1,0))="",NA(),INDEX(Aux_puntos!$A$2:$OJ$901,464,MATCH($B$2&amp;"|yN",Aux_puntos!$1:$1,0))),NA())</f>
        <v>#N/A</v>
      </c>
    </row>
    <row r="469" spans="29:36" x14ac:dyDescent="0.3">
      <c r="AC469" t="e">
        <f>IFERROR(IF(INDEX(Aux_puntos!$A$2:$OJ$901,465,MATCH($B$2&amp;"|xK",Aux_puntos!$1:$1,0))="",NA(),INDEX(Aux_puntos!$A$2:$OJ$901,465,MATCH($B$2&amp;"|xK",Aux_puntos!$1:$1,0))),NA())</f>
        <v>#N/A</v>
      </c>
      <c r="AD469" t="e">
        <f>IFERROR(IF(INDEX(Aux_puntos!$A$2:$OJ$901,465,MATCH($B$2&amp;"|yK",Aux_puntos!$1:$1,0))="",NA(),INDEX(Aux_puntos!$A$2:$OJ$901,465,MATCH($B$2&amp;"|yK",Aux_puntos!$1:$1,0))),NA())</f>
        <v>#N/A</v>
      </c>
      <c r="AE469" t="e">
        <f>IFERROR(IF(INDEX(Aux_puntos!$A$2:$OJ$901,465,MATCH($B$2&amp;"|xC",Aux_puntos!$1:$1,0))="",NA(),INDEX(Aux_puntos!$A$2:$OJ$901,465,MATCH($B$2&amp;"|xC",Aux_puntos!$1:$1,0))),NA())</f>
        <v>#N/A</v>
      </c>
      <c r="AF469" t="e">
        <f>IFERROR(IF(INDEX(Aux_puntos!$A$2:$OJ$901,465,MATCH($B$2&amp;"|yC",Aux_puntos!$1:$1,0))="",NA(),INDEX(Aux_puntos!$A$2:$OJ$901,465,MATCH($B$2&amp;"|yC",Aux_puntos!$1:$1,0))),NA())</f>
        <v>#N/A</v>
      </c>
      <c r="AG469" t="e">
        <f>IFERROR(IF(INDEX(Aux_puntos!$A$2:$OJ$901,465,MATCH($B$2&amp;"|xI",Aux_puntos!$1:$1,0))="",NA(),INDEX(Aux_puntos!$A$2:$OJ$901,465,MATCH($B$2&amp;"|xI",Aux_puntos!$1:$1,0))),NA())</f>
        <v>#N/A</v>
      </c>
      <c r="AH469" t="e">
        <f>IFERROR(IF(INDEX(Aux_puntos!$A$2:$OJ$901,465,MATCH($B$2&amp;"|yI",Aux_puntos!$1:$1,0))="",NA(),INDEX(Aux_puntos!$A$2:$OJ$901,465,MATCH($B$2&amp;"|yI",Aux_puntos!$1:$1,0))),NA())</f>
        <v>#N/A</v>
      </c>
      <c r="AI469" t="e">
        <f>IFERROR(IF(INDEX(Aux_puntos!$A$2:$OJ$901,465,MATCH($B$2&amp;"|xN",Aux_puntos!$1:$1,0))="",NA(),INDEX(Aux_puntos!$A$2:$OJ$901,465,MATCH($B$2&amp;"|xN",Aux_puntos!$1:$1,0))),NA())</f>
        <v>#N/A</v>
      </c>
      <c r="AJ469" t="e">
        <f>IFERROR(IF(INDEX(Aux_puntos!$A$2:$OJ$901,465,MATCH($B$2&amp;"|yN",Aux_puntos!$1:$1,0))="",NA(),INDEX(Aux_puntos!$A$2:$OJ$901,465,MATCH($B$2&amp;"|yN",Aux_puntos!$1:$1,0))),NA())</f>
        <v>#N/A</v>
      </c>
    </row>
    <row r="470" spans="29:36" x14ac:dyDescent="0.3">
      <c r="AC470" t="e">
        <f>IFERROR(IF(INDEX(Aux_puntos!$A$2:$OJ$901,466,MATCH($B$2&amp;"|xK",Aux_puntos!$1:$1,0))="",NA(),INDEX(Aux_puntos!$A$2:$OJ$901,466,MATCH($B$2&amp;"|xK",Aux_puntos!$1:$1,0))),NA())</f>
        <v>#N/A</v>
      </c>
      <c r="AD470" t="e">
        <f>IFERROR(IF(INDEX(Aux_puntos!$A$2:$OJ$901,466,MATCH($B$2&amp;"|yK",Aux_puntos!$1:$1,0))="",NA(),INDEX(Aux_puntos!$A$2:$OJ$901,466,MATCH($B$2&amp;"|yK",Aux_puntos!$1:$1,0))),NA())</f>
        <v>#N/A</v>
      </c>
      <c r="AE470" t="e">
        <f>IFERROR(IF(INDEX(Aux_puntos!$A$2:$OJ$901,466,MATCH($B$2&amp;"|xC",Aux_puntos!$1:$1,0))="",NA(),INDEX(Aux_puntos!$A$2:$OJ$901,466,MATCH($B$2&amp;"|xC",Aux_puntos!$1:$1,0))),NA())</f>
        <v>#N/A</v>
      </c>
      <c r="AF470" t="e">
        <f>IFERROR(IF(INDEX(Aux_puntos!$A$2:$OJ$901,466,MATCH($B$2&amp;"|yC",Aux_puntos!$1:$1,0))="",NA(),INDEX(Aux_puntos!$A$2:$OJ$901,466,MATCH($B$2&amp;"|yC",Aux_puntos!$1:$1,0))),NA())</f>
        <v>#N/A</v>
      </c>
      <c r="AG470" t="e">
        <f>IFERROR(IF(INDEX(Aux_puntos!$A$2:$OJ$901,466,MATCH($B$2&amp;"|xI",Aux_puntos!$1:$1,0))="",NA(),INDEX(Aux_puntos!$A$2:$OJ$901,466,MATCH($B$2&amp;"|xI",Aux_puntos!$1:$1,0))),NA())</f>
        <v>#N/A</v>
      </c>
      <c r="AH470" t="e">
        <f>IFERROR(IF(INDEX(Aux_puntos!$A$2:$OJ$901,466,MATCH($B$2&amp;"|yI",Aux_puntos!$1:$1,0))="",NA(),INDEX(Aux_puntos!$A$2:$OJ$901,466,MATCH($B$2&amp;"|yI",Aux_puntos!$1:$1,0))),NA())</f>
        <v>#N/A</v>
      </c>
      <c r="AI470" t="e">
        <f>IFERROR(IF(INDEX(Aux_puntos!$A$2:$OJ$901,466,MATCH($B$2&amp;"|xN",Aux_puntos!$1:$1,0))="",NA(),INDEX(Aux_puntos!$A$2:$OJ$901,466,MATCH($B$2&amp;"|xN",Aux_puntos!$1:$1,0))),NA())</f>
        <v>#N/A</v>
      </c>
      <c r="AJ470" t="e">
        <f>IFERROR(IF(INDEX(Aux_puntos!$A$2:$OJ$901,466,MATCH($B$2&amp;"|yN",Aux_puntos!$1:$1,0))="",NA(),INDEX(Aux_puntos!$A$2:$OJ$901,466,MATCH($B$2&amp;"|yN",Aux_puntos!$1:$1,0))),NA())</f>
        <v>#N/A</v>
      </c>
    </row>
    <row r="471" spans="29:36" x14ac:dyDescent="0.3">
      <c r="AC471" t="e">
        <f>IFERROR(IF(INDEX(Aux_puntos!$A$2:$OJ$901,467,MATCH($B$2&amp;"|xK",Aux_puntos!$1:$1,0))="",NA(),INDEX(Aux_puntos!$A$2:$OJ$901,467,MATCH($B$2&amp;"|xK",Aux_puntos!$1:$1,0))),NA())</f>
        <v>#N/A</v>
      </c>
      <c r="AD471" t="e">
        <f>IFERROR(IF(INDEX(Aux_puntos!$A$2:$OJ$901,467,MATCH($B$2&amp;"|yK",Aux_puntos!$1:$1,0))="",NA(),INDEX(Aux_puntos!$A$2:$OJ$901,467,MATCH($B$2&amp;"|yK",Aux_puntos!$1:$1,0))),NA())</f>
        <v>#N/A</v>
      </c>
      <c r="AE471" t="e">
        <f>IFERROR(IF(INDEX(Aux_puntos!$A$2:$OJ$901,467,MATCH($B$2&amp;"|xC",Aux_puntos!$1:$1,0))="",NA(),INDEX(Aux_puntos!$A$2:$OJ$901,467,MATCH($B$2&amp;"|xC",Aux_puntos!$1:$1,0))),NA())</f>
        <v>#N/A</v>
      </c>
      <c r="AF471" t="e">
        <f>IFERROR(IF(INDEX(Aux_puntos!$A$2:$OJ$901,467,MATCH($B$2&amp;"|yC",Aux_puntos!$1:$1,0))="",NA(),INDEX(Aux_puntos!$A$2:$OJ$901,467,MATCH($B$2&amp;"|yC",Aux_puntos!$1:$1,0))),NA())</f>
        <v>#N/A</v>
      </c>
      <c r="AG471" t="e">
        <f>IFERROR(IF(INDEX(Aux_puntos!$A$2:$OJ$901,467,MATCH($B$2&amp;"|xI",Aux_puntos!$1:$1,0))="",NA(),INDEX(Aux_puntos!$A$2:$OJ$901,467,MATCH($B$2&amp;"|xI",Aux_puntos!$1:$1,0))),NA())</f>
        <v>#N/A</v>
      </c>
      <c r="AH471" t="e">
        <f>IFERROR(IF(INDEX(Aux_puntos!$A$2:$OJ$901,467,MATCH($B$2&amp;"|yI",Aux_puntos!$1:$1,0))="",NA(),INDEX(Aux_puntos!$A$2:$OJ$901,467,MATCH($B$2&amp;"|yI",Aux_puntos!$1:$1,0))),NA())</f>
        <v>#N/A</v>
      </c>
      <c r="AI471" t="e">
        <f>IFERROR(IF(INDEX(Aux_puntos!$A$2:$OJ$901,467,MATCH($B$2&amp;"|xN",Aux_puntos!$1:$1,0))="",NA(),INDEX(Aux_puntos!$A$2:$OJ$901,467,MATCH($B$2&amp;"|xN",Aux_puntos!$1:$1,0))),NA())</f>
        <v>#N/A</v>
      </c>
      <c r="AJ471" t="e">
        <f>IFERROR(IF(INDEX(Aux_puntos!$A$2:$OJ$901,467,MATCH($B$2&amp;"|yN",Aux_puntos!$1:$1,0))="",NA(),INDEX(Aux_puntos!$A$2:$OJ$901,467,MATCH($B$2&amp;"|yN",Aux_puntos!$1:$1,0))),NA())</f>
        <v>#N/A</v>
      </c>
    </row>
    <row r="472" spans="29:36" x14ac:dyDescent="0.3">
      <c r="AC472" t="e">
        <f>IFERROR(IF(INDEX(Aux_puntos!$A$2:$OJ$901,468,MATCH($B$2&amp;"|xK",Aux_puntos!$1:$1,0))="",NA(),INDEX(Aux_puntos!$A$2:$OJ$901,468,MATCH($B$2&amp;"|xK",Aux_puntos!$1:$1,0))),NA())</f>
        <v>#N/A</v>
      </c>
      <c r="AD472" t="e">
        <f>IFERROR(IF(INDEX(Aux_puntos!$A$2:$OJ$901,468,MATCH($B$2&amp;"|yK",Aux_puntos!$1:$1,0))="",NA(),INDEX(Aux_puntos!$A$2:$OJ$901,468,MATCH($B$2&amp;"|yK",Aux_puntos!$1:$1,0))),NA())</f>
        <v>#N/A</v>
      </c>
      <c r="AE472" t="e">
        <f>IFERROR(IF(INDEX(Aux_puntos!$A$2:$OJ$901,468,MATCH($B$2&amp;"|xC",Aux_puntos!$1:$1,0))="",NA(),INDEX(Aux_puntos!$A$2:$OJ$901,468,MATCH($B$2&amp;"|xC",Aux_puntos!$1:$1,0))),NA())</f>
        <v>#N/A</v>
      </c>
      <c r="AF472" t="e">
        <f>IFERROR(IF(INDEX(Aux_puntos!$A$2:$OJ$901,468,MATCH($B$2&amp;"|yC",Aux_puntos!$1:$1,0))="",NA(),INDEX(Aux_puntos!$A$2:$OJ$901,468,MATCH($B$2&amp;"|yC",Aux_puntos!$1:$1,0))),NA())</f>
        <v>#N/A</v>
      </c>
      <c r="AG472" t="e">
        <f>IFERROR(IF(INDEX(Aux_puntos!$A$2:$OJ$901,468,MATCH($B$2&amp;"|xI",Aux_puntos!$1:$1,0))="",NA(),INDEX(Aux_puntos!$A$2:$OJ$901,468,MATCH($B$2&amp;"|xI",Aux_puntos!$1:$1,0))),NA())</f>
        <v>#N/A</v>
      </c>
      <c r="AH472" t="e">
        <f>IFERROR(IF(INDEX(Aux_puntos!$A$2:$OJ$901,468,MATCH($B$2&amp;"|yI",Aux_puntos!$1:$1,0))="",NA(),INDEX(Aux_puntos!$A$2:$OJ$901,468,MATCH($B$2&amp;"|yI",Aux_puntos!$1:$1,0))),NA())</f>
        <v>#N/A</v>
      </c>
      <c r="AI472" t="e">
        <f>IFERROR(IF(INDEX(Aux_puntos!$A$2:$OJ$901,468,MATCH($B$2&amp;"|xN",Aux_puntos!$1:$1,0))="",NA(),INDEX(Aux_puntos!$A$2:$OJ$901,468,MATCH($B$2&amp;"|xN",Aux_puntos!$1:$1,0))),NA())</f>
        <v>#N/A</v>
      </c>
      <c r="AJ472" t="e">
        <f>IFERROR(IF(INDEX(Aux_puntos!$A$2:$OJ$901,468,MATCH($B$2&amp;"|yN",Aux_puntos!$1:$1,0))="",NA(),INDEX(Aux_puntos!$A$2:$OJ$901,468,MATCH($B$2&amp;"|yN",Aux_puntos!$1:$1,0))),NA())</f>
        <v>#N/A</v>
      </c>
    </row>
    <row r="473" spans="29:36" x14ac:dyDescent="0.3">
      <c r="AC473" t="e">
        <f>IFERROR(IF(INDEX(Aux_puntos!$A$2:$OJ$901,469,MATCH($B$2&amp;"|xK",Aux_puntos!$1:$1,0))="",NA(),INDEX(Aux_puntos!$A$2:$OJ$901,469,MATCH($B$2&amp;"|xK",Aux_puntos!$1:$1,0))),NA())</f>
        <v>#N/A</v>
      </c>
      <c r="AD473" t="e">
        <f>IFERROR(IF(INDEX(Aux_puntos!$A$2:$OJ$901,469,MATCH($B$2&amp;"|yK",Aux_puntos!$1:$1,0))="",NA(),INDEX(Aux_puntos!$A$2:$OJ$901,469,MATCH($B$2&amp;"|yK",Aux_puntos!$1:$1,0))),NA())</f>
        <v>#N/A</v>
      </c>
      <c r="AE473" t="e">
        <f>IFERROR(IF(INDEX(Aux_puntos!$A$2:$OJ$901,469,MATCH($B$2&amp;"|xC",Aux_puntos!$1:$1,0))="",NA(),INDEX(Aux_puntos!$A$2:$OJ$901,469,MATCH($B$2&amp;"|xC",Aux_puntos!$1:$1,0))),NA())</f>
        <v>#N/A</v>
      </c>
      <c r="AF473" t="e">
        <f>IFERROR(IF(INDEX(Aux_puntos!$A$2:$OJ$901,469,MATCH($B$2&amp;"|yC",Aux_puntos!$1:$1,0))="",NA(),INDEX(Aux_puntos!$A$2:$OJ$901,469,MATCH($B$2&amp;"|yC",Aux_puntos!$1:$1,0))),NA())</f>
        <v>#N/A</v>
      </c>
      <c r="AG473" t="e">
        <f>IFERROR(IF(INDEX(Aux_puntos!$A$2:$OJ$901,469,MATCH($B$2&amp;"|xI",Aux_puntos!$1:$1,0))="",NA(),INDEX(Aux_puntos!$A$2:$OJ$901,469,MATCH($B$2&amp;"|xI",Aux_puntos!$1:$1,0))),NA())</f>
        <v>#N/A</v>
      </c>
      <c r="AH473" t="e">
        <f>IFERROR(IF(INDEX(Aux_puntos!$A$2:$OJ$901,469,MATCH($B$2&amp;"|yI",Aux_puntos!$1:$1,0))="",NA(),INDEX(Aux_puntos!$A$2:$OJ$901,469,MATCH($B$2&amp;"|yI",Aux_puntos!$1:$1,0))),NA())</f>
        <v>#N/A</v>
      </c>
      <c r="AI473" t="e">
        <f>IFERROR(IF(INDEX(Aux_puntos!$A$2:$OJ$901,469,MATCH($B$2&amp;"|xN",Aux_puntos!$1:$1,0))="",NA(),INDEX(Aux_puntos!$A$2:$OJ$901,469,MATCH($B$2&amp;"|xN",Aux_puntos!$1:$1,0))),NA())</f>
        <v>#N/A</v>
      </c>
      <c r="AJ473" t="e">
        <f>IFERROR(IF(INDEX(Aux_puntos!$A$2:$OJ$901,469,MATCH($B$2&amp;"|yN",Aux_puntos!$1:$1,0))="",NA(),INDEX(Aux_puntos!$A$2:$OJ$901,469,MATCH($B$2&amp;"|yN",Aux_puntos!$1:$1,0))),NA())</f>
        <v>#N/A</v>
      </c>
    </row>
    <row r="474" spans="29:36" x14ac:dyDescent="0.3">
      <c r="AC474" t="e">
        <f>IFERROR(IF(INDEX(Aux_puntos!$A$2:$OJ$901,470,MATCH($B$2&amp;"|xK",Aux_puntos!$1:$1,0))="",NA(),INDEX(Aux_puntos!$A$2:$OJ$901,470,MATCH($B$2&amp;"|xK",Aux_puntos!$1:$1,0))),NA())</f>
        <v>#N/A</v>
      </c>
      <c r="AD474" t="e">
        <f>IFERROR(IF(INDEX(Aux_puntos!$A$2:$OJ$901,470,MATCH($B$2&amp;"|yK",Aux_puntos!$1:$1,0))="",NA(),INDEX(Aux_puntos!$A$2:$OJ$901,470,MATCH($B$2&amp;"|yK",Aux_puntos!$1:$1,0))),NA())</f>
        <v>#N/A</v>
      </c>
      <c r="AE474" t="e">
        <f>IFERROR(IF(INDEX(Aux_puntos!$A$2:$OJ$901,470,MATCH($B$2&amp;"|xC",Aux_puntos!$1:$1,0))="",NA(),INDEX(Aux_puntos!$A$2:$OJ$901,470,MATCH($B$2&amp;"|xC",Aux_puntos!$1:$1,0))),NA())</f>
        <v>#N/A</v>
      </c>
      <c r="AF474" t="e">
        <f>IFERROR(IF(INDEX(Aux_puntos!$A$2:$OJ$901,470,MATCH($B$2&amp;"|yC",Aux_puntos!$1:$1,0))="",NA(),INDEX(Aux_puntos!$A$2:$OJ$901,470,MATCH($B$2&amp;"|yC",Aux_puntos!$1:$1,0))),NA())</f>
        <v>#N/A</v>
      </c>
      <c r="AG474" t="e">
        <f>IFERROR(IF(INDEX(Aux_puntos!$A$2:$OJ$901,470,MATCH($B$2&amp;"|xI",Aux_puntos!$1:$1,0))="",NA(),INDEX(Aux_puntos!$A$2:$OJ$901,470,MATCH($B$2&amp;"|xI",Aux_puntos!$1:$1,0))),NA())</f>
        <v>#N/A</v>
      </c>
      <c r="AH474" t="e">
        <f>IFERROR(IF(INDEX(Aux_puntos!$A$2:$OJ$901,470,MATCH($B$2&amp;"|yI",Aux_puntos!$1:$1,0))="",NA(),INDEX(Aux_puntos!$A$2:$OJ$901,470,MATCH($B$2&amp;"|yI",Aux_puntos!$1:$1,0))),NA())</f>
        <v>#N/A</v>
      </c>
      <c r="AI474" t="e">
        <f>IFERROR(IF(INDEX(Aux_puntos!$A$2:$OJ$901,470,MATCH($B$2&amp;"|xN",Aux_puntos!$1:$1,0))="",NA(),INDEX(Aux_puntos!$A$2:$OJ$901,470,MATCH($B$2&amp;"|xN",Aux_puntos!$1:$1,0))),NA())</f>
        <v>#N/A</v>
      </c>
      <c r="AJ474" t="e">
        <f>IFERROR(IF(INDEX(Aux_puntos!$A$2:$OJ$901,470,MATCH($B$2&amp;"|yN",Aux_puntos!$1:$1,0))="",NA(),INDEX(Aux_puntos!$A$2:$OJ$901,470,MATCH($B$2&amp;"|yN",Aux_puntos!$1:$1,0))),NA())</f>
        <v>#N/A</v>
      </c>
    </row>
    <row r="475" spans="29:36" x14ac:dyDescent="0.3">
      <c r="AC475" t="e">
        <f>IFERROR(IF(INDEX(Aux_puntos!$A$2:$OJ$901,471,MATCH($B$2&amp;"|xK",Aux_puntos!$1:$1,0))="",NA(),INDEX(Aux_puntos!$A$2:$OJ$901,471,MATCH($B$2&amp;"|xK",Aux_puntos!$1:$1,0))),NA())</f>
        <v>#N/A</v>
      </c>
      <c r="AD475" t="e">
        <f>IFERROR(IF(INDEX(Aux_puntos!$A$2:$OJ$901,471,MATCH($B$2&amp;"|yK",Aux_puntos!$1:$1,0))="",NA(),INDEX(Aux_puntos!$A$2:$OJ$901,471,MATCH($B$2&amp;"|yK",Aux_puntos!$1:$1,0))),NA())</f>
        <v>#N/A</v>
      </c>
      <c r="AE475" t="e">
        <f>IFERROR(IF(INDEX(Aux_puntos!$A$2:$OJ$901,471,MATCH($B$2&amp;"|xC",Aux_puntos!$1:$1,0))="",NA(),INDEX(Aux_puntos!$A$2:$OJ$901,471,MATCH($B$2&amp;"|xC",Aux_puntos!$1:$1,0))),NA())</f>
        <v>#N/A</v>
      </c>
      <c r="AF475" t="e">
        <f>IFERROR(IF(INDEX(Aux_puntos!$A$2:$OJ$901,471,MATCH($B$2&amp;"|yC",Aux_puntos!$1:$1,0))="",NA(),INDEX(Aux_puntos!$A$2:$OJ$901,471,MATCH($B$2&amp;"|yC",Aux_puntos!$1:$1,0))),NA())</f>
        <v>#N/A</v>
      </c>
      <c r="AG475" t="e">
        <f>IFERROR(IF(INDEX(Aux_puntos!$A$2:$OJ$901,471,MATCH($B$2&amp;"|xI",Aux_puntos!$1:$1,0))="",NA(),INDEX(Aux_puntos!$A$2:$OJ$901,471,MATCH($B$2&amp;"|xI",Aux_puntos!$1:$1,0))),NA())</f>
        <v>#N/A</v>
      </c>
      <c r="AH475" t="e">
        <f>IFERROR(IF(INDEX(Aux_puntos!$A$2:$OJ$901,471,MATCH($B$2&amp;"|yI",Aux_puntos!$1:$1,0))="",NA(),INDEX(Aux_puntos!$A$2:$OJ$901,471,MATCH($B$2&amp;"|yI",Aux_puntos!$1:$1,0))),NA())</f>
        <v>#N/A</v>
      </c>
      <c r="AI475" t="e">
        <f>IFERROR(IF(INDEX(Aux_puntos!$A$2:$OJ$901,471,MATCH($B$2&amp;"|xN",Aux_puntos!$1:$1,0))="",NA(),INDEX(Aux_puntos!$A$2:$OJ$901,471,MATCH($B$2&amp;"|xN",Aux_puntos!$1:$1,0))),NA())</f>
        <v>#N/A</v>
      </c>
      <c r="AJ475" t="e">
        <f>IFERROR(IF(INDEX(Aux_puntos!$A$2:$OJ$901,471,MATCH($B$2&amp;"|yN",Aux_puntos!$1:$1,0))="",NA(),INDEX(Aux_puntos!$A$2:$OJ$901,471,MATCH($B$2&amp;"|yN",Aux_puntos!$1:$1,0))),NA())</f>
        <v>#N/A</v>
      </c>
    </row>
    <row r="476" spans="29:36" x14ac:dyDescent="0.3">
      <c r="AC476" t="e">
        <f>IFERROR(IF(INDEX(Aux_puntos!$A$2:$OJ$901,472,MATCH($B$2&amp;"|xK",Aux_puntos!$1:$1,0))="",NA(),INDEX(Aux_puntos!$A$2:$OJ$901,472,MATCH($B$2&amp;"|xK",Aux_puntos!$1:$1,0))),NA())</f>
        <v>#N/A</v>
      </c>
      <c r="AD476" t="e">
        <f>IFERROR(IF(INDEX(Aux_puntos!$A$2:$OJ$901,472,MATCH($B$2&amp;"|yK",Aux_puntos!$1:$1,0))="",NA(),INDEX(Aux_puntos!$A$2:$OJ$901,472,MATCH($B$2&amp;"|yK",Aux_puntos!$1:$1,0))),NA())</f>
        <v>#N/A</v>
      </c>
      <c r="AE476" t="e">
        <f>IFERROR(IF(INDEX(Aux_puntos!$A$2:$OJ$901,472,MATCH($B$2&amp;"|xC",Aux_puntos!$1:$1,0))="",NA(),INDEX(Aux_puntos!$A$2:$OJ$901,472,MATCH($B$2&amp;"|xC",Aux_puntos!$1:$1,0))),NA())</f>
        <v>#N/A</v>
      </c>
      <c r="AF476" t="e">
        <f>IFERROR(IF(INDEX(Aux_puntos!$A$2:$OJ$901,472,MATCH($B$2&amp;"|yC",Aux_puntos!$1:$1,0))="",NA(),INDEX(Aux_puntos!$A$2:$OJ$901,472,MATCH($B$2&amp;"|yC",Aux_puntos!$1:$1,0))),NA())</f>
        <v>#N/A</v>
      </c>
      <c r="AG476" t="e">
        <f>IFERROR(IF(INDEX(Aux_puntos!$A$2:$OJ$901,472,MATCH($B$2&amp;"|xI",Aux_puntos!$1:$1,0))="",NA(),INDEX(Aux_puntos!$A$2:$OJ$901,472,MATCH($B$2&amp;"|xI",Aux_puntos!$1:$1,0))),NA())</f>
        <v>#N/A</v>
      </c>
      <c r="AH476" t="e">
        <f>IFERROR(IF(INDEX(Aux_puntos!$A$2:$OJ$901,472,MATCH($B$2&amp;"|yI",Aux_puntos!$1:$1,0))="",NA(),INDEX(Aux_puntos!$A$2:$OJ$901,472,MATCH($B$2&amp;"|yI",Aux_puntos!$1:$1,0))),NA())</f>
        <v>#N/A</v>
      </c>
      <c r="AI476" t="e">
        <f>IFERROR(IF(INDEX(Aux_puntos!$A$2:$OJ$901,472,MATCH($B$2&amp;"|xN",Aux_puntos!$1:$1,0))="",NA(),INDEX(Aux_puntos!$A$2:$OJ$901,472,MATCH($B$2&amp;"|xN",Aux_puntos!$1:$1,0))),NA())</f>
        <v>#N/A</v>
      </c>
      <c r="AJ476" t="e">
        <f>IFERROR(IF(INDEX(Aux_puntos!$A$2:$OJ$901,472,MATCH($B$2&amp;"|yN",Aux_puntos!$1:$1,0))="",NA(),INDEX(Aux_puntos!$A$2:$OJ$901,472,MATCH($B$2&amp;"|yN",Aux_puntos!$1:$1,0))),NA())</f>
        <v>#N/A</v>
      </c>
    </row>
    <row r="477" spans="29:36" x14ac:dyDescent="0.3">
      <c r="AC477" t="e">
        <f>IFERROR(IF(INDEX(Aux_puntos!$A$2:$OJ$901,473,MATCH($B$2&amp;"|xK",Aux_puntos!$1:$1,0))="",NA(),INDEX(Aux_puntos!$A$2:$OJ$901,473,MATCH($B$2&amp;"|xK",Aux_puntos!$1:$1,0))),NA())</f>
        <v>#N/A</v>
      </c>
      <c r="AD477" t="e">
        <f>IFERROR(IF(INDEX(Aux_puntos!$A$2:$OJ$901,473,MATCH($B$2&amp;"|yK",Aux_puntos!$1:$1,0))="",NA(),INDEX(Aux_puntos!$A$2:$OJ$901,473,MATCH($B$2&amp;"|yK",Aux_puntos!$1:$1,0))),NA())</f>
        <v>#N/A</v>
      </c>
      <c r="AE477" t="e">
        <f>IFERROR(IF(INDEX(Aux_puntos!$A$2:$OJ$901,473,MATCH($B$2&amp;"|xC",Aux_puntos!$1:$1,0))="",NA(),INDEX(Aux_puntos!$A$2:$OJ$901,473,MATCH($B$2&amp;"|xC",Aux_puntos!$1:$1,0))),NA())</f>
        <v>#N/A</v>
      </c>
      <c r="AF477" t="e">
        <f>IFERROR(IF(INDEX(Aux_puntos!$A$2:$OJ$901,473,MATCH($B$2&amp;"|yC",Aux_puntos!$1:$1,0))="",NA(),INDEX(Aux_puntos!$A$2:$OJ$901,473,MATCH($B$2&amp;"|yC",Aux_puntos!$1:$1,0))),NA())</f>
        <v>#N/A</v>
      </c>
      <c r="AG477" t="e">
        <f>IFERROR(IF(INDEX(Aux_puntos!$A$2:$OJ$901,473,MATCH($B$2&amp;"|xI",Aux_puntos!$1:$1,0))="",NA(),INDEX(Aux_puntos!$A$2:$OJ$901,473,MATCH($B$2&amp;"|xI",Aux_puntos!$1:$1,0))),NA())</f>
        <v>#N/A</v>
      </c>
      <c r="AH477" t="e">
        <f>IFERROR(IF(INDEX(Aux_puntos!$A$2:$OJ$901,473,MATCH($B$2&amp;"|yI",Aux_puntos!$1:$1,0))="",NA(),INDEX(Aux_puntos!$A$2:$OJ$901,473,MATCH($B$2&amp;"|yI",Aux_puntos!$1:$1,0))),NA())</f>
        <v>#N/A</v>
      </c>
      <c r="AI477" t="e">
        <f>IFERROR(IF(INDEX(Aux_puntos!$A$2:$OJ$901,473,MATCH($B$2&amp;"|xN",Aux_puntos!$1:$1,0))="",NA(),INDEX(Aux_puntos!$A$2:$OJ$901,473,MATCH($B$2&amp;"|xN",Aux_puntos!$1:$1,0))),NA())</f>
        <v>#N/A</v>
      </c>
      <c r="AJ477" t="e">
        <f>IFERROR(IF(INDEX(Aux_puntos!$A$2:$OJ$901,473,MATCH($B$2&amp;"|yN",Aux_puntos!$1:$1,0))="",NA(),INDEX(Aux_puntos!$A$2:$OJ$901,473,MATCH($B$2&amp;"|yN",Aux_puntos!$1:$1,0))),NA())</f>
        <v>#N/A</v>
      </c>
    </row>
    <row r="478" spans="29:36" x14ac:dyDescent="0.3">
      <c r="AC478" t="e">
        <f>IFERROR(IF(INDEX(Aux_puntos!$A$2:$OJ$901,474,MATCH($B$2&amp;"|xK",Aux_puntos!$1:$1,0))="",NA(),INDEX(Aux_puntos!$A$2:$OJ$901,474,MATCH($B$2&amp;"|xK",Aux_puntos!$1:$1,0))),NA())</f>
        <v>#N/A</v>
      </c>
      <c r="AD478" t="e">
        <f>IFERROR(IF(INDEX(Aux_puntos!$A$2:$OJ$901,474,MATCH($B$2&amp;"|yK",Aux_puntos!$1:$1,0))="",NA(),INDEX(Aux_puntos!$A$2:$OJ$901,474,MATCH($B$2&amp;"|yK",Aux_puntos!$1:$1,0))),NA())</f>
        <v>#N/A</v>
      </c>
      <c r="AE478" t="e">
        <f>IFERROR(IF(INDEX(Aux_puntos!$A$2:$OJ$901,474,MATCH($B$2&amp;"|xC",Aux_puntos!$1:$1,0))="",NA(),INDEX(Aux_puntos!$A$2:$OJ$901,474,MATCH($B$2&amp;"|xC",Aux_puntos!$1:$1,0))),NA())</f>
        <v>#N/A</v>
      </c>
      <c r="AF478" t="e">
        <f>IFERROR(IF(INDEX(Aux_puntos!$A$2:$OJ$901,474,MATCH($B$2&amp;"|yC",Aux_puntos!$1:$1,0))="",NA(),INDEX(Aux_puntos!$A$2:$OJ$901,474,MATCH($B$2&amp;"|yC",Aux_puntos!$1:$1,0))),NA())</f>
        <v>#N/A</v>
      </c>
      <c r="AG478" t="e">
        <f>IFERROR(IF(INDEX(Aux_puntos!$A$2:$OJ$901,474,MATCH($B$2&amp;"|xI",Aux_puntos!$1:$1,0))="",NA(),INDEX(Aux_puntos!$A$2:$OJ$901,474,MATCH($B$2&amp;"|xI",Aux_puntos!$1:$1,0))),NA())</f>
        <v>#N/A</v>
      </c>
      <c r="AH478" t="e">
        <f>IFERROR(IF(INDEX(Aux_puntos!$A$2:$OJ$901,474,MATCH($B$2&amp;"|yI",Aux_puntos!$1:$1,0))="",NA(),INDEX(Aux_puntos!$A$2:$OJ$901,474,MATCH($B$2&amp;"|yI",Aux_puntos!$1:$1,0))),NA())</f>
        <v>#N/A</v>
      </c>
      <c r="AI478" t="e">
        <f>IFERROR(IF(INDEX(Aux_puntos!$A$2:$OJ$901,474,MATCH($B$2&amp;"|xN",Aux_puntos!$1:$1,0))="",NA(),INDEX(Aux_puntos!$A$2:$OJ$901,474,MATCH($B$2&amp;"|xN",Aux_puntos!$1:$1,0))),NA())</f>
        <v>#N/A</v>
      </c>
      <c r="AJ478" t="e">
        <f>IFERROR(IF(INDEX(Aux_puntos!$A$2:$OJ$901,474,MATCH($B$2&amp;"|yN",Aux_puntos!$1:$1,0))="",NA(),INDEX(Aux_puntos!$A$2:$OJ$901,474,MATCH($B$2&amp;"|yN",Aux_puntos!$1:$1,0))),NA())</f>
        <v>#N/A</v>
      </c>
    </row>
    <row r="479" spans="29:36" x14ac:dyDescent="0.3">
      <c r="AC479" t="e">
        <f>IFERROR(IF(INDEX(Aux_puntos!$A$2:$OJ$901,475,MATCH($B$2&amp;"|xK",Aux_puntos!$1:$1,0))="",NA(),INDEX(Aux_puntos!$A$2:$OJ$901,475,MATCH($B$2&amp;"|xK",Aux_puntos!$1:$1,0))),NA())</f>
        <v>#N/A</v>
      </c>
      <c r="AD479" t="e">
        <f>IFERROR(IF(INDEX(Aux_puntos!$A$2:$OJ$901,475,MATCH($B$2&amp;"|yK",Aux_puntos!$1:$1,0))="",NA(),INDEX(Aux_puntos!$A$2:$OJ$901,475,MATCH($B$2&amp;"|yK",Aux_puntos!$1:$1,0))),NA())</f>
        <v>#N/A</v>
      </c>
      <c r="AE479" t="e">
        <f>IFERROR(IF(INDEX(Aux_puntos!$A$2:$OJ$901,475,MATCH($B$2&amp;"|xC",Aux_puntos!$1:$1,0))="",NA(),INDEX(Aux_puntos!$A$2:$OJ$901,475,MATCH($B$2&amp;"|xC",Aux_puntos!$1:$1,0))),NA())</f>
        <v>#N/A</v>
      </c>
      <c r="AF479" t="e">
        <f>IFERROR(IF(INDEX(Aux_puntos!$A$2:$OJ$901,475,MATCH($B$2&amp;"|yC",Aux_puntos!$1:$1,0))="",NA(),INDEX(Aux_puntos!$A$2:$OJ$901,475,MATCH($B$2&amp;"|yC",Aux_puntos!$1:$1,0))),NA())</f>
        <v>#N/A</v>
      </c>
      <c r="AG479" t="e">
        <f>IFERROR(IF(INDEX(Aux_puntos!$A$2:$OJ$901,475,MATCH($B$2&amp;"|xI",Aux_puntos!$1:$1,0))="",NA(),INDEX(Aux_puntos!$A$2:$OJ$901,475,MATCH($B$2&amp;"|xI",Aux_puntos!$1:$1,0))),NA())</f>
        <v>#N/A</v>
      </c>
      <c r="AH479" t="e">
        <f>IFERROR(IF(INDEX(Aux_puntos!$A$2:$OJ$901,475,MATCH($B$2&amp;"|yI",Aux_puntos!$1:$1,0))="",NA(),INDEX(Aux_puntos!$A$2:$OJ$901,475,MATCH($B$2&amp;"|yI",Aux_puntos!$1:$1,0))),NA())</f>
        <v>#N/A</v>
      </c>
      <c r="AI479" t="e">
        <f>IFERROR(IF(INDEX(Aux_puntos!$A$2:$OJ$901,475,MATCH($B$2&amp;"|xN",Aux_puntos!$1:$1,0))="",NA(),INDEX(Aux_puntos!$A$2:$OJ$901,475,MATCH($B$2&amp;"|xN",Aux_puntos!$1:$1,0))),NA())</f>
        <v>#N/A</v>
      </c>
      <c r="AJ479" t="e">
        <f>IFERROR(IF(INDEX(Aux_puntos!$A$2:$OJ$901,475,MATCH($B$2&amp;"|yN",Aux_puntos!$1:$1,0))="",NA(),INDEX(Aux_puntos!$A$2:$OJ$901,475,MATCH($B$2&amp;"|yN",Aux_puntos!$1:$1,0))),NA())</f>
        <v>#N/A</v>
      </c>
    </row>
    <row r="480" spans="29:36" x14ac:dyDescent="0.3">
      <c r="AC480" t="e">
        <f>IFERROR(IF(INDEX(Aux_puntos!$A$2:$OJ$901,476,MATCH($B$2&amp;"|xK",Aux_puntos!$1:$1,0))="",NA(),INDEX(Aux_puntos!$A$2:$OJ$901,476,MATCH($B$2&amp;"|xK",Aux_puntos!$1:$1,0))),NA())</f>
        <v>#N/A</v>
      </c>
      <c r="AD480" t="e">
        <f>IFERROR(IF(INDEX(Aux_puntos!$A$2:$OJ$901,476,MATCH($B$2&amp;"|yK",Aux_puntos!$1:$1,0))="",NA(),INDEX(Aux_puntos!$A$2:$OJ$901,476,MATCH($B$2&amp;"|yK",Aux_puntos!$1:$1,0))),NA())</f>
        <v>#N/A</v>
      </c>
      <c r="AE480" t="e">
        <f>IFERROR(IF(INDEX(Aux_puntos!$A$2:$OJ$901,476,MATCH($B$2&amp;"|xC",Aux_puntos!$1:$1,0))="",NA(),INDEX(Aux_puntos!$A$2:$OJ$901,476,MATCH($B$2&amp;"|xC",Aux_puntos!$1:$1,0))),NA())</f>
        <v>#N/A</v>
      </c>
      <c r="AF480" t="e">
        <f>IFERROR(IF(INDEX(Aux_puntos!$A$2:$OJ$901,476,MATCH($B$2&amp;"|yC",Aux_puntos!$1:$1,0))="",NA(),INDEX(Aux_puntos!$A$2:$OJ$901,476,MATCH($B$2&amp;"|yC",Aux_puntos!$1:$1,0))),NA())</f>
        <v>#N/A</v>
      </c>
      <c r="AG480" t="e">
        <f>IFERROR(IF(INDEX(Aux_puntos!$A$2:$OJ$901,476,MATCH($B$2&amp;"|xI",Aux_puntos!$1:$1,0))="",NA(),INDEX(Aux_puntos!$A$2:$OJ$901,476,MATCH($B$2&amp;"|xI",Aux_puntos!$1:$1,0))),NA())</f>
        <v>#N/A</v>
      </c>
      <c r="AH480" t="e">
        <f>IFERROR(IF(INDEX(Aux_puntos!$A$2:$OJ$901,476,MATCH($B$2&amp;"|yI",Aux_puntos!$1:$1,0))="",NA(),INDEX(Aux_puntos!$A$2:$OJ$901,476,MATCH($B$2&amp;"|yI",Aux_puntos!$1:$1,0))),NA())</f>
        <v>#N/A</v>
      </c>
      <c r="AI480" t="e">
        <f>IFERROR(IF(INDEX(Aux_puntos!$A$2:$OJ$901,476,MATCH($B$2&amp;"|xN",Aux_puntos!$1:$1,0))="",NA(),INDEX(Aux_puntos!$A$2:$OJ$901,476,MATCH($B$2&amp;"|xN",Aux_puntos!$1:$1,0))),NA())</f>
        <v>#N/A</v>
      </c>
      <c r="AJ480" t="e">
        <f>IFERROR(IF(INDEX(Aux_puntos!$A$2:$OJ$901,476,MATCH($B$2&amp;"|yN",Aux_puntos!$1:$1,0))="",NA(),INDEX(Aux_puntos!$A$2:$OJ$901,476,MATCH($B$2&amp;"|yN",Aux_puntos!$1:$1,0))),NA())</f>
        <v>#N/A</v>
      </c>
    </row>
    <row r="481" spans="29:36" x14ac:dyDescent="0.3">
      <c r="AC481" t="e">
        <f>IFERROR(IF(INDEX(Aux_puntos!$A$2:$OJ$901,477,MATCH($B$2&amp;"|xK",Aux_puntos!$1:$1,0))="",NA(),INDEX(Aux_puntos!$A$2:$OJ$901,477,MATCH($B$2&amp;"|xK",Aux_puntos!$1:$1,0))),NA())</f>
        <v>#N/A</v>
      </c>
      <c r="AD481" t="e">
        <f>IFERROR(IF(INDEX(Aux_puntos!$A$2:$OJ$901,477,MATCH($B$2&amp;"|yK",Aux_puntos!$1:$1,0))="",NA(),INDEX(Aux_puntos!$A$2:$OJ$901,477,MATCH($B$2&amp;"|yK",Aux_puntos!$1:$1,0))),NA())</f>
        <v>#N/A</v>
      </c>
      <c r="AE481" t="e">
        <f>IFERROR(IF(INDEX(Aux_puntos!$A$2:$OJ$901,477,MATCH($B$2&amp;"|xC",Aux_puntos!$1:$1,0))="",NA(),INDEX(Aux_puntos!$A$2:$OJ$901,477,MATCH($B$2&amp;"|xC",Aux_puntos!$1:$1,0))),NA())</f>
        <v>#N/A</v>
      </c>
      <c r="AF481" t="e">
        <f>IFERROR(IF(INDEX(Aux_puntos!$A$2:$OJ$901,477,MATCH($B$2&amp;"|yC",Aux_puntos!$1:$1,0))="",NA(),INDEX(Aux_puntos!$A$2:$OJ$901,477,MATCH($B$2&amp;"|yC",Aux_puntos!$1:$1,0))),NA())</f>
        <v>#N/A</v>
      </c>
      <c r="AG481" t="e">
        <f>IFERROR(IF(INDEX(Aux_puntos!$A$2:$OJ$901,477,MATCH($B$2&amp;"|xI",Aux_puntos!$1:$1,0))="",NA(),INDEX(Aux_puntos!$A$2:$OJ$901,477,MATCH($B$2&amp;"|xI",Aux_puntos!$1:$1,0))),NA())</f>
        <v>#N/A</v>
      </c>
      <c r="AH481" t="e">
        <f>IFERROR(IF(INDEX(Aux_puntos!$A$2:$OJ$901,477,MATCH($B$2&amp;"|yI",Aux_puntos!$1:$1,0))="",NA(),INDEX(Aux_puntos!$A$2:$OJ$901,477,MATCH($B$2&amp;"|yI",Aux_puntos!$1:$1,0))),NA())</f>
        <v>#N/A</v>
      </c>
      <c r="AI481" t="e">
        <f>IFERROR(IF(INDEX(Aux_puntos!$A$2:$OJ$901,477,MATCH($B$2&amp;"|xN",Aux_puntos!$1:$1,0))="",NA(),INDEX(Aux_puntos!$A$2:$OJ$901,477,MATCH($B$2&amp;"|xN",Aux_puntos!$1:$1,0))),NA())</f>
        <v>#N/A</v>
      </c>
      <c r="AJ481" t="e">
        <f>IFERROR(IF(INDEX(Aux_puntos!$A$2:$OJ$901,477,MATCH($B$2&amp;"|yN",Aux_puntos!$1:$1,0))="",NA(),INDEX(Aux_puntos!$A$2:$OJ$901,477,MATCH($B$2&amp;"|yN",Aux_puntos!$1:$1,0))),NA())</f>
        <v>#N/A</v>
      </c>
    </row>
    <row r="482" spans="29:36" x14ac:dyDescent="0.3">
      <c r="AC482" t="e">
        <f>IFERROR(IF(INDEX(Aux_puntos!$A$2:$OJ$901,478,MATCH($B$2&amp;"|xK",Aux_puntos!$1:$1,0))="",NA(),INDEX(Aux_puntos!$A$2:$OJ$901,478,MATCH($B$2&amp;"|xK",Aux_puntos!$1:$1,0))),NA())</f>
        <v>#N/A</v>
      </c>
      <c r="AD482" t="e">
        <f>IFERROR(IF(INDEX(Aux_puntos!$A$2:$OJ$901,478,MATCH($B$2&amp;"|yK",Aux_puntos!$1:$1,0))="",NA(),INDEX(Aux_puntos!$A$2:$OJ$901,478,MATCH($B$2&amp;"|yK",Aux_puntos!$1:$1,0))),NA())</f>
        <v>#N/A</v>
      </c>
      <c r="AE482" t="e">
        <f>IFERROR(IF(INDEX(Aux_puntos!$A$2:$OJ$901,478,MATCH($B$2&amp;"|xC",Aux_puntos!$1:$1,0))="",NA(),INDEX(Aux_puntos!$A$2:$OJ$901,478,MATCH($B$2&amp;"|xC",Aux_puntos!$1:$1,0))),NA())</f>
        <v>#N/A</v>
      </c>
      <c r="AF482" t="e">
        <f>IFERROR(IF(INDEX(Aux_puntos!$A$2:$OJ$901,478,MATCH($B$2&amp;"|yC",Aux_puntos!$1:$1,0))="",NA(),INDEX(Aux_puntos!$A$2:$OJ$901,478,MATCH($B$2&amp;"|yC",Aux_puntos!$1:$1,0))),NA())</f>
        <v>#N/A</v>
      </c>
      <c r="AG482" t="e">
        <f>IFERROR(IF(INDEX(Aux_puntos!$A$2:$OJ$901,478,MATCH($B$2&amp;"|xI",Aux_puntos!$1:$1,0))="",NA(),INDEX(Aux_puntos!$A$2:$OJ$901,478,MATCH($B$2&amp;"|xI",Aux_puntos!$1:$1,0))),NA())</f>
        <v>#N/A</v>
      </c>
      <c r="AH482" t="e">
        <f>IFERROR(IF(INDEX(Aux_puntos!$A$2:$OJ$901,478,MATCH($B$2&amp;"|yI",Aux_puntos!$1:$1,0))="",NA(),INDEX(Aux_puntos!$A$2:$OJ$901,478,MATCH($B$2&amp;"|yI",Aux_puntos!$1:$1,0))),NA())</f>
        <v>#N/A</v>
      </c>
      <c r="AI482" t="e">
        <f>IFERROR(IF(INDEX(Aux_puntos!$A$2:$OJ$901,478,MATCH($B$2&amp;"|xN",Aux_puntos!$1:$1,0))="",NA(),INDEX(Aux_puntos!$A$2:$OJ$901,478,MATCH($B$2&amp;"|xN",Aux_puntos!$1:$1,0))),NA())</f>
        <v>#N/A</v>
      </c>
      <c r="AJ482" t="e">
        <f>IFERROR(IF(INDEX(Aux_puntos!$A$2:$OJ$901,478,MATCH($B$2&amp;"|yN",Aux_puntos!$1:$1,0))="",NA(),INDEX(Aux_puntos!$A$2:$OJ$901,478,MATCH($B$2&amp;"|yN",Aux_puntos!$1:$1,0))),NA())</f>
        <v>#N/A</v>
      </c>
    </row>
    <row r="483" spans="29:36" x14ac:dyDescent="0.3">
      <c r="AC483" t="e">
        <f>IFERROR(IF(INDEX(Aux_puntos!$A$2:$OJ$901,479,MATCH($B$2&amp;"|xK",Aux_puntos!$1:$1,0))="",NA(),INDEX(Aux_puntos!$A$2:$OJ$901,479,MATCH($B$2&amp;"|xK",Aux_puntos!$1:$1,0))),NA())</f>
        <v>#N/A</v>
      </c>
      <c r="AD483" t="e">
        <f>IFERROR(IF(INDEX(Aux_puntos!$A$2:$OJ$901,479,MATCH($B$2&amp;"|yK",Aux_puntos!$1:$1,0))="",NA(),INDEX(Aux_puntos!$A$2:$OJ$901,479,MATCH($B$2&amp;"|yK",Aux_puntos!$1:$1,0))),NA())</f>
        <v>#N/A</v>
      </c>
      <c r="AE483" t="e">
        <f>IFERROR(IF(INDEX(Aux_puntos!$A$2:$OJ$901,479,MATCH($B$2&amp;"|xC",Aux_puntos!$1:$1,0))="",NA(),INDEX(Aux_puntos!$A$2:$OJ$901,479,MATCH($B$2&amp;"|xC",Aux_puntos!$1:$1,0))),NA())</f>
        <v>#N/A</v>
      </c>
      <c r="AF483" t="e">
        <f>IFERROR(IF(INDEX(Aux_puntos!$A$2:$OJ$901,479,MATCH($B$2&amp;"|yC",Aux_puntos!$1:$1,0))="",NA(),INDEX(Aux_puntos!$A$2:$OJ$901,479,MATCH($B$2&amp;"|yC",Aux_puntos!$1:$1,0))),NA())</f>
        <v>#N/A</v>
      </c>
      <c r="AG483" t="e">
        <f>IFERROR(IF(INDEX(Aux_puntos!$A$2:$OJ$901,479,MATCH($B$2&amp;"|xI",Aux_puntos!$1:$1,0))="",NA(),INDEX(Aux_puntos!$A$2:$OJ$901,479,MATCH($B$2&amp;"|xI",Aux_puntos!$1:$1,0))),NA())</f>
        <v>#N/A</v>
      </c>
      <c r="AH483" t="e">
        <f>IFERROR(IF(INDEX(Aux_puntos!$A$2:$OJ$901,479,MATCH($B$2&amp;"|yI",Aux_puntos!$1:$1,0))="",NA(),INDEX(Aux_puntos!$A$2:$OJ$901,479,MATCH($B$2&amp;"|yI",Aux_puntos!$1:$1,0))),NA())</f>
        <v>#N/A</v>
      </c>
      <c r="AI483" t="e">
        <f>IFERROR(IF(INDEX(Aux_puntos!$A$2:$OJ$901,479,MATCH($B$2&amp;"|xN",Aux_puntos!$1:$1,0))="",NA(),INDEX(Aux_puntos!$A$2:$OJ$901,479,MATCH($B$2&amp;"|xN",Aux_puntos!$1:$1,0))),NA())</f>
        <v>#N/A</v>
      </c>
      <c r="AJ483" t="e">
        <f>IFERROR(IF(INDEX(Aux_puntos!$A$2:$OJ$901,479,MATCH($B$2&amp;"|yN",Aux_puntos!$1:$1,0))="",NA(),INDEX(Aux_puntos!$A$2:$OJ$901,479,MATCH($B$2&amp;"|yN",Aux_puntos!$1:$1,0))),NA())</f>
        <v>#N/A</v>
      </c>
    </row>
    <row r="484" spans="29:36" x14ac:dyDescent="0.3">
      <c r="AC484" t="e">
        <f>IFERROR(IF(INDEX(Aux_puntos!$A$2:$OJ$901,480,MATCH($B$2&amp;"|xK",Aux_puntos!$1:$1,0))="",NA(),INDEX(Aux_puntos!$A$2:$OJ$901,480,MATCH($B$2&amp;"|xK",Aux_puntos!$1:$1,0))),NA())</f>
        <v>#N/A</v>
      </c>
      <c r="AD484" t="e">
        <f>IFERROR(IF(INDEX(Aux_puntos!$A$2:$OJ$901,480,MATCH($B$2&amp;"|yK",Aux_puntos!$1:$1,0))="",NA(),INDEX(Aux_puntos!$A$2:$OJ$901,480,MATCH($B$2&amp;"|yK",Aux_puntos!$1:$1,0))),NA())</f>
        <v>#N/A</v>
      </c>
      <c r="AE484" t="e">
        <f>IFERROR(IF(INDEX(Aux_puntos!$A$2:$OJ$901,480,MATCH($B$2&amp;"|xC",Aux_puntos!$1:$1,0))="",NA(),INDEX(Aux_puntos!$A$2:$OJ$901,480,MATCH($B$2&amp;"|xC",Aux_puntos!$1:$1,0))),NA())</f>
        <v>#N/A</v>
      </c>
      <c r="AF484" t="e">
        <f>IFERROR(IF(INDEX(Aux_puntos!$A$2:$OJ$901,480,MATCH($B$2&amp;"|yC",Aux_puntos!$1:$1,0))="",NA(),INDEX(Aux_puntos!$A$2:$OJ$901,480,MATCH($B$2&amp;"|yC",Aux_puntos!$1:$1,0))),NA())</f>
        <v>#N/A</v>
      </c>
      <c r="AG484" t="e">
        <f>IFERROR(IF(INDEX(Aux_puntos!$A$2:$OJ$901,480,MATCH($B$2&amp;"|xI",Aux_puntos!$1:$1,0))="",NA(),INDEX(Aux_puntos!$A$2:$OJ$901,480,MATCH($B$2&amp;"|xI",Aux_puntos!$1:$1,0))),NA())</f>
        <v>#N/A</v>
      </c>
      <c r="AH484" t="e">
        <f>IFERROR(IF(INDEX(Aux_puntos!$A$2:$OJ$901,480,MATCH($B$2&amp;"|yI",Aux_puntos!$1:$1,0))="",NA(),INDEX(Aux_puntos!$A$2:$OJ$901,480,MATCH($B$2&amp;"|yI",Aux_puntos!$1:$1,0))),NA())</f>
        <v>#N/A</v>
      </c>
      <c r="AI484" t="e">
        <f>IFERROR(IF(INDEX(Aux_puntos!$A$2:$OJ$901,480,MATCH($B$2&amp;"|xN",Aux_puntos!$1:$1,0))="",NA(),INDEX(Aux_puntos!$A$2:$OJ$901,480,MATCH($B$2&amp;"|xN",Aux_puntos!$1:$1,0))),NA())</f>
        <v>#N/A</v>
      </c>
      <c r="AJ484" t="e">
        <f>IFERROR(IF(INDEX(Aux_puntos!$A$2:$OJ$901,480,MATCH($B$2&amp;"|yN",Aux_puntos!$1:$1,0))="",NA(),INDEX(Aux_puntos!$A$2:$OJ$901,480,MATCH($B$2&amp;"|yN",Aux_puntos!$1:$1,0))),NA())</f>
        <v>#N/A</v>
      </c>
    </row>
    <row r="485" spans="29:36" x14ac:dyDescent="0.3">
      <c r="AC485" t="e">
        <f>IFERROR(IF(INDEX(Aux_puntos!$A$2:$OJ$901,481,MATCH($B$2&amp;"|xK",Aux_puntos!$1:$1,0))="",NA(),INDEX(Aux_puntos!$A$2:$OJ$901,481,MATCH($B$2&amp;"|xK",Aux_puntos!$1:$1,0))),NA())</f>
        <v>#N/A</v>
      </c>
      <c r="AD485" t="e">
        <f>IFERROR(IF(INDEX(Aux_puntos!$A$2:$OJ$901,481,MATCH($B$2&amp;"|yK",Aux_puntos!$1:$1,0))="",NA(),INDEX(Aux_puntos!$A$2:$OJ$901,481,MATCH($B$2&amp;"|yK",Aux_puntos!$1:$1,0))),NA())</f>
        <v>#N/A</v>
      </c>
      <c r="AE485" t="e">
        <f>IFERROR(IF(INDEX(Aux_puntos!$A$2:$OJ$901,481,MATCH($B$2&amp;"|xC",Aux_puntos!$1:$1,0))="",NA(),INDEX(Aux_puntos!$A$2:$OJ$901,481,MATCH($B$2&amp;"|xC",Aux_puntos!$1:$1,0))),NA())</f>
        <v>#N/A</v>
      </c>
      <c r="AF485" t="e">
        <f>IFERROR(IF(INDEX(Aux_puntos!$A$2:$OJ$901,481,MATCH($B$2&amp;"|yC",Aux_puntos!$1:$1,0))="",NA(),INDEX(Aux_puntos!$A$2:$OJ$901,481,MATCH($B$2&amp;"|yC",Aux_puntos!$1:$1,0))),NA())</f>
        <v>#N/A</v>
      </c>
      <c r="AG485" t="e">
        <f>IFERROR(IF(INDEX(Aux_puntos!$A$2:$OJ$901,481,MATCH($B$2&amp;"|xI",Aux_puntos!$1:$1,0))="",NA(),INDEX(Aux_puntos!$A$2:$OJ$901,481,MATCH($B$2&amp;"|xI",Aux_puntos!$1:$1,0))),NA())</f>
        <v>#N/A</v>
      </c>
      <c r="AH485" t="e">
        <f>IFERROR(IF(INDEX(Aux_puntos!$A$2:$OJ$901,481,MATCH($B$2&amp;"|yI",Aux_puntos!$1:$1,0))="",NA(),INDEX(Aux_puntos!$A$2:$OJ$901,481,MATCH($B$2&amp;"|yI",Aux_puntos!$1:$1,0))),NA())</f>
        <v>#N/A</v>
      </c>
      <c r="AI485" t="e">
        <f>IFERROR(IF(INDEX(Aux_puntos!$A$2:$OJ$901,481,MATCH($B$2&amp;"|xN",Aux_puntos!$1:$1,0))="",NA(),INDEX(Aux_puntos!$A$2:$OJ$901,481,MATCH($B$2&amp;"|xN",Aux_puntos!$1:$1,0))),NA())</f>
        <v>#N/A</v>
      </c>
      <c r="AJ485" t="e">
        <f>IFERROR(IF(INDEX(Aux_puntos!$A$2:$OJ$901,481,MATCH($B$2&amp;"|yN",Aux_puntos!$1:$1,0))="",NA(),INDEX(Aux_puntos!$A$2:$OJ$901,481,MATCH($B$2&amp;"|yN",Aux_puntos!$1:$1,0))),NA())</f>
        <v>#N/A</v>
      </c>
    </row>
    <row r="486" spans="29:36" x14ac:dyDescent="0.3">
      <c r="AC486" t="e">
        <f>IFERROR(IF(INDEX(Aux_puntos!$A$2:$OJ$901,482,MATCH($B$2&amp;"|xK",Aux_puntos!$1:$1,0))="",NA(),INDEX(Aux_puntos!$A$2:$OJ$901,482,MATCH($B$2&amp;"|xK",Aux_puntos!$1:$1,0))),NA())</f>
        <v>#N/A</v>
      </c>
      <c r="AD486" t="e">
        <f>IFERROR(IF(INDEX(Aux_puntos!$A$2:$OJ$901,482,MATCH($B$2&amp;"|yK",Aux_puntos!$1:$1,0))="",NA(),INDEX(Aux_puntos!$A$2:$OJ$901,482,MATCH($B$2&amp;"|yK",Aux_puntos!$1:$1,0))),NA())</f>
        <v>#N/A</v>
      </c>
      <c r="AE486" t="e">
        <f>IFERROR(IF(INDEX(Aux_puntos!$A$2:$OJ$901,482,MATCH($B$2&amp;"|xC",Aux_puntos!$1:$1,0))="",NA(),INDEX(Aux_puntos!$A$2:$OJ$901,482,MATCH($B$2&amp;"|xC",Aux_puntos!$1:$1,0))),NA())</f>
        <v>#N/A</v>
      </c>
      <c r="AF486" t="e">
        <f>IFERROR(IF(INDEX(Aux_puntos!$A$2:$OJ$901,482,MATCH($B$2&amp;"|yC",Aux_puntos!$1:$1,0))="",NA(),INDEX(Aux_puntos!$A$2:$OJ$901,482,MATCH($B$2&amp;"|yC",Aux_puntos!$1:$1,0))),NA())</f>
        <v>#N/A</v>
      </c>
      <c r="AG486" t="e">
        <f>IFERROR(IF(INDEX(Aux_puntos!$A$2:$OJ$901,482,MATCH($B$2&amp;"|xI",Aux_puntos!$1:$1,0))="",NA(),INDEX(Aux_puntos!$A$2:$OJ$901,482,MATCH($B$2&amp;"|xI",Aux_puntos!$1:$1,0))),NA())</f>
        <v>#N/A</v>
      </c>
      <c r="AH486" t="e">
        <f>IFERROR(IF(INDEX(Aux_puntos!$A$2:$OJ$901,482,MATCH($B$2&amp;"|yI",Aux_puntos!$1:$1,0))="",NA(),INDEX(Aux_puntos!$A$2:$OJ$901,482,MATCH($B$2&amp;"|yI",Aux_puntos!$1:$1,0))),NA())</f>
        <v>#N/A</v>
      </c>
      <c r="AI486" t="e">
        <f>IFERROR(IF(INDEX(Aux_puntos!$A$2:$OJ$901,482,MATCH($B$2&amp;"|xN",Aux_puntos!$1:$1,0))="",NA(),INDEX(Aux_puntos!$A$2:$OJ$901,482,MATCH($B$2&amp;"|xN",Aux_puntos!$1:$1,0))),NA())</f>
        <v>#N/A</v>
      </c>
      <c r="AJ486" t="e">
        <f>IFERROR(IF(INDEX(Aux_puntos!$A$2:$OJ$901,482,MATCH($B$2&amp;"|yN",Aux_puntos!$1:$1,0))="",NA(),INDEX(Aux_puntos!$A$2:$OJ$901,482,MATCH($B$2&amp;"|yN",Aux_puntos!$1:$1,0))),NA())</f>
        <v>#N/A</v>
      </c>
    </row>
    <row r="487" spans="29:36" x14ac:dyDescent="0.3">
      <c r="AC487" t="e">
        <f>IFERROR(IF(INDEX(Aux_puntos!$A$2:$OJ$901,483,MATCH($B$2&amp;"|xK",Aux_puntos!$1:$1,0))="",NA(),INDEX(Aux_puntos!$A$2:$OJ$901,483,MATCH($B$2&amp;"|xK",Aux_puntos!$1:$1,0))),NA())</f>
        <v>#N/A</v>
      </c>
      <c r="AD487" t="e">
        <f>IFERROR(IF(INDEX(Aux_puntos!$A$2:$OJ$901,483,MATCH($B$2&amp;"|yK",Aux_puntos!$1:$1,0))="",NA(),INDEX(Aux_puntos!$A$2:$OJ$901,483,MATCH($B$2&amp;"|yK",Aux_puntos!$1:$1,0))),NA())</f>
        <v>#N/A</v>
      </c>
      <c r="AE487" t="e">
        <f>IFERROR(IF(INDEX(Aux_puntos!$A$2:$OJ$901,483,MATCH($B$2&amp;"|xC",Aux_puntos!$1:$1,0))="",NA(),INDEX(Aux_puntos!$A$2:$OJ$901,483,MATCH($B$2&amp;"|xC",Aux_puntos!$1:$1,0))),NA())</f>
        <v>#N/A</v>
      </c>
      <c r="AF487" t="e">
        <f>IFERROR(IF(INDEX(Aux_puntos!$A$2:$OJ$901,483,MATCH($B$2&amp;"|yC",Aux_puntos!$1:$1,0))="",NA(),INDEX(Aux_puntos!$A$2:$OJ$901,483,MATCH($B$2&amp;"|yC",Aux_puntos!$1:$1,0))),NA())</f>
        <v>#N/A</v>
      </c>
      <c r="AG487" t="e">
        <f>IFERROR(IF(INDEX(Aux_puntos!$A$2:$OJ$901,483,MATCH($B$2&amp;"|xI",Aux_puntos!$1:$1,0))="",NA(),INDEX(Aux_puntos!$A$2:$OJ$901,483,MATCH($B$2&amp;"|xI",Aux_puntos!$1:$1,0))),NA())</f>
        <v>#N/A</v>
      </c>
      <c r="AH487" t="e">
        <f>IFERROR(IF(INDEX(Aux_puntos!$A$2:$OJ$901,483,MATCH($B$2&amp;"|yI",Aux_puntos!$1:$1,0))="",NA(),INDEX(Aux_puntos!$A$2:$OJ$901,483,MATCH($B$2&amp;"|yI",Aux_puntos!$1:$1,0))),NA())</f>
        <v>#N/A</v>
      </c>
      <c r="AI487" t="e">
        <f>IFERROR(IF(INDEX(Aux_puntos!$A$2:$OJ$901,483,MATCH($B$2&amp;"|xN",Aux_puntos!$1:$1,0))="",NA(),INDEX(Aux_puntos!$A$2:$OJ$901,483,MATCH($B$2&amp;"|xN",Aux_puntos!$1:$1,0))),NA())</f>
        <v>#N/A</v>
      </c>
      <c r="AJ487" t="e">
        <f>IFERROR(IF(INDEX(Aux_puntos!$A$2:$OJ$901,483,MATCH($B$2&amp;"|yN",Aux_puntos!$1:$1,0))="",NA(),INDEX(Aux_puntos!$A$2:$OJ$901,483,MATCH($B$2&amp;"|yN",Aux_puntos!$1:$1,0))),NA())</f>
        <v>#N/A</v>
      </c>
    </row>
    <row r="488" spans="29:36" x14ac:dyDescent="0.3">
      <c r="AC488" t="e">
        <f>IFERROR(IF(INDEX(Aux_puntos!$A$2:$OJ$901,484,MATCH($B$2&amp;"|xK",Aux_puntos!$1:$1,0))="",NA(),INDEX(Aux_puntos!$A$2:$OJ$901,484,MATCH($B$2&amp;"|xK",Aux_puntos!$1:$1,0))),NA())</f>
        <v>#N/A</v>
      </c>
      <c r="AD488" t="e">
        <f>IFERROR(IF(INDEX(Aux_puntos!$A$2:$OJ$901,484,MATCH($B$2&amp;"|yK",Aux_puntos!$1:$1,0))="",NA(),INDEX(Aux_puntos!$A$2:$OJ$901,484,MATCH($B$2&amp;"|yK",Aux_puntos!$1:$1,0))),NA())</f>
        <v>#N/A</v>
      </c>
      <c r="AE488" t="e">
        <f>IFERROR(IF(INDEX(Aux_puntos!$A$2:$OJ$901,484,MATCH($B$2&amp;"|xC",Aux_puntos!$1:$1,0))="",NA(),INDEX(Aux_puntos!$A$2:$OJ$901,484,MATCH($B$2&amp;"|xC",Aux_puntos!$1:$1,0))),NA())</f>
        <v>#N/A</v>
      </c>
      <c r="AF488" t="e">
        <f>IFERROR(IF(INDEX(Aux_puntos!$A$2:$OJ$901,484,MATCH($B$2&amp;"|yC",Aux_puntos!$1:$1,0))="",NA(),INDEX(Aux_puntos!$A$2:$OJ$901,484,MATCH($B$2&amp;"|yC",Aux_puntos!$1:$1,0))),NA())</f>
        <v>#N/A</v>
      </c>
      <c r="AG488" t="e">
        <f>IFERROR(IF(INDEX(Aux_puntos!$A$2:$OJ$901,484,MATCH($B$2&amp;"|xI",Aux_puntos!$1:$1,0))="",NA(),INDEX(Aux_puntos!$A$2:$OJ$901,484,MATCH($B$2&amp;"|xI",Aux_puntos!$1:$1,0))),NA())</f>
        <v>#N/A</v>
      </c>
      <c r="AH488" t="e">
        <f>IFERROR(IF(INDEX(Aux_puntos!$A$2:$OJ$901,484,MATCH($B$2&amp;"|yI",Aux_puntos!$1:$1,0))="",NA(),INDEX(Aux_puntos!$A$2:$OJ$901,484,MATCH($B$2&amp;"|yI",Aux_puntos!$1:$1,0))),NA())</f>
        <v>#N/A</v>
      </c>
      <c r="AI488" t="e">
        <f>IFERROR(IF(INDEX(Aux_puntos!$A$2:$OJ$901,484,MATCH($B$2&amp;"|xN",Aux_puntos!$1:$1,0))="",NA(),INDEX(Aux_puntos!$A$2:$OJ$901,484,MATCH($B$2&amp;"|xN",Aux_puntos!$1:$1,0))),NA())</f>
        <v>#N/A</v>
      </c>
      <c r="AJ488" t="e">
        <f>IFERROR(IF(INDEX(Aux_puntos!$A$2:$OJ$901,484,MATCH($B$2&amp;"|yN",Aux_puntos!$1:$1,0))="",NA(),INDEX(Aux_puntos!$A$2:$OJ$901,484,MATCH($B$2&amp;"|yN",Aux_puntos!$1:$1,0))),NA())</f>
        <v>#N/A</v>
      </c>
    </row>
    <row r="489" spans="29:36" x14ac:dyDescent="0.3">
      <c r="AC489" t="e">
        <f>IFERROR(IF(INDEX(Aux_puntos!$A$2:$OJ$901,485,MATCH($B$2&amp;"|xK",Aux_puntos!$1:$1,0))="",NA(),INDEX(Aux_puntos!$A$2:$OJ$901,485,MATCH($B$2&amp;"|xK",Aux_puntos!$1:$1,0))),NA())</f>
        <v>#N/A</v>
      </c>
      <c r="AD489" t="e">
        <f>IFERROR(IF(INDEX(Aux_puntos!$A$2:$OJ$901,485,MATCH($B$2&amp;"|yK",Aux_puntos!$1:$1,0))="",NA(),INDEX(Aux_puntos!$A$2:$OJ$901,485,MATCH($B$2&amp;"|yK",Aux_puntos!$1:$1,0))),NA())</f>
        <v>#N/A</v>
      </c>
      <c r="AE489" t="e">
        <f>IFERROR(IF(INDEX(Aux_puntos!$A$2:$OJ$901,485,MATCH($B$2&amp;"|xC",Aux_puntos!$1:$1,0))="",NA(),INDEX(Aux_puntos!$A$2:$OJ$901,485,MATCH($B$2&amp;"|xC",Aux_puntos!$1:$1,0))),NA())</f>
        <v>#N/A</v>
      </c>
      <c r="AF489" t="e">
        <f>IFERROR(IF(INDEX(Aux_puntos!$A$2:$OJ$901,485,MATCH($B$2&amp;"|yC",Aux_puntos!$1:$1,0))="",NA(),INDEX(Aux_puntos!$A$2:$OJ$901,485,MATCH($B$2&amp;"|yC",Aux_puntos!$1:$1,0))),NA())</f>
        <v>#N/A</v>
      </c>
      <c r="AG489" t="e">
        <f>IFERROR(IF(INDEX(Aux_puntos!$A$2:$OJ$901,485,MATCH($B$2&amp;"|xI",Aux_puntos!$1:$1,0))="",NA(),INDEX(Aux_puntos!$A$2:$OJ$901,485,MATCH($B$2&amp;"|xI",Aux_puntos!$1:$1,0))),NA())</f>
        <v>#N/A</v>
      </c>
      <c r="AH489" t="e">
        <f>IFERROR(IF(INDEX(Aux_puntos!$A$2:$OJ$901,485,MATCH($B$2&amp;"|yI",Aux_puntos!$1:$1,0))="",NA(),INDEX(Aux_puntos!$A$2:$OJ$901,485,MATCH($B$2&amp;"|yI",Aux_puntos!$1:$1,0))),NA())</f>
        <v>#N/A</v>
      </c>
      <c r="AI489" t="e">
        <f>IFERROR(IF(INDEX(Aux_puntos!$A$2:$OJ$901,485,MATCH($B$2&amp;"|xN",Aux_puntos!$1:$1,0))="",NA(),INDEX(Aux_puntos!$A$2:$OJ$901,485,MATCH($B$2&amp;"|xN",Aux_puntos!$1:$1,0))),NA())</f>
        <v>#N/A</v>
      </c>
      <c r="AJ489" t="e">
        <f>IFERROR(IF(INDEX(Aux_puntos!$A$2:$OJ$901,485,MATCH($B$2&amp;"|yN",Aux_puntos!$1:$1,0))="",NA(),INDEX(Aux_puntos!$A$2:$OJ$901,485,MATCH($B$2&amp;"|yN",Aux_puntos!$1:$1,0))),NA())</f>
        <v>#N/A</v>
      </c>
    </row>
    <row r="490" spans="29:36" x14ac:dyDescent="0.3">
      <c r="AC490" t="e">
        <f>IFERROR(IF(INDEX(Aux_puntos!$A$2:$OJ$901,486,MATCH($B$2&amp;"|xK",Aux_puntos!$1:$1,0))="",NA(),INDEX(Aux_puntos!$A$2:$OJ$901,486,MATCH($B$2&amp;"|xK",Aux_puntos!$1:$1,0))),NA())</f>
        <v>#N/A</v>
      </c>
      <c r="AD490" t="e">
        <f>IFERROR(IF(INDEX(Aux_puntos!$A$2:$OJ$901,486,MATCH($B$2&amp;"|yK",Aux_puntos!$1:$1,0))="",NA(),INDEX(Aux_puntos!$A$2:$OJ$901,486,MATCH($B$2&amp;"|yK",Aux_puntos!$1:$1,0))),NA())</f>
        <v>#N/A</v>
      </c>
      <c r="AE490" t="e">
        <f>IFERROR(IF(INDEX(Aux_puntos!$A$2:$OJ$901,486,MATCH($B$2&amp;"|xC",Aux_puntos!$1:$1,0))="",NA(),INDEX(Aux_puntos!$A$2:$OJ$901,486,MATCH($B$2&amp;"|xC",Aux_puntos!$1:$1,0))),NA())</f>
        <v>#N/A</v>
      </c>
      <c r="AF490" t="e">
        <f>IFERROR(IF(INDEX(Aux_puntos!$A$2:$OJ$901,486,MATCH($B$2&amp;"|yC",Aux_puntos!$1:$1,0))="",NA(),INDEX(Aux_puntos!$A$2:$OJ$901,486,MATCH($B$2&amp;"|yC",Aux_puntos!$1:$1,0))),NA())</f>
        <v>#N/A</v>
      </c>
      <c r="AG490" t="e">
        <f>IFERROR(IF(INDEX(Aux_puntos!$A$2:$OJ$901,486,MATCH($B$2&amp;"|xI",Aux_puntos!$1:$1,0))="",NA(),INDEX(Aux_puntos!$A$2:$OJ$901,486,MATCH($B$2&amp;"|xI",Aux_puntos!$1:$1,0))),NA())</f>
        <v>#N/A</v>
      </c>
      <c r="AH490" t="e">
        <f>IFERROR(IF(INDEX(Aux_puntos!$A$2:$OJ$901,486,MATCH($B$2&amp;"|yI",Aux_puntos!$1:$1,0))="",NA(),INDEX(Aux_puntos!$A$2:$OJ$901,486,MATCH($B$2&amp;"|yI",Aux_puntos!$1:$1,0))),NA())</f>
        <v>#N/A</v>
      </c>
      <c r="AI490" t="e">
        <f>IFERROR(IF(INDEX(Aux_puntos!$A$2:$OJ$901,486,MATCH($B$2&amp;"|xN",Aux_puntos!$1:$1,0))="",NA(),INDEX(Aux_puntos!$A$2:$OJ$901,486,MATCH($B$2&amp;"|xN",Aux_puntos!$1:$1,0))),NA())</f>
        <v>#N/A</v>
      </c>
      <c r="AJ490" t="e">
        <f>IFERROR(IF(INDEX(Aux_puntos!$A$2:$OJ$901,486,MATCH($B$2&amp;"|yN",Aux_puntos!$1:$1,0))="",NA(),INDEX(Aux_puntos!$A$2:$OJ$901,486,MATCH($B$2&amp;"|yN",Aux_puntos!$1:$1,0))),NA())</f>
        <v>#N/A</v>
      </c>
    </row>
    <row r="491" spans="29:36" x14ac:dyDescent="0.3">
      <c r="AC491" t="e">
        <f>IFERROR(IF(INDEX(Aux_puntos!$A$2:$OJ$901,487,MATCH($B$2&amp;"|xK",Aux_puntos!$1:$1,0))="",NA(),INDEX(Aux_puntos!$A$2:$OJ$901,487,MATCH($B$2&amp;"|xK",Aux_puntos!$1:$1,0))),NA())</f>
        <v>#N/A</v>
      </c>
      <c r="AD491" t="e">
        <f>IFERROR(IF(INDEX(Aux_puntos!$A$2:$OJ$901,487,MATCH($B$2&amp;"|yK",Aux_puntos!$1:$1,0))="",NA(),INDEX(Aux_puntos!$A$2:$OJ$901,487,MATCH($B$2&amp;"|yK",Aux_puntos!$1:$1,0))),NA())</f>
        <v>#N/A</v>
      </c>
      <c r="AE491" t="e">
        <f>IFERROR(IF(INDEX(Aux_puntos!$A$2:$OJ$901,487,MATCH($B$2&amp;"|xC",Aux_puntos!$1:$1,0))="",NA(),INDEX(Aux_puntos!$A$2:$OJ$901,487,MATCH($B$2&amp;"|xC",Aux_puntos!$1:$1,0))),NA())</f>
        <v>#N/A</v>
      </c>
      <c r="AF491" t="e">
        <f>IFERROR(IF(INDEX(Aux_puntos!$A$2:$OJ$901,487,MATCH($B$2&amp;"|yC",Aux_puntos!$1:$1,0))="",NA(),INDEX(Aux_puntos!$A$2:$OJ$901,487,MATCH($B$2&amp;"|yC",Aux_puntos!$1:$1,0))),NA())</f>
        <v>#N/A</v>
      </c>
      <c r="AG491" t="e">
        <f>IFERROR(IF(INDEX(Aux_puntos!$A$2:$OJ$901,487,MATCH($B$2&amp;"|xI",Aux_puntos!$1:$1,0))="",NA(),INDEX(Aux_puntos!$A$2:$OJ$901,487,MATCH($B$2&amp;"|xI",Aux_puntos!$1:$1,0))),NA())</f>
        <v>#N/A</v>
      </c>
      <c r="AH491" t="e">
        <f>IFERROR(IF(INDEX(Aux_puntos!$A$2:$OJ$901,487,MATCH($B$2&amp;"|yI",Aux_puntos!$1:$1,0))="",NA(),INDEX(Aux_puntos!$A$2:$OJ$901,487,MATCH($B$2&amp;"|yI",Aux_puntos!$1:$1,0))),NA())</f>
        <v>#N/A</v>
      </c>
      <c r="AI491" t="e">
        <f>IFERROR(IF(INDEX(Aux_puntos!$A$2:$OJ$901,487,MATCH($B$2&amp;"|xN",Aux_puntos!$1:$1,0))="",NA(),INDEX(Aux_puntos!$A$2:$OJ$901,487,MATCH($B$2&amp;"|xN",Aux_puntos!$1:$1,0))),NA())</f>
        <v>#N/A</v>
      </c>
      <c r="AJ491" t="e">
        <f>IFERROR(IF(INDEX(Aux_puntos!$A$2:$OJ$901,487,MATCH($B$2&amp;"|yN",Aux_puntos!$1:$1,0))="",NA(),INDEX(Aux_puntos!$A$2:$OJ$901,487,MATCH($B$2&amp;"|yN",Aux_puntos!$1:$1,0))),NA())</f>
        <v>#N/A</v>
      </c>
    </row>
    <row r="492" spans="29:36" x14ac:dyDescent="0.3">
      <c r="AC492" t="e">
        <f>IFERROR(IF(INDEX(Aux_puntos!$A$2:$OJ$901,488,MATCH($B$2&amp;"|xK",Aux_puntos!$1:$1,0))="",NA(),INDEX(Aux_puntos!$A$2:$OJ$901,488,MATCH($B$2&amp;"|xK",Aux_puntos!$1:$1,0))),NA())</f>
        <v>#N/A</v>
      </c>
      <c r="AD492" t="e">
        <f>IFERROR(IF(INDEX(Aux_puntos!$A$2:$OJ$901,488,MATCH($B$2&amp;"|yK",Aux_puntos!$1:$1,0))="",NA(),INDEX(Aux_puntos!$A$2:$OJ$901,488,MATCH($B$2&amp;"|yK",Aux_puntos!$1:$1,0))),NA())</f>
        <v>#N/A</v>
      </c>
      <c r="AE492" t="e">
        <f>IFERROR(IF(INDEX(Aux_puntos!$A$2:$OJ$901,488,MATCH($B$2&amp;"|xC",Aux_puntos!$1:$1,0))="",NA(),INDEX(Aux_puntos!$A$2:$OJ$901,488,MATCH($B$2&amp;"|xC",Aux_puntos!$1:$1,0))),NA())</f>
        <v>#N/A</v>
      </c>
      <c r="AF492" t="e">
        <f>IFERROR(IF(INDEX(Aux_puntos!$A$2:$OJ$901,488,MATCH($B$2&amp;"|yC",Aux_puntos!$1:$1,0))="",NA(),INDEX(Aux_puntos!$A$2:$OJ$901,488,MATCH($B$2&amp;"|yC",Aux_puntos!$1:$1,0))),NA())</f>
        <v>#N/A</v>
      </c>
      <c r="AG492" t="e">
        <f>IFERROR(IF(INDEX(Aux_puntos!$A$2:$OJ$901,488,MATCH($B$2&amp;"|xI",Aux_puntos!$1:$1,0))="",NA(),INDEX(Aux_puntos!$A$2:$OJ$901,488,MATCH($B$2&amp;"|xI",Aux_puntos!$1:$1,0))),NA())</f>
        <v>#N/A</v>
      </c>
      <c r="AH492" t="e">
        <f>IFERROR(IF(INDEX(Aux_puntos!$A$2:$OJ$901,488,MATCH($B$2&amp;"|yI",Aux_puntos!$1:$1,0))="",NA(),INDEX(Aux_puntos!$A$2:$OJ$901,488,MATCH($B$2&amp;"|yI",Aux_puntos!$1:$1,0))),NA())</f>
        <v>#N/A</v>
      </c>
      <c r="AI492" t="e">
        <f>IFERROR(IF(INDEX(Aux_puntos!$A$2:$OJ$901,488,MATCH($B$2&amp;"|xN",Aux_puntos!$1:$1,0))="",NA(),INDEX(Aux_puntos!$A$2:$OJ$901,488,MATCH($B$2&amp;"|xN",Aux_puntos!$1:$1,0))),NA())</f>
        <v>#N/A</v>
      </c>
      <c r="AJ492" t="e">
        <f>IFERROR(IF(INDEX(Aux_puntos!$A$2:$OJ$901,488,MATCH($B$2&amp;"|yN",Aux_puntos!$1:$1,0))="",NA(),INDEX(Aux_puntos!$A$2:$OJ$901,488,MATCH($B$2&amp;"|yN",Aux_puntos!$1:$1,0))),NA())</f>
        <v>#N/A</v>
      </c>
    </row>
    <row r="493" spans="29:36" x14ac:dyDescent="0.3">
      <c r="AC493" t="e">
        <f>IFERROR(IF(INDEX(Aux_puntos!$A$2:$OJ$901,489,MATCH($B$2&amp;"|xK",Aux_puntos!$1:$1,0))="",NA(),INDEX(Aux_puntos!$A$2:$OJ$901,489,MATCH($B$2&amp;"|xK",Aux_puntos!$1:$1,0))),NA())</f>
        <v>#N/A</v>
      </c>
      <c r="AD493" t="e">
        <f>IFERROR(IF(INDEX(Aux_puntos!$A$2:$OJ$901,489,MATCH($B$2&amp;"|yK",Aux_puntos!$1:$1,0))="",NA(),INDEX(Aux_puntos!$A$2:$OJ$901,489,MATCH($B$2&amp;"|yK",Aux_puntos!$1:$1,0))),NA())</f>
        <v>#N/A</v>
      </c>
      <c r="AE493" t="e">
        <f>IFERROR(IF(INDEX(Aux_puntos!$A$2:$OJ$901,489,MATCH($B$2&amp;"|xC",Aux_puntos!$1:$1,0))="",NA(),INDEX(Aux_puntos!$A$2:$OJ$901,489,MATCH($B$2&amp;"|xC",Aux_puntos!$1:$1,0))),NA())</f>
        <v>#N/A</v>
      </c>
      <c r="AF493" t="e">
        <f>IFERROR(IF(INDEX(Aux_puntos!$A$2:$OJ$901,489,MATCH($B$2&amp;"|yC",Aux_puntos!$1:$1,0))="",NA(),INDEX(Aux_puntos!$A$2:$OJ$901,489,MATCH($B$2&amp;"|yC",Aux_puntos!$1:$1,0))),NA())</f>
        <v>#N/A</v>
      </c>
      <c r="AG493" t="e">
        <f>IFERROR(IF(INDEX(Aux_puntos!$A$2:$OJ$901,489,MATCH($B$2&amp;"|xI",Aux_puntos!$1:$1,0))="",NA(),INDEX(Aux_puntos!$A$2:$OJ$901,489,MATCH($B$2&amp;"|xI",Aux_puntos!$1:$1,0))),NA())</f>
        <v>#N/A</v>
      </c>
      <c r="AH493" t="e">
        <f>IFERROR(IF(INDEX(Aux_puntos!$A$2:$OJ$901,489,MATCH($B$2&amp;"|yI",Aux_puntos!$1:$1,0))="",NA(),INDEX(Aux_puntos!$A$2:$OJ$901,489,MATCH($B$2&amp;"|yI",Aux_puntos!$1:$1,0))),NA())</f>
        <v>#N/A</v>
      </c>
      <c r="AI493" t="e">
        <f>IFERROR(IF(INDEX(Aux_puntos!$A$2:$OJ$901,489,MATCH($B$2&amp;"|xN",Aux_puntos!$1:$1,0))="",NA(),INDEX(Aux_puntos!$A$2:$OJ$901,489,MATCH($B$2&amp;"|xN",Aux_puntos!$1:$1,0))),NA())</f>
        <v>#N/A</v>
      </c>
      <c r="AJ493" t="e">
        <f>IFERROR(IF(INDEX(Aux_puntos!$A$2:$OJ$901,489,MATCH($B$2&amp;"|yN",Aux_puntos!$1:$1,0))="",NA(),INDEX(Aux_puntos!$A$2:$OJ$901,489,MATCH($B$2&amp;"|yN",Aux_puntos!$1:$1,0))),NA())</f>
        <v>#N/A</v>
      </c>
    </row>
    <row r="494" spans="29:36" x14ac:dyDescent="0.3">
      <c r="AC494" t="e">
        <f>IFERROR(IF(INDEX(Aux_puntos!$A$2:$OJ$901,490,MATCH($B$2&amp;"|xK",Aux_puntos!$1:$1,0))="",NA(),INDEX(Aux_puntos!$A$2:$OJ$901,490,MATCH($B$2&amp;"|xK",Aux_puntos!$1:$1,0))),NA())</f>
        <v>#N/A</v>
      </c>
      <c r="AD494" t="e">
        <f>IFERROR(IF(INDEX(Aux_puntos!$A$2:$OJ$901,490,MATCH($B$2&amp;"|yK",Aux_puntos!$1:$1,0))="",NA(),INDEX(Aux_puntos!$A$2:$OJ$901,490,MATCH($B$2&amp;"|yK",Aux_puntos!$1:$1,0))),NA())</f>
        <v>#N/A</v>
      </c>
      <c r="AE494" t="e">
        <f>IFERROR(IF(INDEX(Aux_puntos!$A$2:$OJ$901,490,MATCH($B$2&amp;"|xC",Aux_puntos!$1:$1,0))="",NA(),INDEX(Aux_puntos!$A$2:$OJ$901,490,MATCH($B$2&amp;"|xC",Aux_puntos!$1:$1,0))),NA())</f>
        <v>#N/A</v>
      </c>
      <c r="AF494" t="e">
        <f>IFERROR(IF(INDEX(Aux_puntos!$A$2:$OJ$901,490,MATCH($B$2&amp;"|yC",Aux_puntos!$1:$1,0))="",NA(),INDEX(Aux_puntos!$A$2:$OJ$901,490,MATCH($B$2&amp;"|yC",Aux_puntos!$1:$1,0))),NA())</f>
        <v>#N/A</v>
      </c>
      <c r="AG494" t="e">
        <f>IFERROR(IF(INDEX(Aux_puntos!$A$2:$OJ$901,490,MATCH($B$2&amp;"|xI",Aux_puntos!$1:$1,0))="",NA(),INDEX(Aux_puntos!$A$2:$OJ$901,490,MATCH($B$2&amp;"|xI",Aux_puntos!$1:$1,0))),NA())</f>
        <v>#N/A</v>
      </c>
      <c r="AH494" t="e">
        <f>IFERROR(IF(INDEX(Aux_puntos!$A$2:$OJ$901,490,MATCH($B$2&amp;"|yI",Aux_puntos!$1:$1,0))="",NA(),INDEX(Aux_puntos!$A$2:$OJ$901,490,MATCH($B$2&amp;"|yI",Aux_puntos!$1:$1,0))),NA())</f>
        <v>#N/A</v>
      </c>
      <c r="AI494" t="e">
        <f>IFERROR(IF(INDEX(Aux_puntos!$A$2:$OJ$901,490,MATCH($B$2&amp;"|xN",Aux_puntos!$1:$1,0))="",NA(),INDEX(Aux_puntos!$A$2:$OJ$901,490,MATCH($B$2&amp;"|xN",Aux_puntos!$1:$1,0))),NA())</f>
        <v>#N/A</v>
      </c>
      <c r="AJ494" t="e">
        <f>IFERROR(IF(INDEX(Aux_puntos!$A$2:$OJ$901,490,MATCH($B$2&amp;"|yN",Aux_puntos!$1:$1,0))="",NA(),INDEX(Aux_puntos!$A$2:$OJ$901,490,MATCH($B$2&amp;"|yN",Aux_puntos!$1:$1,0))),NA())</f>
        <v>#N/A</v>
      </c>
    </row>
    <row r="495" spans="29:36" x14ac:dyDescent="0.3">
      <c r="AC495" t="e">
        <f>IFERROR(IF(INDEX(Aux_puntos!$A$2:$OJ$901,491,MATCH($B$2&amp;"|xK",Aux_puntos!$1:$1,0))="",NA(),INDEX(Aux_puntos!$A$2:$OJ$901,491,MATCH($B$2&amp;"|xK",Aux_puntos!$1:$1,0))),NA())</f>
        <v>#N/A</v>
      </c>
      <c r="AD495" t="e">
        <f>IFERROR(IF(INDEX(Aux_puntos!$A$2:$OJ$901,491,MATCH($B$2&amp;"|yK",Aux_puntos!$1:$1,0))="",NA(),INDEX(Aux_puntos!$A$2:$OJ$901,491,MATCH($B$2&amp;"|yK",Aux_puntos!$1:$1,0))),NA())</f>
        <v>#N/A</v>
      </c>
      <c r="AE495" t="e">
        <f>IFERROR(IF(INDEX(Aux_puntos!$A$2:$OJ$901,491,MATCH($B$2&amp;"|xC",Aux_puntos!$1:$1,0))="",NA(),INDEX(Aux_puntos!$A$2:$OJ$901,491,MATCH($B$2&amp;"|xC",Aux_puntos!$1:$1,0))),NA())</f>
        <v>#N/A</v>
      </c>
      <c r="AF495" t="e">
        <f>IFERROR(IF(INDEX(Aux_puntos!$A$2:$OJ$901,491,MATCH($B$2&amp;"|yC",Aux_puntos!$1:$1,0))="",NA(),INDEX(Aux_puntos!$A$2:$OJ$901,491,MATCH($B$2&amp;"|yC",Aux_puntos!$1:$1,0))),NA())</f>
        <v>#N/A</v>
      </c>
      <c r="AG495" t="e">
        <f>IFERROR(IF(INDEX(Aux_puntos!$A$2:$OJ$901,491,MATCH($B$2&amp;"|xI",Aux_puntos!$1:$1,0))="",NA(),INDEX(Aux_puntos!$A$2:$OJ$901,491,MATCH($B$2&amp;"|xI",Aux_puntos!$1:$1,0))),NA())</f>
        <v>#N/A</v>
      </c>
      <c r="AH495" t="e">
        <f>IFERROR(IF(INDEX(Aux_puntos!$A$2:$OJ$901,491,MATCH($B$2&amp;"|yI",Aux_puntos!$1:$1,0))="",NA(),INDEX(Aux_puntos!$A$2:$OJ$901,491,MATCH($B$2&amp;"|yI",Aux_puntos!$1:$1,0))),NA())</f>
        <v>#N/A</v>
      </c>
      <c r="AI495" t="e">
        <f>IFERROR(IF(INDEX(Aux_puntos!$A$2:$OJ$901,491,MATCH($B$2&amp;"|xN",Aux_puntos!$1:$1,0))="",NA(),INDEX(Aux_puntos!$A$2:$OJ$901,491,MATCH($B$2&amp;"|xN",Aux_puntos!$1:$1,0))),NA())</f>
        <v>#N/A</v>
      </c>
      <c r="AJ495" t="e">
        <f>IFERROR(IF(INDEX(Aux_puntos!$A$2:$OJ$901,491,MATCH($B$2&amp;"|yN",Aux_puntos!$1:$1,0))="",NA(),INDEX(Aux_puntos!$A$2:$OJ$901,491,MATCH($B$2&amp;"|yN",Aux_puntos!$1:$1,0))),NA())</f>
        <v>#N/A</v>
      </c>
    </row>
    <row r="496" spans="29:36" x14ac:dyDescent="0.3">
      <c r="AC496" t="e">
        <f>IFERROR(IF(INDEX(Aux_puntos!$A$2:$OJ$901,492,MATCH($B$2&amp;"|xK",Aux_puntos!$1:$1,0))="",NA(),INDEX(Aux_puntos!$A$2:$OJ$901,492,MATCH($B$2&amp;"|xK",Aux_puntos!$1:$1,0))),NA())</f>
        <v>#N/A</v>
      </c>
      <c r="AD496" t="e">
        <f>IFERROR(IF(INDEX(Aux_puntos!$A$2:$OJ$901,492,MATCH($B$2&amp;"|yK",Aux_puntos!$1:$1,0))="",NA(),INDEX(Aux_puntos!$A$2:$OJ$901,492,MATCH($B$2&amp;"|yK",Aux_puntos!$1:$1,0))),NA())</f>
        <v>#N/A</v>
      </c>
      <c r="AE496" t="e">
        <f>IFERROR(IF(INDEX(Aux_puntos!$A$2:$OJ$901,492,MATCH($B$2&amp;"|xC",Aux_puntos!$1:$1,0))="",NA(),INDEX(Aux_puntos!$A$2:$OJ$901,492,MATCH($B$2&amp;"|xC",Aux_puntos!$1:$1,0))),NA())</f>
        <v>#N/A</v>
      </c>
      <c r="AF496" t="e">
        <f>IFERROR(IF(INDEX(Aux_puntos!$A$2:$OJ$901,492,MATCH($B$2&amp;"|yC",Aux_puntos!$1:$1,0))="",NA(),INDEX(Aux_puntos!$A$2:$OJ$901,492,MATCH($B$2&amp;"|yC",Aux_puntos!$1:$1,0))),NA())</f>
        <v>#N/A</v>
      </c>
      <c r="AG496" t="e">
        <f>IFERROR(IF(INDEX(Aux_puntos!$A$2:$OJ$901,492,MATCH($B$2&amp;"|xI",Aux_puntos!$1:$1,0))="",NA(),INDEX(Aux_puntos!$A$2:$OJ$901,492,MATCH($B$2&amp;"|xI",Aux_puntos!$1:$1,0))),NA())</f>
        <v>#N/A</v>
      </c>
      <c r="AH496" t="e">
        <f>IFERROR(IF(INDEX(Aux_puntos!$A$2:$OJ$901,492,MATCH($B$2&amp;"|yI",Aux_puntos!$1:$1,0))="",NA(),INDEX(Aux_puntos!$A$2:$OJ$901,492,MATCH($B$2&amp;"|yI",Aux_puntos!$1:$1,0))),NA())</f>
        <v>#N/A</v>
      </c>
      <c r="AI496" t="e">
        <f>IFERROR(IF(INDEX(Aux_puntos!$A$2:$OJ$901,492,MATCH($B$2&amp;"|xN",Aux_puntos!$1:$1,0))="",NA(),INDEX(Aux_puntos!$A$2:$OJ$901,492,MATCH($B$2&amp;"|xN",Aux_puntos!$1:$1,0))),NA())</f>
        <v>#N/A</v>
      </c>
      <c r="AJ496" t="e">
        <f>IFERROR(IF(INDEX(Aux_puntos!$A$2:$OJ$901,492,MATCH($B$2&amp;"|yN",Aux_puntos!$1:$1,0))="",NA(),INDEX(Aux_puntos!$A$2:$OJ$901,492,MATCH($B$2&amp;"|yN",Aux_puntos!$1:$1,0))),NA())</f>
        <v>#N/A</v>
      </c>
    </row>
    <row r="497" spans="29:36" x14ac:dyDescent="0.3">
      <c r="AC497" t="e">
        <f>IFERROR(IF(INDEX(Aux_puntos!$A$2:$OJ$901,493,MATCH($B$2&amp;"|xK",Aux_puntos!$1:$1,0))="",NA(),INDEX(Aux_puntos!$A$2:$OJ$901,493,MATCH($B$2&amp;"|xK",Aux_puntos!$1:$1,0))),NA())</f>
        <v>#N/A</v>
      </c>
      <c r="AD497" t="e">
        <f>IFERROR(IF(INDEX(Aux_puntos!$A$2:$OJ$901,493,MATCH($B$2&amp;"|yK",Aux_puntos!$1:$1,0))="",NA(),INDEX(Aux_puntos!$A$2:$OJ$901,493,MATCH($B$2&amp;"|yK",Aux_puntos!$1:$1,0))),NA())</f>
        <v>#N/A</v>
      </c>
      <c r="AE497" t="e">
        <f>IFERROR(IF(INDEX(Aux_puntos!$A$2:$OJ$901,493,MATCH($B$2&amp;"|xC",Aux_puntos!$1:$1,0))="",NA(),INDEX(Aux_puntos!$A$2:$OJ$901,493,MATCH($B$2&amp;"|xC",Aux_puntos!$1:$1,0))),NA())</f>
        <v>#N/A</v>
      </c>
      <c r="AF497" t="e">
        <f>IFERROR(IF(INDEX(Aux_puntos!$A$2:$OJ$901,493,MATCH($B$2&amp;"|yC",Aux_puntos!$1:$1,0))="",NA(),INDEX(Aux_puntos!$A$2:$OJ$901,493,MATCH($B$2&amp;"|yC",Aux_puntos!$1:$1,0))),NA())</f>
        <v>#N/A</v>
      </c>
      <c r="AG497" t="e">
        <f>IFERROR(IF(INDEX(Aux_puntos!$A$2:$OJ$901,493,MATCH($B$2&amp;"|xI",Aux_puntos!$1:$1,0))="",NA(),INDEX(Aux_puntos!$A$2:$OJ$901,493,MATCH($B$2&amp;"|xI",Aux_puntos!$1:$1,0))),NA())</f>
        <v>#N/A</v>
      </c>
      <c r="AH497" t="e">
        <f>IFERROR(IF(INDEX(Aux_puntos!$A$2:$OJ$901,493,MATCH($B$2&amp;"|yI",Aux_puntos!$1:$1,0))="",NA(),INDEX(Aux_puntos!$A$2:$OJ$901,493,MATCH($B$2&amp;"|yI",Aux_puntos!$1:$1,0))),NA())</f>
        <v>#N/A</v>
      </c>
      <c r="AI497" t="e">
        <f>IFERROR(IF(INDEX(Aux_puntos!$A$2:$OJ$901,493,MATCH($B$2&amp;"|xN",Aux_puntos!$1:$1,0))="",NA(),INDEX(Aux_puntos!$A$2:$OJ$901,493,MATCH($B$2&amp;"|xN",Aux_puntos!$1:$1,0))),NA())</f>
        <v>#N/A</v>
      </c>
      <c r="AJ497" t="e">
        <f>IFERROR(IF(INDEX(Aux_puntos!$A$2:$OJ$901,493,MATCH($B$2&amp;"|yN",Aux_puntos!$1:$1,0))="",NA(),INDEX(Aux_puntos!$A$2:$OJ$901,493,MATCH($B$2&amp;"|yN",Aux_puntos!$1:$1,0))),NA())</f>
        <v>#N/A</v>
      </c>
    </row>
    <row r="498" spans="29:36" x14ac:dyDescent="0.3">
      <c r="AC498" t="e">
        <f>IFERROR(IF(INDEX(Aux_puntos!$A$2:$OJ$901,494,MATCH($B$2&amp;"|xK",Aux_puntos!$1:$1,0))="",NA(),INDEX(Aux_puntos!$A$2:$OJ$901,494,MATCH($B$2&amp;"|xK",Aux_puntos!$1:$1,0))),NA())</f>
        <v>#N/A</v>
      </c>
      <c r="AD498" t="e">
        <f>IFERROR(IF(INDEX(Aux_puntos!$A$2:$OJ$901,494,MATCH($B$2&amp;"|yK",Aux_puntos!$1:$1,0))="",NA(),INDEX(Aux_puntos!$A$2:$OJ$901,494,MATCH($B$2&amp;"|yK",Aux_puntos!$1:$1,0))),NA())</f>
        <v>#N/A</v>
      </c>
      <c r="AE498" t="e">
        <f>IFERROR(IF(INDEX(Aux_puntos!$A$2:$OJ$901,494,MATCH($B$2&amp;"|xC",Aux_puntos!$1:$1,0))="",NA(),INDEX(Aux_puntos!$A$2:$OJ$901,494,MATCH($B$2&amp;"|xC",Aux_puntos!$1:$1,0))),NA())</f>
        <v>#N/A</v>
      </c>
      <c r="AF498" t="e">
        <f>IFERROR(IF(INDEX(Aux_puntos!$A$2:$OJ$901,494,MATCH($B$2&amp;"|yC",Aux_puntos!$1:$1,0))="",NA(),INDEX(Aux_puntos!$A$2:$OJ$901,494,MATCH($B$2&amp;"|yC",Aux_puntos!$1:$1,0))),NA())</f>
        <v>#N/A</v>
      </c>
      <c r="AG498" t="e">
        <f>IFERROR(IF(INDEX(Aux_puntos!$A$2:$OJ$901,494,MATCH($B$2&amp;"|xI",Aux_puntos!$1:$1,0))="",NA(),INDEX(Aux_puntos!$A$2:$OJ$901,494,MATCH($B$2&amp;"|xI",Aux_puntos!$1:$1,0))),NA())</f>
        <v>#N/A</v>
      </c>
      <c r="AH498" t="e">
        <f>IFERROR(IF(INDEX(Aux_puntos!$A$2:$OJ$901,494,MATCH($B$2&amp;"|yI",Aux_puntos!$1:$1,0))="",NA(),INDEX(Aux_puntos!$A$2:$OJ$901,494,MATCH($B$2&amp;"|yI",Aux_puntos!$1:$1,0))),NA())</f>
        <v>#N/A</v>
      </c>
      <c r="AI498" t="e">
        <f>IFERROR(IF(INDEX(Aux_puntos!$A$2:$OJ$901,494,MATCH($B$2&amp;"|xN",Aux_puntos!$1:$1,0))="",NA(),INDEX(Aux_puntos!$A$2:$OJ$901,494,MATCH($B$2&amp;"|xN",Aux_puntos!$1:$1,0))),NA())</f>
        <v>#N/A</v>
      </c>
      <c r="AJ498" t="e">
        <f>IFERROR(IF(INDEX(Aux_puntos!$A$2:$OJ$901,494,MATCH($B$2&amp;"|yN",Aux_puntos!$1:$1,0))="",NA(),INDEX(Aux_puntos!$A$2:$OJ$901,494,MATCH($B$2&amp;"|yN",Aux_puntos!$1:$1,0))),NA())</f>
        <v>#N/A</v>
      </c>
    </row>
    <row r="499" spans="29:36" x14ac:dyDescent="0.3">
      <c r="AC499" t="e">
        <f>IFERROR(IF(INDEX(Aux_puntos!$A$2:$OJ$901,495,MATCH($B$2&amp;"|xK",Aux_puntos!$1:$1,0))="",NA(),INDEX(Aux_puntos!$A$2:$OJ$901,495,MATCH($B$2&amp;"|xK",Aux_puntos!$1:$1,0))),NA())</f>
        <v>#N/A</v>
      </c>
      <c r="AD499" t="e">
        <f>IFERROR(IF(INDEX(Aux_puntos!$A$2:$OJ$901,495,MATCH($B$2&amp;"|yK",Aux_puntos!$1:$1,0))="",NA(),INDEX(Aux_puntos!$A$2:$OJ$901,495,MATCH($B$2&amp;"|yK",Aux_puntos!$1:$1,0))),NA())</f>
        <v>#N/A</v>
      </c>
      <c r="AE499" t="e">
        <f>IFERROR(IF(INDEX(Aux_puntos!$A$2:$OJ$901,495,MATCH($B$2&amp;"|xC",Aux_puntos!$1:$1,0))="",NA(),INDEX(Aux_puntos!$A$2:$OJ$901,495,MATCH($B$2&amp;"|xC",Aux_puntos!$1:$1,0))),NA())</f>
        <v>#N/A</v>
      </c>
      <c r="AF499" t="e">
        <f>IFERROR(IF(INDEX(Aux_puntos!$A$2:$OJ$901,495,MATCH($B$2&amp;"|yC",Aux_puntos!$1:$1,0))="",NA(),INDEX(Aux_puntos!$A$2:$OJ$901,495,MATCH($B$2&amp;"|yC",Aux_puntos!$1:$1,0))),NA())</f>
        <v>#N/A</v>
      </c>
      <c r="AG499" t="e">
        <f>IFERROR(IF(INDEX(Aux_puntos!$A$2:$OJ$901,495,MATCH($B$2&amp;"|xI",Aux_puntos!$1:$1,0))="",NA(),INDEX(Aux_puntos!$A$2:$OJ$901,495,MATCH($B$2&amp;"|xI",Aux_puntos!$1:$1,0))),NA())</f>
        <v>#N/A</v>
      </c>
      <c r="AH499" t="e">
        <f>IFERROR(IF(INDEX(Aux_puntos!$A$2:$OJ$901,495,MATCH($B$2&amp;"|yI",Aux_puntos!$1:$1,0))="",NA(),INDEX(Aux_puntos!$A$2:$OJ$901,495,MATCH($B$2&amp;"|yI",Aux_puntos!$1:$1,0))),NA())</f>
        <v>#N/A</v>
      </c>
      <c r="AI499" t="e">
        <f>IFERROR(IF(INDEX(Aux_puntos!$A$2:$OJ$901,495,MATCH($B$2&amp;"|xN",Aux_puntos!$1:$1,0))="",NA(),INDEX(Aux_puntos!$A$2:$OJ$901,495,MATCH($B$2&amp;"|xN",Aux_puntos!$1:$1,0))),NA())</f>
        <v>#N/A</v>
      </c>
      <c r="AJ499" t="e">
        <f>IFERROR(IF(INDEX(Aux_puntos!$A$2:$OJ$901,495,MATCH($B$2&amp;"|yN",Aux_puntos!$1:$1,0))="",NA(),INDEX(Aux_puntos!$A$2:$OJ$901,495,MATCH($B$2&amp;"|yN",Aux_puntos!$1:$1,0))),NA())</f>
        <v>#N/A</v>
      </c>
    </row>
    <row r="500" spans="29:36" x14ac:dyDescent="0.3">
      <c r="AC500" t="e">
        <f>IFERROR(IF(INDEX(Aux_puntos!$A$2:$OJ$901,496,MATCH($B$2&amp;"|xK",Aux_puntos!$1:$1,0))="",NA(),INDEX(Aux_puntos!$A$2:$OJ$901,496,MATCH($B$2&amp;"|xK",Aux_puntos!$1:$1,0))),NA())</f>
        <v>#N/A</v>
      </c>
      <c r="AD500" t="e">
        <f>IFERROR(IF(INDEX(Aux_puntos!$A$2:$OJ$901,496,MATCH($B$2&amp;"|yK",Aux_puntos!$1:$1,0))="",NA(),INDEX(Aux_puntos!$A$2:$OJ$901,496,MATCH($B$2&amp;"|yK",Aux_puntos!$1:$1,0))),NA())</f>
        <v>#N/A</v>
      </c>
      <c r="AE500" t="e">
        <f>IFERROR(IF(INDEX(Aux_puntos!$A$2:$OJ$901,496,MATCH($B$2&amp;"|xC",Aux_puntos!$1:$1,0))="",NA(),INDEX(Aux_puntos!$A$2:$OJ$901,496,MATCH($B$2&amp;"|xC",Aux_puntos!$1:$1,0))),NA())</f>
        <v>#N/A</v>
      </c>
      <c r="AF500" t="e">
        <f>IFERROR(IF(INDEX(Aux_puntos!$A$2:$OJ$901,496,MATCH($B$2&amp;"|yC",Aux_puntos!$1:$1,0))="",NA(),INDEX(Aux_puntos!$A$2:$OJ$901,496,MATCH($B$2&amp;"|yC",Aux_puntos!$1:$1,0))),NA())</f>
        <v>#N/A</v>
      </c>
      <c r="AG500" t="e">
        <f>IFERROR(IF(INDEX(Aux_puntos!$A$2:$OJ$901,496,MATCH($B$2&amp;"|xI",Aux_puntos!$1:$1,0))="",NA(),INDEX(Aux_puntos!$A$2:$OJ$901,496,MATCH($B$2&amp;"|xI",Aux_puntos!$1:$1,0))),NA())</f>
        <v>#N/A</v>
      </c>
      <c r="AH500" t="e">
        <f>IFERROR(IF(INDEX(Aux_puntos!$A$2:$OJ$901,496,MATCH($B$2&amp;"|yI",Aux_puntos!$1:$1,0))="",NA(),INDEX(Aux_puntos!$A$2:$OJ$901,496,MATCH($B$2&amp;"|yI",Aux_puntos!$1:$1,0))),NA())</f>
        <v>#N/A</v>
      </c>
      <c r="AI500" t="e">
        <f>IFERROR(IF(INDEX(Aux_puntos!$A$2:$OJ$901,496,MATCH($B$2&amp;"|xN",Aux_puntos!$1:$1,0))="",NA(),INDEX(Aux_puntos!$A$2:$OJ$901,496,MATCH($B$2&amp;"|xN",Aux_puntos!$1:$1,0))),NA())</f>
        <v>#N/A</v>
      </c>
      <c r="AJ500" t="e">
        <f>IFERROR(IF(INDEX(Aux_puntos!$A$2:$OJ$901,496,MATCH($B$2&amp;"|yN",Aux_puntos!$1:$1,0))="",NA(),INDEX(Aux_puntos!$A$2:$OJ$901,496,MATCH($B$2&amp;"|yN",Aux_puntos!$1:$1,0))),NA())</f>
        <v>#N/A</v>
      </c>
    </row>
    <row r="501" spans="29:36" x14ac:dyDescent="0.3">
      <c r="AC501" t="e">
        <f>IFERROR(IF(INDEX(Aux_puntos!$A$2:$OJ$901,497,MATCH($B$2&amp;"|xK",Aux_puntos!$1:$1,0))="",NA(),INDEX(Aux_puntos!$A$2:$OJ$901,497,MATCH($B$2&amp;"|xK",Aux_puntos!$1:$1,0))),NA())</f>
        <v>#N/A</v>
      </c>
      <c r="AD501" t="e">
        <f>IFERROR(IF(INDEX(Aux_puntos!$A$2:$OJ$901,497,MATCH($B$2&amp;"|yK",Aux_puntos!$1:$1,0))="",NA(),INDEX(Aux_puntos!$A$2:$OJ$901,497,MATCH($B$2&amp;"|yK",Aux_puntos!$1:$1,0))),NA())</f>
        <v>#N/A</v>
      </c>
      <c r="AE501" t="e">
        <f>IFERROR(IF(INDEX(Aux_puntos!$A$2:$OJ$901,497,MATCH($B$2&amp;"|xC",Aux_puntos!$1:$1,0))="",NA(),INDEX(Aux_puntos!$A$2:$OJ$901,497,MATCH($B$2&amp;"|xC",Aux_puntos!$1:$1,0))),NA())</f>
        <v>#N/A</v>
      </c>
      <c r="AF501" t="e">
        <f>IFERROR(IF(INDEX(Aux_puntos!$A$2:$OJ$901,497,MATCH($B$2&amp;"|yC",Aux_puntos!$1:$1,0))="",NA(),INDEX(Aux_puntos!$A$2:$OJ$901,497,MATCH($B$2&amp;"|yC",Aux_puntos!$1:$1,0))),NA())</f>
        <v>#N/A</v>
      </c>
      <c r="AG501" t="e">
        <f>IFERROR(IF(INDEX(Aux_puntos!$A$2:$OJ$901,497,MATCH($B$2&amp;"|xI",Aux_puntos!$1:$1,0))="",NA(),INDEX(Aux_puntos!$A$2:$OJ$901,497,MATCH($B$2&amp;"|xI",Aux_puntos!$1:$1,0))),NA())</f>
        <v>#N/A</v>
      </c>
      <c r="AH501" t="e">
        <f>IFERROR(IF(INDEX(Aux_puntos!$A$2:$OJ$901,497,MATCH($B$2&amp;"|yI",Aux_puntos!$1:$1,0))="",NA(),INDEX(Aux_puntos!$A$2:$OJ$901,497,MATCH($B$2&amp;"|yI",Aux_puntos!$1:$1,0))),NA())</f>
        <v>#N/A</v>
      </c>
      <c r="AI501" t="e">
        <f>IFERROR(IF(INDEX(Aux_puntos!$A$2:$OJ$901,497,MATCH($B$2&amp;"|xN",Aux_puntos!$1:$1,0))="",NA(),INDEX(Aux_puntos!$A$2:$OJ$901,497,MATCH($B$2&amp;"|xN",Aux_puntos!$1:$1,0))),NA())</f>
        <v>#N/A</v>
      </c>
      <c r="AJ501" t="e">
        <f>IFERROR(IF(INDEX(Aux_puntos!$A$2:$OJ$901,497,MATCH($B$2&amp;"|yN",Aux_puntos!$1:$1,0))="",NA(),INDEX(Aux_puntos!$A$2:$OJ$901,497,MATCH($B$2&amp;"|yN",Aux_puntos!$1:$1,0))),NA())</f>
        <v>#N/A</v>
      </c>
    </row>
    <row r="502" spans="29:36" x14ac:dyDescent="0.3">
      <c r="AC502" t="e">
        <f>IFERROR(IF(INDEX(Aux_puntos!$A$2:$OJ$901,498,MATCH($B$2&amp;"|xK",Aux_puntos!$1:$1,0))="",NA(),INDEX(Aux_puntos!$A$2:$OJ$901,498,MATCH($B$2&amp;"|xK",Aux_puntos!$1:$1,0))),NA())</f>
        <v>#N/A</v>
      </c>
      <c r="AD502" t="e">
        <f>IFERROR(IF(INDEX(Aux_puntos!$A$2:$OJ$901,498,MATCH($B$2&amp;"|yK",Aux_puntos!$1:$1,0))="",NA(),INDEX(Aux_puntos!$A$2:$OJ$901,498,MATCH($B$2&amp;"|yK",Aux_puntos!$1:$1,0))),NA())</f>
        <v>#N/A</v>
      </c>
      <c r="AE502" t="e">
        <f>IFERROR(IF(INDEX(Aux_puntos!$A$2:$OJ$901,498,MATCH($B$2&amp;"|xC",Aux_puntos!$1:$1,0))="",NA(),INDEX(Aux_puntos!$A$2:$OJ$901,498,MATCH($B$2&amp;"|xC",Aux_puntos!$1:$1,0))),NA())</f>
        <v>#N/A</v>
      </c>
      <c r="AF502" t="e">
        <f>IFERROR(IF(INDEX(Aux_puntos!$A$2:$OJ$901,498,MATCH($B$2&amp;"|yC",Aux_puntos!$1:$1,0))="",NA(),INDEX(Aux_puntos!$A$2:$OJ$901,498,MATCH($B$2&amp;"|yC",Aux_puntos!$1:$1,0))),NA())</f>
        <v>#N/A</v>
      </c>
      <c r="AG502" t="e">
        <f>IFERROR(IF(INDEX(Aux_puntos!$A$2:$OJ$901,498,MATCH($B$2&amp;"|xI",Aux_puntos!$1:$1,0))="",NA(),INDEX(Aux_puntos!$A$2:$OJ$901,498,MATCH($B$2&amp;"|xI",Aux_puntos!$1:$1,0))),NA())</f>
        <v>#N/A</v>
      </c>
      <c r="AH502" t="e">
        <f>IFERROR(IF(INDEX(Aux_puntos!$A$2:$OJ$901,498,MATCH($B$2&amp;"|yI",Aux_puntos!$1:$1,0))="",NA(),INDEX(Aux_puntos!$A$2:$OJ$901,498,MATCH($B$2&amp;"|yI",Aux_puntos!$1:$1,0))),NA())</f>
        <v>#N/A</v>
      </c>
      <c r="AI502" t="e">
        <f>IFERROR(IF(INDEX(Aux_puntos!$A$2:$OJ$901,498,MATCH($B$2&amp;"|xN",Aux_puntos!$1:$1,0))="",NA(),INDEX(Aux_puntos!$A$2:$OJ$901,498,MATCH($B$2&amp;"|xN",Aux_puntos!$1:$1,0))),NA())</f>
        <v>#N/A</v>
      </c>
      <c r="AJ502" t="e">
        <f>IFERROR(IF(INDEX(Aux_puntos!$A$2:$OJ$901,498,MATCH($B$2&amp;"|yN",Aux_puntos!$1:$1,0))="",NA(),INDEX(Aux_puntos!$A$2:$OJ$901,498,MATCH($B$2&amp;"|yN",Aux_puntos!$1:$1,0))),NA())</f>
        <v>#N/A</v>
      </c>
    </row>
    <row r="503" spans="29:36" x14ac:dyDescent="0.3">
      <c r="AC503" t="e">
        <f>IFERROR(IF(INDEX(Aux_puntos!$A$2:$OJ$901,499,MATCH($B$2&amp;"|xK",Aux_puntos!$1:$1,0))="",NA(),INDEX(Aux_puntos!$A$2:$OJ$901,499,MATCH($B$2&amp;"|xK",Aux_puntos!$1:$1,0))),NA())</f>
        <v>#N/A</v>
      </c>
      <c r="AD503" t="e">
        <f>IFERROR(IF(INDEX(Aux_puntos!$A$2:$OJ$901,499,MATCH($B$2&amp;"|yK",Aux_puntos!$1:$1,0))="",NA(),INDEX(Aux_puntos!$A$2:$OJ$901,499,MATCH($B$2&amp;"|yK",Aux_puntos!$1:$1,0))),NA())</f>
        <v>#N/A</v>
      </c>
      <c r="AE503" t="e">
        <f>IFERROR(IF(INDEX(Aux_puntos!$A$2:$OJ$901,499,MATCH($B$2&amp;"|xC",Aux_puntos!$1:$1,0))="",NA(),INDEX(Aux_puntos!$A$2:$OJ$901,499,MATCH($B$2&amp;"|xC",Aux_puntos!$1:$1,0))),NA())</f>
        <v>#N/A</v>
      </c>
      <c r="AF503" t="e">
        <f>IFERROR(IF(INDEX(Aux_puntos!$A$2:$OJ$901,499,MATCH($B$2&amp;"|yC",Aux_puntos!$1:$1,0))="",NA(),INDEX(Aux_puntos!$A$2:$OJ$901,499,MATCH($B$2&amp;"|yC",Aux_puntos!$1:$1,0))),NA())</f>
        <v>#N/A</v>
      </c>
      <c r="AG503" t="e">
        <f>IFERROR(IF(INDEX(Aux_puntos!$A$2:$OJ$901,499,MATCH($B$2&amp;"|xI",Aux_puntos!$1:$1,0))="",NA(),INDEX(Aux_puntos!$A$2:$OJ$901,499,MATCH($B$2&amp;"|xI",Aux_puntos!$1:$1,0))),NA())</f>
        <v>#N/A</v>
      </c>
      <c r="AH503" t="e">
        <f>IFERROR(IF(INDEX(Aux_puntos!$A$2:$OJ$901,499,MATCH($B$2&amp;"|yI",Aux_puntos!$1:$1,0))="",NA(),INDEX(Aux_puntos!$A$2:$OJ$901,499,MATCH($B$2&amp;"|yI",Aux_puntos!$1:$1,0))),NA())</f>
        <v>#N/A</v>
      </c>
      <c r="AI503" t="e">
        <f>IFERROR(IF(INDEX(Aux_puntos!$A$2:$OJ$901,499,MATCH($B$2&amp;"|xN",Aux_puntos!$1:$1,0))="",NA(),INDEX(Aux_puntos!$A$2:$OJ$901,499,MATCH($B$2&amp;"|xN",Aux_puntos!$1:$1,0))),NA())</f>
        <v>#N/A</v>
      </c>
      <c r="AJ503" t="e">
        <f>IFERROR(IF(INDEX(Aux_puntos!$A$2:$OJ$901,499,MATCH($B$2&amp;"|yN",Aux_puntos!$1:$1,0))="",NA(),INDEX(Aux_puntos!$A$2:$OJ$901,499,MATCH($B$2&amp;"|yN",Aux_puntos!$1:$1,0))),NA())</f>
        <v>#N/A</v>
      </c>
    </row>
    <row r="504" spans="29:36" x14ac:dyDescent="0.3">
      <c r="AC504" t="e">
        <f>IFERROR(IF(INDEX(Aux_puntos!$A$2:$OJ$901,500,MATCH($B$2&amp;"|xK",Aux_puntos!$1:$1,0))="",NA(),INDEX(Aux_puntos!$A$2:$OJ$901,500,MATCH($B$2&amp;"|xK",Aux_puntos!$1:$1,0))),NA())</f>
        <v>#N/A</v>
      </c>
      <c r="AD504" t="e">
        <f>IFERROR(IF(INDEX(Aux_puntos!$A$2:$OJ$901,500,MATCH($B$2&amp;"|yK",Aux_puntos!$1:$1,0))="",NA(),INDEX(Aux_puntos!$A$2:$OJ$901,500,MATCH($B$2&amp;"|yK",Aux_puntos!$1:$1,0))),NA())</f>
        <v>#N/A</v>
      </c>
      <c r="AE504" t="e">
        <f>IFERROR(IF(INDEX(Aux_puntos!$A$2:$OJ$901,500,MATCH($B$2&amp;"|xC",Aux_puntos!$1:$1,0))="",NA(),INDEX(Aux_puntos!$A$2:$OJ$901,500,MATCH($B$2&amp;"|xC",Aux_puntos!$1:$1,0))),NA())</f>
        <v>#N/A</v>
      </c>
      <c r="AF504" t="e">
        <f>IFERROR(IF(INDEX(Aux_puntos!$A$2:$OJ$901,500,MATCH($B$2&amp;"|yC",Aux_puntos!$1:$1,0))="",NA(),INDEX(Aux_puntos!$A$2:$OJ$901,500,MATCH($B$2&amp;"|yC",Aux_puntos!$1:$1,0))),NA())</f>
        <v>#N/A</v>
      </c>
      <c r="AG504" t="e">
        <f>IFERROR(IF(INDEX(Aux_puntos!$A$2:$OJ$901,500,MATCH($B$2&amp;"|xI",Aux_puntos!$1:$1,0))="",NA(),INDEX(Aux_puntos!$A$2:$OJ$901,500,MATCH($B$2&amp;"|xI",Aux_puntos!$1:$1,0))),NA())</f>
        <v>#N/A</v>
      </c>
      <c r="AH504" t="e">
        <f>IFERROR(IF(INDEX(Aux_puntos!$A$2:$OJ$901,500,MATCH($B$2&amp;"|yI",Aux_puntos!$1:$1,0))="",NA(),INDEX(Aux_puntos!$A$2:$OJ$901,500,MATCH($B$2&amp;"|yI",Aux_puntos!$1:$1,0))),NA())</f>
        <v>#N/A</v>
      </c>
      <c r="AI504" t="e">
        <f>IFERROR(IF(INDEX(Aux_puntos!$A$2:$OJ$901,500,MATCH($B$2&amp;"|xN",Aux_puntos!$1:$1,0))="",NA(),INDEX(Aux_puntos!$A$2:$OJ$901,500,MATCH($B$2&amp;"|xN",Aux_puntos!$1:$1,0))),NA())</f>
        <v>#N/A</v>
      </c>
      <c r="AJ504" t="e">
        <f>IFERROR(IF(INDEX(Aux_puntos!$A$2:$OJ$901,500,MATCH($B$2&amp;"|yN",Aux_puntos!$1:$1,0))="",NA(),INDEX(Aux_puntos!$A$2:$OJ$901,500,MATCH($B$2&amp;"|yN",Aux_puntos!$1:$1,0))),NA())</f>
        <v>#N/A</v>
      </c>
    </row>
    <row r="505" spans="29:36" x14ac:dyDescent="0.3">
      <c r="AC505" t="e">
        <f>IFERROR(IF(INDEX(Aux_puntos!$A$2:$OJ$901,501,MATCH($B$2&amp;"|xK",Aux_puntos!$1:$1,0))="",NA(),INDEX(Aux_puntos!$A$2:$OJ$901,501,MATCH($B$2&amp;"|xK",Aux_puntos!$1:$1,0))),NA())</f>
        <v>#N/A</v>
      </c>
      <c r="AD505" t="e">
        <f>IFERROR(IF(INDEX(Aux_puntos!$A$2:$OJ$901,501,MATCH($B$2&amp;"|yK",Aux_puntos!$1:$1,0))="",NA(),INDEX(Aux_puntos!$A$2:$OJ$901,501,MATCH($B$2&amp;"|yK",Aux_puntos!$1:$1,0))),NA())</f>
        <v>#N/A</v>
      </c>
      <c r="AE505" t="e">
        <f>IFERROR(IF(INDEX(Aux_puntos!$A$2:$OJ$901,501,MATCH($B$2&amp;"|xC",Aux_puntos!$1:$1,0))="",NA(),INDEX(Aux_puntos!$A$2:$OJ$901,501,MATCH($B$2&amp;"|xC",Aux_puntos!$1:$1,0))),NA())</f>
        <v>#N/A</v>
      </c>
      <c r="AF505" t="e">
        <f>IFERROR(IF(INDEX(Aux_puntos!$A$2:$OJ$901,501,MATCH($B$2&amp;"|yC",Aux_puntos!$1:$1,0))="",NA(),INDEX(Aux_puntos!$A$2:$OJ$901,501,MATCH($B$2&amp;"|yC",Aux_puntos!$1:$1,0))),NA())</f>
        <v>#N/A</v>
      </c>
      <c r="AG505" t="e">
        <f>IFERROR(IF(INDEX(Aux_puntos!$A$2:$OJ$901,501,MATCH($B$2&amp;"|xI",Aux_puntos!$1:$1,0))="",NA(),INDEX(Aux_puntos!$A$2:$OJ$901,501,MATCH($B$2&amp;"|xI",Aux_puntos!$1:$1,0))),NA())</f>
        <v>#N/A</v>
      </c>
      <c r="AH505" t="e">
        <f>IFERROR(IF(INDEX(Aux_puntos!$A$2:$OJ$901,501,MATCH($B$2&amp;"|yI",Aux_puntos!$1:$1,0))="",NA(),INDEX(Aux_puntos!$A$2:$OJ$901,501,MATCH($B$2&amp;"|yI",Aux_puntos!$1:$1,0))),NA())</f>
        <v>#N/A</v>
      </c>
      <c r="AI505" t="e">
        <f>IFERROR(IF(INDEX(Aux_puntos!$A$2:$OJ$901,501,MATCH($B$2&amp;"|xN",Aux_puntos!$1:$1,0))="",NA(),INDEX(Aux_puntos!$A$2:$OJ$901,501,MATCH($B$2&amp;"|xN",Aux_puntos!$1:$1,0))),NA())</f>
        <v>#N/A</v>
      </c>
      <c r="AJ505" t="e">
        <f>IFERROR(IF(INDEX(Aux_puntos!$A$2:$OJ$901,501,MATCH($B$2&amp;"|yN",Aux_puntos!$1:$1,0))="",NA(),INDEX(Aux_puntos!$A$2:$OJ$901,501,MATCH($B$2&amp;"|yN",Aux_puntos!$1:$1,0))),NA())</f>
        <v>#N/A</v>
      </c>
    </row>
    <row r="506" spans="29:36" x14ac:dyDescent="0.3">
      <c r="AC506" t="e">
        <f>IFERROR(IF(INDEX(Aux_puntos!$A$2:$OJ$901,502,MATCH($B$2&amp;"|xK",Aux_puntos!$1:$1,0))="",NA(),INDEX(Aux_puntos!$A$2:$OJ$901,502,MATCH($B$2&amp;"|xK",Aux_puntos!$1:$1,0))),NA())</f>
        <v>#N/A</v>
      </c>
      <c r="AD506" t="e">
        <f>IFERROR(IF(INDEX(Aux_puntos!$A$2:$OJ$901,502,MATCH($B$2&amp;"|yK",Aux_puntos!$1:$1,0))="",NA(),INDEX(Aux_puntos!$A$2:$OJ$901,502,MATCH($B$2&amp;"|yK",Aux_puntos!$1:$1,0))),NA())</f>
        <v>#N/A</v>
      </c>
      <c r="AE506" t="e">
        <f>IFERROR(IF(INDEX(Aux_puntos!$A$2:$OJ$901,502,MATCH($B$2&amp;"|xC",Aux_puntos!$1:$1,0))="",NA(),INDEX(Aux_puntos!$A$2:$OJ$901,502,MATCH($B$2&amp;"|xC",Aux_puntos!$1:$1,0))),NA())</f>
        <v>#N/A</v>
      </c>
      <c r="AF506" t="e">
        <f>IFERROR(IF(INDEX(Aux_puntos!$A$2:$OJ$901,502,MATCH($B$2&amp;"|yC",Aux_puntos!$1:$1,0))="",NA(),INDEX(Aux_puntos!$A$2:$OJ$901,502,MATCH($B$2&amp;"|yC",Aux_puntos!$1:$1,0))),NA())</f>
        <v>#N/A</v>
      </c>
      <c r="AG506" t="e">
        <f>IFERROR(IF(INDEX(Aux_puntos!$A$2:$OJ$901,502,MATCH($B$2&amp;"|xI",Aux_puntos!$1:$1,0))="",NA(),INDEX(Aux_puntos!$A$2:$OJ$901,502,MATCH($B$2&amp;"|xI",Aux_puntos!$1:$1,0))),NA())</f>
        <v>#N/A</v>
      </c>
      <c r="AH506" t="e">
        <f>IFERROR(IF(INDEX(Aux_puntos!$A$2:$OJ$901,502,MATCH($B$2&amp;"|yI",Aux_puntos!$1:$1,0))="",NA(),INDEX(Aux_puntos!$A$2:$OJ$901,502,MATCH($B$2&amp;"|yI",Aux_puntos!$1:$1,0))),NA())</f>
        <v>#N/A</v>
      </c>
      <c r="AI506" t="e">
        <f>IFERROR(IF(INDEX(Aux_puntos!$A$2:$OJ$901,502,MATCH($B$2&amp;"|xN",Aux_puntos!$1:$1,0))="",NA(),INDEX(Aux_puntos!$A$2:$OJ$901,502,MATCH($B$2&amp;"|xN",Aux_puntos!$1:$1,0))),NA())</f>
        <v>#N/A</v>
      </c>
      <c r="AJ506" t="e">
        <f>IFERROR(IF(INDEX(Aux_puntos!$A$2:$OJ$901,502,MATCH($B$2&amp;"|yN",Aux_puntos!$1:$1,0))="",NA(),INDEX(Aux_puntos!$A$2:$OJ$901,502,MATCH($B$2&amp;"|yN",Aux_puntos!$1:$1,0))),NA())</f>
        <v>#N/A</v>
      </c>
    </row>
    <row r="507" spans="29:36" x14ac:dyDescent="0.3">
      <c r="AC507" t="e">
        <f>IFERROR(IF(INDEX(Aux_puntos!$A$2:$OJ$901,503,MATCH($B$2&amp;"|xK",Aux_puntos!$1:$1,0))="",NA(),INDEX(Aux_puntos!$A$2:$OJ$901,503,MATCH($B$2&amp;"|xK",Aux_puntos!$1:$1,0))),NA())</f>
        <v>#N/A</v>
      </c>
      <c r="AD507" t="e">
        <f>IFERROR(IF(INDEX(Aux_puntos!$A$2:$OJ$901,503,MATCH($B$2&amp;"|yK",Aux_puntos!$1:$1,0))="",NA(),INDEX(Aux_puntos!$A$2:$OJ$901,503,MATCH($B$2&amp;"|yK",Aux_puntos!$1:$1,0))),NA())</f>
        <v>#N/A</v>
      </c>
      <c r="AE507" t="e">
        <f>IFERROR(IF(INDEX(Aux_puntos!$A$2:$OJ$901,503,MATCH($B$2&amp;"|xC",Aux_puntos!$1:$1,0))="",NA(),INDEX(Aux_puntos!$A$2:$OJ$901,503,MATCH($B$2&amp;"|xC",Aux_puntos!$1:$1,0))),NA())</f>
        <v>#N/A</v>
      </c>
      <c r="AF507" t="e">
        <f>IFERROR(IF(INDEX(Aux_puntos!$A$2:$OJ$901,503,MATCH($B$2&amp;"|yC",Aux_puntos!$1:$1,0))="",NA(),INDEX(Aux_puntos!$A$2:$OJ$901,503,MATCH($B$2&amp;"|yC",Aux_puntos!$1:$1,0))),NA())</f>
        <v>#N/A</v>
      </c>
      <c r="AG507" t="e">
        <f>IFERROR(IF(INDEX(Aux_puntos!$A$2:$OJ$901,503,MATCH($B$2&amp;"|xI",Aux_puntos!$1:$1,0))="",NA(),INDEX(Aux_puntos!$A$2:$OJ$901,503,MATCH($B$2&amp;"|xI",Aux_puntos!$1:$1,0))),NA())</f>
        <v>#N/A</v>
      </c>
      <c r="AH507" t="e">
        <f>IFERROR(IF(INDEX(Aux_puntos!$A$2:$OJ$901,503,MATCH($B$2&amp;"|yI",Aux_puntos!$1:$1,0))="",NA(),INDEX(Aux_puntos!$A$2:$OJ$901,503,MATCH($B$2&amp;"|yI",Aux_puntos!$1:$1,0))),NA())</f>
        <v>#N/A</v>
      </c>
      <c r="AI507" t="e">
        <f>IFERROR(IF(INDEX(Aux_puntos!$A$2:$OJ$901,503,MATCH($B$2&amp;"|xN",Aux_puntos!$1:$1,0))="",NA(),INDEX(Aux_puntos!$A$2:$OJ$901,503,MATCH($B$2&amp;"|xN",Aux_puntos!$1:$1,0))),NA())</f>
        <v>#N/A</v>
      </c>
      <c r="AJ507" t="e">
        <f>IFERROR(IF(INDEX(Aux_puntos!$A$2:$OJ$901,503,MATCH($B$2&amp;"|yN",Aux_puntos!$1:$1,0))="",NA(),INDEX(Aux_puntos!$A$2:$OJ$901,503,MATCH($B$2&amp;"|yN",Aux_puntos!$1:$1,0))),NA())</f>
        <v>#N/A</v>
      </c>
    </row>
    <row r="508" spans="29:36" x14ac:dyDescent="0.3">
      <c r="AC508" t="e">
        <f>IFERROR(IF(INDEX(Aux_puntos!$A$2:$OJ$901,504,MATCH($B$2&amp;"|xK",Aux_puntos!$1:$1,0))="",NA(),INDEX(Aux_puntos!$A$2:$OJ$901,504,MATCH($B$2&amp;"|xK",Aux_puntos!$1:$1,0))),NA())</f>
        <v>#N/A</v>
      </c>
      <c r="AD508" t="e">
        <f>IFERROR(IF(INDEX(Aux_puntos!$A$2:$OJ$901,504,MATCH($B$2&amp;"|yK",Aux_puntos!$1:$1,0))="",NA(),INDEX(Aux_puntos!$A$2:$OJ$901,504,MATCH($B$2&amp;"|yK",Aux_puntos!$1:$1,0))),NA())</f>
        <v>#N/A</v>
      </c>
      <c r="AE508" t="e">
        <f>IFERROR(IF(INDEX(Aux_puntos!$A$2:$OJ$901,504,MATCH($B$2&amp;"|xC",Aux_puntos!$1:$1,0))="",NA(),INDEX(Aux_puntos!$A$2:$OJ$901,504,MATCH($B$2&amp;"|xC",Aux_puntos!$1:$1,0))),NA())</f>
        <v>#N/A</v>
      </c>
      <c r="AF508" t="e">
        <f>IFERROR(IF(INDEX(Aux_puntos!$A$2:$OJ$901,504,MATCH($B$2&amp;"|yC",Aux_puntos!$1:$1,0))="",NA(),INDEX(Aux_puntos!$A$2:$OJ$901,504,MATCH($B$2&amp;"|yC",Aux_puntos!$1:$1,0))),NA())</f>
        <v>#N/A</v>
      </c>
      <c r="AG508" t="e">
        <f>IFERROR(IF(INDEX(Aux_puntos!$A$2:$OJ$901,504,MATCH($B$2&amp;"|xI",Aux_puntos!$1:$1,0))="",NA(),INDEX(Aux_puntos!$A$2:$OJ$901,504,MATCH($B$2&amp;"|xI",Aux_puntos!$1:$1,0))),NA())</f>
        <v>#N/A</v>
      </c>
      <c r="AH508" t="e">
        <f>IFERROR(IF(INDEX(Aux_puntos!$A$2:$OJ$901,504,MATCH($B$2&amp;"|yI",Aux_puntos!$1:$1,0))="",NA(),INDEX(Aux_puntos!$A$2:$OJ$901,504,MATCH($B$2&amp;"|yI",Aux_puntos!$1:$1,0))),NA())</f>
        <v>#N/A</v>
      </c>
      <c r="AI508" t="e">
        <f>IFERROR(IF(INDEX(Aux_puntos!$A$2:$OJ$901,504,MATCH($B$2&amp;"|xN",Aux_puntos!$1:$1,0))="",NA(),INDEX(Aux_puntos!$A$2:$OJ$901,504,MATCH($B$2&amp;"|xN",Aux_puntos!$1:$1,0))),NA())</f>
        <v>#N/A</v>
      </c>
      <c r="AJ508" t="e">
        <f>IFERROR(IF(INDEX(Aux_puntos!$A$2:$OJ$901,504,MATCH($B$2&amp;"|yN",Aux_puntos!$1:$1,0))="",NA(),INDEX(Aux_puntos!$A$2:$OJ$901,504,MATCH($B$2&amp;"|yN",Aux_puntos!$1:$1,0))),NA())</f>
        <v>#N/A</v>
      </c>
    </row>
    <row r="509" spans="29:36" x14ac:dyDescent="0.3">
      <c r="AC509" t="e">
        <f>IFERROR(IF(INDEX(Aux_puntos!$A$2:$OJ$901,505,MATCH($B$2&amp;"|xK",Aux_puntos!$1:$1,0))="",NA(),INDEX(Aux_puntos!$A$2:$OJ$901,505,MATCH($B$2&amp;"|xK",Aux_puntos!$1:$1,0))),NA())</f>
        <v>#N/A</v>
      </c>
      <c r="AD509" t="e">
        <f>IFERROR(IF(INDEX(Aux_puntos!$A$2:$OJ$901,505,MATCH($B$2&amp;"|yK",Aux_puntos!$1:$1,0))="",NA(),INDEX(Aux_puntos!$A$2:$OJ$901,505,MATCH($B$2&amp;"|yK",Aux_puntos!$1:$1,0))),NA())</f>
        <v>#N/A</v>
      </c>
      <c r="AE509" t="e">
        <f>IFERROR(IF(INDEX(Aux_puntos!$A$2:$OJ$901,505,MATCH($B$2&amp;"|xC",Aux_puntos!$1:$1,0))="",NA(),INDEX(Aux_puntos!$A$2:$OJ$901,505,MATCH($B$2&amp;"|xC",Aux_puntos!$1:$1,0))),NA())</f>
        <v>#N/A</v>
      </c>
      <c r="AF509" t="e">
        <f>IFERROR(IF(INDEX(Aux_puntos!$A$2:$OJ$901,505,MATCH($B$2&amp;"|yC",Aux_puntos!$1:$1,0))="",NA(),INDEX(Aux_puntos!$A$2:$OJ$901,505,MATCH($B$2&amp;"|yC",Aux_puntos!$1:$1,0))),NA())</f>
        <v>#N/A</v>
      </c>
      <c r="AG509" t="e">
        <f>IFERROR(IF(INDEX(Aux_puntos!$A$2:$OJ$901,505,MATCH($B$2&amp;"|xI",Aux_puntos!$1:$1,0))="",NA(),INDEX(Aux_puntos!$A$2:$OJ$901,505,MATCH($B$2&amp;"|xI",Aux_puntos!$1:$1,0))),NA())</f>
        <v>#N/A</v>
      </c>
      <c r="AH509" t="e">
        <f>IFERROR(IF(INDEX(Aux_puntos!$A$2:$OJ$901,505,MATCH($B$2&amp;"|yI",Aux_puntos!$1:$1,0))="",NA(),INDEX(Aux_puntos!$A$2:$OJ$901,505,MATCH($B$2&amp;"|yI",Aux_puntos!$1:$1,0))),NA())</f>
        <v>#N/A</v>
      </c>
      <c r="AI509" t="e">
        <f>IFERROR(IF(INDEX(Aux_puntos!$A$2:$OJ$901,505,MATCH($B$2&amp;"|xN",Aux_puntos!$1:$1,0))="",NA(),INDEX(Aux_puntos!$A$2:$OJ$901,505,MATCH($B$2&amp;"|xN",Aux_puntos!$1:$1,0))),NA())</f>
        <v>#N/A</v>
      </c>
      <c r="AJ509" t="e">
        <f>IFERROR(IF(INDEX(Aux_puntos!$A$2:$OJ$901,505,MATCH($B$2&amp;"|yN",Aux_puntos!$1:$1,0))="",NA(),INDEX(Aux_puntos!$A$2:$OJ$901,505,MATCH($B$2&amp;"|yN",Aux_puntos!$1:$1,0))),NA())</f>
        <v>#N/A</v>
      </c>
    </row>
    <row r="510" spans="29:36" x14ac:dyDescent="0.3">
      <c r="AC510" t="e">
        <f>IFERROR(IF(INDEX(Aux_puntos!$A$2:$OJ$901,506,MATCH($B$2&amp;"|xK",Aux_puntos!$1:$1,0))="",NA(),INDEX(Aux_puntos!$A$2:$OJ$901,506,MATCH($B$2&amp;"|xK",Aux_puntos!$1:$1,0))),NA())</f>
        <v>#N/A</v>
      </c>
      <c r="AD510" t="e">
        <f>IFERROR(IF(INDEX(Aux_puntos!$A$2:$OJ$901,506,MATCH($B$2&amp;"|yK",Aux_puntos!$1:$1,0))="",NA(),INDEX(Aux_puntos!$A$2:$OJ$901,506,MATCH($B$2&amp;"|yK",Aux_puntos!$1:$1,0))),NA())</f>
        <v>#N/A</v>
      </c>
      <c r="AE510" t="e">
        <f>IFERROR(IF(INDEX(Aux_puntos!$A$2:$OJ$901,506,MATCH($B$2&amp;"|xC",Aux_puntos!$1:$1,0))="",NA(),INDEX(Aux_puntos!$A$2:$OJ$901,506,MATCH($B$2&amp;"|xC",Aux_puntos!$1:$1,0))),NA())</f>
        <v>#N/A</v>
      </c>
      <c r="AF510" t="e">
        <f>IFERROR(IF(INDEX(Aux_puntos!$A$2:$OJ$901,506,MATCH($B$2&amp;"|yC",Aux_puntos!$1:$1,0))="",NA(),INDEX(Aux_puntos!$A$2:$OJ$901,506,MATCH($B$2&amp;"|yC",Aux_puntos!$1:$1,0))),NA())</f>
        <v>#N/A</v>
      </c>
      <c r="AG510" t="e">
        <f>IFERROR(IF(INDEX(Aux_puntos!$A$2:$OJ$901,506,MATCH($B$2&amp;"|xI",Aux_puntos!$1:$1,0))="",NA(),INDEX(Aux_puntos!$A$2:$OJ$901,506,MATCH($B$2&amp;"|xI",Aux_puntos!$1:$1,0))),NA())</f>
        <v>#N/A</v>
      </c>
      <c r="AH510" t="e">
        <f>IFERROR(IF(INDEX(Aux_puntos!$A$2:$OJ$901,506,MATCH($B$2&amp;"|yI",Aux_puntos!$1:$1,0))="",NA(),INDEX(Aux_puntos!$A$2:$OJ$901,506,MATCH($B$2&amp;"|yI",Aux_puntos!$1:$1,0))),NA())</f>
        <v>#N/A</v>
      </c>
      <c r="AI510" t="e">
        <f>IFERROR(IF(INDEX(Aux_puntos!$A$2:$OJ$901,506,MATCH($B$2&amp;"|xN",Aux_puntos!$1:$1,0))="",NA(),INDEX(Aux_puntos!$A$2:$OJ$901,506,MATCH($B$2&amp;"|xN",Aux_puntos!$1:$1,0))),NA())</f>
        <v>#N/A</v>
      </c>
      <c r="AJ510" t="e">
        <f>IFERROR(IF(INDEX(Aux_puntos!$A$2:$OJ$901,506,MATCH($B$2&amp;"|yN",Aux_puntos!$1:$1,0))="",NA(),INDEX(Aux_puntos!$A$2:$OJ$901,506,MATCH($B$2&amp;"|yN",Aux_puntos!$1:$1,0))),NA())</f>
        <v>#N/A</v>
      </c>
    </row>
    <row r="511" spans="29:36" x14ac:dyDescent="0.3">
      <c r="AC511" t="e">
        <f>IFERROR(IF(INDEX(Aux_puntos!$A$2:$OJ$901,507,MATCH($B$2&amp;"|xK",Aux_puntos!$1:$1,0))="",NA(),INDEX(Aux_puntos!$A$2:$OJ$901,507,MATCH($B$2&amp;"|xK",Aux_puntos!$1:$1,0))),NA())</f>
        <v>#N/A</v>
      </c>
      <c r="AD511" t="e">
        <f>IFERROR(IF(INDEX(Aux_puntos!$A$2:$OJ$901,507,MATCH($B$2&amp;"|yK",Aux_puntos!$1:$1,0))="",NA(),INDEX(Aux_puntos!$A$2:$OJ$901,507,MATCH($B$2&amp;"|yK",Aux_puntos!$1:$1,0))),NA())</f>
        <v>#N/A</v>
      </c>
      <c r="AE511" t="e">
        <f>IFERROR(IF(INDEX(Aux_puntos!$A$2:$OJ$901,507,MATCH($B$2&amp;"|xC",Aux_puntos!$1:$1,0))="",NA(),INDEX(Aux_puntos!$A$2:$OJ$901,507,MATCH($B$2&amp;"|xC",Aux_puntos!$1:$1,0))),NA())</f>
        <v>#N/A</v>
      </c>
      <c r="AF511" t="e">
        <f>IFERROR(IF(INDEX(Aux_puntos!$A$2:$OJ$901,507,MATCH($B$2&amp;"|yC",Aux_puntos!$1:$1,0))="",NA(),INDEX(Aux_puntos!$A$2:$OJ$901,507,MATCH($B$2&amp;"|yC",Aux_puntos!$1:$1,0))),NA())</f>
        <v>#N/A</v>
      </c>
      <c r="AG511" t="e">
        <f>IFERROR(IF(INDEX(Aux_puntos!$A$2:$OJ$901,507,MATCH($B$2&amp;"|xI",Aux_puntos!$1:$1,0))="",NA(),INDEX(Aux_puntos!$A$2:$OJ$901,507,MATCH($B$2&amp;"|xI",Aux_puntos!$1:$1,0))),NA())</f>
        <v>#N/A</v>
      </c>
      <c r="AH511" t="e">
        <f>IFERROR(IF(INDEX(Aux_puntos!$A$2:$OJ$901,507,MATCH($B$2&amp;"|yI",Aux_puntos!$1:$1,0))="",NA(),INDEX(Aux_puntos!$A$2:$OJ$901,507,MATCH($B$2&amp;"|yI",Aux_puntos!$1:$1,0))),NA())</f>
        <v>#N/A</v>
      </c>
      <c r="AI511" t="e">
        <f>IFERROR(IF(INDEX(Aux_puntos!$A$2:$OJ$901,507,MATCH($B$2&amp;"|xN",Aux_puntos!$1:$1,0))="",NA(),INDEX(Aux_puntos!$A$2:$OJ$901,507,MATCH($B$2&amp;"|xN",Aux_puntos!$1:$1,0))),NA())</f>
        <v>#N/A</v>
      </c>
      <c r="AJ511" t="e">
        <f>IFERROR(IF(INDEX(Aux_puntos!$A$2:$OJ$901,507,MATCH($B$2&amp;"|yN",Aux_puntos!$1:$1,0))="",NA(),INDEX(Aux_puntos!$A$2:$OJ$901,507,MATCH($B$2&amp;"|yN",Aux_puntos!$1:$1,0))),NA())</f>
        <v>#N/A</v>
      </c>
    </row>
    <row r="512" spans="29:36" x14ac:dyDescent="0.3">
      <c r="AC512" t="e">
        <f>IFERROR(IF(INDEX(Aux_puntos!$A$2:$OJ$901,508,MATCH($B$2&amp;"|xK",Aux_puntos!$1:$1,0))="",NA(),INDEX(Aux_puntos!$A$2:$OJ$901,508,MATCH($B$2&amp;"|xK",Aux_puntos!$1:$1,0))),NA())</f>
        <v>#N/A</v>
      </c>
      <c r="AD512" t="e">
        <f>IFERROR(IF(INDEX(Aux_puntos!$A$2:$OJ$901,508,MATCH($B$2&amp;"|yK",Aux_puntos!$1:$1,0))="",NA(),INDEX(Aux_puntos!$A$2:$OJ$901,508,MATCH($B$2&amp;"|yK",Aux_puntos!$1:$1,0))),NA())</f>
        <v>#N/A</v>
      </c>
      <c r="AE512" t="e">
        <f>IFERROR(IF(INDEX(Aux_puntos!$A$2:$OJ$901,508,MATCH($B$2&amp;"|xC",Aux_puntos!$1:$1,0))="",NA(),INDEX(Aux_puntos!$A$2:$OJ$901,508,MATCH($B$2&amp;"|xC",Aux_puntos!$1:$1,0))),NA())</f>
        <v>#N/A</v>
      </c>
      <c r="AF512" t="e">
        <f>IFERROR(IF(INDEX(Aux_puntos!$A$2:$OJ$901,508,MATCH($B$2&amp;"|yC",Aux_puntos!$1:$1,0))="",NA(),INDEX(Aux_puntos!$A$2:$OJ$901,508,MATCH($B$2&amp;"|yC",Aux_puntos!$1:$1,0))),NA())</f>
        <v>#N/A</v>
      </c>
      <c r="AG512" t="e">
        <f>IFERROR(IF(INDEX(Aux_puntos!$A$2:$OJ$901,508,MATCH($B$2&amp;"|xI",Aux_puntos!$1:$1,0))="",NA(),INDEX(Aux_puntos!$A$2:$OJ$901,508,MATCH($B$2&amp;"|xI",Aux_puntos!$1:$1,0))),NA())</f>
        <v>#N/A</v>
      </c>
      <c r="AH512" t="e">
        <f>IFERROR(IF(INDEX(Aux_puntos!$A$2:$OJ$901,508,MATCH($B$2&amp;"|yI",Aux_puntos!$1:$1,0))="",NA(),INDEX(Aux_puntos!$A$2:$OJ$901,508,MATCH($B$2&amp;"|yI",Aux_puntos!$1:$1,0))),NA())</f>
        <v>#N/A</v>
      </c>
      <c r="AI512" t="e">
        <f>IFERROR(IF(INDEX(Aux_puntos!$A$2:$OJ$901,508,MATCH($B$2&amp;"|xN",Aux_puntos!$1:$1,0))="",NA(),INDEX(Aux_puntos!$A$2:$OJ$901,508,MATCH($B$2&amp;"|xN",Aux_puntos!$1:$1,0))),NA())</f>
        <v>#N/A</v>
      </c>
      <c r="AJ512" t="e">
        <f>IFERROR(IF(INDEX(Aux_puntos!$A$2:$OJ$901,508,MATCH($B$2&amp;"|yN",Aux_puntos!$1:$1,0))="",NA(),INDEX(Aux_puntos!$A$2:$OJ$901,508,MATCH($B$2&amp;"|yN",Aux_puntos!$1:$1,0))),NA())</f>
        <v>#N/A</v>
      </c>
    </row>
    <row r="513" spans="29:36" x14ac:dyDescent="0.3">
      <c r="AC513" t="e">
        <f>IFERROR(IF(INDEX(Aux_puntos!$A$2:$OJ$901,509,MATCH($B$2&amp;"|xK",Aux_puntos!$1:$1,0))="",NA(),INDEX(Aux_puntos!$A$2:$OJ$901,509,MATCH($B$2&amp;"|xK",Aux_puntos!$1:$1,0))),NA())</f>
        <v>#N/A</v>
      </c>
      <c r="AD513" t="e">
        <f>IFERROR(IF(INDEX(Aux_puntos!$A$2:$OJ$901,509,MATCH($B$2&amp;"|yK",Aux_puntos!$1:$1,0))="",NA(),INDEX(Aux_puntos!$A$2:$OJ$901,509,MATCH($B$2&amp;"|yK",Aux_puntos!$1:$1,0))),NA())</f>
        <v>#N/A</v>
      </c>
      <c r="AE513" t="e">
        <f>IFERROR(IF(INDEX(Aux_puntos!$A$2:$OJ$901,509,MATCH($B$2&amp;"|xC",Aux_puntos!$1:$1,0))="",NA(),INDEX(Aux_puntos!$A$2:$OJ$901,509,MATCH($B$2&amp;"|xC",Aux_puntos!$1:$1,0))),NA())</f>
        <v>#N/A</v>
      </c>
      <c r="AF513" t="e">
        <f>IFERROR(IF(INDEX(Aux_puntos!$A$2:$OJ$901,509,MATCH($B$2&amp;"|yC",Aux_puntos!$1:$1,0))="",NA(),INDEX(Aux_puntos!$A$2:$OJ$901,509,MATCH($B$2&amp;"|yC",Aux_puntos!$1:$1,0))),NA())</f>
        <v>#N/A</v>
      </c>
      <c r="AG513" t="e">
        <f>IFERROR(IF(INDEX(Aux_puntos!$A$2:$OJ$901,509,MATCH($B$2&amp;"|xI",Aux_puntos!$1:$1,0))="",NA(),INDEX(Aux_puntos!$A$2:$OJ$901,509,MATCH($B$2&amp;"|xI",Aux_puntos!$1:$1,0))),NA())</f>
        <v>#N/A</v>
      </c>
      <c r="AH513" t="e">
        <f>IFERROR(IF(INDEX(Aux_puntos!$A$2:$OJ$901,509,MATCH($B$2&amp;"|yI",Aux_puntos!$1:$1,0))="",NA(),INDEX(Aux_puntos!$A$2:$OJ$901,509,MATCH($B$2&amp;"|yI",Aux_puntos!$1:$1,0))),NA())</f>
        <v>#N/A</v>
      </c>
      <c r="AI513" t="e">
        <f>IFERROR(IF(INDEX(Aux_puntos!$A$2:$OJ$901,509,MATCH($B$2&amp;"|xN",Aux_puntos!$1:$1,0))="",NA(),INDEX(Aux_puntos!$A$2:$OJ$901,509,MATCH($B$2&amp;"|xN",Aux_puntos!$1:$1,0))),NA())</f>
        <v>#N/A</v>
      </c>
      <c r="AJ513" t="e">
        <f>IFERROR(IF(INDEX(Aux_puntos!$A$2:$OJ$901,509,MATCH($B$2&amp;"|yN",Aux_puntos!$1:$1,0))="",NA(),INDEX(Aux_puntos!$A$2:$OJ$901,509,MATCH($B$2&amp;"|yN",Aux_puntos!$1:$1,0))),NA())</f>
        <v>#N/A</v>
      </c>
    </row>
    <row r="514" spans="29:36" x14ac:dyDescent="0.3">
      <c r="AC514" t="e">
        <f>IFERROR(IF(INDEX(Aux_puntos!$A$2:$OJ$901,510,MATCH($B$2&amp;"|xK",Aux_puntos!$1:$1,0))="",NA(),INDEX(Aux_puntos!$A$2:$OJ$901,510,MATCH($B$2&amp;"|xK",Aux_puntos!$1:$1,0))),NA())</f>
        <v>#N/A</v>
      </c>
      <c r="AD514" t="e">
        <f>IFERROR(IF(INDEX(Aux_puntos!$A$2:$OJ$901,510,MATCH($B$2&amp;"|yK",Aux_puntos!$1:$1,0))="",NA(),INDEX(Aux_puntos!$A$2:$OJ$901,510,MATCH($B$2&amp;"|yK",Aux_puntos!$1:$1,0))),NA())</f>
        <v>#N/A</v>
      </c>
      <c r="AE514" t="e">
        <f>IFERROR(IF(INDEX(Aux_puntos!$A$2:$OJ$901,510,MATCH($B$2&amp;"|xC",Aux_puntos!$1:$1,0))="",NA(),INDEX(Aux_puntos!$A$2:$OJ$901,510,MATCH($B$2&amp;"|xC",Aux_puntos!$1:$1,0))),NA())</f>
        <v>#N/A</v>
      </c>
      <c r="AF514" t="e">
        <f>IFERROR(IF(INDEX(Aux_puntos!$A$2:$OJ$901,510,MATCH($B$2&amp;"|yC",Aux_puntos!$1:$1,0))="",NA(),INDEX(Aux_puntos!$A$2:$OJ$901,510,MATCH($B$2&amp;"|yC",Aux_puntos!$1:$1,0))),NA())</f>
        <v>#N/A</v>
      </c>
      <c r="AG514" t="e">
        <f>IFERROR(IF(INDEX(Aux_puntos!$A$2:$OJ$901,510,MATCH($B$2&amp;"|xI",Aux_puntos!$1:$1,0))="",NA(),INDEX(Aux_puntos!$A$2:$OJ$901,510,MATCH($B$2&amp;"|xI",Aux_puntos!$1:$1,0))),NA())</f>
        <v>#N/A</v>
      </c>
      <c r="AH514" t="e">
        <f>IFERROR(IF(INDEX(Aux_puntos!$A$2:$OJ$901,510,MATCH($B$2&amp;"|yI",Aux_puntos!$1:$1,0))="",NA(),INDEX(Aux_puntos!$A$2:$OJ$901,510,MATCH($B$2&amp;"|yI",Aux_puntos!$1:$1,0))),NA())</f>
        <v>#N/A</v>
      </c>
      <c r="AI514" t="e">
        <f>IFERROR(IF(INDEX(Aux_puntos!$A$2:$OJ$901,510,MATCH($B$2&amp;"|xN",Aux_puntos!$1:$1,0))="",NA(),INDEX(Aux_puntos!$A$2:$OJ$901,510,MATCH($B$2&amp;"|xN",Aux_puntos!$1:$1,0))),NA())</f>
        <v>#N/A</v>
      </c>
      <c r="AJ514" t="e">
        <f>IFERROR(IF(INDEX(Aux_puntos!$A$2:$OJ$901,510,MATCH($B$2&amp;"|yN",Aux_puntos!$1:$1,0))="",NA(),INDEX(Aux_puntos!$A$2:$OJ$901,510,MATCH($B$2&amp;"|yN",Aux_puntos!$1:$1,0))),NA())</f>
        <v>#N/A</v>
      </c>
    </row>
    <row r="515" spans="29:36" x14ac:dyDescent="0.3">
      <c r="AC515" t="e">
        <f>IFERROR(IF(INDEX(Aux_puntos!$A$2:$OJ$901,511,MATCH($B$2&amp;"|xK",Aux_puntos!$1:$1,0))="",NA(),INDEX(Aux_puntos!$A$2:$OJ$901,511,MATCH($B$2&amp;"|xK",Aux_puntos!$1:$1,0))),NA())</f>
        <v>#N/A</v>
      </c>
      <c r="AD515" t="e">
        <f>IFERROR(IF(INDEX(Aux_puntos!$A$2:$OJ$901,511,MATCH($B$2&amp;"|yK",Aux_puntos!$1:$1,0))="",NA(),INDEX(Aux_puntos!$A$2:$OJ$901,511,MATCH($B$2&amp;"|yK",Aux_puntos!$1:$1,0))),NA())</f>
        <v>#N/A</v>
      </c>
      <c r="AE515" t="e">
        <f>IFERROR(IF(INDEX(Aux_puntos!$A$2:$OJ$901,511,MATCH($B$2&amp;"|xC",Aux_puntos!$1:$1,0))="",NA(),INDEX(Aux_puntos!$A$2:$OJ$901,511,MATCH($B$2&amp;"|xC",Aux_puntos!$1:$1,0))),NA())</f>
        <v>#N/A</v>
      </c>
      <c r="AF515" t="e">
        <f>IFERROR(IF(INDEX(Aux_puntos!$A$2:$OJ$901,511,MATCH($B$2&amp;"|yC",Aux_puntos!$1:$1,0))="",NA(),INDEX(Aux_puntos!$A$2:$OJ$901,511,MATCH($B$2&amp;"|yC",Aux_puntos!$1:$1,0))),NA())</f>
        <v>#N/A</v>
      </c>
      <c r="AG515" t="e">
        <f>IFERROR(IF(INDEX(Aux_puntos!$A$2:$OJ$901,511,MATCH($B$2&amp;"|xI",Aux_puntos!$1:$1,0))="",NA(),INDEX(Aux_puntos!$A$2:$OJ$901,511,MATCH($B$2&amp;"|xI",Aux_puntos!$1:$1,0))),NA())</f>
        <v>#N/A</v>
      </c>
      <c r="AH515" t="e">
        <f>IFERROR(IF(INDEX(Aux_puntos!$A$2:$OJ$901,511,MATCH($B$2&amp;"|yI",Aux_puntos!$1:$1,0))="",NA(),INDEX(Aux_puntos!$A$2:$OJ$901,511,MATCH($B$2&amp;"|yI",Aux_puntos!$1:$1,0))),NA())</f>
        <v>#N/A</v>
      </c>
      <c r="AI515" t="e">
        <f>IFERROR(IF(INDEX(Aux_puntos!$A$2:$OJ$901,511,MATCH($B$2&amp;"|xN",Aux_puntos!$1:$1,0))="",NA(),INDEX(Aux_puntos!$A$2:$OJ$901,511,MATCH($B$2&amp;"|xN",Aux_puntos!$1:$1,0))),NA())</f>
        <v>#N/A</v>
      </c>
      <c r="AJ515" t="e">
        <f>IFERROR(IF(INDEX(Aux_puntos!$A$2:$OJ$901,511,MATCH($B$2&amp;"|yN",Aux_puntos!$1:$1,0))="",NA(),INDEX(Aux_puntos!$A$2:$OJ$901,511,MATCH($B$2&amp;"|yN",Aux_puntos!$1:$1,0))),NA())</f>
        <v>#N/A</v>
      </c>
    </row>
    <row r="516" spans="29:36" x14ac:dyDescent="0.3">
      <c r="AC516" t="e">
        <f>IFERROR(IF(INDEX(Aux_puntos!$A$2:$OJ$901,512,MATCH($B$2&amp;"|xK",Aux_puntos!$1:$1,0))="",NA(),INDEX(Aux_puntos!$A$2:$OJ$901,512,MATCH($B$2&amp;"|xK",Aux_puntos!$1:$1,0))),NA())</f>
        <v>#N/A</v>
      </c>
      <c r="AD516" t="e">
        <f>IFERROR(IF(INDEX(Aux_puntos!$A$2:$OJ$901,512,MATCH($B$2&amp;"|yK",Aux_puntos!$1:$1,0))="",NA(),INDEX(Aux_puntos!$A$2:$OJ$901,512,MATCH($B$2&amp;"|yK",Aux_puntos!$1:$1,0))),NA())</f>
        <v>#N/A</v>
      </c>
      <c r="AE516" t="e">
        <f>IFERROR(IF(INDEX(Aux_puntos!$A$2:$OJ$901,512,MATCH($B$2&amp;"|xC",Aux_puntos!$1:$1,0))="",NA(),INDEX(Aux_puntos!$A$2:$OJ$901,512,MATCH($B$2&amp;"|xC",Aux_puntos!$1:$1,0))),NA())</f>
        <v>#N/A</v>
      </c>
      <c r="AF516" t="e">
        <f>IFERROR(IF(INDEX(Aux_puntos!$A$2:$OJ$901,512,MATCH($B$2&amp;"|yC",Aux_puntos!$1:$1,0))="",NA(),INDEX(Aux_puntos!$A$2:$OJ$901,512,MATCH($B$2&amp;"|yC",Aux_puntos!$1:$1,0))),NA())</f>
        <v>#N/A</v>
      </c>
      <c r="AG516" t="e">
        <f>IFERROR(IF(INDEX(Aux_puntos!$A$2:$OJ$901,512,MATCH($B$2&amp;"|xI",Aux_puntos!$1:$1,0))="",NA(),INDEX(Aux_puntos!$A$2:$OJ$901,512,MATCH($B$2&amp;"|xI",Aux_puntos!$1:$1,0))),NA())</f>
        <v>#N/A</v>
      </c>
      <c r="AH516" t="e">
        <f>IFERROR(IF(INDEX(Aux_puntos!$A$2:$OJ$901,512,MATCH($B$2&amp;"|yI",Aux_puntos!$1:$1,0))="",NA(),INDEX(Aux_puntos!$A$2:$OJ$901,512,MATCH($B$2&amp;"|yI",Aux_puntos!$1:$1,0))),NA())</f>
        <v>#N/A</v>
      </c>
      <c r="AI516" t="e">
        <f>IFERROR(IF(INDEX(Aux_puntos!$A$2:$OJ$901,512,MATCH($B$2&amp;"|xN",Aux_puntos!$1:$1,0))="",NA(),INDEX(Aux_puntos!$A$2:$OJ$901,512,MATCH($B$2&amp;"|xN",Aux_puntos!$1:$1,0))),NA())</f>
        <v>#N/A</v>
      </c>
      <c r="AJ516" t="e">
        <f>IFERROR(IF(INDEX(Aux_puntos!$A$2:$OJ$901,512,MATCH($B$2&amp;"|yN",Aux_puntos!$1:$1,0))="",NA(),INDEX(Aux_puntos!$A$2:$OJ$901,512,MATCH($B$2&amp;"|yN",Aux_puntos!$1:$1,0))),NA())</f>
        <v>#N/A</v>
      </c>
    </row>
    <row r="517" spans="29:36" x14ac:dyDescent="0.3">
      <c r="AC517" t="e">
        <f>IFERROR(IF(INDEX(Aux_puntos!$A$2:$OJ$901,513,MATCH($B$2&amp;"|xK",Aux_puntos!$1:$1,0))="",NA(),INDEX(Aux_puntos!$A$2:$OJ$901,513,MATCH($B$2&amp;"|xK",Aux_puntos!$1:$1,0))),NA())</f>
        <v>#N/A</v>
      </c>
      <c r="AD517" t="e">
        <f>IFERROR(IF(INDEX(Aux_puntos!$A$2:$OJ$901,513,MATCH($B$2&amp;"|yK",Aux_puntos!$1:$1,0))="",NA(),INDEX(Aux_puntos!$A$2:$OJ$901,513,MATCH($B$2&amp;"|yK",Aux_puntos!$1:$1,0))),NA())</f>
        <v>#N/A</v>
      </c>
      <c r="AE517" t="e">
        <f>IFERROR(IF(INDEX(Aux_puntos!$A$2:$OJ$901,513,MATCH($B$2&amp;"|xC",Aux_puntos!$1:$1,0))="",NA(),INDEX(Aux_puntos!$A$2:$OJ$901,513,MATCH($B$2&amp;"|xC",Aux_puntos!$1:$1,0))),NA())</f>
        <v>#N/A</v>
      </c>
      <c r="AF517" t="e">
        <f>IFERROR(IF(INDEX(Aux_puntos!$A$2:$OJ$901,513,MATCH($B$2&amp;"|yC",Aux_puntos!$1:$1,0))="",NA(),INDEX(Aux_puntos!$A$2:$OJ$901,513,MATCH($B$2&amp;"|yC",Aux_puntos!$1:$1,0))),NA())</f>
        <v>#N/A</v>
      </c>
      <c r="AG517" t="e">
        <f>IFERROR(IF(INDEX(Aux_puntos!$A$2:$OJ$901,513,MATCH($B$2&amp;"|xI",Aux_puntos!$1:$1,0))="",NA(),INDEX(Aux_puntos!$A$2:$OJ$901,513,MATCH($B$2&amp;"|xI",Aux_puntos!$1:$1,0))),NA())</f>
        <v>#N/A</v>
      </c>
      <c r="AH517" t="e">
        <f>IFERROR(IF(INDEX(Aux_puntos!$A$2:$OJ$901,513,MATCH($B$2&amp;"|yI",Aux_puntos!$1:$1,0))="",NA(),INDEX(Aux_puntos!$A$2:$OJ$901,513,MATCH($B$2&amp;"|yI",Aux_puntos!$1:$1,0))),NA())</f>
        <v>#N/A</v>
      </c>
      <c r="AI517" t="e">
        <f>IFERROR(IF(INDEX(Aux_puntos!$A$2:$OJ$901,513,MATCH($B$2&amp;"|xN",Aux_puntos!$1:$1,0))="",NA(),INDEX(Aux_puntos!$A$2:$OJ$901,513,MATCH($B$2&amp;"|xN",Aux_puntos!$1:$1,0))),NA())</f>
        <v>#N/A</v>
      </c>
      <c r="AJ517" t="e">
        <f>IFERROR(IF(INDEX(Aux_puntos!$A$2:$OJ$901,513,MATCH($B$2&amp;"|yN",Aux_puntos!$1:$1,0))="",NA(),INDEX(Aux_puntos!$A$2:$OJ$901,513,MATCH($B$2&amp;"|yN",Aux_puntos!$1:$1,0))),NA())</f>
        <v>#N/A</v>
      </c>
    </row>
    <row r="518" spans="29:36" x14ac:dyDescent="0.3">
      <c r="AC518" t="e">
        <f>IFERROR(IF(INDEX(Aux_puntos!$A$2:$OJ$901,514,MATCH($B$2&amp;"|xK",Aux_puntos!$1:$1,0))="",NA(),INDEX(Aux_puntos!$A$2:$OJ$901,514,MATCH($B$2&amp;"|xK",Aux_puntos!$1:$1,0))),NA())</f>
        <v>#N/A</v>
      </c>
      <c r="AD518" t="e">
        <f>IFERROR(IF(INDEX(Aux_puntos!$A$2:$OJ$901,514,MATCH($B$2&amp;"|yK",Aux_puntos!$1:$1,0))="",NA(),INDEX(Aux_puntos!$A$2:$OJ$901,514,MATCH($B$2&amp;"|yK",Aux_puntos!$1:$1,0))),NA())</f>
        <v>#N/A</v>
      </c>
      <c r="AE518" t="e">
        <f>IFERROR(IF(INDEX(Aux_puntos!$A$2:$OJ$901,514,MATCH($B$2&amp;"|xC",Aux_puntos!$1:$1,0))="",NA(),INDEX(Aux_puntos!$A$2:$OJ$901,514,MATCH($B$2&amp;"|xC",Aux_puntos!$1:$1,0))),NA())</f>
        <v>#N/A</v>
      </c>
      <c r="AF518" t="e">
        <f>IFERROR(IF(INDEX(Aux_puntos!$A$2:$OJ$901,514,MATCH($B$2&amp;"|yC",Aux_puntos!$1:$1,0))="",NA(),INDEX(Aux_puntos!$A$2:$OJ$901,514,MATCH($B$2&amp;"|yC",Aux_puntos!$1:$1,0))),NA())</f>
        <v>#N/A</v>
      </c>
      <c r="AG518" t="e">
        <f>IFERROR(IF(INDEX(Aux_puntos!$A$2:$OJ$901,514,MATCH($B$2&amp;"|xI",Aux_puntos!$1:$1,0))="",NA(),INDEX(Aux_puntos!$A$2:$OJ$901,514,MATCH($B$2&amp;"|xI",Aux_puntos!$1:$1,0))),NA())</f>
        <v>#N/A</v>
      </c>
      <c r="AH518" t="e">
        <f>IFERROR(IF(INDEX(Aux_puntos!$A$2:$OJ$901,514,MATCH($B$2&amp;"|yI",Aux_puntos!$1:$1,0))="",NA(),INDEX(Aux_puntos!$A$2:$OJ$901,514,MATCH($B$2&amp;"|yI",Aux_puntos!$1:$1,0))),NA())</f>
        <v>#N/A</v>
      </c>
      <c r="AI518" t="e">
        <f>IFERROR(IF(INDEX(Aux_puntos!$A$2:$OJ$901,514,MATCH($B$2&amp;"|xN",Aux_puntos!$1:$1,0))="",NA(),INDEX(Aux_puntos!$A$2:$OJ$901,514,MATCH($B$2&amp;"|xN",Aux_puntos!$1:$1,0))),NA())</f>
        <v>#N/A</v>
      </c>
      <c r="AJ518" t="e">
        <f>IFERROR(IF(INDEX(Aux_puntos!$A$2:$OJ$901,514,MATCH($B$2&amp;"|yN",Aux_puntos!$1:$1,0))="",NA(),INDEX(Aux_puntos!$A$2:$OJ$901,514,MATCH($B$2&amp;"|yN",Aux_puntos!$1:$1,0))),NA())</f>
        <v>#N/A</v>
      </c>
    </row>
    <row r="519" spans="29:36" x14ac:dyDescent="0.3">
      <c r="AC519" t="e">
        <f>IFERROR(IF(INDEX(Aux_puntos!$A$2:$OJ$901,515,MATCH($B$2&amp;"|xK",Aux_puntos!$1:$1,0))="",NA(),INDEX(Aux_puntos!$A$2:$OJ$901,515,MATCH($B$2&amp;"|xK",Aux_puntos!$1:$1,0))),NA())</f>
        <v>#N/A</v>
      </c>
      <c r="AD519" t="e">
        <f>IFERROR(IF(INDEX(Aux_puntos!$A$2:$OJ$901,515,MATCH($B$2&amp;"|yK",Aux_puntos!$1:$1,0))="",NA(),INDEX(Aux_puntos!$A$2:$OJ$901,515,MATCH($B$2&amp;"|yK",Aux_puntos!$1:$1,0))),NA())</f>
        <v>#N/A</v>
      </c>
      <c r="AE519" t="e">
        <f>IFERROR(IF(INDEX(Aux_puntos!$A$2:$OJ$901,515,MATCH($B$2&amp;"|xC",Aux_puntos!$1:$1,0))="",NA(),INDEX(Aux_puntos!$A$2:$OJ$901,515,MATCH($B$2&amp;"|xC",Aux_puntos!$1:$1,0))),NA())</f>
        <v>#N/A</v>
      </c>
      <c r="AF519" t="e">
        <f>IFERROR(IF(INDEX(Aux_puntos!$A$2:$OJ$901,515,MATCH($B$2&amp;"|yC",Aux_puntos!$1:$1,0))="",NA(),INDEX(Aux_puntos!$A$2:$OJ$901,515,MATCH($B$2&amp;"|yC",Aux_puntos!$1:$1,0))),NA())</f>
        <v>#N/A</v>
      </c>
      <c r="AG519" t="e">
        <f>IFERROR(IF(INDEX(Aux_puntos!$A$2:$OJ$901,515,MATCH($B$2&amp;"|xI",Aux_puntos!$1:$1,0))="",NA(),INDEX(Aux_puntos!$A$2:$OJ$901,515,MATCH($B$2&amp;"|xI",Aux_puntos!$1:$1,0))),NA())</f>
        <v>#N/A</v>
      </c>
      <c r="AH519" t="e">
        <f>IFERROR(IF(INDEX(Aux_puntos!$A$2:$OJ$901,515,MATCH($B$2&amp;"|yI",Aux_puntos!$1:$1,0))="",NA(),INDEX(Aux_puntos!$A$2:$OJ$901,515,MATCH($B$2&amp;"|yI",Aux_puntos!$1:$1,0))),NA())</f>
        <v>#N/A</v>
      </c>
      <c r="AI519" t="e">
        <f>IFERROR(IF(INDEX(Aux_puntos!$A$2:$OJ$901,515,MATCH($B$2&amp;"|xN",Aux_puntos!$1:$1,0))="",NA(),INDEX(Aux_puntos!$A$2:$OJ$901,515,MATCH($B$2&amp;"|xN",Aux_puntos!$1:$1,0))),NA())</f>
        <v>#N/A</v>
      </c>
      <c r="AJ519" t="e">
        <f>IFERROR(IF(INDEX(Aux_puntos!$A$2:$OJ$901,515,MATCH($B$2&amp;"|yN",Aux_puntos!$1:$1,0))="",NA(),INDEX(Aux_puntos!$A$2:$OJ$901,515,MATCH($B$2&amp;"|yN",Aux_puntos!$1:$1,0))),NA())</f>
        <v>#N/A</v>
      </c>
    </row>
    <row r="520" spans="29:36" x14ac:dyDescent="0.3">
      <c r="AC520" t="e">
        <f>IFERROR(IF(INDEX(Aux_puntos!$A$2:$OJ$901,516,MATCH($B$2&amp;"|xK",Aux_puntos!$1:$1,0))="",NA(),INDEX(Aux_puntos!$A$2:$OJ$901,516,MATCH($B$2&amp;"|xK",Aux_puntos!$1:$1,0))),NA())</f>
        <v>#N/A</v>
      </c>
      <c r="AD520" t="e">
        <f>IFERROR(IF(INDEX(Aux_puntos!$A$2:$OJ$901,516,MATCH($B$2&amp;"|yK",Aux_puntos!$1:$1,0))="",NA(),INDEX(Aux_puntos!$A$2:$OJ$901,516,MATCH($B$2&amp;"|yK",Aux_puntos!$1:$1,0))),NA())</f>
        <v>#N/A</v>
      </c>
      <c r="AE520" t="e">
        <f>IFERROR(IF(INDEX(Aux_puntos!$A$2:$OJ$901,516,MATCH($B$2&amp;"|xC",Aux_puntos!$1:$1,0))="",NA(),INDEX(Aux_puntos!$A$2:$OJ$901,516,MATCH($B$2&amp;"|xC",Aux_puntos!$1:$1,0))),NA())</f>
        <v>#N/A</v>
      </c>
      <c r="AF520" t="e">
        <f>IFERROR(IF(INDEX(Aux_puntos!$A$2:$OJ$901,516,MATCH($B$2&amp;"|yC",Aux_puntos!$1:$1,0))="",NA(),INDEX(Aux_puntos!$A$2:$OJ$901,516,MATCH($B$2&amp;"|yC",Aux_puntos!$1:$1,0))),NA())</f>
        <v>#N/A</v>
      </c>
      <c r="AG520" t="e">
        <f>IFERROR(IF(INDEX(Aux_puntos!$A$2:$OJ$901,516,MATCH($B$2&amp;"|xI",Aux_puntos!$1:$1,0))="",NA(),INDEX(Aux_puntos!$A$2:$OJ$901,516,MATCH($B$2&amp;"|xI",Aux_puntos!$1:$1,0))),NA())</f>
        <v>#N/A</v>
      </c>
      <c r="AH520" t="e">
        <f>IFERROR(IF(INDEX(Aux_puntos!$A$2:$OJ$901,516,MATCH($B$2&amp;"|yI",Aux_puntos!$1:$1,0))="",NA(),INDEX(Aux_puntos!$A$2:$OJ$901,516,MATCH($B$2&amp;"|yI",Aux_puntos!$1:$1,0))),NA())</f>
        <v>#N/A</v>
      </c>
      <c r="AI520" t="e">
        <f>IFERROR(IF(INDEX(Aux_puntos!$A$2:$OJ$901,516,MATCH($B$2&amp;"|xN",Aux_puntos!$1:$1,0))="",NA(),INDEX(Aux_puntos!$A$2:$OJ$901,516,MATCH($B$2&amp;"|xN",Aux_puntos!$1:$1,0))),NA())</f>
        <v>#N/A</v>
      </c>
      <c r="AJ520" t="e">
        <f>IFERROR(IF(INDEX(Aux_puntos!$A$2:$OJ$901,516,MATCH($B$2&amp;"|yN",Aux_puntos!$1:$1,0))="",NA(),INDEX(Aux_puntos!$A$2:$OJ$901,516,MATCH($B$2&amp;"|yN",Aux_puntos!$1:$1,0))),NA())</f>
        <v>#N/A</v>
      </c>
    </row>
    <row r="521" spans="29:36" x14ac:dyDescent="0.3">
      <c r="AC521" t="e">
        <f>IFERROR(IF(INDEX(Aux_puntos!$A$2:$OJ$901,517,MATCH($B$2&amp;"|xK",Aux_puntos!$1:$1,0))="",NA(),INDEX(Aux_puntos!$A$2:$OJ$901,517,MATCH($B$2&amp;"|xK",Aux_puntos!$1:$1,0))),NA())</f>
        <v>#N/A</v>
      </c>
      <c r="AD521" t="e">
        <f>IFERROR(IF(INDEX(Aux_puntos!$A$2:$OJ$901,517,MATCH($B$2&amp;"|yK",Aux_puntos!$1:$1,0))="",NA(),INDEX(Aux_puntos!$A$2:$OJ$901,517,MATCH($B$2&amp;"|yK",Aux_puntos!$1:$1,0))),NA())</f>
        <v>#N/A</v>
      </c>
      <c r="AE521" t="e">
        <f>IFERROR(IF(INDEX(Aux_puntos!$A$2:$OJ$901,517,MATCH($B$2&amp;"|xC",Aux_puntos!$1:$1,0))="",NA(),INDEX(Aux_puntos!$A$2:$OJ$901,517,MATCH($B$2&amp;"|xC",Aux_puntos!$1:$1,0))),NA())</f>
        <v>#N/A</v>
      </c>
      <c r="AF521" t="e">
        <f>IFERROR(IF(INDEX(Aux_puntos!$A$2:$OJ$901,517,MATCH($B$2&amp;"|yC",Aux_puntos!$1:$1,0))="",NA(),INDEX(Aux_puntos!$A$2:$OJ$901,517,MATCH($B$2&amp;"|yC",Aux_puntos!$1:$1,0))),NA())</f>
        <v>#N/A</v>
      </c>
      <c r="AG521" t="e">
        <f>IFERROR(IF(INDEX(Aux_puntos!$A$2:$OJ$901,517,MATCH($B$2&amp;"|xI",Aux_puntos!$1:$1,0))="",NA(),INDEX(Aux_puntos!$A$2:$OJ$901,517,MATCH($B$2&amp;"|xI",Aux_puntos!$1:$1,0))),NA())</f>
        <v>#N/A</v>
      </c>
      <c r="AH521" t="e">
        <f>IFERROR(IF(INDEX(Aux_puntos!$A$2:$OJ$901,517,MATCH($B$2&amp;"|yI",Aux_puntos!$1:$1,0))="",NA(),INDEX(Aux_puntos!$A$2:$OJ$901,517,MATCH($B$2&amp;"|yI",Aux_puntos!$1:$1,0))),NA())</f>
        <v>#N/A</v>
      </c>
      <c r="AI521" t="e">
        <f>IFERROR(IF(INDEX(Aux_puntos!$A$2:$OJ$901,517,MATCH($B$2&amp;"|xN",Aux_puntos!$1:$1,0))="",NA(),INDEX(Aux_puntos!$A$2:$OJ$901,517,MATCH($B$2&amp;"|xN",Aux_puntos!$1:$1,0))),NA())</f>
        <v>#N/A</v>
      </c>
      <c r="AJ521" t="e">
        <f>IFERROR(IF(INDEX(Aux_puntos!$A$2:$OJ$901,517,MATCH($B$2&amp;"|yN",Aux_puntos!$1:$1,0))="",NA(),INDEX(Aux_puntos!$A$2:$OJ$901,517,MATCH($B$2&amp;"|yN",Aux_puntos!$1:$1,0))),NA())</f>
        <v>#N/A</v>
      </c>
    </row>
    <row r="522" spans="29:36" x14ac:dyDescent="0.3">
      <c r="AC522" t="e">
        <f>IFERROR(IF(INDEX(Aux_puntos!$A$2:$OJ$901,518,MATCH($B$2&amp;"|xK",Aux_puntos!$1:$1,0))="",NA(),INDEX(Aux_puntos!$A$2:$OJ$901,518,MATCH($B$2&amp;"|xK",Aux_puntos!$1:$1,0))),NA())</f>
        <v>#N/A</v>
      </c>
      <c r="AD522" t="e">
        <f>IFERROR(IF(INDEX(Aux_puntos!$A$2:$OJ$901,518,MATCH($B$2&amp;"|yK",Aux_puntos!$1:$1,0))="",NA(),INDEX(Aux_puntos!$A$2:$OJ$901,518,MATCH($B$2&amp;"|yK",Aux_puntos!$1:$1,0))),NA())</f>
        <v>#N/A</v>
      </c>
      <c r="AE522" t="e">
        <f>IFERROR(IF(INDEX(Aux_puntos!$A$2:$OJ$901,518,MATCH($B$2&amp;"|xC",Aux_puntos!$1:$1,0))="",NA(),INDEX(Aux_puntos!$A$2:$OJ$901,518,MATCH($B$2&amp;"|xC",Aux_puntos!$1:$1,0))),NA())</f>
        <v>#N/A</v>
      </c>
      <c r="AF522" t="e">
        <f>IFERROR(IF(INDEX(Aux_puntos!$A$2:$OJ$901,518,MATCH($B$2&amp;"|yC",Aux_puntos!$1:$1,0))="",NA(),INDEX(Aux_puntos!$A$2:$OJ$901,518,MATCH($B$2&amp;"|yC",Aux_puntos!$1:$1,0))),NA())</f>
        <v>#N/A</v>
      </c>
      <c r="AG522" t="e">
        <f>IFERROR(IF(INDEX(Aux_puntos!$A$2:$OJ$901,518,MATCH($B$2&amp;"|xI",Aux_puntos!$1:$1,0))="",NA(),INDEX(Aux_puntos!$A$2:$OJ$901,518,MATCH($B$2&amp;"|xI",Aux_puntos!$1:$1,0))),NA())</f>
        <v>#N/A</v>
      </c>
      <c r="AH522" t="e">
        <f>IFERROR(IF(INDEX(Aux_puntos!$A$2:$OJ$901,518,MATCH($B$2&amp;"|yI",Aux_puntos!$1:$1,0))="",NA(),INDEX(Aux_puntos!$A$2:$OJ$901,518,MATCH($B$2&amp;"|yI",Aux_puntos!$1:$1,0))),NA())</f>
        <v>#N/A</v>
      </c>
      <c r="AI522" t="e">
        <f>IFERROR(IF(INDEX(Aux_puntos!$A$2:$OJ$901,518,MATCH($B$2&amp;"|xN",Aux_puntos!$1:$1,0))="",NA(),INDEX(Aux_puntos!$A$2:$OJ$901,518,MATCH($B$2&amp;"|xN",Aux_puntos!$1:$1,0))),NA())</f>
        <v>#N/A</v>
      </c>
      <c r="AJ522" t="e">
        <f>IFERROR(IF(INDEX(Aux_puntos!$A$2:$OJ$901,518,MATCH($B$2&amp;"|yN",Aux_puntos!$1:$1,0))="",NA(),INDEX(Aux_puntos!$A$2:$OJ$901,518,MATCH($B$2&amp;"|yN",Aux_puntos!$1:$1,0))),NA())</f>
        <v>#N/A</v>
      </c>
    </row>
    <row r="523" spans="29:36" x14ac:dyDescent="0.3">
      <c r="AC523" t="e">
        <f>IFERROR(IF(INDEX(Aux_puntos!$A$2:$OJ$901,519,MATCH($B$2&amp;"|xK",Aux_puntos!$1:$1,0))="",NA(),INDEX(Aux_puntos!$A$2:$OJ$901,519,MATCH($B$2&amp;"|xK",Aux_puntos!$1:$1,0))),NA())</f>
        <v>#N/A</v>
      </c>
      <c r="AD523" t="e">
        <f>IFERROR(IF(INDEX(Aux_puntos!$A$2:$OJ$901,519,MATCH($B$2&amp;"|yK",Aux_puntos!$1:$1,0))="",NA(),INDEX(Aux_puntos!$A$2:$OJ$901,519,MATCH($B$2&amp;"|yK",Aux_puntos!$1:$1,0))),NA())</f>
        <v>#N/A</v>
      </c>
      <c r="AE523" t="e">
        <f>IFERROR(IF(INDEX(Aux_puntos!$A$2:$OJ$901,519,MATCH($B$2&amp;"|xC",Aux_puntos!$1:$1,0))="",NA(),INDEX(Aux_puntos!$A$2:$OJ$901,519,MATCH($B$2&amp;"|xC",Aux_puntos!$1:$1,0))),NA())</f>
        <v>#N/A</v>
      </c>
      <c r="AF523" t="e">
        <f>IFERROR(IF(INDEX(Aux_puntos!$A$2:$OJ$901,519,MATCH($B$2&amp;"|yC",Aux_puntos!$1:$1,0))="",NA(),INDEX(Aux_puntos!$A$2:$OJ$901,519,MATCH($B$2&amp;"|yC",Aux_puntos!$1:$1,0))),NA())</f>
        <v>#N/A</v>
      </c>
      <c r="AG523" t="e">
        <f>IFERROR(IF(INDEX(Aux_puntos!$A$2:$OJ$901,519,MATCH($B$2&amp;"|xI",Aux_puntos!$1:$1,0))="",NA(),INDEX(Aux_puntos!$A$2:$OJ$901,519,MATCH($B$2&amp;"|xI",Aux_puntos!$1:$1,0))),NA())</f>
        <v>#N/A</v>
      </c>
      <c r="AH523" t="e">
        <f>IFERROR(IF(INDEX(Aux_puntos!$A$2:$OJ$901,519,MATCH($B$2&amp;"|yI",Aux_puntos!$1:$1,0))="",NA(),INDEX(Aux_puntos!$A$2:$OJ$901,519,MATCH($B$2&amp;"|yI",Aux_puntos!$1:$1,0))),NA())</f>
        <v>#N/A</v>
      </c>
      <c r="AI523" t="e">
        <f>IFERROR(IF(INDEX(Aux_puntos!$A$2:$OJ$901,519,MATCH($B$2&amp;"|xN",Aux_puntos!$1:$1,0))="",NA(),INDEX(Aux_puntos!$A$2:$OJ$901,519,MATCH($B$2&amp;"|xN",Aux_puntos!$1:$1,0))),NA())</f>
        <v>#N/A</v>
      </c>
      <c r="AJ523" t="e">
        <f>IFERROR(IF(INDEX(Aux_puntos!$A$2:$OJ$901,519,MATCH($B$2&amp;"|yN",Aux_puntos!$1:$1,0))="",NA(),INDEX(Aux_puntos!$A$2:$OJ$901,519,MATCH($B$2&amp;"|yN",Aux_puntos!$1:$1,0))),NA())</f>
        <v>#N/A</v>
      </c>
    </row>
    <row r="524" spans="29:36" x14ac:dyDescent="0.3">
      <c r="AC524" t="e">
        <f>IFERROR(IF(INDEX(Aux_puntos!$A$2:$OJ$901,520,MATCH($B$2&amp;"|xK",Aux_puntos!$1:$1,0))="",NA(),INDEX(Aux_puntos!$A$2:$OJ$901,520,MATCH($B$2&amp;"|xK",Aux_puntos!$1:$1,0))),NA())</f>
        <v>#N/A</v>
      </c>
      <c r="AD524" t="e">
        <f>IFERROR(IF(INDEX(Aux_puntos!$A$2:$OJ$901,520,MATCH($B$2&amp;"|yK",Aux_puntos!$1:$1,0))="",NA(),INDEX(Aux_puntos!$A$2:$OJ$901,520,MATCH($B$2&amp;"|yK",Aux_puntos!$1:$1,0))),NA())</f>
        <v>#N/A</v>
      </c>
      <c r="AE524" t="e">
        <f>IFERROR(IF(INDEX(Aux_puntos!$A$2:$OJ$901,520,MATCH($B$2&amp;"|xC",Aux_puntos!$1:$1,0))="",NA(),INDEX(Aux_puntos!$A$2:$OJ$901,520,MATCH($B$2&amp;"|xC",Aux_puntos!$1:$1,0))),NA())</f>
        <v>#N/A</v>
      </c>
      <c r="AF524" t="e">
        <f>IFERROR(IF(INDEX(Aux_puntos!$A$2:$OJ$901,520,MATCH($B$2&amp;"|yC",Aux_puntos!$1:$1,0))="",NA(),INDEX(Aux_puntos!$A$2:$OJ$901,520,MATCH($B$2&amp;"|yC",Aux_puntos!$1:$1,0))),NA())</f>
        <v>#N/A</v>
      </c>
      <c r="AG524" t="e">
        <f>IFERROR(IF(INDEX(Aux_puntos!$A$2:$OJ$901,520,MATCH($B$2&amp;"|xI",Aux_puntos!$1:$1,0))="",NA(),INDEX(Aux_puntos!$A$2:$OJ$901,520,MATCH($B$2&amp;"|xI",Aux_puntos!$1:$1,0))),NA())</f>
        <v>#N/A</v>
      </c>
      <c r="AH524" t="e">
        <f>IFERROR(IF(INDEX(Aux_puntos!$A$2:$OJ$901,520,MATCH($B$2&amp;"|yI",Aux_puntos!$1:$1,0))="",NA(),INDEX(Aux_puntos!$A$2:$OJ$901,520,MATCH($B$2&amp;"|yI",Aux_puntos!$1:$1,0))),NA())</f>
        <v>#N/A</v>
      </c>
      <c r="AI524" t="e">
        <f>IFERROR(IF(INDEX(Aux_puntos!$A$2:$OJ$901,520,MATCH($B$2&amp;"|xN",Aux_puntos!$1:$1,0))="",NA(),INDEX(Aux_puntos!$A$2:$OJ$901,520,MATCH($B$2&amp;"|xN",Aux_puntos!$1:$1,0))),NA())</f>
        <v>#N/A</v>
      </c>
      <c r="AJ524" t="e">
        <f>IFERROR(IF(INDEX(Aux_puntos!$A$2:$OJ$901,520,MATCH($B$2&amp;"|yN",Aux_puntos!$1:$1,0))="",NA(),INDEX(Aux_puntos!$A$2:$OJ$901,520,MATCH($B$2&amp;"|yN",Aux_puntos!$1:$1,0))),NA())</f>
        <v>#N/A</v>
      </c>
    </row>
    <row r="525" spans="29:36" x14ac:dyDescent="0.3">
      <c r="AC525" t="e">
        <f>IFERROR(IF(INDEX(Aux_puntos!$A$2:$OJ$901,521,MATCH($B$2&amp;"|xK",Aux_puntos!$1:$1,0))="",NA(),INDEX(Aux_puntos!$A$2:$OJ$901,521,MATCH($B$2&amp;"|xK",Aux_puntos!$1:$1,0))),NA())</f>
        <v>#N/A</v>
      </c>
      <c r="AD525" t="e">
        <f>IFERROR(IF(INDEX(Aux_puntos!$A$2:$OJ$901,521,MATCH($B$2&amp;"|yK",Aux_puntos!$1:$1,0))="",NA(),INDEX(Aux_puntos!$A$2:$OJ$901,521,MATCH($B$2&amp;"|yK",Aux_puntos!$1:$1,0))),NA())</f>
        <v>#N/A</v>
      </c>
      <c r="AE525" t="e">
        <f>IFERROR(IF(INDEX(Aux_puntos!$A$2:$OJ$901,521,MATCH($B$2&amp;"|xC",Aux_puntos!$1:$1,0))="",NA(),INDEX(Aux_puntos!$A$2:$OJ$901,521,MATCH($B$2&amp;"|xC",Aux_puntos!$1:$1,0))),NA())</f>
        <v>#N/A</v>
      </c>
      <c r="AF525" t="e">
        <f>IFERROR(IF(INDEX(Aux_puntos!$A$2:$OJ$901,521,MATCH($B$2&amp;"|yC",Aux_puntos!$1:$1,0))="",NA(),INDEX(Aux_puntos!$A$2:$OJ$901,521,MATCH($B$2&amp;"|yC",Aux_puntos!$1:$1,0))),NA())</f>
        <v>#N/A</v>
      </c>
      <c r="AG525" t="e">
        <f>IFERROR(IF(INDEX(Aux_puntos!$A$2:$OJ$901,521,MATCH($B$2&amp;"|xI",Aux_puntos!$1:$1,0))="",NA(),INDEX(Aux_puntos!$A$2:$OJ$901,521,MATCH($B$2&amp;"|xI",Aux_puntos!$1:$1,0))),NA())</f>
        <v>#N/A</v>
      </c>
      <c r="AH525" t="e">
        <f>IFERROR(IF(INDEX(Aux_puntos!$A$2:$OJ$901,521,MATCH($B$2&amp;"|yI",Aux_puntos!$1:$1,0))="",NA(),INDEX(Aux_puntos!$A$2:$OJ$901,521,MATCH($B$2&amp;"|yI",Aux_puntos!$1:$1,0))),NA())</f>
        <v>#N/A</v>
      </c>
      <c r="AI525" t="e">
        <f>IFERROR(IF(INDEX(Aux_puntos!$A$2:$OJ$901,521,MATCH($B$2&amp;"|xN",Aux_puntos!$1:$1,0))="",NA(),INDEX(Aux_puntos!$A$2:$OJ$901,521,MATCH($B$2&amp;"|xN",Aux_puntos!$1:$1,0))),NA())</f>
        <v>#N/A</v>
      </c>
      <c r="AJ525" t="e">
        <f>IFERROR(IF(INDEX(Aux_puntos!$A$2:$OJ$901,521,MATCH($B$2&amp;"|yN",Aux_puntos!$1:$1,0))="",NA(),INDEX(Aux_puntos!$A$2:$OJ$901,521,MATCH($B$2&amp;"|yN",Aux_puntos!$1:$1,0))),NA())</f>
        <v>#N/A</v>
      </c>
    </row>
    <row r="526" spans="29:36" x14ac:dyDescent="0.3">
      <c r="AC526" t="e">
        <f>IFERROR(IF(INDEX(Aux_puntos!$A$2:$OJ$901,522,MATCH($B$2&amp;"|xK",Aux_puntos!$1:$1,0))="",NA(),INDEX(Aux_puntos!$A$2:$OJ$901,522,MATCH($B$2&amp;"|xK",Aux_puntos!$1:$1,0))),NA())</f>
        <v>#N/A</v>
      </c>
      <c r="AD526" t="e">
        <f>IFERROR(IF(INDEX(Aux_puntos!$A$2:$OJ$901,522,MATCH($B$2&amp;"|yK",Aux_puntos!$1:$1,0))="",NA(),INDEX(Aux_puntos!$A$2:$OJ$901,522,MATCH($B$2&amp;"|yK",Aux_puntos!$1:$1,0))),NA())</f>
        <v>#N/A</v>
      </c>
      <c r="AE526" t="e">
        <f>IFERROR(IF(INDEX(Aux_puntos!$A$2:$OJ$901,522,MATCH($B$2&amp;"|xC",Aux_puntos!$1:$1,0))="",NA(),INDEX(Aux_puntos!$A$2:$OJ$901,522,MATCH($B$2&amp;"|xC",Aux_puntos!$1:$1,0))),NA())</f>
        <v>#N/A</v>
      </c>
      <c r="AF526" t="e">
        <f>IFERROR(IF(INDEX(Aux_puntos!$A$2:$OJ$901,522,MATCH($B$2&amp;"|yC",Aux_puntos!$1:$1,0))="",NA(),INDEX(Aux_puntos!$A$2:$OJ$901,522,MATCH($B$2&amp;"|yC",Aux_puntos!$1:$1,0))),NA())</f>
        <v>#N/A</v>
      </c>
      <c r="AG526" t="e">
        <f>IFERROR(IF(INDEX(Aux_puntos!$A$2:$OJ$901,522,MATCH($B$2&amp;"|xI",Aux_puntos!$1:$1,0))="",NA(),INDEX(Aux_puntos!$A$2:$OJ$901,522,MATCH($B$2&amp;"|xI",Aux_puntos!$1:$1,0))),NA())</f>
        <v>#N/A</v>
      </c>
      <c r="AH526" t="e">
        <f>IFERROR(IF(INDEX(Aux_puntos!$A$2:$OJ$901,522,MATCH($B$2&amp;"|yI",Aux_puntos!$1:$1,0))="",NA(),INDEX(Aux_puntos!$A$2:$OJ$901,522,MATCH($B$2&amp;"|yI",Aux_puntos!$1:$1,0))),NA())</f>
        <v>#N/A</v>
      </c>
      <c r="AI526" t="e">
        <f>IFERROR(IF(INDEX(Aux_puntos!$A$2:$OJ$901,522,MATCH($B$2&amp;"|xN",Aux_puntos!$1:$1,0))="",NA(),INDEX(Aux_puntos!$A$2:$OJ$901,522,MATCH($B$2&amp;"|xN",Aux_puntos!$1:$1,0))),NA())</f>
        <v>#N/A</v>
      </c>
      <c r="AJ526" t="e">
        <f>IFERROR(IF(INDEX(Aux_puntos!$A$2:$OJ$901,522,MATCH($B$2&amp;"|yN",Aux_puntos!$1:$1,0))="",NA(),INDEX(Aux_puntos!$A$2:$OJ$901,522,MATCH($B$2&amp;"|yN",Aux_puntos!$1:$1,0))),NA())</f>
        <v>#N/A</v>
      </c>
    </row>
    <row r="527" spans="29:36" x14ac:dyDescent="0.3">
      <c r="AC527" t="e">
        <f>IFERROR(IF(INDEX(Aux_puntos!$A$2:$OJ$901,523,MATCH($B$2&amp;"|xK",Aux_puntos!$1:$1,0))="",NA(),INDEX(Aux_puntos!$A$2:$OJ$901,523,MATCH($B$2&amp;"|xK",Aux_puntos!$1:$1,0))),NA())</f>
        <v>#N/A</v>
      </c>
      <c r="AD527" t="e">
        <f>IFERROR(IF(INDEX(Aux_puntos!$A$2:$OJ$901,523,MATCH($B$2&amp;"|yK",Aux_puntos!$1:$1,0))="",NA(),INDEX(Aux_puntos!$A$2:$OJ$901,523,MATCH($B$2&amp;"|yK",Aux_puntos!$1:$1,0))),NA())</f>
        <v>#N/A</v>
      </c>
      <c r="AE527" t="e">
        <f>IFERROR(IF(INDEX(Aux_puntos!$A$2:$OJ$901,523,MATCH($B$2&amp;"|xC",Aux_puntos!$1:$1,0))="",NA(),INDEX(Aux_puntos!$A$2:$OJ$901,523,MATCH($B$2&amp;"|xC",Aux_puntos!$1:$1,0))),NA())</f>
        <v>#N/A</v>
      </c>
      <c r="AF527" t="e">
        <f>IFERROR(IF(INDEX(Aux_puntos!$A$2:$OJ$901,523,MATCH($B$2&amp;"|yC",Aux_puntos!$1:$1,0))="",NA(),INDEX(Aux_puntos!$A$2:$OJ$901,523,MATCH($B$2&amp;"|yC",Aux_puntos!$1:$1,0))),NA())</f>
        <v>#N/A</v>
      </c>
      <c r="AG527" t="e">
        <f>IFERROR(IF(INDEX(Aux_puntos!$A$2:$OJ$901,523,MATCH($B$2&amp;"|xI",Aux_puntos!$1:$1,0))="",NA(),INDEX(Aux_puntos!$A$2:$OJ$901,523,MATCH($B$2&amp;"|xI",Aux_puntos!$1:$1,0))),NA())</f>
        <v>#N/A</v>
      </c>
      <c r="AH527" t="e">
        <f>IFERROR(IF(INDEX(Aux_puntos!$A$2:$OJ$901,523,MATCH($B$2&amp;"|yI",Aux_puntos!$1:$1,0))="",NA(),INDEX(Aux_puntos!$A$2:$OJ$901,523,MATCH($B$2&amp;"|yI",Aux_puntos!$1:$1,0))),NA())</f>
        <v>#N/A</v>
      </c>
      <c r="AI527" t="e">
        <f>IFERROR(IF(INDEX(Aux_puntos!$A$2:$OJ$901,523,MATCH($B$2&amp;"|xN",Aux_puntos!$1:$1,0))="",NA(),INDEX(Aux_puntos!$A$2:$OJ$901,523,MATCH($B$2&amp;"|xN",Aux_puntos!$1:$1,0))),NA())</f>
        <v>#N/A</v>
      </c>
      <c r="AJ527" t="e">
        <f>IFERROR(IF(INDEX(Aux_puntos!$A$2:$OJ$901,523,MATCH($B$2&amp;"|yN",Aux_puntos!$1:$1,0))="",NA(),INDEX(Aux_puntos!$A$2:$OJ$901,523,MATCH($B$2&amp;"|yN",Aux_puntos!$1:$1,0))),NA())</f>
        <v>#N/A</v>
      </c>
    </row>
    <row r="528" spans="29:36" x14ac:dyDescent="0.3">
      <c r="AC528" t="e">
        <f>IFERROR(IF(INDEX(Aux_puntos!$A$2:$OJ$901,524,MATCH($B$2&amp;"|xK",Aux_puntos!$1:$1,0))="",NA(),INDEX(Aux_puntos!$A$2:$OJ$901,524,MATCH($B$2&amp;"|xK",Aux_puntos!$1:$1,0))),NA())</f>
        <v>#N/A</v>
      </c>
      <c r="AD528" t="e">
        <f>IFERROR(IF(INDEX(Aux_puntos!$A$2:$OJ$901,524,MATCH($B$2&amp;"|yK",Aux_puntos!$1:$1,0))="",NA(),INDEX(Aux_puntos!$A$2:$OJ$901,524,MATCH($B$2&amp;"|yK",Aux_puntos!$1:$1,0))),NA())</f>
        <v>#N/A</v>
      </c>
      <c r="AE528" t="e">
        <f>IFERROR(IF(INDEX(Aux_puntos!$A$2:$OJ$901,524,MATCH($B$2&amp;"|xC",Aux_puntos!$1:$1,0))="",NA(),INDEX(Aux_puntos!$A$2:$OJ$901,524,MATCH($B$2&amp;"|xC",Aux_puntos!$1:$1,0))),NA())</f>
        <v>#N/A</v>
      </c>
      <c r="AF528" t="e">
        <f>IFERROR(IF(INDEX(Aux_puntos!$A$2:$OJ$901,524,MATCH($B$2&amp;"|yC",Aux_puntos!$1:$1,0))="",NA(),INDEX(Aux_puntos!$A$2:$OJ$901,524,MATCH($B$2&amp;"|yC",Aux_puntos!$1:$1,0))),NA())</f>
        <v>#N/A</v>
      </c>
      <c r="AG528" t="e">
        <f>IFERROR(IF(INDEX(Aux_puntos!$A$2:$OJ$901,524,MATCH($B$2&amp;"|xI",Aux_puntos!$1:$1,0))="",NA(),INDEX(Aux_puntos!$A$2:$OJ$901,524,MATCH($B$2&amp;"|xI",Aux_puntos!$1:$1,0))),NA())</f>
        <v>#N/A</v>
      </c>
      <c r="AH528" t="e">
        <f>IFERROR(IF(INDEX(Aux_puntos!$A$2:$OJ$901,524,MATCH($B$2&amp;"|yI",Aux_puntos!$1:$1,0))="",NA(),INDEX(Aux_puntos!$A$2:$OJ$901,524,MATCH($B$2&amp;"|yI",Aux_puntos!$1:$1,0))),NA())</f>
        <v>#N/A</v>
      </c>
      <c r="AI528" t="e">
        <f>IFERROR(IF(INDEX(Aux_puntos!$A$2:$OJ$901,524,MATCH($B$2&amp;"|xN",Aux_puntos!$1:$1,0))="",NA(),INDEX(Aux_puntos!$A$2:$OJ$901,524,MATCH($B$2&amp;"|xN",Aux_puntos!$1:$1,0))),NA())</f>
        <v>#N/A</v>
      </c>
      <c r="AJ528" t="e">
        <f>IFERROR(IF(INDEX(Aux_puntos!$A$2:$OJ$901,524,MATCH($B$2&amp;"|yN",Aux_puntos!$1:$1,0))="",NA(),INDEX(Aux_puntos!$A$2:$OJ$901,524,MATCH($B$2&amp;"|yN",Aux_puntos!$1:$1,0))),NA())</f>
        <v>#N/A</v>
      </c>
    </row>
    <row r="529" spans="29:36" x14ac:dyDescent="0.3">
      <c r="AC529" t="e">
        <f>IFERROR(IF(INDEX(Aux_puntos!$A$2:$OJ$901,525,MATCH($B$2&amp;"|xK",Aux_puntos!$1:$1,0))="",NA(),INDEX(Aux_puntos!$A$2:$OJ$901,525,MATCH($B$2&amp;"|xK",Aux_puntos!$1:$1,0))),NA())</f>
        <v>#N/A</v>
      </c>
      <c r="AD529" t="e">
        <f>IFERROR(IF(INDEX(Aux_puntos!$A$2:$OJ$901,525,MATCH($B$2&amp;"|yK",Aux_puntos!$1:$1,0))="",NA(),INDEX(Aux_puntos!$A$2:$OJ$901,525,MATCH($B$2&amp;"|yK",Aux_puntos!$1:$1,0))),NA())</f>
        <v>#N/A</v>
      </c>
      <c r="AE529" t="e">
        <f>IFERROR(IF(INDEX(Aux_puntos!$A$2:$OJ$901,525,MATCH($B$2&amp;"|xC",Aux_puntos!$1:$1,0))="",NA(),INDEX(Aux_puntos!$A$2:$OJ$901,525,MATCH($B$2&amp;"|xC",Aux_puntos!$1:$1,0))),NA())</f>
        <v>#N/A</v>
      </c>
      <c r="AF529" t="e">
        <f>IFERROR(IF(INDEX(Aux_puntos!$A$2:$OJ$901,525,MATCH($B$2&amp;"|yC",Aux_puntos!$1:$1,0))="",NA(),INDEX(Aux_puntos!$A$2:$OJ$901,525,MATCH($B$2&amp;"|yC",Aux_puntos!$1:$1,0))),NA())</f>
        <v>#N/A</v>
      </c>
      <c r="AG529" t="e">
        <f>IFERROR(IF(INDEX(Aux_puntos!$A$2:$OJ$901,525,MATCH($B$2&amp;"|xI",Aux_puntos!$1:$1,0))="",NA(),INDEX(Aux_puntos!$A$2:$OJ$901,525,MATCH($B$2&amp;"|xI",Aux_puntos!$1:$1,0))),NA())</f>
        <v>#N/A</v>
      </c>
      <c r="AH529" t="e">
        <f>IFERROR(IF(INDEX(Aux_puntos!$A$2:$OJ$901,525,MATCH($B$2&amp;"|yI",Aux_puntos!$1:$1,0))="",NA(),INDEX(Aux_puntos!$A$2:$OJ$901,525,MATCH($B$2&amp;"|yI",Aux_puntos!$1:$1,0))),NA())</f>
        <v>#N/A</v>
      </c>
      <c r="AI529" t="e">
        <f>IFERROR(IF(INDEX(Aux_puntos!$A$2:$OJ$901,525,MATCH($B$2&amp;"|xN",Aux_puntos!$1:$1,0))="",NA(),INDEX(Aux_puntos!$A$2:$OJ$901,525,MATCH($B$2&amp;"|xN",Aux_puntos!$1:$1,0))),NA())</f>
        <v>#N/A</v>
      </c>
      <c r="AJ529" t="e">
        <f>IFERROR(IF(INDEX(Aux_puntos!$A$2:$OJ$901,525,MATCH($B$2&amp;"|yN",Aux_puntos!$1:$1,0))="",NA(),INDEX(Aux_puntos!$A$2:$OJ$901,525,MATCH($B$2&amp;"|yN",Aux_puntos!$1:$1,0))),NA())</f>
        <v>#N/A</v>
      </c>
    </row>
    <row r="530" spans="29:36" x14ac:dyDescent="0.3">
      <c r="AC530" t="e">
        <f>IFERROR(IF(INDEX(Aux_puntos!$A$2:$OJ$901,526,MATCH($B$2&amp;"|xK",Aux_puntos!$1:$1,0))="",NA(),INDEX(Aux_puntos!$A$2:$OJ$901,526,MATCH($B$2&amp;"|xK",Aux_puntos!$1:$1,0))),NA())</f>
        <v>#N/A</v>
      </c>
      <c r="AD530" t="e">
        <f>IFERROR(IF(INDEX(Aux_puntos!$A$2:$OJ$901,526,MATCH($B$2&amp;"|yK",Aux_puntos!$1:$1,0))="",NA(),INDEX(Aux_puntos!$A$2:$OJ$901,526,MATCH($B$2&amp;"|yK",Aux_puntos!$1:$1,0))),NA())</f>
        <v>#N/A</v>
      </c>
      <c r="AE530" t="e">
        <f>IFERROR(IF(INDEX(Aux_puntos!$A$2:$OJ$901,526,MATCH($B$2&amp;"|xC",Aux_puntos!$1:$1,0))="",NA(),INDEX(Aux_puntos!$A$2:$OJ$901,526,MATCH($B$2&amp;"|xC",Aux_puntos!$1:$1,0))),NA())</f>
        <v>#N/A</v>
      </c>
      <c r="AF530" t="e">
        <f>IFERROR(IF(INDEX(Aux_puntos!$A$2:$OJ$901,526,MATCH($B$2&amp;"|yC",Aux_puntos!$1:$1,0))="",NA(),INDEX(Aux_puntos!$A$2:$OJ$901,526,MATCH($B$2&amp;"|yC",Aux_puntos!$1:$1,0))),NA())</f>
        <v>#N/A</v>
      </c>
      <c r="AG530" t="e">
        <f>IFERROR(IF(INDEX(Aux_puntos!$A$2:$OJ$901,526,MATCH($B$2&amp;"|xI",Aux_puntos!$1:$1,0))="",NA(),INDEX(Aux_puntos!$A$2:$OJ$901,526,MATCH($B$2&amp;"|xI",Aux_puntos!$1:$1,0))),NA())</f>
        <v>#N/A</v>
      </c>
      <c r="AH530" t="e">
        <f>IFERROR(IF(INDEX(Aux_puntos!$A$2:$OJ$901,526,MATCH($B$2&amp;"|yI",Aux_puntos!$1:$1,0))="",NA(),INDEX(Aux_puntos!$A$2:$OJ$901,526,MATCH($B$2&amp;"|yI",Aux_puntos!$1:$1,0))),NA())</f>
        <v>#N/A</v>
      </c>
      <c r="AI530" t="e">
        <f>IFERROR(IF(INDEX(Aux_puntos!$A$2:$OJ$901,526,MATCH($B$2&amp;"|xN",Aux_puntos!$1:$1,0))="",NA(),INDEX(Aux_puntos!$A$2:$OJ$901,526,MATCH($B$2&amp;"|xN",Aux_puntos!$1:$1,0))),NA())</f>
        <v>#N/A</v>
      </c>
      <c r="AJ530" t="e">
        <f>IFERROR(IF(INDEX(Aux_puntos!$A$2:$OJ$901,526,MATCH($B$2&amp;"|yN",Aux_puntos!$1:$1,0))="",NA(),INDEX(Aux_puntos!$A$2:$OJ$901,526,MATCH($B$2&amp;"|yN",Aux_puntos!$1:$1,0))),NA())</f>
        <v>#N/A</v>
      </c>
    </row>
    <row r="531" spans="29:36" x14ac:dyDescent="0.3">
      <c r="AC531" t="e">
        <f>IFERROR(IF(INDEX(Aux_puntos!$A$2:$OJ$901,527,MATCH($B$2&amp;"|xK",Aux_puntos!$1:$1,0))="",NA(),INDEX(Aux_puntos!$A$2:$OJ$901,527,MATCH($B$2&amp;"|xK",Aux_puntos!$1:$1,0))),NA())</f>
        <v>#N/A</v>
      </c>
      <c r="AD531" t="e">
        <f>IFERROR(IF(INDEX(Aux_puntos!$A$2:$OJ$901,527,MATCH($B$2&amp;"|yK",Aux_puntos!$1:$1,0))="",NA(),INDEX(Aux_puntos!$A$2:$OJ$901,527,MATCH($B$2&amp;"|yK",Aux_puntos!$1:$1,0))),NA())</f>
        <v>#N/A</v>
      </c>
      <c r="AE531" t="e">
        <f>IFERROR(IF(INDEX(Aux_puntos!$A$2:$OJ$901,527,MATCH($B$2&amp;"|xC",Aux_puntos!$1:$1,0))="",NA(),INDEX(Aux_puntos!$A$2:$OJ$901,527,MATCH($B$2&amp;"|xC",Aux_puntos!$1:$1,0))),NA())</f>
        <v>#N/A</v>
      </c>
      <c r="AF531" t="e">
        <f>IFERROR(IF(INDEX(Aux_puntos!$A$2:$OJ$901,527,MATCH($B$2&amp;"|yC",Aux_puntos!$1:$1,0))="",NA(),INDEX(Aux_puntos!$A$2:$OJ$901,527,MATCH($B$2&amp;"|yC",Aux_puntos!$1:$1,0))),NA())</f>
        <v>#N/A</v>
      </c>
      <c r="AG531" t="e">
        <f>IFERROR(IF(INDEX(Aux_puntos!$A$2:$OJ$901,527,MATCH($B$2&amp;"|xI",Aux_puntos!$1:$1,0))="",NA(),INDEX(Aux_puntos!$A$2:$OJ$901,527,MATCH($B$2&amp;"|xI",Aux_puntos!$1:$1,0))),NA())</f>
        <v>#N/A</v>
      </c>
      <c r="AH531" t="e">
        <f>IFERROR(IF(INDEX(Aux_puntos!$A$2:$OJ$901,527,MATCH($B$2&amp;"|yI",Aux_puntos!$1:$1,0))="",NA(),INDEX(Aux_puntos!$A$2:$OJ$901,527,MATCH($B$2&amp;"|yI",Aux_puntos!$1:$1,0))),NA())</f>
        <v>#N/A</v>
      </c>
      <c r="AI531" t="e">
        <f>IFERROR(IF(INDEX(Aux_puntos!$A$2:$OJ$901,527,MATCH($B$2&amp;"|xN",Aux_puntos!$1:$1,0))="",NA(),INDEX(Aux_puntos!$A$2:$OJ$901,527,MATCH($B$2&amp;"|xN",Aux_puntos!$1:$1,0))),NA())</f>
        <v>#N/A</v>
      </c>
      <c r="AJ531" t="e">
        <f>IFERROR(IF(INDEX(Aux_puntos!$A$2:$OJ$901,527,MATCH($B$2&amp;"|yN",Aux_puntos!$1:$1,0))="",NA(),INDEX(Aux_puntos!$A$2:$OJ$901,527,MATCH($B$2&amp;"|yN",Aux_puntos!$1:$1,0))),NA())</f>
        <v>#N/A</v>
      </c>
    </row>
    <row r="532" spans="29:36" x14ac:dyDescent="0.3">
      <c r="AC532" t="e">
        <f>IFERROR(IF(INDEX(Aux_puntos!$A$2:$OJ$901,528,MATCH($B$2&amp;"|xK",Aux_puntos!$1:$1,0))="",NA(),INDEX(Aux_puntos!$A$2:$OJ$901,528,MATCH($B$2&amp;"|xK",Aux_puntos!$1:$1,0))),NA())</f>
        <v>#N/A</v>
      </c>
      <c r="AD532" t="e">
        <f>IFERROR(IF(INDEX(Aux_puntos!$A$2:$OJ$901,528,MATCH($B$2&amp;"|yK",Aux_puntos!$1:$1,0))="",NA(),INDEX(Aux_puntos!$A$2:$OJ$901,528,MATCH($B$2&amp;"|yK",Aux_puntos!$1:$1,0))),NA())</f>
        <v>#N/A</v>
      </c>
      <c r="AE532" t="e">
        <f>IFERROR(IF(INDEX(Aux_puntos!$A$2:$OJ$901,528,MATCH($B$2&amp;"|xC",Aux_puntos!$1:$1,0))="",NA(),INDEX(Aux_puntos!$A$2:$OJ$901,528,MATCH($B$2&amp;"|xC",Aux_puntos!$1:$1,0))),NA())</f>
        <v>#N/A</v>
      </c>
      <c r="AF532" t="e">
        <f>IFERROR(IF(INDEX(Aux_puntos!$A$2:$OJ$901,528,MATCH($B$2&amp;"|yC",Aux_puntos!$1:$1,0))="",NA(),INDEX(Aux_puntos!$A$2:$OJ$901,528,MATCH($B$2&amp;"|yC",Aux_puntos!$1:$1,0))),NA())</f>
        <v>#N/A</v>
      </c>
      <c r="AG532" t="e">
        <f>IFERROR(IF(INDEX(Aux_puntos!$A$2:$OJ$901,528,MATCH($B$2&amp;"|xI",Aux_puntos!$1:$1,0))="",NA(),INDEX(Aux_puntos!$A$2:$OJ$901,528,MATCH($B$2&amp;"|xI",Aux_puntos!$1:$1,0))),NA())</f>
        <v>#N/A</v>
      </c>
      <c r="AH532" t="e">
        <f>IFERROR(IF(INDEX(Aux_puntos!$A$2:$OJ$901,528,MATCH($B$2&amp;"|yI",Aux_puntos!$1:$1,0))="",NA(),INDEX(Aux_puntos!$A$2:$OJ$901,528,MATCH($B$2&amp;"|yI",Aux_puntos!$1:$1,0))),NA())</f>
        <v>#N/A</v>
      </c>
      <c r="AI532" t="e">
        <f>IFERROR(IF(INDEX(Aux_puntos!$A$2:$OJ$901,528,MATCH($B$2&amp;"|xN",Aux_puntos!$1:$1,0))="",NA(),INDEX(Aux_puntos!$A$2:$OJ$901,528,MATCH($B$2&amp;"|xN",Aux_puntos!$1:$1,0))),NA())</f>
        <v>#N/A</v>
      </c>
      <c r="AJ532" t="e">
        <f>IFERROR(IF(INDEX(Aux_puntos!$A$2:$OJ$901,528,MATCH($B$2&amp;"|yN",Aux_puntos!$1:$1,0))="",NA(),INDEX(Aux_puntos!$A$2:$OJ$901,528,MATCH($B$2&amp;"|yN",Aux_puntos!$1:$1,0))),NA())</f>
        <v>#N/A</v>
      </c>
    </row>
    <row r="533" spans="29:36" x14ac:dyDescent="0.3">
      <c r="AC533" t="e">
        <f>IFERROR(IF(INDEX(Aux_puntos!$A$2:$OJ$901,529,MATCH($B$2&amp;"|xK",Aux_puntos!$1:$1,0))="",NA(),INDEX(Aux_puntos!$A$2:$OJ$901,529,MATCH($B$2&amp;"|xK",Aux_puntos!$1:$1,0))),NA())</f>
        <v>#N/A</v>
      </c>
      <c r="AD533" t="e">
        <f>IFERROR(IF(INDEX(Aux_puntos!$A$2:$OJ$901,529,MATCH($B$2&amp;"|yK",Aux_puntos!$1:$1,0))="",NA(),INDEX(Aux_puntos!$A$2:$OJ$901,529,MATCH($B$2&amp;"|yK",Aux_puntos!$1:$1,0))),NA())</f>
        <v>#N/A</v>
      </c>
      <c r="AE533" t="e">
        <f>IFERROR(IF(INDEX(Aux_puntos!$A$2:$OJ$901,529,MATCH($B$2&amp;"|xC",Aux_puntos!$1:$1,0))="",NA(),INDEX(Aux_puntos!$A$2:$OJ$901,529,MATCH($B$2&amp;"|xC",Aux_puntos!$1:$1,0))),NA())</f>
        <v>#N/A</v>
      </c>
      <c r="AF533" t="e">
        <f>IFERROR(IF(INDEX(Aux_puntos!$A$2:$OJ$901,529,MATCH($B$2&amp;"|yC",Aux_puntos!$1:$1,0))="",NA(),INDEX(Aux_puntos!$A$2:$OJ$901,529,MATCH($B$2&amp;"|yC",Aux_puntos!$1:$1,0))),NA())</f>
        <v>#N/A</v>
      </c>
      <c r="AG533" t="e">
        <f>IFERROR(IF(INDEX(Aux_puntos!$A$2:$OJ$901,529,MATCH($B$2&amp;"|xI",Aux_puntos!$1:$1,0))="",NA(),INDEX(Aux_puntos!$A$2:$OJ$901,529,MATCH($B$2&amp;"|xI",Aux_puntos!$1:$1,0))),NA())</f>
        <v>#N/A</v>
      </c>
      <c r="AH533" t="e">
        <f>IFERROR(IF(INDEX(Aux_puntos!$A$2:$OJ$901,529,MATCH($B$2&amp;"|yI",Aux_puntos!$1:$1,0))="",NA(),INDEX(Aux_puntos!$A$2:$OJ$901,529,MATCH($B$2&amp;"|yI",Aux_puntos!$1:$1,0))),NA())</f>
        <v>#N/A</v>
      </c>
      <c r="AI533" t="e">
        <f>IFERROR(IF(INDEX(Aux_puntos!$A$2:$OJ$901,529,MATCH($B$2&amp;"|xN",Aux_puntos!$1:$1,0))="",NA(),INDEX(Aux_puntos!$A$2:$OJ$901,529,MATCH($B$2&amp;"|xN",Aux_puntos!$1:$1,0))),NA())</f>
        <v>#N/A</v>
      </c>
      <c r="AJ533" t="e">
        <f>IFERROR(IF(INDEX(Aux_puntos!$A$2:$OJ$901,529,MATCH($B$2&amp;"|yN",Aux_puntos!$1:$1,0))="",NA(),INDEX(Aux_puntos!$A$2:$OJ$901,529,MATCH($B$2&amp;"|yN",Aux_puntos!$1:$1,0))),NA())</f>
        <v>#N/A</v>
      </c>
    </row>
    <row r="534" spans="29:36" x14ac:dyDescent="0.3">
      <c r="AC534" t="e">
        <f>IFERROR(IF(INDEX(Aux_puntos!$A$2:$OJ$901,530,MATCH($B$2&amp;"|xK",Aux_puntos!$1:$1,0))="",NA(),INDEX(Aux_puntos!$A$2:$OJ$901,530,MATCH($B$2&amp;"|xK",Aux_puntos!$1:$1,0))),NA())</f>
        <v>#N/A</v>
      </c>
      <c r="AD534" t="e">
        <f>IFERROR(IF(INDEX(Aux_puntos!$A$2:$OJ$901,530,MATCH($B$2&amp;"|yK",Aux_puntos!$1:$1,0))="",NA(),INDEX(Aux_puntos!$A$2:$OJ$901,530,MATCH($B$2&amp;"|yK",Aux_puntos!$1:$1,0))),NA())</f>
        <v>#N/A</v>
      </c>
      <c r="AE534" t="e">
        <f>IFERROR(IF(INDEX(Aux_puntos!$A$2:$OJ$901,530,MATCH($B$2&amp;"|xC",Aux_puntos!$1:$1,0))="",NA(),INDEX(Aux_puntos!$A$2:$OJ$901,530,MATCH($B$2&amp;"|xC",Aux_puntos!$1:$1,0))),NA())</f>
        <v>#N/A</v>
      </c>
      <c r="AF534" t="e">
        <f>IFERROR(IF(INDEX(Aux_puntos!$A$2:$OJ$901,530,MATCH($B$2&amp;"|yC",Aux_puntos!$1:$1,0))="",NA(),INDEX(Aux_puntos!$A$2:$OJ$901,530,MATCH($B$2&amp;"|yC",Aux_puntos!$1:$1,0))),NA())</f>
        <v>#N/A</v>
      </c>
      <c r="AG534" t="e">
        <f>IFERROR(IF(INDEX(Aux_puntos!$A$2:$OJ$901,530,MATCH($B$2&amp;"|xI",Aux_puntos!$1:$1,0))="",NA(),INDEX(Aux_puntos!$A$2:$OJ$901,530,MATCH($B$2&amp;"|xI",Aux_puntos!$1:$1,0))),NA())</f>
        <v>#N/A</v>
      </c>
      <c r="AH534" t="e">
        <f>IFERROR(IF(INDEX(Aux_puntos!$A$2:$OJ$901,530,MATCH($B$2&amp;"|yI",Aux_puntos!$1:$1,0))="",NA(),INDEX(Aux_puntos!$A$2:$OJ$901,530,MATCH($B$2&amp;"|yI",Aux_puntos!$1:$1,0))),NA())</f>
        <v>#N/A</v>
      </c>
      <c r="AI534" t="e">
        <f>IFERROR(IF(INDEX(Aux_puntos!$A$2:$OJ$901,530,MATCH($B$2&amp;"|xN",Aux_puntos!$1:$1,0))="",NA(),INDEX(Aux_puntos!$A$2:$OJ$901,530,MATCH($B$2&amp;"|xN",Aux_puntos!$1:$1,0))),NA())</f>
        <v>#N/A</v>
      </c>
      <c r="AJ534" t="e">
        <f>IFERROR(IF(INDEX(Aux_puntos!$A$2:$OJ$901,530,MATCH($B$2&amp;"|yN",Aux_puntos!$1:$1,0))="",NA(),INDEX(Aux_puntos!$A$2:$OJ$901,530,MATCH($B$2&amp;"|yN",Aux_puntos!$1:$1,0))),NA())</f>
        <v>#N/A</v>
      </c>
    </row>
    <row r="535" spans="29:36" x14ac:dyDescent="0.3">
      <c r="AC535" t="e">
        <f>IFERROR(IF(INDEX(Aux_puntos!$A$2:$OJ$901,531,MATCH($B$2&amp;"|xK",Aux_puntos!$1:$1,0))="",NA(),INDEX(Aux_puntos!$A$2:$OJ$901,531,MATCH($B$2&amp;"|xK",Aux_puntos!$1:$1,0))),NA())</f>
        <v>#N/A</v>
      </c>
      <c r="AD535" t="e">
        <f>IFERROR(IF(INDEX(Aux_puntos!$A$2:$OJ$901,531,MATCH($B$2&amp;"|yK",Aux_puntos!$1:$1,0))="",NA(),INDEX(Aux_puntos!$A$2:$OJ$901,531,MATCH($B$2&amp;"|yK",Aux_puntos!$1:$1,0))),NA())</f>
        <v>#N/A</v>
      </c>
      <c r="AE535" t="e">
        <f>IFERROR(IF(INDEX(Aux_puntos!$A$2:$OJ$901,531,MATCH($B$2&amp;"|xC",Aux_puntos!$1:$1,0))="",NA(),INDEX(Aux_puntos!$A$2:$OJ$901,531,MATCH($B$2&amp;"|xC",Aux_puntos!$1:$1,0))),NA())</f>
        <v>#N/A</v>
      </c>
      <c r="AF535" t="e">
        <f>IFERROR(IF(INDEX(Aux_puntos!$A$2:$OJ$901,531,MATCH($B$2&amp;"|yC",Aux_puntos!$1:$1,0))="",NA(),INDEX(Aux_puntos!$A$2:$OJ$901,531,MATCH($B$2&amp;"|yC",Aux_puntos!$1:$1,0))),NA())</f>
        <v>#N/A</v>
      </c>
      <c r="AG535" t="e">
        <f>IFERROR(IF(INDEX(Aux_puntos!$A$2:$OJ$901,531,MATCH($B$2&amp;"|xI",Aux_puntos!$1:$1,0))="",NA(),INDEX(Aux_puntos!$A$2:$OJ$901,531,MATCH($B$2&amp;"|xI",Aux_puntos!$1:$1,0))),NA())</f>
        <v>#N/A</v>
      </c>
      <c r="AH535" t="e">
        <f>IFERROR(IF(INDEX(Aux_puntos!$A$2:$OJ$901,531,MATCH($B$2&amp;"|yI",Aux_puntos!$1:$1,0))="",NA(),INDEX(Aux_puntos!$A$2:$OJ$901,531,MATCH($B$2&amp;"|yI",Aux_puntos!$1:$1,0))),NA())</f>
        <v>#N/A</v>
      </c>
      <c r="AI535" t="e">
        <f>IFERROR(IF(INDEX(Aux_puntos!$A$2:$OJ$901,531,MATCH($B$2&amp;"|xN",Aux_puntos!$1:$1,0))="",NA(),INDEX(Aux_puntos!$A$2:$OJ$901,531,MATCH($B$2&amp;"|xN",Aux_puntos!$1:$1,0))),NA())</f>
        <v>#N/A</v>
      </c>
      <c r="AJ535" t="e">
        <f>IFERROR(IF(INDEX(Aux_puntos!$A$2:$OJ$901,531,MATCH($B$2&amp;"|yN",Aux_puntos!$1:$1,0))="",NA(),INDEX(Aux_puntos!$A$2:$OJ$901,531,MATCH($B$2&amp;"|yN",Aux_puntos!$1:$1,0))),NA())</f>
        <v>#N/A</v>
      </c>
    </row>
    <row r="536" spans="29:36" x14ac:dyDescent="0.3">
      <c r="AC536" t="e">
        <f>IFERROR(IF(INDEX(Aux_puntos!$A$2:$OJ$901,532,MATCH($B$2&amp;"|xK",Aux_puntos!$1:$1,0))="",NA(),INDEX(Aux_puntos!$A$2:$OJ$901,532,MATCH($B$2&amp;"|xK",Aux_puntos!$1:$1,0))),NA())</f>
        <v>#N/A</v>
      </c>
      <c r="AD536" t="e">
        <f>IFERROR(IF(INDEX(Aux_puntos!$A$2:$OJ$901,532,MATCH($B$2&amp;"|yK",Aux_puntos!$1:$1,0))="",NA(),INDEX(Aux_puntos!$A$2:$OJ$901,532,MATCH($B$2&amp;"|yK",Aux_puntos!$1:$1,0))),NA())</f>
        <v>#N/A</v>
      </c>
      <c r="AE536" t="e">
        <f>IFERROR(IF(INDEX(Aux_puntos!$A$2:$OJ$901,532,MATCH($B$2&amp;"|xC",Aux_puntos!$1:$1,0))="",NA(),INDEX(Aux_puntos!$A$2:$OJ$901,532,MATCH($B$2&amp;"|xC",Aux_puntos!$1:$1,0))),NA())</f>
        <v>#N/A</v>
      </c>
      <c r="AF536" t="e">
        <f>IFERROR(IF(INDEX(Aux_puntos!$A$2:$OJ$901,532,MATCH($B$2&amp;"|yC",Aux_puntos!$1:$1,0))="",NA(),INDEX(Aux_puntos!$A$2:$OJ$901,532,MATCH($B$2&amp;"|yC",Aux_puntos!$1:$1,0))),NA())</f>
        <v>#N/A</v>
      </c>
      <c r="AG536" t="e">
        <f>IFERROR(IF(INDEX(Aux_puntos!$A$2:$OJ$901,532,MATCH($B$2&amp;"|xI",Aux_puntos!$1:$1,0))="",NA(),INDEX(Aux_puntos!$A$2:$OJ$901,532,MATCH($B$2&amp;"|xI",Aux_puntos!$1:$1,0))),NA())</f>
        <v>#N/A</v>
      </c>
      <c r="AH536" t="e">
        <f>IFERROR(IF(INDEX(Aux_puntos!$A$2:$OJ$901,532,MATCH($B$2&amp;"|yI",Aux_puntos!$1:$1,0))="",NA(),INDEX(Aux_puntos!$A$2:$OJ$901,532,MATCH($B$2&amp;"|yI",Aux_puntos!$1:$1,0))),NA())</f>
        <v>#N/A</v>
      </c>
      <c r="AI536" t="e">
        <f>IFERROR(IF(INDEX(Aux_puntos!$A$2:$OJ$901,532,MATCH($B$2&amp;"|xN",Aux_puntos!$1:$1,0))="",NA(),INDEX(Aux_puntos!$A$2:$OJ$901,532,MATCH($B$2&amp;"|xN",Aux_puntos!$1:$1,0))),NA())</f>
        <v>#N/A</v>
      </c>
      <c r="AJ536" t="e">
        <f>IFERROR(IF(INDEX(Aux_puntos!$A$2:$OJ$901,532,MATCH($B$2&amp;"|yN",Aux_puntos!$1:$1,0))="",NA(),INDEX(Aux_puntos!$A$2:$OJ$901,532,MATCH($B$2&amp;"|yN",Aux_puntos!$1:$1,0))),NA())</f>
        <v>#N/A</v>
      </c>
    </row>
    <row r="537" spans="29:36" x14ac:dyDescent="0.3">
      <c r="AC537" t="e">
        <f>IFERROR(IF(INDEX(Aux_puntos!$A$2:$OJ$901,533,MATCH($B$2&amp;"|xK",Aux_puntos!$1:$1,0))="",NA(),INDEX(Aux_puntos!$A$2:$OJ$901,533,MATCH($B$2&amp;"|xK",Aux_puntos!$1:$1,0))),NA())</f>
        <v>#N/A</v>
      </c>
      <c r="AD537" t="e">
        <f>IFERROR(IF(INDEX(Aux_puntos!$A$2:$OJ$901,533,MATCH($B$2&amp;"|yK",Aux_puntos!$1:$1,0))="",NA(),INDEX(Aux_puntos!$A$2:$OJ$901,533,MATCH($B$2&amp;"|yK",Aux_puntos!$1:$1,0))),NA())</f>
        <v>#N/A</v>
      </c>
      <c r="AE537" t="e">
        <f>IFERROR(IF(INDEX(Aux_puntos!$A$2:$OJ$901,533,MATCH($B$2&amp;"|xC",Aux_puntos!$1:$1,0))="",NA(),INDEX(Aux_puntos!$A$2:$OJ$901,533,MATCH($B$2&amp;"|xC",Aux_puntos!$1:$1,0))),NA())</f>
        <v>#N/A</v>
      </c>
      <c r="AF537" t="e">
        <f>IFERROR(IF(INDEX(Aux_puntos!$A$2:$OJ$901,533,MATCH($B$2&amp;"|yC",Aux_puntos!$1:$1,0))="",NA(),INDEX(Aux_puntos!$A$2:$OJ$901,533,MATCH($B$2&amp;"|yC",Aux_puntos!$1:$1,0))),NA())</f>
        <v>#N/A</v>
      </c>
      <c r="AG537" t="e">
        <f>IFERROR(IF(INDEX(Aux_puntos!$A$2:$OJ$901,533,MATCH($B$2&amp;"|xI",Aux_puntos!$1:$1,0))="",NA(),INDEX(Aux_puntos!$A$2:$OJ$901,533,MATCH($B$2&amp;"|xI",Aux_puntos!$1:$1,0))),NA())</f>
        <v>#N/A</v>
      </c>
      <c r="AH537" t="e">
        <f>IFERROR(IF(INDEX(Aux_puntos!$A$2:$OJ$901,533,MATCH($B$2&amp;"|yI",Aux_puntos!$1:$1,0))="",NA(),INDEX(Aux_puntos!$A$2:$OJ$901,533,MATCH($B$2&amp;"|yI",Aux_puntos!$1:$1,0))),NA())</f>
        <v>#N/A</v>
      </c>
      <c r="AI537" t="e">
        <f>IFERROR(IF(INDEX(Aux_puntos!$A$2:$OJ$901,533,MATCH($B$2&amp;"|xN",Aux_puntos!$1:$1,0))="",NA(),INDEX(Aux_puntos!$A$2:$OJ$901,533,MATCH($B$2&amp;"|xN",Aux_puntos!$1:$1,0))),NA())</f>
        <v>#N/A</v>
      </c>
      <c r="AJ537" t="e">
        <f>IFERROR(IF(INDEX(Aux_puntos!$A$2:$OJ$901,533,MATCH($B$2&amp;"|yN",Aux_puntos!$1:$1,0))="",NA(),INDEX(Aux_puntos!$A$2:$OJ$901,533,MATCH($B$2&amp;"|yN",Aux_puntos!$1:$1,0))),NA())</f>
        <v>#N/A</v>
      </c>
    </row>
    <row r="538" spans="29:36" x14ac:dyDescent="0.3">
      <c r="AC538" t="e">
        <f>IFERROR(IF(INDEX(Aux_puntos!$A$2:$OJ$901,534,MATCH($B$2&amp;"|xK",Aux_puntos!$1:$1,0))="",NA(),INDEX(Aux_puntos!$A$2:$OJ$901,534,MATCH($B$2&amp;"|xK",Aux_puntos!$1:$1,0))),NA())</f>
        <v>#N/A</v>
      </c>
      <c r="AD538" t="e">
        <f>IFERROR(IF(INDEX(Aux_puntos!$A$2:$OJ$901,534,MATCH($B$2&amp;"|yK",Aux_puntos!$1:$1,0))="",NA(),INDEX(Aux_puntos!$A$2:$OJ$901,534,MATCH($B$2&amp;"|yK",Aux_puntos!$1:$1,0))),NA())</f>
        <v>#N/A</v>
      </c>
      <c r="AE538" t="e">
        <f>IFERROR(IF(INDEX(Aux_puntos!$A$2:$OJ$901,534,MATCH($B$2&amp;"|xC",Aux_puntos!$1:$1,0))="",NA(),INDEX(Aux_puntos!$A$2:$OJ$901,534,MATCH($B$2&amp;"|xC",Aux_puntos!$1:$1,0))),NA())</f>
        <v>#N/A</v>
      </c>
      <c r="AF538" t="e">
        <f>IFERROR(IF(INDEX(Aux_puntos!$A$2:$OJ$901,534,MATCH($B$2&amp;"|yC",Aux_puntos!$1:$1,0))="",NA(),INDEX(Aux_puntos!$A$2:$OJ$901,534,MATCH($B$2&amp;"|yC",Aux_puntos!$1:$1,0))),NA())</f>
        <v>#N/A</v>
      </c>
      <c r="AG538" t="e">
        <f>IFERROR(IF(INDEX(Aux_puntos!$A$2:$OJ$901,534,MATCH($B$2&amp;"|xI",Aux_puntos!$1:$1,0))="",NA(),INDEX(Aux_puntos!$A$2:$OJ$901,534,MATCH($B$2&amp;"|xI",Aux_puntos!$1:$1,0))),NA())</f>
        <v>#N/A</v>
      </c>
      <c r="AH538" t="e">
        <f>IFERROR(IF(INDEX(Aux_puntos!$A$2:$OJ$901,534,MATCH($B$2&amp;"|yI",Aux_puntos!$1:$1,0))="",NA(),INDEX(Aux_puntos!$A$2:$OJ$901,534,MATCH($B$2&amp;"|yI",Aux_puntos!$1:$1,0))),NA())</f>
        <v>#N/A</v>
      </c>
      <c r="AI538" t="e">
        <f>IFERROR(IF(INDEX(Aux_puntos!$A$2:$OJ$901,534,MATCH($B$2&amp;"|xN",Aux_puntos!$1:$1,0))="",NA(),INDEX(Aux_puntos!$A$2:$OJ$901,534,MATCH($B$2&amp;"|xN",Aux_puntos!$1:$1,0))),NA())</f>
        <v>#N/A</v>
      </c>
      <c r="AJ538" t="e">
        <f>IFERROR(IF(INDEX(Aux_puntos!$A$2:$OJ$901,534,MATCH($B$2&amp;"|yN",Aux_puntos!$1:$1,0))="",NA(),INDEX(Aux_puntos!$A$2:$OJ$901,534,MATCH($B$2&amp;"|yN",Aux_puntos!$1:$1,0))),NA())</f>
        <v>#N/A</v>
      </c>
    </row>
    <row r="539" spans="29:36" x14ac:dyDescent="0.3">
      <c r="AC539" t="e">
        <f>IFERROR(IF(INDEX(Aux_puntos!$A$2:$OJ$901,535,MATCH($B$2&amp;"|xK",Aux_puntos!$1:$1,0))="",NA(),INDEX(Aux_puntos!$A$2:$OJ$901,535,MATCH($B$2&amp;"|xK",Aux_puntos!$1:$1,0))),NA())</f>
        <v>#N/A</v>
      </c>
      <c r="AD539" t="e">
        <f>IFERROR(IF(INDEX(Aux_puntos!$A$2:$OJ$901,535,MATCH($B$2&amp;"|yK",Aux_puntos!$1:$1,0))="",NA(),INDEX(Aux_puntos!$A$2:$OJ$901,535,MATCH($B$2&amp;"|yK",Aux_puntos!$1:$1,0))),NA())</f>
        <v>#N/A</v>
      </c>
      <c r="AE539" t="e">
        <f>IFERROR(IF(INDEX(Aux_puntos!$A$2:$OJ$901,535,MATCH($B$2&amp;"|xC",Aux_puntos!$1:$1,0))="",NA(),INDEX(Aux_puntos!$A$2:$OJ$901,535,MATCH($B$2&amp;"|xC",Aux_puntos!$1:$1,0))),NA())</f>
        <v>#N/A</v>
      </c>
      <c r="AF539" t="e">
        <f>IFERROR(IF(INDEX(Aux_puntos!$A$2:$OJ$901,535,MATCH($B$2&amp;"|yC",Aux_puntos!$1:$1,0))="",NA(),INDEX(Aux_puntos!$A$2:$OJ$901,535,MATCH($B$2&amp;"|yC",Aux_puntos!$1:$1,0))),NA())</f>
        <v>#N/A</v>
      </c>
      <c r="AG539" t="e">
        <f>IFERROR(IF(INDEX(Aux_puntos!$A$2:$OJ$901,535,MATCH($B$2&amp;"|xI",Aux_puntos!$1:$1,0))="",NA(),INDEX(Aux_puntos!$A$2:$OJ$901,535,MATCH($B$2&amp;"|xI",Aux_puntos!$1:$1,0))),NA())</f>
        <v>#N/A</v>
      </c>
      <c r="AH539" t="e">
        <f>IFERROR(IF(INDEX(Aux_puntos!$A$2:$OJ$901,535,MATCH($B$2&amp;"|yI",Aux_puntos!$1:$1,0))="",NA(),INDEX(Aux_puntos!$A$2:$OJ$901,535,MATCH($B$2&amp;"|yI",Aux_puntos!$1:$1,0))),NA())</f>
        <v>#N/A</v>
      </c>
      <c r="AI539" t="e">
        <f>IFERROR(IF(INDEX(Aux_puntos!$A$2:$OJ$901,535,MATCH($B$2&amp;"|xN",Aux_puntos!$1:$1,0))="",NA(),INDEX(Aux_puntos!$A$2:$OJ$901,535,MATCH($B$2&amp;"|xN",Aux_puntos!$1:$1,0))),NA())</f>
        <v>#N/A</v>
      </c>
      <c r="AJ539" t="e">
        <f>IFERROR(IF(INDEX(Aux_puntos!$A$2:$OJ$901,535,MATCH($B$2&amp;"|yN",Aux_puntos!$1:$1,0))="",NA(),INDEX(Aux_puntos!$A$2:$OJ$901,535,MATCH($B$2&amp;"|yN",Aux_puntos!$1:$1,0))),NA())</f>
        <v>#N/A</v>
      </c>
    </row>
    <row r="540" spans="29:36" x14ac:dyDescent="0.3">
      <c r="AC540" t="e">
        <f>IFERROR(IF(INDEX(Aux_puntos!$A$2:$OJ$901,536,MATCH($B$2&amp;"|xK",Aux_puntos!$1:$1,0))="",NA(),INDEX(Aux_puntos!$A$2:$OJ$901,536,MATCH($B$2&amp;"|xK",Aux_puntos!$1:$1,0))),NA())</f>
        <v>#N/A</v>
      </c>
      <c r="AD540" t="e">
        <f>IFERROR(IF(INDEX(Aux_puntos!$A$2:$OJ$901,536,MATCH($B$2&amp;"|yK",Aux_puntos!$1:$1,0))="",NA(),INDEX(Aux_puntos!$A$2:$OJ$901,536,MATCH($B$2&amp;"|yK",Aux_puntos!$1:$1,0))),NA())</f>
        <v>#N/A</v>
      </c>
      <c r="AE540" t="e">
        <f>IFERROR(IF(INDEX(Aux_puntos!$A$2:$OJ$901,536,MATCH($B$2&amp;"|xC",Aux_puntos!$1:$1,0))="",NA(),INDEX(Aux_puntos!$A$2:$OJ$901,536,MATCH($B$2&amp;"|xC",Aux_puntos!$1:$1,0))),NA())</f>
        <v>#N/A</v>
      </c>
      <c r="AF540" t="e">
        <f>IFERROR(IF(INDEX(Aux_puntos!$A$2:$OJ$901,536,MATCH($B$2&amp;"|yC",Aux_puntos!$1:$1,0))="",NA(),INDEX(Aux_puntos!$A$2:$OJ$901,536,MATCH($B$2&amp;"|yC",Aux_puntos!$1:$1,0))),NA())</f>
        <v>#N/A</v>
      </c>
      <c r="AG540" t="e">
        <f>IFERROR(IF(INDEX(Aux_puntos!$A$2:$OJ$901,536,MATCH($B$2&amp;"|xI",Aux_puntos!$1:$1,0))="",NA(),INDEX(Aux_puntos!$A$2:$OJ$901,536,MATCH($B$2&amp;"|xI",Aux_puntos!$1:$1,0))),NA())</f>
        <v>#N/A</v>
      </c>
      <c r="AH540" t="e">
        <f>IFERROR(IF(INDEX(Aux_puntos!$A$2:$OJ$901,536,MATCH($B$2&amp;"|yI",Aux_puntos!$1:$1,0))="",NA(),INDEX(Aux_puntos!$A$2:$OJ$901,536,MATCH($B$2&amp;"|yI",Aux_puntos!$1:$1,0))),NA())</f>
        <v>#N/A</v>
      </c>
      <c r="AI540" t="e">
        <f>IFERROR(IF(INDEX(Aux_puntos!$A$2:$OJ$901,536,MATCH($B$2&amp;"|xN",Aux_puntos!$1:$1,0))="",NA(),INDEX(Aux_puntos!$A$2:$OJ$901,536,MATCH($B$2&amp;"|xN",Aux_puntos!$1:$1,0))),NA())</f>
        <v>#N/A</v>
      </c>
      <c r="AJ540" t="e">
        <f>IFERROR(IF(INDEX(Aux_puntos!$A$2:$OJ$901,536,MATCH($B$2&amp;"|yN",Aux_puntos!$1:$1,0))="",NA(),INDEX(Aux_puntos!$A$2:$OJ$901,536,MATCH($B$2&amp;"|yN",Aux_puntos!$1:$1,0))),NA())</f>
        <v>#N/A</v>
      </c>
    </row>
    <row r="541" spans="29:36" x14ac:dyDescent="0.3">
      <c r="AC541" t="e">
        <f>IFERROR(IF(INDEX(Aux_puntos!$A$2:$OJ$901,537,MATCH($B$2&amp;"|xK",Aux_puntos!$1:$1,0))="",NA(),INDEX(Aux_puntos!$A$2:$OJ$901,537,MATCH($B$2&amp;"|xK",Aux_puntos!$1:$1,0))),NA())</f>
        <v>#N/A</v>
      </c>
      <c r="AD541" t="e">
        <f>IFERROR(IF(INDEX(Aux_puntos!$A$2:$OJ$901,537,MATCH($B$2&amp;"|yK",Aux_puntos!$1:$1,0))="",NA(),INDEX(Aux_puntos!$A$2:$OJ$901,537,MATCH($B$2&amp;"|yK",Aux_puntos!$1:$1,0))),NA())</f>
        <v>#N/A</v>
      </c>
      <c r="AE541" t="e">
        <f>IFERROR(IF(INDEX(Aux_puntos!$A$2:$OJ$901,537,MATCH($B$2&amp;"|xC",Aux_puntos!$1:$1,0))="",NA(),INDEX(Aux_puntos!$A$2:$OJ$901,537,MATCH($B$2&amp;"|xC",Aux_puntos!$1:$1,0))),NA())</f>
        <v>#N/A</v>
      </c>
      <c r="AF541" t="e">
        <f>IFERROR(IF(INDEX(Aux_puntos!$A$2:$OJ$901,537,MATCH($B$2&amp;"|yC",Aux_puntos!$1:$1,0))="",NA(),INDEX(Aux_puntos!$A$2:$OJ$901,537,MATCH($B$2&amp;"|yC",Aux_puntos!$1:$1,0))),NA())</f>
        <v>#N/A</v>
      </c>
      <c r="AG541" t="e">
        <f>IFERROR(IF(INDEX(Aux_puntos!$A$2:$OJ$901,537,MATCH($B$2&amp;"|xI",Aux_puntos!$1:$1,0))="",NA(),INDEX(Aux_puntos!$A$2:$OJ$901,537,MATCH($B$2&amp;"|xI",Aux_puntos!$1:$1,0))),NA())</f>
        <v>#N/A</v>
      </c>
      <c r="AH541" t="e">
        <f>IFERROR(IF(INDEX(Aux_puntos!$A$2:$OJ$901,537,MATCH($B$2&amp;"|yI",Aux_puntos!$1:$1,0))="",NA(),INDEX(Aux_puntos!$A$2:$OJ$901,537,MATCH($B$2&amp;"|yI",Aux_puntos!$1:$1,0))),NA())</f>
        <v>#N/A</v>
      </c>
      <c r="AI541" t="e">
        <f>IFERROR(IF(INDEX(Aux_puntos!$A$2:$OJ$901,537,MATCH($B$2&amp;"|xN",Aux_puntos!$1:$1,0))="",NA(),INDEX(Aux_puntos!$A$2:$OJ$901,537,MATCH($B$2&amp;"|xN",Aux_puntos!$1:$1,0))),NA())</f>
        <v>#N/A</v>
      </c>
      <c r="AJ541" t="e">
        <f>IFERROR(IF(INDEX(Aux_puntos!$A$2:$OJ$901,537,MATCH($B$2&amp;"|yN",Aux_puntos!$1:$1,0))="",NA(),INDEX(Aux_puntos!$A$2:$OJ$901,537,MATCH($B$2&amp;"|yN",Aux_puntos!$1:$1,0))),NA())</f>
        <v>#N/A</v>
      </c>
    </row>
    <row r="542" spans="29:36" x14ac:dyDescent="0.3">
      <c r="AC542" t="e">
        <f>IFERROR(IF(INDEX(Aux_puntos!$A$2:$OJ$901,538,MATCH($B$2&amp;"|xK",Aux_puntos!$1:$1,0))="",NA(),INDEX(Aux_puntos!$A$2:$OJ$901,538,MATCH($B$2&amp;"|xK",Aux_puntos!$1:$1,0))),NA())</f>
        <v>#N/A</v>
      </c>
      <c r="AD542" t="e">
        <f>IFERROR(IF(INDEX(Aux_puntos!$A$2:$OJ$901,538,MATCH($B$2&amp;"|yK",Aux_puntos!$1:$1,0))="",NA(),INDEX(Aux_puntos!$A$2:$OJ$901,538,MATCH($B$2&amp;"|yK",Aux_puntos!$1:$1,0))),NA())</f>
        <v>#N/A</v>
      </c>
      <c r="AE542" t="e">
        <f>IFERROR(IF(INDEX(Aux_puntos!$A$2:$OJ$901,538,MATCH($B$2&amp;"|xC",Aux_puntos!$1:$1,0))="",NA(),INDEX(Aux_puntos!$A$2:$OJ$901,538,MATCH($B$2&amp;"|xC",Aux_puntos!$1:$1,0))),NA())</f>
        <v>#N/A</v>
      </c>
      <c r="AF542" t="e">
        <f>IFERROR(IF(INDEX(Aux_puntos!$A$2:$OJ$901,538,MATCH($B$2&amp;"|yC",Aux_puntos!$1:$1,0))="",NA(),INDEX(Aux_puntos!$A$2:$OJ$901,538,MATCH($B$2&amp;"|yC",Aux_puntos!$1:$1,0))),NA())</f>
        <v>#N/A</v>
      </c>
      <c r="AG542" t="e">
        <f>IFERROR(IF(INDEX(Aux_puntos!$A$2:$OJ$901,538,MATCH($B$2&amp;"|xI",Aux_puntos!$1:$1,0))="",NA(),INDEX(Aux_puntos!$A$2:$OJ$901,538,MATCH($B$2&amp;"|xI",Aux_puntos!$1:$1,0))),NA())</f>
        <v>#N/A</v>
      </c>
      <c r="AH542" t="e">
        <f>IFERROR(IF(INDEX(Aux_puntos!$A$2:$OJ$901,538,MATCH($B$2&amp;"|yI",Aux_puntos!$1:$1,0))="",NA(),INDEX(Aux_puntos!$A$2:$OJ$901,538,MATCH($B$2&amp;"|yI",Aux_puntos!$1:$1,0))),NA())</f>
        <v>#N/A</v>
      </c>
      <c r="AI542" t="e">
        <f>IFERROR(IF(INDEX(Aux_puntos!$A$2:$OJ$901,538,MATCH($B$2&amp;"|xN",Aux_puntos!$1:$1,0))="",NA(),INDEX(Aux_puntos!$A$2:$OJ$901,538,MATCH($B$2&amp;"|xN",Aux_puntos!$1:$1,0))),NA())</f>
        <v>#N/A</v>
      </c>
      <c r="AJ542" t="e">
        <f>IFERROR(IF(INDEX(Aux_puntos!$A$2:$OJ$901,538,MATCH($B$2&amp;"|yN",Aux_puntos!$1:$1,0))="",NA(),INDEX(Aux_puntos!$A$2:$OJ$901,538,MATCH($B$2&amp;"|yN",Aux_puntos!$1:$1,0))),NA())</f>
        <v>#N/A</v>
      </c>
    </row>
    <row r="543" spans="29:36" x14ac:dyDescent="0.3">
      <c r="AC543" t="e">
        <f>IFERROR(IF(INDEX(Aux_puntos!$A$2:$OJ$901,539,MATCH($B$2&amp;"|xK",Aux_puntos!$1:$1,0))="",NA(),INDEX(Aux_puntos!$A$2:$OJ$901,539,MATCH($B$2&amp;"|xK",Aux_puntos!$1:$1,0))),NA())</f>
        <v>#N/A</v>
      </c>
      <c r="AD543" t="e">
        <f>IFERROR(IF(INDEX(Aux_puntos!$A$2:$OJ$901,539,MATCH($B$2&amp;"|yK",Aux_puntos!$1:$1,0))="",NA(),INDEX(Aux_puntos!$A$2:$OJ$901,539,MATCH($B$2&amp;"|yK",Aux_puntos!$1:$1,0))),NA())</f>
        <v>#N/A</v>
      </c>
      <c r="AE543" t="e">
        <f>IFERROR(IF(INDEX(Aux_puntos!$A$2:$OJ$901,539,MATCH($B$2&amp;"|xC",Aux_puntos!$1:$1,0))="",NA(),INDEX(Aux_puntos!$A$2:$OJ$901,539,MATCH($B$2&amp;"|xC",Aux_puntos!$1:$1,0))),NA())</f>
        <v>#N/A</v>
      </c>
      <c r="AF543" t="e">
        <f>IFERROR(IF(INDEX(Aux_puntos!$A$2:$OJ$901,539,MATCH($B$2&amp;"|yC",Aux_puntos!$1:$1,0))="",NA(),INDEX(Aux_puntos!$A$2:$OJ$901,539,MATCH($B$2&amp;"|yC",Aux_puntos!$1:$1,0))),NA())</f>
        <v>#N/A</v>
      </c>
      <c r="AG543" t="e">
        <f>IFERROR(IF(INDEX(Aux_puntos!$A$2:$OJ$901,539,MATCH($B$2&amp;"|xI",Aux_puntos!$1:$1,0))="",NA(),INDEX(Aux_puntos!$A$2:$OJ$901,539,MATCH($B$2&amp;"|xI",Aux_puntos!$1:$1,0))),NA())</f>
        <v>#N/A</v>
      </c>
      <c r="AH543" t="e">
        <f>IFERROR(IF(INDEX(Aux_puntos!$A$2:$OJ$901,539,MATCH($B$2&amp;"|yI",Aux_puntos!$1:$1,0))="",NA(),INDEX(Aux_puntos!$A$2:$OJ$901,539,MATCH($B$2&amp;"|yI",Aux_puntos!$1:$1,0))),NA())</f>
        <v>#N/A</v>
      </c>
      <c r="AI543" t="e">
        <f>IFERROR(IF(INDEX(Aux_puntos!$A$2:$OJ$901,539,MATCH($B$2&amp;"|xN",Aux_puntos!$1:$1,0))="",NA(),INDEX(Aux_puntos!$A$2:$OJ$901,539,MATCH($B$2&amp;"|xN",Aux_puntos!$1:$1,0))),NA())</f>
        <v>#N/A</v>
      </c>
      <c r="AJ543" t="e">
        <f>IFERROR(IF(INDEX(Aux_puntos!$A$2:$OJ$901,539,MATCH($B$2&amp;"|yN",Aux_puntos!$1:$1,0))="",NA(),INDEX(Aux_puntos!$A$2:$OJ$901,539,MATCH($B$2&amp;"|yN",Aux_puntos!$1:$1,0))),NA())</f>
        <v>#N/A</v>
      </c>
    </row>
    <row r="544" spans="29:36" x14ac:dyDescent="0.3">
      <c r="AC544" t="e">
        <f>IFERROR(IF(INDEX(Aux_puntos!$A$2:$OJ$901,540,MATCH($B$2&amp;"|xK",Aux_puntos!$1:$1,0))="",NA(),INDEX(Aux_puntos!$A$2:$OJ$901,540,MATCH($B$2&amp;"|xK",Aux_puntos!$1:$1,0))),NA())</f>
        <v>#N/A</v>
      </c>
      <c r="AD544" t="e">
        <f>IFERROR(IF(INDEX(Aux_puntos!$A$2:$OJ$901,540,MATCH($B$2&amp;"|yK",Aux_puntos!$1:$1,0))="",NA(),INDEX(Aux_puntos!$A$2:$OJ$901,540,MATCH($B$2&amp;"|yK",Aux_puntos!$1:$1,0))),NA())</f>
        <v>#N/A</v>
      </c>
      <c r="AE544" t="e">
        <f>IFERROR(IF(INDEX(Aux_puntos!$A$2:$OJ$901,540,MATCH($B$2&amp;"|xC",Aux_puntos!$1:$1,0))="",NA(),INDEX(Aux_puntos!$A$2:$OJ$901,540,MATCH($B$2&amp;"|xC",Aux_puntos!$1:$1,0))),NA())</f>
        <v>#N/A</v>
      </c>
      <c r="AF544" t="e">
        <f>IFERROR(IF(INDEX(Aux_puntos!$A$2:$OJ$901,540,MATCH($B$2&amp;"|yC",Aux_puntos!$1:$1,0))="",NA(),INDEX(Aux_puntos!$A$2:$OJ$901,540,MATCH($B$2&amp;"|yC",Aux_puntos!$1:$1,0))),NA())</f>
        <v>#N/A</v>
      </c>
      <c r="AG544" t="e">
        <f>IFERROR(IF(INDEX(Aux_puntos!$A$2:$OJ$901,540,MATCH($B$2&amp;"|xI",Aux_puntos!$1:$1,0))="",NA(),INDEX(Aux_puntos!$A$2:$OJ$901,540,MATCH($B$2&amp;"|xI",Aux_puntos!$1:$1,0))),NA())</f>
        <v>#N/A</v>
      </c>
      <c r="AH544" t="e">
        <f>IFERROR(IF(INDEX(Aux_puntos!$A$2:$OJ$901,540,MATCH($B$2&amp;"|yI",Aux_puntos!$1:$1,0))="",NA(),INDEX(Aux_puntos!$A$2:$OJ$901,540,MATCH($B$2&amp;"|yI",Aux_puntos!$1:$1,0))),NA())</f>
        <v>#N/A</v>
      </c>
      <c r="AI544" t="e">
        <f>IFERROR(IF(INDEX(Aux_puntos!$A$2:$OJ$901,540,MATCH($B$2&amp;"|xN",Aux_puntos!$1:$1,0))="",NA(),INDEX(Aux_puntos!$A$2:$OJ$901,540,MATCH($B$2&amp;"|xN",Aux_puntos!$1:$1,0))),NA())</f>
        <v>#N/A</v>
      </c>
      <c r="AJ544" t="e">
        <f>IFERROR(IF(INDEX(Aux_puntos!$A$2:$OJ$901,540,MATCH($B$2&amp;"|yN",Aux_puntos!$1:$1,0))="",NA(),INDEX(Aux_puntos!$A$2:$OJ$901,540,MATCH($B$2&amp;"|yN",Aux_puntos!$1:$1,0))),NA())</f>
        <v>#N/A</v>
      </c>
    </row>
    <row r="545" spans="29:36" x14ac:dyDescent="0.3">
      <c r="AC545" t="e">
        <f>IFERROR(IF(INDEX(Aux_puntos!$A$2:$OJ$901,541,MATCH($B$2&amp;"|xK",Aux_puntos!$1:$1,0))="",NA(),INDEX(Aux_puntos!$A$2:$OJ$901,541,MATCH($B$2&amp;"|xK",Aux_puntos!$1:$1,0))),NA())</f>
        <v>#N/A</v>
      </c>
      <c r="AD545" t="e">
        <f>IFERROR(IF(INDEX(Aux_puntos!$A$2:$OJ$901,541,MATCH($B$2&amp;"|yK",Aux_puntos!$1:$1,0))="",NA(),INDEX(Aux_puntos!$A$2:$OJ$901,541,MATCH($B$2&amp;"|yK",Aux_puntos!$1:$1,0))),NA())</f>
        <v>#N/A</v>
      </c>
      <c r="AE545" t="e">
        <f>IFERROR(IF(INDEX(Aux_puntos!$A$2:$OJ$901,541,MATCH($B$2&amp;"|xC",Aux_puntos!$1:$1,0))="",NA(),INDEX(Aux_puntos!$A$2:$OJ$901,541,MATCH($B$2&amp;"|xC",Aux_puntos!$1:$1,0))),NA())</f>
        <v>#N/A</v>
      </c>
      <c r="AF545" t="e">
        <f>IFERROR(IF(INDEX(Aux_puntos!$A$2:$OJ$901,541,MATCH($B$2&amp;"|yC",Aux_puntos!$1:$1,0))="",NA(),INDEX(Aux_puntos!$A$2:$OJ$901,541,MATCH($B$2&amp;"|yC",Aux_puntos!$1:$1,0))),NA())</f>
        <v>#N/A</v>
      </c>
      <c r="AG545" t="e">
        <f>IFERROR(IF(INDEX(Aux_puntos!$A$2:$OJ$901,541,MATCH($B$2&amp;"|xI",Aux_puntos!$1:$1,0))="",NA(),INDEX(Aux_puntos!$A$2:$OJ$901,541,MATCH($B$2&amp;"|xI",Aux_puntos!$1:$1,0))),NA())</f>
        <v>#N/A</v>
      </c>
      <c r="AH545" t="e">
        <f>IFERROR(IF(INDEX(Aux_puntos!$A$2:$OJ$901,541,MATCH($B$2&amp;"|yI",Aux_puntos!$1:$1,0))="",NA(),INDEX(Aux_puntos!$A$2:$OJ$901,541,MATCH($B$2&amp;"|yI",Aux_puntos!$1:$1,0))),NA())</f>
        <v>#N/A</v>
      </c>
      <c r="AI545" t="e">
        <f>IFERROR(IF(INDEX(Aux_puntos!$A$2:$OJ$901,541,MATCH($B$2&amp;"|xN",Aux_puntos!$1:$1,0))="",NA(),INDEX(Aux_puntos!$A$2:$OJ$901,541,MATCH($B$2&amp;"|xN",Aux_puntos!$1:$1,0))),NA())</f>
        <v>#N/A</v>
      </c>
      <c r="AJ545" t="e">
        <f>IFERROR(IF(INDEX(Aux_puntos!$A$2:$OJ$901,541,MATCH($B$2&amp;"|yN",Aux_puntos!$1:$1,0))="",NA(),INDEX(Aux_puntos!$A$2:$OJ$901,541,MATCH($B$2&amp;"|yN",Aux_puntos!$1:$1,0))),NA())</f>
        <v>#N/A</v>
      </c>
    </row>
    <row r="546" spans="29:36" x14ac:dyDescent="0.3">
      <c r="AC546" t="e">
        <f>IFERROR(IF(INDEX(Aux_puntos!$A$2:$OJ$901,542,MATCH($B$2&amp;"|xK",Aux_puntos!$1:$1,0))="",NA(),INDEX(Aux_puntos!$A$2:$OJ$901,542,MATCH($B$2&amp;"|xK",Aux_puntos!$1:$1,0))),NA())</f>
        <v>#N/A</v>
      </c>
      <c r="AD546" t="e">
        <f>IFERROR(IF(INDEX(Aux_puntos!$A$2:$OJ$901,542,MATCH($B$2&amp;"|yK",Aux_puntos!$1:$1,0))="",NA(),INDEX(Aux_puntos!$A$2:$OJ$901,542,MATCH($B$2&amp;"|yK",Aux_puntos!$1:$1,0))),NA())</f>
        <v>#N/A</v>
      </c>
      <c r="AE546" t="e">
        <f>IFERROR(IF(INDEX(Aux_puntos!$A$2:$OJ$901,542,MATCH($B$2&amp;"|xC",Aux_puntos!$1:$1,0))="",NA(),INDEX(Aux_puntos!$A$2:$OJ$901,542,MATCH($B$2&amp;"|xC",Aux_puntos!$1:$1,0))),NA())</f>
        <v>#N/A</v>
      </c>
      <c r="AF546" t="e">
        <f>IFERROR(IF(INDEX(Aux_puntos!$A$2:$OJ$901,542,MATCH($B$2&amp;"|yC",Aux_puntos!$1:$1,0))="",NA(),INDEX(Aux_puntos!$A$2:$OJ$901,542,MATCH($B$2&amp;"|yC",Aux_puntos!$1:$1,0))),NA())</f>
        <v>#N/A</v>
      </c>
      <c r="AG546" t="e">
        <f>IFERROR(IF(INDEX(Aux_puntos!$A$2:$OJ$901,542,MATCH($B$2&amp;"|xI",Aux_puntos!$1:$1,0))="",NA(),INDEX(Aux_puntos!$A$2:$OJ$901,542,MATCH($B$2&amp;"|xI",Aux_puntos!$1:$1,0))),NA())</f>
        <v>#N/A</v>
      </c>
      <c r="AH546" t="e">
        <f>IFERROR(IF(INDEX(Aux_puntos!$A$2:$OJ$901,542,MATCH($B$2&amp;"|yI",Aux_puntos!$1:$1,0))="",NA(),INDEX(Aux_puntos!$A$2:$OJ$901,542,MATCH($B$2&amp;"|yI",Aux_puntos!$1:$1,0))),NA())</f>
        <v>#N/A</v>
      </c>
      <c r="AI546" t="e">
        <f>IFERROR(IF(INDEX(Aux_puntos!$A$2:$OJ$901,542,MATCH($B$2&amp;"|xN",Aux_puntos!$1:$1,0))="",NA(),INDEX(Aux_puntos!$A$2:$OJ$901,542,MATCH($B$2&amp;"|xN",Aux_puntos!$1:$1,0))),NA())</f>
        <v>#N/A</v>
      </c>
      <c r="AJ546" t="e">
        <f>IFERROR(IF(INDEX(Aux_puntos!$A$2:$OJ$901,542,MATCH($B$2&amp;"|yN",Aux_puntos!$1:$1,0))="",NA(),INDEX(Aux_puntos!$A$2:$OJ$901,542,MATCH($B$2&amp;"|yN",Aux_puntos!$1:$1,0))),NA())</f>
        <v>#N/A</v>
      </c>
    </row>
    <row r="547" spans="29:36" x14ac:dyDescent="0.3">
      <c r="AC547" t="e">
        <f>IFERROR(IF(INDEX(Aux_puntos!$A$2:$OJ$901,543,MATCH($B$2&amp;"|xK",Aux_puntos!$1:$1,0))="",NA(),INDEX(Aux_puntos!$A$2:$OJ$901,543,MATCH($B$2&amp;"|xK",Aux_puntos!$1:$1,0))),NA())</f>
        <v>#N/A</v>
      </c>
      <c r="AD547" t="e">
        <f>IFERROR(IF(INDEX(Aux_puntos!$A$2:$OJ$901,543,MATCH($B$2&amp;"|yK",Aux_puntos!$1:$1,0))="",NA(),INDEX(Aux_puntos!$A$2:$OJ$901,543,MATCH($B$2&amp;"|yK",Aux_puntos!$1:$1,0))),NA())</f>
        <v>#N/A</v>
      </c>
      <c r="AE547" t="e">
        <f>IFERROR(IF(INDEX(Aux_puntos!$A$2:$OJ$901,543,MATCH($B$2&amp;"|xC",Aux_puntos!$1:$1,0))="",NA(),INDEX(Aux_puntos!$A$2:$OJ$901,543,MATCH($B$2&amp;"|xC",Aux_puntos!$1:$1,0))),NA())</f>
        <v>#N/A</v>
      </c>
      <c r="AF547" t="e">
        <f>IFERROR(IF(INDEX(Aux_puntos!$A$2:$OJ$901,543,MATCH($B$2&amp;"|yC",Aux_puntos!$1:$1,0))="",NA(),INDEX(Aux_puntos!$A$2:$OJ$901,543,MATCH($B$2&amp;"|yC",Aux_puntos!$1:$1,0))),NA())</f>
        <v>#N/A</v>
      </c>
      <c r="AG547" t="e">
        <f>IFERROR(IF(INDEX(Aux_puntos!$A$2:$OJ$901,543,MATCH($B$2&amp;"|xI",Aux_puntos!$1:$1,0))="",NA(),INDEX(Aux_puntos!$A$2:$OJ$901,543,MATCH($B$2&amp;"|xI",Aux_puntos!$1:$1,0))),NA())</f>
        <v>#N/A</v>
      </c>
      <c r="AH547" t="e">
        <f>IFERROR(IF(INDEX(Aux_puntos!$A$2:$OJ$901,543,MATCH($B$2&amp;"|yI",Aux_puntos!$1:$1,0))="",NA(),INDEX(Aux_puntos!$A$2:$OJ$901,543,MATCH($B$2&amp;"|yI",Aux_puntos!$1:$1,0))),NA())</f>
        <v>#N/A</v>
      </c>
      <c r="AI547" t="e">
        <f>IFERROR(IF(INDEX(Aux_puntos!$A$2:$OJ$901,543,MATCH($B$2&amp;"|xN",Aux_puntos!$1:$1,0))="",NA(),INDEX(Aux_puntos!$A$2:$OJ$901,543,MATCH($B$2&amp;"|xN",Aux_puntos!$1:$1,0))),NA())</f>
        <v>#N/A</v>
      </c>
      <c r="AJ547" t="e">
        <f>IFERROR(IF(INDEX(Aux_puntos!$A$2:$OJ$901,543,MATCH($B$2&amp;"|yN",Aux_puntos!$1:$1,0))="",NA(),INDEX(Aux_puntos!$A$2:$OJ$901,543,MATCH($B$2&amp;"|yN",Aux_puntos!$1:$1,0))),NA())</f>
        <v>#N/A</v>
      </c>
    </row>
    <row r="548" spans="29:36" x14ac:dyDescent="0.3">
      <c r="AC548" t="e">
        <f>IFERROR(IF(INDEX(Aux_puntos!$A$2:$OJ$901,544,MATCH($B$2&amp;"|xK",Aux_puntos!$1:$1,0))="",NA(),INDEX(Aux_puntos!$A$2:$OJ$901,544,MATCH($B$2&amp;"|xK",Aux_puntos!$1:$1,0))),NA())</f>
        <v>#N/A</v>
      </c>
      <c r="AD548" t="e">
        <f>IFERROR(IF(INDEX(Aux_puntos!$A$2:$OJ$901,544,MATCH($B$2&amp;"|yK",Aux_puntos!$1:$1,0))="",NA(),INDEX(Aux_puntos!$A$2:$OJ$901,544,MATCH($B$2&amp;"|yK",Aux_puntos!$1:$1,0))),NA())</f>
        <v>#N/A</v>
      </c>
      <c r="AE548" t="e">
        <f>IFERROR(IF(INDEX(Aux_puntos!$A$2:$OJ$901,544,MATCH($B$2&amp;"|xC",Aux_puntos!$1:$1,0))="",NA(),INDEX(Aux_puntos!$A$2:$OJ$901,544,MATCH($B$2&amp;"|xC",Aux_puntos!$1:$1,0))),NA())</f>
        <v>#N/A</v>
      </c>
      <c r="AF548" t="e">
        <f>IFERROR(IF(INDEX(Aux_puntos!$A$2:$OJ$901,544,MATCH($B$2&amp;"|yC",Aux_puntos!$1:$1,0))="",NA(),INDEX(Aux_puntos!$A$2:$OJ$901,544,MATCH($B$2&amp;"|yC",Aux_puntos!$1:$1,0))),NA())</f>
        <v>#N/A</v>
      </c>
      <c r="AG548" t="e">
        <f>IFERROR(IF(INDEX(Aux_puntos!$A$2:$OJ$901,544,MATCH($B$2&amp;"|xI",Aux_puntos!$1:$1,0))="",NA(),INDEX(Aux_puntos!$A$2:$OJ$901,544,MATCH($B$2&amp;"|xI",Aux_puntos!$1:$1,0))),NA())</f>
        <v>#N/A</v>
      </c>
      <c r="AH548" t="e">
        <f>IFERROR(IF(INDEX(Aux_puntos!$A$2:$OJ$901,544,MATCH($B$2&amp;"|yI",Aux_puntos!$1:$1,0))="",NA(),INDEX(Aux_puntos!$A$2:$OJ$901,544,MATCH($B$2&amp;"|yI",Aux_puntos!$1:$1,0))),NA())</f>
        <v>#N/A</v>
      </c>
      <c r="AI548" t="e">
        <f>IFERROR(IF(INDEX(Aux_puntos!$A$2:$OJ$901,544,MATCH($B$2&amp;"|xN",Aux_puntos!$1:$1,0))="",NA(),INDEX(Aux_puntos!$A$2:$OJ$901,544,MATCH($B$2&amp;"|xN",Aux_puntos!$1:$1,0))),NA())</f>
        <v>#N/A</v>
      </c>
      <c r="AJ548" t="e">
        <f>IFERROR(IF(INDEX(Aux_puntos!$A$2:$OJ$901,544,MATCH($B$2&amp;"|yN",Aux_puntos!$1:$1,0))="",NA(),INDEX(Aux_puntos!$A$2:$OJ$901,544,MATCH($B$2&amp;"|yN",Aux_puntos!$1:$1,0))),NA())</f>
        <v>#N/A</v>
      </c>
    </row>
    <row r="549" spans="29:36" x14ac:dyDescent="0.3">
      <c r="AC549" t="e">
        <f>IFERROR(IF(INDEX(Aux_puntos!$A$2:$OJ$901,545,MATCH($B$2&amp;"|xK",Aux_puntos!$1:$1,0))="",NA(),INDEX(Aux_puntos!$A$2:$OJ$901,545,MATCH($B$2&amp;"|xK",Aux_puntos!$1:$1,0))),NA())</f>
        <v>#N/A</v>
      </c>
      <c r="AD549" t="e">
        <f>IFERROR(IF(INDEX(Aux_puntos!$A$2:$OJ$901,545,MATCH($B$2&amp;"|yK",Aux_puntos!$1:$1,0))="",NA(),INDEX(Aux_puntos!$A$2:$OJ$901,545,MATCH($B$2&amp;"|yK",Aux_puntos!$1:$1,0))),NA())</f>
        <v>#N/A</v>
      </c>
      <c r="AE549" t="e">
        <f>IFERROR(IF(INDEX(Aux_puntos!$A$2:$OJ$901,545,MATCH($B$2&amp;"|xC",Aux_puntos!$1:$1,0))="",NA(),INDEX(Aux_puntos!$A$2:$OJ$901,545,MATCH($B$2&amp;"|xC",Aux_puntos!$1:$1,0))),NA())</f>
        <v>#N/A</v>
      </c>
      <c r="AF549" t="e">
        <f>IFERROR(IF(INDEX(Aux_puntos!$A$2:$OJ$901,545,MATCH($B$2&amp;"|yC",Aux_puntos!$1:$1,0))="",NA(),INDEX(Aux_puntos!$A$2:$OJ$901,545,MATCH($B$2&amp;"|yC",Aux_puntos!$1:$1,0))),NA())</f>
        <v>#N/A</v>
      </c>
      <c r="AG549" t="e">
        <f>IFERROR(IF(INDEX(Aux_puntos!$A$2:$OJ$901,545,MATCH($B$2&amp;"|xI",Aux_puntos!$1:$1,0))="",NA(),INDEX(Aux_puntos!$A$2:$OJ$901,545,MATCH($B$2&amp;"|xI",Aux_puntos!$1:$1,0))),NA())</f>
        <v>#N/A</v>
      </c>
      <c r="AH549" t="e">
        <f>IFERROR(IF(INDEX(Aux_puntos!$A$2:$OJ$901,545,MATCH($B$2&amp;"|yI",Aux_puntos!$1:$1,0))="",NA(),INDEX(Aux_puntos!$A$2:$OJ$901,545,MATCH($B$2&amp;"|yI",Aux_puntos!$1:$1,0))),NA())</f>
        <v>#N/A</v>
      </c>
      <c r="AI549" t="e">
        <f>IFERROR(IF(INDEX(Aux_puntos!$A$2:$OJ$901,545,MATCH($B$2&amp;"|xN",Aux_puntos!$1:$1,0))="",NA(),INDEX(Aux_puntos!$A$2:$OJ$901,545,MATCH($B$2&amp;"|xN",Aux_puntos!$1:$1,0))),NA())</f>
        <v>#N/A</v>
      </c>
      <c r="AJ549" t="e">
        <f>IFERROR(IF(INDEX(Aux_puntos!$A$2:$OJ$901,545,MATCH($B$2&amp;"|yN",Aux_puntos!$1:$1,0))="",NA(),INDEX(Aux_puntos!$A$2:$OJ$901,545,MATCH($B$2&amp;"|yN",Aux_puntos!$1:$1,0))),NA())</f>
        <v>#N/A</v>
      </c>
    </row>
    <row r="550" spans="29:36" x14ac:dyDescent="0.3">
      <c r="AC550" t="e">
        <f>IFERROR(IF(INDEX(Aux_puntos!$A$2:$OJ$901,546,MATCH($B$2&amp;"|xK",Aux_puntos!$1:$1,0))="",NA(),INDEX(Aux_puntos!$A$2:$OJ$901,546,MATCH($B$2&amp;"|xK",Aux_puntos!$1:$1,0))),NA())</f>
        <v>#N/A</v>
      </c>
      <c r="AD550" t="e">
        <f>IFERROR(IF(INDEX(Aux_puntos!$A$2:$OJ$901,546,MATCH($B$2&amp;"|yK",Aux_puntos!$1:$1,0))="",NA(),INDEX(Aux_puntos!$A$2:$OJ$901,546,MATCH($B$2&amp;"|yK",Aux_puntos!$1:$1,0))),NA())</f>
        <v>#N/A</v>
      </c>
      <c r="AE550" t="e">
        <f>IFERROR(IF(INDEX(Aux_puntos!$A$2:$OJ$901,546,MATCH($B$2&amp;"|xC",Aux_puntos!$1:$1,0))="",NA(),INDEX(Aux_puntos!$A$2:$OJ$901,546,MATCH($B$2&amp;"|xC",Aux_puntos!$1:$1,0))),NA())</f>
        <v>#N/A</v>
      </c>
      <c r="AF550" t="e">
        <f>IFERROR(IF(INDEX(Aux_puntos!$A$2:$OJ$901,546,MATCH($B$2&amp;"|yC",Aux_puntos!$1:$1,0))="",NA(),INDEX(Aux_puntos!$A$2:$OJ$901,546,MATCH($B$2&amp;"|yC",Aux_puntos!$1:$1,0))),NA())</f>
        <v>#N/A</v>
      </c>
      <c r="AG550" t="e">
        <f>IFERROR(IF(INDEX(Aux_puntos!$A$2:$OJ$901,546,MATCH($B$2&amp;"|xI",Aux_puntos!$1:$1,0))="",NA(),INDEX(Aux_puntos!$A$2:$OJ$901,546,MATCH($B$2&amp;"|xI",Aux_puntos!$1:$1,0))),NA())</f>
        <v>#N/A</v>
      </c>
      <c r="AH550" t="e">
        <f>IFERROR(IF(INDEX(Aux_puntos!$A$2:$OJ$901,546,MATCH($B$2&amp;"|yI",Aux_puntos!$1:$1,0))="",NA(),INDEX(Aux_puntos!$A$2:$OJ$901,546,MATCH($B$2&amp;"|yI",Aux_puntos!$1:$1,0))),NA())</f>
        <v>#N/A</v>
      </c>
      <c r="AI550" t="e">
        <f>IFERROR(IF(INDEX(Aux_puntos!$A$2:$OJ$901,546,MATCH($B$2&amp;"|xN",Aux_puntos!$1:$1,0))="",NA(),INDEX(Aux_puntos!$A$2:$OJ$901,546,MATCH($B$2&amp;"|xN",Aux_puntos!$1:$1,0))),NA())</f>
        <v>#N/A</v>
      </c>
      <c r="AJ550" t="e">
        <f>IFERROR(IF(INDEX(Aux_puntos!$A$2:$OJ$901,546,MATCH($B$2&amp;"|yN",Aux_puntos!$1:$1,0))="",NA(),INDEX(Aux_puntos!$A$2:$OJ$901,546,MATCH($B$2&amp;"|yN",Aux_puntos!$1:$1,0))),NA())</f>
        <v>#N/A</v>
      </c>
    </row>
    <row r="551" spans="29:36" x14ac:dyDescent="0.3">
      <c r="AC551" t="e">
        <f>IFERROR(IF(INDEX(Aux_puntos!$A$2:$OJ$901,547,MATCH($B$2&amp;"|xK",Aux_puntos!$1:$1,0))="",NA(),INDEX(Aux_puntos!$A$2:$OJ$901,547,MATCH($B$2&amp;"|xK",Aux_puntos!$1:$1,0))),NA())</f>
        <v>#N/A</v>
      </c>
      <c r="AD551" t="e">
        <f>IFERROR(IF(INDEX(Aux_puntos!$A$2:$OJ$901,547,MATCH($B$2&amp;"|yK",Aux_puntos!$1:$1,0))="",NA(),INDEX(Aux_puntos!$A$2:$OJ$901,547,MATCH($B$2&amp;"|yK",Aux_puntos!$1:$1,0))),NA())</f>
        <v>#N/A</v>
      </c>
      <c r="AE551" t="e">
        <f>IFERROR(IF(INDEX(Aux_puntos!$A$2:$OJ$901,547,MATCH($B$2&amp;"|xC",Aux_puntos!$1:$1,0))="",NA(),INDEX(Aux_puntos!$A$2:$OJ$901,547,MATCH($B$2&amp;"|xC",Aux_puntos!$1:$1,0))),NA())</f>
        <v>#N/A</v>
      </c>
      <c r="AF551" t="e">
        <f>IFERROR(IF(INDEX(Aux_puntos!$A$2:$OJ$901,547,MATCH($B$2&amp;"|yC",Aux_puntos!$1:$1,0))="",NA(),INDEX(Aux_puntos!$A$2:$OJ$901,547,MATCH($B$2&amp;"|yC",Aux_puntos!$1:$1,0))),NA())</f>
        <v>#N/A</v>
      </c>
      <c r="AG551" t="e">
        <f>IFERROR(IF(INDEX(Aux_puntos!$A$2:$OJ$901,547,MATCH($B$2&amp;"|xI",Aux_puntos!$1:$1,0))="",NA(),INDEX(Aux_puntos!$A$2:$OJ$901,547,MATCH($B$2&amp;"|xI",Aux_puntos!$1:$1,0))),NA())</f>
        <v>#N/A</v>
      </c>
      <c r="AH551" t="e">
        <f>IFERROR(IF(INDEX(Aux_puntos!$A$2:$OJ$901,547,MATCH($B$2&amp;"|yI",Aux_puntos!$1:$1,0))="",NA(),INDEX(Aux_puntos!$A$2:$OJ$901,547,MATCH($B$2&amp;"|yI",Aux_puntos!$1:$1,0))),NA())</f>
        <v>#N/A</v>
      </c>
      <c r="AI551" t="e">
        <f>IFERROR(IF(INDEX(Aux_puntos!$A$2:$OJ$901,547,MATCH($B$2&amp;"|xN",Aux_puntos!$1:$1,0))="",NA(),INDEX(Aux_puntos!$A$2:$OJ$901,547,MATCH($B$2&amp;"|xN",Aux_puntos!$1:$1,0))),NA())</f>
        <v>#N/A</v>
      </c>
      <c r="AJ551" t="e">
        <f>IFERROR(IF(INDEX(Aux_puntos!$A$2:$OJ$901,547,MATCH($B$2&amp;"|yN",Aux_puntos!$1:$1,0))="",NA(),INDEX(Aux_puntos!$A$2:$OJ$901,547,MATCH($B$2&amp;"|yN",Aux_puntos!$1:$1,0))),NA())</f>
        <v>#N/A</v>
      </c>
    </row>
    <row r="552" spans="29:36" x14ac:dyDescent="0.3">
      <c r="AC552" t="e">
        <f>IFERROR(IF(INDEX(Aux_puntos!$A$2:$OJ$901,548,MATCH($B$2&amp;"|xK",Aux_puntos!$1:$1,0))="",NA(),INDEX(Aux_puntos!$A$2:$OJ$901,548,MATCH($B$2&amp;"|xK",Aux_puntos!$1:$1,0))),NA())</f>
        <v>#N/A</v>
      </c>
      <c r="AD552" t="e">
        <f>IFERROR(IF(INDEX(Aux_puntos!$A$2:$OJ$901,548,MATCH($B$2&amp;"|yK",Aux_puntos!$1:$1,0))="",NA(),INDEX(Aux_puntos!$A$2:$OJ$901,548,MATCH($B$2&amp;"|yK",Aux_puntos!$1:$1,0))),NA())</f>
        <v>#N/A</v>
      </c>
      <c r="AE552" t="e">
        <f>IFERROR(IF(INDEX(Aux_puntos!$A$2:$OJ$901,548,MATCH($B$2&amp;"|xC",Aux_puntos!$1:$1,0))="",NA(),INDEX(Aux_puntos!$A$2:$OJ$901,548,MATCH($B$2&amp;"|xC",Aux_puntos!$1:$1,0))),NA())</f>
        <v>#N/A</v>
      </c>
      <c r="AF552" t="e">
        <f>IFERROR(IF(INDEX(Aux_puntos!$A$2:$OJ$901,548,MATCH($B$2&amp;"|yC",Aux_puntos!$1:$1,0))="",NA(),INDEX(Aux_puntos!$A$2:$OJ$901,548,MATCH($B$2&amp;"|yC",Aux_puntos!$1:$1,0))),NA())</f>
        <v>#N/A</v>
      </c>
      <c r="AG552" t="e">
        <f>IFERROR(IF(INDEX(Aux_puntos!$A$2:$OJ$901,548,MATCH($B$2&amp;"|xI",Aux_puntos!$1:$1,0))="",NA(),INDEX(Aux_puntos!$A$2:$OJ$901,548,MATCH($B$2&amp;"|xI",Aux_puntos!$1:$1,0))),NA())</f>
        <v>#N/A</v>
      </c>
      <c r="AH552" t="e">
        <f>IFERROR(IF(INDEX(Aux_puntos!$A$2:$OJ$901,548,MATCH($B$2&amp;"|yI",Aux_puntos!$1:$1,0))="",NA(),INDEX(Aux_puntos!$A$2:$OJ$901,548,MATCH($B$2&amp;"|yI",Aux_puntos!$1:$1,0))),NA())</f>
        <v>#N/A</v>
      </c>
      <c r="AI552" t="e">
        <f>IFERROR(IF(INDEX(Aux_puntos!$A$2:$OJ$901,548,MATCH($B$2&amp;"|xN",Aux_puntos!$1:$1,0))="",NA(),INDEX(Aux_puntos!$A$2:$OJ$901,548,MATCH($B$2&amp;"|xN",Aux_puntos!$1:$1,0))),NA())</f>
        <v>#N/A</v>
      </c>
      <c r="AJ552" t="e">
        <f>IFERROR(IF(INDEX(Aux_puntos!$A$2:$OJ$901,548,MATCH($B$2&amp;"|yN",Aux_puntos!$1:$1,0))="",NA(),INDEX(Aux_puntos!$A$2:$OJ$901,548,MATCH($B$2&amp;"|yN",Aux_puntos!$1:$1,0))),NA())</f>
        <v>#N/A</v>
      </c>
    </row>
    <row r="553" spans="29:36" x14ac:dyDescent="0.3">
      <c r="AC553" t="e">
        <f>IFERROR(IF(INDEX(Aux_puntos!$A$2:$OJ$901,549,MATCH($B$2&amp;"|xK",Aux_puntos!$1:$1,0))="",NA(),INDEX(Aux_puntos!$A$2:$OJ$901,549,MATCH($B$2&amp;"|xK",Aux_puntos!$1:$1,0))),NA())</f>
        <v>#N/A</v>
      </c>
      <c r="AD553" t="e">
        <f>IFERROR(IF(INDEX(Aux_puntos!$A$2:$OJ$901,549,MATCH($B$2&amp;"|yK",Aux_puntos!$1:$1,0))="",NA(),INDEX(Aux_puntos!$A$2:$OJ$901,549,MATCH($B$2&amp;"|yK",Aux_puntos!$1:$1,0))),NA())</f>
        <v>#N/A</v>
      </c>
      <c r="AE553" t="e">
        <f>IFERROR(IF(INDEX(Aux_puntos!$A$2:$OJ$901,549,MATCH($B$2&amp;"|xC",Aux_puntos!$1:$1,0))="",NA(),INDEX(Aux_puntos!$A$2:$OJ$901,549,MATCH($B$2&amp;"|xC",Aux_puntos!$1:$1,0))),NA())</f>
        <v>#N/A</v>
      </c>
      <c r="AF553" t="e">
        <f>IFERROR(IF(INDEX(Aux_puntos!$A$2:$OJ$901,549,MATCH($B$2&amp;"|yC",Aux_puntos!$1:$1,0))="",NA(),INDEX(Aux_puntos!$A$2:$OJ$901,549,MATCH($B$2&amp;"|yC",Aux_puntos!$1:$1,0))),NA())</f>
        <v>#N/A</v>
      </c>
      <c r="AG553" t="e">
        <f>IFERROR(IF(INDEX(Aux_puntos!$A$2:$OJ$901,549,MATCH($B$2&amp;"|xI",Aux_puntos!$1:$1,0))="",NA(),INDEX(Aux_puntos!$A$2:$OJ$901,549,MATCH($B$2&amp;"|xI",Aux_puntos!$1:$1,0))),NA())</f>
        <v>#N/A</v>
      </c>
      <c r="AH553" t="e">
        <f>IFERROR(IF(INDEX(Aux_puntos!$A$2:$OJ$901,549,MATCH($B$2&amp;"|yI",Aux_puntos!$1:$1,0))="",NA(),INDEX(Aux_puntos!$A$2:$OJ$901,549,MATCH($B$2&amp;"|yI",Aux_puntos!$1:$1,0))),NA())</f>
        <v>#N/A</v>
      </c>
      <c r="AI553" t="e">
        <f>IFERROR(IF(INDEX(Aux_puntos!$A$2:$OJ$901,549,MATCH($B$2&amp;"|xN",Aux_puntos!$1:$1,0))="",NA(),INDEX(Aux_puntos!$A$2:$OJ$901,549,MATCH($B$2&amp;"|xN",Aux_puntos!$1:$1,0))),NA())</f>
        <v>#N/A</v>
      </c>
      <c r="AJ553" t="e">
        <f>IFERROR(IF(INDEX(Aux_puntos!$A$2:$OJ$901,549,MATCH($B$2&amp;"|yN",Aux_puntos!$1:$1,0))="",NA(),INDEX(Aux_puntos!$A$2:$OJ$901,549,MATCH($B$2&amp;"|yN",Aux_puntos!$1:$1,0))),NA())</f>
        <v>#N/A</v>
      </c>
    </row>
    <row r="554" spans="29:36" x14ac:dyDescent="0.3">
      <c r="AC554" t="e">
        <f>IFERROR(IF(INDEX(Aux_puntos!$A$2:$OJ$901,550,MATCH($B$2&amp;"|xK",Aux_puntos!$1:$1,0))="",NA(),INDEX(Aux_puntos!$A$2:$OJ$901,550,MATCH($B$2&amp;"|xK",Aux_puntos!$1:$1,0))),NA())</f>
        <v>#N/A</v>
      </c>
      <c r="AD554" t="e">
        <f>IFERROR(IF(INDEX(Aux_puntos!$A$2:$OJ$901,550,MATCH($B$2&amp;"|yK",Aux_puntos!$1:$1,0))="",NA(),INDEX(Aux_puntos!$A$2:$OJ$901,550,MATCH($B$2&amp;"|yK",Aux_puntos!$1:$1,0))),NA())</f>
        <v>#N/A</v>
      </c>
      <c r="AE554" t="e">
        <f>IFERROR(IF(INDEX(Aux_puntos!$A$2:$OJ$901,550,MATCH($B$2&amp;"|xC",Aux_puntos!$1:$1,0))="",NA(),INDEX(Aux_puntos!$A$2:$OJ$901,550,MATCH($B$2&amp;"|xC",Aux_puntos!$1:$1,0))),NA())</f>
        <v>#N/A</v>
      </c>
      <c r="AF554" t="e">
        <f>IFERROR(IF(INDEX(Aux_puntos!$A$2:$OJ$901,550,MATCH($B$2&amp;"|yC",Aux_puntos!$1:$1,0))="",NA(),INDEX(Aux_puntos!$A$2:$OJ$901,550,MATCH($B$2&amp;"|yC",Aux_puntos!$1:$1,0))),NA())</f>
        <v>#N/A</v>
      </c>
      <c r="AG554" t="e">
        <f>IFERROR(IF(INDEX(Aux_puntos!$A$2:$OJ$901,550,MATCH($B$2&amp;"|xI",Aux_puntos!$1:$1,0))="",NA(),INDEX(Aux_puntos!$A$2:$OJ$901,550,MATCH($B$2&amp;"|xI",Aux_puntos!$1:$1,0))),NA())</f>
        <v>#N/A</v>
      </c>
      <c r="AH554" t="e">
        <f>IFERROR(IF(INDEX(Aux_puntos!$A$2:$OJ$901,550,MATCH($B$2&amp;"|yI",Aux_puntos!$1:$1,0))="",NA(),INDEX(Aux_puntos!$A$2:$OJ$901,550,MATCH($B$2&amp;"|yI",Aux_puntos!$1:$1,0))),NA())</f>
        <v>#N/A</v>
      </c>
      <c r="AI554" t="e">
        <f>IFERROR(IF(INDEX(Aux_puntos!$A$2:$OJ$901,550,MATCH($B$2&amp;"|xN",Aux_puntos!$1:$1,0))="",NA(),INDEX(Aux_puntos!$A$2:$OJ$901,550,MATCH($B$2&amp;"|xN",Aux_puntos!$1:$1,0))),NA())</f>
        <v>#N/A</v>
      </c>
      <c r="AJ554" t="e">
        <f>IFERROR(IF(INDEX(Aux_puntos!$A$2:$OJ$901,550,MATCH($B$2&amp;"|yN",Aux_puntos!$1:$1,0))="",NA(),INDEX(Aux_puntos!$A$2:$OJ$901,550,MATCH($B$2&amp;"|yN",Aux_puntos!$1:$1,0))),NA())</f>
        <v>#N/A</v>
      </c>
    </row>
    <row r="555" spans="29:36" x14ac:dyDescent="0.3">
      <c r="AC555" t="e">
        <f>IFERROR(IF(INDEX(Aux_puntos!$A$2:$OJ$901,551,MATCH($B$2&amp;"|xK",Aux_puntos!$1:$1,0))="",NA(),INDEX(Aux_puntos!$A$2:$OJ$901,551,MATCH($B$2&amp;"|xK",Aux_puntos!$1:$1,0))),NA())</f>
        <v>#N/A</v>
      </c>
      <c r="AD555" t="e">
        <f>IFERROR(IF(INDEX(Aux_puntos!$A$2:$OJ$901,551,MATCH($B$2&amp;"|yK",Aux_puntos!$1:$1,0))="",NA(),INDEX(Aux_puntos!$A$2:$OJ$901,551,MATCH($B$2&amp;"|yK",Aux_puntos!$1:$1,0))),NA())</f>
        <v>#N/A</v>
      </c>
      <c r="AE555" t="e">
        <f>IFERROR(IF(INDEX(Aux_puntos!$A$2:$OJ$901,551,MATCH($B$2&amp;"|xC",Aux_puntos!$1:$1,0))="",NA(),INDEX(Aux_puntos!$A$2:$OJ$901,551,MATCH($B$2&amp;"|xC",Aux_puntos!$1:$1,0))),NA())</f>
        <v>#N/A</v>
      </c>
      <c r="AF555" t="e">
        <f>IFERROR(IF(INDEX(Aux_puntos!$A$2:$OJ$901,551,MATCH($B$2&amp;"|yC",Aux_puntos!$1:$1,0))="",NA(),INDEX(Aux_puntos!$A$2:$OJ$901,551,MATCH($B$2&amp;"|yC",Aux_puntos!$1:$1,0))),NA())</f>
        <v>#N/A</v>
      </c>
      <c r="AG555" t="e">
        <f>IFERROR(IF(INDEX(Aux_puntos!$A$2:$OJ$901,551,MATCH($B$2&amp;"|xI",Aux_puntos!$1:$1,0))="",NA(),INDEX(Aux_puntos!$A$2:$OJ$901,551,MATCH($B$2&amp;"|xI",Aux_puntos!$1:$1,0))),NA())</f>
        <v>#N/A</v>
      </c>
      <c r="AH555" t="e">
        <f>IFERROR(IF(INDEX(Aux_puntos!$A$2:$OJ$901,551,MATCH($B$2&amp;"|yI",Aux_puntos!$1:$1,0))="",NA(),INDEX(Aux_puntos!$A$2:$OJ$901,551,MATCH($B$2&amp;"|yI",Aux_puntos!$1:$1,0))),NA())</f>
        <v>#N/A</v>
      </c>
      <c r="AI555" t="e">
        <f>IFERROR(IF(INDEX(Aux_puntos!$A$2:$OJ$901,551,MATCH($B$2&amp;"|xN",Aux_puntos!$1:$1,0))="",NA(),INDEX(Aux_puntos!$A$2:$OJ$901,551,MATCH($B$2&amp;"|xN",Aux_puntos!$1:$1,0))),NA())</f>
        <v>#N/A</v>
      </c>
      <c r="AJ555" t="e">
        <f>IFERROR(IF(INDEX(Aux_puntos!$A$2:$OJ$901,551,MATCH($B$2&amp;"|yN",Aux_puntos!$1:$1,0))="",NA(),INDEX(Aux_puntos!$A$2:$OJ$901,551,MATCH($B$2&amp;"|yN",Aux_puntos!$1:$1,0))),NA())</f>
        <v>#N/A</v>
      </c>
    </row>
    <row r="556" spans="29:36" x14ac:dyDescent="0.3">
      <c r="AC556" t="e">
        <f>IFERROR(IF(INDEX(Aux_puntos!$A$2:$OJ$901,552,MATCH($B$2&amp;"|xK",Aux_puntos!$1:$1,0))="",NA(),INDEX(Aux_puntos!$A$2:$OJ$901,552,MATCH($B$2&amp;"|xK",Aux_puntos!$1:$1,0))),NA())</f>
        <v>#N/A</v>
      </c>
      <c r="AD556" t="e">
        <f>IFERROR(IF(INDEX(Aux_puntos!$A$2:$OJ$901,552,MATCH($B$2&amp;"|yK",Aux_puntos!$1:$1,0))="",NA(),INDEX(Aux_puntos!$A$2:$OJ$901,552,MATCH($B$2&amp;"|yK",Aux_puntos!$1:$1,0))),NA())</f>
        <v>#N/A</v>
      </c>
      <c r="AE556" t="e">
        <f>IFERROR(IF(INDEX(Aux_puntos!$A$2:$OJ$901,552,MATCH($B$2&amp;"|xC",Aux_puntos!$1:$1,0))="",NA(),INDEX(Aux_puntos!$A$2:$OJ$901,552,MATCH($B$2&amp;"|xC",Aux_puntos!$1:$1,0))),NA())</f>
        <v>#N/A</v>
      </c>
      <c r="AF556" t="e">
        <f>IFERROR(IF(INDEX(Aux_puntos!$A$2:$OJ$901,552,MATCH($B$2&amp;"|yC",Aux_puntos!$1:$1,0))="",NA(),INDEX(Aux_puntos!$A$2:$OJ$901,552,MATCH($B$2&amp;"|yC",Aux_puntos!$1:$1,0))),NA())</f>
        <v>#N/A</v>
      </c>
      <c r="AG556" t="e">
        <f>IFERROR(IF(INDEX(Aux_puntos!$A$2:$OJ$901,552,MATCH($B$2&amp;"|xI",Aux_puntos!$1:$1,0))="",NA(),INDEX(Aux_puntos!$A$2:$OJ$901,552,MATCH($B$2&amp;"|xI",Aux_puntos!$1:$1,0))),NA())</f>
        <v>#N/A</v>
      </c>
      <c r="AH556" t="e">
        <f>IFERROR(IF(INDEX(Aux_puntos!$A$2:$OJ$901,552,MATCH($B$2&amp;"|yI",Aux_puntos!$1:$1,0))="",NA(),INDEX(Aux_puntos!$A$2:$OJ$901,552,MATCH($B$2&amp;"|yI",Aux_puntos!$1:$1,0))),NA())</f>
        <v>#N/A</v>
      </c>
      <c r="AI556" t="e">
        <f>IFERROR(IF(INDEX(Aux_puntos!$A$2:$OJ$901,552,MATCH($B$2&amp;"|xN",Aux_puntos!$1:$1,0))="",NA(),INDEX(Aux_puntos!$A$2:$OJ$901,552,MATCH($B$2&amp;"|xN",Aux_puntos!$1:$1,0))),NA())</f>
        <v>#N/A</v>
      </c>
      <c r="AJ556" t="e">
        <f>IFERROR(IF(INDEX(Aux_puntos!$A$2:$OJ$901,552,MATCH($B$2&amp;"|yN",Aux_puntos!$1:$1,0))="",NA(),INDEX(Aux_puntos!$A$2:$OJ$901,552,MATCH($B$2&amp;"|yN",Aux_puntos!$1:$1,0))),NA())</f>
        <v>#N/A</v>
      </c>
    </row>
    <row r="557" spans="29:36" x14ac:dyDescent="0.3">
      <c r="AC557" t="e">
        <f>IFERROR(IF(INDEX(Aux_puntos!$A$2:$OJ$901,553,MATCH($B$2&amp;"|xK",Aux_puntos!$1:$1,0))="",NA(),INDEX(Aux_puntos!$A$2:$OJ$901,553,MATCH($B$2&amp;"|xK",Aux_puntos!$1:$1,0))),NA())</f>
        <v>#N/A</v>
      </c>
      <c r="AD557" t="e">
        <f>IFERROR(IF(INDEX(Aux_puntos!$A$2:$OJ$901,553,MATCH($B$2&amp;"|yK",Aux_puntos!$1:$1,0))="",NA(),INDEX(Aux_puntos!$A$2:$OJ$901,553,MATCH($B$2&amp;"|yK",Aux_puntos!$1:$1,0))),NA())</f>
        <v>#N/A</v>
      </c>
      <c r="AE557" t="e">
        <f>IFERROR(IF(INDEX(Aux_puntos!$A$2:$OJ$901,553,MATCH($B$2&amp;"|xC",Aux_puntos!$1:$1,0))="",NA(),INDEX(Aux_puntos!$A$2:$OJ$901,553,MATCH($B$2&amp;"|xC",Aux_puntos!$1:$1,0))),NA())</f>
        <v>#N/A</v>
      </c>
      <c r="AF557" t="e">
        <f>IFERROR(IF(INDEX(Aux_puntos!$A$2:$OJ$901,553,MATCH($B$2&amp;"|yC",Aux_puntos!$1:$1,0))="",NA(),INDEX(Aux_puntos!$A$2:$OJ$901,553,MATCH($B$2&amp;"|yC",Aux_puntos!$1:$1,0))),NA())</f>
        <v>#N/A</v>
      </c>
      <c r="AG557" t="e">
        <f>IFERROR(IF(INDEX(Aux_puntos!$A$2:$OJ$901,553,MATCH($B$2&amp;"|xI",Aux_puntos!$1:$1,0))="",NA(),INDEX(Aux_puntos!$A$2:$OJ$901,553,MATCH($B$2&amp;"|xI",Aux_puntos!$1:$1,0))),NA())</f>
        <v>#N/A</v>
      </c>
      <c r="AH557" t="e">
        <f>IFERROR(IF(INDEX(Aux_puntos!$A$2:$OJ$901,553,MATCH($B$2&amp;"|yI",Aux_puntos!$1:$1,0))="",NA(),INDEX(Aux_puntos!$A$2:$OJ$901,553,MATCH($B$2&amp;"|yI",Aux_puntos!$1:$1,0))),NA())</f>
        <v>#N/A</v>
      </c>
      <c r="AI557" t="e">
        <f>IFERROR(IF(INDEX(Aux_puntos!$A$2:$OJ$901,553,MATCH($B$2&amp;"|xN",Aux_puntos!$1:$1,0))="",NA(),INDEX(Aux_puntos!$A$2:$OJ$901,553,MATCH($B$2&amp;"|xN",Aux_puntos!$1:$1,0))),NA())</f>
        <v>#N/A</v>
      </c>
      <c r="AJ557" t="e">
        <f>IFERROR(IF(INDEX(Aux_puntos!$A$2:$OJ$901,553,MATCH($B$2&amp;"|yN",Aux_puntos!$1:$1,0))="",NA(),INDEX(Aux_puntos!$A$2:$OJ$901,553,MATCH($B$2&amp;"|yN",Aux_puntos!$1:$1,0))),NA())</f>
        <v>#N/A</v>
      </c>
    </row>
    <row r="558" spans="29:36" x14ac:dyDescent="0.3">
      <c r="AC558" t="e">
        <f>IFERROR(IF(INDEX(Aux_puntos!$A$2:$OJ$901,554,MATCH($B$2&amp;"|xK",Aux_puntos!$1:$1,0))="",NA(),INDEX(Aux_puntos!$A$2:$OJ$901,554,MATCH($B$2&amp;"|xK",Aux_puntos!$1:$1,0))),NA())</f>
        <v>#N/A</v>
      </c>
      <c r="AD558" t="e">
        <f>IFERROR(IF(INDEX(Aux_puntos!$A$2:$OJ$901,554,MATCH($B$2&amp;"|yK",Aux_puntos!$1:$1,0))="",NA(),INDEX(Aux_puntos!$A$2:$OJ$901,554,MATCH($B$2&amp;"|yK",Aux_puntos!$1:$1,0))),NA())</f>
        <v>#N/A</v>
      </c>
      <c r="AE558" t="e">
        <f>IFERROR(IF(INDEX(Aux_puntos!$A$2:$OJ$901,554,MATCH($B$2&amp;"|xC",Aux_puntos!$1:$1,0))="",NA(),INDEX(Aux_puntos!$A$2:$OJ$901,554,MATCH($B$2&amp;"|xC",Aux_puntos!$1:$1,0))),NA())</f>
        <v>#N/A</v>
      </c>
      <c r="AF558" t="e">
        <f>IFERROR(IF(INDEX(Aux_puntos!$A$2:$OJ$901,554,MATCH($B$2&amp;"|yC",Aux_puntos!$1:$1,0))="",NA(),INDEX(Aux_puntos!$A$2:$OJ$901,554,MATCH($B$2&amp;"|yC",Aux_puntos!$1:$1,0))),NA())</f>
        <v>#N/A</v>
      </c>
      <c r="AG558" t="e">
        <f>IFERROR(IF(INDEX(Aux_puntos!$A$2:$OJ$901,554,MATCH($B$2&amp;"|xI",Aux_puntos!$1:$1,0))="",NA(),INDEX(Aux_puntos!$A$2:$OJ$901,554,MATCH($B$2&amp;"|xI",Aux_puntos!$1:$1,0))),NA())</f>
        <v>#N/A</v>
      </c>
      <c r="AH558" t="e">
        <f>IFERROR(IF(INDEX(Aux_puntos!$A$2:$OJ$901,554,MATCH($B$2&amp;"|yI",Aux_puntos!$1:$1,0))="",NA(),INDEX(Aux_puntos!$A$2:$OJ$901,554,MATCH($B$2&amp;"|yI",Aux_puntos!$1:$1,0))),NA())</f>
        <v>#N/A</v>
      </c>
      <c r="AI558" t="e">
        <f>IFERROR(IF(INDEX(Aux_puntos!$A$2:$OJ$901,554,MATCH($B$2&amp;"|xN",Aux_puntos!$1:$1,0))="",NA(),INDEX(Aux_puntos!$A$2:$OJ$901,554,MATCH($B$2&amp;"|xN",Aux_puntos!$1:$1,0))),NA())</f>
        <v>#N/A</v>
      </c>
      <c r="AJ558" t="e">
        <f>IFERROR(IF(INDEX(Aux_puntos!$A$2:$OJ$901,554,MATCH($B$2&amp;"|yN",Aux_puntos!$1:$1,0))="",NA(),INDEX(Aux_puntos!$A$2:$OJ$901,554,MATCH($B$2&amp;"|yN",Aux_puntos!$1:$1,0))),NA())</f>
        <v>#N/A</v>
      </c>
    </row>
    <row r="559" spans="29:36" x14ac:dyDescent="0.3">
      <c r="AC559" t="e">
        <f>IFERROR(IF(INDEX(Aux_puntos!$A$2:$OJ$901,555,MATCH($B$2&amp;"|xK",Aux_puntos!$1:$1,0))="",NA(),INDEX(Aux_puntos!$A$2:$OJ$901,555,MATCH($B$2&amp;"|xK",Aux_puntos!$1:$1,0))),NA())</f>
        <v>#N/A</v>
      </c>
      <c r="AD559" t="e">
        <f>IFERROR(IF(INDEX(Aux_puntos!$A$2:$OJ$901,555,MATCH($B$2&amp;"|yK",Aux_puntos!$1:$1,0))="",NA(),INDEX(Aux_puntos!$A$2:$OJ$901,555,MATCH($B$2&amp;"|yK",Aux_puntos!$1:$1,0))),NA())</f>
        <v>#N/A</v>
      </c>
      <c r="AE559" t="e">
        <f>IFERROR(IF(INDEX(Aux_puntos!$A$2:$OJ$901,555,MATCH($B$2&amp;"|xC",Aux_puntos!$1:$1,0))="",NA(),INDEX(Aux_puntos!$A$2:$OJ$901,555,MATCH($B$2&amp;"|xC",Aux_puntos!$1:$1,0))),NA())</f>
        <v>#N/A</v>
      </c>
      <c r="AF559" t="e">
        <f>IFERROR(IF(INDEX(Aux_puntos!$A$2:$OJ$901,555,MATCH($B$2&amp;"|yC",Aux_puntos!$1:$1,0))="",NA(),INDEX(Aux_puntos!$A$2:$OJ$901,555,MATCH($B$2&amp;"|yC",Aux_puntos!$1:$1,0))),NA())</f>
        <v>#N/A</v>
      </c>
      <c r="AG559" t="e">
        <f>IFERROR(IF(INDEX(Aux_puntos!$A$2:$OJ$901,555,MATCH($B$2&amp;"|xI",Aux_puntos!$1:$1,0))="",NA(),INDEX(Aux_puntos!$A$2:$OJ$901,555,MATCH($B$2&amp;"|xI",Aux_puntos!$1:$1,0))),NA())</f>
        <v>#N/A</v>
      </c>
      <c r="AH559" t="e">
        <f>IFERROR(IF(INDEX(Aux_puntos!$A$2:$OJ$901,555,MATCH($B$2&amp;"|yI",Aux_puntos!$1:$1,0))="",NA(),INDEX(Aux_puntos!$A$2:$OJ$901,555,MATCH($B$2&amp;"|yI",Aux_puntos!$1:$1,0))),NA())</f>
        <v>#N/A</v>
      </c>
      <c r="AI559" t="e">
        <f>IFERROR(IF(INDEX(Aux_puntos!$A$2:$OJ$901,555,MATCH($B$2&amp;"|xN",Aux_puntos!$1:$1,0))="",NA(),INDEX(Aux_puntos!$A$2:$OJ$901,555,MATCH($B$2&amp;"|xN",Aux_puntos!$1:$1,0))),NA())</f>
        <v>#N/A</v>
      </c>
      <c r="AJ559" t="e">
        <f>IFERROR(IF(INDEX(Aux_puntos!$A$2:$OJ$901,555,MATCH($B$2&amp;"|yN",Aux_puntos!$1:$1,0))="",NA(),INDEX(Aux_puntos!$A$2:$OJ$901,555,MATCH($B$2&amp;"|yN",Aux_puntos!$1:$1,0))),NA())</f>
        <v>#N/A</v>
      </c>
    </row>
    <row r="560" spans="29:36" x14ac:dyDescent="0.3">
      <c r="AC560" t="e">
        <f>IFERROR(IF(INDEX(Aux_puntos!$A$2:$OJ$901,556,MATCH($B$2&amp;"|xK",Aux_puntos!$1:$1,0))="",NA(),INDEX(Aux_puntos!$A$2:$OJ$901,556,MATCH($B$2&amp;"|xK",Aux_puntos!$1:$1,0))),NA())</f>
        <v>#N/A</v>
      </c>
      <c r="AD560" t="e">
        <f>IFERROR(IF(INDEX(Aux_puntos!$A$2:$OJ$901,556,MATCH($B$2&amp;"|yK",Aux_puntos!$1:$1,0))="",NA(),INDEX(Aux_puntos!$A$2:$OJ$901,556,MATCH($B$2&amp;"|yK",Aux_puntos!$1:$1,0))),NA())</f>
        <v>#N/A</v>
      </c>
      <c r="AE560" t="e">
        <f>IFERROR(IF(INDEX(Aux_puntos!$A$2:$OJ$901,556,MATCH($B$2&amp;"|xC",Aux_puntos!$1:$1,0))="",NA(),INDEX(Aux_puntos!$A$2:$OJ$901,556,MATCH($B$2&amp;"|xC",Aux_puntos!$1:$1,0))),NA())</f>
        <v>#N/A</v>
      </c>
      <c r="AF560" t="e">
        <f>IFERROR(IF(INDEX(Aux_puntos!$A$2:$OJ$901,556,MATCH($B$2&amp;"|yC",Aux_puntos!$1:$1,0))="",NA(),INDEX(Aux_puntos!$A$2:$OJ$901,556,MATCH($B$2&amp;"|yC",Aux_puntos!$1:$1,0))),NA())</f>
        <v>#N/A</v>
      </c>
      <c r="AG560" t="e">
        <f>IFERROR(IF(INDEX(Aux_puntos!$A$2:$OJ$901,556,MATCH($B$2&amp;"|xI",Aux_puntos!$1:$1,0))="",NA(),INDEX(Aux_puntos!$A$2:$OJ$901,556,MATCH($B$2&amp;"|xI",Aux_puntos!$1:$1,0))),NA())</f>
        <v>#N/A</v>
      </c>
      <c r="AH560" t="e">
        <f>IFERROR(IF(INDEX(Aux_puntos!$A$2:$OJ$901,556,MATCH($B$2&amp;"|yI",Aux_puntos!$1:$1,0))="",NA(),INDEX(Aux_puntos!$A$2:$OJ$901,556,MATCH($B$2&amp;"|yI",Aux_puntos!$1:$1,0))),NA())</f>
        <v>#N/A</v>
      </c>
      <c r="AI560" t="e">
        <f>IFERROR(IF(INDEX(Aux_puntos!$A$2:$OJ$901,556,MATCH($B$2&amp;"|xN",Aux_puntos!$1:$1,0))="",NA(),INDEX(Aux_puntos!$A$2:$OJ$901,556,MATCH($B$2&amp;"|xN",Aux_puntos!$1:$1,0))),NA())</f>
        <v>#N/A</v>
      </c>
      <c r="AJ560" t="e">
        <f>IFERROR(IF(INDEX(Aux_puntos!$A$2:$OJ$901,556,MATCH($B$2&amp;"|yN",Aux_puntos!$1:$1,0))="",NA(),INDEX(Aux_puntos!$A$2:$OJ$901,556,MATCH($B$2&amp;"|yN",Aux_puntos!$1:$1,0))),NA())</f>
        <v>#N/A</v>
      </c>
    </row>
    <row r="561" spans="29:36" x14ac:dyDescent="0.3">
      <c r="AC561" t="e">
        <f>IFERROR(IF(INDEX(Aux_puntos!$A$2:$OJ$901,557,MATCH($B$2&amp;"|xK",Aux_puntos!$1:$1,0))="",NA(),INDEX(Aux_puntos!$A$2:$OJ$901,557,MATCH($B$2&amp;"|xK",Aux_puntos!$1:$1,0))),NA())</f>
        <v>#N/A</v>
      </c>
      <c r="AD561" t="e">
        <f>IFERROR(IF(INDEX(Aux_puntos!$A$2:$OJ$901,557,MATCH($B$2&amp;"|yK",Aux_puntos!$1:$1,0))="",NA(),INDEX(Aux_puntos!$A$2:$OJ$901,557,MATCH($B$2&amp;"|yK",Aux_puntos!$1:$1,0))),NA())</f>
        <v>#N/A</v>
      </c>
      <c r="AE561" t="e">
        <f>IFERROR(IF(INDEX(Aux_puntos!$A$2:$OJ$901,557,MATCH($B$2&amp;"|xC",Aux_puntos!$1:$1,0))="",NA(),INDEX(Aux_puntos!$A$2:$OJ$901,557,MATCH($B$2&amp;"|xC",Aux_puntos!$1:$1,0))),NA())</f>
        <v>#N/A</v>
      </c>
      <c r="AF561" t="e">
        <f>IFERROR(IF(INDEX(Aux_puntos!$A$2:$OJ$901,557,MATCH($B$2&amp;"|yC",Aux_puntos!$1:$1,0))="",NA(),INDEX(Aux_puntos!$A$2:$OJ$901,557,MATCH($B$2&amp;"|yC",Aux_puntos!$1:$1,0))),NA())</f>
        <v>#N/A</v>
      </c>
      <c r="AG561" t="e">
        <f>IFERROR(IF(INDEX(Aux_puntos!$A$2:$OJ$901,557,MATCH($B$2&amp;"|xI",Aux_puntos!$1:$1,0))="",NA(),INDEX(Aux_puntos!$A$2:$OJ$901,557,MATCH($B$2&amp;"|xI",Aux_puntos!$1:$1,0))),NA())</f>
        <v>#N/A</v>
      </c>
      <c r="AH561" t="e">
        <f>IFERROR(IF(INDEX(Aux_puntos!$A$2:$OJ$901,557,MATCH($B$2&amp;"|yI",Aux_puntos!$1:$1,0))="",NA(),INDEX(Aux_puntos!$A$2:$OJ$901,557,MATCH($B$2&amp;"|yI",Aux_puntos!$1:$1,0))),NA())</f>
        <v>#N/A</v>
      </c>
      <c r="AI561" t="e">
        <f>IFERROR(IF(INDEX(Aux_puntos!$A$2:$OJ$901,557,MATCH($B$2&amp;"|xN",Aux_puntos!$1:$1,0))="",NA(),INDEX(Aux_puntos!$A$2:$OJ$901,557,MATCH($B$2&amp;"|xN",Aux_puntos!$1:$1,0))),NA())</f>
        <v>#N/A</v>
      </c>
      <c r="AJ561" t="e">
        <f>IFERROR(IF(INDEX(Aux_puntos!$A$2:$OJ$901,557,MATCH($B$2&amp;"|yN",Aux_puntos!$1:$1,0))="",NA(),INDEX(Aux_puntos!$A$2:$OJ$901,557,MATCH($B$2&amp;"|yN",Aux_puntos!$1:$1,0))),NA())</f>
        <v>#N/A</v>
      </c>
    </row>
    <row r="562" spans="29:36" x14ac:dyDescent="0.3">
      <c r="AC562" t="e">
        <f>IFERROR(IF(INDEX(Aux_puntos!$A$2:$OJ$901,558,MATCH($B$2&amp;"|xK",Aux_puntos!$1:$1,0))="",NA(),INDEX(Aux_puntos!$A$2:$OJ$901,558,MATCH($B$2&amp;"|xK",Aux_puntos!$1:$1,0))),NA())</f>
        <v>#N/A</v>
      </c>
      <c r="AD562" t="e">
        <f>IFERROR(IF(INDEX(Aux_puntos!$A$2:$OJ$901,558,MATCH($B$2&amp;"|yK",Aux_puntos!$1:$1,0))="",NA(),INDEX(Aux_puntos!$A$2:$OJ$901,558,MATCH($B$2&amp;"|yK",Aux_puntos!$1:$1,0))),NA())</f>
        <v>#N/A</v>
      </c>
      <c r="AE562" t="e">
        <f>IFERROR(IF(INDEX(Aux_puntos!$A$2:$OJ$901,558,MATCH($B$2&amp;"|xC",Aux_puntos!$1:$1,0))="",NA(),INDEX(Aux_puntos!$A$2:$OJ$901,558,MATCH($B$2&amp;"|xC",Aux_puntos!$1:$1,0))),NA())</f>
        <v>#N/A</v>
      </c>
      <c r="AF562" t="e">
        <f>IFERROR(IF(INDEX(Aux_puntos!$A$2:$OJ$901,558,MATCH($B$2&amp;"|yC",Aux_puntos!$1:$1,0))="",NA(),INDEX(Aux_puntos!$A$2:$OJ$901,558,MATCH($B$2&amp;"|yC",Aux_puntos!$1:$1,0))),NA())</f>
        <v>#N/A</v>
      </c>
      <c r="AG562" t="e">
        <f>IFERROR(IF(INDEX(Aux_puntos!$A$2:$OJ$901,558,MATCH($B$2&amp;"|xI",Aux_puntos!$1:$1,0))="",NA(),INDEX(Aux_puntos!$A$2:$OJ$901,558,MATCH($B$2&amp;"|xI",Aux_puntos!$1:$1,0))),NA())</f>
        <v>#N/A</v>
      </c>
      <c r="AH562" t="e">
        <f>IFERROR(IF(INDEX(Aux_puntos!$A$2:$OJ$901,558,MATCH($B$2&amp;"|yI",Aux_puntos!$1:$1,0))="",NA(),INDEX(Aux_puntos!$A$2:$OJ$901,558,MATCH($B$2&amp;"|yI",Aux_puntos!$1:$1,0))),NA())</f>
        <v>#N/A</v>
      </c>
      <c r="AI562" t="e">
        <f>IFERROR(IF(INDEX(Aux_puntos!$A$2:$OJ$901,558,MATCH($B$2&amp;"|xN",Aux_puntos!$1:$1,0))="",NA(),INDEX(Aux_puntos!$A$2:$OJ$901,558,MATCH($B$2&amp;"|xN",Aux_puntos!$1:$1,0))),NA())</f>
        <v>#N/A</v>
      </c>
      <c r="AJ562" t="e">
        <f>IFERROR(IF(INDEX(Aux_puntos!$A$2:$OJ$901,558,MATCH($B$2&amp;"|yN",Aux_puntos!$1:$1,0))="",NA(),INDEX(Aux_puntos!$A$2:$OJ$901,558,MATCH($B$2&amp;"|yN",Aux_puntos!$1:$1,0))),NA())</f>
        <v>#N/A</v>
      </c>
    </row>
    <row r="563" spans="29:36" x14ac:dyDescent="0.3">
      <c r="AC563" t="e">
        <f>IFERROR(IF(INDEX(Aux_puntos!$A$2:$OJ$901,559,MATCH($B$2&amp;"|xK",Aux_puntos!$1:$1,0))="",NA(),INDEX(Aux_puntos!$A$2:$OJ$901,559,MATCH($B$2&amp;"|xK",Aux_puntos!$1:$1,0))),NA())</f>
        <v>#N/A</v>
      </c>
      <c r="AD563" t="e">
        <f>IFERROR(IF(INDEX(Aux_puntos!$A$2:$OJ$901,559,MATCH($B$2&amp;"|yK",Aux_puntos!$1:$1,0))="",NA(),INDEX(Aux_puntos!$A$2:$OJ$901,559,MATCH($B$2&amp;"|yK",Aux_puntos!$1:$1,0))),NA())</f>
        <v>#N/A</v>
      </c>
      <c r="AE563" t="e">
        <f>IFERROR(IF(INDEX(Aux_puntos!$A$2:$OJ$901,559,MATCH($B$2&amp;"|xC",Aux_puntos!$1:$1,0))="",NA(),INDEX(Aux_puntos!$A$2:$OJ$901,559,MATCH($B$2&amp;"|xC",Aux_puntos!$1:$1,0))),NA())</f>
        <v>#N/A</v>
      </c>
      <c r="AF563" t="e">
        <f>IFERROR(IF(INDEX(Aux_puntos!$A$2:$OJ$901,559,MATCH($B$2&amp;"|yC",Aux_puntos!$1:$1,0))="",NA(),INDEX(Aux_puntos!$A$2:$OJ$901,559,MATCH($B$2&amp;"|yC",Aux_puntos!$1:$1,0))),NA())</f>
        <v>#N/A</v>
      </c>
      <c r="AG563" t="e">
        <f>IFERROR(IF(INDEX(Aux_puntos!$A$2:$OJ$901,559,MATCH($B$2&amp;"|xI",Aux_puntos!$1:$1,0))="",NA(),INDEX(Aux_puntos!$A$2:$OJ$901,559,MATCH($B$2&amp;"|xI",Aux_puntos!$1:$1,0))),NA())</f>
        <v>#N/A</v>
      </c>
      <c r="AH563" t="e">
        <f>IFERROR(IF(INDEX(Aux_puntos!$A$2:$OJ$901,559,MATCH($B$2&amp;"|yI",Aux_puntos!$1:$1,0))="",NA(),INDEX(Aux_puntos!$A$2:$OJ$901,559,MATCH($B$2&amp;"|yI",Aux_puntos!$1:$1,0))),NA())</f>
        <v>#N/A</v>
      </c>
      <c r="AI563" t="e">
        <f>IFERROR(IF(INDEX(Aux_puntos!$A$2:$OJ$901,559,MATCH($B$2&amp;"|xN",Aux_puntos!$1:$1,0))="",NA(),INDEX(Aux_puntos!$A$2:$OJ$901,559,MATCH($B$2&amp;"|xN",Aux_puntos!$1:$1,0))),NA())</f>
        <v>#N/A</v>
      </c>
      <c r="AJ563" t="e">
        <f>IFERROR(IF(INDEX(Aux_puntos!$A$2:$OJ$901,559,MATCH($B$2&amp;"|yN",Aux_puntos!$1:$1,0))="",NA(),INDEX(Aux_puntos!$A$2:$OJ$901,559,MATCH($B$2&amp;"|yN",Aux_puntos!$1:$1,0))),NA())</f>
        <v>#N/A</v>
      </c>
    </row>
    <row r="564" spans="29:36" x14ac:dyDescent="0.3">
      <c r="AC564" t="e">
        <f>IFERROR(IF(INDEX(Aux_puntos!$A$2:$OJ$901,560,MATCH($B$2&amp;"|xK",Aux_puntos!$1:$1,0))="",NA(),INDEX(Aux_puntos!$A$2:$OJ$901,560,MATCH($B$2&amp;"|xK",Aux_puntos!$1:$1,0))),NA())</f>
        <v>#N/A</v>
      </c>
      <c r="AD564" t="e">
        <f>IFERROR(IF(INDEX(Aux_puntos!$A$2:$OJ$901,560,MATCH($B$2&amp;"|yK",Aux_puntos!$1:$1,0))="",NA(),INDEX(Aux_puntos!$A$2:$OJ$901,560,MATCH($B$2&amp;"|yK",Aux_puntos!$1:$1,0))),NA())</f>
        <v>#N/A</v>
      </c>
      <c r="AE564" t="e">
        <f>IFERROR(IF(INDEX(Aux_puntos!$A$2:$OJ$901,560,MATCH($B$2&amp;"|xC",Aux_puntos!$1:$1,0))="",NA(),INDEX(Aux_puntos!$A$2:$OJ$901,560,MATCH($B$2&amp;"|xC",Aux_puntos!$1:$1,0))),NA())</f>
        <v>#N/A</v>
      </c>
      <c r="AF564" t="e">
        <f>IFERROR(IF(INDEX(Aux_puntos!$A$2:$OJ$901,560,MATCH($B$2&amp;"|yC",Aux_puntos!$1:$1,0))="",NA(),INDEX(Aux_puntos!$A$2:$OJ$901,560,MATCH($B$2&amp;"|yC",Aux_puntos!$1:$1,0))),NA())</f>
        <v>#N/A</v>
      </c>
      <c r="AG564" t="e">
        <f>IFERROR(IF(INDEX(Aux_puntos!$A$2:$OJ$901,560,MATCH($B$2&amp;"|xI",Aux_puntos!$1:$1,0))="",NA(),INDEX(Aux_puntos!$A$2:$OJ$901,560,MATCH($B$2&amp;"|xI",Aux_puntos!$1:$1,0))),NA())</f>
        <v>#N/A</v>
      </c>
      <c r="AH564" t="e">
        <f>IFERROR(IF(INDEX(Aux_puntos!$A$2:$OJ$901,560,MATCH($B$2&amp;"|yI",Aux_puntos!$1:$1,0))="",NA(),INDEX(Aux_puntos!$A$2:$OJ$901,560,MATCH($B$2&amp;"|yI",Aux_puntos!$1:$1,0))),NA())</f>
        <v>#N/A</v>
      </c>
      <c r="AI564" t="e">
        <f>IFERROR(IF(INDEX(Aux_puntos!$A$2:$OJ$901,560,MATCH($B$2&amp;"|xN",Aux_puntos!$1:$1,0))="",NA(),INDEX(Aux_puntos!$A$2:$OJ$901,560,MATCH($B$2&amp;"|xN",Aux_puntos!$1:$1,0))),NA())</f>
        <v>#N/A</v>
      </c>
      <c r="AJ564" t="e">
        <f>IFERROR(IF(INDEX(Aux_puntos!$A$2:$OJ$901,560,MATCH($B$2&amp;"|yN",Aux_puntos!$1:$1,0))="",NA(),INDEX(Aux_puntos!$A$2:$OJ$901,560,MATCH($B$2&amp;"|yN",Aux_puntos!$1:$1,0))),NA())</f>
        <v>#N/A</v>
      </c>
    </row>
    <row r="565" spans="29:36" x14ac:dyDescent="0.3">
      <c r="AC565" t="e">
        <f>IFERROR(IF(INDEX(Aux_puntos!$A$2:$OJ$901,561,MATCH($B$2&amp;"|xK",Aux_puntos!$1:$1,0))="",NA(),INDEX(Aux_puntos!$A$2:$OJ$901,561,MATCH($B$2&amp;"|xK",Aux_puntos!$1:$1,0))),NA())</f>
        <v>#N/A</v>
      </c>
      <c r="AD565" t="e">
        <f>IFERROR(IF(INDEX(Aux_puntos!$A$2:$OJ$901,561,MATCH($B$2&amp;"|yK",Aux_puntos!$1:$1,0))="",NA(),INDEX(Aux_puntos!$A$2:$OJ$901,561,MATCH($B$2&amp;"|yK",Aux_puntos!$1:$1,0))),NA())</f>
        <v>#N/A</v>
      </c>
      <c r="AE565" t="e">
        <f>IFERROR(IF(INDEX(Aux_puntos!$A$2:$OJ$901,561,MATCH($B$2&amp;"|xC",Aux_puntos!$1:$1,0))="",NA(),INDEX(Aux_puntos!$A$2:$OJ$901,561,MATCH($B$2&amp;"|xC",Aux_puntos!$1:$1,0))),NA())</f>
        <v>#N/A</v>
      </c>
      <c r="AF565" t="e">
        <f>IFERROR(IF(INDEX(Aux_puntos!$A$2:$OJ$901,561,MATCH($B$2&amp;"|yC",Aux_puntos!$1:$1,0))="",NA(),INDEX(Aux_puntos!$A$2:$OJ$901,561,MATCH($B$2&amp;"|yC",Aux_puntos!$1:$1,0))),NA())</f>
        <v>#N/A</v>
      </c>
      <c r="AG565" t="e">
        <f>IFERROR(IF(INDEX(Aux_puntos!$A$2:$OJ$901,561,MATCH($B$2&amp;"|xI",Aux_puntos!$1:$1,0))="",NA(),INDEX(Aux_puntos!$A$2:$OJ$901,561,MATCH($B$2&amp;"|xI",Aux_puntos!$1:$1,0))),NA())</f>
        <v>#N/A</v>
      </c>
      <c r="AH565" t="e">
        <f>IFERROR(IF(INDEX(Aux_puntos!$A$2:$OJ$901,561,MATCH($B$2&amp;"|yI",Aux_puntos!$1:$1,0))="",NA(),INDEX(Aux_puntos!$A$2:$OJ$901,561,MATCH($B$2&amp;"|yI",Aux_puntos!$1:$1,0))),NA())</f>
        <v>#N/A</v>
      </c>
      <c r="AI565" t="e">
        <f>IFERROR(IF(INDEX(Aux_puntos!$A$2:$OJ$901,561,MATCH($B$2&amp;"|xN",Aux_puntos!$1:$1,0))="",NA(),INDEX(Aux_puntos!$A$2:$OJ$901,561,MATCH($B$2&amp;"|xN",Aux_puntos!$1:$1,0))),NA())</f>
        <v>#N/A</v>
      </c>
      <c r="AJ565" t="e">
        <f>IFERROR(IF(INDEX(Aux_puntos!$A$2:$OJ$901,561,MATCH($B$2&amp;"|yN",Aux_puntos!$1:$1,0))="",NA(),INDEX(Aux_puntos!$A$2:$OJ$901,561,MATCH($B$2&amp;"|yN",Aux_puntos!$1:$1,0))),NA())</f>
        <v>#N/A</v>
      </c>
    </row>
    <row r="566" spans="29:36" x14ac:dyDescent="0.3">
      <c r="AC566" t="e">
        <f>IFERROR(IF(INDEX(Aux_puntos!$A$2:$OJ$901,562,MATCH($B$2&amp;"|xK",Aux_puntos!$1:$1,0))="",NA(),INDEX(Aux_puntos!$A$2:$OJ$901,562,MATCH($B$2&amp;"|xK",Aux_puntos!$1:$1,0))),NA())</f>
        <v>#N/A</v>
      </c>
      <c r="AD566" t="e">
        <f>IFERROR(IF(INDEX(Aux_puntos!$A$2:$OJ$901,562,MATCH($B$2&amp;"|yK",Aux_puntos!$1:$1,0))="",NA(),INDEX(Aux_puntos!$A$2:$OJ$901,562,MATCH($B$2&amp;"|yK",Aux_puntos!$1:$1,0))),NA())</f>
        <v>#N/A</v>
      </c>
      <c r="AE566" t="e">
        <f>IFERROR(IF(INDEX(Aux_puntos!$A$2:$OJ$901,562,MATCH($B$2&amp;"|xC",Aux_puntos!$1:$1,0))="",NA(),INDEX(Aux_puntos!$A$2:$OJ$901,562,MATCH($B$2&amp;"|xC",Aux_puntos!$1:$1,0))),NA())</f>
        <v>#N/A</v>
      </c>
      <c r="AF566" t="e">
        <f>IFERROR(IF(INDEX(Aux_puntos!$A$2:$OJ$901,562,MATCH($B$2&amp;"|yC",Aux_puntos!$1:$1,0))="",NA(),INDEX(Aux_puntos!$A$2:$OJ$901,562,MATCH($B$2&amp;"|yC",Aux_puntos!$1:$1,0))),NA())</f>
        <v>#N/A</v>
      </c>
      <c r="AG566" t="e">
        <f>IFERROR(IF(INDEX(Aux_puntos!$A$2:$OJ$901,562,MATCH($B$2&amp;"|xI",Aux_puntos!$1:$1,0))="",NA(),INDEX(Aux_puntos!$A$2:$OJ$901,562,MATCH($B$2&amp;"|xI",Aux_puntos!$1:$1,0))),NA())</f>
        <v>#N/A</v>
      </c>
      <c r="AH566" t="e">
        <f>IFERROR(IF(INDEX(Aux_puntos!$A$2:$OJ$901,562,MATCH($B$2&amp;"|yI",Aux_puntos!$1:$1,0))="",NA(),INDEX(Aux_puntos!$A$2:$OJ$901,562,MATCH($B$2&amp;"|yI",Aux_puntos!$1:$1,0))),NA())</f>
        <v>#N/A</v>
      </c>
      <c r="AI566" t="e">
        <f>IFERROR(IF(INDEX(Aux_puntos!$A$2:$OJ$901,562,MATCH($B$2&amp;"|xN",Aux_puntos!$1:$1,0))="",NA(),INDEX(Aux_puntos!$A$2:$OJ$901,562,MATCH($B$2&amp;"|xN",Aux_puntos!$1:$1,0))),NA())</f>
        <v>#N/A</v>
      </c>
      <c r="AJ566" t="e">
        <f>IFERROR(IF(INDEX(Aux_puntos!$A$2:$OJ$901,562,MATCH($B$2&amp;"|yN",Aux_puntos!$1:$1,0))="",NA(),INDEX(Aux_puntos!$A$2:$OJ$901,562,MATCH($B$2&amp;"|yN",Aux_puntos!$1:$1,0))),NA())</f>
        <v>#N/A</v>
      </c>
    </row>
    <row r="567" spans="29:36" x14ac:dyDescent="0.3">
      <c r="AC567" t="e">
        <f>IFERROR(IF(INDEX(Aux_puntos!$A$2:$OJ$901,563,MATCH($B$2&amp;"|xK",Aux_puntos!$1:$1,0))="",NA(),INDEX(Aux_puntos!$A$2:$OJ$901,563,MATCH($B$2&amp;"|xK",Aux_puntos!$1:$1,0))),NA())</f>
        <v>#N/A</v>
      </c>
      <c r="AD567" t="e">
        <f>IFERROR(IF(INDEX(Aux_puntos!$A$2:$OJ$901,563,MATCH($B$2&amp;"|yK",Aux_puntos!$1:$1,0))="",NA(),INDEX(Aux_puntos!$A$2:$OJ$901,563,MATCH($B$2&amp;"|yK",Aux_puntos!$1:$1,0))),NA())</f>
        <v>#N/A</v>
      </c>
      <c r="AE567" t="e">
        <f>IFERROR(IF(INDEX(Aux_puntos!$A$2:$OJ$901,563,MATCH($B$2&amp;"|xC",Aux_puntos!$1:$1,0))="",NA(),INDEX(Aux_puntos!$A$2:$OJ$901,563,MATCH($B$2&amp;"|xC",Aux_puntos!$1:$1,0))),NA())</f>
        <v>#N/A</v>
      </c>
      <c r="AF567" t="e">
        <f>IFERROR(IF(INDEX(Aux_puntos!$A$2:$OJ$901,563,MATCH($B$2&amp;"|yC",Aux_puntos!$1:$1,0))="",NA(),INDEX(Aux_puntos!$A$2:$OJ$901,563,MATCH($B$2&amp;"|yC",Aux_puntos!$1:$1,0))),NA())</f>
        <v>#N/A</v>
      </c>
      <c r="AG567" t="e">
        <f>IFERROR(IF(INDEX(Aux_puntos!$A$2:$OJ$901,563,MATCH($B$2&amp;"|xI",Aux_puntos!$1:$1,0))="",NA(),INDEX(Aux_puntos!$A$2:$OJ$901,563,MATCH($B$2&amp;"|xI",Aux_puntos!$1:$1,0))),NA())</f>
        <v>#N/A</v>
      </c>
      <c r="AH567" t="e">
        <f>IFERROR(IF(INDEX(Aux_puntos!$A$2:$OJ$901,563,MATCH($B$2&amp;"|yI",Aux_puntos!$1:$1,0))="",NA(),INDEX(Aux_puntos!$A$2:$OJ$901,563,MATCH($B$2&amp;"|yI",Aux_puntos!$1:$1,0))),NA())</f>
        <v>#N/A</v>
      </c>
      <c r="AI567" t="e">
        <f>IFERROR(IF(INDEX(Aux_puntos!$A$2:$OJ$901,563,MATCH($B$2&amp;"|xN",Aux_puntos!$1:$1,0))="",NA(),INDEX(Aux_puntos!$A$2:$OJ$901,563,MATCH($B$2&amp;"|xN",Aux_puntos!$1:$1,0))),NA())</f>
        <v>#N/A</v>
      </c>
      <c r="AJ567" t="e">
        <f>IFERROR(IF(INDEX(Aux_puntos!$A$2:$OJ$901,563,MATCH($B$2&amp;"|yN",Aux_puntos!$1:$1,0))="",NA(),INDEX(Aux_puntos!$A$2:$OJ$901,563,MATCH($B$2&amp;"|yN",Aux_puntos!$1:$1,0))),NA())</f>
        <v>#N/A</v>
      </c>
    </row>
    <row r="568" spans="29:36" x14ac:dyDescent="0.3">
      <c r="AC568" t="e">
        <f>IFERROR(IF(INDEX(Aux_puntos!$A$2:$OJ$901,564,MATCH($B$2&amp;"|xK",Aux_puntos!$1:$1,0))="",NA(),INDEX(Aux_puntos!$A$2:$OJ$901,564,MATCH($B$2&amp;"|xK",Aux_puntos!$1:$1,0))),NA())</f>
        <v>#N/A</v>
      </c>
      <c r="AD568" t="e">
        <f>IFERROR(IF(INDEX(Aux_puntos!$A$2:$OJ$901,564,MATCH($B$2&amp;"|yK",Aux_puntos!$1:$1,0))="",NA(),INDEX(Aux_puntos!$A$2:$OJ$901,564,MATCH($B$2&amp;"|yK",Aux_puntos!$1:$1,0))),NA())</f>
        <v>#N/A</v>
      </c>
      <c r="AE568" t="e">
        <f>IFERROR(IF(INDEX(Aux_puntos!$A$2:$OJ$901,564,MATCH($B$2&amp;"|xC",Aux_puntos!$1:$1,0))="",NA(),INDEX(Aux_puntos!$A$2:$OJ$901,564,MATCH($B$2&amp;"|xC",Aux_puntos!$1:$1,0))),NA())</f>
        <v>#N/A</v>
      </c>
      <c r="AF568" t="e">
        <f>IFERROR(IF(INDEX(Aux_puntos!$A$2:$OJ$901,564,MATCH($B$2&amp;"|yC",Aux_puntos!$1:$1,0))="",NA(),INDEX(Aux_puntos!$A$2:$OJ$901,564,MATCH($B$2&amp;"|yC",Aux_puntos!$1:$1,0))),NA())</f>
        <v>#N/A</v>
      </c>
      <c r="AG568" t="e">
        <f>IFERROR(IF(INDEX(Aux_puntos!$A$2:$OJ$901,564,MATCH($B$2&amp;"|xI",Aux_puntos!$1:$1,0))="",NA(),INDEX(Aux_puntos!$A$2:$OJ$901,564,MATCH($B$2&amp;"|xI",Aux_puntos!$1:$1,0))),NA())</f>
        <v>#N/A</v>
      </c>
      <c r="AH568" t="e">
        <f>IFERROR(IF(INDEX(Aux_puntos!$A$2:$OJ$901,564,MATCH($B$2&amp;"|yI",Aux_puntos!$1:$1,0))="",NA(),INDEX(Aux_puntos!$A$2:$OJ$901,564,MATCH($B$2&amp;"|yI",Aux_puntos!$1:$1,0))),NA())</f>
        <v>#N/A</v>
      </c>
      <c r="AI568" t="e">
        <f>IFERROR(IF(INDEX(Aux_puntos!$A$2:$OJ$901,564,MATCH($B$2&amp;"|xN",Aux_puntos!$1:$1,0))="",NA(),INDEX(Aux_puntos!$A$2:$OJ$901,564,MATCH($B$2&amp;"|xN",Aux_puntos!$1:$1,0))),NA())</f>
        <v>#N/A</v>
      </c>
      <c r="AJ568" t="e">
        <f>IFERROR(IF(INDEX(Aux_puntos!$A$2:$OJ$901,564,MATCH($B$2&amp;"|yN",Aux_puntos!$1:$1,0))="",NA(),INDEX(Aux_puntos!$A$2:$OJ$901,564,MATCH($B$2&amp;"|yN",Aux_puntos!$1:$1,0))),NA())</f>
        <v>#N/A</v>
      </c>
    </row>
    <row r="569" spans="29:36" x14ac:dyDescent="0.3">
      <c r="AC569" t="e">
        <f>IFERROR(IF(INDEX(Aux_puntos!$A$2:$OJ$901,565,MATCH($B$2&amp;"|xK",Aux_puntos!$1:$1,0))="",NA(),INDEX(Aux_puntos!$A$2:$OJ$901,565,MATCH($B$2&amp;"|xK",Aux_puntos!$1:$1,0))),NA())</f>
        <v>#N/A</v>
      </c>
      <c r="AD569" t="e">
        <f>IFERROR(IF(INDEX(Aux_puntos!$A$2:$OJ$901,565,MATCH($B$2&amp;"|yK",Aux_puntos!$1:$1,0))="",NA(),INDEX(Aux_puntos!$A$2:$OJ$901,565,MATCH($B$2&amp;"|yK",Aux_puntos!$1:$1,0))),NA())</f>
        <v>#N/A</v>
      </c>
      <c r="AE569" t="e">
        <f>IFERROR(IF(INDEX(Aux_puntos!$A$2:$OJ$901,565,MATCH($B$2&amp;"|xC",Aux_puntos!$1:$1,0))="",NA(),INDEX(Aux_puntos!$A$2:$OJ$901,565,MATCH($B$2&amp;"|xC",Aux_puntos!$1:$1,0))),NA())</f>
        <v>#N/A</v>
      </c>
      <c r="AF569" t="e">
        <f>IFERROR(IF(INDEX(Aux_puntos!$A$2:$OJ$901,565,MATCH($B$2&amp;"|yC",Aux_puntos!$1:$1,0))="",NA(),INDEX(Aux_puntos!$A$2:$OJ$901,565,MATCH($B$2&amp;"|yC",Aux_puntos!$1:$1,0))),NA())</f>
        <v>#N/A</v>
      </c>
      <c r="AG569" t="e">
        <f>IFERROR(IF(INDEX(Aux_puntos!$A$2:$OJ$901,565,MATCH($B$2&amp;"|xI",Aux_puntos!$1:$1,0))="",NA(),INDEX(Aux_puntos!$A$2:$OJ$901,565,MATCH($B$2&amp;"|xI",Aux_puntos!$1:$1,0))),NA())</f>
        <v>#N/A</v>
      </c>
      <c r="AH569" t="e">
        <f>IFERROR(IF(INDEX(Aux_puntos!$A$2:$OJ$901,565,MATCH($B$2&amp;"|yI",Aux_puntos!$1:$1,0))="",NA(),INDEX(Aux_puntos!$A$2:$OJ$901,565,MATCH($B$2&amp;"|yI",Aux_puntos!$1:$1,0))),NA())</f>
        <v>#N/A</v>
      </c>
      <c r="AI569" t="e">
        <f>IFERROR(IF(INDEX(Aux_puntos!$A$2:$OJ$901,565,MATCH($B$2&amp;"|xN",Aux_puntos!$1:$1,0))="",NA(),INDEX(Aux_puntos!$A$2:$OJ$901,565,MATCH($B$2&amp;"|xN",Aux_puntos!$1:$1,0))),NA())</f>
        <v>#N/A</v>
      </c>
      <c r="AJ569" t="e">
        <f>IFERROR(IF(INDEX(Aux_puntos!$A$2:$OJ$901,565,MATCH($B$2&amp;"|yN",Aux_puntos!$1:$1,0))="",NA(),INDEX(Aux_puntos!$A$2:$OJ$901,565,MATCH($B$2&amp;"|yN",Aux_puntos!$1:$1,0))),NA())</f>
        <v>#N/A</v>
      </c>
    </row>
    <row r="570" spans="29:36" x14ac:dyDescent="0.3">
      <c r="AC570" t="e">
        <f>IFERROR(IF(INDEX(Aux_puntos!$A$2:$OJ$901,566,MATCH($B$2&amp;"|xK",Aux_puntos!$1:$1,0))="",NA(),INDEX(Aux_puntos!$A$2:$OJ$901,566,MATCH($B$2&amp;"|xK",Aux_puntos!$1:$1,0))),NA())</f>
        <v>#N/A</v>
      </c>
      <c r="AD570" t="e">
        <f>IFERROR(IF(INDEX(Aux_puntos!$A$2:$OJ$901,566,MATCH($B$2&amp;"|yK",Aux_puntos!$1:$1,0))="",NA(),INDEX(Aux_puntos!$A$2:$OJ$901,566,MATCH($B$2&amp;"|yK",Aux_puntos!$1:$1,0))),NA())</f>
        <v>#N/A</v>
      </c>
      <c r="AE570" t="e">
        <f>IFERROR(IF(INDEX(Aux_puntos!$A$2:$OJ$901,566,MATCH($B$2&amp;"|xC",Aux_puntos!$1:$1,0))="",NA(),INDEX(Aux_puntos!$A$2:$OJ$901,566,MATCH($B$2&amp;"|xC",Aux_puntos!$1:$1,0))),NA())</f>
        <v>#N/A</v>
      </c>
      <c r="AF570" t="e">
        <f>IFERROR(IF(INDEX(Aux_puntos!$A$2:$OJ$901,566,MATCH($B$2&amp;"|yC",Aux_puntos!$1:$1,0))="",NA(),INDEX(Aux_puntos!$A$2:$OJ$901,566,MATCH($B$2&amp;"|yC",Aux_puntos!$1:$1,0))),NA())</f>
        <v>#N/A</v>
      </c>
      <c r="AG570" t="e">
        <f>IFERROR(IF(INDEX(Aux_puntos!$A$2:$OJ$901,566,MATCH($B$2&amp;"|xI",Aux_puntos!$1:$1,0))="",NA(),INDEX(Aux_puntos!$A$2:$OJ$901,566,MATCH($B$2&amp;"|xI",Aux_puntos!$1:$1,0))),NA())</f>
        <v>#N/A</v>
      </c>
      <c r="AH570" t="e">
        <f>IFERROR(IF(INDEX(Aux_puntos!$A$2:$OJ$901,566,MATCH($B$2&amp;"|yI",Aux_puntos!$1:$1,0))="",NA(),INDEX(Aux_puntos!$A$2:$OJ$901,566,MATCH($B$2&amp;"|yI",Aux_puntos!$1:$1,0))),NA())</f>
        <v>#N/A</v>
      </c>
      <c r="AI570" t="e">
        <f>IFERROR(IF(INDEX(Aux_puntos!$A$2:$OJ$901,566,MATCH($B$2&amp;"|xN",Aux_puntos!$1:$1,0))="",NA(),INDEX(Aux_puntos!$A$2:$OJ$901,566,MATCH($B$2&amp;"|xN",Aux_puntos!$1:$1,0))),NA())</f>
        <v>#N/A</v>
      </c>
      <c r="AJ570" t="e">
        <f>IFERROR(IF(INDEX(Aux_puntos!$A$2:$OJ$901,566,MATCH($B$2&amp;"|yN",Aux_puntos!$1:$1,0))="",NA(),INDEX(Aux_puntos!$A$2:$OJ$901,566,MATCH($B$2&amp;"|yN",Aux_puntos!$1:$1,0))),NA())</f>
        <v>#N/A</v>
      </c>
    </row>
    <row r="571" spans="29:36" x14ac:dyDescent="0.3">
      <c r="AC571" t="e">
        <f>IFERROR(IF(INDEX(Aux_puntos!$A$2:$OJ$901,567,MATCH($B$2&amp;"|xK",Aux_puntos!$1:$1,0))="",NA(),INDEX(Aux_puntos!$A$2:$OJ$901,567,MATCH($B$2&amp;"|xK",Aux_puntos!$1:$1,0))),NA())</f>
        <v>#N/A</v>
      </c>
      <c r="AD571" t="e">
        <f>IFERROR(IF(INDEX(Aux_puntos!$A$2:$OJ$901,567,MATCH($B$2&amp;"|yK",Aux_puntos!$1:$1,0))="",NA(),INDEX(Aux_puntos!$A$2:$OJ$901,567,MATCH($B$2&amp;"|yK",Aux_puntos!$1:$1,0))),NA())</f>
        <v>#N/A</v>
      </c>
      <c r="AE571" t="e">
        <f>IFERROR(IF(INDEX(Aux_puntos!$A$2:$OJ$901,567,MATCH($B$2&amp;"|xC",Aux_puntos!$1:$1,0))="",NA(),INDEX(Aux_puntos!$A$2:$OJ$901,567,MATCH($B$2&amp;"|xC",Aux_puntos!$1:$1,0))),NA())</f>
        <v>#N/A</v>
      </c>
      <c r="AF571" t="e">
        <f>IFERROR(IF(INDEX(Aux_puntos!$A$2:$OJ$901,567,MATCH($B$2&amp;"|yC",Aux_puntos!$1:$1,0))="",NA(),INDEX(Aux_puntos!$A$2:$OJ$901,567,MATCH($B$2&amp;"|yC",Aux_puntos!$1:$1,0))),NA())</f>
        <v>#N/A</v>
      </c>
      <c r="AG571" t="e">
        <f>IFERROR(IF(INDEX(Aux_puntos!$A$2:$OJ$901,567,MATCH($B$2&amp;"|xI",Aux_puntos!$1:$1,0))="",NA(),INDEX(Aux_puntos!$A$2:$OJ$901,567,MATCH($B$2&amp;"|xI",Aux_puntos!$1:$1,0))),NA())</f>
        <v>#N/A</v>
      </c>
      <c r="AH571" t="e">
        <f>IFERROR(IF(INDEX(Aux_puntos!$A$2:$OJ$901,567,MATCH($B$2&amp;"|yI",Aux_puntos!$1:$1,0))="",NA(),INDEX(Aux_puntos!$A$2:$OJ$901,567,MATCH($B$2&amp;"|yI",Aux_puntos!$1:$1,0))),NA())</f>
        <v>#N/A</v>
      </c>
      <c r="AI571" t="e">
        <f>IFERROR(IF(INDEX(Aux_puntos!$A$2:$OJ$901,567,MATCH($B$2&amp;"|xN",Aux_puntos!$1:$1,0))="",NA(),INDEX(Aux_puntos!$A$2:$OJ$901,567,MATCH($B$2&amp;"|xN",Aux_puntos!$1:$1,0))),NA())</f>
        <v>#N/A</v>
      </c>
      <c r="AJ571" t="e">
        <f>IFERROR(IF(INDEX(Aux_puntos!$A$2:$OJ$901,567,MATCH($B$2&amp;"|yN",Aux_puntos!$1:$1,0))="",NA(),INDEX(Aux_puntos!$A$2:$OJ$901,567,MATCH($B$2&amp;"|yN",Aux_puntos!$1:$1,0))),NA())</f>
        <v>#N/A</v>
      </c>
    </row>
    <row r="572" spans="29:36" x14ac:dyDescent="0.3">
      <c r="AC572" t="e">
        <f>IFERROR(IF(INDEX(Aux_puntos!$A$2:$OJ$901,568,MATCH($B$2&amp;"|xK",Aux_puntos!$1:$1,0))="",NA(),INDEX(Aux_puntos!$A$2:$OJ$901,568,MATCH($B$2&amp;"|xK",Aux_puntos!$1:$1,0))),NA())</f>
        <v>#N/A</v>
      </c>
      <c r="AD572" t="e">
        <f>IFERROR(IF(INDEX(Aux_puntos!$A$2:$OJ$901,568,MATCH($B$2&amp;"|yK",Aux_puntos!$1:$1,0))="",NA(),INDEX(Aux_puntos!$A$2:$OJ$901,568,MATCH($B$2&amp;"|yK",Aux_puntos!$1:$1,0))),NA())</f>
        <v>#N/A</v>
      </c>
      <c r="AE572" t="e">
        <f>IFERROR(IF(INDEX(Aux_puntos!$A$2:$OJ$901,568,MATCH($B$2&amp;"|xC",Aux_puntos!$1:$1,0))="",NA(),INDEX(Aux_puntos!$A$2:$OJ$901,568,MATCH($B$2&amp;"|xC",Aux_puntos!$1:$1,0))),NA())</f>
        <v>#N/A</v>
      </c>
      <c r="AF572" t="e">
        <f>IFERROR(IF(INDEX(Aux_puntos!$A$2:$OJ$901,568,MATCH($B$2&amp;"|yC",Aux_puntos!$1:$1,0))="",NA(),INDEX(Aux_puntos!$A$2:$OJ$901,568,MATCH($B$2&amp;"|yC",Aux_puntos!$1:$1,0))),NA())</f>
        <v>#N/A</v>
      </c>
      <c r="AG572" t="e">
        <f>IFERROR(IF(INDEX(Aux_puntos!$A$2:$OJ$901,568,MATCH($B$2&amp;"|xI",Aux_puntos!$1:$1,0))="",NA(),INDEX(Aux_puntos!$A$2:$OJ$901,568,MATCH($B$2&amp;"|xI",Aux_puntos!$1:$1,0))),NA())</f>
        <v>#N/A</v>
      </c>
      <c r="AH572" t="e">
        <f>IFERROR(IF(INDEX(Aux_puntos!$A$2:$OJ$901,568,MATCH($B$2&amp;"|yI",Aux_puntos!$1:$1,0))="",NA(),INDEX(Aux_puntos!$A$2:$OJ$901,568,MATCH($B$2&amp;"|yI",Aux_puntos!$1:$1,0))),NA())</f>
        <v>#N/A</v>
      </c>
      <c r="AI572" t="e">
        <f>IFERROR(IF(INDEX(Aux_puntos!$A$2:$OJ$901,568,MATCH($B$2&amp;"|xN",Aux_puntos!$1:$1,0))="",NA(),INDEX(Aux_puntos!$A$2:$OJ$901,568,MATCH($B$2&amp;"|xN",Aux_puntos!$1:$1,0))),NA())</f>
        <v>#N/A</v>
      </c>
      <c r="AJ572" t="e">
        <f>IFERROR(IF(INDEX(Aux_puntos!$A$2:$OJ$901,568,MATCH($B$2&amp;"|yN",Aux_puntos!$1:$1,0))="",NA(),INDEX(Aux_puntos!$A$2:$OJ$901,568,MATCH($B$2&amp;"|yN",Aux_puntos!$1:$1,0))),NA())</f>
        <v>#N/A</v>
      </c>
    </row>
    <row r="573" spans="29:36" x14ac:dyDescent="0.3">
      <c r="AC573" t="e">
        <f>IFERROR(IF(INDEX(Aux_puntos!$A$2:$OJ$901,569,MATCH($B$2&amp;"|xK",Aux_puntos!$1:$1,0))="",NA(),INDEX(Aux_puntos!$A$2:$OJ$901,569,MATCH($B$2&amp;"|xK",Aux_puntos!$1:$1,0))),NA())</f>
        <v>#N/A</v>
      </c>
      <c r="AD573" t="e">
        <f>IFERROR(IF(INDEX(Aux_puntos!$A$2:$OJ$901,569,MATCH($B$2&amp;"|yK",Aux_puntos!$1:$1,0))="",NA(),INDEX(Aux_puntos!$A$2:$OJ$901,569,MATCH($B$2&amp;"|yK",Aux_puntos!$1:$1,0))),NA())</f>
        <v>#N/A</v>
      </c>
      <c r="AE573" t="e">
        <f>IFERROR(IF(INDEX(Aux_puntos!$A$2:$OJ$901,569,MATCH($B$2&amp;"|xC",Aux_puntos!$1:$1,0))="",NA(),INDEX(Aux_puntos!$A$2:$OJ$901,569,MATCH($B$2&amp;"|xC",Aux_puntos!$1:$1,0))),NA())</f>
        <v>#N/A</v>
      </c>
      <c r="AF573" t="e">
        <f>IFERROR(IF(INDEX(Aux_puntos!$A$2:$OJ$901,569,MATCH($B$2&amp;"|yC",Aux_puntos!$1:$1,0))="",NA(),INDEX(Aux_puntos!$A$2:$OJ$901,569,MATCH($B$2&amp;"|yC",Aux_puntos!$1:$1,0))),NA())</f>
        <v>#N/A</v>
      </c>
      <c r="AG573" t="e">
        <f>IFERROR(IF(INDEX(Aux_puntos!$A$2:$OJ$901,569,MATCH($B$2&amp;"|xI",Aux_puntos!$1:$1,0))="",NA(),INDEX(Aux_puntos!$A$2:$OJ$901,569,MATCH($B$2&amp;"|xI",Aux_puntos!$1:$1,0))),NA())</f>
        <v>#N/A</v>
      </c>
      <c r="AH573" t="e">
        <f>IFERROR(IF(INDEX(Aux_puntos!$A$2:$OJ$901,569,MATCH($B$2&amp;"|yI",Aux_puntos!$1:$1,0))="",NA(),INDEX(Aux_puntos!$A$2:$OJ$901,569,MATCH($B$2&amp;"|yI",Aux_puntos!$1:$1,0))),NA())</f>
        <v>#N/A</v>
      </c>
      <c r="AI573" t="e">
        <f>IFERROR(IF(INDEX(Aux_puntos!$A$2:$OJ$901,569,MATCH($B$2&amp;"|xN",Aux_puntos!$1:$1,0))="",NA(),INDEX(Aux_puntos!$A$2:$OJ$901,569,MATCH($B$2&amp;"|xN",Aux_puntos!$1:$1,0))),NA())</f>
        <v>#N/A</v>
      </c>
      <c r="AJ573" t="e">
        <f>IFERROR(IF(INDEX(Aux_puntos!$A$2:$OJ$901,569,MATCH($B$2&amp;"|yN",Aux_puntos!$1:$1,0))="",NA(),INDEX(Aux_puntos!$A$2:$OJ$901,569,MATCH($B$2&amp;"|yN",Aux_puntos!$1:$1,0))),NA())</f>
        <v>#N/A</v>
      </c>
    </row>
    <row r="574" spans="29:36" x14ac:dyDescent="0.3">
      <c r="AC574" t="e">
        <f>IFERROR(IF(INDEX(Aux_puntos!$A$2:$OJ$901,570,MATCH($B$2&amp;"|xK",Aux_puntos!$1:$1,0))="",NA(),INDEX(Aux_puntos!$A$2:$OJ$901,570,MATCH($B$2&amp;"|xK",Aux_puntos!$1:$1,0))),NA())</f>
        <v>#N/A</v>
      </c>
      <c r="AD574" t="e">
        <f>IFERROR(IF(INDEX(Aux_puntos!$A$2:$OJ$901,570,MATCH($B$2&amp;"|yK",Aux_puntos!$1:$1,0))="",NA(),INDEX(Aux_puntos!$A$2:$OJ$901,570,MATCH($B$2&amp;"|yK",Aux_puntos!$1:$1,0))),NA())</f>
        <v>#N/A</v>
      </c>
      <c r="AE574" t="e">
        <f>IFERROR(IF(INDEX(Aux_puntos!$A$2:$OJ$901,570,MATCH($B$2&amp;"|xC",Aux_puntos!$1:$1,0))="",NA(),INDEX(Aux_puntos!$A$2:$OJ$901,570,MATCH($B$2&amp;"|xC",Aux_puntos!$1:$1,0))),NA())</f>
        <v>#N/A</v>
      </c>
      <c r="AF574" t="e">
        <f>IFERROR(IF(INDEX(Aux_puntos!$A$2:$OJ$901,570,MATCH($B$2&amp;"|yC",Aux_puntos!$1:$1,0))="",NA(),INDEX(Aux_puntos!$A$2:$OJ$901,570,MATCH($B$2&amp;"|yC",Aux_puntos!$1:$1,0))),NA())</f>
        <v>#N/A</v>
      </c>
      <c r="AG574" t="e">
        <f>IFERROR(IF(INDEX(Aux_puntos!$A$2:$OJ$901,570,MATCH($B$2&amp;"|xI",Aux_puntos!$1:$1,0))="",NA(),INDEX(Aux_puntos!$A$2:$OJ$901,570,MATCH($B$2&amp;"|xI",Aux_puntos!$1:$1,0))),NA())</f>
        <v>#N/A</v>
      </c>
      <c r="AH574" t="e">
        <f>IFERROR(IF(INDEX(Aux_puntos!$A$2:$OJ$901,570,MATCH($B$2&amp;"|yI",Aux_puntos!$1:$1,0))="",NA(),INDEX(Aux_puntos!$A$2:$OJ$901,570,MATCH($B$2&amp;"|yI",Aux_puntos!$1:$1,0))),NA())</f>
        <v>#N/A</v>
      </c>
      <c r="AI574" t="e">
        <f>IFERROR(IF(INDEX(Aux_puntos!$A$2:$OJ$901,570,MATCH($B$2&amp;"|xN",Aux_puntos!$1:$1,0))="",NA(),INDEX(Aux_puntos!$A$2:$OJ$901,570,MATCH($B$2&amp;"|xN",Aux_puntos!$1:$1,0))),NA())</f>
        <v>#N/A</v>
      </c>
      <c r="AJ574" t="e">
        <f>IFERROR(IF(INDEX(Aux_puntos!$A$2:$OJ$901,570,MATCH($B$2&amp;"|yN",Aux_puntos!$1:$1,0))="",NA(),INDEX(Aux_puntos!$A$2:$OJ$901,570,MATCH($B$2&amp;"|yN",Aux_puntos!$1:$1,0))),NA())</f>
        <v>#N/A</v>
      </c>
    </row>
    <row r="575" spans="29:36" x14ac:dyDescent="0.3">
      <c r="AC575" t="e">
        <f>IFERROR(IF(INDEX(Aux_puntos!$A$2:$OJ$901,571,MATCH($B$2&amp;"|xK",Aux_puntos!$1:$1,0))="",NA(),INDEX(Aux_puntos!$A$2:$OJ$901,571,MATCH($B$2&amp;"|xK",Aux_puntos!$1:$1,0))),NA())</f>
        <v>#N/A</v>
      </c>
      <c r="AD575" t="e">
        <f>IFERROR(IF(INDEX(Aux_puntos!$A$2:$OJ$901,571,MATCH($B$2&amp;"|yK",Aux_puntos!$1:$1,0))="",NA(),INDEX(Aux_puntos!$A$2:$OJ$901,571,MATCH($B$2&amp;"|yK",Aux_puntos!$1:$1,0))),NA())</f>
        <v>#N/A</v>
      </c>
      <c r="AE575" t="e">
        <f>IFERROR(IF(INDEX(Aux_puntos!$A$2:$OJ$901,571,MATCH($B$2&amp;"|xC",Aux_puntos!$1:$1,0))="",NA(),INDEX(Aux_puntos!$A$2:$OJ$901,571,MATCH($B$2&amp;"|xC",Aux_puntos!$1:$1,0))),NA())</f>
        <v>#N/A</v>
      </c>
      <c r="AF575" t="e">
        <f>IFERROR(IF(INDEX(Aux_puntos!$A$2:$OJ$901,571,MATCH($B$2&amp;"|yC",Aux_puntos!$1:$1,0))="",NA(),INDEX(Aux_puntos!$A$2:$OJ$901,571,MATCH($B$2&amp;"|yC",Aux_puntos!$1:$1,0))),NA())</f>
        <v>#N/A</v>
      </c>
      <c r="AG575" t="e">
        <f>IFERROR(IF(INDEX(Aux_puntos!$A$2:$OJ$901,571,MATCH($B$2&amp;"|xI",Aux_puntos!$1:$1,0))="",NA(),INDEX(Aux_puntos!$A$2:$OJ$901,571,MATCH($B$2&amp;"|xI",Aux_puntos!$1:$1,0))),NA())</f>
        <v>#N/A</v>
      </c>
      <c r="AH575" t="e">
        <f>IFERROR(IF(INDEX(Aux_puntos!$A$2:$OJ$901,571,MATCH($B$2&amp;"|yI",Aux_puntos!$1:$1,0))="",NA(),INDEX(Aux_puntos!$A$2:$OJ$901,571,MATCH($B$2&amp;"|yI",Aux_puntos!$1:$1,0))),NA())</f>
        <v>#N/A</v>
      </c>
      <c r="AI575" t="e">
        <f>IFERROR(IF(INDEX(Aux_puntos!$A$2:$OJ$901,571,MATCH($B$2&amp;"|xN",Aux_puntos!$1:$1,0))="",NA(),INDEX(Aux_puntos!$A$2:$OJ$901,571,MATCH($B$2&amp;"|xN",Aux_puntos!$1:$1,0))),NA())</f>
        <v>#N/A</v>
      </c>
      <c r="AJ575" t="e">
        <f>IFERROR(IF(INDEX(Aux_puntos!$A$2:$OJ$901,571,MATCH($B$2&amp;"|yN",Aux_puntos!$1:$1,0))="",NA(),INDEX(Aux_puntos!$A$2:$OJ$901,571,MATCH($B$2&amp;"|yN",Aux_puntos!$1:$1,0))),NA())</f>
        <v>#N/A</v>
      </c>
    </row>
    <row r="576" spans="29:36" x14ac:dyDescent="0.3">
      <c r="AC576" t="e">
        <f>IFERROR(IF(INDEX(Aux_puntos!$A$2:$OJ$901,572,MATCH($B$2&amp;"|xK",Aux_puntos!$1:$1,0))="",NA(),INDEX(Aux_puntos!$A$2:$OJ$901,572,MATCH($B$2&amp;"|xK",Aux_puntos!$1:$1,0))),NA())</f>
        <v>#N/A</v>
      </c>
      <c r="AD576" t="e">
        <f>IFERROR(IF(INDEX(Aux_puntos!$A$2:$OJ$901,572,MATCH($B$2&amp;"|yK",Aux_puntos!$1:$1,0))="",NA(),INDEX(Aux_puntos!$A$2:$OJ$901,572,MATCH($B$2&amp;"|yK",Aux_puntos!$1:$1,0))),NA())</f>
        <v>#N/A</v>
      </c>
      <c r="AE576" t="e">
        <f>IFERROR(IF(INDEX(Aux_puntos!$A$2:$OJ$901,572,MATCH($B$2&amp;"|xC",Aux_puntos!$1:$1,0))="",NA(),INDEX(Aux_puntos!$A$2:$OJ$901,572,MATCH($B$2&amp;"|xC",Aux_puntos!$1:$1,0))),NA())</f>
        <v>#N/A</v>
      </c>
      <c r="AF576" t="e">
        <f>IFERROR(IF(INDEX(Aux_puntos!$A$2:$OJ$901,572,MATCH($B$2&amp;"|yC",Aux_puntos!$1:$1,0))="",NA(),INDEX(Aux_puntos!$A$2:$OJ$901,572,MATCH($B$2&amp;"|yC",Aux_puntos!$1:$1,0))),NA())</f>
        <v>#N/A</v>
      </c>
      <c r="AG576" t="e">
        <f>IFERROR(IF(INDEX(Aux_puntos!$A$2:$OJ$901,572,MATCH($B$2&amp;"|xI",Aux_puntos!$1:$1,0))="",NA(),INDEX(Aux_puntos!$A$2:$OJ$901,572,MATCH($B$2&amp;"|xI",Aux_puntos!$1:$1,0))),NA())</f>
        <v>#N/A</v>
      </c>
      <c r="AH576" t="e">
        <f>IFERROR(IF(INDEX(Aux_puntos!$A$2:$OJ$901,572,MATCH($B$2&amp;"|yI",Aux_puntos!$1:$1,0))="",NA(),INDEX(Aux_puntos!$A$2:$OJ$901,572,MATCH($B$2&amp;"|yI",Aux_puntos!$1:$1,0))),NA())</f>
        <v>#N/A</v>
      </c>
      <c r="AI576" t="e">
        <f>IFERROR(IF(INDEX(Aux_puntos!$A$2:$OJ$901,572,MATCH($B$2&amp;"|xN",Aux_puntos!$1:$1,0))="",NA(),INDEX(Aux_puntos!$A$2:$OJ$901,572,MATCH($B$2&amp;"|xN",Aux_puntos!$1:$1,0))),NA())</f>
        <v>#N/A</v>
      </c>
      <c r="AJ576" t="e">
        <f>IFERROR(IF(INDEX(Aux_puntos!$A$2:$OJ$901,572,MATCH($B$2&amp;"|yN",Aux_puntos!$1:$1,0))="",NA(),INDEX(Aux_puntos!$A$2:$OJ$901,572,MATCH($B$2&amp;"|yN",Aux_puntos!$1:$1,0))),NA())</f>
        <v>#N/A</v>
      </c>
    </row>
    <row r="577" spans="29:36" x14ac:dyDescent="0.3">
      <c r="AC577" t="e">
        <f>IFERROR(IF(INDEX(Aux_puntos!$A$2:$OJ$901,573,MATCH($B$2&amp;"|xK",Aux_puntos!$1:$1,0))="",NA(),INDEX(Aux_puntos!$A$2:$OJ$901,573,MATCH($B$2&amp;"|xK",Aux_puntos!$1:$1,0))),NA())</f>
        <v>#N/A</v>
      </c>
      <c r="AD577" t="e">
        <f>IFERROR(IF(INDEX(Aux_puntos!$A$2:$OJ$901,573,MATCH($B$2&amp;"|yK",Aux_puntos!$1:$1,0))="",NA(),INDEX(Aux_puntos!$A$2:$OJ$901,573,MATCH($B$2&amp;"|yK",Aux_puntos!$1:$1,0))),NA())</f>
        <v>#N/A</v>
      </c>
      <c r="AE577" t="e">
        <f>IFERROR(IF(INDEX(Aux_puntos!$A$2:$OJ$901,573,MATCH($B$2&amp;"|xC",Aux_puntos!$1:$1,0))="",NA(),INDEX(Aux_puntos!$A$2:$OJ$901,573,MATCH($B$2&amp;"|xC",Aux_puntos!$1:$1,0))),NA())</f>
        <v>#N/A</v>
      </c>
      <c r="AF577" t="e">
        <f>IFERROR(IF(INDEX(Aux_puntos!$A$2:$OJ$901,573,MATCH($B$2&amp;"|yC",Aux_puntos!$1:$1,0))="",NA(),INDEX(Aux_puntos!$A$2:$OJ$901,573,MATCH($B$2&amp;"|yC",Aux_puntos!$1:$1,0))),NA())</f>
        <v>#N/A</v>
      </c>
      <c r="AG577" t="e">
        <f>IFERROR(IF(INDEX(Aux_puntos!$A$2:$OJ$901,573,MATCH($B$2&amp;"|xI",Aux_puntos!$1:$1,0))="",NA(),INDEX(Aux_puntos!$A$2:$OJ$901,573,MATCH($B$2&amp;"|xI",Aux_puntos!$1:$1,0))),NA())</f>
        <v>#N/A</v>
      </c>
      <c r="AH577" t="e">
        <f>IFERROR(IF(INDEX(Aux_puntos!$A$2:$OJ$901,573,MATCH($B$2&amp;"|yI",Aux_puntos!$1:$1,0))="",NA(),INDEX(Aux_puntos!$A$2:$OJ$901,573,MATCH($B$2&amp;"|yI",Aux_puntos!$1:$1,0))),NA())</f>
        <v>#N/A</v>
      </c>
      <c r="AI577" t="e">
        <f>IFERROR(IF(INDEX(Aux_puntos!$A$2:$OJ$901,573,MATCH($B$2&amp;"|xN",Aux_puntos!$1:$1,0))="",NA(),INDEX(Aux_puntos!$A$2:$OJ$901,573,MATCH($B$2&amp;"|xN",Aux_puntos!$1:$1,0))),NA())</f>
        <v>#N/A</v>
      </c>
      <c r="AJ577" t="e">
        <f>IFERROR(IF(INDEX(Aux_puntos!$A$2:$OJ$901,573,MATCH($B$2&amp;"|yN",Aux_puntos!$1:$1,0))="",NA(),INDEX(Aux_puntos!$A$2:$OJ$901,573,MATCH($B$2&amp;"|yN",Aux_puntos!$1:$1,0))),NA())</f>
        <v>#N/A</v>
      </c>
    </row>
    <row r="578" spans="29:36" x14ac:dyDescent="0.3">
      <c r="AC578" t="e">
        <f>IFERROR(IF(INDEX(Aux_puntos!$A$2:$OJ$901,574,MATCH($B$2&amp;"|xK",Aux_puntos!$1:$1,0))="",NA(),INDEX(Aux_puntos!$A$2:$OJ$901,574,MATCH($B$2&amp;"|xK",Aux_puntos!$1:$1,0))),NA())</f>
        <v>#N/A</v>
      </c>
      <c r="AD578" t="e">
        <f>IFERROR(IF(INDEX(Aux_puntos!$A$2:$OJ$901,574,MATCH($B$2&amp;"|yK",Aux_puntos!$1:$1,0))="",NA(),INDEX(Aux_puntos!$A$2:$OJ$901,574,MATCH($B$2&amp;"|yK",Aux_puntos!$1:$1,0))),NA())</f>
        <v>#N/A</v>
      </c>
      <c r="AE578" t="e">
        <f>IFERROR(IF(INDEX(Aux_puntos!$A$2:$OJ$901,574,MATCH($B$2&amp;"|xC",Aux_puntos!$1:$1,0))="",NA(),INDEX(Aux_puntos!$A$2:$OJ$901,574,MATCH($B$2&amp;"|xC",Aux_puntos!$1:$1,0))),NA())</f>
        <v>#N/A</v>
      </c>
      <c r="AF578" t="e">
        <f>IFERROR(IF(INDEX(Aux_puntos!$A$2:$OJ$901,574,MATCH($B$2&amp;"|yC",Aux_puntos!$1:$1,0))="",NA(),INDEX(Aux_puntos!$A$2:$OJ$901,574,MATCH($B$2&amp;"|yC",Aux_puntos!$1:$1,0))),NA())</f>
        <v>#N/A</v>
      </c>
      <c r="AG578" t="e">
        <f>IFERROR(IF(INDEX(Aux_puntos!$A$2:$OJ$901,574,MATCH($B$2&amp;"|xI",Aux_puntos!$1:$1,0))="",NA(),INDEX(Aux_puntos!$A$2:$OJ$901,574,MATCH($B$2&amp;"|xI",Aux_puntos!$1:$1,0))),NA())</f>
        <v>#N/A</v>
      </c>
      <c r="AH578" t="e">
        <f>IFERROR(IF(INDEX(Aux_puntos!$A$2:$OJ$901,574,MATCH($B$2&amp;"|yI",Aux_puntos!$1:$1,0))="",NA(),INDEX(Aux_puntos!$A$2:$OJ$901,574,MATCH($B$2&amp;"|yI",Aux_puntos!$1:$1,0))),NA())</f>
        <v>#N/A</v>
      </c>
      <c r="AI578" t="e">
        <f>IFERROR(IF(INDEX(Aux_puntos!$A$2:$OJ$901,574,MATCH($B$2&amp;"|xN",Aux_puntos!$1:$1,0))="",NA(),INDEX(Aux_puntos!$A$2:$OJ$901,574,MATCH($B$2&amp;"|xN",Aux_puntos!$1:$1,0))),NA())</f>
        <v>#N/A</v>
      </c>
      <c r="AJ578" t="e">
        <f>IFERROR(IF(INDEX(Aux_puntos!$A$2:$OJ$901,574,MATCH($B$2&amp;"|yN",Aux_puntos!$1:$1,0))="",NA(),INDEX(Aux_puntos!$A$2:$OJ$901,574,MATCH($B$2&amp;"|yN",Aux_puntos!$1:$1,0))),NA())</f>
        <v>#N/A</v>
      </c>
    </row>
    <row r="579" spans="29:36" x14ac:dyDescent="0.3">
      <c r="AC579" t="e">
        <f>IFERROR(IF(INDEX(Aux_puntos!$A$2:$OJ$901,575,MATCH($B$2&amp;"|xK",Aux_puntos!$1:$1,0))="",NA(),INDEX(Aux_puntos!$A$2:$OJ$901,575,MATCH($B$2&amp;"|xK",Aux_puntos!$1:$1,0))),NA())</f>
        <v>#N/A</v>
      </c>
      <c r="AD579" t="e">
        <f>IFERROR(IF(INDEX(Aux_puntos!$A$2:$OJ$901,575,MATCH($B$2&amp;"|yK",Aux_puntos!$1:$1,0))="",NA(),INDEX(Aux_puntos!$A$2:$OJ$901,575,MATCH($B$2&amp;"|yK",Aux_puntos!$1:$1,0))),NA())</f>
        <v>#N/A</v>
      </c>
      <c r="AE579" t="e">
        <f>IFERROR(IF(INDEX(Aux_puntos!$A$2:$OJ$901,575,MATCH($B$2&amp;"|xC",Aux_puntos!$1:$1,0))="",NA(),INDEX(Aux_puntos!$A$2:$OJ$901,575,MATCH($B$2&amp;"|xC",Aux_puntos!$1:$1,0))),NA())</f>
        <v>#N/A</v>
      </c>
      <c r="AF579" t="e">
        <f>IFERROR(IF(INDEX(Aux_puntos!$A$2:$OJ$901,575,MATCH($B$2&amp;"|yC",Aux_puntos!$1:$1,0))="",NA(),INDEX(Aux_puntos!$A$2:$OJ$901,575,MATCH($B$2&amp;"|yC",Aux_puntos!$1:$1,0))),NA())</f>
        <v>#N/A</v>
      </c>
      <c r="AG579" t="e">
        <f>IFERROR(IF(INDEX(Aux_puntos!$A$2:$OJ$901,575,MATCH($B$2&amp;"|xI",Aux_puntos!$1:$1,0))="",NA(),INDEX(Aux_puntos!$A$2:$OJ$901,575,MATCH($B$2&amp;"|xI",Aux_puntos!$1:$1,0))),NA())</f>
        <v>#N/A</v>
      </c>
      <c r="AH579" t="e">
        <f>IFERROR(IF(INDEX(Aux_puntos!$A$2:$OJ$901,575,MATCH($B$2&amp;"|yI",Aux_puntos!$1:$1,0))="",NA(),INDEX(Aux_puntos!$A$2:$OJ$901,575,MATCH($B$2&amp;"|yI",Aux_puntos!$1:$1,0))),NA())</f>
        <v>#N/A</v>
      </c>
      <c r="AI579" t="e">
        <f>IFERROR(IF(INDEX(Aux_puntos!$A$2:$OJ$901,575,MATCH($B$2&amp;"|xN",Aux_puntos!$1:$1,0))="",NA(),INDEX(Aux_puntos!$A$2:$OJ$901,575,MATCH($B$2&amp;"|xN",Aux_puntos!$1:$1,0))),NA())</f>
        <v>#N/A</v>
      </c>
      <c r="AJ579" t="e">
        <f>IFERROR(IF(INDEX(Aux_puntos!$A$2:$OJ$901,575,MATCH($B$2&amp;"|yN",Aux_puntos!$1:$1,0))="",NA(),INDEX(Aux_puntos!$A$2:$OJ$901,575,MATCH($B$2&amp;"|yN",Aux_puntos!$1:$1,0))),NA())</f>
        <v>#N/A</v>
      </c>
    </row>
    <row r="580" spans="29:36" x14ac:dyDescent="0.3">
      <c r="AC580" t="e">
        <f>IFERROR(IF(INDEX(Aux_puntos!$A$2:$OJ$901,576,MATCH($B$2&amp;"|xK",Aux_puntos!$1:$1,0))="",NA(),INDEX(Aux_puntos!$A$2:$OJ$901,576,MATCH($B$2&amp;"|xK",Aux_puntos!$1:$1,0))),NA())</f>
        <v>#N/A</v>
      </c>
      <c r="AD580" t="e">
        <f>IFERROR(IF(INDEX(Aux_puntos!$A$2:$OJ$901,576,MATCH($B$2&amp;"|yK",Aux_puntos!$1:$1,0))="",NA(),INDEX(Aux_puntos!$A$2:$OJ$901,576,MATCH($B$2&amp;"|yK",Aux_puntos!$1:$1,0))),NA())</f>
        <v>#N/A</v>
      </c>
      <c r="AE580" t="e">
        <f>IFERROR(IF(INDEX(Aux_puntos!$A$2:$OJ$901,576,MATCH($B$2&amp;"|xC",Aux_puntos!$1:$1,0))="",NA(),INDEX(Aux_puntos!$A$2:$OJ$901,576,MATCH($B$2&amp;"|xC",Aux_puntos!$1:$1,0))),NA())</f>
        <v>#N/A</v>
      </c>
      <c r="AF580" t="e">
        <f>IFERROR(IF(INDEX(Aux_puntos!$A$2:$OJ$901,576,MATCH($B$2&amp;"|yC",Aux_puntos!$1:$1,0))="",NA(),INDEX(Aux_puntos!$A$2:$OJ$901,576,MATCH($B$2&amp;"|yC",Aux_puntos!$1:$1,0))),NA())</f>
        <v>#N/A</v>
      </c>
      <c r="AG580" t="e">
        <f>IFERROR(IF(INDEX(Aux_puntos!$A$2:$OJ$901,576,MATCH($B$2&amp;"|xI",Aux_puntos!$1:$1,0))="",NA(),INDEX(Aux_puntos!$A$2:$OJ$901,576,MATCH($B$2&amp;"|xI",Aux_puntos!$1:$1,0))),NA())</f>
        <v>#N/A</v>
      </c>
      <c r="AH580" t="e">
        <f>IFERROR(IF(INDEX(Aux_puntos!$A$2:$OJ$901,576,MATCH($B$2&amp;"|yI",Aux_puntos!$1:$1,0))="",NA(),INDEX(Aux_puntos!$A$2:$OJ$901,576,MATCH($B$2&amp;"|yI",Aux_puntos!$1:$1,0))),NA())</f>
        <v>#N/A</v>
      </c>
      <c r="AI580" t="e">
        <f>IFERROR(IF(INDEX(Aux_puntos!$A$2:$OJ$901,576,MATCH($B$2&amp;"|xN",Aux_puntos!$1:$1,0))="",NA(),INDEX(Aux_puntos!$A$2:$OJ$901,576,MATCH($B$2&amp;"|xN",Aux_puntos!$1:$1,0))),NA())</f>
        <v>#N/A</v>
      </c>
      <c r="AJ580" t="e">
        <f>IFERROR(IF(INDEX(Aux_puntos!$A$2:$OJ$901,576,MATCH($B$2&amp;"|yN",Aux_puntos!$1:$1,0))="",NA(),INDEX(Aux_puntos!$A$2:$OJ$901,576,MATCH($B$2&amp;"|yN",Aux_puntos!$1:$1,0))),NA())</f>
        <v>#N/A</v>
      </c>
    </row>
    <row r="581" spans="29:36" x14ac:dyDescent="0.3">
      <c r="AC581" t="e">
        <f>IFERROR(IF(INDEX(Aux_puntos!$A$2:$OJ$901,577,MATCH($B$2&amp;"|xK",Aux_puntos!$1:$1,0))="",NA(),INDEX(Aux_puntos!$A$2:$OJ$901,577,MATCH($B$2&amp;"|xK",Aux_puntos!$1:$1,0))),NA())</f>
        <v>#N/A</v>
      </c>
      <c r="AD581" t="e">
        <f>IFERROR(IF(INDEX(Aux_puntos!$A$2:$OJ$901,577,MATCH($B$2&amp;"|yK",Aux_puntos!$1:$1,0))="",NA(),INDEX(Aux_puntos!$A$2:$OJ$901,577,MATCH($B$2&amp;"|yK",Aux_puntos!$1:$1,0))),NA())</f>
        <v>#N/A</v>
      </c>
      <c r="AE581" t="e">
        <f>IFERROR(IF(INDEX(Aux_puntos!$A$2:$OJ$901,577,MATCH($B$2&amp;"|xC",Aux_puntos!$1:$1,0))="",NA(),INDEX(Aux_puntos!$A$2:$OJ$901,577,MATCH($B$2&amp;"|xC",Aux_puntos!$1:$1,0))),NA())</f>
        <v>#N/A</v>
      </c>
      <c r="AF581" t="e">
        <f>IFERROR(IF(INDEX(Aux_puntos!$A$2:$OJ$901,577,MATCH($B$2&amp;"|yC",Aux_puntos!$1:$1,0))="",NA(),INDEX(Aux_puntos!$A$2:$OJ$901,577,MATCH($B$2&amp;"|yC",Aux_puntos!$1:$1,0))),NA())</f>
        <v>#N/A</v>
      </c>
      <c r="AG581" t="e">
        <f>IFERROR(IF(INDEX(Aux_puntos!$A$2:$OJ$901,577,MATCH($B$2&amp;"|xI",Aux_puntos!$1:$1,0))="",NA(),INDEX(Aux_puntos!$A$2:$OJ$901,577,MATCH($B$2&amp;"|xI",Aux_puntos!$1:$1,0))),NA())</f>
        <v>#N/A</v>
      </c>
      <c r="AH581" t="e">
        <f>IFERROR(IF(INDEX(Aux_puntos!$A$2:$OJ$901,577,MATCH($B$2&amp;"|yI",Aux_puntos!$1:$1,0))="",NA(),INDEX(Aux_puntos!$A$2:$OJ$901,577,MATCH($B$2&amp;"|yI",Aux_puntos!$1:$1,0))),NA())</f>
        <v>#N/A</v>
      </c>
      <c r="AI581" t="e">
        <f>IFERROR(IF(INDEX(Aux_puntos!$A$2:$OJ$901,577,MATCH($B$2&amp;"|xN",Aux_puntos!$1:$1,0))="",NA(),INDEX(Aux_puntos!$A$2:$OJ$901,577,MATCH($B$2&amp;"|xN",Aux_puntos!$1:$1,0))),NA())</f>
        <v>#N/A</v>
      </c>
      <c r="AJ581" t="e">
        <f>IFERROR(IF(INDEX(Aux_puntos!$A$2:$OJ$901,577,MATCH($B$2&amp;"|yN",Aux_puntos!$1:$1,0))="",NA(),INDEX(Aux_puntos!$A$2:$OJ$901,577,MATCH($B$2&amp;"|yN",Aux_puntos!$1:$1,0))),NA())</f>
        <v>#N/A</v>
      </c>
    </row>
    <row r="582" spans="29:36" x14ac:dyDescent="0.3">
      <c r="AC582" t="e">
        <f>IFERROR(IF(INDEX(Aux_puntos!$A$2:$OJ$901,578,MATCH($B$2&amp;"|xK",Aux_puntos!$1:$1,0))="",NA(),INDEX(Aux_puntos!$A$2:$OJ$901,578,MATCH($B$2&amp;"|xK",Aux_puntos!$1:$1,0))),NA())</f>
        <v>#N/A</v>
      </c>
      <c r="AD582" t="e">
        <f>IFERROR(IF(INDEX(Aux_puntos!$A$2:$OJ$901,578,MATCH($B$2&amp;"|yK",Aux_puntos!$1:$1,0))="",NA(),INDEX(Aux_puntos!$A$2:$OJ$901,578,MATCH($B$2&amp;"|yK",Aux_puntos!$1:$1,0))),NA())</f>
        <v>#N/A</v>
      </c>
      <c r="AE582" t="e">
        <f>IFERROR(IF(INDEX(Aux_puntos!$A$2:$OJ$901,578,MATCH($B$2&amp;"|xC",Aux_puntos!$1:$1,0))="",NA(),INDEX(Aux_puntos!$A$2:$OJ$901,578,MATCH($B$2&amp;"|xC",Aux_puntos!$1:$1,0))),NA())</f>
        <v>#N/A</v>
      </c>
      <c r="AF582" t="e">
        <f>IFERROR(IF(INDEX(Aux_puntos!$A$2:$OJ$901,578,MATCH($B$2&amp;"|yC",Aux_puntos!$1:$1,0))="",NA(),INDEX(Aux_puntos!$A$2:$OJ$901,578,MATCH($B$2&amp;"|yC",Aux_puntos!$1:$1,0))),NA())</f>
        <v>#N/A</v>
      </c>
      <c r="AG582" t="e">
        <f>IFERROR(IF(INDEX(Aux_puntos!$A$2:$OJ$901,578,MATCH($B$2&amp;"|xI",Aux_puntos!$1:$1,0))="",NA(),INDEX(Aux_puntos!$A$2:$OJ$901,578,MATCH($B$2&amp;"|xI",Aux_puntos!$1:$1,0))),NA())</f>
        <v>#N/A</v>
      </c>
      <c r="AH582" t="e">
        <f>IFERROR(IF(INDEX(Aux_puntos!$A$2:$OJ$901,578,MATCH($B$2&amp;"|yI",Aux_puntos!$1:$1,0))="",NA(),INDEX(Aux_puntos!$A$2:$OJ$901,578,MATCH($B$2&amp;"|yI",Aux_puntos!$1:$1,0))),NA())</f>
        <v>#N/A</v>
      </c>
      <c r="AI582" t="e">
        <f>IFERROR(IF(INDEX(Aux_puntos!$A$2:$OJ$901,578,MATCH($B$2&amp;"|xN",Aux_puntos!$1:$1,0))="",NA(),INDEX(Aux_puntos!$A$2:$OJ$901,578,MATCH($B$2&amp;"|xN",Aux_puntos!$1:$1,0))),NA())</f>
        <v>#N/A</v>
      </c>
      <c r="AJ582" t="e">
        <f>IFERROR(IF(INDEX(Aux_puntos!$A$2:$OJ$901,578,MATCH($B$2&amp;"|yN",Aux_puntos!$1:$1,0))="",NA(),INDEX(Aux_puntos!$A$2:$OJ$901,578,MATCH($B$2&amp;"|yN",Aux_puntos!$1:$1,0))),NA())</f>
        <v>#N/A</v>
      </c>
    </row>
    <row r="583" spans="29:36" x14ac:dyDescent="0.3">
      <c r="AC583" t="e">
        <f>IFERROR(IF(INDEX(Aux_puntos!$A$2:$OJ$901,579,MATCH($B$2&amp;"|xK",Aux_puntos!$1:$1,0))="",NA(),INDEX(Aux_puntos!$A$2:$OJ$901,579,MATCH($B$2&amp;"|xK",Aux_puntos!$1:$1,0))),NA())</f>
        <v>#N/A</v>
      </c>
      <c r="AD583" t="e">
        <f>IFERROR(IF(INDEX(Aux_puntos!$A$2:$OJ$901,579,MATCH($B$2&amp;"|yK",Aux_puntos!$1:$1,0))="",NA(),INDEX(Aux_puntos!$A$2:$OJ$901,579,MATCH($B$2&amp;"|yK",Aux_puntos!$1:$1,0))),NA())</f>
        <v>#N/A</v>
      </c>
      <c r="AE583" t="e">
        <f>IFERROR(IF(INDEX(Aux_puntos!$A$2:$OJ$901,579,MATCH($B$2&amp;"|xC",Aux_puntos!$1:$1,0))="",NA(),INDEX(Aux_puntos!$A$2:$OJ$901,579,MATCH($B$2&amp;"|xC",Aux_puntos!$1:$1,0))),NA())</f>
        <v>#N/A</v>
      </c>
      <c r="AF583" t="e">
        <f>IFERROR(IF(INDEX(Aux_puntos!$A$2:$OJ$901,579,MATCH($B$2&amp;"|yC",Aux_puntos!$1:$1,0))="",NA(),INDEX(Aux_puntos!$A$2:$OJ$901,579,MATCH($B$2&amp;"|yC",Aux_puntos!$1:$1,0))),NA())</f>
        <v>#N/A</v>
      </c>
      <c r="AG583" t="e">
        <f>IFERROR(IF(INDEX(Aux_puntos!$A$2:$OJ$901,579,MATCH($B$2&amp;"|xI",Aux_puntos!$1:$1,0))="",NA(),INDEX(Aux_puntos!$A$2:$OJ$901,579,MATCH($B$2&amp;"|xI",Aux_puntos!$1:$1,0))),NA())</f>
        <v>#N/A</v>
      </c>
      <c r="AH583" t="e">
        <f>IFERROR(IF(INDEX(Aux_puntos!$A$2:$OJ$901,579,MATCH($B$2&amp;"|yI",Aux_puntos!$1:$1,0))="",NA(),INDEX(Aux_puntos!$A$2:$OJ$901,579,MATCH($B$2&amp;"|yI",Aux_puntos!$1:$1,0))),NA())</f>
        <v>#N/A</v>
      </c>
      <c r="AI583" t="e">
        <f>IFERROR(IF(INDEX(Aux_puntos!$A$2:$OJ$901,579,MATCH($B$2&amp;"|xN",Aux_puntos!$1:$1,0))="",NA(),INDEX(Aux_puntos!$A$2:$OJ$901,579,MATCH($B$2&amp;"|xN",Aux_puntos!$1:$1,0))),NA())</f>
        <v>#N/A</v>
      </c>
      <c r="AJ583" t="e">
        <f>IFERROR(IF(INDEX(Aux_puntos!$A$2:$OJ$901,579,MATCH($B$2&amp;"|yN",Aux_puntos!$1:$1,0))="",NA(),INDEX(Aux_puntos!$A$2:$OJ$901,579,MATCH($B$2&amp;"|yN",Aux_puntos!$1:$1,0))),NA())</f>
        <v>#N/A</v>
      </c>
    </row>
    <row r="584" spans="29:36" x14ac:dyDescent="0.3">
      <c r="AC584" t="e">
        <f>IFERROR(IF(INDEX(Aux_puntos!$A$2:$OJ$901,580,MATCH($B$2&amp;"|xK",Aux_puntos!$1:$1,0))="",NA(),INDEX(Aux_puntos!$A$2:$OJ$901,580,MATCH($B$2&amp;"|xK",Aux_puntos!$1:$1,0))),NA())</f>
        <v>#N/A</v>
      </c>
      <c r="AD584" t="e">
        <f>IFERROR(IF(INDEX(Aux_puntos!$A$2:$OJ$901,580,MATCH($B$2&amp;"|yK",Aux_puntos!$1:$1,0))="",NA(),INDEX(Aux_puntos!$A$2:$OJ$901,580,MATCH($B$2&amp;"|yK",Aux_puntos!$1:$1,0))),NA())</f>
        <v>#N/A</v>
      </c>
      <c r="AE584" t="e">
        <f>IFERROR(IF(INDEX(Aux_puntos!$A$2:$OJ$901,580,MATCH($B$2&amp;"|xC",Aux_puntos!$1:$1,0))="",NA(),INDEX(Aux_puntos!$A$2:$OJ$901,580,MATCH($B$2&amp;"|xC",Aux_puntos!$1:$1,0))),NA())</f>
        <v>#N/A</v>
      </c>
      <c r="AF584" t="e">
        <f>IFERROR(IF(INDEX(Aux_puntos!$A$2:$OJ$901,580,MATCH($B$2&amp;"|yC",Aux_puntos!$1:$1,0))="",NA(),INDEX(Aux_puntos!$A$2:$OJ$901,580,MATCH($B$2&amp;"|yC",Aux_puntos!$1:$1,0))),NA())</f>
        <v>#N/A</v>
      </c>
      <c r="AG584" t="e">
        <f>IFERROR(IF(INDEX(Aux_puntos!$A$2:$OJ$901,580,MATCH($B$2&amp;"|xI",Aux_puntos!$1:$1,0))="",NA(),INDEX(Aux_puntos!$A$2:$OJ$901,580,MATCH($B$2&amp;"|xI",Aux_puntos!$1:$1,0))),NA())</f>
        <v>#N/A</v>
      </c>
      <c r="AH584" t="e">
        <f>IFERROR(IF(INDEX(Aux_puntos!$A$2:$OJ$901,580,MATCH($B$2&amp;"|yI",Aux_puntos!$1:$1,0))="",NA(),INDEX(Aux_puntos!$A$2:$OJ$901,580,MATCH($B$2&amp;"|yI",Aux_puntos!$1:$1,0))),NA())</f>
        <v>#N/A</v>
      </c>
      <c r="AI584" t="e">
        <f>IFERROR(IF(INDEX(Aux_puntos!$A$2:$OJ$901,580,MATCH($B$2&amp;"|xN",Aux_puntos!$1:$1,0))="",NA(),INDEX(Aux_puntos!$A$2:$OJ$901,580,MATCH($B$2&amp;"|xN",Aux_puntos!$1:$1,0))),NA())</f>
        <v>#N/A</v>
      </c>
      <c r="AJ584" t="e">
        <f>IFERROR(IF(INDEX(Aux_puntos!$A$2:$OJ$901,580,MATCH($B$2&amp;"|yN",Aux_puntos!$1:$1,0))="",NA(),INDEX(Aux_puntos!$A$2:$OJ$901,580,MATCH($B$2&amp;"|yN",Aux_puntos!$1:$1,0))),NA())</f>
        <v>#N/A</v>
      </c>
    </row>
    <row r="585" spans="29:36" x14ac:dyDescent="0.3">
      <c r="AC585" t="e">
        <f>IFERROR(IF(INDEX(Aux_puntos!$A$2:$OJ$901,581,MATCH($B$2&amp;"|xK",Aux_puntos!$1:$1,0))="",NA(),INDEX(Aux_puntos!$A$2:$OJ$901,581,MATCH($B$2&amp;"|xK",Aux_puntos!$1:$1,0))),NA())</f>
        <v>#N/A</v>
      </c>
      <c r="AD585" t="e">
        <f>IFERROR(IF(INDEX(Aux_puntos!$A$2:$OJ$901,581,MATCH($B$2&amp;"|yK",Aux_puntos!$1:$1,0))="",NA(),INDEX(Aux_puntos!$A$2:$OJ$901,581,MATCH($B$2&amp;"|yK",Aux_puntos!$1:$1,0))),NA())</f>
        <v>#N/A</v>
      </c>
      <c r="AE585" t="e">
        <f>IFERROR(IF(INDEX(Aux_puntos!$A$2:$OJ$901,581,MATCH($B$2&amp;"|xC",Aux_puntos!$1:$1,0))="",NA(),INDEX(Aux_puntos!$A$2:$OJ$901,581,MATCH($B$2&amp;"|xC",Aux_puntos!$1:$1,0))),NA())</f>
        <v>#N/A</v>
      </c>
      <c r="AF585" t="e">
        <f>IFERROR(IF(INDEX(Aux_puntos!$A$2:$OJ$901,581,MATCH($B$2&amp;"|yC",Aux_puntos!$1:$1,0))="",NA(),INDEX(Aux_puntos!$A$2:$OJ$901,581,MATCH($B$2&amp;"|yC",Aux_puntos!$1:$1,0))),NA())</f>
        <v>#N/A</v>
      </c>
      <c r="AG585" t="e">
        <f>IFERROR(IF(INDEX(Aux_puntos!$A$2:$OJ$901,581,MATCH($B$2&amp;"|xI",Aux_puntos!$1:$1,0))="",NA(),INDEX(Aux_puntos!$A$2:$OJ$901,581,MATCH($B$2&amp;"|xI",Aux_puntos!$1:$1,0))),NA())</f>
        <v>#N/A</v>
      </c>
      <c r="AH585" t="e">
        <f>IFERROR(IF(INDEX(Aux_puntos!$A$2:$OJ$901,581,MATCH($B$2&amp;"|yI",Aux_puntos!$1:$1,0))="",NA(),INDEX(Aux_puntos!$A$2:$OJ$901,581,MATCH($B$2&amp;"|yI",Aux_puntos!$1:$1,0))),NA())</f>
        <v>#N/A</v>
      </c>
      <c r="AI585" t="e">
        <f>IFERROR(IF(INDEX(Aux_puntos!$A$2:$OJ$901,581,MATCH($B$2&amp;"|xN",Aux_puntos!$1:$1,0))="",NA(),INDEX(Aux_puntos!$A$2:$OJ$901,581,MATCH($B$2&amp;"|xN",Aux_puntos!$1:$1,0))),NA())</f>
        <v>#N/A</v>
      </c>
      <c r="AJ585" t="e">
        <f>IFERROR(IF(INDEX(Aux_puntos!$A$2:$OJ$901,581,MATCH($B$2&amp;"|yN",Aux_puntos!$1:$1,0))="",NA(),INDEX(Aux_puntos!$A$2:$OJ$901,581,MATCH($B$2&amp;"|yN",Aux_puntos!$1:$1,0))),NA())</f>
        <v>#N/A</v>
      </c>
    </row>
    <row r="586" spans="29:36" x14ac:dyDescent="0.3">
      <c r="AC586" t="e">
        <f>IFERROR(IF(INDEX(Aux_puntos!$A$2:$OJ$901,582,MATCH($B$2&amp;"|xK",Aux_puntos!$1:$1,0))="",NA(),INDEX(Aux_puntos!$A$2:$OJ$901,582,MATCH($B$2&amp;"|xK",Aux_puntos!$1:$1,0))),NA())</f>
        <v>#N/A</v>
      </c>
      <c r="AD586" t="e">
        <f>IFERROR(IF(INDEX(Aux_puntos!$A$2:$OJ$901,582,MATCH($B$2&amp;"|yK",Aux_puntos!$1:$1,0))="",NA(),INDEX(Aux_puntos!$A$2:$OJ$901,582,MATCH($B$2&amp;"|yK",Aux_puntos!$1:$1,0))),NA())</f>
        <v>#N/A</v>
      </c>
      <c r="AE586" t="e">
        <f>IFERROR(IF(INDEX(Aux_puntos!$A$2:$OJ$901,582,MATCH($B$2&amp;"|xC",Aux_puntos!$1:$1,0))="",NA(),INDEX(Aux_puntos!$A$2:$OJ$901,582,MATCH($B$2&amp;"|xC",Aux_puntos!$1:$1,0))),NA())</f>
        <v>#N/A</v>
      </c>
      <c r="AF586" t="e">
        <f>IFERROR(IF(INDEX(Aux_puntos!$A$2:$OJ$901,582,MATCH($B$2&amp;"|yC",Aux_puntos!$1:$1,0))="",NA(),INDEX(Aux_puntos!$A$2:$OJ$901,582,MATCH($B$2&amp;"|yC",Aux_puntos!$1:$1,0))),NA())</f>
        <v>#N/A</v>
      </c>
      <c r="AG586" t="e">
        <f>IFERROR(IF(INDEX(Aux_puntos!$A$2:$OJ$901,582,MATCH($B$2&amp;"|xI",Aux_puntos!$1:$1,0))="",NA(),INDEX(Aux_puntos!$A$2:$OJ$901,582,MATCH($B$2&amp;"|xI",Aux_puntos!$1:$1,0))),NA())</f>
        <v>#N/A</v>
      </c>
      <c r="AH586" t="e">
        <f>IFERROR(IF(INDEX(Aux_puntos!$A$2:$OJ$901,582,MATCH($B$2&amp;"|yI",Aux_puntos!$1:$1,0))="",NA(),INDEX(Aux_puntos!$A$2:$OJ$901,582,MATCH($B$2&amp;"|yI",Aux_puntos!$1:$1,0))),NA())</f>
        <v>#N/A</v>
      </c>
      <c r="AI586" t="e">
        <f>IFERROR(IF(INDEX(Aux_puntos!$A$2:$OJ$901,582,MATCH($B$2&amp;"|xN",Aux_puntos!$1:$1,0))="",NA(),INDEX(Aux_puntos!$A$2:$OJ$901,582,MATCH($B$2&amp;"|xN",Aux_puntos!$1:$1,0))),NA())</f>
        <v>#N/A</v>
      </c>
      <c r="AJ586" t="e">
        <f>IFERROR(IF(INDEX(Aux_puntos!$A$2:$OJ$901,582,MATCH($B$2&amp;"|yN",Aux_puntos!$1:$1,0))="",NA(),INDEX(Aux_puntos!$A$2:$OJ$901,582,MATCH($B$2&amp;"|yN",Aux_puntos!$1:$1,0))),NA())</f>
        <v>#N/A</v>
      </c>
    </row>
    <row r="587" spans="29:36" x14ac:dyDescent="0.3">
      <c r="AC587" t="e">
        <f>IFERROR(IF(INDEX(Aux_puntos!$A$2:$OJ$901,583,MATCH($B$2&amp;"|xK",Aux_puntos!$1:$1,0))="",NA(),INDEX(Aux_puntos!$A$2:$OJ$901,583,MATCH($B$2&amp;"|xK",Aux_puntos!$1:$1,0))),NA())</f>
        <v>#N/A</v>
      </c>
      <c r="AD587" t="e">
        <f>IFERROR(IF(INDEX(Aux_puntos!$A$2:$OJ$901,583,MATCH($B$2&amp;"|yK",Aux_puntos!$1:$1,0))="",NA(),INDEX(Aux_puntos!$A$2:$OJ$901,583,MATCH($B$2&amp;"|yK",Aux_puntos!$1:$1,0))),NA())</f>
        <v>#N/A</v>
      </c>
      <c r="AE587" t="e">
        <f>IFERROR(IF(INDEX(Aux_puntos!$A$2:$OJ$901,583,MATCH($B$2&amp;"|xC",Aux_puntos!$1:$1,0))="",NA(),INDEX(Aux_puntos!$A$2:$OJ$901,583,MATCH($B$2&amp;"|xC",Aux_puntos!$1:$1,0))),NA())</f>
        <v>#N/A</v>
      </c>
      <c r="AF587" t="e">
        <f>IFERROR(IF(INDEX(Aux_puntos!$A$2:$OJ$901,583,MATCH($B$2&amp;"|yC",Aux_puntos!$1:$1,0))="",NA(),INDEX(Aux_puntos!$A$2:$OJ$901,583,MATCH($B$2&amp;"|yC",Aux_puntos!$1:$1,0))),NA())</f>
        <v>#N/A</v>
      </c>
      <c r="AG587" t="e">
        <f>IFERROR(IF(INDEX(Aux_puntos!$A$2:$OJ$901,583,MATCH($B$2&amp;"|xI",Aux_puntos!$1:$1,0))="",NA(),INDEX(Aux_puntos!$A$2:$OJ$901,583,MATCH($B$2&amp;"|xI",Aux_puntos!$1:$1,0))),NA())</f>
        <v>#N/A</v>
      </c>
      <c r="AH587" t="e">
        <f>IFERROR(IF(INDEX(Aux_puntos!$A$2:$OJ$901,583,MATCH($B$2&amp;"|yI",Aux_puntos!$1:$1,0))="",NA(),INDEX(Aux_puntos!$A$2:$OJ$901,583,MATCH($B$2&amp;"|yI",Aux_puntos!$1:$1,0))),NA())</f>
        <v>#N/A</v>
      </c>
      <c r="AI587" t="e">
        <f>IFERROR(IF(INDEX(Aux_puntos!$A$2:$OJ$901,583,MATCH($B$2&amp;"|xN",Aux_puntos!$1:$1,0))="",NA(),INDEX(Aux_puntos!$A$2:$OJ$901,583,MATCH($B$2&amp;"|xN",Aux_puntos!$1:$1,0))),NA())</f>
        <v>#N/A</v>
      </c>
      <c r="AJ587" t="e">
        <f>IFERROR(IF(INDEX(Aux_puntos!$A$2:$OJ$901,583,MATCH($B$2&amp;"|yN",Aux_puntos!$1:$1,0))="",NA(),INDEX(Aux_puntos!$A$2:$OJ$901,583,MATCH($B$2&amp;"|yN",Aux_puntos!$1:$1,0))),NA())</f>
        <v>#N/A</v>
      </c>
    </row>
    <row r="588" spans="29:36" x14ac:dyDescent="0.3">
      <c r="AC588" t="e">
        <f>IFERROR(IF(INDEX(Aux_puntos!$A$2:$OJ$901,584,MATCH($B$2&amp;"|xK",Aux_puntos!$1:$1,0))="",NA(),INDEX(Aux_puntos!$A$2:$OJ$901,584,MATCH($B$2&amp;"|xK",Aux_puntos!$1:$1,0))),NA())</f>
        <v>#N/A</v>
      </c>
      <c r="AD588" t="e">
        <f>IFERROR(IF(INDEX(Aux_puntos!$A$2:$OJ$901,584,MATCH($B$2&amp;"|yK",Aux_puntos!$1:$1,0))="",NA(),INDEX(Aux_puntos!$A$2:$OJ$901,584,MATCH($B$2&amp;"|yK",Aux_puntos!$1:$1,0))),NA())</f>
        <v>#N/A</v>
      </c>
      <c r="AE588" t="e">
        <f>IFERROR(IF(INDEX(Aux_puntos!$A$2:$OJ$901,584,MATCH($B$2&amp;"|xC",Aux_puntos!$1:$1,0))="",NA(),INDEX(Aux_puntos!$A$2:$OJ$901,584,MATCH($B$2&amp;"|xC",Aux_puntos!$1:$1,0))),NA())</f>
        <v>#N/A</v>
      </c>
      <c r="AF588" t="e">
        <f>IFERROR(IF(INDEX(Aux_puntos!$A$2:$OJ$901,584,MATCH($B$2&amp;"|yC",Aux_puntos!$1:$1,0))="",NA(),INDEX(Aux_puntos!$A$2:$OJ$901,584,MATCH($B$2&amp;"|yC",Aux_puntos!$1:$1,0))),NA())</f>
        <v>#N/A</v>
      </c>
      <c r="AG588" t="e">
        <f>IFERROR(IF(INDEX(Aux_puntos!$A$2:$OJ$901,584,MATCH($B$2&amp;"|xI",Aux_puntos!$1:$1,0))="",NA(),INDEX(Aux_puntos!$A$2:$OJ$901,584,MATCH($B$2&amp;"|xI",Aux_puntos!$1:$1,0))),NA())</f>
        <v>#N/A</v>
      </c>
      <c r="AH588" t="e">
        <f>IFERROR(IF(INDEX(Aux_puntos!$A$2:$OJ$901,584,MATCH($B$2&amp;"|yI",Aux_puntos!$1:$1,0))="",NA(),INDEX(Aux_puntos!$A$2:$OJ$901,584,MATCH($B$2&amp;"|yI",Aux_puntos!$1:$1,0))),NA())</f>
        <v>#N/A</v>
      </c>
      <c r="AI588" t="e">
        <f>IFERROR(IF(INDEX(Aux_puntos!$A$2:$OJ$901,584,MATCH($B$2&amp;"|xN",Aux_puntos!$1:$1,0))="",NA(),INDEX(Aux_puntos!$A$2:$OJ$901,584,MATCH($B$2&amp;"|xN",Aux_puntos!$1:$1,0))),NA())</f>
        <v>#N/A</v>
      </c>
      <c r="AJ588" t="e">
        <f>IFERROR(IF(INDEX(Aux_puntos!$A$2:$OJ$901,584,MATCH($B$2&amp;"|yN",Aux_puntos!$1:$1,0))="",NA(),INDEX(Aux_puntos!$A$2:$OJ$901,584,MATCH($B$2&amp;"|yN",Aux_puntos!$1:$1,0))),NA())</f>
        <v>#N/A</v>
      </c>
    </row>
    <row r="589" spans="29:36" x14ac:dyDescent="0.3">
      <c r="AC589" t="e">
        <f>IFERROR(IF(INDEX(Aux_puntos!$A$2:$OJ$901,585,MATCH($B$2&amp;"|xK",Aux_puntos!$1:$1,0))="",NA(),INDEX(Aux_puntos!$A$2:$OJ$901,585,MATCH($B$2&amp;"|xK",Aux_puntos!$1:$1,0))),NA())</f>
        <v>#N/A</v>
      </c>
      <c r="AD589" t="e">
        <f>IFERROR(IF(INDEX(Aux_puntos!$A$2:$OJ$901,585,MATCH($B$2&amp;"|yK",Aux_puntos!$1:$1,0))="",NA(),INDEX(Aux_puntos!$A$2:$OJ$901,585,MATCH($B$2&amp;"|yK",Aux_puntos!$1:$1,0))),NA())</f>
        <v>#N/A</v>
      </c>
      <c r="AE589" t="e">
        <f>IFERROR(IF(INDEX(Aux_puntos!$A$2:$OJ$901,585,MATCH($B$2&amp;"|xC",Aux_puntos!$1:$1,0))="",NA(),INDEX(Aux_puntos!$A$2:$OJ$901,585,MATCH($B$2&amp;"|xC",Aux_puntos!$1:$1,0))),NA())</f>
        <v>#N/A</v>
      </c>
      <c r="AF589" t="e">
        <f>IFERROR(IF(INDEX(Aux_puntos!$A$2:$OJ$901,585,MATCH($B$2&amp;"|yC",Aux_puntos!$1:$1,0))="",NA(),INDEX(Aux_puntos!$A$2:$OJ$901,585,MATCH($B$2&amp;"|yC",Aux_puntos!$1:$1,0))),NA())</f>
        <v>#N/A</v>
      </c>
      <c r="AG589" t="e">
        <f>IFERROR(IF(INDEX(Aux_puntos!$A$2:$OJ$901,585,MATCH($B$2&amp;"|xI",Aux_puntos!$1:$1,0))="",NA(),INDEX(Aux_puntos!$A$2:$OJ$901,585,MATCH($B$2&amp;"|xI",Aux_puntos!$1:$1,0))),NA())</f>
        <v>#N/A</v>
      </c>
      <c r="AH589" t="e">
        <f>IFERROR(IF(INDEX(Aux_puntos!$A$2:$OJ$901,585,MATCH($B$2&amp;"|yI",Aux_puntos!$1:$1,0))="",NA(),INDEX(Aux_puntos!$A$2:$OJ$901,585,MATCH($B$2&amp;"|yI",Aux_puntos!$1:$1,0))),NA())</f>
        <v>#N/A</v>
      </c>
      <c r="AI589" t="e">
        <f>IFERROR(IF(INDEX(Aux_puntos!$A$2:$OJ$901,585,MATCH($B$2&amp;"|xN",Aux_puntos!$1:$1,0))="",NA(),INDEX(Aux_puntos!$A$2:$OJ$901,585,MATCH($B$2&amp;"|xN",Aux_puntos!$1:$1,0))),NA())</f>
        <v>#N/A</v>
      </c>
      <c r="AJ589" t="e">
        <f>IFERROR(IF(INDEX(Aux_puntos!$A$2:$OJ$901,585,MATCH($B$2&amp;"|yN",Aux_puntos!$1:$1,0))="",NA(),INDEX(Aux_puntos!$A$2:$OJ$901,585,MATCH($B$2&amp;"|yN",Aux_puntos!$1:$1,0))),NA())</f>
        <v>#N/A</v>
      </c>
    </row>
    <row r="590" spans="29:36" x14ac:dyDescent="0.3">
      <c r="AC590" t="e">
        <f>IFERROR(IF(INDEX(Aux_puntos!$A$2:$OJ$901,586,MATCH($B$2&amp;"|xK",Aux_puntos!$1:$1,0))="",NA(),INDEX(Aux_puntos!$A$2:$OJ$901,586,MATCH($B$2&amp;"|xK",Aux_puntos!$1:$1,0))),NA())</f>
        <v>#N/A</v>
      </c>
      <c r="AD590" t="e">
        <f>IFERROR(IF(INDEX(Aux_puntos!$A$2:$OJ$901,586,MATCH($B$2&amp;"|yK",Aux_puntos!$1:$1,0))="",NA(),INDEX(Aux_puntos!$A$2:$OJ$901,586,MATCH($B$2&amp;"|yK",Aux_puntos!$1:$1,0))),NA())</f>
        <v>#N/A</v>
      </c>
      <c r="AE590" t="e">
        <f>IFERROR(IF(INDEX(Aux_puntos!$A$2:$OJ$901,586,MATCH($B$2&amp;"|xC",Aux_puntos!$1:$1,0))="",NA(),INDEX(Aux_puntos!$A$2:$OJ$901,586,MATCH($B$2&amp;"|xC",Aux_puntos!$1:$1,0))),NA())</f>
        <v>#N/A</v>
      </c>
      <c r="AF590" t="e">
        <f>IFERROR(IF(INDEX(Aux_puntos!$A$2:$OJ$901,586,MATCH($B$2&amp;"|yC",Aux_puntos!$1:$1,0))="",NA(),INDEX(Aux_puntos!$A$2:$OJ$901,586,MATCH($B$2&amp;"|yC",Aux_puntos!$1:$1,0))),NA())</f>
        <v>#N/A</v>
      </c>
      <c r="AG590" t="e">
        <f>IFERROR(IF(INDEX(Aux_puntos!$A$2:$OJ$901,586,MATCH($B$2&amp;"|xI",Aux_puntos!$1:$1,0))="",NA(),INDEX(Aux_puntos!$A$2:$OJ$901,586,MATCH($B$2&amp;"|xI",Aux_puntos!$1:$1,0))),NA())</f>
        <v>#N/A</v>
      </c>
      <c r="AH590" t="e">
        <f>IFERROR(IF(INDEX(Aux_puntos!$A$2:$OJ$901,586,MATCH($B$2&amp;"|yI",Aux_puntos!$1:$1,0))="",NA(),INDEX(Aux_puntos!$A$2:$OJ$901,586,MATCH($B$2&amp;"|yI",Aux_puntos!$1:$1,0))),NA())</f>
        <v>#N/A</v>
      </c>
      <c r="AI590" t="e">
        <f>IFERROR(IF(INDEX(Aux_puntos!$A$2:$OJ$901,586,MATCH($B$2&amp;"|xN",Aux_puntos!$1:$1,0))="",NA(),INDEX(Aux_puntos!$A$2:$OJ$901,586,MATCH($B$2&amp;"|xN",Aux_puntos!$1:$1,0))),NA())</f>
        <v>#N/A</v>
      </c>
      <c r="AJ590" t="e">
        <f>IFERROR(IF(INDEX(Aux_puntos!$A$2:$OJ$901,586,MATCH($B$2&amp;"|yN",Aux_puntos!$1:$1,0))="",NA(),INDEX(Aux_puntos!$A$2:$OJ$901,586,MATCH($B$2&amp;"|yN",Aux_puntos!$1:$1,0))),NA())</f>
        <v>#N/A</v>
      </c>
    </row>
    <row r="591" spans="29:36" x14ac:dyDescent="0.3">
      <c r="AC591" t="e">
        <f>IFERROR(IF(INDEX(Aux_puntos!$A$2:$OJ$901,587,MATCH($B$2&amp;"|xK",Aux_puntos!$1:$1,0))="",NA(),INDEX(Aux_puntos!$A$2:$OJ$901,587,MATCH($B$2&amp;"|xK",Aux_puntos!$1:$1,0))),NA())</f>
        <v>#N/A</v>
      </c>
      <c r="AD591" t="e">
        <f>IFERROR(IF(INDEX(Aux_puntos!$A$2:$OJ$901,587,MATCH($B$2&amp;"|yK",Aux_puntos!$1:$1,0))="",NA(),INDEX(Aux_puntos!$A$2:$OJ$901,587,MATCH($B$2&amp;"|yK",Aux_puntos!$1:$1,0))),NA())</f>
        <v>#N/A</v>
      </c>
      <c r="AE591" t="e">
        <f>IFERROR(IF(INDEX(Aux_puntos!$A$2:$OJ$901,587,MATCH($B$2&amp;"|xC",Aux_puntos!$1:$1,0))="",NA(),INDEX(Aux_puntos!$A$2:$OJ$901,587,MATCH($B$2&amp;"|xC",Aux_puntos!$1:$1,0))),NA())</f>
        <v>#N/A</v>
      </c>
      <c r="AF591" t="e">
        <f>IFERROR(IF(INDEX(Aux_puntos!$A$2:$OJ$901,587,MATCH($B$2&amp;"|yC",Aux_puntos!$1:$1,0))="",NA(),INDEX(Aux_puntos!$A$2:$OJ$901,587,MATCH($B$2&amp;"|yC",Aux_puntos!$1:$1,0))),NA())</f>
        <v>#N/A</v>
      </c>
      <c r="AG591" t="e">
        <f>IFERROR(IF(INDEX(Aux_puntos!$A$2:$OJ$901,587,MATCH($B$2&amp;"|xI",Aux_puntos!$1:$1,0))="",NA(),INDEX(Aux_puntos!$A$2:$OJ$901,587,MATCH($B$2&amp;"|xI",Aux_puntos!$1:$1,0))),NA())</f>
        <v>#N/A</v>
      </c>
      <c r="AH591" t="e">
        <f>IFERROR(IF(INDEX(Aux_puntos!$A$2:$OJ$901,587,MATCH($B$2&amp;"|yI",Aux_puntos!$1:$1,0))="",NA(),INDEX(Aux_puntos!$A$2:$OJ$901,587,MATCH($B$2&amp;"|yI",Aux_puntos!$1:$1,0))),NA())</f>
        <v>#N/A</v>
      </c>
      <c r="AI591" t="e">
        <f>IFERROR(IF(INDEX(Aux_puntos!$A$2:$OJ$901,587,MATCH($B$2&amp;"|xN",Aux_puntos!$1:$1,0))="",NA(),INDEX(Aux_puntos!$A$2:$OJ$901,587,MATCH($B$2&amp;"|xN",Aux_puntos!$1:$1,0))),NA())</f>
        <v>#N/A</v>
      </c>
      <c r="AJ591" t="e">
        <f>IFERROR(IF(INDEX(Aux_puntos!$A$2:$OJ$901,587,MATCH($B$2&amp;"|yN",Aux_puntos!$1:$1,0))="",NA(),INDEX(Aux_puntos!$A$2:$OJ$901,587,MATCH($B$2&amp;"|yN",Aux_puntos!$1:$1,0))),NA())</f>
        <v>#N/A</v>
      </c>
    </row>
    <row r="592" spans="29:36" x14ac:dyDescent="0.3">
      <c r="AC592" t="e">
        <f>IFERROR(IF(INDEX(Aux_puntos!$A$2:$OJ$901,588,MATCH($B$2&amp;"|xK",Aux_puntos!$1:$1,0))="",NA(),INDEX(Aux_puntos!$A$2:$OJ$901,588,MATCH($B$2&amp;"|xK",Aux_puntos!$1:$1,0))),NA())</f>
        <v>#N/A</v>
      </c>
      <c r="AD592" t="e">
        <f>IFERROR(IF(INDEX(Aux_puntos!$A$2:$OJ$901,588,MATCH($B$2&amp;"|yK",Aux_puntos!$1:$1,0))="",NA(),INDEX(Aux_puntos!$A$2:$OJ$901,588,MATCH($B$2&amp;"|yK",Aux_puntos!$1:$1,0))),NA())</f>
        <v>#N/A</v>
      </c>
      <c r="AE592" t="e">
        <f>IFERROR(IF(INDEX(Aux_puntos!$A$2:$OJ$901,588,MATCH($B$2&amp;"|xC",Aux_puntos!$1:$1,0))="",NA(),INDEX(Aux_puntos!$A$2:$OJ$901,588,MATCH($B$2&amp;"|xC",Aux_puntos!$1:$1,0))),NA())</f>
        <v>#N/A</v>
      </c>
      <c r="AF592" t="e">
        <f>IFERROR(IF(INDEX(Aux_puntos!$A$2:$OJ$901,588,MATCH($B$2&amp;"|yC",Aux_puntos!$1:$1,0))="",NA(),INDEX(Aux_puntos!$A$2:$OJ$901,588,MATCH($B$2&amp;"|yC",Aux_puntos!$1:$1,0))),NA())</f>
        <v>#N/A</v>
      </c>
      <c r="AG592" t="e">
        <f>IFERROR(IF(INDEX(Aux_puntos!$A$2:$OJ$901,588,MATCH($B$2&amp;"|xI",Aux_puntos!$1:$1,0))="",NA(),INDEX(Aux_puntos!$A$2:$OJ$901,588,MATCH($B$2&amp;"|xI",Aux_puntos!$1:$1,0))),NA())</f>
        <v>#N/A</v>
      </c>
      <c r="AH592" t="e">
        <f>IFERROR(IF(INDEX(Aux_puntos!$A$2:$OJ$901,588,MATCH($B$2&amp;"|yI",Aux_puntos!$1:$1,0))="",NA(),INDEX(Aux_puntos!$A$2:$OJ$901,588,MATCH($B$2&amp;"|yI",Aux_puntos!$1:$1,0))),NA())</f>
        <v>#N/A</v>
      </c>
      <c r="AI592" t="e">
        <f>IFERROR(IF(INDEX(Aux_puntos!$A$2:$OJ$901,588,MATCH($B$2&amp;"|xN",Aux_puntos!$1:$1,0))="",NA(),INDEX(Aux_puntos!$A$2:$OJ$901,588,MATCH($B$2&amp;"|xN",Aux_puntos!$1:$1,0))),NA())</f>
        <v>#N/A</v>
      </c>
      <c r="AJ592" t="e">
        <f>IFERROR(IF(INDEX(Aux_puntos!$A$2:$OJ$901,588,MATCH($B$2&amp;"|yN",Aux_puntos!$1:$1,0))="",NA(),INDEX(Aux_puntos!$A$2:$OJ$901,588,MATCH($B$2&amp;"|yN",Aux_puntos!$1:$1,0))),NA())</f>
        <v>#N/A</v>
      </c>
    </row>
    <row r="593" spans="29:36" x14ac:dyDescent="0.3">
      <c r="AC593" t="e">
        <f>IFERROR(IF(INDEX(Aux_puntos!$A$2:$OJ$901,589,MATCH($B$2&amp;"|xK",Aux_puntos!$1:$1,0))="",NA(),INDEX(Aux_puntos!$A$2:$OJ$901,589,MATCH($B$2&amp;"|xK",Aux_puntos!$1:$1,0))),NA())</f>
        <v>#N/A</v>
      </c>
      <c r="AD593" t="e">
        <f>IFERROR(IF(INDEX(Aux_puntos!$A$2:$OJ$901,589,MATCH($B$2&amp;"|yK",Aux_puntos!$1:$1,0))="",NA(),INDEX(Aux_puntos!$A$2:$OJ$901,589,MATCH($B$2&amp;"|yK",Aux_puntos!$1:$1,0))),NA())</f>
        <v>#N/A</v>
      </c>
      <c r="AE593" t="e">
        <f>IFERROR(IF(INDEX(Aux_puntos!$A$2:$OJ$901,589,MATCH($B$2&amp;"|xC",Aux_puntos!$1:$1,0))="",NA(),INDEX(Aux_puntos!$A$2:$OJ$901,589,MATCH($B$2&amp;"|xC",Aux_puntos!$1:$1,0))),NA())</f>
        <v>#N/A</v>
      </c>
      <c r="AF593" t="e">
        <f>IFERROR(IF(INDEX(Aux_puntos!$A$2:$OJ$901,589,MATCH($B$2&amp;"|yC",Aux_puntos!$1:$1,0))="",NA(),INDEX(Aux_puntos!$A$2:$OJ$901,589,MATCH($B$2&amp;"|yC",Aux_puntos!$1:$1,0))),NA())</f>
        <v>#N/A</v>
      </c>
      <c r="AG593" t="e">
        <f>IFERROR(IF(INDEX(Aux_puntos!$A$2:$OJ$901,589,MATCH($B$2&amp;"|xI",Aux_puntos!$1:$1,0))="",NA(),INDEX(Aux_puntos!$A$2:$OJ$901,589,MATCH($B$2&amp;"|xI",Aux_puntos!$1:$1,0))),NA())</f>
        <v>#N/A</v>
      </c>
      <c r="AH593" t="e">
        <f>IFERROR(IF(INDEX(Aux_puntos!$A$2:$OJ$901,589,MATCH($B$2&amp;"|yI",Aux_puntos!$1:$1,0))="",NA(),INDEX(Aux_puntos!$A$2:$OJ$901,589,MATCH($B$2&amp;"|yI",Aux_puntos!$1:$1,0))),NA())</f>
        <v>#N/A</v>
      </c>
      <c r="AI593" t="e">
        <f>IFERROR(IF(INDEX(Aux_puntos!$A$2:$OJ$901,589,MATCH($B$2&amp;"|xN",Aux_puntos!$1:$1,0))="",NA(),INDEX(Aux_puntos!$A$2:$OJ$901,589,MATCH($B$2&amp;"|xN",Aux_puntos!$1:$1,0))),NA())</f>
        <v>#N/A</v>
      </c>
      <c r="AJ593" t="e">
        <f>IFERROR(IF(INDEX(Aux_puntos!$A$2:$OJ$901,589,MATCH($B$2&amp;"|yN",Aux_puntos!$1:$1,0))="",NA(),INDEX(Aux_puntos!$A$2:$OJ$901,589,MATCH($B$2&amp;"|yN",Aux_puntos!$1:$1,0))),NA())</f>
        <v>#N/A</v>
      </c>
    </row>
    <row r="594" spans="29:36" x14ac:dyDescent="0.3">
      <c r="AC594" t="e">
        <f>IFERROR(IF(INDEX(Aux_puntos!$A$2:$OJ$901,590,MATCH($B$2&amp;"|xK",Aux_puntos!$1:$1,0))="",NA(),INDEX(Aux_puntos!$A$2:$OJ$901,590,MATCH($B$2&amp;"|xK",Aux_puntos!$1:$1,0))),NA())</f>
        <v>#N/A</v>
      </c>
      <c r="AD594" t="e">
        <f>IFERROR(IF(INDEX(Aux_puntos!$A$2:$OJ$901,590,MATCH($B$2&amp;"|yK",Aux_puntos!$1:$1,0))="",NA(),INDEX(Aux_puntos!$A$2:$OJ$901,590,MATCH($B$2&amp;"|yK",Aux_puntos!$1:$1,0))),NA())</f>
        <v>#N/A</v>
      </c>
      <c r="AE594" t="e">
        <f>IFERROR(IF(INDEX(Aux_puntos!$A$2:$OJ$901,590,MATCH($B$2&amp;"|xC",Aux_puntos!$1:$1,0))="",NA(),INDEX(Aux_puntos!$A$2:$OJ$901,590,MATCH($B$2&amp;"|xC",Aux_puntos!$1:$1,0))),NA())</f>
        <v>#N/A</v>
      </c>
      <c r="AF594" t="e">
        <f>IFERROR(IF(INDEX(Aux_puntos!$A$2:$OJ$901,590,MATCH($B$2&amp;"|yC",Aux_puntos!$1:$1,0))="",NA(),INDEX(Aux_puntos!$A$2:$OJ$901,590,MATCH($B$2&amp;"|yC",Aux_puntos!$1:$1,0))),NA())</f>
        <v>#N/A</v>
      </c>
      <c r="AG594" t="e">
        <f>IFERROR(IF(INDEX(Aux_puntos!$A$2:$OJ$901,590,MATCH($B$2&amp;"|xI",Aux_puntos!$1:$1,0))="",NA(),INDEX(Aux_puntos!$A$2:$OJ$901,590,MATCH($B$2&amp;"|xI",Aux_puntos!$1:$1,0))),NA())</f>
        <v>#N/A</v>
      </c>
      <c r="AH594" t="e">
        <f>IFERROR(IF(INDEX(Aux_puntos!$A$2:$OJ$901,590,MATCH($B$2&amp;"|yI",Aux_puntos!$1:$1,0))="",NA(),INDEX(Aux_puntos!$A$2:$OJ$901,590,MATCH($B$2&amp;"|yI",Aux_puntos!$1:$1,0))),NA())</f>
        <v>#N/A</v>
      </c>
      <c r="AI594" t="e">
        <f>IFERROR(IF(INDEX(Aux_puntos!$A$2:$OJ$901,590,MATCH($B$2&amp;"|xN",Aux_puntos!$1:$1,0))="",NA(),INDEX(Aux_puntos!$A$2:$OJ$901,590,MATCH($B$2&amp;"|xN",Aux_puntos!$1:$1,0))),NA())</f>
        <v>#N/A</v>
      </c>
      <c r="AJ594" t="e">
        <f>IFERROR(IF(INDEX(Aux_puntos!$A$2:$OJ$901,590,MATCH($B$2&amp;"|yN",Aux_puntos!$1:$1,0))="",NA(),INDEX(Aux_puntos!$A$2:$OJ$901,590,MATCH($B$2&amp;"|yN",Aux_puntos!$1:$1,0))),NA())</f>
        <v>#N/A</v>
      </c>
    </row>
    <row r="595" spans="29:36" x14ac:dyDescent="0.3">
      <c r="AC595" t="e">
        <f>IFERROR(IF(INDEX(Aux_puntos!$A$2:$OJ$901,591,MATCH($B$2&amp;"|xK",Aux_puntos!$1:$1,0))="",NA(),INDEX(Aux_puntos!$A$2:$OJ$901,591,MATCH($B$2&amp;"|xK",Aux_puntos!$1:$1,0))),NA())</f>
        <v>#N/A</v>
      </c>
      <c r="AD595" t="e">
        <f>IFERROR(IF(INDEX(Aux_puntos!$A$2:$OJ$901,591,MATCH($B$2&amp;"|yK",Aux_puntos!$1:$1,0))="",NA(),INDEX(Aux_puntos!$A$2:$OJ$901,591,MATCH($B$2&amp;"|yK",Aux_puntos!$1:$1,0))),NA())</f>
        <v>#N/A</v>
      </c>
      <c r="AE595" t="e">
        <f>IFERROR(IF(INDEX(Aux_puntos!$A$2:$OJ$901,591,MATCH($B$2&amp;"|xC",Aux_puntos!$1:$1,0))="",NA(),INDEX(Aux_puntos!$A$2:$OJ$901,591,MATCH($B$2&amp;"|xC",Aux_puntos!$1:$1,0))),NA())</f>
        <v>#N/A</v>
      </c>
      <c r="AF595" t="e">
        <f>IFERROR(IF(INDEX(Aux_puntos!$A$2:$OJ$901,591,MATCH($B$2&amp;"|yC",Aux_puntos!$1:$1,0))="",NA(),INDEX(Aux_puntos!$A$2:$OJ$901,591,MATCH($B$2&amp;"|yC",Aux_puntos!$1:$1,0))),NA())</f>
        <v>#N/A</v>
      </c>
      <c r="AG595" t="e">
        <f>IFERROR(IF(INDEX(Aux_puntos!$A$2:$OJ$901,591,MATCH($B$2&amp;"|xI",Aux_puntos!$1:$1,0))="",NA(),INDEX(Aux_puntos!$A$2:$OJ$901,591,MATCH($B$2&amp;"|xI",Aux_puntos!$1:$1,0))),NA())</f>
        <v>#N/A</v>
      </c>
      <c r="AH595" t="e">
        <f>IFERROR(IF(INDEX(Aux_puntos!$A$2:$OJ$901,591,MATCH($B$2&amp;"|yI",Aux_puntos!$1:$1,0))="",NA(),INDEX(Aux_puntos!$A$2:$OJ$901,591,MATCH($B$2&amp;"|yI",Aux_puntos!$1:$1,0))),NA())</f>
        <v>#N/A</v>
      </c>
      <c r="AI595" t="e">
        <f>IFERROR(IF(INDEX(Aux_puntos!$A$2:$OJ$901,591,MATCH($B$2&amp;"|xN",Aux_puntos!$1:$1,0))="",NA(),INDEX(Aux_puntos!$A$2:$OJ$901,591,MATCH($B$2&amp;"|xN",Aux_puntos!$1:$1,0))),NA())</f>
        <v>#N/A</v>
      </c>
      <c r="AJ595" t="e">
        <f>IFERROR(IF(INDEX(Aux_puntos!$A$2:$OJ$901,591,MATCH($B$2&amp;"|yN",Aux_puntos!$1:$1,0))="",NA(),INDEX(Aux_puntos!$A$2:$OJ$901,591,MATCH($B$2&amp;"|yN",Aux_puntos!$1:$1,0))),NA())</f>
        <v>#N/A</v>
      </c>
    </row>
    <row r="596" spans="29:36" x14ac:dyDescent="0.3">
      <c r="AC596" t="e">
        <f>IFERROR(IF(INDEX(Aux_puntos!$A$2:$OJ$901,592,MATCH($B$2&amp;"|xK",Aux_puntos!$1:$1,0))="",NA(),INDEX(Aux_puntos!$A$2:$OJ$901,592,MATCH($B$2&amp;"|xK",Aux_puntos!$1:$1,0))),NA())</f>
        <v>#N/A</v>
      </c>
      <c r="AD596" t="e">
        <f>IFERROR(IF(INDEX(Aux_puntos!$A$2:$OJ$901,592,MATCH($B$2&amp;"|yK",Aux_puntos!$1:$1,0))="",NA(),INDEX(Aux_puntos!$A$2:$OJ$901,592,MATCH($B$2&amp;"|yK",Aux_puntos!$1:$1,0))),NA())</f>
        <v>#N/A</v>
      </c>
      <c r="AE596" t="e">
        <f>IFERROR(IF(INDEX(Aux_puntos!$A$2:$OJ$901,592,MATCH($B$2&amp;"|xC",Aux_puntos!$1:$1,0))="",NA(),INDEX(Aux_puntos!$A$2:$OJ$901,592,MATCH($B$2&amp;"|xC",Aux_puntos!$1:$1,0))),NA())</f>
        <v>#N/A</v>
      </c>
      <c r="AF596" t="e">
        <f>IFERROR(IF(INDEX(Aux_puntos!$A$2:$OJ$901,592,MATCH($B$2&amp;"|yC",Aux_puntos!$1:$1,0))="",NA(),INDEX(Aux_puntos!$A$2:$OJ$901,592,MATCH($B$2&amp;"|yC",Aux_puntos!$1:$1,0))),NA())</f>
        <v>#N/A</v>
      </c>
      <c r="AG596" t="e">
        <f>IFERROR(IF(INDEX(Aux_puntos!$A$2:$OJ$901,592,MATCH($B$2&amp;"|xI",Aux_puntos!$1:$1,0))="",NA(),INDEX(Aux_puntos!$A$2:$OJ$901,592,MATCH($B$2&amp;"|xI",Aux_puntos!$1:$1,0))),NA())</f>
        <v>#N/A</v>
      </c>
      <c r="AH596" t="e">
        <f>IFERROR(IF(INDEX(Aux_puntos!$A$2:$OJ$901,592,MATCH($B$2&amp;"|yI",Aux_puntos!$1:$1,0))="",NA(),INDEX(Aux_puntos!$A$2:$OJ$901,592,MATCH($B$2&amp;"|yI",Aux_puntos!$1:$1,0))),NA())</f>
        <v>#N/A</v>
      </c>
      <c r="AI596" t="e">
        <f>IFERROR(IF(INDEX(Aux_puntos!$A$2:$OJ$901,592,MATCH($B$2&amp;"|xN",Aux_puntos!$1:$1,0))="",NA(),INDEX(Aux_puntos!$A$2:$OJ$901,592,MATCH($B$2&amp;"|xN",Aux_puntos!$1:$1,0))),NA())</f>
        <v>#N/A</v>
      </c>
      <c r="AJ596" t="e">
        <f>IFERROR(IF(INDEX(Aux_puntos!$A$2:$OJ$901,592,MATCH($B$2&amp;"|yN",Aux_puntos!$1:$1,0))="",NA(),INDEX(Aux_puntos!$A$2:$OJ$901,592,MATCH($B$2&amp;"|yN",Aux_puntos!$1:$1,0))),NA())</f>
        <v>#N/A</v>
      </c>
    </row>
    <row r="597" spans="29:36" x14ac:dyDescent="0.3">
      <c r="AC597" t="e">
        <f>IFERROR(IF(INDEX(Aux_puntos!$A$2:$OJ$901,593,MATCH($B$2&amp;"|xK",Aux_puntos!$1:$1,0))="",NA(),INDEX(Aux_puntos!$A$2:$OJ$901,593,MATCH($B$2&amp;"|xK",Aux_puntos!$1:$1,0))),NA())</f>
        <v>#N/A</v>
      </c>
      <c r="AD597" t="e">
        <f>IFERROR(IF(INDEX(Aux_puntos!$A$2:$OJ$901,593,MATCH($B$2&amp;"|yK",Aux_puntos!$1:$1,0))="",NA(),INDEX(Aux_puntos!$A$2:$OJ$901,593,MATCH($B$2&amp;"|yK",Aux_puntos!$1:$1,0))),NA())</f>
        <v>#N/A</v>
      </c>
      <c r="AE597" t="e">
        <f>IFERROR(IF(INDEX(Aux_puntos!$A$2:$OJ$901,593,MATCH($B$2&amp;"|xC",Aux_puntos!$1:$1,0))="",NA(),INDEX(Aux_puntos!$A$2:$OJ$901,593,MATCH($B$2&amp;"|xC",Aux_puntos!$1:$1,0))),NA())</f>
        <v>#N/A</v>
      </c>
      <c r="AF597" t="e">
        <f>IFERROR(IF(INDEX(Aux_puntos!$A$2:$OJ$901,593,MATCH($B$2&amp;"|yC",Aux_puntos!$1:$1,0))="",NA(),INDEX(Aux_puntos!$A$2:$OJ$901,593,MATCH($B$2&amp;"|yC",Aux_puntos!$1:$1,0))),NA())</f>
        <v>#N/A</v>
      </c>
      <c r="AG597" t="e">
        <f>IFERROR(IF(INDEX(Aux_puntos!$A$2:$OJ$901,593,MATCH($B$2&amp;"|xI",Aux_puntos!$1:$1,0))="",NA(),INDEX(Aux_puntos!$A$2:$OJ$901,593,MATCH($B$2&amp;"|xI",Aux_puntos!$1:$1,0))),NA())</f>
        <v>#N/A</v>
      </c>
      <c r="AH597" t="e">
        <f>IFERROR(IF(INDEX(Aux_puntos!$A$2:$OJ$901,593,MATCH($B$2&amp;"|yI",Aux_puntos!$1:$1,0))="",NA(),INDEX(Aux_puntos!$A$2:$OJ$901,593,MATCH($B$2&amp;"|yI",Aux_puntos!$1:$1,0))),NA())</f>
        <v>#N/A</v>
      </c>
      <c r="AI597" t="e">
        <f>IFERROR(IF(INDEX(Aux_puntos!$A$2:$OJ$901,593,MATCH($B$2&amp;"|xN",Aux_puntos!$1:$1,0))="",NA(),INDEX(Aux_puntos!$A$2:$OJ$901,593,MATCH($B$2&amp;"|xN",Aux_puntos!$1:$1,0))),NA())</f>
        <v>#N/A</v>
      </c>
      <c r="AJ597" t="e">
        <f>IFERROR(IF(INDEX(Aux_puntos!$A$2:$OJ$901,593,MATCH($B$2&amp;"|yN",Aux_puntos!$1:$1,0))="",NA(),INDEX(Aux_puntos!$A$2:$OJ$901,593,MATCH($B$2&amp;"|yN",Aux_puntos!$1:$1,0))),NA())</f>
        <v>#N/A</v>
      </c>
    </row>
    <row r="598" spans="29:36" x14ac:dyDescent="0.3">
      <c r="AC598" t="e">
        <f>IFERROR(IF(INDEX(Aux_puntos!$A$2:$OJ$901,594,MATCH($B$2&amp;"|xK",Aux_puntos!$1:$1,0))="",NA(),INDEX(Aux_puntos!$A$2:$OJ$901,594,MATCH($B$2&amp;"|xK",Aux_puntos!$1:$1,0))),NA())</f>
        <v>#N/A</v>
      </c>
      <c r="AD598" t="e">
        <f>IFERROR(IF(INDEX(Aux_puntos!$A$2:$OJ$901,594,MATCH($B$2&amp;"|yK",Aux_puntos!$1:$1,0))="",NA(),INDEX(Aux_puntos!$A$2:$OJ$901,594,MATCH($B$2&amp;"|yK",Aux_puntos!$1:$1,0))),NA())</f>
        <v>#N/A</v>
      </c>
      <c r="AE598" t="e">
        <f>IFERROR(IF(INDEX(Aux_puntos!$A$2:$OJ$901,594,MATCH($B$2&amp;"|xC",Aux_puntos!$1:$1,0))="",NA(),INDEX(Aux_puntos!$A$2:$OJ$901,594,MATCH($B$2&amp;"|xC",Aux_puntos!$1:$1,0))),NA())</f>
        <v>#N/A</v>
      </c>
      <c r="AF598" t="e">
        <f>IFERROR(IF(INDEX(Aux_puntos!$A$2:$OJ$901,594,MATCH($B$2&amp;"|yC",Aux_puntos!$1:$1,0))="",NA(),INDEX(Aux_puntos!$A$2:$OJ$901,594,MATCH($B$2&amp;"|yC",Aux_puntos!$1:$1,0))),NA())</f>
        <v>#N/A</v>
      </c>
      <c r="AG598" t="e">
        <f>IFERROR(IF(INDEX(Aux_puntos!$A$2:$OJ$901,594,MATCH($B$2&amp;"|xI",Aux_puntos!$1:$1,0))="",NA(),INDEX(Aux_puntos!$A$2:$OJ$901,594,MATCH($B$2&amp;"|xI",Aux_puntos!$1:$1,0))),NA())</f>
        <v>#N/A</v>
      </c>
      <c r="AH598" t="e">
        <f>IFERROR(IF(INDEX(Aux_puntos!$A$2:$OJ$901,594,MATCH($B$2&amp;"|yI",Aux_puntos!$1:$1,0))="",NA(),INDEX(Aux_puntos!$A$2:$OJ$901,594,MATCH($B$2&amp;"|yI",Aux_puntos!$1:$1,0))),NA())</f>
        <v>#N/A</v>
      </c>
      <c r="AI598" t="e">
        <f>IFERROR(IF(INDEX(Aux_puntos!$A$2:$OJ$901,594,MATCH($B$2&amp;"|xN",Aux_puntos!$1:$1,0))="",NA(),INDEX(Aux_puntos!$A$2:$OJ$901,594,MATCH($B$2&amp;"|xN",Aux_puntos!$1:$1,0))),NA())</f>
        <v>#N/A</v>
      </c>
      <c r="AJ598" t="e">
        <f>IFERROR(IF(INDEX(Aux_puntos!$A$2:$OJ$901,594,MATCH($B$2&amp;"|yN",Aux_puntos!$1:$1,0))="",NA(),INDEX(Aux_puntos!$A$2:$OJ$901,594,MATCH($B$2&amp;"|yN",Aux_puntos!$1:$1,0))),NA())</f>
        <v>#N/A</v>
      </c>
    </row>
    <row r="599" spans="29:36" x14ac:dyDescent="0.3">
      <c r="AC599" t="e">
        <f>IFERROR(IF(INDEX(Aux_puntos!$A$2:$OJ$901,595,MATCH($B$2&amp;"|xK",Aux_puntos!$1:$1,0))="",NA(),INDEX(Aux_puntos!$A$2:$OJ$901,595,MATCH($B$2&amp;"|xK",Aux_puntos!$1:$1,0))),NA())</f>
        <v>#N/A</v>
      </c>
      <c r="AD599" t="e">
        <f>IFERROR(IF(INDEX(Aux_puntos!$A$2:$OJ$901,595,MATCH($B$2&amp;"|yK",Aux_puntos!$1:$1,0))="",NA(),INDEX(Aux_puntos!$A$2:$OJ$901,595,MATCH($B$2&amp;"|yK",Aux_puntos!$1:$1,0))),NA())</f>
        <v>#N/A</v>
      </c>
      <c r="AE599" t="e">
        <f>IFERROR(IF(INDEX(Aux_puntos!$A$2:$OJ$901,595,MATCH($B$2&amp;"|xC",Aux_puntos!$1:$1,0))="",NA(),INDEX(Aux_puntos!$A$2:$OJ$901,595,MATCH($B$2&amp;"|xC",Aux_puntos!$1:$1,0))),NA())</f>
        <v>#N/A</v>
      </c>
      <c r="AF599" t="e">
        <f>IFERROR(IF(INDEX(Aux_puntos!$A$2:$OJ$901,595,MATCH($B$2&amp;"|yC",Aux_puntos!$1:$1,0))="",NA(),INDEX(Aux_puntos!$A$2:$OJ$901,595,MATCH($B$2&amp;"|yC",Aux_puntos!$1:$1,0))),NA())</f>
        <v>#N/A</v>
      </c>
      <c r="AG599" t="e">
        <f>IFERROR(IF(INDEX(Aux_puntos!$A$2:$OJ$901,595,MATCH($B$2&amp;"|xI",Aux_puntos!$1:$1,0))="",NA(),INDEX(Aux_puntos!$A$2:$OJ$901,595,MATCH($B$2&amp;"|xI",Aux_puntos!$1:$1,0))),NA())</f>
        <v>#N/A</v>
      </c>
      <c r="AH599" t="e">
        <f>IFERROR(IF(INDEX(Aux_puntos!$A$2:$OJ$901,595,MATCH($B$2&amp;"|yI",Aux_puntos!$1:$1,0))="",NA(),INDEX(Aux_puntos!$A$2:$OJ$901,595,MATCH($B$2&amp;"|yI",Aux_puntos!$1:$1,0))),NA())</f>
        <v>#N/A</v>
      </c>
      <c r="AI599" t="e">
        <f>IFERROR(IF(INDEX(Aux_puntos!$A$2:$OJ$901,595,MATCH($B$2&amp;"|xN",Aux_puntos!$1:$1,0))="",NA(),INDEX(Aux_puntos!$A$2:$OJ$901,595,MATCH($B$2&amp;"|xN",Aux_puntos!$1:$1,0))),NA())</f>
        <v>#N/A</v>
      </c>
      <c r="AJ599" t="e">
        <f>IFERROR(IF(INDEX(Aux_puntos!$A$2:$OJ$901,595,MATCH($B$2&amp;"|yN",Aux_puntos!$1:$1,0))="",NA(),INDEX(Aux_puntos!$A$2:$OJ$901,595,MATCH($B$2&amp;"|yN",Aux_puntos!$1:$1,0))),NA())</f>
        <v>#N/A</v>
      </c>
    </row>
    <row r="600" spans="29:36" x14ac:dyDescent="0.3">
      <c r="AC600" t="e">
        <f>IFERROR(IF(INDEX(Aux_puntos!$A$2:$OJ$901,596,MATCH($B$2&amp;"|xK",Aux_puntos!$1:$1,0))="",NA(),INDEX(Aux_puntos!$A$2:$OJ$901,596,MATCH($B$2&amp;"|xK",Aux_puntos!$1:$1,0))),NA())</f>
        <v>#N/A</v>
      </c>
      <c r="AD600" t="e">
        <f>IFERROR(IF(INDEX(Aux_puntos!$A$2:$OJ$901,596,MATCH($B$2&amp;"|yK",Aux_puntos!$1:$1,0))="",NA(),INDEX(Aux_puntos!$A$2:$OJ$901,596,MATCH($B$2&amp;"|yK",Aux_puntos!$1:$1,0))),NA())</f>
        <v>#N/A</v>
      </c>
      <c r="AE600" t="e">
        <f>IFERROR(IF(INDEX(Aux_puntos!$A$2:$OJ$901,596,MATCH($B$2&amp;"|xC",Aux_puntos!$1:$1,0))="",NA(),INDEX(Aux_puntos!$A$2:$OJ$901,596,MATCH($B$2&amp;"|xC",Aux_puntos!$1:$1,0))),NA())</f>
        <v>#N/A</v>
      </c>
      <c r="AF600" t="e">
        <f>IFERROR(IF(INDEX(Aux_puntos!$A$2:$OJ$901,596,MATCH($B$2&amp;"|yC",Aux_puntos!$1:$1,0))="",NA(),INDEX(Aux_puntos!$A$2:$OJ$901,596,MATCH($B$2&amp;"|yC",Aux_puntos!$1:$1,0))),NA())</f>
        <v>#N/A</v>
      </c>
      <c r="AG600" t="e">
        <f>IFERROR(IF(INDEX(Aux_puntos!$A$2:$OJ$901,596,MATCH($B$2&amp;"|xI",Aux_puntos!$1:$1,0))="",NA(),INDEX(Aux_puntos!$A$2:$OJ$901,596,MATCH($B$2&amp;"|xI",Aux_puntos!$1:$1,0))),NA())</f>
        <v>#N/A</v>
      </c>
      <c r="AH600" t="e">
        <f>IFERROR(IF(INDEX(Aux_puntos!$A$2:$OJ$901,596,MATCH($B$2&amp;"|yI",Aux_puntos!$1:$1,0))="",NA(),INDEX(Aux_puntos!$A$2:$OJ$901,596,MATCH($B$2&amp;"|yI",Aux_puntos!$1:$1,0))),NA())</f>
        <v>#N/A</v>
      </c>
      <c r="AI600" t="e">
        <f>IFERROR(IF(INDEX(Aux_puntos!$A$2:$OJ$901,596,MATCH($B$2&amp;"|xN",Aux_puntos!$1:$1,0))="",NA(),INDEX(Aux_puntos!$A$2:$OJ$901,596,MATCH($B$2&amp;"|xN",Aux_puntos!$1:$1,0))),NA())</f>
        <v>#N/A</v>
      </c>
      <c r="AJ600" t="e">
        <f>IFERROR(IF(INDEX(Aux_puntos!$A$2:$OJ$901,596,MATCH($B$2&amp;"|yN",Aux_puntos!$1:$1,0))="",NA(),INDEX(Aux_puntos!$A$2:$OJ$901,596,MATCH($B$2&amp;"|yN",Aux_puntos!$1:$1,0))),NA())</f>
        <v>#N/A</v>
      </c>
    </row>
    <row r="601" spans="29:36" x14ac:dyDescent="0.3">
      <c r="AC601" t="e">
        <f>IFERROR(IF(INDEX(Aux_puntos!$A$2:$OJ$901,597,MATCH($B$2&amp;"|xK",Aux_puntos!$1:$1,0))="",NA(),INDEX(Aux_puntos!$A$2:$OJ$901,597,MATCH($B$2&amp;"|xK",Aux_puntos!$1:$1,0))),NA())</f>
        <v>#N/A</v>
      </c>
      <c r="AD601" t="e">
        <f>IFERROR(IF(INDEX(Aux_puntos!$A$2:$OJ$901,597,MATCH($B$2&amp;"|yK",Aux_puntos!$1:$1,0))="",NA(),INDEX(Aux_puntos!$A$2:$OJ$901,597,MATCH($B$2&amp;"|yK",Aux_puntos!$1:$1,0))),NA())</f>
        <v>#N/A</v>
      </c>
      <c r="AE601" t="e">
        <f>IFERROR(IF(INDEX(Aux_puntos!$A$2:$OJ$901,597,MATCH($B$2&amp;"|xC",Aux_puntos!$1:$1,0))="",NA(),INDEX(Aux_puntos!$A$2:$OJ$901,597,MATCH($B$2&amp;"|xC",Aux_puntos!$1:$1,0))),NA())</f>
        <v>#N/A</v>
      </c>
      <c r="AF601" t="e">
        <f>IFERROR(IF(INDEX(Aux_puntos!$A$2:$OJ$901,597,MATCH($B$2&amp;"|yC",Aux_puntos!$1:$1,0))="",NA(),INDEX(Aux_puntos!$A$2:$OJ$901,597,MATCH($B$2&amp;"|yC",Aux_puntos!$1:$1,0))),NA())</f>
        <v>#N/A</v>
      </c>
      <c r="AG601" t="e">
        <f>IFERROR(IF(INDEX(Aux_puntos!$A$2:$OJ$901,597,MATCH($B$2&amp;"|xI",Aux_puntos!$1:$1,0))="",NA(),INDEX(Aux_puntos!$A$2:$OJ$901,597,MATCH($B$2&amp;"|xI",Aux_puntos!$1:$1,0))),NA())</f>
        <v>#N/A</v>
      </c>
      <c r="AH601" t="e">
        <f>IFERROR(IF(INDEX(Aux_puntos!$A$2:$OJ$901,597,MATCH($B$2&amp;"|yI",Aux_puntos!$1:$1,0))="",NA(),INDEX(Aux_puntos!$A$2:$OJ$901,597,MATCH($B$2&amp;"|yI",Aux_puntos!$1:$1,0))),NA())</f>
        <v>#N/A</v>
      </c>
      <c r="AI601" t="e">
        <f>IFERROR(IF(INDEX(Aux_puntos!$A$2:$OJ$901,597,MATCH($B$2&amp;"|xN",Aux_puntos!$1:$1,0))="",NA(),INDEX(Aux_puntos!$A$2:$OJ$901,597,MATCH($B$2&amp;"|xN",Aux_puntos!$1:$1,0))),NA())</f>
        <v>#N/A</v>
      </c>
      <c r="AJ601" t="e">
        <f>IFERROR(IF(INDEX(Aux_puntos!$A$2:$OJ$901,597,MATCH($B$2&amp;"|yN",Aux_puntos!$1:$1,0))="",NA(),INDEX(Aux_puntos!$A$2:$OJ$901,597,MATCH($B$2&amp;"|yN",Aux_puntos!$1:$1,0))),NA())</f>
        <v>#N/A</v>
      </c>
    </row>
    <row r="602" spans="29:36" x14ac:dyDescent="0.3">
      <c r="AC602" t="e">
        <f>IFERROR(IF(INDEX(Aux_puntos!$A$2:$OJ$901,598,MATCH($B$2&amp;"|xK",Aux_puntos!$1:$1,0))="",NA(),INDEX(Aux_puntos!$A$2:$OJ$901,598,MATCH($B$2&amp;"|xK",Aux_puntos!$1:$1,0))),NA())</f>
        <v>#N/A</v>
      </c>
      <c r="AD602" t="e">
        <f>IFERROR(IF(INDEX(Aux_puntos!$A$2:$OJ$901,598,MATCH($B$2&amp;"|yK",Aux_puntos!$1:$1,0))="",NA(),INDEX(Aux_puntos!$A$2:$OJ$901,598,MATCH($B$2&amp;"|yK",Aux_puntos!$1:$1,0))),NA())</f>
        <v>#N/A</v>
      </c>
      <c r="AE602" t="e">
        <f>IFERROR(IF(INDEX(Aux_puntos!$A$2:$OJ$901,598,MATCH($B$2&amp;"|xC",Aux_puntos!$1:$1,0))="",NA(),INDEX(Aux_puntos!$A$2:$OJ$901,598,MATCH($B$2&amp;"|xC",Aux_puntos!$1:$1,0))),NA())</f>
        <v>#N/A</v>
      </c>
      <c r="AF602" t="e">
        <f>IFERROR(IF(INDEX(Aux_puntos!$A$2:$OJ$901,598,MATCH($B$2&amp;"|yC",Aux_puntos!$1:$1,0))="",NA(),INDEX(Aux_puntos!$A$2:$OJ$901,598,MATCH($B$2&amp;"|yC",Aux_puntos!$1:$1,0))),NA())</f>
        <v>#N/A</v>
      </c>
      <c r="AG602" t="e">
        <f>IFERROR(IF(INDEX(Aux_puntos!$A$2:$OJ$901,598,MATCH($B$2&amp;"|xI",Aux_puntos!$1:$1,0))="",NA(),INDEX(Aux_puntos!$A$2:$OJ$901,598,MATCH($B$2&amp;"|xI",Aux_puntos!$1:$1,0))),NA())</f>
        <v>#N/A</v>
      </c>
      <c r="AH602" t="e">
        <f>IFERROR(IF(INDEX(Aux_puntos!$A$2:$OJ$901,598,MATCH($B$2&amp;"|yI",Aux_puntos!$1:$1,0))="",NA(),INDEX(Aux_puntos!$A$2:$OJ$901,598,MATCH($B$2&amp;"|yI",Aux_puntos!$1:$1,0))),NA())</f>
        <v>#N/A</v>
      </c>
      <c r="AI602" t="e">
        <f>IFERROR(IF(INDEX(Aux_puntos!$A$2:$OJ$901,598,MATCH($B$2&amp;"|xN",Aux_puntos!$1:$1,0))="",NA(),INDEX(Aux_puntos!$A$2:$OJ$901,598,MATCH($B$2&amp;"|xN",Aux_puntos!$1:$1,0))),NA())</f>
        <v>#N/A</v>
      </c>
      <c r="AJ602" t="e">
        <f>IFERROR(IF(INDEX(Aux_puntos!$A$2:$OJ$901,598,MATCH($B$2&amp;"|yN",Aux_puntos!$1:$1,0))="",NA(),INDEX(Aux_puntos!$A$2:$OJ$901,598,MATCH($B$2&amp;"|yN",Aux_puntos!$1:$1,0))),NA())</f>
        <v>#N/A</v>
      </c>
    </row>
    <row r="603" spans="29:36" x14ac:dyDescent="0.3">
      <c r="AC603" t="e">
        <f>IFERROR(IF(INDEX(Aux_puntos!$A$2:$OJ$901,599,MATCH($B$2&amp;"|xK",Aux_puntos!$1:$1,0))="",NA(),INDEX(Aux_puntos!$A$2:$OJ$901,599,MATCH($B$2&amp;"|xK",Aux_puntos!$1:$1,0))),NA())</f>
        <v>#N/A</v>
      </c>
      <c r="AD603" t="e">
        <f>IFERROR(IF(INDEX(Aux_puntos!$A$2:$OJ$901,599,MATCH($B$2&amp;"|yK",Aux_puntos!$1:$1,0))="",NA(),INDEX(Aux_puntos!$A$2:$OJ$901,599,MATCH($B$2&amp;"|yK",Aux_puntos!$1:$1,0))),NA())</f>
        <v>#N/A</v>
      </c>
      <c r="AE603" t="e">
        <f>IFERROR(IF(INDEX(Aux_puntos!$A$2:$OJ$901,599,MATCH($B$2&amp;"|xC",Aux_puntos!$1:$1,0))="",NA(),INDEX(Aux_puntos!$A$2:$OJ$901,599,MATCH($B$2&amp;"|xC",Aux_puntos!$1:$1,0))),NA())</f>
        <v>#N/A</v>
      </c>
      <c r="AF603" t="e">
        <f>IFERROR(IF(INDEX(Aux_puntos!$A$2:$OJ$901,599,MATCH($B$2&amp;"|yC",Aux_puntos!$1:$1,0))="",NA(),INDEX(Aux_puntos!$A$2:$OJ$901,599,MATCH($B$2&amp;"|yC",Aux_puntos!$1:$1,0))),NA())</f>
        <v>#N/A</v>
      </c>
      <c r="AG603" t="e">
        <f>IFERROR(IF(INDEX(Aux_puntos!$A$2:$OJ$901,599,MATCH($B$2&amp;"|xI",Aux_puntos!$1:$1,0))="",NA(),INDEX(Aux_puntos!$A$2:$OJ$901,599,MATCH($B$2&amp;"|xI",Aux_puntos!$1:$1,0))),NA())</f>
        <v>#N/A</v>
      </c>
      <c r="AH603" t="e">
        <f>IFERROR(IF(INDEX(Aux_puntos!$A$2:$OJ$901,599,MATCH($B$2&amp;"|yI",Aux_puntos!$1:$1,0))="",NA(),INDEX(Aux_puntos!$A$2:$OJ$901,599,MATCH($B$2&amp;"|yI",Aux_puntos!$1:$1,0))),NA())</f>
        <v>#N/A</v>
      </c>
      <c r="AI603" t="e">
        <f>IFERROR(IF(INDEX(Aux_puntos!$A$2:$OJ$901,599,MATCH($B$2&amp;"|xN",Aux_puntos!$1:$1,0))="",NA(),INDEX(Aux_puntos!$A$2:$OJ$901,599,MATCH($B$2&amp;"|xN",Aux_puntos!$1:$1,0))),NA())</f>
        <v>#N/A</v>
      </c>
      <c r="AJ603" t="e">
        <f>IFERROR(IF(INDEX(Aux_puntos!$A$2:$OJ$901,599,MATCH($B$2&amp;"|yN",Aux_puntos!$1:$1,0))="",NA(),INDEX(Aux_puntos!$A$2:$OJ$901,599,MATCH($B$2&amp;"|yN",Aux_puntos!$1:$1,0))),NA())</f>
        <v>#N/A</v>
      </c>
    </row>
    <row r="604" spans="29:36" x14ac:dyDescent="0.3">
      <c r="AC604" t="e">
        <f>IFERROR(IF(INDEX(Aux_puntos!$A$2:$OJ$901,600,MATCH($B$2&amp;"|xK",Aux_puntos!$1:$1,0))="",NA(),INDEX(Aux_puntos!$A$2:$OJ$901,600,MATCH($B$2&amp;"|xK",Aux_puntos!$1:$1,0))),NA())</f>
        <v>#N/A</v>
      </c>
      <c r="AD604" t="e">
        <f>IFERROR(IF(INDEX(Aux_puntos!$A$2:$OJ$901,600,MATCH($B$2&amp;"|yK",Aux_puntos!$1:$1,0))="",NA(),INDEX(Aux_puntos!$A$2:$OJ$901,600,MATCH($B$2&amp;"|yK",Aux_puntos!$1:$1,0))),NA())</f>
        <v>#N/A</v>
      </c>
      <c r="AE604" t="e">
        <f>IFERROR(IF(INDEX(Aux_puntos!$A$2:$OJ$901,600,MATCH($B$2&amp;"|xC",Aux_puntos!$1:$1,0))="",NA(),INDEX(Aux_puntos!$A$2:$OJ$901,600,MATCH($B$2&amp;"|xC",Aux_puntos!$1:$1,0))),NA())</f>
        <v>#N/A</v>
      </c>
      <c r="AF604" t="e">
        <f>IFERROR(IF(INDEX(Aux_puntos!$A$2:$OJ$901,600,MATCH($B$2&amp;"|yC",Aux_puntos!$1:$1,0))="",NA(),INDEX(Aux_puntos!$A$2:$OJ$901,600,MATCH($B$2&amp;"|yC",Aux_puntos!$1:$1,0))),NA())</f>
        <v>#N/A</v>
      </c>
      <c r="AG604" t="e">
        <f>IFERROR(IF(INDEX(Aux_puntos!$A$2:$OJ$901,600,MATCH($B$2&amp;"|xI",Aux_puntos!$1:$1,0))="",NA(),INDEX(Aux_puntos!$A$2:$OJ$901,600,MATCH($B$2&amp;"|xI",Aux_puntos!$1:$1,0))),NA())</f>
        <v>#N/A</v>
      </c>
      <c r="AH604" t="e">
        <f>IFERROR(IF(INDEX(Aux_puntos!$A$2:$OJ$901,600,MATCH($B$2&amp;"|yI",Aux_puntos!$1:$1,0))="",NA(),INDEX(Aux_puntos!$A$2:$OJ$901,600,MATCH($B$2&amp;"|yI",Aux_puntos!$1:$1,0))),NA())</f>
        <v>#N/A</v>
      </c>
      <c r="AI604" t="e">
        <f>IFERROR(IF(INDEX(Aux_puntos!$A$2:$OJ$901,600,MATCH($B$2&amp;"|xN",Aux_puntos!$1:$1,0))="",NA(),INDEX(Aux_puntos!$A$2:$OJ$901,600,MATCH($B$2&amp;"|xN",Aux_puntos!$1:$1,0))),NA())</f>
        <v>#N/A</v>
      </c>
      <c r="AJ604" t="e">
        <f>IFERROR(IF(INDEX(Aux_puntos!$A$2:$OJ$901,600,MATCH($B$2&amp;"|yN",Aux_puntos!$1:$1,0))="",NA(),INDEX(Aux_puntos!$A$2:$OJ$901,600,MATCH($B$2&amp;"|yN",Aux_puntos!$1:$1,0))),NA())</f>
        <v>#N/A</v>
      </c>
    </row>
    <row r="605" spans="29:36" x14ac:dyDescent="0.3">
      <c r="AC605" t="e">
        <f>IFERROR(IF(INDEX(Aux_puntos!$A$2:$OJ$901,601,MATCH($B$2&amp;"|xK",Aux_puntos!$1:$1,0))="",NA(),INDEX(Aux_puntos!$A$2:$OJ$901,601,MATCH($B$2&amp;"|xK",Aux_puntos!$1:$1,0))),NA())</f>
        <v>#N/A</v>
      </c>
      <c r="AD605" t="e">
        <f>IFERROR(IF(INDEX(Aux_puntos!$A$2:$OJ$901,601,MATCH($B$2&amp;"|yK",Aux_puntos!$1:$1,0))="",NA(),INDEX(Aux_puntos!$A$2:$OJ$901,601,MATCH($B$2&amp;"|yK",Aux_puntos!$1:$1,0))),NA())</f>
        <v>#N/A</v>
      </c>
      <c r="AE605" t="e">
        <f>IFERROR(IF(INDEX(Aux_puntos!$A$2:$OJ$901,601,MATCH($B$2&amp;"|xC",Aux_puntos!$1:$1,0))="",NA(),INDEX(Aux_puntos!$A$2:$OJ$901,601,MATCH($B$2&amp;"|xC",Aux_puntos!$1:$1,0))),NA())</f>
        <v>#N/A</v>
      </c>
      <c r="AF605" t="e">
        <f>IFERROR(IF(INDEX(Aux_puntos!$A$2:$OJ$901,601,MATCH($B$2&amp;"|yC",Aux_puntos!$1:$1,0))="",NA(),INDEX(Aux_puntos!$A$2:$OJ$901,601,MATCH($B$2&amp;"|yC",Aux_puntos!$1:$1,0))),NA())</f>
        <v>#N/A</v>
      </c>
      <c r="AG605" t="e">
        <f>IFERROR(IF(INDEX(Aux_puntos!$A$2:$OJ$901,601,MATCH($B$2&amp;"|xI",Aux_puntos!$1:$1,0))="",NA(),INDEX(Aux_puntos!$A$2:$OJ$901,601,MATCH($B$2&amp;"|xI",Aux_puntos!$1:$1,0))),NA())</f>
        <v>#N/A</v>
      </c>
      <c r="AH605" t="e">
        <f>IFERROR(IF(INDEX(Aux_puntos!$A$2:$OJ$901,601,MATCH($B$2&amp;"|yI",Aux_puntos!$1:$1,0))="",NA(),INDEX(Aux_puntos!$A$2:$OJ$901,601,MATCH($B$2&amp;"|yI",Aux_puntos!$1:$1,0))),NA())</f>
        <v>#N/A</v>
      </c>
      <c r="AI605" t="e">
        <f>IFERROR(IF(INDEX(Aux_puntos!$A$2:$OJ$901,601,MATCH($B$2&amp;"|xN",Aux_puntos!$1:$1,0))="",NA(),INDEX(Aux_puntos!$A$2:$OJ$901,601,MATCH($B$2&amp;"|xN",Aux_puntos!$1:$1,0))),NA())</f>
        <v>#N/A</v>
      </c>
      <c r="AJ605" t="e">
        <f>IFERROR(IF(INDEX(Aux_puntos!$A$2:$OJ$901,601,MATCH($B$2&amp;"|yN",Aux_puntos!$1:$1,0))="",NA(),INDEX(Aux_puntos!$A$2:$OJ$901,601,MATCH($B$2&amp;"|yN",Aux_puntos!$1:$1,0))),NA())</f>
        <v>#N/A</v>
      </c>
    </row>
    <row r="606" spans="29:36" x14ac:dyDescent="0.3">
      <c r="AC606" t="e">
        <f>IFERROR(IF(INDEX(Aux_puntos!$A$2:$OJ$901,602,MATCH($B$2&amp;"|xK",Aux_puntos!$1:$1,0))="",NA(),INDEX(Aux_puntos!$A$2:$OJ$901,602,MATCH($B$2&amp;"|xK",Aux_puntos!$1:$1,0))),NA())</f>
        <v>#N/A</v>
      </c>
      <c r="AD606" t="e">
        <f>IFERROR(IF(INDEX(Aux_puntos!$A$2:$OJ$901,602,MATCH($B$2&amp;"|yK",Aux_puntos!$1:$1,0))="",NA(),INDEX(Aux_puntos!$A$2:$OJ$901,602,MATCH($B$2&amp;"|yK",Aux_puntos!$1:$1,0))),NA())</f>
        <v>#N/A</v>
      </c>
      <c r="AE606" t="e">
        <f>IFERROR(IF(INDEX(Aux_puntos!$A$2:$OJ$901,602,MATCH($B$2&amp;"|xC",Aux_puntos!$1:$1,0))="",NA(),INDEX(Aux_puntos!$A$2:$OJ$901,602,MATCH($B$2&amp;"|xC",Aux_puntos!$1:$1,0))),NA())</f>
        <v>#N/A</v>
      </c>
      <c r="AF606" t="e">
        <f>IFERROR(IF(INDEX(Aux_puntos!$A$2:$OJ$901,602,MATCH($B$2&amp;"|yC",Aux_puntos!$1:$1,0))="",NA(),INDEX(Aux_puntos!$A$2:$OJ$901,602,MATCH($B$2&amp;"|yC",Aux_puntos!$1:$1,0))),NA())</f>
        <v>#N/A</v>
      </c>
      <c r="AG606" t="e">
        <f>IFERROR(IF(INDEX(Aux_puntos!$A$2:$OJ$901,602,MATCH($B$2&amp;"|xI",Aux_puntos!$1:$1,0))="",NA(),INDEX(Aux_puntos!$A$2:$OJ$901,602,MATCH($B$2&amp;"|xI",Aux_puntos!$1:$1,0))),NA())</f>
        <v>#N/A</v>
      </c>
      <c r="AH606" t="e">
        <f>IFERROR(IF(INDEX(Aux_puntos!$A$2:$OJ$901,602,MATCH($B$2&amp;"|yI",Aux_puntos!$1:$1,0))="",NA(),INDEX(Aux_puntos!$A$2:$OJ$901,602,MATCH($B$2&amp;"|yI",Aux_puntos!$1:$1,0))),NA())</f>
        <v>#N/A</v>
      </c>
      <c r="AI606" t="e">
        <f>IFERROR(IF(INDEX(Aux_puntos!$A$2:$OJ$901,602,MATCH($B$2&amp;"|xN",Aux_puntos!$1:$1,0))="",NA(),INDEX(Aux_puntos!$A$2:$OJ$901,602,MATCH($B$2&amp;"|xN",Aux_puntos!$1:$1,0))),NA())</f>
        <v>#N/A</v>
      </c>
      <c r="AJ606" t="e">
        <f>IFERROR(IF(INDEX(Aux_puntos!$A$2:$OJ$901,602,MATCH($B$2&amp;"|yN",Aux_puntos!$1:$1,0))="",NA(),INDEX(Aux_puntos!$A$2:$OJ$901,602,MATCH($B$2&amp;"|yN",Aux_puntos!$1:$1,0))),NA())</f>
        <v>#N/A</v>
      </c>
    </row>
    <row r="607" spans="29:36" x14ac:dyDescent="0.3">
      <c r="AC607" t="e">
        <f>IFERROR(IF(INDEX(Aux_puntos!$A$2:$OJ$901,603,MATCH($B$2&amp;"|xK",Aux_puntos!$1:$1,0))="",NA(),INDEX(Aux_puntos!$A$2:$OJ$901,603,MATCH($B$2&amp;"|xK",Aux_puntos!$1:$1,0))),NA())</f>
        <v>#N/A</v>
      </c>
      <c r="AD607" t="e">
        <f>IFERROR(IF(INDEX(Aux_puntos!$A$2:$OJ$901,603,MATCH($B$2&amp;"|yK",Aux_puntos!$1:$1,0))="",NA(),INDEX(Aux_puntos!$A$2:$OJ$901,603,MATCH($B$2&amp;"|yK",Aux_puntos!$1:$1,0))),NA())</f>
        <v>#N/A</v>
      </c>
      <c r="AE607" t="e">
        <f>IFERROR(IF(INDEX(Aux_puntos!$A$2:$OJ$901,603,MATCH($B$2&amp;"|xC",Aux_puntos!$1:$1,0))="",NA(),INDEX(Aux_puntos!$A$2:$OJ$901,603,MATCH($B$2&amp;"|xC",Aux_puntos!$1:$1,0))),NA())</f>
        <v>#N/A</v>
      </c>
      <c r="AF607" t="e">
        <f>IFERROR(IF(INDEX(Aux_puntos!$A$2:$OJ$901,603,MATCH($B$2&amp;"|yC",Aux_puntos!$1:$1,0))="",NA(),INDEX(Aux_puntos!$A$2:$OJ$901,603,MATCH($B$2&amp;"|yC",Aux_puntos!$1:$1,0))),NA())</f>
        <v>#N/A</v>
      </c>
      <c r="AG607" t="e">
        <f>IFERROR(IF(INDEX(Aux_puntos!$A$2:$OJ$901,603,MATCH($B$2&amp;"|xI",Aux_puntos!$1:$1,0))="",NA(),INDEX(Aux_puntos!$A$2:$OJ$901,603,MATCH($B$2&amp;"|xI",Aux_puntos!$1:$1,0))),NA())</f>
        <v>#N/A</v>
      </c>
      <c r="AH607" t="e">
        <f>IFERROR(IF(INDEX(Aux_puntos!$A$2:$OJ$901,603,MATCH($B$2&amp;"|yI",Aux_puntos!$1:$1,0))="",NA(),INDEX(Aux_puntos!$A$2:$OJ$901,603,MATCH($B$2&amp;"|yI",Aux_puntos!$1:$1,0))),NA())</f>
        <v>#N/A</v>
      </c>
      <c r="AI607" t="e">
        <f>IFERROR(IF(INDEX(Aux_puntos!$A$2:$OJ$901,603,MATCH($B$2&amp;"|xN",Aux_puntos!$1:$1,0))="",NA(),INDEX(Aux_puntos!$A$2:$OJ$901,603,MATCH($B$2&amp;"|xN",Aux_puntos!$1:$1,0))),NA())</f>
        <v>#N/A</v>
      </c>
      <c r="AJ607" t="e">
        <f>IFERROR(IF(INDEX(Aux_puntos!$A$2:$OJ$901,603,MATCH($B$2&amp;"|yN",Aux_puntos!$1:$1,0))="",NA(),INDEX(Aux_puntos!$A$2:$OJ$901,603,MATCH($B$2&amp;"|yN",Aux_puntos!$1:$1,0))),NA())</f>
        <v>#N/A</v>
      </c>
    </row>
    <row r="608" spans="29:36" x14ac:dyDescent="0.3">
      <c r="AC608" t="e">
        <f>IFERROR(IF(INDEX(Aux_puntos!$A$2:$OJ$901,604,MATCH($B$2&amp;"|xK",Aux_puntos!$1:$1,0))="",NA(),INDEX(Aux_puntos!$A$2:$OJ$901,604,MATCH($B$2&amp;"|xK",Aux_puntos!$1:$1,0))),NA())</f>
        <v>#N/A</v>
      </c>
      <c r="AD608" t="e">
        <f>IFERROR(IF(INDEX(Aux_puntos!$A$2:$OJ$901,604,MATCH($B$2&amp;"|yK",Aux_puntos!$1:$1,0))="",NA(),INDEX(Aux_puntos!$A$2:$OJ$901,604,MATCH($B$2&amp;"|yK",Aux_puntos!$1:$1,0))),NA())</f>
        <v>#N/A</v>
      </c>
      <c r="AE608" t="e">
        <f>IFERROR(IF(INDEX(Aux_puntos!$A$2:$OJ$901,604,MATCH($B$2&amp;"|xC",Aux_puntos!$1:$1,0))="",NA(),INDEX(Aux_puntos!$A$2:$OJ$901,604,MATCH($B$2&amp;"|xC",Aux_puntos!$1:$1,0))),NA())</f>
        <v>#N/A</v>
      </c>
      <c r="AF608" t="e">
        <f>IFERROR(IF(INDEX(Aux_puntos!$A$2:$OJ$901,604,MATCH($B$2&amp;"|yC",Aux_puntos!$1:$1,0))="",NA(),INDEX(Aux_puntos!$A$2:$OJ$901,604,MATCH($B$2&amp;"|yC",Aux_puntos!$1:$1,0))),NA())</f>
        <v>#N/A</v>
      </c>
      <c r="AG608" t="e">
        <f>IFERROR(IF(INDEX(Aux_puntos!$A$2:$OJ$901,604,MATCH($B$2&amp;"|xI",Aux_puntos!$1:$1,0))="",NA(),INDEX(Aux_puntos!$A$2:$OJ$901,604,MATCH($B$2&amp;"|xI",Aux_puntos!$1:$1,0))),NA())</f>
        <v>#N/A</v>
      </c>
      <c r="AH608" t="e">
        <f>IFERROR(IF(INDEX(Aux_puntos!$A$2:$OJ$901,604,MATCH($B$2&amp;"|yI",Aux_puntos!$1:$1,0))="",NA(),INDEX(Aux_puntos!$A$2:$OJ$901,604,MATCH($B$2&amp;"|yI",Aux_puntos!$1:$1,0))),NA())</f>
        <v>#N/A</v>
      </c>
      <c r="AI608" t="e">
        <f>IFERROR(IF(INDEX(Aux_puntos!$A$2:$OJ$901,604,MATCH($B$2&amp;"|xN",Aux_puntos!$1:$1,0))="",NA(),INDEX(Aux_puntos!$A$2:$OJ$901,604,MATCH($B$2&amp;"|xN",Aux_puntos!$1:$1,0))),NA())</f>
        <v>#N/A</v>
      </c>
      <c r="AJ608" t="e">
        <f>IFERROR(IF(INDEX(Aux_puntos!$A$2:$OJ$901,604,MATCH($B$2&amp;"|yN",Aux_puntos!$1:$1,0))="",NA(),INDEX(Aux_puntos!$A$2:$OJ$901,604,MATCH($B$2&amp;"|yN",Aux_puntos!$1:$1,0))),NA())</f>
        <v>#N/A</v>
      </c>
    </row>
    <row r="609" spans="29:36" x14ac:dyDescent="0.3">
      <c r="AC609" t="e">
        <f>IFERROR(IF(INDEX(Aux_puntos!$A$2:$OJ$901,605,MATCH($B$2&amp;"|xK",Aux_puntos!$1:$1,0))="",NA(),INDEX(Aux_puntos!$A$2:$OJ$901,605,MATCH($B$2&amp;"|xK",Aux_puntos!$1:$1,0))),NA())</f>
        <v>#N/A</v>
      </c>
      <c r="AD609" t="e">
        <f>IFERROR(IF(INDEX(Aux_puntos!$A$2:$OJ$901,605,MATCH($B$2&amp;"|yK",Aux_puntos!$1:$1,0))="",NA(),INDEX(Aux_puntos!$A$2:$OJ$901,605,MATCH($B$2&amp;"|yK",Aux_puntos!$1:$1,0))),NA())</f>
        <v>#N/A</v>
      </c>
      <c r="AE609" t="e">
        <f>IFERROR(IF(INDEX(Aux_puntos!$A$2:$OJ$901,605,MATCH($B$2&amp;"|xC",Aux_puntos!$1:$1,0))="",NA(),INDEX(Aux_puntos!$A$2:$OJ$901,605,MATCH($B$2&amp;"|xC",Aux_puntos!$1:$1,0))),NA())</f>
        <v>#N/A</v>
      </c>
      <c r="AF609" t="e">
        <f>IFERROR(IF(INDEX(Aux_puntos!$A$2:$OJ$901,605,MATCH($B$2&amp;"|yC",Aux_puntos!$1:$1,0))="",NA(),INDEX(Aux_puntos!$A$2:$OJ$901,605,MATCH($B$2&amp;"|yC",Aux_puntos!$1:$1,0))),NA())</f>
        <v>#N/A</v>
      </c>
      <c r="AG609" t="e">
        <f>IFERROR(IF(INDEX(Aux_puntos!$A$2:$OJ$901,605,MATCH($B$2&amp;"|xI",Aux_puntos!$1:$1,0))="",NA(),INDEX(Aux_puntos!$A$2:$OJ$901,605,MATCH($B$2&amp;"|xI",Aux_puntos!$1:$1,0))),NA())</f>
        <v>#N/A</v>
      </c>
      <c r="AH609" t="e">
        <f>IFERROR(IF(INDEX(Aux_puntos!$A$2:$OJ$901,605,MATCH($B$2&amp;"|yI",Aux_puntos!$1:$1,0))="",NA(),INDEX(Aux_puntos!$A$2:$OJ$901,605,MATCH($B$2&amp;"|yI",Aux_puntos!$1:$1,0))),NA())</f>
        <v>#N/A</v>
      </c>
      <c r="AI609" t="e">
        <f>IFERROR(IF(INDEX(Aux_puntos!$A$2:$OJ$901,605,MATCH($B$2&amp;"|xN",Aux_puntos!$1:$1,0))="",NA(),INDEX(Aux_puntos!$A$2:$OJ$901,605,MATCH($B$2&amp;"|xN",Aux_puntos!$1:$1,0))),NA())</f>
        <v>#N/A</v>
      </c>
      <c r="AJ609" t="e">
        <f>IFERROR(IF(INDEX(Aux_puntos!$A$2:$OJ$901,605,MATCH($B$2&amp;"|yN",Aux_puntos!$1:$1,0))="",NA(),INDEX(Aux_puntos!$A$2:$OJ$901,605,MATCH($B$2&amp;"|yN",Aux_puntos!$1:$1,0))),NA())</f>
        <v>#N/A</v>
      </c>
    </row>
    <row r="610" spans="29:36" x14ac:dyDescent="0.3">
      <c r="AC610" t="e">
        <f>IFERROR(IF(INDEX(Aux_puntos!$A$2:$OJ$901,606,MATCH($B$2&amp;"|xK",Aux_puntos!$1:$1,0))="",NA(),INDEX(Aux_puntos!$A$2:$OJ$901,606,MATCH($B$2&amp;"|xK",Aux_puntos!$1:$1,0))),NA())</f>
        <v>#N/A</v>
      </c>
      <c r="AD610" t="e">
        <f>IFERROR(IF(INDEX(Aux_puntos!$A$2:$OJ$901,606,MATCH($B$2&amp;"|yK",Aux_puntos!$1:$1,0))="",NA(),INDEX(Aux_puntos!$A$2:$OJ$901,606,MATCH($B$2&amp;"|yK",Aux_puntos!$1:$1,0))),NA())</f>
        <v>#N/A</v>
      </c>
      <c r="AE610" t="e">
        <f>IFERROR(IF(INDEX(Aux_puntos!$A$2:$OJ$901,606,MATCH($B$2&amp;"|xC",Aux_puntos!$1:$1,0))="",NA(),INDEX(Aux_puntos!$A$2:$OJ$901,606,MATCH($B$2&amp;"|xC",Aux_puntos!$1:$1,0))),NA())</f>
        <v>#N/A</v>
      </c>
      <c r="AF610" t="e">
        <f>IFERROR(IF(INDEX(Aux_puntos!$A$2:$OJ$901,606,MATCH($B$2&amp;"|yC",Aux_puntos!$1:$1,0))="",NA(),INDEX(Aux_puntos!$A$2:$OJ$901,606,MATCH($B$2&amp;"|yC",Aux_puntos!$1:$1,0))),NA())</f>
        <v>#N/A</v>
      </c>
      <c r="AG610" t="e">
        <f>IFERROR(IF(INDEX(Aux_puntos!$A$2:$OJ$901,606,MATCH($B$2&amp;"|xI",Aux_puntos!$1:$1,0))="",NA(),INDEX(Aux_puntos!$A$2:$OJ$901,606,MATCH($B$2&amp;"|xI",Aux_puntos!$1:$1,0))),NA())</f>
        <v>#N/A</v>
      </c>
      <c r="AH610" t="e">
        <f>IFERROR(IF(INDEX(Aux_puntos!$A$2:$OJ$901,606,MATCH($B$2&amp;"|yI",Aux_puntos!$1:$1,0))="",NA(),INDEX(Aux_puntos!$A$2:$OJ$901,606,MATCH($B$2&amp;"|yI",Aux_puntos!$1:$1,0))),NA())</f>
        <v>#N/A</v>
      </c>
      <c r="AI610" t="e">
        <f>IFERROR(IF(INDEX(Aux_puntos!$A$2:$OJ$901,606,MATCH($B$2&amp;"|xN",Aux_puntos!$1:$1,0))="",NA(),INDEX(Aux_puntos!$A$2:$OJ$901,606,MATCH($B$2&amp;"|xN",Aux_puntos!$1:$1,0))),NA())</f>
        <v>#N/A</v>
      </c>
      <c r="AJ610" t="e">
        <f>IFERROR(IF(INDEX(Aux_puntos!$A$2:$OJ$901,606,MATCH($B$2&amp;"|yN",Aux_puntos!$1:$1,0))="",NA(),INDEX(Aux_puntos!$A$2:$OJ$901,606,MATCH($B$2&amp;"|yN",Aux_puntos!$1:$1,0))),NA())</f>
        <v>#N/A</v>
      </c>
    </row>
    <row r="611" spans="29:36" x14ac:dyDescent="0.3">
      <c r="AC611" t="e">
        <f>IFERROR(IF(INDEX(Aux_puntos!$A$2:$OJ$901,607,MATCH($B$2&amp;"|xK",Aux_puntos!$1:$1,0))="",NA(),INDEX(Aux_puntos!$A$2:$OJ$901,607,MATCH($B$2&amp;"|xK",Aux_puntos!$1:$1,0))),NA())</f>
        <v>#N/A</v>
      </c>
      <c r="AD611" t="e">
        <f>IFERROR(IF(INDEX(Aux_puntos!$A$2:$OJ$901,607,MATCH($B$2&amp;"|yK",Aux_puntos!$1:$1,0))="",NA(),INDEX(Aux_puntos!$A$2:$OJ$901,607,MATCH($B$2&amp;"|yK",Aux_puntos!$1:$1,0))),NA())</f>
        <v>#N/A</v>
      </c>
      <c r="AE611" t="e">
        <f>IFERROR(IF(INDEX(Aux_puntos!$A$2:$OJ$901,607,MATCH($B$2&amp;"|xC",Aux_puntos!$1:$1,0))="",NA(),INDEX(Aux_puntos!$A$2:$OJ$901,607,MATCH($B$2&amp;"|xC",Aux_puntos!$1:$1,0))),NA())</f>
        <v>#N/A</v>
      </c>
      <c r="AF611" t="e">
        <f>IFERROR(IF(INDEX(Aux_puntos!$A$2:$OJ$901,607,MATCH($B$2&amp;"|yC",Aux_puntos!$1:$1,0))="",NA(),INDEX(Aux_puntos!$A$2:$OJ$901,607,MATCH($B$2&amp;"|yC",Aux_puntos!$1:$1,0))),NA())</f>
        <v>#N/A</v>
      </c>
      <c r="AG611" t="e">
        <f>IFERROR(IF(INDEX(Aux_puntos!$A$2:$OJ$901,607,MATCH($B$2&amp;"|xI",Aux_puntos!$1:$1,0))="",NA(),INDEX(Aux_puntos!$A$2:$OJ$901,607,MATCH($B$2&amp;"|xI",Aux_puntos!$1:$1,0))),NA())</f>
        <v>#N/A</v>
      </c>
      <c r="AH611" t="e">
        <f>IFERROR(IF(INDEX(Aux_puntos!$A$2:$OJ$901,607,MATCH($B$2&amp;"|yI",Aux_puntos!$1:$1,0))="",NA(),INDEX(Aux_puntos!$A$2:$OJ$901,607,MATCH($B$2&amp;"|yI",Aux_puntos!$1:$1,0))),NA())</f>
        <v>#N/A</v>
      </c>
      <c r="AI611" t="e">
        <f>IFERROR(IF(INDEX(Aux_puntos!$A$2:$OJ$901,607,MATCH($B$2&amp;"|xN",Aux_puntos!$1:$1,0))="",NA(),INDEX(Aux_puntos!$A$2:$OJ$901,607,MATCH($B$2&amp;"|xN",Aux_puntos!$1:$1,0))),NA())</f>
        <v>#N/A</v>
      </c>
      <c r="AJ611" t="e">
        <f>IFERROR(IF(INDEX(Aux_puntos!$A$2:$OJ$901,607,MATCH($B$2&amp;"|yN",Aux_puntos!$1:$1,0))="",NA(),INDEX(Aux_puntos!$A$2:$OJ$901,607,MATCH($B$2&amp;"|yN",Aux_puntos!$1:$1,0))),NA())</f>
        <v>#N/A</v>
      </c>
    </row>
    <row r="612" spans="29:36" x14ac:dyDescent="0.3">
      <c r="AC612" t="e">
        <f>IFERROR(IF(INDEX(Aux_puntos!$A$2:$OJ$901,608,MATCH($B$2&amp;"|xK",Aux_puntos!$1:$1,0))="",NA(),INDEX(Aux_puntos!$A$2:$OJ$901,608,MATCH($B$2&amp;"|xK",Aux_puntos!$1:$1,0))),NA())</f>
        <v>#N/A</v>
      </c>
      <c r="AD612" t="e">
        <f>IFERROR(IF(INDEX(Aux_puntos!$A$2:$OJ$901,608,MATCH($B$2&amp;"|yK",Aux_puntos!$1:$1,0))="",NA(),INDEX(Aux_puntos!$A$2:$OJ$901,608,MATCH($B$2&amp;"|yK",Aux_puntos!$1:$1,0))),NA())</f>
        <v>#N/A</v>
      </c>
      <c r="AE612" t="e">
        <f>IFERROR(IF(INDEX(Aux_puntos!$A$2:$OJ$901,608,MATCH($B$2&amp;"|xC",Aux_puntos!$1:$1,0))="",NA(),INDEX(Aux_puntos!$A$2:$OJ$901,608,MATCH($B$2&amp;"|xC",Aux_puntos!$1:$1,0))),NA())</f>
        <v>#N/A</v>
      </c>
      <c r="AF612" t="e">
        <f>IFERROR(IF(INDEX(Aux_puntos!$A$2:$OJ$901,608,MATCH($B$2&amp;"|yC",Aux_puntos!$1:$1,0))="",NA(),INDEX(Aux_puntos!$A$2:$OJ$901,608,MATCH($B$2&amp;"|yC",Aux_puntos!$1:$1,0))),NA())</f>
        <v>#N/A</v>
      </c>
      <c r="AG612" t="e">
        <f>IFERROR(IF(INDEX(Aux_puntos!$A$2:$OJ$901,608,MATCH($B$2&amp;"|xI",Aux_puntos!$1:$1,0))="",NA(),INDEX(Aux_puntos!$A$2:$OJ$901,608,MATCH($B$2&amp;"|xI",Aux_puntos!$1:$1,0))),NA())</f>
        <v>#N/A</v>
      </c>
      <c r="AH612" t="e">
        <f>IFERROR(IF(INDEX(Aux_puntos!$A$2:$OJ$901,608,MATCH($B$2&amp;"|yI",Aux_puntos!$1:$1,0))="",NA(),INDEX(Aux_puntos!$A$2:$OJ$901,608,MATCH($B$2&amp;"|yI",Aux_puntos!$1:$1,0))),NA())</f>
        <v>#N/A</v>
      </c>
      <c r="AI612" t="e">
        <f>IFERROR(IF(INDEX(Aux_puntos!$A$2:$OJ$901,608,MATCH($B$2&amp;"|xN",Aux_puntos!$1:$1,0))="",NA(),INDEX(Aux_puntos!$A$2:$OJ$901,608,MATCH($B$2&amp;"|xN",Aux_puntos!$1:$1,0))),NA())</f>
        <v>#N/A</v>
      </c>
      <c r="AJ612" t="e">
        <f>IFERROR(IF(INDEX(Aux_puntos!$A$2:$OJ$901,608,MATCH($B$2&amp;"|yN",Aux_puntos!$1:$1,0))="",NA(),INDEX(Aux_puntos!$A$2:$OJ$901,608,MATCH($B$2&amp;"|yN",Aux_puntos!$1:$1,0))),NA())</f>
        <v>#N/A</v>
      </c>
    </row>
    <row r="613" spans="29:36" x14ac:dyDescent="0.3">
      <c r="AC613" t="e">
        <f>IFERROR(IF(INDEX(Aux_puntos!$A$2:$OJ$901,609,MATCH($B$2&amp;"|xK",Aux_puntos!$1:$1,0))="",NA(),INDEX(Aux_puntos!$A$2:$OJ$901,609,MATCH($B$2&amp;"|xK",Aux_puntos!$1:$1,0))),NA())</f>
        <v>#N/A</v>
      </c>
      <c r="AD613" t="e">
        <f>IFERROR(IF(INDEX(Aux_puntos!$A$2:$OJ$901,609,MATCH($B$2&amp;"|yK",Aux_puntos!$1:$1,0))="",NA(),INDEX(Aux_puntos!$A$2:$OJ$901,609,MATCH($B$2&amp;"|yK",Aux_puntos!$1:$1,0))),NA())</f>
        <v>#N/A</v>
      </c>
      <c r="AE613" t="e">
        <f>IFERROR(IF(INDEX(Aux_puntos!$A$2:$OJ$901,609,MATCH($B$2&amp;"|xC",Aux_puntos!$1:$1,0))="",NA(),INDEX(Aux_puntos!$A$2:$OJ$901,609,MATCH($B$2&amp;"|xC",Aux_puntos!$1:$1,0))),NA())</f>
        <v>#N/A</v>
      </c>
      <c r="AF613" t="e">
        <f>IFERROR(IF(INDEX(Aux_puntos!$A$2:$OJ$901,609,MATCH($B$2&amp;"|yC",Aux_puntos!$1:$1,0))="",NA(),INDEX(Aux_puntos!$A$2:$OJ$901,609,MATCH($B$2&amp;"|yC",Aux_puntos!$1:$1,0))),NA())</f>
        <v>#N/A</v>
      </c>
      <c r="AG613" t="e">
        <f>IFERROR(IF(INDEX(Aux_puntos!$A$2:$OJ$901,609,MATCH($B$2&amp;"|xI",Aux_puntos!$1:$1,0))="",NA(),INDEX(Aux_puntos!$A$2:$OJ$901,609,MATCH($B$2&amp;"|xI",Aux_puntos!$1:$1,0))),NA())</f>
        <v>#N/A</v>
      </c>
      <c r="AH613" t="e">
        <f>IFERROR(IF(INDEX(Aux_puntos!$A$2:$OJ$901,609,MATCH($B$2&amp;"|yI",Aux_puntos!$1:$1,0))="",NA(),INDEX(Aux_puntos!$A$2:$OJ$901,609,MATCH($B$2&amp;"|yI",Aux_puntos!$1:$1,0))),NA())</f>
        <v>#N/A</v>
      </c>
      <c r="AI613" t="e">
        <f>IFERROR(IF(INDEX(Aux_puntos!$A$2:$OJ$901,609,MATCH($B$2&amp;"|xN",Aux_puntos!$1:$1,0))="",NA(),INDEX(Aux_puntos!$A$2:$OJ$901,609,MATCH($B$2&amp;"|xN",Aux_puntos!$1:$1,0))),NA())</f>
        <v>#N/A</v>
      </c>
      <c r="AJ613" t="e">
        <f>IFERROR(IF(INDEX(Aux_puntos!$A$2:$OJ$901,609,MATCH($B$2&amp;"|yN",Aux_puntos!$1:$1,0))="",NA(),INDEX(Aux_puntos!$A$2:$OJ$901,609,MATCH($B$2&amp;"|yN",Aux_puntos!$1:$1,0))),NA())</f>
        <v>#N/A</v>
      </c>
    </row>
    <row r="614" spans="29:36" x14ac:dyDescent="0.3">
      <c r="AC614" t="e">
        <f>IFERROR(IF(INDEX(Aux_puntos!$A$2:$OJ$901,610,MATCH($B$2&amp;"|xK",Aux_puntos!$1:$1,0))="",NA(),INDEX(Aux_puntos!$A$2:$OJ$901,610,MATCH($B$2&amp;"|xK",Aux_puntos!$1:$1,0))),NA())</f>
        <v>#N/A</v>
      </c>
      <c r="AD614" t="e">
        <f>IFERROR(IF(INDEX(Aux_puntos!$A$2:$OJ$901,610,MATCH($B$2&amp;"|yK",Aux_puntos!$1:$1,0))="",NA(),INDEX(Aux_puntos!$A$2:$OJ$901,610,MATCH($B$2&amp;"|yK",Aux_puntos!$1:$1,0))),NA())</f>
        <v>#N/A</v>
      </c>
      <c r="AE614" t="e">
        <f>IFERROR(IF(INDEX(Aux_puntos!$A$2:$OJ$901,610,MATCH($B$2&amp;"|xC",Aux_puntos!$1:$1,0))="",NA(),INDEX(Aux_puntos!$A$2:$OJ$901,610,MATCH($B$2&amp;"|xC",Aux_puntos!$1:$1,0))),NA())</f>
        <v>#N/A</v>
      </c>
      <c r="AF614" t="e">
        <f>IFERROR(IF(INDEX(Aux_puntos!$A$2:$OJ$901,610,MATCH($B$2&amp;"|yC",Aux_puntos!$1:$1,0))="",NA(),INDEX(Aux_puntos!$A$2:$OJ$901,610,MATCH($B$2&amp;"|yC",Aux_puntos!$1:$1,0))),NA())</f>
        <v>#N/A</v>
      </c>
      <c r="AG614" t="e">
        <f>IFERROR(IF(INDEX(Aux_puntos!$A$2:$OJ$901,610,MATCH($B$2&amp;"|xI",Aux_puntos!$1:$1,0))="",NA(),INDEX(Aux_puntos!$A$2:$OJ$901,610,MATCH($B$2&amp;"|xI",Aux_puntos!$1:$1,0))),NA())</f>
        <v>#N/A</v>
      </c>
      <c r="AH614" t="e">
        <f>IFERROR(IF(INDEX(Aux_puntos!$A$2:$OJ$901,610,MATCH($B$2&amp;"|yI",Aux_puntos!$1:$1,0))="",NA(),INDEX(Aux_puntos!$A$2:$OJ$901,610,MATCH($B$2&amp;"|yI",Aux_puntos!$1:$1,0))),NA())</f>
        <v>#N/A</v>
      </c>
      <c r="AI614" t="e">
        <f>IFERROR(IF(INDEX(Aux_puntos!$A$2:$OJ$901,610,MATCH($B$2&amp;"|xN",Aux_puntos!$1:$1,0))="",NA(),INDEX(Aux_puntos!$A$2:$OJ$901,610,MATCH($B$2&amp;"|xN",Aux_puntos!$1:$1,0))),NA())</f>
        <v>#N/A</v>
      </c>
      <c r="AJ614" t="e">
        <f>IFERROR(IF(INDEX(Aux_puntos!$A$2:$OJ$901,610,MATCH($B$2&amp;"|yN",Aux_puntos!$1:$1,0))="",NA(),INDEX(Aux_puntos!$A$2:$OJ$901,610,MATCH($B$2&amp;"|yN",Aux_puntos!$1:$1,0))),NA())</f>
        <v>#N/A</v>
      </c>
    </row>
    <row r="615" spans="29:36" x14ac:dyDescent="0.3">
      <c r="AC615" t="e">
        <f>IFERROR(IF(INDEX(Aux_puntos!$A$2:$OJ$901,611,MATCH($B$2&amp;"|xK",Aux_puntos!$1:$1,0))="",NA(),INDEX(Aux_puntos!$A$2:$OJ$901,611,MATCH($B$2&amp;"|xK",Aux_puntos!$1:$1,0))),NA())</f>
        <v>#N/A</v>
      </c>
      <c r="AD615" t="e">
        <f>IFERROR(IF(INDEX(Aux_puntos!$A$2:$OJ$901,611,MATCH($B$2&amp;"|yK",Aux_puntos!$1:$1,0))="",NA(),INDEX(Aux_puntos!$A$2:$OJ$901,611,MATCH($B$2&amp;"|yK",Aux_puntos!$1:$1,0))),NA())</f>
        <v>#N/A</v>
      </c>
      <c r="AE615" t="e">
        <f>IFERROR(IF(INDEX(Aux_puntos!$A$2:$OJ$901,611,MATCH($B$2&amp;"|xC",Aux_puntos!$1:$1,0))="",NA(),INDEX(Aux_puntos!$A$2:$OJ$901,611,MATCH($B$2&amp;"|xC",Aux_puntos!$1:$1,0))),NA())</f>
        <v>#N/A</v>
      </c>
      <c r="AF615" t="e">
        <f>IFERROR(IF(INDEX(Aux_puntos!$A$2:$OJ$901,611,MATCH($B$2&amp;"|yC",Aux_puntos!$1:$1,0))="",NA(),INDEX(Aux_puntos!$A$2:$OJ$901,611,MATCH($B$2&amp;"|yC",Aux_puntos!$1:$1,0))),NA())</f>
        <v>#N/A</v>
      </c>
      <c r="AG615" t="e">
        <f>IFERROR(IF(INDEX(Aux_puntos!$A$2:$OJ$901,611,MATCH($B$2&amp;"|xI",Aux_puntos!$1:$1,0))="",NA(),INDEX(Aux_puntos!$A$2:$OJ$901,611,MATCH($B$2&amp;"|xI",Aux_puntos!$1:$1,0))),NA())</f>
        <v>#N/A</v>
      </c>
      <c r="AH615" t="e">
        <f>IFERROR(IF(INDEX(Aux_puntos!$A$2:$OJ$901,611,MATCH($B$2&amp;"|yI",Aux_puntos!$1:$1,0))="",NA(),INDEX(Aux_puntos!$A$2:$OJ$901,611,MATCH($B$2&amp;"|yI",Aux_puntos!$1:$1,0))),NA())</f>
        <v>#N/A</v>
      </c>
      <c r="AI615" t="e">
        <f>IFERROR(IF(INDEX(Aux_puntos!$A$2:$OJ$901,611,MATCH($B$2&amp;"|xN",Aux_puntos!$1:$1,0))="",NA(),INDEX(Aux_puntos!$A$2:$OJ$901,611,MATCH($B$2&amp;"|xN",Aux_puntos!$1:$1,0))),NA())</f>
        <v>#N/A</v>
      </c>
      <c r="AJ615" t="e">
        <f>IFERROR(IF(INDEX(Aux_puntos!$A$2:$OJ$901,611,MATCH($B$2&amp;"|yN",Aux_puntos!$1:$1,0))="",NA(),INDEX(Aux_puntos!$A$2:$OJ$901,611,MATCH($B$2&amp;"|yN",Aux_puntos!$1:$1,0))),NA())</f>
        <v>#N/A</v>
      </c>
    </row>
    <row r="616" spans="29:36" x14ac:dyDescent="0.3">
      <c r="AC616" t="e">
        <f>IFERROR(IF(INDEX(Aux_puntos!$A$2:$OJ$901,612,MATCH($B$2&amp;"|xK",Aux_puntos!$1:$1,0))="",NA(),INDEX(Aux_puntos!$A$2:$OJ$901,612,MATCH($B$2&amp;"|xK",Aux_puntos!$1:$1,0))),NA())</f>
        <v>#N/A</v>
      </c>
      <c r="AD616" t="e">
        <f>IFERROR(IF(INDEX(Aux_puntos!$A$2:$OJ$901,612,MATCH($B$2&amp;"|yK",Aux_puntos!$1:$1,0))="",NA(),INDEX(Aux_puntos!$A$2:$OJ$901,612,MATCH($B$2&amp;"|yK",Aux_puntos!$1:$1,0))),NA())</f>
        <v>#N/A</v>
      </c>
      <c r="AE616" t="e">
        <f>IFERROR(IF(INDEX(Aux_puntos!$A$2:$OJ$901,612,MATCH($B$2&amp;"|xC",Aux_puntos!$1:$1,0))="",NA(),INDEX(Aux_puntos!$A$2:$OJ$901,612,MATCH($B$2&amp;"|xC",Aux_puntos!$1:$1,0))),NA())</f>
        <v>#N/A</v>
      </c>
      <c r="AF616" t="e">
        <f>IFERROR(IF(INDEX(Aux_puntos!$A$2:$OJ$901,612,MATCH($B$2&amp;"|yC",Aux_puntos!$1:$1,0))="",NA(),INDEX(Aux_puntos!$A$2:$OJ$901,612,MATCH($B$2&amp;"|yC",Aux_puntos!$1:$1,0))),NA())</f>
        <v>#N/A</v>
      </c>
      <c r="AG616" t="e">
        <f>IFERROR(IF(INDEX(Aux_puntos!$A$2:$OJ$901,612,MATCH($B$2&amp;"|xI",Aux_puntos!$1:$1,0))="",NA(),INDEX(Aux_puntos!$A$2:$OJ$901,612,MATCH($B$2&amp;"|xI",Aux_puntos!$1:$1,0))),NA())</f>
        <v>#N/A</v>
      </c>
      <c r="AH616" t="e">
        <f>IFERROR(IF(INDEX(Aux_puntos!$A$2:$OJ$901,612,MATCH($B$2&amp;"|yI",Aux_puntos!$1:$1,0))="",NA(),INDEX(Aux_puntos!$A$2:$OJ$901,612,MATCH($B$2&amp;"|yI",Aux_puntos!$1:$1,0))),NA())</f>
        <v>#N/A</v>
      </c>
      <c r="AI616" t="e">
        <f>IFERROR(IF(INDEX(Aux_puntos!$A$2:$OJ$901,612,MATCH($B$2&amp;"|xN",Aux_puntos!$1:$1,0))="",NA(),INDEX(Aux_puntos!$A$2:$OJ$901,612,MATCH($B$2&amp;"|xN",Aux_puntos!$1:$1,0))),NA())</f>
        <v>#N/A</v>
      </c>
      <c r="AJ616" t="e">
        <f>IFERROR(IF(INDEX(Aux_puntos!$A$2:$OJ$901,612,MATCH($B$2&amp;"|yN",Aux_puntos!$1:$1,0))="",NA(),INDEX(Aux_puntos!$A$2:$OJ$901,612,MATCH($B$2&amp;"|yN",Aux_puntos!$1:$1,0))),NA())</f>
        <v>#N/A</v>
      </c>
    </row>
    <row r="617" spans="29:36" x14ac:dyDescent="0.3">
      <c r="AC617" t="e">
        <f>IFERROR(IF(INDEX(Aux_puntos!$A$2:$OJ$901,613,MATCH($B$2&amp;"|xK",Aux_puntos!$1:$1,0))="",NA(),INDEX(Aux_puntos!$A$2:$OJ$901,613,MATCH($B$2&amp;"|xK",Aux_puntos!$1:$1,0))),NA())</f>
        <v>#N/A</v>
      </c>
      <c r="AD617" t="e">
        <f>IFERROR(IF(INDEX(Aux_puntos!$A$2:$OJ$901,613,MATCH($B$2&amp;"|yK",Aux_puntos!$1:$1,0))="",NA(),INDEX(Aux_puntos!$A$2:$OJ$901,613,MATCH($B$2&amp;"|yK",Aux_puntos!$1:$1,0))),NA())</f>
        <v>#N/A</v>
      </c>
      <c r="AE617" t="e">
        <f>IFERROR(IF(INDEX(Aux_puntos!$A$2:$OJ$901,613,MATCH($B$2&amp;"|xC",Aux_puntos!$1:$1,0))="",NA(),INDEX(Aux_puntos!$A$2:$OJ$901,613,MATCH($B$2&amp;"|xC",Aux_puntos!$1:$1,0))),NA())</f>
        <v>#N/A</v>
      </c>
      <c r="AF617" t="e">
        <f>IFERROR(IF(INDEX(Aux_puntos!$A$2:$OJ$901,613,MATCH($B$2&amp;"|yC",Aux_puntos!$1:$1,0))="",NA(),INDEX(Aux_puntos!$A$2:$OJ$901,613,MATCH($B$2&amp;"|yC",Aux_puntos!$1:$1,0))),NA())</f>
        <v>#N/A</v>
      </c>
      <c r="AG617" t="e">
        <f>IFERROR(IF(INDEX(Aux_puntos!$A$2:$OJ$901,613,MATCH($B$2&amp;"|xI",Aux_puntos!$1:$1,0))="",NA(),INDEX(Aux_puntos!$A$2:$OJ$901,613,MATCH($B$2&amp;"|xI",Aux_puntos!$1:$1,0))),NA())</f>
        <v>#N/A</v>
      </c>
      <c r="AH617" t="e">
        <f>IFERROR(IF(INDEX(Aux_puntos!$A$2:$OJ$901,613,MATCH($B$2&amp;"|yI",Aux_puntos!$1:$1,0))="",NA(),INDEX(Aux_puntos!$A$2:$OJ$901,613,MATCH($B$2&amp;"|yI",Aux_puntos!$1:$1,0))),NA())</f>
        <v>#N/A</v>
      </c>
      <c r="AI617" t="e">
        <f>IFERROR(IF(INDEX(Aux_puntos!$A$2:$OJ$901,613,MATCH($B$2&amp;"|xN",Aux_puntos!$1:$1,0))="",NA(),INDEX(Aux_puntos!$A$2:$OJ$901,613,MATCH($B$2&amp;"|xN",Aux_puntos!$1:$1,0))),NA())</f>
        <v>#N/A</v>
      </c>
      <c r="AJ617" t="e">
        <f>IFERROR(IF(INDEX(Aux_puntos!$A$2:$OJ$901,613,MATCH($B$2&amp;"|yN",Aux_puntos!$1:$1,0))="",NA(),INDEX(Aux_puntos!$A$2:$OJ$901,613,MATCH($B$2&amp;"|yN",Aux_puntos!$1:$1,0))),NA())</f>
        <v>#N/A</v>
      </c>
    </row>
    <row r="618" spans="29:36" x14ac:dyDescent="0.3">
      <c r="AC618" t="e">
        <f>IFERROR(IF(INDEX(Aux_puntos!$A$2:$OJ$901,614,MATCH($B$2&amp;"|xK",Aux_puntos!$1:$1,0))="",NA(),INDEX(Aux_puntos!$A$2:$OJ$901,614,MATCH($B$2&amp;"|xK",Aux_puntos!$1:$1,0))),NA())</f>
        <v>#N/A</v>
      </c>
      <c r="AD618" t="e">
        <f>IFERROR(IF(INDEX(Aux_puntos!$A$2:$OJ$901,614,MATCH($B$2&amp;"|yK",Aux_puntos!$1:$1,0))="",NA(),INDEX(Aux_puntos!$A$2:$OJ$901,614,MATCH($B$2&amp;"|yK",Aux_puntos!$1:$1,0))),NA())</f>
        <v>#N/A</v>
      </c>
      <c r="AE618" t="e">
        <f>IFERROR(IF(INDEX(Aux_puntos!$A$2:$OJ$901,614,MATCH($B$2&amp;"|xC",Aux_puntos!$1:$1,0))="",NA(),INDEX(Aux_puntos!$A$2:$OJ$901,614,MATCH($B$2&amp;"|xC",Aux_puntos!$1:$1,0))),NA())</f>
        <v>#N/A</v>
      </c>
      <c r="AF618" t="e">
        <f>IFERROR(IF(INDEX(Aux_puntos!$A$2:$OJ$901,614,MATCH($B$2&amp;"|yC",Aux_puntos!$1:$1,0))="",NA(),INDEX(Aux_puntos!$A$2:$OJ$901,614,MATCH($B$2&amp;"|yC",Aux_puntos!$1:$1,0))),NA())</f>
        <v>#N/A</v>
      </c>
      <c r="AG618" t="e">
        <f>IFERROR(IF(INDEX(Aux_puntos!$A$2:$OJ$901,614,MATCH($B$2&amp;"|xI",Aux_puntos!$1:$1,0))="",NA(),INDEX(Aux_puntos!$A$2:$OJ$901,614,MATCH($B$2&amp;"|xI",Aux_puntos!$1:$1,0))),NA())</f>
        <v>#N/A</v>
      </c>
      <c r="AH618" t="e">
        <f>IFERROR(IF(INDEX(Aux_puntos!$A$2:$OJ$901,614,MATCH($B$2&amp;"|yI",Aux_puntos!$1:$1,0))="",NA(),INDEX(Aux_puntos!$A$2:$OJ$901,614,MATCH($B$2&amp;"|yI",Aux_puntos!$1:$1,0))),NA())</f>
        <v>#N/A</v>
      </c>
      <c r="AI618" t="e">
        <f>IFERROR(IF(INDEX(Aux_puntos!$A$2:$OJ$901,614,MATCH($B$2&amp;"|xN",Aux_puntos!$1:$1,0))="",NA(),INDEX(Aux_puntos!$A$2:$OJ$901,614,MATCH($B$2&amp;"|xN",Aux_puntos!$1:$1,0))),NA())</f>
        <v>#N/A</v>
      </c>
      <c r="AJ618" t="e">
        <f>IFERROR(IF(INDEX(Aux_puntos!$A$2:$OJ$901,614,MATCH($B$2&amp;"|yN",Aux_puntos!$1:$1,0))="",NA(),INDEX(Aux_puntos!$A$2:$OJ$901,614,MATCH($B$2&amp;"|yN",Aux_puntos!$1:$1,0))),NA())</f>
        <v>#N/A</v>
      </c>
    </row>
    <row r="619" spans="29:36" x14ac:dyDescent="0.3">
      <c r="AC619" t="e">
        <f>IFERROR(IF(INDEX(Aux_puntos!$A$2:$OJ$901,615,MATCH($B$2&amp;"|xK",Aux_puntos!$1:$1,0))="",NA(),INDEX(Aux_puntos!$A$2:$OJ$901,615,MATCH($B$2&amp;"|xK",Aux_puntos!$1:$1,0))),NA())</f>
        <v>#N/A</v>
      </c>
      <c r="AD619" t="e">
        <f>IFERROR(IF(INDEX(Aux_puntos!$A$2:$OJ$901,615,MATCH($B$2&amp;"|yK",Aux_puntos!$1:$1,0))="",NA(),INDEX(Aux_puntos!$A$2:$OJ$901,615,MATCH($B$2&amp;"|yK",Aux_puntos!$1:$1,0))),NA())</f>
        <v>#N/A</v>
      </c>
      <c r="AE619" t="e">
        <f>IFERROR(IF(INDEX(Aux_puntos!$A$2:$OJ$901,615,MATCH($B$2&amp;"|xC",Aux_puntos!$1:$1,0))="",NA(),INDEX(Aux_puntos!$A$2:$OJ$901,615,MATCH($B$2&amp;"|xC",Aux_puntos!$1:$1,0))),NA())</f>
        <v>#N/A</v>
      </c>
      <c r="AF619" t="e">
        <f>IFERROR(IF(INDEX(Aux_puntos!$A$2:$OJ$901,615,MATCH($B$2&amp;"|yC",Aux_puntos!$1:$1,0))="",NA(),INDEX(Aux_puntos!$A$2:$OJ$901,615,MATCH($B$2&amp;"|yC",Aux_puntos!$1:$1,0))),NA())</f>
        <v>#N/A</v>
      </c>
      <c r="AG619" t="e">
        <f>IFERROR(IF(INDEX(Aux_puntos!$A$2:$OJ$901,615,MATCH($B$2&amp;"|xI",Aux_puntos!$1:$1,0))="",NA(),INDEX(Aux_puntos!$A$2:$OJ$901,615,MATCH($B$2&amp;"|xI",Aux_puntos!$1:$1,0))),NA())</f>
        <v>#N/A</v>
      </c>
      <c r="AH619" t="e">
        <f>IFERROR(IF(INDEX(Aux_puntos!$A$2:$OJ$901,615,MATCH($B$2&amp;"|yI",Aux_puntos!$1:$1,0))="",NA(),INDEX(Aux_puntos!$A$2:$OJ$901,615,MATCH($B$2&amp;"|yI",Aux_puntos!$1:$1,0))),NA())</f>
        <v>#N/A</v>
      </c>
      <c r="AI619" t="e">
        <f>IFERROR(IF(INDEX(Aux_puntos!$A$2:$OJ$901,615,MATCH($B$2&amp;"|xN",Aux_puntos!$1:$1,0))="",NA(),INDEX(Aux_puntos!$A$2:$OJ$901,615,MATCH($B$2&amp;"|xN",Aux_puntos!$1:$1,0))),NA())</f>
        <v>#N/A</v>
      </c>
      <c r="AJ619" t="e">
        <f>IFERROR(IF(INDEX(Aux_puntos!$A$2:$OJ$901,615,MATCH($B$2&amp;"|yN",Aux_puntos!$1:$1,0))="",NA(),INDEX(Aux_puntos!$A$2:$OJ$901,615,MATCH($B$2&amp;"|yN",Aux_puntos!$1:$1,0))),NA())</f>
        <v>#N/A</v>
      </c>
    </row>
    <row r="620" spans="29:36" x14ac:dyDescent="0.3">
      <c r="AC620" t="e">
        <f>IFERROR(IF(INDEX(Aux_puntos!$A$2:$OJ$901,616,MATCH($B$2&amp;"|xK",Aux_puntos!$1:$1,0))="",NA(),INDEX(Aux_puntos!$A$2:$OJ$901,616,MATCH($B$2&amp;"|xK",Aux_puntos!$1:$1,0))),NA())</f>
        <v>#N/A</v>
      </c>
      <c r="AD620" t="e">
        <f>IFERROR(IF(INDEX(Aux_puntos!$A$2:$OJ$901,616,MATCH($B$2&amp;"|yK",Aux_puntos!$1:$1,0))="",NA(),INDEX(Aux_puntos!$A$2:$OJ$901,616,MATCH($B$2&amp;"|yK",Aux_puntos!$1:$1,0))),NA())</f>
        <v>#N/A</v>
      </c>
      <c r="AE620" t="e">
        <f>IFERROR(IF(INDEX(Aux_puntos!$A$2:$OJ$901,616,MATCH($B$2&amp;"|xC",Aux_puntos!$1:$1,0))="",NA(),INDEX(Aux_puntos!$A$2:$OJ$901,616,MATCH($B$2&amp;"|xC",Aux_puntos!$1:$1,0))),NA())</f>
        <v>#N/A</v>
      </c>
      <c r="AF620" t="e">
        <f>IFERROR(IF(INDEX(Aux_puntos!$A$2:$OJ$901,616,MATCH($B$2&amp;"|yC",Aux_puntos!$1:$1,0))="",NA(),INDEX(Aux_puntos!$A$2:$OJ$901,616,MATCH($B$2&amp;"|yC",Aux_puntos!$1:$1,0))),NA())</f>
        <v>#N/A</v>
      </c>
      <c r="AG620" t="e">
        <f>IFERROR(IF(INDEX(Aux_puntos!$A$2:$OJ$901,616,MATCH($B$2&amp;"|xI",Aux_puntos!$1:$1,0))="",NA(),INDEX(Aux_puntos!$A$2:$OJ$901,616,MATCH($B$2&amp;"|xI",Aux_puntos!$1:$1,0))),NA())</f>
        <v>#N/A</v>
      </c>
      <c r="AH620" t="e">
        <f>IFERROR(IF(INDEX(Aux_puntos!$A$2:$OJ$901,616,MATCH($B$2&amp;"|yI",Aux_puntos!$1:$1,0))="",NA(),INDEX(Aux_puntos!$A$2:$OJ$901,616,MATCH($B$2&amp;"|yI",Aux_puntos!$1:$1,0))),NA())</f>
        <v>#N/A</v>
      </c>
      <c r="AI620" t="e">
        <f>IFERROR(IF(INDEX(Aux_puntos!$A$2:$OJ$901,616,MATCH($B$2&amp;"|xN",Aux_puntos!$1:$1,0))="",NA(),INDEX(Aux_puntos!$A$2:$OJ$901,616,MATCH($B$2&amp;"|xN",Aux_puntos!$1:$1,0))),NA())</f>
        <v>#N/A</v>
      </c>
      <c r="AJ620" t="e">
        <f>IFERROR(IF(INDEX(Aux_puntos!$A$2:$OJ$901,616,MATCH($B$2&amp;"|yN",Aux_puntos!$1:$1,0))="",NA(),INDEX(Aux_puntos!$A$2:$OJ$901,616,MATCH($B$2&amp;"|yN",Aux_puntos!$1:$1,0))),NA())</f>
        <v>#N/A</v>
      </c>
    </row>
    <row r="621" spans="29:36" x14ac:dyDescent="0.3">
      <c r="AC621" t="e">
        <f>IFERROR(IF(INDEX(Aux_puntos!$A$2:$OJ$901,617,MATCH($B$2&amp;"|xK",Aux_puntos!$1:$1,0))="",NA(),INDEX(Aux_puntos!$A$2:$OJ$901,617,MATCH($B$2&amp;"|xK",Aux_puntos!$1:$1,0))),NA())</f>
        <v>#N/A</v>
      </c>
      <c r="AD621" t="e">
        <f>IFERROR(IF(INDEX(Aux_puntos!$A$2:$OJ$901,617,MATCH($B$2&amp;"|yK",Aux_puntos!$1:$1,0))="",NA(),INDEX(Aux_puntos!$A$2:$OJ$901,617,MATCH($B$2&amp;"|yK",Aux_puntos!$1:$1,0))),NA())</f>
        <v>#N/A</v>
      </c>
      <c r="AE621" t="e">
        <f>IFERROR(IF(INDEX(Aux_puntos!$A$2:$OJ$901,617,MATCH($B$2&amp;"|xC",Aux_puntos!$1:$1,0))="",NA(),INDEX(Aux_puntos!$A$2:$OJ$901,617,MATCH($B$2&amp;"|xC",Aux_puntos!$1:$1,0))),NA())</f>
        <v>#N/A</v>
      </c>
      <c r="AF621" t="e">
        <f>IFERROR(IF(INDEX(Aux_puntos!$A$2:$OJ$901,617,MATCH($B$2&amp;"|yC",Aux_puntos!$1:$1,0))="",NA(),INDEX(Aux_puntos!$A$2:$OJ$901,617,MATCH($B$2&amp;"|yC",Aux_puntos!$1:$1,0))),NA())</f>
        <v>#N/A</v>
      </c>
      <c r="AG621" t="e">
        <f>IFERROR(IF(INDEX(Aux_puntos!$A$2:$OJ$901,617,MATCH($B$2&amp;"|xI",Aux_puntos!$1:$1,0))="",NA(),INDEX(Aux_puntos!$A$2:$OJ$901,617,MATCH($B$2&amp;"|xI",Aux_puntos!$1:$1,0))),NA())</f>
        <v>#N/A</v>
      </c>
      <c r="AH621" t="e">
        <f>IFERROR(IF(INDEX(Aux_puntos!$A$2:$OJ$901,617,MATCH($B$2&amp;"|yI",Aux_puntos!$1:$1,0))="",NA(),INDEX(Aux_puntos!$A$2:$OJ$901,617,MATCH($B$2&amp;"|yI",Aux_puntos!$1:$1,0))),NA())</f>
        <v>#N/A</v>
      </c>
      <c r="AI621" t="e">
        <f>IFERROR(IF(INDEX(Aux_puntos!$A$2:$OJ$901,617,MATCH($B$2&amp;"|xN",Aux_puntos!$1:$1,0))="",NA(),INDEX(Aux_puntos!$A$2:$OJ$901,617,MATCH($B$2&amp;"|xN",Aux_puntos!$1:$1,0))),NA())</f>
        <v>#N/A</v>
      </c>
      <c r="AJ621" t="e">
        <f>IFERROR(IF(INDEX(Aux_puntos!$A$2:$OJ$901,617,MATCH($B$2&amp;"|yN",Aux_puntos!$1:$1,0))="",NA(),INDEX(Aux_puntos!$A$2:$OJ$901,617,MATCH($B$2&amp;"|yN",Aux_puntos!$1:$1,0))),NA())</f>
        <v>#N/A</v>
      </c>
    </row>
    <row r="622" spans="29:36" x14ac:dyDescent="0.3">
      <c r="AC622" t="e">
        <f>IFERROR(IF(INDEX(Aux_puntos!$A$2:$OJ$901,618,MATCH($B$2&amp;"|xK",Aux_puntos!$1:$1,0))="",NA(),INDEX(Aux_puntos!$A$2:$OJ$901,618,MATCH($B$2&amp;"|xK",Aux_puntos!$1:$1,0))),NA())</f>
        <v>#N/A</v>
      </c>
      <c r="AD622" t="e">
        <f>IFERROR(IF(INDEX(Aux_puntos!$A$2:$OJ$901,618,MATCH($B$2&amp;"|yK",Aux_puntos!$1:$1,0))="",NA(),INDEX(Aux_puntos!$A$2:$OJ$901,618,MATCH($B$2&amp;"|yK",Aux_puntos!$1:$1,0))),NA())</f>
        <v>#N/A</v>
      </c>
      <c r="AE622" t="e">
        <f>IFERROR(IF(INDEX(Aux_puntos!$A$2:$OJ$901,618,MATCH($B$2&amp;"|xC",Aux_puntos!$1:$1,0))="",NA(),INDEX(Aux_puntos!$A$2:$OJ$901,618,MATCH($B$2&amp;"|xC",Aux_puntos!$1:$1,0))),NA())</f>
        <v>#N/A</v>
      </c>
      <c r="AF622" t="e">
        <f>IFERROR(IF(INDEX(Aux_puntos!$A$2:$OJ$901,618,MATCH($B$2&amp;"|yC",Aux_puntos!$1:$1,0))="",NA(),INDEX(Aux_puntos!$A$2:$OJ$901,618,MATCH($B$2&amp;"|yC",Aux_puntos!$1:$1,0))),NA())</f>
        <v>#N/A</v>
      </c>
      <c r="AG622" t="e">
        <f>IFERROR(IF(INDEX(Aux_puntos!$A$2:$OJ$901,618,MATCH($B$2&amp;"|xI",Aux_puntos!$1:$1,0))="",NA(),INDEX(Aux_puntos!$A$2:$OJ$901,618,MATCH($B$2&amp;"|xI",Aux_puntos!$1:$1,0))),NA())</f>
        <v>#N/A</v>
      </c>
      <c r="AH622" t="e">
        <f>IFERROR(IF(INDEX(Aux_puntos!$A$2:$OJ$901,618,MATCH($B$2&amp;"|yI",Aux_puntos!$1:$1,0))="",NA(),INDEX(Aux_puntos!$A$2:$OJ$901,618,MATCH($B$2&amp;"|yI",Aux_puntos!$1:$1,0))),NA())</f>
        <v>#N/A</v>
      </c>
      <c r="AI622" t="e">
        <f>IFERROR(IF(INDEX(Aux_puntos!$A$2:$OJ$901,618,MATCH($B$2&amp;"|xN",Aux_puntos!$1:$1,0))="",NA(),INDEX(Aux_puntos!$A$2:$OJ$901,618,MATCH($B$2&amp;"|xN",Aux_puntos!$1:$1,0))),NA())</f>
        <v>#N/A</v>
      </c>
      <c r="AJ622" t="e">
        <f>IFERROR(IF(INDEX(Aux_puntos!$A$2:$OJ$901,618,MATCH($B$2&amp;"|yN",Aux_puntos!$1:$1,0))="",NA(),INDEX(Aux_puntos!$A$2:$OJ$901,618,MATCH($B$2&amp;"|yN",Aux_puntos!$1:$1,0))),NA())</f>
        <v>#N/A</v>
      </c>
    </row>
    <row r="623" spans="29:36" x14ac:dyDescent="0.3">
      <c r="AC623" t="e">
        <f>IFERROR(IF(INDEX(Aux_puntos!$A$2:$OJ$901,619,MATCH($B$2&amp;"|xK",Aux_puntos!$1:$1,0))="",NA(),INDEX(Aux_puntos!$A$2:$OJ$901,619,MATCH($B$2&amp;"|xK",Aux_puntos!$1:$1,0))),NA())</f>
        <v>#N/A</v>
      </c>
      <c r="AD623" t="e">
        <f>IFERROR(IF(INDEX(Aux_puntos!$A$2:$OJ$901,619,MATCH($B$2&amp;"|yK",Aux_puntos!$1:$1,0))="",NA(),INDEX(Aux_puntos!$A$2:$OJ$901,619,MATCH($B$2&amp;"|yK",Aux_puntos!$1:$1,0))),NA())</f>
        <v>#N/A</v>
      </c>
      <c r="AE623" t="e">
        <f>IFERROR(IF(INDEX(Aux_puntos!$A$2:$OJ$901,619,MATCH($B$2&amp;"|xC",Aux_puntos!$1:$1,0))="",NA(),INDEX(Aux_puntos!$A$2:$OJ$901,619,MATCH($B$2&amp;"|xC",Aux_puntos!$1:$1,0))),NA())</f>
        <v>#N/A</v>
      </c>
      <c r="AF623" t="e">
        <f>IFERROR(IF(INDEX(Aux_puntos!$A$2:$OJ$901,619,MATCH($B$2&amp;"|yC",Aux_puntos!$1:$1,0))="",NA(),INDEX(Aux_puntos!$A$2:$OJ$901,619,MATCH($B$2&amp;"|yC",Aux_puntos!$1:$1,0))),NA())</f>
        <v>#N/A</v>
      </c>
      <c r="AG623" t="e">
        <f>IFERROR(IF(INDEX(Aux_puntos!$A$2:$OJ$901,619,MATCH($B$2&amp;"|xI",Aux_puntos!$1:$1,0))="",NA(),INDEX(Aux_puntos!$A$2:$OJ$901,619,MATCH($B$2&amp;"|xI",Aux_puntos!$1:$1,0))),NA())</f>
        <v>#N/A</v>
      </c>
      <c r="AH623" t="e">
        <f>IFERROR(IF(INDEX(Aux_puntos!$A$2:$OJ$901,619,MATCH($B$2&amp;"|yI",Aux_puntos!$1:$1,0))="",NA(),INDEX(Aux_puntos!$A$2:$OJ$901,619,MATCH($B$2&amp;"|yI",Aux_puntos!$1:$1,0))),NA())</f>
        <v>#N/A</v>
      </c>
      <c r="AI623" t="e">
        <f>IFERROR(IF(INDEX(Aux_puntos!$A$2:$OJ$901,619,MATCH($B$2&amp;"|xN",Aux_puntos!$1:$1,0))="",NA(),INDEX(Aux_puntos!$A$2:$OJ$901,619,MATCH($B$2&amp;"|xN",Aux_puntos!$1:$1,0))),NA())</f>
        <v>#N/A</v>
      </c>
      <c r="AJ623" t="e">
        <f>IFERROR(IF(INDEX(Aux_puntos!$A$2:$OJ$901,619,MATCH($B$2&amp;"|yN",Aux_puntos!$1:$1,0))="",NA(),INDEX(Aux_puntos!$A$2:$OJ$901,619,MATCH($B$2&amp;"|yN",Aux_puntos!$1:$1,0))),NA())</f>
        <v>#N/A</v>
      </c>
    </row>
    <row r="624" spans="29:36" x14ac:dyDescent="0.3">
      <c r="AC624" t="e">
        <f>IFERROR(IF(INDEX(Aux_puntos!$A$2:$OJ$901,620,MATCH($B$2&amp;"|xK",Aux_puntos!$1:$1,0))="",NA(),INDEX(Aux_puntos!$A$2:$OJ$901,620,MATCH($B$2&amp;"|xK",Aux_puntos!$1:$1,0))),NA())</f>
        <v>#N/A</v>
      </c>
      <c r="AD624" t="e">
        <f>IFERROR(IF(INDEX(Aux_puntos!$A$2:$OJ$901,620,MATCH($B$2&amp;"|yK",Aux_puntos!$1:$1,0))="",NA(),INDEX(Aux_puntos!$A$2:$OJ$901,620,MATCH($B$2&amp;"|yK",Aux_puntos!$1:$1,0))),NA())</f>
        <v>#N/A</v>
      </c>
      <c r="AE624" t="e">
        <f>IFERROR(IF(INDEX(Aux_puntos!$A$2:$OJ$901,620,MATCH($B$2&amp;"|xC",Aux_puntos!$1:$1,0))="",NA(),INDEX(Aux_puntos!$A$2:$OJ$901,620,MATCH($B$2&amp;"|xC",Aux_puntos!$1:$1,0))),NA())</f>
        <v>#N/A</v>
      </c>
      <c r="AF624" t="e">
        <f>IFERROR(IF(INDEX(Aux_puntos!$A$2:$OJ$901,620,MATCH($B$2&amp;"|yC",Aux_puntos!$1:$1,0))="",NA(),INDEX(Aux_puntos!$A$2:$OJ$901,620,MATCH($B$2&amp;"|yC",Aux_puntos!$1:$1,0))),NA())</f>
        <v>#N/A</v>
      </c>
      <c r="AG624" t="e">
        <f>IFERROR(IF(INDEX(Aux_puntos!$A$2:$OJ$901,620,MATCH($B$2&amp;"|xI",Aux_puntos!$1:$1,0))="",NA(),INDEX(Aux_puntos!$A$2:$OJ$901,620,MATCH($B$2&amp;"|xI",Aux_puntos!$1:$1,0))),NA())</f>
        <v>#N/A</v>
      </c>
      <c r="AH624" t="e">
        <f>IFERROR(IF(INDEX(Aux_puntos!$A$2:$OJ$901,620,MATCH($B$2&amp;"|yI",Aux_puntos!$1:$1,0))="",NA(),INDEX(Aux_puntos!$A$2:$OJ$901,620,MATCH($B$2&amp;"|yI",Aux_puntos!$1:$1,0))),NA())</f>
        <v>#N/A</v>
      </c>
      <c r="AI624" t="e">
        <f>IFERROR(IF(INDEX(Aux_puntos!$A$2:$OJ$901,620,MATCH($B$2&amp;"|xN",Aux_puntos!$1:$1,0))="",NA(),INDEX(Aux_puntos!$A$2:$OJ$901,620,MATCH($B$2&amp;"|xN",Aux_puntos!$1:$1,0))),NA())</f>
        <v>#N/A</v>
      </c>
      <c r="AJ624" t="e">
        <f>IFERROR(IF(INDEX(Aux_puntos!$A$2:$OJ$901,620,MATCH($B$2&amp;"|yN",Aux_puntos!$1:$1,0))="",NA(),INDEX(Aux_puntos!$A$2:$OJ$901,620,MATCH($B$2&amp;"|yN",Aux_puntos!$1:$1,0))),NA())</f>
        <v>#N/A</v>
      </c>
    </row>
    <row r="625" spans="29:36" x14ac:dyDescent="0.3">
      <c r="AC625" t="e">
        <f>IFERROR(IF(INDEX(Aux_puntos!$A$2:$OJ$901,621,MATCH($B$2&amp;"|xK",Aux_puntos!$1:$1,0))="",NA(),INDEX(Aux_puntos!$A$2:$OJ$901,621,MATCH($B$2&amp;"|xK",Aux_puntos!$1:$1,0))),NA())</f>
        <v>#N/A</v>
      </c>
      <c r="AD625" t="e">
        <f>IFERROR(IF(INDEX(Aux_puntos!$A$2:$OJ$901,621,MATCH($B$2&amp;"|yK",Aux_puntos!$1:$1,0))="",NA(),INDEX(Aux_puntos!$A$2:$OJ$901,621,MATCH($B$2&amp;"|yK",Aux_puntos!$1:$1,0))),NA())</f>
        <v>#N/A</v>
      </c>
      <c r="AE625" t="e">
        <f>IFERROR(IF(INDEX(Aux_puntos!$A$2:$OJ$901,621,MATCH($B$2&amp;"|xC",Aux_puntos!$1:$1,0))="",NA(),INDEX(Aux_puntos!$A$2:$OJ$901,621,MATCH($B$2&amp;"|xC",Aux_puntos!$1:$1,0))),NA())</f>
        <v>#N/A</v>
      </c>
      <c r="AF625" t="e">
        <f>IFERROR(IF(INDEX(Aux_puntos!$A$2:$OJ$901,621,MATCH($B$2&amp;"|yC",Aux_puntos!$1:$1,0))="",NA(),INDEX(Aux_puntos!$A$2:$OJ$901,621,MATCH($B$2&amp;"|yC",Aux_puntos!$1:$1,0))),NA())</f>
        <v>#N/A</v>
      </c>
      <c r="AG625" t="e">
        <f>IFERROR(IF(INDEX(Aux_puntos!$A$2:$OJ$901,621,MATCH($B$2&amp;"|xI",Aux_puntos!$1:$1,0))="",NA(),INDEX(Aux_puntos!$A$2:$OJ$901,621,MATCH($B$2&amp;"|xI",Aux_puntos!$1:$1,0))),NA())</f>
        <v>#N/A</v>
      </c>
      <c r="AH625" t="e">
        <f>IFERROR(IF(INDEX(Aux_puntos!$A$2:$OJ$901,621,MATCH($B$2&amp;"|yI",Aux_puntos!$1:$1,0))="",NA(),INDEX(Aux_puntos!$A$2:$OJ$901,621,MATCH($B$2&amp;"|yI",Aux_puntos!$1:$1,0))),NA())</f>
        <v>#N/A</v>
      </c>
      <c r="AI625" t="e">
        <f>IFERROR(IF(INDEX(Aux_puntos!$A$2:$OJ$901,621,MATCH($B$2&amp;"|xN",Aux_puntos!$1:$1,0))="",NA(),INDEX(Aux_puntos!$A$2:$OJ$901,621,MATCH($B$2&amp;"|xN",Aux_puntos!$1:$1,0))),NA())</f>
        <v>#N/A</v>
      </c>
      <c r="AJ625" t="e">
        <f>IFERROR(IF(INDEX(Aux_puntos!$A$2:$OJ$901,621,MATCH($B$2&amp;"|yN",Aux_puntos!$1:$1,0))="",NA(),INDEX(Aux_puntos!$A$2:$OJ$901,621,MATCH($B$2&amp;"|yN",Aux_puntos!$1:$1,0))),NA())</f>
        <v>#N/A</v>
      </c>
    </row>
    <row r="626" spans="29:36" x14ac:dyDescent="0.3">
      <c r="AC626" t="e">
        <f>IFERROR(IF(INDEX(Aux_puntos!$A$2:$OJ$901,622,MATCH($B$2&amp;"|xK",Aux_puntos!$1:$1,0))="",NA(),INDEX(Aux_puntos!$A$2:$OJ$901,622,MATCH($B$2&amp;"|xK",Aux_puntos!$1:$1,0))),NA())</f>
        <v>#N/A</v>
      </c>
      <c r="AD626" t="e">
        <f>IFERROR(IF(INDEX(Aux_puntos!$A$2:$OJ$901,622,MATCH($B$2&amp;"|yK",Aux_puntos!$1:$1,0))="",NA(),INDEX(Aux_puntos!$A$2:$OJ$901,622,MATCH($B$2&amp;"|yK",Aux_puntos!$1:$1,0))),NA())</f>
        <v>#N/A</v>
      </c>
      <c r="AE626" t="e">
        <f>IFERROR(IF(INDEX(Aux_puntos!$A$2:$OJ$901,622,MATCH($B$2&amp;"|xC",Aux_puntos!$1:$1,0))="",NA(),INDEX(Aux_puntos!$A$2:$OJ$901,622,MATCH($B$2&amp;"|xC",Aux_puntos!$1:$1,0))),NA())</f>
        <v>#N/A</v>
      </c>
      <c r="AF626" t="e">
        <f>IFERROR(IF(INDEX(Aux_puntos!$A$2:$OJ$901,622,MATCH($B$2&amp;"|yC",Aux_puntos!$1:$1,0))="",NA(),INDEX(Aux_puntos!$A$2:$OJ$901,622,MATCH($B$2&amp;"|yC",Aux_puntos!$1:$1,0))),NA())</f>
        <v>#N/A</v>
      </c>
      <c r="AG626" t="e">
        <f>IFERROR(IF(INDEX(Aux_puntos!$A$2:$OJ$901,622,MATCH($B$2&amp;"|xI",Aux_puntos!$1:$1,0))="",NA(),INDEX(Aux_puntos!$A$2:$OJ$901,622,MATCH($B$2&amp;"|xI",Aux_puntos!$1:$1,0))),NA())</f>
        <v>#N/A</v>
      </c>
      <c r="AH626" t="e">
        <f>IFERROR(IF(INDEX(Aux_puntos!$A$2:$OJ$901,622,MATCH($B$2&amp;"|yI",Aux_puntos!$1:$1,0))="",NA(),INDEX(Aux_puntos!$A$2:$OJ$901,622,MATCH($B$2&amp;"|yI",Aux_puntos!$1:$1,0))),NA())</f>
        <v>#N/A</v>
      </c>
      <c r="AI626" t="e">
        <f>IFERROR(IF(INDEX(Aux_puntos!$A$2:$OJ$901,622,MATCH($B$2&amp;"|xN",Aux_puntos!$1:$1,0))="",NA(),INDEX(Aux_puntos!$A$2:$OJ$901,622,MATCH($B$2&amp;"|xN",Aux_puntos!$1:$1,0))),NA())</f>
        <v>#N/A</v>
      </c>
      <c r="AJ626" t="e">
        <f>IFERROR(IF(INDEX(Aux_puntos!$A$2:$OJ$901,622,MATCH($B$2&amp;"|yN",Aux_puntos!$1:$1,0))="",NA(),INDEX(Aux_puntos!$A$2:$OJ$901,622,MATCH($B$2&amp;"|yN",Aux_puntos!$1:$1,0))),NA())</f>
        <v>#N/A</v>
      </c>
    </row>
    <row r="627" spans="29:36" x14ac:dyDescent="0.3">
      <c r="AC627" t="e">
        <f>IFERROR(IF(INDEX(Aux_puntos!$A$2:$OJ$901,623,MATCH($B$2&amp;"|xK",Aux_puntos!$1:$1,0))="",NA(),INDEX(Aux_puntos!$A$2:$OJ$901,623,MATCH($B$2&amp;"|xK",Aux_puntos!$1:$1,0))),NA())</f>
        <v>#N/A</v>
      </c>
      <c r="AD627" t="e">
        <f>IFERROR(IF(INDEX(Aux_puntos!$A$2:$OJ$901,623,MATCH($B$2&amp;"|yK",Aux_puntos!$1:$1,0))="",NA(),INDEX(Aux_puntos!$A$2:$OJ$901,623,MATCH($B$2&amp;"|yK",Aux_puntos!$1:$1,0))),NA())</f>
        <v>#N/A</v>
      </c>
      <c r="AE627" t="e">
        <f>IFERROR(IF(INDEX(Aux_puntos!$A$2:$OJ$901,623,MATCH($B$2&amp;"|xC",Aux_puntos!$1:$1,0))="",NA(),INDEX(Aux_puntos!$A$2:$OJ$901,623,MATCH($B$2&amp;"|xC",Aux_puntos!$1:$1,0))),NA())</f>
        <v>#N/A</v>
      </c>
      <c r="AF627" t="e">
        <f>IFERROR(IF(INDEX(Aux_puntos!$A$2:$OJ$901,623,MATCH($B$2&amp;"|yC",Aux_puntos!$1:$1,0))="",NA(),INDEX(Aux_puntos!$A$2:$OJ$901,623,MATCH($B$2&amp;"|yC",Aux_puntos!$1:$1,0))),NA())</f>
        <v>#N/A</v>
      </c>
      <c r="AG627" t="e">
        <f>IFERROR(IF(INDEX(Aux_puntos!$A$2:$OJ$901,623,MATCH($B$2&amp;"|xI",Aux_puntos!$1:$1,0))="",NA(),INDEX(Aux_puntos!$A$2:$OJ$901,623,MATCH($B$2&amp;"|xI",Aux_puntos!$1:$1,0))),NA())</f>
        <v>#N/A</v>
      </c>
      <c r="AH627" t="e">
        <f>IFERROR(IF(INDEX(Aux_puntos!$A$2:$OJ$901,623,MATCH($B$2&amp;"|yI",Aux_puntos!$1:$1,0))="",NA(),INDEX(Aux_puntos!$A$2:$OJ$901,623,MATCH($B$2&amp;"|yI",Aux_puntos!$1:$1,0))),NA())</f>
        <v>#N/A</v>
      </c>
      <c r="AI627" t="e">
        <f>IFERROR(IF(INDEX(Aux_puntos!$A$2:$OJ$901,623,MATCH($B$2&amp;"|xN",Aux_puntos!$1:$1,0))="",NA(),INDEX(Aux_puntos!$A$2:$OJ$901,623,MATCH($B$2&amp;"|xN",Aux_puntos!$1:$1,0))),NA())</f>
        <v>#N/A</v>
      </c>
      <c r="AJ627" t="e">
        <f>IFERROR(IF(INDEX(Aux_puntos!$A$2:$OJ$901,623,MATCH($B$2&amp;"|yN",Aux_puntos!$1:$1,0))="",NA(),INDEX(Aux_puntos!$A$2:$OJ$901,623,MATCH($B$2&amp;"|yN",Aux_puntos!$1:$1,0))),NA())</f>
        <v>#N/A</v>
      </c>
    </row>
    <row r="628" spans="29:36" x14ac:dyDescent="0.3">
      <c r="AC628" t="e">
        <f>IFERROR(IF(INDEX(Aux_puntos!$A$2:$OJ$901,624,MATCH($B$2&amp;"|xK",Aux_puntos!$1:$1,0))="",NA(),INDEX(Aux_puntos!$A$2:$OJ$901,624,MATCH($B$2&amp;"|xK",Aux_puntos!$1:$1,0))),NA())</f>
        <v>#N/A</v>
      </c>
      <c r="AD628" t="e">
        <f>IFERROR(IF(INDEX(Aux_puntos!$A$2:$OJ$901,624,MATCH($B$2&amp;"|yK",Aux_puntos!$1:$1,0))="",NA(),INDEX(Aux_puntos!$A$2:$OJ$901,624,MATCH($B$2&amp;"|yK",Aux_puntos!$1:$1,0))),NA())</f>
        <v>#N/A</v>
      </c>
      <c r="AE628" t="e">
        <f>IFERROR(IF(INDEX(Aux_puntos!$A$2:$OJ$901,624,MATCH($B$2&amp;"|xC",Aux_puntos!$1:$1,0))="",NA(),INDEX(Aux_puntos!$A$2:$OJ$901,624,MATCH($B$2&amp;"|xC",Aux_puntos!$1:$1,0))),NA())</f>
        <v>#N/A</v>
      </c>
      <c r="AF628" t="e">
        <f>IFERROR(IF(INDEX(Aux_puntos!$A$2:$OJ$901,624,MATCH($B$2&amp;"|yC",Aux_puntos!$1:$1,0))="",NA(),INDEX(Aux_puntos!$A$2:$OJ$901,624,MATCH($B$2&amp;"|yC",Aux_puntos!$1:$1,0))),NA())</f>
        <v>#N/A</v>
      </c>
      <c r="AG628" t="e">
        <f>IFERROR(IF(INDEX(Aux_puntos!$A$2:$OJ$901,624,MATCH($B$2&amp;"|xI",Aux_puntos!$1:$1,0))="",NA(),INDEX(Aux_puntos!$A$2:$OJ$901,624,MATCH($B$2&amp;"|xI",Aux_puntos!$1:$1,0))),NA())</f>
        <v>#N/A</v>
      </c>
      <c r="AH628" t="e">
        <f>IFERROR(IF(INDEX(Aux_puntos!$A$2:$OJ$901,624,MATCH($B$2&amp;"|yI",Aux_puntos!$1:$1,0))="",NA(),INDEX(Aux_puntos!$A$2:$OJ$901,624,MATCH($B$2&amp;"|yI",Aux_puntos!$1:$1,0))),NA())</f>
        <v>#N/A</v>
      </c>
      <c r="AI628" t="e">
        <f>IFERROR(IF(INDEX(Aux_puntos!$A$2:$OJ$901,624,MATCH($B$2&amp;"|xN",Aux_puntos!$1:$1,0))="",NA(),INDEX(Aux_puntos!$A$2:$OJ$901,624,MATCH($B$2&amp;"|xN",Aux_puntos!$1:$1,0))),NA())</f>
        <v>#N/A</v>
      </c>
      <c r="AJ628" t="e">
        <f>IFERROR(IF(INDEX(Aux_puntos!$A$2:$OJ$901,624,MATCH($B$2&amp;"|yN",Aux_puntos!$1:$1,0))="",NA(),INDEX(Aux_puntos!$A$2:$OJ$901,624,MATCH($B$2&amp;"|yN",Aux_puntos!$1:$1,0))),NA())</f>
        <v>#N/A</v>
      </c>
    </row>
    <row r="629" spans="29:36" x14ac:dyDescent="0.3">
      <c r="AC629" t="e">
        <f>IFERROR(IF(INDEX(Aux_puntos!$A$2:$OJ$901,625,MATCH($B$2&amp;"|xK",Aux_puntos!$1:$1,0))="",NA(),INDEX(Aux_puntos!$A$2:$OJ$901,625,MATCH($B$2&amp;"|xK",Aux_puntos!$1:$1,0))),NA())</f>
        <v>#N/A</v>
      </c>
      <c r="AD629" t="e">
        <f>IFERROR(IF(INDEX(Aux_puntos!$A$2:$OJ$901,625,MATCH($B$2&amp;"|yK",Aux_puntos!$1:$1,0))="",NA(),INDEX(Aux_puntos!$A$2:$OJ$901,625,MATCH($B$2&amp;"|yK",Aux_puntos!$1:$1,0))),NA())</f>
        <v>#N/A</v>
      </c>
      <c r="AE629" t="e">
        <f>IFERROR(IF(INDEX(Aux_puntos!$A$2:$OJ$901,625,MATCH($B$2&amp;"|xC",Aux_puntos!$1:$1,0))="",NA(),INDEX(Aux_puntos!$A$2:$OJ$901,625,MATCH($B$2&amp;"|xC",Aux_puntos!$1:$1,0))),NA())</f>
        <v>#N/A</v>
      </c>
      <c r="AF629" t="e">
        <f>IFERROR(IF(INDEX(Aux_puntos!$A$2:$OJ$901,625,MATCH($B$2&amp;"|yC",Aux_puntos!$1:$1,0))="",NA(),INDEX(Aux_puntos!$A$2:$OJ$901,625,MATCH($B$2&amp;"|yC",Aux_puntos!$1:$1,0))),NA())</f>
        <v>#N/A</v>
      </c>
      <c r="AG629" t="e">
        <f>IFERROR(IF(INDEX(Aux_puntos!$A$2:$OJ$901,625,MATCH($B$2&amp;"|xI",Aux_puntos!$1:$1,0))="",NA(),INDEX(Aux_puntos!$A$2:$OJ$901,625,MATCH($B$2&amp;"|xI",Aux_puntos!$1:$1,0))),NA())</f>
        <v>#N/A</v>
      </c>
      <c r="AH629" t="e">
        <f>IFERROR(IF(INDEX(Aux_puntos!$A$2:$OJ$901,625,MATCH($B$2&amp;"|yI",Aux_puntos!$1:$1,0))="",NA(),INDEX(Aux_puntos!$A$2:$OJ$901,625,MATCH($B$2&amp;"|yI",Aux_puntos!$1:$1,0))),NA())</f>
        <v>#N/A</v>
      </c>
      <c r="AI629" t="e">
        <f>IFERROR(IF(INDEX(Aux_puntos!$A$2:$OJ$901,625,MATCH($B$2&amp;"|xN",Aux_puntos!$1:$1,0))="",NA(),INDEX(Aux_puntos!$A$2:$OJ$901,625,MATCH($B$2&amp;"|xN",Aux_puntos!$1:$1,0))),NA())</f>
        <v>#N/A</v>
      </c>
      <c r="AJ629" t="e">
        <f>IFERROR(IF(INDEX(Aux_puntos!$A$2:$OJ$901,625,MATCH($B$2&amp;"|yN",Aux_puntos!$1:$1,0))="",NA(),INDEX(Aux_puntos!$A$2:$OJ$901,625,MATCH($B$2&amp;"|yN",Aux_puntos!$1:$1,0))),NA())</f>
        <v>#N/A</v>
      </c>
    </row>
    <row r="630" spans="29:36" x14ac:dyDescent="0.3">
      <c r="AC630" t="e">
        <f>IFERROR(IF(INDEX(Aux_puntos!$A$2:$OJ$901,626,MATCH($B$2&amp;"|xK",Aux_puntos!$1:$1,0))="",NA(),INDEX(Aux_puntos!$A$2:$OJ$901,626,MATCH($B$2&amp;"|xK",Aux_puntos!$1:$1,0))),NA())</f>
        <v>#N/A</v>
      </c>
      <c r="AD630" t="e">
        <f>IFERROR(IF(INDEX(Aux_puntos!$A$2:$OJ$901,626,MATCH($B$2&amp;"|yK",Aux_puntos!$1:$1,0))="",NA(),INDEX(Aux_puntos!$A$2:$OJ$901,626,MATCH($B$2&amp;"|yK",Aux_puntos!$1:$1,0))),NA())</f>
        <v>#N/A</v>
      </c>
      <c r="AE630" t="e">
        <f>IFERROR(IF(INDEX(Aux_puntos!$A$2:$OJ$901,626,MATCH($B$2&amp;"|xC",Aux_puntos!$1:$1,0))="",NA(),INDEX(Aux_puntos!$A$2:$OJ$901,626,MATCH($B$2&amp;"|xC",Aux_puntos!$1:$1,0))),NA())</f>
        <v>#N/A</v>
      </c>
      <c r="AF630" t="e">
        <f>IFERROR(IF(INDEX(Aux_puntos!$A$2:$OJ$901,626,MATCH($B$2&amp;"|yC",Aux_puntos!$1:$1,0))="",NA(),INDEX(Aux_puntos!$A$2:$OJ$901,626,MATCH($B$2&amp;"|yC",Aux_puntos!$1:$1,0))),NA())</f>
        <v>#N/A</v>
      </c>
      <c r="AG630" t="e">
        <f>IFERROR(IF(INDEX(Aux_puntos!$A$2:$OJ$901,626,MATCH($B$2&amp;"|xI",Aux_puntos!$1:$1,0))="",NA(),INDEX(Aux_puntos!$A$2:$OJ$901,626,MATCH($B$2&amp;"|xI",Aux_puntos!$1:$1,0))),NA())</f>
        <v>#N/A</v>
      </c>
      <c r="AH630" t="e">
        <f>IFERROR(IF(INDEX(Aux_puntos!$A$2:$OJ$901,626,MATCH($B$2&amp;"|yI",Aux_puntos!$1:$1,0))="",NA(),INDEX(Aux_puntos!$A$2:$OJ$901,626,MATCH($B$2&amp;"|yI",Aux_puntos!$1:$1,0))),NA())</f>
        <v>#N/A</v>
      </c>
      <c r="AI630" t="e">
        <f>IFERROR(IF(INDEX(Aux_puntos!$A$2:$OJ$901,626,MATCH($B$2&amp;"|xN",Aux_puntos!$1:$1,0))="",NA(),INDEX(Aux_puntos!$A$2:$OJ$901,626,MATCH($B$2&amp;"|xN",Aux_puntos!$1:$1,0))),NA())</f>
        <v>#N/A</v>
      </c>
      <c r="AJ630" t="e">
        <f>IFERROR(IF(INDEX(Aux_puntos!$A$2:$OJ$901,626,MATCH($B$2&amp;"|yN",Aux_puntos!$1:$1,0))="",NA(),INDEX(Aux_puntos!$A$2:$OJ$901,626,MATCH($B$2&amp;"|yN",Aux_puntos!$1:$1,0))),NA())</f>
        <v>#N/A</v>
      </c>
    </row>
    <row r="631" spans="29:36" x14ac:dyDescent="0.3">
      <c r="AC631" t="e">
        <f>IFERROR(IF(INDEX(Aux_puntos!$A$2:$OJ$901,627,MATCH($B$2&amp;"|xK",Aux_puntos!$1:$1,0))="",NA(),INDEX(Aux_puntos!$A$2:$OJ$901,627,MATCH($B$2&amp;"|xK",Aux_puntos!$1:$1,0))),NA())</f>
        <v>#N/A</v>
      </c>
      <c r="AD631" t="e">
        <f>IFERROR(IF(INDEX(Aux_puntos!$A$2:$OJ$901,627,MATCH($B$2&amp;"|yK",Aux_puntos!$1:$1,0))="",NA(),INDEX(Aux_puntos!$A$2:$OJ$901,627,MATCH($B$2&amp;"|yK",Aux_puntos!$1:$1,0))),NA())</f>
        <v>#N/A</v>
      </c>
      <c r="AE631" t="e">
        <f>IFERROR(IF(INDEX(Aux_puntos!$A$2:$OJ$901,627,MATCH($B$2&amp;"|xC",Aux_puntos!$1:$1,0))="",NA(),INDEX(Aux_puntos!$A$2:$OJ$901,627,MATCH($B$2&amp;"|xC",Aux_puntos!$1:$1,0))),NA())</f>
        <v>#N/A</v>
      </c>
      <c r="AF631" t="e">
        <f>IFERROR(IF(INDEX(Aux_puntos!$A$2:$OJ$901,627,MATCH($B$2&amp;"|yC",Aux_puntos!$1:$1,0))="",NA(),INDEX(Aux_puntos!$A$2:$OJ$901,627,MATCH($B$2&amp;"|yC",Aux_puntos!$1:$1,0))),NA())</f>
        <v>#N/A</v>
      </c>
      <c r="AG631" t="e">
        <f>IFERROR(IF(INDEX(Aux_puntos!$A$2:$OJ$901,627,MATCH($B$2&amp;"|xI",Aux_puntos!$1:$1,0))="",NA(),INDEX(Aux_puntos!$A$2:$OJ$901,627,MATCH($B$2&amp;"|xI",Aux_puntos!$1:$1,0))),NA())</f>
        <v>#N/A</v>
      </c>
      <c r="AH631" t="e">
        <f>IFERROR(IF(INDEX(Aux_puntos!$A$2:$OJ$901,627,MATCH($B$2&amp;"|yI",Aux_puntos!$1:$1,0))="",NA(),INDEX(Aux_puntos!$A$2:$OJ$901,627,MATCH($B$2&amp;"|yI",Aux_puntos!$1:$1,0))),NA())</f>
        <v>#N/A</v>
      </c>
      <c r="AI631" t="e">
        <f>IFERROR(IF(INDEX(Aux_puntos!$A$2:$OJ$901,627,MATCH($B$2&amp;"|xN",Aux_puntos!$1:$1,0))="",NA(),INDEX(Aux_puntos!$A$2:$OJ$901,627,MATCH($B$2&amp;"|xN",Aux_puntos!$1:$1,0))),NA())</f>
        <v>#N/A</v>
      </c>
      <c r="AJ631" t="e">
        <f>IFERROR(IF(INDEX(Aux_puntos!$A$2:$OJ$901,627,MATCH($B$2&amp;"|yN",Aux_puntos!$1:$1,0))="",NA(),INDEX(Aux_puntos!$A$2:$OJ$901,627,MATCH($B$2&amp;"|yN",Aux_puntos!$1:$1,0))),NA())</f>
        <v>#N/A</v>
      </c>
    </row>
    <row r="632" spans="29:36" x14ac:dyDescent="0.3">
      <c r="AC632" t="e">
        <f>IFERROR(IF(INDEX(Aux_puntos!$A$2:$OJ$901,628,MATCH($B$2&amp;"|xK",Aux_puntos!$1:$1,0))="",NA(),INDEX(Aux_puntos!$A$2:$OJ$901,628,MATCH($B$2&amp;"|xK",Aux_puntos!$1:$1,0))),NA())</f>
        <v>#N/A</v>
      </c>
      <c r="AD632" t="e">
        <f>IFERROR(IF(INDEX(Aux_puntos!$A$2:$OJ$901,628,MATCH($B$2&amp;"|yK",Aux_puntos!$1:$1,0))="",NA(),INDEX(Aux_puntos!$A$2:$OJ$901,628,MATCH($B$2&amp;"|yK",Aux_puntos!$1:$1,0))),NA())</f>
        <v>#N/A</v>
      </c>
      <c r="AE632" t="e">
        <f>IFERROR(IF(INDEX(Aux_puntos!$A$2:$OJ$901,628,MATCH($B$2&amp;"|xC",Aux_puntos!$1:$1,0))="",NA(),INDEX(Aux_puntos!$A$2:$OJ$901,628,MATCH($B$2&amp;"|xC",Aux_puntos!$1:$1,0))),NA())</f>
        <v>#N/A</v>
      </c>
      <c r="AF632" t="e">
        <f>IFERROR(IF(INDEX(Aux_puntos!$A$2:$OJ$901,628,MATCH($B$2&amp;"|yC",Aux_puntos!$1:$1,0))="",NA(),INDEX(Aux_puntos!$A$2:$OJ$901,628,MATCH($B$2&amp;"|yC",Aux_puntos!$1:$1,0))),NA())</f>
        <v>#N/A</v>
      </c>
      <c r="AG632" t="e">
        <f>IFERROR(IF(INDEX(Aux_puntos!$A$2:$OJ$901,628,MATCH($B$2&amp;"|xI",Aux_puntos!$1:$1,0))="",NA(),INDEX(Aux_puntos!$A$2:$OJ$901,628,MATCH($B$2&amp;"|xI",Aux_puntos!$1:$1,0))),NA())</f>
        <v>#N/A</v>
      </c>
      <c r="AH632" t="e">
        <f>IFERROR(IF(INDEX(Aux_puntos!$A$2:$OJ$901,628,MATCH($B$2&amp;"|yI",Aux_puntos!$1:$1,0))="",NA(),INDEX(Aux_puntos!$A$2:$OJ$901,628,MATCH($B$2&amp;"|yI",Aux_puntos!$1:$1,0))),NA())</f>
        <v>#N/A</v>
      </c>
      <c r="AI632" t="e">
        <f>IFERROR(IF(INDEX(Aux_puntos!$A$2:$OJ$901,628,MATCH($B$2&amp;"|xN",Aux_puntos!$1:$1,0))="",NA(),INDEX(Aux_puntos!$A$2:$OJ$901,628,MATCH($B$2&amp;"|xN",Aux_puntos!$1:$1,0))),NA())</f>
        <v>#N/A</v>
      </c>
      <c r="AJ632" t="e">
        <f>IFERROR(IF(INDEX(Aux_puntos!$A$2:$OJ$901,628,MATCH($B$2&amp;"|yN",Aux_puntos!$1:$1,0))="",NA(),INDEX(Aux_puntos!$A$2:$OJ$901,628,MATCH($B$2&amp;"|yN",Aux_puntos!$1:$1,0))),NA())</f>
        <v>#N/A</v>
      </c>
    </row>
    <row r="633" spans="29:36" x14ac:dyDescent="0.3">
      <c r="AC633" t="e">
        <f>IFERROR(IF(INDEX(Aux_puntos!$A$2:$OJ$901,629,MATCH($B$2&amp;"|xK",Aux_puntos!$1:$1,0))="",NA(),INDEX(Aux_puntos!$A$2:$OJ$901,629,MATCH($B$2&amp;"|xK",Aux_puntos!$1:$1,0))),NA())</f>
        <v>#N/A</v>
      </c>
      <c r="AD633" t="e">
        <f>IFERROR(IF(INDEX(Aux_puntos!$A$2:$OJ$901,629,MATCH($B$2&amp;"|yK",Aux_puntos!$1:$1,0))="",NA(),INDEX(Aux_puntos!$A$2:$OJ$901,629,MATCH($B$2&amp;"|yK",Aux_puntos!$1:$1,0))),NA())</f>
        <v>#N/A</v>
      </c>
      <c r="AE633" t="e">
        <f>IFERROR(IF(INDEX(Aux_puntos!$A$2:$OJ$901,629,MATCH($B$2&amp;"|xC",Aux_puntos!$1:$1,0))="",NA(),INDEX(Aux_puntos!$A$2:$OJ$901,629,MATCH($B$2&amp;"|xC",Aux_puntos!$1:$1,0))),NA())</f>
        <v>#N/A</v>
      </c>
      <c r="AF633" t="e">
        <f>IFERROR(IF(INDEX(Aux_puntos!$A$2:$OJ$901,629,MATCH($B$2&amp;"|yC",Aux_puntos!$1:$1,0))="",NA(),INDEX(Aux_puntos!$A$2:$OJ$901,629,MATCH($B$2&amp;"|yC",Aux_puntos!$1:$1,0))),NA())</f>
        <v>#N/A</v>
      </c>
      <c r="AG633" t="e">
        <f>IFERROR(IF(INDEX(Aux_puntos!$A$2:$OJ$901,629,MATCH($B$2&amp;"|xI",Aux_puntos!$1:$1,0))="",NA(),INDEX(Aux_puntos!$A$2:$OJ$901,629,MATCH($B$2&amp;"|xI",Aux_puntos!$1:$1,0))),NA())</f>
        <v>#N/A</v>
      </c>
      <c r="AH633" t="e">
        <f>IFERROR(IF(INDEX(Aux_puntos!$A$2:$OJ$901,629,MATCH($B$2&amp;"|yI",Aux_puntos!$1:$1,0))="",NA(),INDEX(Aux_puntos!$A$2:$OJ$901,629,MATCH($B$2&amp;"|yI",Aux_puntos!$1:$1,0))),NA())</f>
        <v>#N/A</v>
      </c>
      <c r="AI633" t="e">
        <f>IFERROR(IF(INDEX(Aux_puntos!$A$2:$OJ$901,629,MATCH($B$2&amp;"|xN",Aux_puntos!$1:$1,0))="",NA(),INDEX(Aux_puntos!$A$2:$OJ$901,629,MATCH($B$2&amp;"|xN",Aux_puntos!$1:$1,0))),NA())</f>
        <v>#N/A</v>
      </c>
      <c r="AJ633" t="e">
        <f>IFERROR(IF(INDEX(Aux_puntos!$A$2:$OJ$901,629,MATCH($B$2&amp;"|yN",Aux_puntos!$1:$1,0))="",NA(),INDEX(Aux_puntos!$A$2:$OJ$901,629,MATCH($B$2&amp;"|yN",Aux_puntos!$1:$1,0))),NA())</f>
        <v>#N/A</v>
      </c>
    </row>
    <row r="634" spans="29:36" x14ac:dyDescent="0.3">
      <c r="AC634" t="e">
        <f>IFERROR(IF(INDEX(Aux_puntos!$A$2:$OJ$901,630,MATCH($B$2&amp;"|xK",Aux_puntos!$1:$1,0))="",NA(),INDEX(Aux_puntos!$A$2:$OJ$901,630,MATCH($B$2&amp;"|xK",Aux_puntos!$1:$1,0))),NA())</f>
        <v>#N/A</v>
      </c>
      <c r="AD634" t="e">
        <f>IFERROR(IF(INDEX(Aux_puntos!$A$2:$OJ$901,630,MATCH($B$2&amp;"|yK",Aux_puntos!$1:$1,0))="",NA(),INDEX(Aux_puntos!$A$2:$OJ$901,630,MATCH($B$2&amp;"|yK",Aux_puntos!$1:$1,0))),NA())</f>
        <v>#N/A</v>
      </c>
      <c r="AE634" t="e">
        <f>IFERROR(IF(INDEX(Aux_puntos!$A$2:$OJ$901,630,MATCH($B$2&amp;"|xC",Aux_puntos!$1:$1,0))="",NA(),INDEX(Aux_puntos!$A$2:$OJ$901,630,MATCH($B$2&amp;"|xC",Aux_puntos!$1:$1,0))),NA())</f>
        <v>#N/A</v>
      </c>
      <c r="AF634" t="e">
        <f>IFERROR(IF(INDEX(Aux_puntos!$A$2:$OJ$901,630,MATCH($B$2&amp;"|yC",Aux_puntos!$1:$1,0))="",NA(),INDEX(Aux_puntos!$A$2:$OJ$901,630,MATCH($B$2&amp;"|yC",Aux_puntos!$1:$1,0))),NA())</f>
        <v>#N/A</v>
      </c>
      <c r="AG634" t="e">
        <f>IFERROR(IF(INDEX(Aux_puntos!$A$2:$OJ$901,630,MATCH($B$2&amp;"|xI",Aux_puntos!$1:$1,0))="",NA(),INDEX(Aux_puntos!$A$2:$OJ$901,630,MATCH($B$2&amp;"|xI",Aux_puntos!$1:$1,0))),NA())</f>
        <v>#N/A</v>
      </c>
      <c r="AH634" t="e">
        <f>IFERROR(IF(INDEX(Aux_puntos!$A$2:$OJ$901,630,MATCH($B$2&amp;"|yI",Aux_puntos!$1:$1,0))="",NA(),INDEX(Aux_puntos!$A$2:$OJ$901,630,MATCH($B$2&amp;"|yI",Aux_puntos!$1:$1,0))),NA())</f>
        <v>#N/A</v>
      </c>
      <c r="AI634" t="e">
        <f>IFERROR(IF(INDEX(Aux_puntos!$A$2:$OJ$901,630,MATCH($B$2&amp;"|xN",Aux_puntos!$1:$1,0))="",NA(),INDEX(Aux_puntos!$A$2:$OJ$901,630,MATCH($B$2&amp;"|xN",Aux_puntos!$1:$1,0))),NA())</f>
        <v>#N/A</v>
      </c>
      <c r="AJ634" t="e">
        <f>IFERROR(IF(INDEX(Aux_puntos!$A$2:$OJ$901,630,MATCH($B$2&amp;"|yN",Aux_puntos!$1:$1,0))="",NA(),INDEX(Aux_puntos!$A$2:$OJ$901,630,MATCH($B$2&amp;"|yN",Aux_puntos!$1:$1,0))),NA())</f>
        <v>#N/A</v>
      </c>
    </row>
    <row r="635" spans="29:36" x14ac:dyDescent="0.3">
      <c r="AC635" t="e">
        <f>IFERROR(IF(INDEX(Aux_puntos!$A$2:$OJ$901,631,MATCH($B$2&amp;"|xK",Aux_puntos!$1:$1,0))="",NA(),INDEX(Aux_puntos!$A$2:$OJ$901,631,MATCH($B$2&amp;"|xK",Aux_puntos!$1:$1,0))),NA())</f>
        <v>#N/A</v>
      </c>
      <c r="AD635" t="e">
        <f>IFERROR(IF(INDEX(Aux_puntos!$A$2:$OJ$901,631,MATCH($B$2&amp;"|yK",Aux_puntos!$1:$1,0))="",NA(),INDEX(Aux_puntos!$A$2:$OJ$901,631,MATCH($B$2&amp;"|yK",Aux_puntos!$1:$1,0))),NA())</f>
        <v>#N/A</v>
      </c>
      <c r="AE635" t="e">
        <f>IFERROR(IF(INDEX(Aux_puntos!$A$2:$OJ$901,631,MATCH($B$2&amp;"|xC",Aux_puntos!$1:$1,0))="",NA(),INDEX(Aux_puntos!$A$2:$OJ$901,631,MATCH($B$2&amp;"|xC",Aux_puntos!$1:$1,0))),NA())</f>
        <v>#N/A</v>
      </c>
      <c r="AF635" t="e">
        <f>IFERROR(IF(INDEX(Aux_puntos!$A$2:$OJ$901,631,MATCH($B$2&amp;"|yC",Aux_puntos!$1:$1,0))="",NA(),INDEX(Aux_puntos!$A$2:$OJ$901,631,MATCH($B$2&amp;"|yC",Aux_puntos!$1:$1,0))),NA())</f>
        <v>#N/A</v>
      </c>
      <c r="AG635" t="e">
        <f>IFERROR(IF(INDEX(Aux_puntos!$A$2:$OJ$901,631,MATCH($B$2&amp;"|xI",Aux_puntos!$1:$1,0))="",NA(),INDEX(Aux_puntos!$A$2:$OJ$901,631,MATCH($B$2&amp;"|xI",Aux_puntos!$1:$1,0))),NA())</f>
        <v>#N/A</v>
      </c>
      <c r="AH635" t="e">
        <f>IFERROR(IF(INDEX(Aux_puntos!$A$2:$OJ$901,631,MATCH($B$2&amp;"|yI",Aux_puntos!$1:$1,0))="",NA(),INDEX(Aux_puntos!$A$2:$OJ$901,631,MATCH($B$2&amp;"|yI",Aux_puntos!$1:$1,0))),NA())</f>
        <v>#N/A</v>
      </c>
      <c r="AI635" t="e">
        <f>IFERROR(IF(INDEX(Aux_puntos!$A$2:$OJ$901,631,MATCH($B$2&amp;"|xN",Aux_puntos!$1:$1,0))="",NA(),INDEX(Aux_puntos!$A$2:$OJ$901,631,MATCH($B$2&amp;"|xN",Aux_puntos!$1:$1,0))),NA())</f>
        <v>#N/A</v>
      </c>
      <c r="AJ635" t="e">
        <f>IFERROR(IF(INDEX(Aux_puntos!$A$2:$OJ$901,631,MATCH($B$2&amp;"|yN",Aux_puntos!$1:$1,0))="",NA(),INDEX(Aux_puntos!$A$2:$OJ$901,631,MATCH($B$2&amp;"|yN",Aux_puntos!$1:$1,0))),NA())</f>
        <v>#N/A</v>
      </c>
    </row>
    <row r="636" spans="29:36" x14ac:dyDescent="0.3">
      <c r="AC636" t="e">
        <f>IFERROR(IF(INDEX(Aux_puntos!$A$2:$OJ$901,632,MATCH($B$2&amp;"|xK",Aux_puntos!$1:$1,0))="",NA(),INDEX(Aux_puntos!$A$2:$OJ$901,632,MATCH($B$2&amp;"|xK",Aux_puntos!$1:$1,0))),NA())</f>
        <v>#N/A</v>
      </c>
      <c r="AD636" t="e">
        <f>IFERROR(IF(INDEX(Aux_puntos!$A$2:$OJ$901,632,MATCH($B$2&amp;"|yK",Aux_puntos!$1:$1,0))="",NA(),INDEX(Aux_puntos!$A$2:$OJ$901,632,MATCH($B$2&amp;"|yK",Aux_puntos!$1:$1,0))),NA())</f>
        <v>#N/A</v>
      </c>
      <c r="AE636" t="e">
        <f>IFERROR(IF(INDEX(Aux_puntos!$A$2:$OJ$901,632,MATCH($B$2&amp;"|xC",Aux_puntos!$1:$1,0))="",NA(),INDEX(Aux_puntos!$A$2:$OJ$901,632,MATCH($B$2&amp;"|xC",Aux_puntos!$1:$1,0))),NA())</f>
        <v>#N/A</v>
      </c>
      <c r="AF636" t="e">
        <f>IFERROR(IF(INDEX(Aux_puntos!$A$2:$OJ$901,632,MATCH($B$2&amp;"|yC",Aux_puntos!$1:$1,0))="",NA(),INDEX(Aux_puntos!$A$2:$OJ$901,632,MATCH($B$2&amp;"|yC",Aux_puntos!$1:$1,0))),NA())</f>
        <v>#N/A</v>
      </c>
      <c r="AG636" t="e">
        <f>IFERROR(IF(INDEX(Aux_puntos!$A$2:$OJ$901,632,MATCH($B$2&amp;"|xI",Aux_puntos!$1:$1,0))="",NA(),INDEX(Aux_puntos!$A$2:$OJ$901,632,MATCH($B$2&amp;"|xI",Aux_puntos!$1:$1,0))),NA())</f>
        <v>#N/A</v>
      </c>
      <c r="AH636" t="e">
        <f>IFERROR(IF(INDEX(Aux_puntos!$A$2:$OJ$901,632,MATCH($B$2&amp;"|yI",Aux_puntos!$1:$1,0))="",NA(),INDEX(Aux_puntos!$A$2:$OJ$901,632,MATCH($B$2&amp;"|yI",Aux_puntos!$1:$1,0))),NA())</f>
        <v>#N/A</v>
      </c>
      <c r="AI636" t="e">
        <f>IFERROR(IF(INDEX(Aux_puntos!$A$2:$OJ$901,632,MATCH($B$2&amp;"|xN",Aux_puntos!$1:$1,0))="",NA(),INDEX(Aux_puntos!$A$2:$OJ$901,632,MATCH($B$2&amp;"|xN",Aux_puntos!$1:$1,0))),NA())</f>
        <v>#N/A</v>
      </c>
      <c r="AJ636" t="e">
        <f>IFERROR(IF(INDEX(Aux_puntos!$A$2:$OJ$901,632,MATCH($B$2&amp;"|yN",Aux_puntos!$1:$1,0))="",NA(),INDEX(Aux_puntos!$A$2:$OJ$901,632,MATCH($B$2&amp;"|yN",Aux_puntos!$1:$1,0))),NA())</f>
        <v>#N/A</v>
      </c>
    </row>
    <row r="637" spans="29:36" x14ac:dyDescent="0.3">
      <c r="AC637" t="e">
        <f>IFERROR(IF(INDEX(Aux_puntos!$A$2:$OJ$901,633,MATCH($B$2&amp;"|xK",Aux_puntos!$1:$1,0))="",NA(),INDEX(Aux_puntos!$A$2:$OJ$901,633,MATCH($B$2&amp;"|xK",Aux_puntos!$1:$1,0))),NA())</f>
        <v>#N/A</v>
      </c>
      <c r="AD637" t="e">
        <f>IFERROR(IF(INDEX(Aux_puntos!$A$2:$OJ$901,633,MATCH($B$2&amp;"|yK",Aux_puntos!$1:$1,0))="",NA(),INDEX(Aux_puntos!$A$2:$OJ$901,633,MATCH($B$2&amp;"|yK",Aux_puntos!$1:$1,0))),NA())</f>
        <v>#N/A</v>
      </c>
      <c r="AE637" t="e">
        <f>IFERROR(IF(INDEX(Aux_puntos!$A$2:$OJ$901,633,MATCH($B$2&amp;"|xC",Aux_puntos!$1:$1,0))="",NA(),INDEX(Aux_puntos!$A$2:$OJ$901,633,MATCH($B$2&amp;"|xC",Aux_puntos!$1:$1,0))),NA())</f>
        <v>#N/A</v>
      </c>
      <c r="AF637" t="e">
        <f>IFERROR(IF(INDEX(Aux_puntos!$A$2:$OJ$901,633,MATCH($B$2&amp;"|yC",Aux_puntos!$1:$1,0))="",NA(),INDEX(Aux_puntos!$A$2:$OJ$901,633,MATCH($B$2&amp;"|yC",Aux_puntos!$1:$1,0))),NA())</f>
        <v>#N/A</v>
      </c>
      <c r="AG637" t="e">
        <f>IFERROR(IF(INDEX(Aux_puntos!$A$2:$OJ$901,633,MATCH($B$2&amp;"|xI",Aux_puntos!$1:$1,0))="",NA(),INDEX(Aux_puntos!$A$2:$OJ$901,633,MATCH($B$2&amp;"|xI",Aux_puntos!$1:$1,0))),NA())</f>
        <v>#N/A</v>
      </c>
      <c r="AH637" t="e">
        <f>IFERROR(IF(INDEX(Aux_puntos!$A$2:$OJ$901,633,MATCH($B$2&amp;"|yI",Aux_puntos!$1:$1,0))="",NA(),INDEX(Aux_puntos!$A$2:$OJ$901,633,MATCH($B$2&amp;"|yI",Aux_puntos!$1:$1,0))),NA())</f>
        <v>#N/A</v>
      </c>
      <c r="AI637" t="e">
        <f>IFERROR(IF(INDEX(Aux_puntos!$A$2:$OJ$901,633,MATCH($B$2&amp;"|xN",Aux_puntos!$1:$1,0))="",NA(),INDEX(Aux_puntos!$A$2:$OJ$901,633,MATCH($B$2&amp;"|xN",Aux_puntos!$1:$1,0))),NA())</f>
        <v>#N/A</v>
      </c>
      <c r="AJ637" t="e">
        <f>IFERROR(IF(INDEX(Aux_puntos!$A$2:$OJ$901,633,MATCH($B$2&amp;"|yN",Aux_puntos!$1:$1,0))="",NA(),INDEX(Aux_puntos!$A$2:$OJ$901,633,MATCH($B$2&amp;"|yN",Aux_puntos!$1:$1,0))),NA())</f>
        <v>#N/A</v>
      </c>
    </row>
    <row r="638" spans="29:36" x14ac:dyDescent="0.3">
      <c r="AC638" t="e">
        <f>IFERROR(IF(INDEX(Aux_puntos!$A$2:$OJ$901,634,MATCH($B$2&amp;"|xK",Aux_puntos!$1:$1,0))="",NA(),INDEX(Aux_puntos!$A$2:$OJ$901,634,MATCH($B$2&amp;"|xK",Aux_puntos!$1:$1,0))),NA())</f>
        <v>#N/A</v>
      </c>
      <c r="AD638" t="e">
        <f>IFERROR(IF(INDEX(Aux_puntos!$A$2:$OJ$901,634,MATCH($B$2&amp;"|yK",Aux_puntos!$1:$1,0))="",NA(),INDEX(Aux_puntos!$A$2:$OJ$901,634,MATCH($B$2&amp;"|yK",Aux_puntos!$1:$1,0))),NA())</f>
        <v>#N/A</v>
      </c>
      <c r="AE638" t="e">
        <f>IFERROR(IF(INDEX(Aux_puntos!$A$2:$OJ$901,634,MATCH($B$2&amp;"|xC",Aux_puntos!$1:$1,0))="",NA(),INDEX(Aux_puntos!$A$2:$OJ$901,634,MATCH($B$2&amp;"|xC",Aux_puntos!$1:$1,0))),NA())</f>
        <v>#N/A</v>
      </c>
      <c r="AF638" t="e">
        <f>IFERROR(IF(INDEX(Aux_puntos!$A$2:$OJ$901,634,MATCH($B$2&amp;"|yC",Aux_puntos!$1:$1,0))="",NA(),INDEX(Aux_puntos!$A$2:$OJ$901,634,MATCH($B$2&amp;"|yC",Aux_puntos!$1:$1,0))),NA())</f>
        <v>#N/A</v>
      </c>
      <c r="AG638" t="e">
        <f>IFERROR(IF(INDEX(Aux_puntos!$A$2:$OJ$901,634,MATCH($B$2&amp;"|xI",Aux_puntos!$1:$1,0))="",NA(),INDEX(Aux_puntos!$A$2:$OJ$901,634,MATCH($B$2&amp;"|xI",Aux_puntos!$1:$1,0))),NA())</f>
        <v>#N/A</v>
      </c>
      <c r="AH638" t="e">
        <f>IFERROR(IF(INDEX(Aux_puntos!$A$2:$OJ$901,634,MATCH($B$2&amp;"|yI",Aux_puntos!$1:$1,0))="",NA(),INDEX(Aux_puntos!$A$2:$OJ$901,634,MATCH($B$2&amp;"|yI",Aux_puntos!$1:$1,0))),NA())</f>
        <v>#N/A</v>
      </c>
      <c r="AI638" t="e">
        <f>IFERROR(IF(INDEX(Aux_puntos!$A$2:$OJ$901,634,MATCH($B$2&amp;"|xN",Aux_puntos!$1:$1,0))="",NA(),INDEX(Aux_puntos!$A$2:$OJ$901,634,MATCH($B$2&amp;"|xN",Aux_puntos!$1:$1,0))),NA())</f>
        <v>#N/A</v>
      </c>
      <c r="AJ638" t="e">
        <f>IFERROR(IF(INDEX(Aux_puntos!$A$2:$OJ$901,634,MATCH($B$2&amp;"|yN",Aux_puntos!$1:$1,0))="",NA(),INDEX(Aux_puntos!$A$2:$OJ$901,634,MATCH($B$2&amp;"|yN",Aux_puntos!$1:$1,0))),NA())</f>
        <v>#N/A</v>
      </c>
    </row>
    <row r="639" spans="29:36" x14ac:dyDescent="0.3">
      <c r="AC639" t="e">
        <f>IFERROR(IF(INDEX(Aux_puntos!$A$2:$OJ$901,635,MATCH($B$2&amp;"|xK",Aux_puntos!$1:$1,0))="",NA(),INDEX(Aux_puntos!$A$2:$OJ$901,635,MATCH($B$2&amp;"|xK",Aux_puntos!$1:$1,0))),NA())</f>
        <v>#N/A</v>
      </c>
      <c r="AD639" t="e">
        <f>IFERROR(IF(INDEX(Aux_puntos!$A$2:$OJ$901,635,MATCH($B$2&amp;"|yK",Aux_puntos!$1:$1,0))="",NA(),INDEX(Aux_puntos!$A$2:$OJ$901,635,MATCH($B$2&amp;"|yK",Aux_puntos!$1:$1,0))),NA())</f>
        <v>#N/A</v>
      </c>
      <c r="AE639" t="e">
        <f>IFERROR(IF(INDEX(Aux_puntos!$A$2:$OJ$901,635,MATCH($B$2&amp;"|xC",Aux_puntos!$1:$1,0))="",NA(),INDEX(Aux_puntos!$A$2:$OJ$901,635,MATCH($B$2&amp;"|xC",Aux_puntos!$1:$1,0))),NA())</f>
        <v>#N/A</v>
      </c>
      <c r="AF639" t="e">
        <f>IFERROR(IF(INDEX(Aux_puntos!$A$2:$OJ$901,635,MATCH($B$2&amp;"|yC",Aux_puntos!$1:$1,0))="",NA(),INDEX(Aux_puntos!$A$2:$OJ$901,635,MATCH($B$2&amp;"|yC",Aux_puntos!$1:$1,0))),NA())</f>
        <v>#N/A</v>
      </c>
      <c r="AG639" t="e">
        <f>IFERROR(IF(INDEX(Aux_puntos!$A$2:$OJ$901,635,MATCH($B$2&amp;"|xI",Aux_puntos!$1:$1,0))="",NA(),INDEX(Aux_puntos!$A$2:$OJ$901,635,MATCH($B$2&amp;"|xI",Aux_puntos!$1:$1,0))),NA())</f>
        <v>#N/A</v>
      </c>
      <c r="AH639" t="e">
        <f>IFERROR(IF(INDEX(Aux_puntos!$A$2:$OJ$901,635,MATCH($B$2&amp;"|yI",Aux_puntos!$1:$1,0))="",NA(),INDEX(Aux_puntos!$A$2:$OJ$901,635,MATCH($B$2&amp;"|yI",Aux_puntos!$1:$1,0))),NA())</f>
        <v>#N/A</v>
      </c>
      <c r="AI639" t="e">
        <f>IFERROR(IF(INDEX(Aux_puntos!$A$2:$OJ$901,635,MATCH($B$2&amp;"|xN",Aux_puntos!$1:$1,0))="",NA(),INDEX(Aux_puntos!$A$2:$OJ$901,635,MATCH($B$2&amp;"|xN",Aux_puntos!$1:$1,0))),NA())</f>
        <v>#N/A</v>
      </c>
      <c r="AJ639" t="e">
        <f>IFERROR(IF(INDEX(Aux_puntos!$A$2:$OJ$901,635,MATCH($B$2&amp;"|yN",Aux_puntos!$1:$1,0))="",NA(),INDEX(Aux_puntos!$A$2:$OJ$901,635,MATCH($B$2&amp;"|yN",Aux_puntos!$1:$1,0))),NA())</f>
        <v>#N/A</v>
      </c>
    </row>
    <row r="640" spans="29:36" x14ac:dyDescent="0.3">
      <c r="AC640" t="e">
        <f>IFERROR(IF(INDEX(Aux_puntos!$A$2:$OJ$901,636,MATCH($B$2&amp;"|xK",Aux_puntos!$1:$1,0))="",NA(),INDEX(Aux_puntos!$A$2:$OJ$901,636,MATCH($B$2&amp;"|xK",Aux_puntos!$1:$1,0))),NA())</f>
        <v>#N/A</v>
      </c>
      <c r="AD640" t="e">
        <f>IFERROR(IF(INDEX(Aux_puntos!$A$2:$OJ$901,636,MATCH($B$2&amp;"|yK",Aux_puntos!$1:$1,0))="",NA(),INDEX(Aux_puntos!$A$2:$OJ$901,636,MATCH($B$2&amp;"|yK",Aux_puntos!$1:$1,0))),NA())</f>
        <v>#N/A</v>
      </c>
      <c r="AE640" t="e">
        <f>IFERROR(IF(INDEX(Aux_puntos!$A$2:$OJ$901,636,MATCH($B$2&amp;"|xC",Aux_puntos!$1:$1,0))="",NA(),INDEX(Aux_puntos!$A$2:$OJ$901,636,MATCH($B$2&amp;"|xC",Aux_puntos!$1:$1,0))),NA())</f>
        <v>#N/A</v>
      </c>
      <c r="AF640" t="e">
        <f>IFERROR(IF(INDEX(Aux_puntos!$A$2:$OJ$901,636,MATCH($B$2&amp;"|yC",Aux_puntos!$1:$1,0))="",NA(),INDEX(Aux_puntos!$A$2:$OJ$901,636,MATCH($B$2&amp;"|yC",Aux_puntos!$1:$1,0))),NA())</f>
        <v>#N/A</v>
      </c>
      <c r="AG640" t="e">
        <f>IFERROR(IF(INDEX(Aux_puntos!$A$2:$OJ$901,636,MATCH($B$2&amp;"|xI",Aux_puntos!$1:$1,0))="",NA(),INDEX(Aux_puntos!$A$2:$OJ$901,636,MATCH($B$2&amp;"|xI",Aux_puntos!$1:$1,0))),NA())</f>
        <v>#N/A</v>
      </c>
      <c r="AH640" t="e">
        <f>IFERROR(IF(INDEX(Aux_puntos!$A$2:$OJ$901,636,MATCH($B$2&amp;"|yI",Aux_puntos!$1:$1,0))="",NA(),INDEX(Aux_puntos!$A$2:$OJ$901,636,MATCH($B$2&amp;"|yI",Aux_puntos!$1:$1,0))),NA())</f>
        <v>#N/A</v>
      </c>
      <c r="AI640" t="e">
        <f>IFERROR(IF(INDEX(Aux_puntos!$A$2:$OJ$901,636,MATCH($B$2&amp;"|xN",Aux_puntos!$1:$1,0))="",NA(),INDEX(Aux_puntos!$A$2:$OJ$901,636,MATCH($B$2&amp;"|xN",Aux_puntos!$1:$1,0))),NA())</f>
        <v>#N/A</v>
      </c>
      <c r="AJ640" t="e">
        <f>IFERROR(IF(INDEX(Aux_puntos!$A$2:$OJ$901,636,MATCH($B$2&amp;"|yN",Aux_puntos!$1:$1,0))="",NA(),INDEX(Aux_puntos!$A$2:$OJ$901,636,MATCH($B$2&amp;"|yN",Aux_puntos!$1:$1,0))),NA())</f>
        <v>#N/A</v>
      </c>
    </row>
    <row r="641" spans="29:36" x14ac:dyDescent="0.3">
      <c r="AC641" t="e">
        <f>IFERROR(IF(INDEX(Aux_puntos!$A$2:$OJ$901,637,MATCH($B$2&amp;"|xK",Aux_puntos!$1:$1,0))="",NA(),INDEX(Aux_puntos!$A$2:$OJ$901,637,MATCH($B$2&amp;"|xK",Aux_puntos!$1:$1,0))),NA())</f>
        <v>#N/A</v>
      </c>
      <c r="AD641" t="e">
        <f>IFERROR(IF(INDEX(Aux_puntos!$A$2:$OJ$901,637,MATCH($B$2&amp;"|yK",Aux_puntos!$1:$1,0))="",NA(),INDEX(Aux_puntos!$A$2:$OJ$901,637,MATCH($B$2&amp;"|yK",Aux_puntos!$1:$1,0))),NA())</f>
        <v>#N/A</v>
      </c>
      <c r="AE641" t="e">
        <f>IFERROR(IF(INDEX(Aux_puntos!$A$2:$OJ$901,637,MATCH($B$2&amp;"|xC",Aux_puntos!$1:$1,0))="",NA(),INDEX(Aux_puntos!$A$2:$OJ$901,637,MATCH($B$2&amp;"|xC",Aux_puntos!$1:$1,0))),NA())</f>
        <v>#N/A</v>
      </c>
      <c r="AF641" t="e">
        <f>IFERROR(IF(INDEX(Aux_puntos!$A$2:$OJ$901,637,MATCH($B$2&amp;"|yC",Aux_puntos!$1:$1,0))="",NA(),INDEX(Aux_puntos!$A$2:$OJ$901,637,MATCH($B$2&amp;"|yC",Aux_puntos!$1:$1,0))),NA())</f>
        <v>#N/A</v>
      </c>
      <c r="AG641" t="e">
        <f>IFERROR(IF(INDEX(Aux_puntos!$A$2:$OJ$901,637,MATCH($B$2&amp;"|xI",Aux_puntos!$1:$1,0))="",NA(),INDEX(Aux_puntos!$A$2:$OJ$901,637,MATCH($B$2&amp;"|xI",Aux_puntos!$1:$1,0))),NA())</f>
        <v>#N/A</v>
      </c>
      <c r="AH641" t="e">
        <f>IFERROR(IF(INDEX(Aux_puntos!$A$2:$OJ$901,637,MATCH($B$2&amp;"|yI",Aux_puntos!$1:$1,0))="",NA(),INDEX(Aux_puntos!$A$2:$OJ$901,637,MATCH($B$2&amp;"|yI",Aux_puntos!$1:$1,0))),NA())</f>
        <v>#N/A</v>
      </c>
      <c r="AI641" t="e">
        <f>IFERROR(IF(INDEX(Aux_puntos!$A$2:$OJ$901,637,MATCH($B$2&amp;"|xN",Aux_puntos!$1:$1,0))="",NA(),INDEX(Aux_puntos!$A$2:$OJ$901,637,MATCH($B$2&amp;"|xN",Aux_puntos!$1:$1,0))),NA())</f>
        <v>#N/A</v>
      </c>
      <c r="AJ641" t="e">
        <f>IFERROR(IF(INDEX(Aux_puntos!$A$2:$OJ$901,637,MATCH($B$2&amp;"|yN",Aux_puntos!$1:$1,0))="",NA(),INDEX(Aux_puntos!$A$2:$OJ$901,637,MATCH($B$2&amp;"|yN",Aux_puntos!$1:$1,0))),NA())</f>
        <v>#N/A</v>
      </c>
    </row>
    <row r="642" spans="29:36" x14ac:dyDescent="0.3">
      <c r="AC642" t="e">
        <f>IFERROR(IF(INDEX(Aux_puntos!$A$2:$OJ$901,638,MATCH($B$2&amp;"|xK",Aux_puntos!$1:$1,0))="",NA(),INDEX(Aux_puntos!$A$2:$OJ$901,638,MATCH($B$2&amp;"|xK",Aux_puntos!$1:$1,0))),NA())</f>
        <v>#N/A</v>
      </c>
      <c r="AD642" t="e">
        <f>IFERROR(IF(INDEX(Aux_puntos!$A$2:$OJ$901,638,MATCH($B$2&amp;"|yK",Aux_puntos!$1:$1,0))="",NA(),INDEX(Aux_puntos!$A$2:$OJ$901,638,MATCH($B$2&amp;"|yK",Aux_puntos!$1:$1,0))),NA())</f>
        <v>#N/A</v>
      </c>
      <c r="AE642" t="e">
        <f>IFERROR(IF(INDEX(Aux_puntos!$A$2:$OJ$901,638,MATCH($B$2&amp;"|xC",Aux_puntos!$1:$1,0))="",NA(),INDEX(Aux_puntos!$A$2:$OJ$901,638,MATCH($B$2&amp;"|xC",Aux_puntos!$1:$1,0))),NA())</f>
        <v>#N/A</v>
      </c>
      <c r="AF642" t="e">
        <f>IFERROR(IF(INDEX(Aux_puntos!$A$2:$OJ$901,638,MATCH($B$2&amp;"|yC",Aux_puntos!$1:$1,0))="",NA(),INDEX(Aux_puntos!$A$2:$OJ$901,638,MATCH($B$2&amp;"|yC",Aux_puntos!$1:$1,0))),NA())</f>
        <v>#N/A</v>
      </c>
      <c r="AG642" t="e">
        <f>IFERROR(IF(INDEX(Aux_puntos!$A$2:$OJ$901,638,MATCH($B$2&amp;"|xI",Aux_puntos!$1:$1,0))="",NA(),INDEX(Aux_puntos!$A$2:$OJ$901,638,MATCH($B$2&amp;"|xI",Aux_puntos!$1:$1,0))),NA())</f>
        <v>#N/A</v>
      </c>
      <c r="AH642" t="e">
        <f>IFERROR(IF(INDEX(Aux_puntos!$A$2:$OJ$901,638,MATCH($B$2&amp;"|yI",Aux_puntos!$1:$1,0))="",NA(),INDEX(Aux_puntos!$A$2:$OJ$901,638,MATCH($B$2&amp;"|yI",Aux_puntos!$1:$1,0))),NA())</f>
        <v>#N/A</v>
      </c>
      <c r="AI642" t="e">
        <f>IFERROR(IF(INDEX(Aux_puntos!$A$2:$OJ$901,638,MATCH($B$2&amp;"|xN",Aux_puntos!$1:$1,0))="",NA(),INDEX(Aux_puntos!$A$2:$OJ$901,638,MATCH($B$2&amp;"|xN",Aux_puntos!$1:$1,0))),NA())</f>
        <v>#N/A</v>
      </c>
      <c r="AJ642" t="e">
        <f>IFERROR(IF(INDEX(Aux_puntos!$A$2:$OJ$901,638,MATCH($B$2&amp;"|yN",Aux_puntos!$1:$1,0))="",NA(),INDEX(Aux_puntos!$A$2:$OJ$901,638,MATCH($B$2&amp;"|yN",Aux_puntos!$1:$1,0))),NA())</f>
        <v>#N/A</v>
      </c>
    </row>
    <row r="643" spans="29:36" x14ac:dyDescent="0.3">
      <c r="AC643" t="e">
        <f>IFERROR(IF(INDEX(Aux_puntos!$A$2:$OJ$901,639,MATCH($B$2&amp;"|xK",Aux_puntos!$1:$1,0))="",NA(),INDEX(Aux_puntos!$A$2:$OJ$901,639,MATCH($B$2&amp;"|xK",Aux_puntos!$1:$1,0))),NA())</f>
        <v>#N/A</v>
      </c>
      <c r="AD643" t="e">
        <f>IFERROR(IF(INDEX(Aux_puntos!$A$2:$OJ$901,639,MATCH($B$2&amp;"|yK",Aux_puntos!$1:$1,0))="",NA(),INDEX(Aux_puntos!$A$2:$OJ$901,639,MATCH($B$2&amp;"|yK",Aux_puntos!$1:$1,0))),NA())</f>
        <v>#N/A</v>
      </c>
      <c r="AE643" t="e">
        <f>IFERROR(IF(INDEX(Aux_puntos!$A$2:$OJ$901,639,MATCH($B$2&amp;"|xC",Aux_puntos!$1:$1,0))="",NA(),INDEX(Aux_puntos!$A$2:$OJ$901,639,MATCH($B$2&amp;"|xC",Aux_puntos!$1:$1,0))),NA())</f>
        <v>#N/A</v>
      </c>
      <c r="AF643" t="e">
        <f>IFERROR(IF(INDEX(Aux_puntos!$A$2:$OJ$901,639,MATCH($B$2&amp;"|yC",Aux_puntos!$1:$1,0))="",NA(),INDEX(Aux_puntos!$A$2:$OJ$901,639,MATCH($B$2&amp;"|yC",Aux_puntos!$1:$1,0))),NA())</f>
        <v>#N/A</v>
      </c>
      <c r="AG643" t="e">
        <f>IFERROR(IF(INDEX(Aux_puntos!$A$2:$OJ$901,639,MATCH($B$2&amp;"|xI",Aux_puntos!$1:$1,0))="",NA(),INDEX(Aux_puntos!$A$2:$OJ$901,639,MATCH($B$2&amp;"|xI",Aux_puntos!$1:$1,0))),NA())</f>
        <v>#N/A</v>
      </c>
      <c r="AH643" t="e">
        <f>IFERROR(IF(INDEX(Aux_puntos!$A$2:$OJ$901,639,MATCH($B$2&amp;"|yI",Aux_puntos!$1:$1,0))="",NA(),INDEX(Aux_puntos!$A$2:$OJ$901,639,MATCH($B$2&amp;"|yI",Aux_puntos!$1:$1,0))),NA())</f>
        <v>#N/A</v>
      </c>
      <c r="AI643" t="e">
        <f>IFERROR(IF(INDEX(Aux_puntos!$A$2:$OJ$901,639,MATCH($B$2&amp;"|xN",Aux_puntos!$1:$1,0))="",NA(),INDEX(Aux_puntos!$A$2:$OJ$901,639,MATCH($B$2&amp;"|xN",Aux_puntos!$1:$1,0))),NA())</f>
        <v>#N/A</v>
      </c>
      <c r="AJ643" t="e">
        <f>IFERROR(IF(INDEX(Aux_puntos!$A$2:$OJ$901,639,MATCH($B$2&amp;"|yN",Aux_puntos!$1:$1,0))="",NA(),INDEX(Aux_puntos!$A$2:$OJ$901,639,MATCH($B$2&amp;"|yN",Aux_puntos!$1:$1,0))),NA())</f>
        <v>#N/A</v>
      </c>
    </row>
    <row r="644" spans="29:36" x14ac:dyDescent="0.3">
      <c r="AC644" t="e">
        <f>IFERROR(IF(INDEX(Aux_puntos!$A$2:$OJ$901,640,MATCH($B$2&amp;"|xK",Aux_puntos!$1:$1,0))="",NA(),INDEX(Aux_puntos!$A$2:$OJ$901,640,MATCH($B$2&amp;"|xK",Aux_puntos!$1:$1,0))),NA())</f>
        <v>#N/A</v>
      </c>
      <c r="AD644" t="e">
        <f>IFERROR(IF(INDEX(Aux_puntos!$A$2:$OJ$901,640,MATCH($B$2&amp;"|yK",Aux_puntos!$1:$1,0))="",NA(),INDEX(Aux_puntos!$A$2:$OJ$901,640,MATCH($B$2&amp;"|yK",Aux_puntos!$1:$1,0))),NA())</f>
        <v>#N/A</v>
      </c>
      <c r="AE644" t="e">
        <f>IFERROR(IF(INDEX(Aux_puntos!$A$2:$OJ$901,640,MATCH($B$2&amp;"|xC",Aux_puntos!$1:$1,0))="",NA(),INDEX(Aux_puntos!$A$2:$OJ$901,640,MATCH($B$2&amp;"|xC",Aux_puntos!$1:$1,0))),NA())</f>
        <v>#N/A</v>
      </c>
      <c r="AF644" t="e">
        <f>IFERROR(IF(INDEX(Aux_puntos!$A$2:$OJ$901,640,MATCH($B$2&amp;"|yC",Aux_puntos!$1:$1,0))="",NA(),INDEX(Aux_puntos!$A$2:$OJ$901,640,MATCH($B$2&amp;"|yC",Aux_puntos!$1:$1,0))),NA())</f>
        <v>#N/A</v>
      </c>
      <c r="AG644" t="e">
        <f>IFERROR(IF(INDEX(Aux_puntos!$A$2:$OJ$901,640,MATCH($B$2&amp;"|xI",Aux_puntos!$1:$1,0))="",NA(),INDEX(Aux_puntos!$A$2:$OJ$901,640,MATCH($B$2&amp;"|xI",Aux_puntos!$1:$1,0))),NA())</f>
        <v>#N/A</v>
      </c>
      <c r="AH644" t="e">
        <f>IFERROR(IF(INDEX(Aux_puntos!$A$2:$OJ$901,640,MATCH($B$2&amp;"|yI",Aux_puntos!$1:$1,0))="",NA(),INDEX(Aux_puntos!$A$2:$OJ$901,640,MATCH($B$2&amp;"|yI",Aux_puntos!$1:$1,0))),NA())</f>
        <v>#N/A</v>
      </c>
      <c r="AI644" t="e">
        <f>IFERROR(IF(INDEX(Aux_puntos!$A$2:$OJ$901,640,MATCH($B$2&amp;"|xN",Aux_puntos!$1:$1,0))="",NA(),INDEX(Aux_puntos!$A$2:$OJ$901,640,MATCH($B$2&amp;"|xN",Aux_puntos!$1:$1,0))),NA())</f>
        <v>#N/A</v>
      </c>
      <c r="AJ644" t="e">
        <f>IFERROR(IF(INDEX(Aux_puntos!$A$2:$OJ$901,640,MATCH($B$2&amp;"|yN",Aux_puntos!$1:$1,0))="",NA(),INDEX(Aux_puntos!$A$2:$OJ$901,640,MATCH($B$2&amp;"|yN",Aux_puntos!$1:$1,0))),NA())</f>
        <v>#N/A</v>
      </c>
    </row>
    <row r="645" spans="29:36" x14ac:dyDescent="0.3">
      <c r="AC645" t="e">
        <f>IFERROR(IF(INDEX(Aux_puntos!$A$2:$OJ$901,641,MATCH($B$2&amp;"|xK",Aux_puntos!$1:$1,0))="",NA(),INDEX(Aux_puntos!$A$2:$OJ$901,641,MATCH($B$2&amp;"|xK",Aux_puntos!$1:$1,0))),NA())</f>
        <v>#N/A</v>
      </c>
      <c r="AD645" t="e">
        <f>IFERROR(IF(INDEX(Aux_puntos!$A$2:$OJ$901,641,MATCH($B$2&amp;"|yK",Aux_puntos!$1:$1,0))="",NA(),INDEX(Aux_puntos!$A$2:$OJ$901,641,MATCH($B$2&amp;"|yK",Aux_puntos!$1:$1,0))),NA())</f>
        <v>#N/A</v>
      </c>
      <c r="AE645" t="e">
        <f>IFERROR(IF(INDEX(Aux_puntos!$A$2:$OJ$901,641,MATCH($B$2&amp;"|xC",Aux_puntos!$1:$1,0))="",NA(),INDEX(Aux_puntos!$A$2:$OJ$901,641,MATCH($B$2&amp;"|xC",Aux_puntos!$1:$1,0))),NA())</f>
        <v>#N/A</v>
      </c>
      <c r="AF645" t="e">
        <f>IFERROR(IF(INDEX(Aux_puntos!$A$2:$OJ$901,641,MATCH($B$2&amp;"|yC",Aux_puntos!$1:$1,0))="",NA(),INDEX(Aux_puntos!$A$2:$OJ$901,641,MATCH($B$2&amp;"|yC",Aux_puntos!$1:$1,0))),NA())</f>
        <v>#N/A</v>
      </c>
      <c r="AG645" t="e">
        <f>IFERROR(IF(INDEX(Aux_puntos!$A$2:$OJ$901,641,MATCH($B$2&amp;"|xI",Aux_puntos!$1:$1,0))="",NA(),INDEX(Aux_puntos!$A$2:$OJ$901,641,MATCH($B$2&amp;"|xI",Aux_puntos!$1:$1,0))),NA())</f>
        <v>#N/A</v>
      </c>
      <c r="AH645" t="e">
        <f>IFERROR(IF(INDEX(Aux_puntos!$A$2:$OJ$901,641,MATCH($B$2&amp;"|yI",Aux_puntos!$1:$1,0))="",NA(),INDEX(Aux_puntos!$A$2:$OJ$901,641,MATCH($B$2&amp;"|yI",Aux_puntos!$1:$1,0))),NA())</f>
        <v>#N/A</v>
      </c>
      <c r="AI645" t="e">
        <f>IFERROR(IF(INDEX(Aux_puntos!$A$2:$OJ$901,641,MATCH($B$2&amp;"|xN",Aux_puntos!$1:$1,0))="",NA(),INDEX(Aux_puntos!$A$2:$OJ$901,641,MATCH($B$2&amp;"|xN",Aux_puntos!$1:$1,0))),NA())</f>
        <v>#N/A</v>
      </c>
      <c r="AJ645" t="e">
        <f>IFERROR(IF(INDEX(Aux_puntos!$A$2:$OJ$901,641,MATCH($B$2&amp;"|yN",Aux_puntos!$1:$1,0))="",NA(),INDEX(Aux_puntos!$A$2:$OJ$901,641,MATCH($B$2&amp;"|yN",Aux_puntos!$1:$1,0))),NA())</f>
        <v>#N/A</v>
      </c>
    </row>
    <row r="646" spans="29:36" x14ac:dyDescent="0.3">
      <c r="AC646" t="e">
        <f>IFERROR(IF(INDEX(Aux_puntos!$A$2:$OJ$901,642,MATCH($B$2&amp;"|xK",Aux_puntos!$1:$1,0))="",NA(),INDEX(Aux_puntos!$A$2:$OJ$901,642,MATCH($B$2&amp;"|xK",Aux_puntos!$1:$1,0))),NA())</f>
        <v>#N/A</v>
      </c>
      <c r="AD646" t="e">
        <f>IFERROR(IF(INDEX(Aux_puntos!$A$2:$OJ$901,642,MATCH($B$2&amp;"|yK",Aux_puntos!$1:$1,0))="",NA(),INDEX(Aux_puntos!$A$2:$OJ$901,642,MATCH($B$2&amp;"|yK",Aux_puntos!$1:$1,0))),NA())</f>
        <v>#N/A</v>
      </c>
      <c r="AE646" t="e">
        <f>IFERROR(IF(INDEX(Aux_puntos!$A$2:$OJ$901,642,MATCH($B$2&amp;"|xC",Aux_puntos!$1:$1,0))="",NA(),INDEX(Aux_puntos!$A$2:$OJ$901,642,MATCH($B$2&amp;"|xC",Aux_puntos!$1:$1,0))),NA())</f>
        <v>#N/A</v>
      </c>
      <c r="AF646" t="e">
        <f>IFERROR(IF(INDEX(Aux_puntos!$A$2:$OJ$901,642,MATCH($B$2&amp;"|yC",Aux_puntos!$1:$1,0))="",NA(),INDEX(Aux_puntos!$A$2:$OJ$901,642,MATCH($B$2&amp;"|yC",Aux_puntos!$1:$1,0))),NA())</f>
        <v>#N/A</v>
      </c>
      <c r="AG646" t="e">
        <f>IFERROR(IF(INDEX(Aux_puntos!$A$2:$OJ$901,642,MATCH($B$2&amp;"|xI",Aux_puntos!$1:$1,0))="",NA(),INDEX(Aux_puntos!$A$2:$OJ$901,642,MATCH($B$2&amp;"|xI",Aux_puntos!$1:$1,0))),NA())</f>
        <v>#N/A</v>
      </c>
      <c r="AH646" t="e">
        <f>IFERROR(IF(INDEX(Aux_puntos!$A$2:$OJ$901,642,MATCH($B$2&amp;"|yI",Aux_puntos!$1:$1,0))="",NA(),INDEX(Aux_puntos!$A$2:$OJ$901,642,MATCH($B$2&amp;"|yI",Aux_puntos!$1:$1,0))),NA())</f>
        <v>#N/A</v>
      </c>
      <c r="AI646" t="e">
        <f>IFERROR(IF(INDEX(Aux_puntos!$A$2:$OJ$901,642,MATCH($B$2&amp;"|xN",Aux_puntos!$1:$1,0))="",NA(),INDEX(Aux_puntos!$A$2:$OJ$901,642,MATCH($B$2&amp;"|xN",Aux_puntos!$1:$1,0))),NA())</f>
        <v>#N/A</v>
      </c>
      <c r="AJ646" t="e">
        <f>IFERROR(IF(INDEX(Aux_puntos!$A$2:$OJ$901,642,MATCH($B$2&amp;"|yN",Aux_puntos!$1:$1,0))="",NA(),INDEX(Aux_puntos!$A$2:$OJ$901,642,MATCH($B$2&amp;"|yN",Aux_puntos!$1:$1,0))),NA())</f>
        <v>#N/A</v>
      </c>
    </row>
    <row r="647" spans="29:36" x14ac:dyDescent="0.3">
      <c r="AC647" t="e">
        <f>IFERROR(IF(INDEX(Aux_puntos!$A$2:$OJ$901,643,MATCH($B$2&amp;"|xK",Aux_puntos!$1:$1,0))="",NA(),INDEX(Aux_puntos!$A$2:$OJ$901,643,MATCH($B$2&amp;"|xK",Aux_puntos!$1:$1,0))),NA())</f>
        <v>#N/A</v>
      </c>
      <c r="AD647" t="e">
        <f>IFERROR(IF(INDEX(Aux_puntos!$A$2:$OJ$901,643,MATCH($B$2&amp;"|yK",Aux_puntos!$1:$1,0))="",NA(),INDEX(Aux_puntos!$A$2:$OJ$901,643,MATCH($B$2&amp;"|yK",Aux_puntos!$1:$1,0))),NA())</f>
        <v>#N/A</v>
      </c>
      <c r="AE647" t="e">
        <f>IFERROR(IF(INDEX(Aux_puntos!$A$2:$OJ$901,643,MATCH($B$2&amp;"|xC",Aux_puntos!$1:$1,0))="",NA(),INDEX(Aux_puntos!$A$2:$OJ$901,643,MATCH($B$2&amp;"|xC",Aux_puntos!$1:$1,0))),NA())</f>
        <v>#N/A</v>
      </c>
      <c r="AF647" t="e">
        <f>IFERROR(IF(INDEX(Aux_puntos!$A$2:$OJ$901,643,MATCH($B$2&amp;"|yC",Aux_puntos!$1:$1,0))="",NA(),INDEX(Aux_puntos!$A$2:$OJ$901,643,MATCH($B$2&amp;"|yC",Aux_puntos!$1:$1,0))),NA())</f>
        <v>#N/A</v>
      </c>
      <c r="AG647" t="e">
        <f>IFERROR(IF(INDEX(Aux_puntos!$A$2:$OJ$901,643,MATCH($B$2&amp;"|xI",Aux_puntos!$1:$1,0))="",NA(),INDEX(Aux_puntos!$A$2:$OJ$901,643,MATCH($B$2&amp;"|xI",Aux_puntos!$1:$1,0))),NA())</f>
        <v>#N/A</v>
      </c>
      <c r="AH647" t="e">
        <f>IFERROR(IF(INDEX(Aux_puntos!$A$2:$OJ$901,643,MATCH($B$2&amp;"|yI",Aux_puntos!$1:$1,0))="",NA(),INDEX(Aux_puntos!$A$2:$OJ$901,643,MATCH($B$2&amp;"|yI",Aux_puntos!$1:$1,0))),NA())</f>
        <v>#N/A</v>
      </c>
      <c r="AI647" t="e">
        <f>IFERROR(IF(INDEX(Aux_puntos!$A$2:$OJ$901,643,MATCH($B$2&amp;"|xN",Aux_puntos!$1:$1,0))="",NA(),INDEX(Aux_puntos!$A$2:$OJ$901,643,MATCH($B$2&amp;"|xN",Aux_puntos!$1:$1,0))),NA())</f>
        <v>#N/A</v>
      </c>
      <c r="AJ647" t="e">
        <f>IFERROR(IF(INDEX(Aux_puntos!$A$2:$OJ$901,643,MATCH($B$2&amp;"|yN",Aux_puntos!$1:$1,0))="",NA(),INDEX(Aux_puntos!$A$2:$OJ$901,643,MATCH($B$2&amp;"|yN",Aux_puntos!$1:$1,0))),NA())</f>
        <v>#N/A</v>
      </c>
    </row>
    <row r="648" spans="29:36" x14ac:dyDescent="0.3">
      <c r="AC648" t="e">
        <f>IFERROR(IF(INDEX(Aux_puntos!$A$2:$OJ$901,644,MATCH($B$2&amp;"|xK",Aux_puntos!$1:$1,0))="",NA(),INDEX(Aux_puntos!$A$2:$OJ$901,644,MATCH($B$2&amp;"|xK",Aux_puntos!$1:$1,0))),NA())</f>
        <v>#N/A</v>
      </c>
      <c r="AD648" t="e">
        <f>IFERROR(IF(INDEX(Aux_puntos!$A$2:$OJ$901,644,MATCH($B$2&amp;"|yK",Aux_puntos!$1:$1,0))="",NA(),INDEX(Aux_puntos!$A$2:$OJ$901,644,MATCH($B$2&amp;"|yK",Aux_puntos!$1:$1,0))),NA())</f>
        <v>#N/A</v>
      </c>
      <c r="AE648" t="e">
        <f>IFERROR(IF(INDEX(Aux_puntos!$A$2:$OJ$901,644,MATCH($B$2&amp;"|xC",Aux_puntos!$1:$1,0))="",NA(),INDEX(Aux_puntos!$A$2:$OJ$901,644,MATCH($B$2&amp;"|xC",Aux_puntos!$1:$1,0))),NA())</f>
        <v>#N/A</v>
      </c>
      <c r="AF648" t="e">
        <f>IFERROR(IF(INDEX(Aux_puntos!$A$2:$OJ$901,644,MATCH($B$2&amp;"|yC",Aux_puntos!$1:$1,0))="",NA(),INDEX(Aux_puntos!$A$2:$OJ$901,644,MATCH($B$2&amp;"|yC",Aux_puntos!$1:$1,0))),NA())</f>
        <v>#N/A</v>
      </c>
      <c r="AG648" t="e">
        <f>IFERROR(IF(INDEX(Aux_puntos!$A$2:$OJ$901,644,MATCH($B$2&amp;"|xI",Aux_puntos!$1:$1,0))="",NA(),INDEX(Aux_puntos!$A$2:$OJ$901,644,MATCH($B$2&amp;"|xI",Aux_puntos!$1:$1,0))),NA())</f>
        <v>#N/A</v>
      </c>
      <c r="AH648" t="e">
        <f>IFERROR(IF(INDEX(Aux_puntos!$A$2:$OJ$901,644,MATCH($B$2&amp;"|yI",Aux_puntos!$1:$1,0))="",NA(),INDEX(Aux_puntos!$A$2:$OJ$901,644,MATCH($B$2&amp;"|yI",Aux_puntos!$1:$1,0))),NA())</f>
        <v>#N/A</v>
      </c>
      <c r="AI648" t="e">
        <f>IFERROR(IF(INDEX(Aux_puntos!$A$2:$OJ$901,644,MATCH($B$2&amp;"|xN",Aux_puntos!$1:$1,0))="",NA(),INDEX(Aux_puntos!$A$2:$OJ$901,644,MATCH($B$2&amp;"|xN",Aux_puntos!$1:$1,0))),NA())</f>
        <v>#N/A</v>
      </c>
      <c r="AJ648" t="e">
        <f>IFERROR(IF(INDEX(Aux_puntos!$A$2:$OJ$901,644,MATCH($B$2&amp;"|yN",Aux_puntos!$1:$1,0))="",NA(),INDEX(Aux_puntos!$A$2:$OJ$901,644,MATCH($B$2&amp;"|yN",Aux_puntos!$1:$1,0))),NA())</f>
        <v>#N/A</v>
      </c>
    </row>
    <row r="649" spans="29:36" x14ac:dyDescent="0.3">
      <c r="AC649" t="e">
        <f>IFERROR(IF(INDEX(Aux_puntos!$A$2:$OJ$901,645,MATCH($B$2&amp;"|xK",Aux_puntos!$1:$1,0))="",NA(),INDEX(Aux_puntos!$A$2:$OJ$901,645,MATCH($B$2&amp;"|xK",Aux_puntos!$1:$1,0))),NA())</f>
        <v>#N/A</v>
      </c>
      <c r="AD649" t="e">
        <f>IFERROR(IF(INDEX(Aux_puntos!$A$2:$OJ$901,645,MATCH($B$2&amp;"|yK",Aux_puntos!$1:$1,0))="",NA(),INDEX(Aux_puntos!$A$2:$OJ$901,645,MATCH($B$2&amp;"|yK",Aux_puntos!$1:$1,0))),NA())</f>
        <v>#N/A</v>
      </c>
      <c r="AE649" t="e">
        <f>IFERROR(IF(INDEX(Aux_puntos!$A$2:$OJ$901,645,MATCH($B$2&amp;"|xC",Aux_puntos!$1:$1,0))="",NA(),INDEX(Aux_puntos!$A$2:$OJ$901,645,MATCH($B$2&amp;"|xC",Aux_puntos!$1:$1,0))),NA())</f>
        <v>#N/A</v>
      </c>
      <c r="AF649" t="e">
        <f>IFERROR(IF(INDEX(Aux_puntos!$A$2:$OJ$901,645,MATCH($B$2&amp;"|yC",Aux_puntos!$1:$1,0))="",NA(),INDEX(Aux_puntos!$A$2:$OJ$901,645,MATCH($B$2&amp;"|yC",Aux_puntos!$1:$1,0))),NA())</f>
        <v>#N/A</v>
      </c>
      <c r="AG649" t="e">
        <f>IFERROR(IF(INDEX(Aux_puntos!$A$2:$OJ$901,645,MATCH($B$2&amp;"|xI",Aux_puntos!$1:$1,0))="",NA(),INDEX(Aux_puntos!$A$2:$OJ$901,645,MATCH($B$2&amp;"|xI",Aux_puntos!$1:$1,0))),NA())</f>
        <v>#N/A</v>
      </c>
      <c r="AH649" t="e">
        <f>IFERROR(IF(INDEX(Aux_puntos!$A$2:$OJ$901,645,MATCH($B$2&amp;"|yI",Aux_puntos!$1:$1,0))="",NA(),INDEX(Aux_puntos!$A$2:$OJ$901,645,MATCH($B$2&amp;"|yI",Aux_puntos!$1:$1,0))),NA())</f>
        <v>#N/A</v>
      </c>
      <c r="AI649" t="e">
        <f>IFERROR(IF(INDEX(Aux_puntos!$A$2:$OJ$901,645,MATCH($B$2&amp;"|xN",Aux_puntos!$1:$1,0))="",NA(),INDEX(Aux_puntos!$A$2:$OJ$901,645,MATCH($B$2&amp;"|xN",Aux_puntos!$1:$1,0))),NA())</f>
        <v>#N/A</v>
      </c>
      <c r="AJ649" t="e">
        <f>IFERROR(IF(INDEX(Aux_puntos!$A$2:$OJ$901,645,MATCH($B$2&amp;"|yN",Aux_puntos!$1:$1,0))="",NA(),INDEX(Aux_puntos!$A$2:$OJ$901,645,MATCH($B$2&amp;"|yN",Aux_puntos!$1:$1,0))),NA())</f>
        <v>#N/A</v>
      </c>
    </row>
    <row r="650" spans="29:36" x14ac:dyDescent="0.3">
      <c r="AC650" t="e">
        <f>IFERROR(IF(INDEX(Aux_puntos!$A$2:$OJ$901,646,MATCH($B$2&amp;"|xK",Aux_puntos!$1:$1,0))="",NA(),INDEX(Aux_puntos!$A$2:$OJ$901,646,MATCH($B$2&amp;"|xK",Aux_puntos!$1:$1,0))),NA())</f>
        <v>#N/A</v>
      </c>
      <c r="AD650" t="e">
        <f>IFERROR(IF(INDEX(Aux_puntos!$A$2:$OJ$901,646,MATCH($B$2&amp;"|yK",Aux_puntos!$1:$1,0))="",NA(),INDEX(Aux_puntos!$A$2:$OJ$901,646,MATCH($B$2&amp;"|yK",Aux_puntos!$1:$1,0))),NA())</f>
        <v>#N/A</v>
      </c>
      <c r="AE650" t="e">
        <f>IFERROR(IF(INDEX(Aux_puntos!$A$2:$OJ$901,646,MATCH($B$2&amp;"|xC",Aux_puntos!$1:$1,0))="",NA(),INDEX(Aux_puntos!$A$2:$OJ$901,646,MATCH($B$2&amp;"|xC",Aux_puntos!$1:$1,0))),NA())</f>
        <v>#N/A</v>
      </c>
      <c r="AF650" t="e">
        <f>IFERROR(IF(INDEX(Aux_puntos!$A$2:$OJ$901,646,MATCH($B$2&amp;"|yC",Aux_puntos!$1:$1,0))="",NA(),INDEX(Aux_puntos!$A$2:$OJ$901,646,MATCH($B$2&amp;"|yC",Aux_puntos!$1:$1,0))),NA())</f>
        <v>#N/A</v>
      </c>
      <c r="AG650" t="e">
        <f>IFERROR(IF(INDEX(Aux_puntos!$A$2:$OJ$901,646,MATCH($B$2&amp;"|xI",Aux_puntos!$1:$1,0))="",NA(),INDEX(Aux_puntos!$A$2:$OJ$901,646,MATCH($B$2&amp;"|xI",Aux_puntos!$1:$1,0))),NA())</f>
        <v>#N/A</v>
      </c>
      <c r="AH650" t="e">
        <f>IFERROR(IF(INDEX(Aux_puntos!$A$2:$OJ$901,646,MATCH($B$2&amp;"|yI",Aux_puntos!$1:$1,0))="",NA(),INDEX(Aux_puntos!$A$2:$OJ$901,646,MATCH($B$2&amp;"|yI",Aux_puntos!$1:$1,0))),NA())</f>
        <v>#N/A</v>
      </c>
      <c r="AI650" t="e">
        <f>IFERROR(IF(INDEX(Aux_puntos!$A$2:$OJ$901,646,MATCH($B$2&amp;"|xN",Aux_puntos!$1:$1,0))="",NA(),INDEX(Aux_puntos!$A$2:$OJ$901,646,MATCH($B$2&amp;"|xN",Aux_puntos!$1:$1,0))),NA())</f>
        <v>#N/A</v>
      </c>
      <c r="AJ650" t="e">
        <f>IFERROR(IF(INDEX(Aux_puntos!$A$2:$OJ$901,646,MATCH($B$2&amp;"|yN",Aux_puntos!$1:$1,0))="",NA(),INDEX(Aux_puntos!$A$2:$OJ$901,646,MATCH($B$2&amp;"|yN",Aux_puntos!$1:$1,0))),NA())</f>
        <v>#N/A</v>
      </c>
    </row>
    <row r="651" spans="29:36" x14ac:dyDescent="0.3">
      <c r="AC651" t="e">
        <f>IFERROR(IF(INDEX(Aux_puntos!$A$2:$OJ$901,647,MATCH($B$2&amp;"|xK",Aux_puntos!$1:$1,0))="",NA(),INDEX(Aux_puntos!$A$2:$OJ$901,647,MATCH($B$2&amp;"|xK",Aux_puntos!$1:$1,0))),NA())</f>
        <v>#N/A</v>
      </c>
      <c r="AD651" t="e">
        <f>IFERROR(IF(INDEX(Aux_puntos!$A$2:$OJ$901,647,MATCH($B$2&amp;"|yK",Aux_puntos!$1:$1,0))="",NA(),INDEX(Aux_puntos!$A$2:$OJ$901,647,MATCH($B$2&amp;"|yK",Aux_puntos!$1:$1,0))),NA())</f>
        <v>#N/A</v>
      </c>
      <c r="AE651" t="e">
        <f>IFERROR(IF(INDEX(Aux_puntos!$A$2:$OJ$901,647,MATCH($B$2&amp;"|xC",Aux_puntos!$1:$1,0))="",NA(),INDEX(Aux_puntos!$A$2:$OJ$901,647,MATCH($B$2&amp;"|xC",Aux_puntos!$1:$1,0))),NA())</f>
        <v>#N/A</v>
      </c>
      <c r="AF651" t="e">
        <f>IFERROR(IF(INDEX(Aux_puntos!$A$2:$OJ$901,647,MATCH($B$2&amp;"|yC",Aux_puntos!$1:$1,0))="",NA(),INDEX(Aux_puntos!$A$2:$OJ$901,647,MATCH($B$2&amp;"|yC",Aux_puntos!$1:$1,0))),NA())</f>
        <v>#N/A</v>
      </c>
      <c r="AG651" t="e">
        <f>IFERROR(IF(INDEX(Aux_puntos!$A$2:$OJ$901,647,MATCH($B$2&amp;"|xI",Aux_puntos!$1:$1,0))="",NA(),INDEX(Aux_puntos!$A$2:$OJ$901,647,MATCH($B$2&amp;"|xI",Aux_puntos!$1:$1,0))),NA())</f>
        <v>#N/A</v>
      </c>
      <c r="AH651" t="e">
        <f>IFERROR(IF(INDEX(Aux_puntos!$A$2:$OJ$901,647,MATCH($B$2&amp;"|yI",Aux_puntos!$1:$1,0))="",NA(),INDEX(Aux_puntos!$A$2:$OJ$901,647,MATCH($B$2&amp;"|yI",Aux_puntos!$1:$1,0))),NA())</f>
        <v>#N/A</v>
      </c>
      <c r="AI651" t="e">
        <f>IFERROR(IF(INDEX(Aux_puntos!$A$2:$OJ$901,647,MATCH($B$2&amp;"|xN",Aux_puntos!$1:$1,0))="",NA(),INDEX(Aux_puntos!$A$2:$OJ$901,647,MATCH($B$2&amp;"|xN",Aux_puntos!$1:$1,0))),NA())</f>
        <v>#N/A</v>
      </c>
      <c r="AJ651" t="e">
        <f>IFERROR(IF(INDEX(Aux_puntos!$A$2:$OJ$901,647,MATCH($B$2&amp;"|yN",Aux_puntos!$1:$1,0))="",NA(),INDEX(Aux_puntos!$A$2:$OJ$901,647,MATCH($B$2&amp;"|yN",Aux_puntos!$1:$1,0))),NA())</f>
        <v>#N/A</v>
      </c>
    </row>
    <row r="652" spans="29:36" x14ac:dyDescent="0.3">
      <c r="AC652" t="e">
        <f>IFERROR(IF(INDEX(Aux_puntos!$A$2:$OJ$901,648,MATCH($B$2&amp;"|xK",Aux_puntos!$1:$1,0))="",NA(),INDEX(Aux_puntos!$A$2:$OJ$901,648,MATCH($B$2&amp;"|xK",Aux_puntos!$1:$1,0))),NA())</f>
        <v>#N/A</v>
      </c>
      <c r="AD652" t="e">
        <f>IFERROR(IF(INDEX(Aux_puntos!$A$2:$OJ$901,648,MATCH($B$2&amp;"|yK",Aux_puntos!$1:$1,0))="",NA(),INDEX(Aux_puntos!$A$2:$OJ$901,648,MATCH($B$2&amp;"|yK",Aux_puntos!$1:$1,0))),NA())</f>
        <v>#N/A</v>
      </c>
      <c r="AE652" t="e">
        <f>IFERROR(IF(INDEX(Aux_puntos!$A$2:$OJ$901,648,MATCH($B$2&amp;"|xC",Aux_puntos!$1:$1,0))="",NA(),INDEX(Aux_puntos!$A$2:$OJ$901,648,MATCH($B$2&amp;"|xC",Aux_puntos!$1:$1,0))),NA())</f>
        <v>#N/A</v>
      </c>
      <c r="AF652" t="e">
        <f>IFERROR(IF(INDEX(Aux_puntos!$A$2:$OJ$901,648,MATCH($B$2&amp;"|yC",Aux_puntos!$1:$1,0))="",NA(),INDEX(Aux_puntos!$A$2:$OJ$901,648,MATCH($B$2&amp;"|yC",Aux_puntos!$1:$1,0))),NA())</f>
        <v>#N/A</v>
      </c>
      <c r="AG652" t="e">
        <f>IFERROR(IF(INDEX(Aux_puntos!$A$2:$OJ$901,648,MATCH($B$2&amp;"|xI",Aux_puntos!$1:$1,0))="",NA(),INDEX(Aux_puntos!$A$2:$OJ$901,648,MATCH($B$2&amp;"|xI",Aux_puntos!$1:$1,0))),NA())</f>
        <v>#N/A</v>
      </c>
      <c r="AH652" t="e">
        <f>IFERROR(IF(INDEX(Aux_puntos!$A$2:$OJ$901,648,MATCH($B$2&amp;"|yI",Aux_puntos!$1:$1,0))="",NA(),INDEX(Aux_puntos!$A$2:$OJ$901,648,MATCH($B$2&amp;"|yI",Aux_puntos!$1:$1,0))),NA())</f>
        <v>#N/A</v>
      </c>
      <c r="AI652" t="e">
        <f>IFERROR(IF(INDEX(Aux_puntos!$A$2:$OJ$901,648,MATCH($B$2&amp;"|xN",Aux_puntos!$1:$1,0))="",NA(),INDEX(Aux_puntos!$A$2:$OJ$901,648,MATCH($B$2&amp;"|xN",Aux_puntos!$1:$1,0))),NA())</f>
        <v>#N/A</v>
      </c>
      <c r="AJ652" t="e">
        <f>IFERROR(IF(INDEX(Aux_puntos!$A$2:$OJ$901,648,MATCH($B$2&amp;"|yN",Aux_puntos!$1:$1,0))="",NA(),INDEX(Aux_puntos!$A$2:$OJ$901,648,MATCH($B$2&amp;"|yN",Aux_puntos!$1:$1,0))),NA())</f>
        <v>#N/A</v>
      </c>
    </row>
    <row r="653" spans="29:36" x14ac:dyDescent="0.3">
      <c r="AC653" t="e">
        <f>IFERROR(IF(INDEX(Aux_puntos!$A$2:$OJ$901,649,MATCH($B$2&amp;"|xK",Aux_puntos!$1:$1,0))="",NA(),INDEX(Aux_puntos!$A$2:$OJ$901,649,MATCH($B$2&amp;"|xK",Aux_puntos!$1:$1,0))),NA())</f>
        <v>#N/A</v>
      </c>
      <c r="AD653" t="e">
        <f>IFERROR(IF(INDEX(Aux_puntos!$A$2:$OJ$901,649,MATCH($B$2&amp;"|yK",Aux_puntos!$1:$1,0))="",NA(),INDEX(Aux_puntos!$A$2:$OJ$901,649,MATCH($B$2&amp;"|yK",Aux_puntos!$1:$1,0))),NA())</f>
        <v>#N/A</v>
      </c>
      <c r="AE653" t="e">
        <f>IFERROR(IF(INDEX(Aux_puntos!$A$2:$OJ$901,649,MATCH($B$2&amp;"|xC",Aux_puntos!$1:$1,0))="",NA(),INDEX(Aux_puntos!$A$2:$OJ$901,649,MATCH($B$2&amp;"|xC",Aux_puntos!$1:$1,0))),NA())</f>
        <v>#N/A</v>
      </c>
      <c r="AF653" t="e">
        <f>IFERROR(IF(INDEX(Aux_puntos!$A$2:$OJ$901,649,MATCH($B$2&amp;"|yC",Aux_puntos!$1:$1,0))="",NA(),INDEX(Aux_puntos!$A$2:$OJ$901,649,MATCH($B$2&amp;"|yC",Aux_puntos!$1:$1,0))),NA())</f>
        <v>#N/A</v>
      </c>
      <c r="AG653" t="e">
        <f>IFERROR(IF(INDEX(Aux_puntos!$A$2:$OJ$901,649,MATCH($B$2&amp;"|xI",Aux_puntos!$1:$1,0))="",NA(),INDEX(Aux_puntos!$A$2:$OJ$901,649,MATCH($B$2&amp;"|xI",Aux_puntos!$1:$1,0))),NA())</f>
        <v>#N/A</v>
      </c>
      <c r="AH653" t="e">
        <f>IFERROR(IF(INDEX(Aux_puntos!$A$2:$OJ$901,649,MATCH($B$2&amp;"|yI",Aux_puntos!$1:$1,0))="",NA(),INDEX(Aux_puntos!$A$2:$OJ$901,649,MATCH($B$2&amp;"|yI",Aux_puntos!$1:$1,0))),NA())</f>
        <v>#N/A</v>
      </c>
      <c r="AI653" t="e">
        <f>IFERROR(IF(INDEX(Aux_puntos!$A$2:$OJ$901,649,MATCH($B$2&amp;"|xN",Aux_puntos!$1:$1,0))="",NA(),INDEX(Aux_puntos!$A$2:$OJ$901,649,MATCH($B$2&amp;"|xN",Aux_puntos!$1:$1,0))),NA())</f>
        <v>#N/A</v>
      </c>
      <c r="AJ653" t="e">
        <f>IFERROR(IF(INDEX(Aux_puntos!$A$2:$OJ$901,649,MATCH($B$2&amp;"|yN",Aux_puntos!$1:$1,0))="",NA(),INDEX(Aux_puntos!$A$2:$OJ$901,649,MATCH($B$2&amp;"|yN",Aux_puntos!$1:$1,0))),NA())</f>
        <v>#N/A</v>
      </c>
    </row>
    <row r="654" spans="29:36" x14ac:dyDescent="0.3">
      <c r="AC654" t="e">
        <f>IFERROR(IF(INDEX(Aux_puntos!$A$2:$OJ$901,650,MATCH($B$2&amp;"|xK",Aux_puntos!$1:$1,0))="",NA(),INDEX(Aux_puntos!$A$2:$OJ$901,650,MATCH($B$2&amp;"|xK",Aux_puntos!$1:$1,0))),NA())</f>
        <v>#N/A</v>
      </c>
      <c r="AD654" t="e">
        <f>IFERROR(IF(INDEX(Aux_puntos!$A$2:$OJ$901,650,MATCH($B$2&amp;"|yK",Aux_puntos!$1:$1,0))="",NA(),INDEX(Aux_puntos!$A$2:$OJ$901,650,MATCH($B$2&amp;"|yK",Aux_puntos!$1:$1,0))),NA())</f>
        <v>#N/A</v>
      </c>
      <c r="AE654" t="e">
        <f>IFERROR(IF(INDEX(Aux_puntos!$A$2:$OJ$901,650,MATCH($B$2&amp;"|xC",Aux_puntos!$1:$1,0))="",NA(),INDEX(Aux_puntos!$A$2:$OJ$901,650,MATCH($B$2&amp;"|xC",Aux_puntos!$1:$1,0))),NA())</f>
        <v>#N/A</v>
      </c>
      <c r="AF654" t="e">
        <f>IFERROR(IF(INDEX(Aux_puntos!$A$2:$OJ$901,650,MATCH($B$2&amp;"|yC",Aux_puntos!$1:$1,0))="",NA(),INDEX(Aux_puntos!$A$2:$OJ$901,650,MATCH($B$2&amp;"|yC",Aux_puntos!$1:$1,0))),NA())</f>
        <v>#N/A</v>
      </c>
      <c r="AG654" t="e">
        <f>IFERROR(IF(INDEX(Aux_puntos!$A$2:$OJ$901,650,MATCH($B$2&amp;"|xI",Aux_puntos!$1:$1,0))="",NA(),INDEX(Aux_puntos!$A$2:$OJ$901,650,MATCH($B$2&amp;"|xI",Aux_puntos!$1:$1,0))),NA())</f>
        <v>#N/A</v>
      </c>
      <c r="AH654" t="e">
        <f>IFERROR(IF(INDEX(Aux_puntos!$A$2:$OJ$901,650,MATCH($B$2&amp;"|yI",Aux_puntos!$1:$1,0))="",NA(),INDEX(Aux_puntos!$A$2:$OJ$901,650,MATCH($B$2&amp;"|yI",Aux_puntos!$1:$1,0))),NA())</f>
        <v>#N/A</v>
      </c>
      <c r="AI654" t="e">
        <f>IFERROR(IF(INDEX(Aux_puntos!$A$2:$OJ$901,650,MATCH($B$2&amp;"|xN",Aux_puntos!$1:$1,0))="",NA(),INDEX(Aux_puntos!$A$2:$OJ$901,650,MATCH($B$2&amp;"|xN",Aux_puntos!$1:$1,0))),NA())</f>
        <v>#N/A</v>
      </c>
      <c r="AJ654" t="e">
        <f>IFERROR(IF(INDEX(Aux_puntos!$A$2:$OJ$901,650,MATCH($B$2&amp;"|yN",Aux_puntos!$1:$1,0))="",NA(),INDEX(Aux_puntos!$A$2:$OJ$901,650,MATCH($B$2&amp;"|yN",Aux_puntos!$1:$1,0))),NA())</f>
        <v>#N/A</v>
      </c>
    </row>
    <row r="655" spans="29:36" x14ac:dyDescent="0.3">
      <c r="AC655" t="e">
        <f>IFERROR(IF(INDEX(Aux_puntos!$A$2:$OJ$901,651,MATCH($B$2&amp;"|xK",Aux_puntos!$1:$1,0))="",NA(),INDEX(Aux_puntos!$A$2:$OJ$901,651,MATCH($B$2&amp;"|xK",Aux_puntos!$1:$1,0))),NA())</f>
        <v>#N/A</v>
      </c>
      <c r="AD655" t="e">
        <f>IFERROR(IF(INDEX(Aux_puntos!$A$2:$OJ$901,651,MATCH($B$2&amp;"|yK",Aux_puntos!$1:$1,0))="",NA(),INDEX(Aux_puntos!$A$2:$OJ$901,651,MATCH($B$2&amp;"|yK",Aux_puntos!$1:$1,0))),NA())</f>
        <v>#N/A</v>
      </c>
      <c r="AE655" t="e">
        <f>IFERROR(IF(INDEX(Aux_puntos!$A$2:$OJ$901,651,MATCH($B$2&amp;"|xC",Aux_puntos!$1:$1,0))="",NA(),INDEX(Aux_puntos!$A$2:$OJ$901,651,MATCH($B$2&amp;"|xC",Aux_puntos!$1:$1,0))),NA())</f>
        <v>#N/A</v>
      </c>
      <c r="AF655" t="e">
        <f>IFERROR(IF(INDEX(Aux_puntos!$A$2:$OJ$901,651,MATCH($B$2&amp;"|yC",Aux_puntos!$1:$1,0))="",NA(),INDEX(Aux_puntos!$A$2:$OJ$901,651,MATCH($B$2&amp;"|yC",Aux_puntos!$1:$1,0))),NA())</f>
        <v>#N/A</v>
      </c>
      <c r="AG655" t="e">
        <f>IFERROR(IF(INDEX(Aux_puntos!$A$2:$OJ$901,651,MATCH($B$2&amp;"|xI",Aux_puntos!$1:$1,0))="",NA(),INDEX(Aux_puntos!$A$2:$OJ$901,651,MATCH($B$2&amp;"|xI",Aux_puntos!$1:$1,0))),NA())</f>
        <v>#N/A</v>
      </c>
      <c r="AH655" t="e">
        <f>IFERROR(IF(INDEX(Aux_puntos!$A$2:$OJ$901,651,MATCH($B$2&amp;"|yI",Aux_puntos!$1:$1,0))="",NA(),INDEX(Aux_puntos!$A$2:$OJ$901,651,MATCH($B$2&amp;"|yI",Aux_puntos!$1:$1,0))),NA())</f>
        <v>#N/A</v>
      </c>
      <c r="AI655" t="e">
        <f>IFERROR(IF(INDEX(Aux_puntos!$A$2:$OJ$901,651,MATCH($B$2&amp;"|xN",Aux_puntos!$1:$1,0))="",NA(),INDEX(Aux_puntos!$A$2:$OJ$901,651,MATCH($B$2&amp;"|xN",Aux_puntos!$1:$1,0))),NA())</f>
        <v>#N/A</v>
      </c>
      <c r="AJ655" t="e">
        <f>IFERROR(IF(INDEX(Aux_puntos!$A$2:$OJ$901,651,MATCH($B$2&amp;"|yN",Aux_puntos!$1:$1,0))="",NA(),INDEX(Aux_puntos!$A$2:$OJ$901,651,MATCH($B$2&amp;"|yN",Aux_puntos!$1:$1,0))),NA())</f>
        <v>#N/A</v>
      </c>
    </row>
    <row r="656" spans="29:36" x14ac:dyDescent="0.3">
      <c r="AC656" t="e">
        <f>IFERROR(IF(INDEX(Aux_puntos!$A$2:$OJ$901,652,MATCH($B$2&amp;"|xK",Aux_puntos!$1:$1,0))="",NA(),INDEX(Aux_puntos!$A$2:$OJ$901,652,MATCH($B$2&amp;"|xK",Aux_puntos!$1:$1,0))),NA())</f>
        <v>#N/A</v>
      </c>
      <c r="AD656" t="e">
        <f>IFERROR(IF(INDEX(Aux_puntos!$A$2:$OJ$901,652,MATCH($B$2&amp;"|yK",Aux_puntos!$1:$1,0))="",NA(),INDEX(Aux_puntos!$A$2:$OJ$901,652,MATCH($B$2&amp;"|yK",Aux_puntos!$1:$1,0))),NA())</f>
        <v>#N/A</v>
      </c>
      <c r="AE656" t="e">
        <f>IFERROR(IF(INDEX(Aux_puntos!$A$2:$OJ$901,652,MATCH($B$2&amp;"|xC",Aux_puntos!$1:$1,0))="",NA(),INDEX(Aux_puntos!$A$2:$OJ$901,652,MATCH($B$2&amp;"|xC",Aux_puntos!$1:$1,0))),NA())</f>
        <v>#N/A</v>
      </c>
      <c r="AF656" t="e">
        <f>IFERROR(IF(INDEX(Aux_puntos!$A$2:$OJ$901,652,MATCH($B$2&amp;"|yC",Aux_puntos!$1:$1,0))="",NA(),INDEX(Aux_puntos!$A$2:$OJ$901,652,MATCH($B$2&amp;"|yC",Aux_puntos!$1:$1,0))),NA())</f>
        <v>#N/A</v>
      </c>
      <c r="AG656" t="e">
        <f>IFERROR(IF(INDEX(Aux_puntos!$A$2:$OJ$901,652,MATCH($B$2&amp;"|xI",Aux_puntos!$1:$1,0))="",NA(),INDEX(Aux_puntos!$A$2:$OJ$901,652,MATCH($B$2&amp;"|xI",Aux_puntos!$1:$1,0))),NA())</f>
        <v>#N/A</v>
      </c>
      <c r="AH656" t="e">
        <f>IFERROR(IF(INDEX(Aux_puntos!$A$2:$OJ$901,652,MATCH($B$2&amp;"|yI",Aux_puntos!$1:$1,0))="",NA(),INDEX(Aux_puntos!$A$2:$OJ$901,652,MATCH($B$2&amp;"|yI",Aux_puntos!$1:$1,0))),NA())</f>
        <v>#N/A</v>
      </c>
      <c r="AI656" t="e">
        <f>IFERROR(IF(INDEX(Aux_puntos!$A$2:$OJ$901,652,MATCH($B$2&amp;"|xN",Aux_puntos!$1:$1,0))="",NA(),INDEX(Aux_puntos!$A$2:$OJ$901,652,MATCH($B$2&amp;"|xN",Aux_puntos!$1:$1,0))),NA())</f>
        <v>#N/A</v>
      </c>
      <c r="AJ656" t="e">
        <f>IFERROR(IF(INDEX(Aux_puntos!$A$2:$OJ$901,652,MATCH($B$2&amp;"|yN",Aux_puntos!$1:$1,0))="",NA(),INDEX(Aux_puntos!$A$2:$OJ$901,652,MATCH($B$2&amp;"|yN",Aux_puntos!$1:$1,0))),NA())</f>
        <v>#N/A</v>
      </c>
    </row>
    <row r="657" spans="29:36" x14ac:dyDescent="0.3">
      <c r="AC657" t="e">
        <f>IFERROR(IF(INDEX(Aux_puntos!$A$2:$OJ$901,653,MATCH($B$2&amp;"|xK",Aux_puntos!$1:$1,0))="",NA(),INDEX(Aux_puntos!$A$2:$OJ$901,653,MATCH($B$2&amp;"|xK",Aux_puntos!$1:$1,0))),NA())</f>
        <v>#N/A</v>
      </c>
      <c r="AD657" t="e">
        <f>IFERROR(IF(INDEX(Aux_puntos!$A$2:$OJ$901,653,MATCH($B$2&amp;"|yK",Aux_puntos!$1:$1,0))="",NA(),INDEX(Aux_puntos!$A$2:$OJ$901,653,MATCH($B$2&amp;"|yK",Aux_puntos!$1:$1,0))),NA())</f>
        <v>#N/A</v>
      </c>
      <c r="AE657" t="e">
        <f>IFERROR(IF(INDEX(Aux_puntos!$A$2:$OJ$901,653,MATCH($B$2&amp;"|xC",Aux_puntos!$1:$1,0))="",NA(),INDEX(Aux_puntos!$A$2:$OJ$901,653,MATCH($B$2&amp;"|xC",Aux_puntos!$1:$1,0))),NA())</f>
        <v>#N/A</v>
      </c>
      <c r="AF657" t="e">
        <f>IFERROR(IF(INDEX(Aux_puntos!$A$2:$OJ$901,653,MATCH($B$2&amp;"|yC",Aux_puntos!$1:$1,0))="",NA(),INDEX(Aux_puntos!$A$2:$OJ$901,653,MATCH($B$2&amp;"|yC",Aux_puntos!$1:$1,0))),NA())</f>
        <v>#N/A</v>
      </c>
      <c r="AG657" t="e">
        <f>IFERROR(IF(INDEX(Aux_puntos!$A$2:$OJ$901,653,MATCH($B$2&amp;"|xI",Aux_puntos!$1:$1,0))="",NA(),INDEX(Aux_puntos!$A$2:$OJ$901,653,MATCH($B$2&amp;"|xI",Aux_puntos!$1:$1,0))),NA())</f>
        <v>#N/A</v>
      </c>
      <c r="AH657" t="e">
        <f>IFERROR(IF(INDEX(Aux_puntos!$A$2:$OJ$901,653,MATCH($B$2&amp;"|yI",Aux_puntos!$1:$1,0))="",NA(),INDEX(Aux_puntos!$A$2:$OJ$901,653,MATCH($B$2&amp;"|yI",Aux_puntos!$1:$1,0))),NA())</f>
        <v>#N/A</v>
      </c>
      <c r="AI657" t="e">
        <f>IFERROR(IF(INDEX(Aux_puntos!$A$2:$OJ$901,653,MATCH($B$2&amp;"|xN",Aux_puntos!$1:$1,0))="",NA(),INDEX(Aux_puntos!$A$2:$OJ$901,653,MATCH($B$2&amp;"|xN",Aux_puntos!$1:$1,0))),NA())</f>
        <v>#N/A</v>
      </c>
      <c r="AJ657" t="e">
        <f>IFERROR(IF(INDEX(Aux_puntos!$A$2:$OJ$901,653,MATCH($B$2&amp;"|yN",Aux_puntos!$1:$1,0))="",NA(),INDEX(Aux_puntos!$A$2:$OJ$901,653,MATCH($B$2&amp;"|yN",Aux_puntos!$1:$1,0))),NA())</f>
        <v>#N/A</v>
      </c>
    </row>
    <row r="658" spans="29:36" x14ac:dyDescent="0.3">
      <c r="AC658" t="e">
        <f>IFERROR(IF(INDEX(Aux_puntos!$A$2:$OJ$901,654,MATCH($B$2&amp;"|xK",Aux_puntos!$1:$1,0))="",NA(),INDEX(Aux_puntos!$A$2:$OJ$901,654,MATCH($B$2&amp;"|xK",Aux_puntos!$1:$1,0))),NA())</f>
        <v>#N/A</v>
      </c>
      <c r="AD658" t="e">
        <f>IFERROR(IF(INDEX(Aux_puntos!$A$2:$OJ$901,654,MATCH($B$2&amp;"|yK",Aux_puntos!$1:$1,0))="",NA(),INDEX(Aux_puntos!$A$2:$OJ$901,654,MATCH($B$2&amp;"|yK",Aux_puntos!$1:$1,0))),NA())</f>
        <v>#N/A</v>
      </c>
      <c r="AE658" t="e">
        <f>IFERROR(IF(INDEX(Aux_puntos!$A$2:$OJ$901,654,MATCH($B$2&amp;"|xC",Aux_puntos!$1:$1,0))="",NA(),INDEX(Aux_puntos!$A$2:$OJ$901,654,MATCH($B$2&amp;"|xC",Aux_puntos!$1:$1,0))),NA())</f>
        <v>#N/A</v>
      </c>
      <c r="AF658" t="e">
        <f>IFERROR(IF(INDEX(Aux_puntos!$A$2:$OJ$901,654,MATCH($B$2&amp;"|yC",Aux_puntos!$1:$1,0))="",NA(),INDEX(Aux_puntos!$A$2:$OJ$901,654,MATCH($B$2&amp;"|yC",Aux_puntos!$1:$1,0))),NA())</f>
        <v>#N/A</v>
      </c>
      <c r="AG658" t="e">
        <f>IFERROR(IF(INDEX(Aux_puntos!$A$2:$OJ$901,654,MATCH($B$2&amp;"|xI",Aux_puntos!$1:$1,0))="",NA(),INDEX(Aux_puntos!$A$2:$OJ$901,654,MATCH($B$2&amp;"|xI",Aux_puntos!$1:$1,0))),NA())</f>
        <v>#N/A</v>
      </c>
      <c r="AH658" t="e">
        <f>IFERROR(IF(INDEX(Aux_puntos!$A$2:$OJ$901,654,MATCH($B$2&amp;"|yI",Aux_puntos!$1:$1,0))="",NA(),INDEX(Aux_puntos!$A$2:$OJ$901,654,MATCH($B$2&amp;"|yI",Aux_puntos!$1:$1,0))),NA())</f>
        <v>#N/A</v>
      </c>
      <c r="AI658" t="e">
        <f>IFERROR(IF(INDEX(Aux_puntos!$A$2:$OJ$901,654,MATCH($B$2&amp;"|xN",Aux_puntos!$1:$1,0))="",NA(),INDEX(Aux_puntos!$A$2:$OJ$901,654,MATCH($B$2&amp;"|xN",Aux_puntos!$1:$1,0))),NA())</f>
        <v>#N/A</v>
      </c>
      <c r="AJ658" t="e">
        <f>IFERROR(IF(INDEX(Aux_puntos!$A$2:$OJ$901,654,MATCH($B$2&amp;"|yN",Aux_puntos!$1:$1,0))="",NA(),INDEX(Aux_puntos!$A$2:$OJ$901,654,MATCH($B$2&amp;"|yN",Aux_puntos!$1:$1,0))),NA())</f>
        <v>#N/A</v>
      </c>
    </row>
    <row r="659" spans="29:36" x14ac:dyDescent="0.3">
      <c r="AC659" t="e">
        <f>IFERROR(IF(INDEX(Aux_puntos!$A$2:$OJ$901,655,MATCH($B$2&amp;"|xK",Aux_puntos!$1:$1,0))="",NA(),INDEX(Aux_puntos!$A$2:$OJ$901,655,MATCH($B$2&amp;"|xK",Aux_puntos!$1:$1,0))),NA())</f>
        <v>#N/A</v>
      </c>
      <c r="AD659" t="e">
        <f>IFERROR(IF(INDEX(Aux_puntos!$A$2:$OJ$901,655,MATCH($B$2&amp;"|yK",Aux_puntos!$1:$1,0))="",NA(),INDEX(Aux_puntos!$A$2:$OJ$901,655,MATCH($B$2&amp;"|yK",Aux_puntos!$1:$1,0))),NA())</f>
        <v>#N/A</v>
      </c>
      <c r="AE659" t="e">
        <f>IFERROR(IF(INDEX(Aux_puntos!$A$2:$OJ$901,655,MATCH($B$2&amp;"|xC",Aux_puntos!$1:$1,0))="",NA(),INDEX(Aux_puntos!$A$2:$OJ$901,655,MATCH($B$2&amp;"|xC",Aux_puntos!$1:$1,0))),NA())</f>
        <v>#N/A</v>
      </c>
      <c r="AF659" t="e">
        <f>IFERROR(IF(INDEX(Aux_puntos!$A$2:$OJ$901,655,MATCH($B$2&amp;"|yC",Aux_puntos!$1:$1,0))="",NA(),INDEX(Aux_puntos!$A$2:$OJ$901,655,MATCH($B$2&amp;"|yC",Aux_puntos!$1:$1,0))),NA())</f>
        <v>#N/A</v>
      </c>
      <c r="AG659" t="e">
        <f>IFERROR(IF(INDEX(Aux_puntos!$A$2:$OJ$901,655,MATCH($B$2&amp;"|xI",Aux_puntos!$1:$1,0))="",NA(),INDEX(Aux_puntos!$A$2:$OJ$901,655,MATCH($B$2&amp;"|xI",Aux_puntos!$1:$1,0))),NA())</f>
        <v>#N/A</v>
      </c>
      <c r="AH659" t="e">
        <f>IFERROR(IF(INDEX(Aux_puntos!$A$2:$OJ$901,655,MATCH($B$2&amp;"|yI",Aux_puntos!$1:$1,0))="",NA(),INDEX(Aux_puntos!$A$2:$OJ$901,655,MATCH($B$2&amp;"|yI",Aux_puntos!$1:$1,0))),NA())</f>
        <v>#N/A</v>
      </c>
      <c r="AI659" t="e">
        <f>IFERROR(IF(INDEX(Aux_puntos!$A$2:$OJ$901,655,MATCH($B$2&amp;"|xN",Aux_puntos!$1:$1,0))="",NA(),INDEX(Aux_puntos!$A$2:$OJ$901,655,MATCH($B$2&amp;"|xN",Aux_puntos!$1:$1,0))),NA())</f>
        <v>#N/A</v>
      </c>
      <c r="AJ659" t="e">
        <f>IFERROR(IF(INDEX(Aux_puntos!$A$2:$OJ$901,655,MATCH($B$2&amp;"|yN",Aux_puntos!$1:$1,0))="",NA(),INDEX(Aux_puntos!$A$2:$OJ$901,655,MATCH($B$2&amp;"|yN",Aux_puntos!$1:$1,0))),NA())</f>
        <v>#N/A</v>
      </c>
    </row>
    <row r="660" spans="29:36" x14ac:dyDescent="0.3">
      <c r="AC660" t="e">
        <f>IFERROR(IF(INDEX(Aux_puntos!$A$2:$OJ$901,656,MATCH($B$2&amp;"|xK",Aux_puntos!$1:$1,0))="",NA(),INDEX(Aux_puntos!$A$2:$OJ$901,656,MATCH($B$2&amp;"|xK",Aux_puntos!$1:$1,0))),NA())</f>
        <v>#N/A</v>
      </c>
      <c r="AD660" t="e">
        <f>IFERROR(IF(INDEX(Aux_puntos!$A$2:$OJ$901,656,MATCH($B$2&amp;"|yK",Aux_puntos!$1:$1,0))="",NA(),INDEX(Aux_puntos!$A$2:$OJ$901,656,MATCH($B$2&amp;"|yK",Aux_puntos!$1:$1,0))),NA())</f>
        <v>#N/A</v>
      </c>
      <c r="AE660" t="e">
        <f>IFERROR(IF(INDEX(Aux_puntos!$A$2:$OJ$901,656,MATCH($B$2&amp;"|xC",Aux_puntos!$1:$1,0))="",NA(),INDEX(Aux_puntos!$A$2:$OJ$901,656,MATCH($B$2&amp;"|xC",Aux_puntos!$1:$1,0))),NA())</f>
        <v>#N/A</v>
      </c>
      <c r="AF660" t="e">
        <f>IFERROR(IF(INDEX(Aux_puntos!$A$2:$OJ$901,656,MATCH($B$2&amp;"|yC",Aux_puntos!$1:$1,0))="",NA(),INDEX(Aux_puntos!$A$2:$OJ$901,656,MATCH($B$2&amp;"|yC",Aux_puntos!$1:$1,0))),NA())</f>
        <v>#N/A</v>
      </c>
      <c r="AG660" t="e">
        <f>IFERROR(IF(INDEX(Aux_puntos!$A$2:$OJ$901,656,MATCH($B$2&amp;"|xI",Aux_puntos!$1:$1,0))="",NA(),INDEX(Aux_puntos!$A$2:$OJ$901,656,MATCH($B$2&amp;"|xI",Aux_puntos!$1:$1,0))),NA())</f>
        <v>#N/A</v>
      </c>
      <c r="AH660" t="e">
        <f>IFERROR(IF(INDEX(Aux_puntos!$A$2:$OJ$901,656,MATCH($B$2&amp;"|yI",Aux_puntos!$1:$1,0))="",NA(),INDEX(Aux_puntos!$A$2:$OJ$901,656,MATCH($B$2&amp;"|yI",Aux_puntos!$1:$1,0))),NA())</f>
        <v>#N/A</v>
      </c>
      <c r="AI660" t="e">
        <f>IFERROR(IF(INDEX(Aux_puntos!$A$2:$OJ$901,656,MATCH($B$2&amp;"|xN",Aux_puntos!$1:$1,0))="",NA(),INDEX(Aux_puntos!$A$2:$OJ$901,656,MATCH($B$2&amp;"|xN",Aux_puntos!$1:$1,0))),NA())</f>
        <v>#N/A</v>
      </c>
      <c r="AJ660" t="e">
        <f>IFERROR(IF(INDEX(Aux_puntos!$A$2:$OJ$901,656,MATCH($B$2&amp;"|yN",Aux_puntos!$1:$1,0))="",NA(),INDEX(Aux_puntos!$A$2:$OJ$901,656,MATCH($B$2&amp;"|yN",Aux_puntos!$1:$1,0))),NA())</f>
        <v>#N/A</v>
      </c>
    </row>
    <row r="661" spans="29:36" x14ac:dyDescent="0.3">
      <c r="AC661" t="e">
        <f>IFERROR(IF(INDEX(Aux_puntos!$A$2:$OJ$901,657,MATCH($B$2&amp;"|xK",Aux_puntos!$1:$1,0))="",NA(),INDEX(Aux_puntos!$A$2:$OJ$901,657,MATCH($B$2&amp;"|xK",Aux_puntos!$1:$1,0))),NA())</f>
        <v>#N/A</v>
      </c>
      <c r="AD661" t="e">
        <f>IFERROR(IF(INDEX(Aux_puntos!$A$2:$OJ$901,657,MATCH($B$2&amp;"|yK",Aux_puntos!$1:$1,0))="",NA(),INDEX(Aux_puntos!$A$2:$OJ$901,657,MATCH($B$2&amp;"|yK",Aux_puntos!$1:$1,0))),NA())</f>
        <v>#N/A</v>
      </c>
      <c r="AE661" t="e">
        <f>IFERROR(IF(INDEX(Aux_puntos!$A$2:$OJ$901,657,MATCH($B$2&amp;"|xC",Aux_puntos!$1:$1,0))="",NA(),INDEX(Aux_puntos!$A$2:$OJ$901,657,MATCH($B$2&amp;"|xC",Aux_puntos!$1:$1,0))),NA())</f>
        <v>#N/A</v>
      </c>
      <c r="AF661" t="e">
        <f>IFERROR(IF(INDEX(Aux_puntos!$A$2:$OJ$901,657,MATCH($B$2&amp;"|yC",Aux_puntos!$1:$1,0))="",NA(),INDEX(Aux_puntos!$A$2:$OJ$901,657,MATCH($B$2&amp;"|yC",Aux_puntos!$1:$1,0))),NA())</f>
        <v>#N/A</v>
      </c>
      <c r="AG661" t="e">
        <f>IFERROR(IF(INDEX(Aux_puntos!$A$2:$OJ$901,657,MATCH($B$2&amp;"|xI",Aux_puntos!$1:$1,0))="",NA(),INDEX(Aux_puntos!$A$2:$OJ$901,657,MATCH($B$2&amp;"|xI",Aux_puntos!$1:$1,0))),NA())</f>
        <v>#N/A</v>
      </c>
      <c r="AH661" t="e">
        <f>IFERROR(IF(INDEX(Aux_puntos!$A$2:$OJ$901,657,MATCH($B$2&amp;"|yI",Aux_puntos!$1:$1,0))="",NA(),INDEX(Aux_puntos!$A$2:$OJ$901,657,MATCH($B$2&amp;"|yI",Aux_puntos!$1:$1,0))),NA())</f>
        <v>#N/A</v>
      </c>
      <c r="AI661" t="e">
        <f>IFERROR(IF(INDEX(Aux_puntos!$A$2:$OJ$901,657,MATCH($B$2&amp;"|xN",Aux_puntos!$1:$1,0))="",NA(),INDEX(Aux_puntos!$A$2:$OJ$901,657,MATCH($B$2&amp;"|xN",Aux_puntos!$1:$1,0))),NA())</f>
        <v>#N/A</v>
      </c>
      <c r="AJ661" t="e">
        <f>IFERROR(IF(INDEX(Aux_puntos!$A$2:$OJ$901,657,MATCH($B$2&amp;"|yN",Aux_puntos!$1:$1,0))="",NA(),INDEX(Aux_puntos!$A$2:$OJ$901,657,MATCH($B$2&amp;"|yN",Aux_puntos!$1:$1,0))),NA())</f>
        <v>#N/A</v>
      </c>
    </row>
    <row r="662" spans="29:36" x14ac:dyDescent="0.3">
      <c r="AC662" t="e">
        <f>IFERROR(IF(INDEX(Aux_puntos!$A$2:$OJ$901,658,MATCH($B$2&amp;"|xK",Aux_puntos!$1:$1,0))="",NA(),INDEX(Aux_puntos!$A$2:$OJ$901,658,MATCH($B$2&amp;"|xK",Aux_puntos!$1:$1,0))),NA())</f>
        <v>#N/A</v>
      </c>
      <c r="AD662" t="e">
        <f>IFERROR(IF(INDEX(Aux_puntos!$A$2:$OJ$901,658,MATCH($B$2&amp;"|yK",Aux_puntos!$1:$1,0))="",NA(),INDEX(Aux_puntos!$A$2:$OJ$901,658,MATCH($B$2&amp;"|yK",Aux_puntos!$1:$1,0))),NA())</f>
        <v>#N/A</v>
      </c>
      <c r="AE662" t="e">
        <f>IFERROR(IF(INDEX(Aux_puntos!$A$2:$OJ$901,658,MATCH($B$2&amp;"|xC",Aux_puntos!$1:$1,0))="",NA(),INDEX(Aux_puntos!$A$2:$OJ$901,658,MATCH($B$2&amp;"|xC",Aux_puntos!$1:$1,0))),NA())</f>
        <v>#N/A</v>
      </c>
      <c r="AF662" t="e">
        <f>IFERROR(IF(INDEX(Aux_puntos!$A$2:$OJ$901,658,MATCH($B$2&amp;"|yC",Aux_puntos!$1:$1,0))="",NA(),INDEX(Aux_puntos!$A$2:$OJ$901,658,MATCH($B$2&amp;"|yC",Aux_puntos!$1:$1,0))),NA())</f>
        <v>#N/A</v>
      </c>
      <c r="AG662" t="e">
        <f>IFERROR(IF(INDEX(Aux_puntos!$A$2:$OJ$901,658,MATCH($B$2&amp;"|xI",Aux_puntos!$1:$1,0))="",NA(),INDEX(Aux_puntos!$A$2:$OJ$901,658,MATCH($B$2&amp;"|xI",Aux_puntos!$1:$1,0))),NA())</f>
        <v>#N/A</v>
      </c>
      <c r="AH662" t="e">
        <f>IFERROR(IF(INDEX(Aux_puntos!$A$2:$OJ$901,658,MATCH($B$2&amp;"|yI",Aux_puntos!$1:$1,0))="",NA(),INDEX(Aux_puntos!$A$2:$OJ$901,658,MATCH($B$2&amp;"|yI",Aux_puntos!$1:$1,0))),NA())</f>
        <v>#N/A</v>
      </c>
      <c r="AI662" t="e">
        <f>IFERROR(IF(INDEX(Aux_puntos!$A$2:$OJ$901,658,MATCH($B$2&amp;"|xN",Aux_puntos!$1:$1,0))="",NA(),INDEX(Aux_puntos!$A$2:$OJ$901,658,MATCH($B$2&amp;"|xN",Aux_puntos!$1:$1,0))),NA())</f>
        <v>#N/A</v>
      </c>
      <c r="AJ662" t="e">
        <f>IFERROR(IF(INDEX(Aux_puntos!$A$2:$OJ$901,658,MATCH($B$2&amp;"|yN",Aux_puntos!$1:$1,0))="",NA(),INDEX(Aux_puntos!$A$2:$OJ$901,658,MATCH($B$2&amp;"|yN",Aux_puntos!$1:$1,0))),NA())</f>
        <v>#N/A</v>
      </c>
    </row>
    <row r="663" spans="29:36" x14ac:dyDescent="0.3">
      <c r="AC663" t="e">
        <f>IFERROR(IF(INDEX(Aux_puntos!$A$2:$OJ$901,659,MATCH($B$2&amp;"|xK",Aux_puntos!$1:$1,0))="",NA(),INDEX(Aux_puntos!$A$2:$OJ$901,659,MATCH($B$2&amp;"|xK",Aux_puntos!$1:$1,0))),NA())</f>
        <v>#N/A</v>
      </c>
      <c r="AD663" t="e">
        <f>IFERROR(IF(INDEX(Aux_puntos!$A$2:$OJ$901,659,MATCH($B$2&amp;"|yK",Aux_puntos!$1:$1,0))="",NA(),INDEX(Aux_puntos!$A$2:$OJ$901,659,MATCH($B$2&amp;"|yK",Aux_puntos!$1:$1,0))),NA())</f>
        <v>#N/A</v>
      </c>
      <c r="AE663" t="e">
        <f>IFERROR(IF(INDEX(Aux_puntos!$A$2:$OJ$901,659,MATCH($B$2&amp;"|xC",Aux_puntos!$1:$1,0))="",NA(),INDEX(Aux_puntos!$A$2:$OJ$901,659,MATCH($B$2&amp;"|xC",Aux_puntos!$1:$1,0))),NA())</f>
        <v>#N/A</v>
      </c>
      <c r="AF663" t="e">
        <f>IFERROR(IF(INDEX(Aux_puntos!$A$2:$OJ$901,659,MATCH($B$2&amp;"|yC",Aux_puntos!$1:$1,0))="",NA(),INDEX(Aux_puntos!$A$2:$OJ$901,659,MATCH($B$2&amp;"|yC",Aux_puntos!$1:$1,0))),NA())</f>
        <v>#N/A</v>
      </c>
      <c r="AG663" t="e">
        <f>IFERROR(IF(INDEX(Aux_puntos!$A$2:$OJ$901,659,MATCH($B$2&amp;"|xI",Aux_puntos!$1:$1,0))="",NA(),INDEX(Aux_puntos!$A$2:$OJ$901,659,MATCH($B$2&amp;"|xI",Aux_puntos!$1:$1,0))),NA())</f>
        <v>#N/A</v>
      </c>
      <c r="AH663" t="e">
        <f>IFERROR(IF(INDEX(Aux_puntos!$A$2:$OJ$901,659,MATCH($B$2&amp;"|yI",Aux_puntos!$1:$1,0))="",NA(),INDEX(Aux_puntos!$A$2:$OJ$901,659,MATCH($B$2&amp;"|yI",Aux_puntos!$1:$1,0))),NA())</f>
        <v>#N/A</v>
      </c>
      <c r="AI663" t="e">
        <f>IFERROR(IF(INDEX(Aux_puntos!$A$2:$OJ$901,659,MATCH($B$2&amp;"|xN",Aux_puntos!$1:$1,0))="",NA(),INDEX(Aux_puntos!$A$2:$OJ$901,659,MATCH($B$2&amp;"|xN",Aux_puntos!$1:$1,0))),NA())</f>
        <v>#N/A</v>
      </c>
      <c r="AJ663" t="e">
        <f>IFERROR(IF(INDEX(Aux_puntos!$A$2:$OJ$901,659,MATCH($B$2&amp;"|yN",Aux_puntos!$1:$1,0))="",NA(),INDEX(Aux_puntos!$A$2:$OJ$901,659,MATCH($B$2&amp;"|yN",Aux_puntos!$1:$1,0))),NA())</f>
        <v>#N/A</v>
      </c>
    </row>
    <row r="664" spans="29:36" x14ac:dyDescent="0.3">
      <c r="AC664" t="e">
        <f>IFERROR(IF(INDEX(Aux_puntos!$A$2:$OJ$901,660,MATCH($B$2&amp;"|xK",Aux_puntos!$1:$1,0))="",NA(),INDEX(Aux_puntos!$A$2:$OJ$901,660,MATCH($B$2&amp;"|xK",Aux_puntos!$1:$1,0))),NA())</f>
        <v>#N/A</v>
      </c>
      <c r="AD664" t="e">
        <f>IFERROR(IF(INDEX(Aux_puntos!$A$2:$OJ$901,660,MATCH($B$2&amp;"|yK",Aux_puntos!$1:$1,0))="",NA(),INDEX(Aux_puntos!$A$2:$OJ$901,660,MATCH($B$2&amp;"|yK",Aux_puntos!$1:$1,0))),NA())</f>
        <v>#N/A</v>
      </c>
      <c r="AE664" t="e">
        <f>IFERROR(IF(INDEX(Aux_puntos!$A$2:$OJ$901,660,MATCH($B$2&amp;"|xC",Aux_puntos!$1:$1,0))="",NA(),INDEX(Aux_puntos!$A$2:$OJ$901,660,MATCH($B$2&amp;"|xC",Aux_puntos!$1:$1,0))),NA())</f>
        <v>#N/A</v>
      </c>
      <c r="AF664" t="e">
        <f>IFERROR(IF(INDEX(Aux_puntos!$A$2:$OJ$901,660,MATCH($B$2&amp;"|yC",Aux_puntos!$1:$1,0))="",NA(),INDEX(Aux_puntos!$A$2:$OJ$901,660,MATCH($B$2&amp;"|yC",Aux_puntos!$1:$1,0))),NA())</f>
        <v>#N/A</v>
      </c>
      <c r="AG664" t="e">
        <f>IFERROR(IF(INDEX(Aux_puntos!$A$2:$OJ$901,660,MATCH($B$2&amp;"|xI",Aux_puntos!$1:$1,0))="",NA(),INDEX(Aux_puntos!$A$2:$OJ$901,660,MATCH($B$2&amp;"|xI",Aux_puntos!$1:$1,0))),NA())</f>
        <v>#N/A</v>
      </c>
      <c r="AH664" t="e">
        <f>IFERROR(IF(INDEX(Aux_puntos!$A$2:$OJ$901,660,MATCH($B$2&amp;"|yI",Aux_puntos!$1:$1,0))="",NA(),INDEX(Aux_puntos!$A$2:$OJ$901,660,MATCH($B$2&amp;"|yI",Aux_puntos!$1:$1,0))),NA())</f>
        <v>#N/A</v>
      </c>
      <c r="AI664" t="e">
        <f>IFERROR(IF(INDEX(Aux_puntos!$A$2:$OJ$901,660,MATCH($B$2&amp;"|xN",Aux_puntos!$1:$1,0))="",NA(),INDEX(Aux_puntos!$A$2:$OJ$901,660,MATCH($B$2&amp;"|xN",Aux_puntos!$1:$1,0))),NA())</f>
        <v>#N/A</v>
      </c>
      <c r="AJ664" t="e">
        <f>IFERROR(IF(INDEX(Aux_puntos!$A$2:$OJ$901,660,MATCH($B$2&amp;"|yN",Aux_puntos!$1:$1,0))="",NA(),INDEX(Aux_puntos!$A$2:$OJ$901,660,MATCH($B$2&amp;"|yN",Aux_puntos!$1:$1,0))),NA())</f>
        <v>#N/A</v>
      </c>
    </row>
    <row r="665" spans="29:36" x14ac:dyDescent="0.3">
      <c r="AC665" t="e">
        <f>IFERROR(IF(INDEX(Aux_puntos!$A$2:$OJ$901,661,MATCH($B$2&amp;"|xK",Aux_puntos!$1:$1,0))="",NA(),INDEX(Aux_puntos!$A$2:$OJ$901,661,MATCH($B$2&amp;"|xK",Aux_puntos!$1:$1,0))),NA())</f>
        <v>#N/A</v>
      </c>
      <c r="AD665" t="e">
        <f>IFERROR(IF(INDEX(Aux_puntos!$A$2:$OJ$901,661,MATCH($B$2&amp;"|yK",Aux_puntos!$1:$1,0))="",NA(),INDEX(Aux_puntos!$A$2:$OJ$901,661,MATCH($B$2&amp;"|yK",Aux_puntos!$1:$1,0))),NA())</f>
        <v>#N/A</v>
      </c>
      <c r="AE665" t="e">
        <f>IFERROR(IF(INDEX(Aux_puntos!$A$2:$OJ$901,661,MATCH($B$2&amp;"|xC",Aux_puntos!$1:$1,0))="",NA(),INDEX(Aux_puntos!$A$2:$OJ$901,661,MATCH($B$2&amp;"|xC",Aux_puntos!$1:$1,0))),NA())</f>
        <v>#N/A</v>
      </c>
      <c r="AF665" t="e">
        <f>IFERROR(IF(INDEX(Aux_puntos!$A$2:$OJ$901,661,MATCH($B$2&amp;"|yC",Aux_puntos!$1:$1,0))="",NA(),INDEX(Aux_puntos!$A$2:$OJ$901,661,MATCH($B$2&amp;"|yC",Aux_puntos!$1:$1,0))),NA())</f>
        <v>#N/A</v>
      </c>
      <c r="AG665" t="e">
        <f>IFERROR(IF(INDEX(Aux_puntos!$A$2:$OJ$901,661,MATCH($B$2&amp;"|xI",Aux_puntos!$1:$1,0))="",NA(),INDEX(Aux_puntos!$A$2:$OJ$901,661,MATCH($B$2&amp;"|xI",Aux_puntos!$1:$1,0))),NA())</f>
        <v>#N/A</v>
      </c>
      <c r="AH665" t="e">
        <f>IFERROR(IF(INDEX(Aux_puntos!$A$2:$OJ$901,661,MATCH($B$2&amp;"|yI",Aux_puntos!$1:$1,0))="",NA(),INDEX(Aux_puntos!$A$2:$OJ$901,661,MATCH($B$2&amp;"|yI",Aux_puntos!$1:$1,0))),NA())</f>
        <v>#N/A</v>
      </c>
      <c r="AI665" t="e">
        <f>IFERROR(IF(INDEX(Aux_puntos!$A$2:$OJ$901,661,MATCH($B$2&amp;"|xN",Aux_puntos!$1:$1,0))="",NA(),INDEX(Aux_puntos!$A$2:$OJ$901,661,MATCH($B$2&amp;"|xN",Aux_puntos!$1:$1,0))),NA())</f>
        <v>#N/A</v>
      </c>
      <c r="AJ665" t="e">
        <f>IFERROR(IF(INDEX(Aux_puntos!$A$2:$OJ$901,661,MATCH($B$2&amp;"|yN",Aux_puntos!$1:$1,0))="",NA(),INDEX(Aux_puntos!$A$2:$OJ$901,661,MATCH($B$2&amp;"|yN",Aux_puntos!$1:$1,0))),NA())</f>
        <v>#N/A</v>
      </c>
    </row>
    <row r="666" spans="29:36" x14ac:dyDescent="0.3">
      <c r="AC666" t="e">
        <f>IFERROR(IF(INDEX(Aux_puntos!$A$2:$OJ$901,662,MATCH($B$2&amp;"|xK",Aux_puntos!$1:$1,0))="",NA(),INDEX(Aux_puntos!$A$2:$OJ$901,662,MATCH($B$2&amp;"|xK",Aux_puntos!$1:$1,0))),NA())</f>
        <v>#N/A</v>
      </c>
      <c r="AD666" t="e">
        <f>IFERROR(IF(INDEX(Aux_puntos!$A$2:$OJ$901,662,MATCH($B$2&amp;"|yK",Aux_puntos!$1:$1,0))="",NA(),INDEX(Aux_puntos!$A$2:$OJ$901,662,MATCH($B$2&amp;"|yK",Aux_puntos!$1:$1,0))),NA())</f>
        <v>#N/A</v>
      </c>
      <c r="AE666" t="e">
        <f>IFERROR(IF(INDEX(Aux_puntos!$A$2:$OJ$901,662,MATCH($B$2&amp;"|xC",Aux_puntos!$1:$1,0))="",NA(),INDEX(Aux_puntos!$A$2:$OJ$901,662,MATCH($B$2&amp;"|xC",Aux_puntos!$1:$1,0))),NA())</f>
        <v>#N/A</v>
      </c>
      <c r="AF666" t="e">
        <f>IFERROR(IF(INDEX(Aux_puntos!$A$2:$OJ$901,662,MATCH($B$2&amp;"|yC",Aux_puntos!$1:$1,0))="",NA(),INDEX(Aux_puntos!$A$2:$OJ$901,662,MATCH($B$2&amp;"|yC",Aux_puntos!$1:$1,0))),NA())</f>
        <v>#N/A</v>
      </c>
      <c r="AG666" t="e">
        <f>IFERROR(IF(INDEX(Aux_puntos!$A$2:$OJ$901,662,MATCH($B$2&amp;"|xI",Aux_puntos!$1:$1,0))="",NA(),INDEX(Aux_puntos!$A$2:$OJ$901,662,MATCH($B$2&amp;"|xI",Aux_puntos!$1:$1,0))),NA())</f>
        <v>#N/A</v>
      </c>
      <c r="AH666" t="e">
        <f>IFERROR(IF(INDEX(Aux_puntos!$A$2:$OJ$901,662,MATCH($B$2&amp;"|yI",Aux_puntos!$1:$1,0))="",NA(),INDEX(Aux_puntos!$A$2:$OJ$901,662,MATCH($B$2&amp;"|yI",Aux_puntos!$1:$1,0))),NA())</f>
        <v>#N/A</v>
      </c>
      <c r="AI666" t="e">
        <f>IFERROR(IF(INDEX(Aux_puntos!$A$2:$OJ$901,662,MATCH($B$2&amp;"|xN",Aux_puntos!$1:$1,0))="",NA(),INDEX(Aux_puntos!$A$2:$OJ$901,662,MATCH($B$2&amp;"|xN",Aux_puntos!$1:$1,0))),NA())</f>
        <v>#N/A</v>
      </c>
      <c r="AJ666" t="e">
        <f>IFERROR(IF(INDEX(Aux_puntos!$A$2:$OJ$901,662,MATCH($B$2&amp;"|yN",Aux_puntos!$1:$1,0))="",NA(),INDEX(Aux_puntos!$A$2:$OJ$901,662,MATCH($B$2&amp;"|yN",Aux_puntos!$1:$1,0))),NA())</f>
        <v>#N/A</v>
      </c>
    </row>
    <row r="667" spans="29:36" x14ac:dyDescent="0.3">
      <c r="AC667" t="e">
        <f>IFERROR(IF(INDEX(Aux_puntos!$A$2:$OJ$901,663,MATCH($B$2&amp;"|xK",Aux_puntos!$1:$1,0))="",NA(),INDEX(Aux_puntos!$A$2:$OJ$901,663,MATCH($B$2&amp;"|xK",Aux_puntos!$1:$1,0))),NA())</f>
        <v>#N/A</v>
      </c>
      <c r="AD667" t="e">
        <f>IFERROR(IF(INDEX(Aux_puntos!$A$2:$OJ$901,663,MATCH($B$2&amp;"|yK",Aux_puntos!$1:$1,0))="",NA(),INDEX(Aux_puntos!$A$2:$OJ$901,663,MATCH($B$2&amp;"|yK",Aux_puntos!$1:$1,0))),NA())</f>
        <v>#N/A</v>
      </c>
      <c r="AE667" t="e">
        <f>IFERROR(IF(INDEX(Aux_puntos!$A$2:$OJ$901,663,MATCH($B$2&amp;"|xC",Aux_puntos!$1:$1,0))="",NA(),INDEX(Aux_puntos!$A$2:$OJ$901,663,MATCH($B$2&amp;"|xC",Aux_puntos!$1:$1,0))),NA())</f>
        <v>#N/A</v>
      </c>
      <c r="AF667" t="e">
        <f>IFERROR(IF(INDEX(Aux_puntos!$A$2:$OJ$901,663,MATCH($B$2&amp;"|yC",Aux_puntos!$1:$1,0))="",NA(),INDEX(Aux_puntos!$A$2:$OJ$901,663,MATCH($B$2&amp;"|yC",Aux_puntos!$1:$1,0))),NA())</f>
        <v>#N/A</v>
      </c>
      <c r="AG667" t="e">
        <f>IFERROR(IF(INDEX(Aux_puntos!$A$2:$OJ$901,663,MATCH($B$2&amp;"|xI",Aux_puntos!$1:$1,0))="",NA(),INDEX(Aux_puntos!$A$2:$OJ$901,663,MATCH($B$2&amp;"|xI",Aux_puntos!$1:$1,0))),NA())</f>
        <v>#N/A</v>
      </c>
      <c r="AH667" t="e">
        <f>IFERROR(IF(INDEX(Aux_puntos!$A$2:$OJ$901,663,MATCH($B$2&amp;"|yI",Aux_puntos!$1:$1,0))="",NA(),INDEX(Aux_puntos!$A$2:$OJ$901,663,MATCH($B$2&amp;"|yI",Aux_puntos!$1:$1,0))),NA())</f>
        <v>#N/A</v>
      </c>
      <c r="AI667" t="e">
        <f>IFERROR(IF(INDEX(Aux_puntos!$A$2:$OJ$901,663,MATCH($B$2&amp;"|xN",Aux_puntos!$1:$1,0))="",NA(),INDEX(Aux_puntos!$A$2:$OJ$901,663,MATCH($B$2&amp;"|xN",Aux_puntos!$1:$1,0))),NA())</f>
        <v>#N/A</v>
      </c>
      <c r="AJ667" t="e">
        <f>IFERROR(IF(INDEX(Aux_puntos!$A$2:$OJ$901,663,MATCH($B$2&amp;"|yN",Aux_puntos!$1:$1,0))="",NA(),INDEX(Aux_puntos!$A$2:$OJ$901,663,MATCH($B$2&amp;"|yN",Aux_puntos!$1:$1,0))),NA())</f>
        <v>#N/A</v>
      </c>
    </row>
    <row r="668" spans="29:36" x14ac:dyDescent="0.3">
      <c r="AC668" t="e">
        <f>IFERROR(IF(INDEX(Aux_puntos!$A$2:$OJ$901,664,MATCH($B$2&amp;"|xK",Aux_puntos!$1:$1,0))="",NA(),INDEX(Aux_puntos!$A$2:$OJ$901,664,MATCH($B$2&amp;"|xK",Aux_puntos!$1:$1,0))),NA())</f>
        <v>#N/A</v>
      </c>
      <c r="AD668" t="e">
        <f>IFERROR(IF(INDEX(Aux_puntos!$A$2:$OJ$901,664,MATCH($B$2&amp;"|yK",Aux_puntos!$1:$1,0))="",NA(),INDEX(Aux_puntos!$A$2:$OJ$901,664,MATCH($B$2&amp;"|yK",Aux_puntos!$1:$1,0))),NA())</f>
        <v>#N/A</v>
      </c>
      <c r="AE668" t="e">
        <f>IFERROR(IF(INDEX(Aux_puntos!$A$2:$OJ$901,664,MATCH($B$2&amp;"|xC",Aux_puntos!$1:$1,0))="",NA(),INDEX(Aux_puntos!$A$2:$OJ$901,664,MATCH($B$2&amp;"|xC",Aux_puntos!$1:$1,0))),NA())</f>
        <v>#N/A</v>
      </c>
      <c r="AF668" t="e">
        <f>IFERROR(IF(INDEX(Aux_puntos!$A$2:$OJ$901,664,MATCH($B$2&amp;"|yC",Aux_puntos!$1:$1,0))="",NA(),INDEX(Aux_puntos!$A$2:$OJ$901,664,MATCH($B$2&amp;"|yC",Aux_puntos!$1:$1,0))),NA())</f>
        <v>#N/A</v>
      </c>
      <c r="AG668" t="e">
        <f>IFERROR(IF(INDEX(Aux_puntos!$A$2:$OJ$901,664,MATCH($B$2&amp;"|xI",Aux_puntos!$1:$1,0))="",NA(),INDEX(Aux_puntos!$A$2:$OJ$901,664,MATCH($B$2&amp;"|xI",Aux_puntos!$1:$1,0))),NA())</f>
        <v>#N/A</v>
      </c>
      <c r="AH668" t="e">
        <f>IFERROR(IF(INDEX(Aux_puntos!$A$2:$OJ$901,664,MATCH($B$2&amp;"|yI",Aux_puntos!$1:$1,0))="",NA(),INDEX(Aux_puntos!$A$2:$OJ$901,664,MATCH($B$2&amp;"|yI",Aux_puntos!$1:$1,0))),NA())</f>
        <v>#N/A</v>
      </c>
      <c r="AI668" t="e">
        <f>IFERROR(IF(INDEX(Aux_puntos!$A$2:$OJ$901,664,MATCH($B$2&amp;"|xN",Aux_puntos!$1:$1,0))="",NA(),INDEX(Aux_puntos!$A$2:$OJ$901,664,MATCH($B$2&amp;"|xN",Aux_puntos!$1:$1,0))),NA())</f>
        <v>#N/A</v>
      </c>
      <c r="AJ668" t="e">
        <f>IFERROR(IF(INDEX(Aux_puntos!$A$2:$OJ$901,664,MATCH($B$2&amp;"|yN",Aux_puntos!$1:$1,0))="",NA(),INDEX(Aux_puntos!$A$2:$OJ$901,664,MATCH($B$2&amp;"|yN",Aux_puntos!$1:$1,0))),NA())</f>
        <v>#N/A</v>
      </c>
    </row>
    <row r="669" spans="29:36" x14ac:dyDescent="0.3">
      <c r="AC669" t="e">
        <f>IFERROR(IF(INDEX(Aux_puntos!$A$2:$OJ$901,665,MATCH($B$2&amp;"|xK",Aux_puntos!$1:$1,0))="",NA(),INDEX(Aux_puntos!$A$2:$OJ$901,665,MATCH($B$2&amp;"|xK",Aux_puntos!$1:$1,0))),NA())</f>
        <v>#N/A</v>
      </c>
      <c r="AD669" t="e">
        <f>IFERROR(IF(INDEX(Aux_puntos!$A$2:$OJ$901,665,MATCH($B$2&amp;"|yK",Aux_puntos!$1:$1,0))="",NA(),INDEX(Aux_puntos!$A$2:$OJ$901,665,MATCH($B$2&amp;"|yK",Aux_puntos!$1:$1,0))),NA())</f>
        <v>#N/A</v>
      </c>
      <c r="AE669" t="e">
        <f>IFERROR(IF(INDEX(Aux_puntos!$A$2:$OJ$901,665,MATCH($B$2&amp;"|xC",Aux_puntos!$1:$1,0))="",NA(),INDEX(Aux_puntos!$A$2:$OJ$901,665,MATCH($B$2&amp;"|xC",Aux_puntos!$1:$1,0))),NA())</f>
        <v>#N/A</v>
      </c>
      <c r="AF669" t="e">
        <f>IFERROR(IF(INDEX(Aux_puntos!$A$2:$OJ$901,665,MATCH($B$2&amp;"|yC",Aux_puntos!$1:$1,0))="",NA(),INDEX(Aux_puntos!$A$2:$OJ$901,665,MATCH($B$2&amp;"|yC",Aux_puntos!$1:$1,0))),NA())</f>
        <v>#N/A</v>
      </c>
      <c r="AG669" t="e">
        <f>IFERROR(IF(INDEX(Aux_puntos!$A$2:$OJ$901,665,MATCH($B$2&amp;"|xI",Aux_puntos!$1:$1,0))="",NA(),INDEX(Aux_puntos!$A$2:$OJ$901,665,MATCH($B$2&amp;"|xI",Aux_puntos!$1:$1,0))),NA())</f>
        <v>#N/A</v>
      </c>
      <c r="AH669" t="e">
        <f>IFERROR(IF(INDEX(Aux_puntos!$A$2:$OJ$901,665,MATCH($B$2&amp;"|yI",Aux_puntos!$1:$1,0))="",NA(),INDEX(Aux_puntos!$A$2:$OJ$901,665,MATCH($B$2&amp;"|yI",Aux_puntos!$1:$1,0))),NA())</f>
        <v>#N/A</v>
      </c>
      <c r="AI669" t="e">
        <f>IFERROR(IF(INDEX(Aux_puntos!$A$2:$OJ$901,665,MATCH($B$2&amp;"|xN",Aux_puntos!$1:$1,0))="",NA(),INDEX(Aux_puntos!$A$2:$OJ$901,665,MATCH($B$2&amp;"|xN",Aux_puntos!$1:$1,0))),NA())</f>
        <v>#N/A</v>
      </c>
      <c r="AJ669" t="e">
        <f>IFERROR(IF(INDEX(Aux_puntos!$A$2:$OJ$901,665,MATCH($B$2&amp;"|yN",Aux_puntos!$1:$1,0))="",NA(),INDEX(Aux_puntos!$A$2:$OJ$901,665,MATCH($B$2&amp;"|yN",Aux_puntos!$1:$1,0))),NA())</f>
        <v>#N/A</v>
      </c>
    </row>
    <row r="670" spans="29:36" x14ac:dyDescent="0.3">
      <c r="AC670" t="e">
        <f>IFERROR(IF(INDEX(Aux_puntos!$A$2:$OJ$901,666,MATCH($B$2&amp;"|xK",Aux_puntos!$1:$1,0))="",NA(),INDEX(Aux_puntos!$A$2:$OJ$901,666,MATCH($B$2&amp;"|xK",Aux_puntos!$1:$1,0))),NA())</f>
        <v>#N/A</v>
      </c>
      <c r="AD670" t="e">
        <f>IFERROR(IF(INDEX(Aux_puntos!$A$2:$OJ$901,666,MATCH($B$2&amp;"|yK",Aux_puntos!$1:$1,0))="",NA(),INDEX(Aux_puntos!$A$2:$OJ$901,666,MATCH($B$2&amp;"|yK",Aux_puntos!$1:$1,0))),NA())</f>
        <v>#N/A</v>
      </c>
      <c r="AE670" t="e">
        <f>IFERROR(IF(INDEX(Aux_puntos!$A$2:$OJ$901,666,MATCH($B$2&amp;"|xC",Aux_puntos!$1:$1,0))="",NA(),INDEX(Aux_puntos!$A$2:$OJ$901,666,MATCH($B$2&amp;"|xC",Aux_puntos!$1:$1,0))),NA())</f>
        <v>#N/A</v>
      </c>
      <c r="AF670" t="e">
        <f>IFERROR(IF(INDEX(Aux_puntos!$A$2:$OJ$901,666,MATCH($B$2&amp;"|yC",Aux_puntos!$1:$1,0))="",NA(),INDEX(Aux_puntos!$A$2:$OJ$901,666,MATCH($B$2&amp;"|yC",Aux_puntos!$1:$1,0))),NA())</f>
        <v>#N/A</v>
      </c>
      <c r="AG670" t="e">
        <f>IFERROR(IF(INDEX(Aux_puntos!$A$2:$OJ$901,666,MATCH($B$2&amp;"|xI",Aux_puntos!$1:$1,0))="",NA(),INDEX(Aux_puntos!$A$2:$OJ$901,666,MATCH($B$2&amp;"|xI",Aux_puntos!$1:$1,0))),NA())</f>
        <v>#N/A</v>
      </c>
      <c r="AH670" t="e">
        <f>IFERROR(IF(INDEX(Aux_puntos!$A$2:$OJ$901,666,MATCH($B$2&amp;"|yI",Aux_puntos!$1:$1,0))="",NA(),INDEX(Aux_puntos!$A$2:$OJ$901,666,MATCH($B$2&amp;"|yI",Aux_puntos!$1:$1,0))),NA())</f>
        <v>#N/A</v>
      </c>
      <c r="AI670" t="e">
        <f>IFERROR(IF(INDEX(Aux_puntos!$A$2:$OJ$901,666,MATCH($B$2&amp;"|xN",Aux_puntos!$1:$1,0))="",NA(),INDEX(Aux_puntos!$A$2:$OJ$901,666,MATCH($B$2&amp;"|xN",Aux_puntos!$1:$1,0))),NA())</f>
        <v>#N/A</v>
      </c>
      <c r="AJ670" t="e">
        <f>IFERROR(IF(INDEX(Aux_puntos!$A$2:$OJ$901,666,MATCH($B$2&amp;"|yN",Aux_puntos!$1:$1,0))="",NA(),INDEX(Aux_puntos!$A$2:$OJ$901,666,MATCH($B$2&amp;"|yN",Aux_puntos!$1:$1,0))),NA())</f>
        <v>#N/A</v>
      </c>
    </row>
    <row r="671" spans="29:36" x14ac:dyDescent="0.3">
      <c r="AC671" t="e">
        <f>IFERROR(IF(INDEX(Aux_puntos!$A$2:$OJ$901,667,MATCH($B$2&amp;"|xK",Aux_puntos!$1:$1,0))="",NA(),INDEX(Aux_puntos!$A$2:$OJ$901,667,MATCH($B$2&amp;"|xK",Aux_puntos!$1:$1,0))),NA())</f>
        <v>#N/A</v>
      </c>
      <c r="AD671" t="e">
        <f>IFERROR(IF(INDEX(Aux_puntos!$A$2:$OJ$901,667,MATCH($B$2&amp;"|yK",Aux_puntos!$1:$1,0))="",NA(),INDEX(Aux_puntos!$A$2:$OJ$901,667,MATCH($B$2&amp;"|yK",Aux_puntos!$1:$1,0))),NA())</f>
        <v>#N/A</v>
      </c>
      <c r="AE671" t="e">
        <f>IFERROR(IF(INDEX(Aux_puntos!$A$2:$OJ$901,667,MATCH($B$2&amp;"|xC",Aux_puntos!$1:$1,0))="",NA(),INDEX(Aux_puntos!$A$2:$OJ$901,667,MATCH($B$2&amp;"|xC",Aux_puntos!$1:$1,0))),NA())</f>
        <v>#N/A</v>
      </c>
      <c r="AF671" t="e">
        <f>IFERROR(IF(INDEX(Aux_puntos!$A$2:$OJ$901,667,MATCH($B$2&amp;"|yC",Aux_puntos!$1:$1,0))="",NA(),INDEX(Aux_puntos!$A$2:$OJ$901,667,MATCH($B$2&amp;"|yC",Aux_puntos!$1:$1,0))),NA())</f>
        <v>#N/A</v>
      </c>
      <c r="AG671" t="e">
        <f>IFERROR(IF(INDEX(Aux_puntos!$A$2:$OJ$901,667,MATCH($B$2&amp;"|xI",Aux_puntos!$1:$1,0))="",NA(),INDEX(Aux_puntos!$A$2:$OJ$901,667,MATCH($B$2&amp;"|xI",Aux_puntos!$1:$1,0))),NA())</f>
        <v>#N/A</v>
      </c>
      <c r="AH671" t="e">
        <f>IFERROR(IF(INDEX(Aux_puntos!$A$2:$OJ$901,667,MATCH($B$2&amp;"|yI",Aux_puntos!$1:$1,0))="",NA(),INDEX(Aux_puntos!$A$2:$OJ$901,667,MATCH($B$2&amp;"|yI",Aux_puntos!$1:$1,0))),NA())</f>
        <v>#N/A</v>
      </c>
      <c r="AI671" t="e">
        <f>IFERROR(IF(INDEX(Aux_puntos!$A$2:$OJ$901,667,MATCH($B$2&amp;"|xN",Aux_puntos!$1:$1,0))="",NA(),INDEX(Aux_puntos!$A$2:$OJ$901,667,MATCH($B$2&amp;"|xN",Aux_puntos!$1:$1,0))),NA())</f>
        <v>#N/A</v>
      </c>
      <c r="AJ671" t="e">
        <f>IFERROR(IF(INDEX(Aux_puntos!$A$2:$OJ$901,667,MATCH($B$2&amp;"|yN",Aux_puntos!$1:$1,0))="",NA(),INDEX(Aux_puntos!$A$2:$OJ$901,667,MATCH($B$2&amp;"|yN",Aux_puntos!$1:$1,0))),NA())</f>
        <v>#N/A</v>
      </c>
    </row>
    <row r="672" spans="29:36" x14ac:dyDescent="0.3">
      <c r="AC672" t="e">
        <f>IFERROR(IF(INDEX(Aux_puntos!$A$2:$OJ$901,668,MATCH($B$2&amp;"|xK",Aux_puntos!$1:$1,0))="",NA(),INDEX(Aux_puntos!$A$2:$OJ$901,668,MATCH($B$2&amp;"|xK",Aux_puntos!$1:$1,0))),NA())</f>
        <v>#N/A</v>
      </c>
      <c r="AD672" t="e">
        <f>IFERROR(IF(INDEX(Aux_puntos!$A$2:$OJ$901,668,MATCH($B$2&amp;"|yK",Aux_puntos!$1:$1,0))="",NA(),INDEX(Aux_puntos!$A$2:$OJ$901,668,MATCH($B$2&amp;"|yK",Aux_puntos!$1:$1,0))),NA())</f>
        <v>#N/A</v>
      </c>
      <c r="AE672" t="e">
        <f>IFERROR(IF(INDEX(Aux_puntos!$A$2:$OJ$901,668,MATCH($B$2&amp;"|xC",Aux_puntos!$1:$1,0))="",NA(),INDEX(Aux_puntos!$A$2:$OJ$901,668,MATCH($B$2&amp;"|xC",Aux_puntos!$1:$1,0))),NA())</f>
        <v>#N/A</v>
      </c>
      <c r="AF672" t="e">
        <f>IFERROR(IF(INDEX(Aux_puntos!$A$2:$OJ$901,668,MATCH($B$2&amp;"|yC",Aux_puntos!$1:$1,0))="",NA(),INDEX(Aux_puntos!$A$2:$OJ$901,668,MATCH($B$2&amp;"|yC",Aux_puntos!$1:$1,0))),NA())</f>
        <v>#N/A</v>
      </c>
      <c r="AG672" t="e">
        <f>IFERROR(IF(INDEX(Aux_puntos!$A$2:$OJ$901,668,MATCH($B$2&amp;"|xI",Aux_puntos!$1:$1,0))="",NA(),INDEX(Aux_puntos!$A$2:$OJ$901,668,MATCH($B$2&amp;"|xI",Aux_puntos!$1:$1,0))),NA())</f>
        <v>#N/A</v>
      </c>
      <c r="AH672" t="e">
        <f>IFERROR(IF(INDEX(Aux_puntos!$A$2:$OJ$901,668,MATCH($B$2&amp;"|yI",Aux_puntos!$1:$1,0))="",NA(),INDEX(Aux_puntos!$A$2:$OJ$901,668,MATCH($B$2&amp;"|yI",Aux_puntos!$1:$1,0))),NA())</f>
        <v>#N/A</v>
      </c>
      <c r="AI672" t="e">
        <f>IFERROR(IF(INDEX(Aux_puntos!$A$2:$OJ$901,668,MATCH($B$2&amp;"|xN",Aux_puntos!$1:$1,0))="",NA(),INDEX(Aux_puntos!$A$2:$OJ$901,668,MATCH($B$2&amp;"|xN",Aux_puntos!$1:$1,0))),NA())</f>
        <v>#N/A</v>
      </c>
      <c r="AJ672" t="e">
        <f>IFERROR(IF(INDEX(Aux_puntos!$A$2:$OJ$901,668,MATCH($B$2&amp;"|yN",Aux_puntos!$1:$1,0))="",NA(),INDEX(Aux_puntos!$A$2:$OJ$901,668,MATCH($B$2&amp;"|yN",Aux_puntos!$1:$1,0))),NA())</f>
        <v>#N/A</v>
      </c>
    </row>
    <row r="673" spans="29:36" x14ac:dyDescent="0.3">
      <c r="AC673" t="e">
        <f>IFERROR(IF(INDEX(Aux_puntos!$A$2:$OJ$901,669,MATCH($B$2&amp;"|xK",Aux_puntos!$1:$1,0))="",NA(),INDEX(Aux_puntos!$A$2:$OJ$901,669,MATCH($B$2&amp;"|xK",Aux_puntos!$1:$1,0))),NA())</f>
        <v>#N/A</v>
      </c>
      <c r="AD673" t="e">
        <f>IFERROR(IF(INDEX(Aux_puntos!$A$2:$OJ$901,669,MATCH($B$2&amp;"|yK",Aux_puntos!$1:$1,0))="",NA(),INDEX(Aux_puntos!$A$2:$OJ$901,669,MATCH($B$2&amp;"|yK",Aux_puntos!$1:$1,0))),NA())</f>
        <v>#N/A</v>
      </c>
      <c r="AE673" t="e">
        <f>IFERROR(IF(INDEX(Aux_puntos!$A$2:$OJ$901,669,MATCH($B$2&amp;"|xC",Aux_puntos!$1:$1,0))="",NA(),INDEX(Aux_puntos!$A$2:$OJ$901,669,MATCH($B$2&amp;"|xC",Aux_puntos!$1:$1,0))),NA())</f>
        <v>#N/A</v>
      </c>
      <c r="AF673" t="e">
        <f>IFERROR(IF(INDEX(Aux_puntos!$A$2:$OJ$901,669,MATCH($B$2&amp;"|yC",Aux_puntos!$1:$1,0))="",NA(),INDEX(Aux_puntos!$A$2:$OJ$901,669,MATCH($B$2&amp;"|yC",Aux_puntos!$1:$1,0))),NA())</f>
        <v>#N/A</v>
      </c>
      <c r="AG673" t="e">
        <f>IFERROR(IF(INDEX(Aux_puntos!$A$2:$OJ$901,669,MATCH($B$2&amp;"|xI",Aux_puntos!$1:$1,0))="",NA(),INDEX(Aux_puntos!$A$2:$OJ$901,669,MATCH($B$2&amp;"|xI",Aux_puntos!$1:$1,0))),NA())</f>
        <v>#N/A</v>
      </c>
      <c r="AH673" t="e">
        <f>IFERROR(IF(INDEX(Aux_puntos!$A$2:$OJ$901,669,MATCH($B$2&amp;"|yI",Aux_puntos!$1:$1,0))="",NA(),INDEX(Aux_puntos!$A$2:$OJ$901,669,MATCH($B$2&amp;"|yI",Aux_puntos!$1:$1,0))),NA())</f>
        <v>#N/A</v>
      </c>
      <c r="AI673" t="e">
        <f>IFERROR(IF(INDEX(Aux_puntos!$A$2:$OJ$901,669,MATCH($B$2&amp;"|xN",Aux_puntos!$1:$1,0))="",NA(),INDEX(Aux_puntos!$A$2:$OJ$901,669,MATCH($B$2&amp;"|xN",Aux_puntos!$1:$1,0))),NA())</f>
        <v>#N/A</v>
      </c>
      <c r="AJ673" t="e">
        <f>IFERROR(IF(INDEX(Aux_puntos!$A$2:$OJ$901,669,MATCH($B$2&amp;"|yN",Aux_puntos!$1:$1,0))="",NA(),INDEX(Aux_puntos!$A$2:$OJ$901,669,MATCH($B$2&amp;"|yN",Aux_puntos!$1:$1,0))),NA())</f>
        <v>#N/A</v>
      </c>
    </row>
    <row r="674" spans="29:36" x14ac:dyDescent="0.3">
      <c r="AC674" t="e">
        <f>IFERROR(IF(INDEX(Aux_puntos!$A$2:$OJ$901,670,MATCH($B$2&amp;"|xK",Aux_puntos!$1:$1,0))="",NA(),INDEX(Aux_puntos!$A$2:$OJ$901,670,MATCH($B$2&amp;"|xK",Aux_puntos!$1:$1,0))),NA())</f>
        <v>#N/A</v>
      </c>
      <c r="AD674" t="e">
        <f>IFERROR(IF(INDEX(Aux_puntos!$A$2:$OJ$901,670,MATCH($B$2&amp;"|yK",Aux_puntos!$1:$1,0))="",NA(),INDEX(Aux_puntos!$A$2:$OJ$901,670,MATCH($B$2&amp;"|yK",Aux_puntos!$1:$1,0))),NA())</f>
        <v>#N/A</v>
      </c>
      <c r="AE674" t="e">
        <f>IFERROR(IF(INDEX(Aux_puntos!$A$2:$OJ$901,670,MATCH($B$2&amp;"|xC",Aux_puntos!$1:$1,0))="",NA(),INDEX(Aux_puntos!$A$2:$OJ$901,670,MATCH($B$2&amp;"|xC",Aux_puntos!$1:$1,0))),NA())</f>
        <v>#N/A</v>
      </c>
      <c r="AF674" t="e">
        <f>IFERROR(IF(INDEX(Aux_puntos!$A$2:$OJ$901,670,MATCH($B$2&amp;"|yC",Aux_puntos!$1:$1,0))="",NA(),INDEX(Aux_puntos!$A$2:$OJ$901,670,MATCH($B$2&amp;"|yC",Aux_puntos!$1:$1,0))),NA())</f>
        <v>#N/A</v>
      </c>
      <c r="AG674" t="e">
        <f>IFERROR(IF(INDEX(Aux_puntos!$A$2:$OJ$901,670,MATCH($B$2&amp;"|xI",Aux_puntos!$1:$1,0))="",NA(),INDEX(Aux_puntos!$A$2:$OJ$901,670,MATCH($B$2&amp;"|xI",Aux_puntos!$1:$1,0))),NA())</f>
        <v>#N/A</v>
      </c>
      <c r="AH674" t="e">
        <f>IFERROR(IF(INDEX(Aux_puntos!$A$2:$OJ$901,670,MATCH($B$2&amp;"|yI",Aux_puntos!$1:$1,0))="",NA(),INDEX(Aux_puntos!$A$2:$OJ$901,670,MATCH($B$2&amp;"|yI",Aux_puntos!$1:$1,0))),NA())</f>
        <v>#N/A</v>
      </c>
      <c r="AI674" t="e">
        <f>IFERROR(IF(INDEX(Aux_puntos!$A$2:$OJ$901,670,MATCH($B$2&amp;"|xN",Aux_puntos!$1:$1,0))="",NA(),INDEX(Aux_puntos!$A$2:$OJ$901,670,MATCH($B$2&amp;"|xN",Aux_puntos!$1:$1,0))),NA())</f>
        <v>#N/A</v>
      </c>
      <c r="AJ674" t="e">
        <f>IFERROR(IF(INDEX(Aux_puntos!$A$2:$OJ$901,670,MATCH($B$2&amp;"|yN",Aux_puntos!$1:$1,0))="",NA(),INDEX(Aux_puntos!$A$2:$OJ$901,670,MATCH($B$2&amp;"|yN",Aux_puntos!$1:$1,0))),NA())</f>
        <v>#N/A</v>
      </c>
    </row>
    <row r="675" spans="29:36" x14ac:dyDescent="0.3">
      <c r="AC675" t="e">
        <f>IFERROR(IF(INDEX(Aux_puntos!$A$2:$OJ$901,671,MATCH($B$2&amp;"|xK",Aux_puntos!$1:$1,0))="",NA(),INDEX(Aux_puntos!$A$2:$OJ$901,671,MATCH($B$2&amp;"|xK",Aux_puntos!$1:$1,0))),NA())</f>
        <v>#N/A</v>
      </c>
      <c r="AD675" t="e">
        <f>IFERROR(IF(INDEX(Aux_puntos!$A$2:$OJ$901,671,MATCH($B$2&amp;"|yK",Aux_puntos!$1:$1,0))="",NA(),INDEX(Aux_puntos!$A$2:$OJ$901,671,MATCH($B$2&amp;"|yK",Aux_puntos!$1:$1,0))),NA())</f>
        <v>#N/A</v>
      </c>
      <c r="AE675" t="e">
        <f>IFERROR(IF(INDEX(Aux_puntos!$A$2:$OJ$901,671,MATCH($B$2&amp;"|xC",Aux_puntos!$1:$1,0))="",NA(),INDEX(Aux_puntos!$A$2:$OJ$901,671,MATCH($B$2&amp;"|xC",Aux_puntos!$1:$1,0))),NA())</f>
        <v>#N/A</v>
      </c>
      <c r="AF675" t="e">
        <f>IFERROR(IF(INDEX(Aux_puntos!$A$2:$OJ$901,671,MATCH($B$2&amp;"|yC",Aux_puntos!$1:$1,0))="",NA(),INDEX(Aux_puntos!$A$2:$OJ$901,671,MATCH($B$2&amp;"|yC",Aux_puntos!$1:$1,0))),NA())</f>
        <v>#N/A</v>
      </c>
      <c r="AG675" t="e">
        <f>IFERROR(IF(INDEX(Aux_puntos!$A$2:$OJ$901,671,MATCH($B$2&amp;"|xI",Aux_puntos!$1:$1,0))="",NA(),INDEX(Aux_puntos!$A$2:$OJ$901,671,MATCH($B$2&amp;"|xI",Aux_puntos!$1:$1,0))),NA())</f>
        <v>#N/A</v>
      </c>
      <c r="AH675" t="e">
        <f>IFERROR(IF(INDEX(Aux_puntos!$A$2:$OJ$901,671,MATCH($B$2&amp;"|yI",Aux_puntos!$1:$1,0))="",NA(),INDEX(Aux_puntos!$A$2:$OJ$901,671,MATCH($B$2&amp;"|yI",Aux_puntos!$1:$1,0))),NA())</f>
        <v>#N/A</v>
      </c>
      <c r="AI675" t="e">
        <f>IFERROR(IF(INDEX(Aux_puntos!$A$2:$OJ$901,671,MATCH($B$2&amp;"|xN",Aux_puntos!$1:$1,0))="",NA(),INDEX(Aux_puntos!$A$2:$OJ$901,671,MATCH($B$2&amp;"|xN",Aux_puntos!$1:$1,0))),NA())</f>
        <v>#N/A</v>
      </c>
      <c r="AJ675" t="e">
        <f>IFERROR(IF(INDEX(Aux_puntos!$A$2:$OJ$901,671,MATCH($B$2&amp;"|yN",Aux_puntos!$1:$1,0))="",NA(),INDEX(Aux_puntos!$A$2:$OJ$901,671,MATCH($B$2&amp;"|yN",Aux_puntos!$1:$1,0))),NA())</f>
        <v>#N/A</v>
      </c>
    </row>
    <row r="676" spans="29:36" x14ac:dyDescent="0.3">
      <c r="AC676" t="e">
        <f>IFERROR(IF(INDEX(Aux_puntos!$A$2:$OJ$901,672,MATCH($B$2&amp;"|xK",Aux_puntos!$1:$1,0))="",NA(),INDEX(Aux_puntos!$A$2:$OJ$901,672,MATCH($B$2&amp;"|xK",Aux_puntos!$1:$1,0))),NA())</f>
        <v>#N/A</v>
      </c>
      <c r="AD676" t="e">
        <f>IFERROR(IF(INDEX(Aux_puntos!$A$2:$OJ$901,672,MATCH($B$2&amp;"|yK",Aux_puntos!$1:$1,0))="",NA(),INDEX(Aux_puntos!$A$2:$OJ$901,672,MATCH($B$2&amp;"|yK",Aux_puntos!$1:$1,0))),NA())</f>
        <v>#N/A</v>
      </c>
      <c r="AE676" t="e">
        <f>IFERROR(IF(INDEX(Aux_puntos!$A$2:$OJ$901,672,MATCH($B$2&amp;"|xC",Aux_puntos!$1:$1,0))="",NA(),INDEX(Aux_puntos!$A$2:$OJ$901,672,MATCH($B$2&amp;"|xC",Aux_puntos!$1:$1,0))),NA())</f>
        <v>#N/A</v>
      </c>
      <c r="AF676" t="e">
        <f>IFERROR(IF(INDEX(Aux_puntos!$A$2:$OJ$901,672,MATCH($B$2&amp;"|yC",Aux_puntos!$1:$1,0))="",NA(),INDEX(Aux_puntos!$A$2:$OJ$901,672,MATCH($B$2&amp;"|yC",Aux_puntos!$1:$1,0))),NA())</f>
        <v>#N/A</v>
      </c>
      <c r="AG676" t="e">
        <f>IFERROR(IF(INDEX(Aux_puntos!$A$2:$OJ$901,672,MATCH($B$2&amp;"|xI",Aux_puntos!$1:$1,0))="",NA(),INDEX(Aux_puntos!$A$2:$OJ$901,672,MATCH($B$2&amp;"|xI",Aux_puntos!$1:$1,0))),NA())</f>
        <v>#N/A</v>
      </c>
      <c r="AH676" t="e">
        <f>IFERROR(IF(INDEX(Aux_puntos!$A$2:$OJ$901,672,MATCH($B$2&amp;"|yI",Aux_puntos!$1:$1,0))="",NA(),INDEX(Aux_puntos!$A$2:$OJ$901,672,MATCH($B$2&amp;"|yI",Aux_puntos!$1:$1,0))),NA())</f>
        <v>#N/A</v>
      </c>
      <c r="AI676" t="e">
        <f>IFERROR(IF(INDEX(Aux_puntos!$A$2:$OJ$901,672,MATCH($B$2&amp;"|xN",Aux_puntos!$1:$1,0))="",NA(),INDEX(Aux_puntos!$A$2:$OJ$901,672,MATCH($B$2&amp;"|xN",Aux_puntos!$1:$1,0))),NA())</f>
        <v>#N/A</v>
      </c>
      <c r="AJ676" t="e">
        <f>IFERROR(IF(INDEX(Aux_puntos!$A$2:$OJ$901,672,MATCH($B$2&amp;"|yN",Aux_puntos!$1:$1,0))="",NA(),INDEX(Aux_puntos!$A$2:$OJ$901,672,MATCH($B$2&amp;"|yN",Aux_puntos!$1:$1,0))),NA())</f>
        <v>#N/A</v>
      </c>
    </row>
    <row r="677" spans="29:36" x14ac:dyDescent="0.3">
      <c r="AC677" t="e">
        <f>IFERROR(IF(INDEX(Aux_puntos!$A$2:$OJ$901,673,MATCH($B$2&amp;"|xK",Aux_puntos!$1:$1,0))="",NA(),INDEX(Aux_puntos!$A$2:$OJ$901,673,MATCH($B$2&amp;"|xK",Aux_puntos!$1:$1,0))),NA())</f>
        <v>#N/A</v>
      </c>
      <c r="AD677" t="e">
        <f>IFERROR(IF(INDEX(Aux_puntos!$A$2:$OJ$901,673,MATCH($B$2&amp;"|yK",Aux_puntos!$1:$1,0))="",NA(),INDEX(Aux_puntos!$A$2:$OJ$901,673,MATCH($B$2&amp;"|yK",Aux_puntos!$1:$1,0))),NA())</f>
        <v>#N/A</v>
      </c>
      <c r="AE677" t="e">
        <f>IFERROR(IF(INDEX(Aux_puntos!$A$2:$OJ$901,673,MATCH($B$2&amp;"|xC",Aux_puntos!$1:$1,0))="",NA(),INDEX(Aux_puntos!$A$2:$OJ$901,673,MATCH($B$2&amp;"|xC",Aux_puntos!$1:$1,0))),NA())</f>
        <v>#N/A</v>
      </c>
      <c r="AF677" t="e">
        <f>IFERROR(IF(INDEX(Aux_puntos!$A$2:$OJ$901,673,MATCH($B$2&amp;"|yC",Aux_puntos!$1:$1,0))="",NA(),INDEX(Aux_puntos!$A$2:$OJ$901,673,MATCH($B$2&amp;"|yC",Aux_puntos!$1:$1,0))),NA())</f>
        <v>#N/A</v>
      </c>
      <c r="AG677" t="e">
        <f>IFERROR(IF(INDEX(Aux_puntos!$A$2:$OJ$901,673,MATCH($B$2&amp;"|xI",Aux_puntos!$1:$1,0))="",NA(),INDEX(Aux_puntos!$A$2:$OJ$901,673,MATCH($B$2&amp;"|xI",Aux_puntos!$1:$1,0))),NA())</f>
        <v>#N/A</v>
      </c>
      <c r="AH677" t="e">
        <f>IFERROR(IF(INDEX(Aux_puntos!$A$2:$OJ$901,673,MATCH($B$2&amp;"|yI",Aux_puntos!$1:$1,0))="",NA(),INDEX(Aux_puntos!$A$2:$OJ$901,673,MATCH($B$2&amp;"|yI",Aux_puntos!$1:$1,0))),NA())</f>
        <v>#N/A</v>
      </c>
      <c r="AI677" t="e">
        <f>IFERROR(IF(INDEX(Aux_puntos!$A$2:$OJ$901,673,MATCH($B$2&amp;"|xN",Aux_puntos!$1:$1,0))="",NA(),INDEX(Aux_puntos!$A$2:$OJ$901,673,MATCH($B$2&amp;"|xN",Aux_puntos!$1:$1,0))),NA())</f>
        <v>#N/A</v>
      </c>
      <c r="AJ677" t="e">
        <f>IFERROR(IF(INDEX(Aux_puntos!$A$2:$OJ$901,673,MATCH($B$2&amp;"|yN",Aux_puntos!$1:$1,0))="",NA(),INDEX(Aux_puntos!$A$2:$OJ$901,673,MATCH($B$2&amp;"|yN",Aux_puntos!$1:$1,0))),NA())</f>
        <v>#N/A</v>
      </c>
    </row>
    <row r="678" spans="29:36" x14ac:dyDescent="0.3">
      <c r="AC678" t="e">
        <f>IFERROR(IF(INDEX(Aux_puntos!$A$2:$OJ$901,674,MATCH($B$2&amp;"|xK",Aux_puntos!$1:$1,0))="",NA(),INDEX(Aux_puntos!$A$2:$OJ$901,674,MATCH($B$2&amp;"|xK",Aux_puntos!$1:$1,0))),NA())</f>
        <v>#N/A</v>
      </c>
      <c r="AD678" t="e">
        <f>IFERROR(IF(INDEX(Aux_puntos!$A$2:$OJ$901,674,MATCH($B$2&amp;"|yK",Aux_puntos!$1:$1,0))="",NA(),INDEX(Aux_puntos!$A$2:$OJ$901,674,MATCH($B$2&amp;"|yK",Aux_puntos!$1:$1,0))),NA())</f>
        <v>#N/A</v>
      </c>
      <c r="AE678" t="e">
        <f>IFERROR(IF(INDEX(Aux_puntos!$A$2:$OJ$901,674,MATCH($B$2&amp;"|xC",Aux_puntos!$1:$1,0))="",NA(),INDEX(Aux_puntos!$A$2:$OJ$901,674,MATCH($B$2&amp;"|xC",Aux_puntos!$1:$1,0))),NA())</f>
        <v>#N/A</v>
      </c>
      <c r="AF678" t="e">
        <f>IFERROR(IF(INDEX(Aux_puntos!$A$2:$OJ$901,674,MATCH($B$2&amp;"|yC",Aux_puntos!$1:$1,0))="",NA(),INDEX(Aux_puntos!$A$2:$OJ$901,674,MATCH($B$2&amp;"|yC",Aux_puntos!$1:$1,0))),NA())</f>
        <v>#N/A</v>
      </c>
      <c r="AG678" t="e">
        <f>IFERROR(IF(INDEX(Aux_puntos!$A$2:$OJ$901,674,MATCH($B$2&amp;"|xI",Aux_puntos!$1:$1,0))="",NA(),INDEX(Aux_puntos!$A$2:$OJ$901,674,MATCH($B$2&amp;"|xI",Aux_puntos!$1:$1,0))),NA())</f>
        <v>#N/A</v>
      </c>
      <c r="AH678" t="e">
        <f>IFERROR(IF(INDEX(Aux_puntos!$A$2:$OJ$901,674,MATCH($B$2&amp;"|yI",Aux_puntos!$1:$1,0))="",NA(),INDEX(Aux_puntos!$A$2:$OJ$901,674,MATCH($B$2&amp;"|yI",Aux_puntos!$1:$1,0))),NA())</f>
        <v>#N/A</v>
      </c>
      <c r="AI678" t="e">
        <f>IFERROR(IF(INDEX(Aux_puntos!$A$2:$OJ$901,674,MATCH($B$2&amp;"|xN",Aux_puntos!$1:$1,0))="",NA(),INDEX(Aux_puntos!$A$2:$OJ$901,674,MATCH($B$2&amp;"|xN",Aux_puntos!$1:$1,0))),NA())</f>
        <v>#N/A</v>
      </c>
      <c r="AJ678" t="e">
        <f>IFERROR(IF(INDEX(Aux_puntos!$A$2:$OJ$901,674,MATCH($B$2&amp;"|yN",Aux_puntos!$1:$1,0))="",NA(),INDEX(Aux_puntos!$A$2:$OJ$901,674,MATCH($B$2&amp;"|yN",Aux_puntos!$1:$1,0))),NA())</f>
        <v>#N/A</v>
      </c>
    </row>
    <row r="679" spans="29:36" x14ac:dyDescent="0.3">
      <c r="AC679" t="e">
        <f>IFERROR(IF(INDEX(Aux_puntos!$A$2:$OJ$901,675,MATCH($B$2&amp;"|xK",Aux_puntos!$1:$1,0))="",NA(),INDEX(Aux_puntos!$A$2:$OJ$901,675,MATCH($B$2&amp;"|xK",Aux_puntos!$1:$1,0))),NA())</f>
        <v>#N/A</v>
      </c>
      <c r="AD679" t="e">
        <f>IFERROR(IF(INDEX(Aux_puntos!$A$2:$OJ$901,675,MATCH($B$2&amp;"|yK",Aux_puntos!$1:$1,0))="",NA(),INDEX(Aux_puntos!$A$2:$OJ$901,675,MATCH($B$2&amp;"|yK",Aux_puntos!$1:$1,0))),NA())</f>
        <v>#N/A</v>
      </c>
      <c r="AE679" t="e">
        <f>IFERROR(IF(INDEX(Aux_puntos!$A$2:$OJ$901,675,MATCH($B$2&amp;"|xC",Aux_puntos!$1:$1,0))="",NA(),INDEX(Aux_puntos!$A$2:$OJ$901,675,MATCH($B$2&amp;"|xC",Aux_puntos!$1:$1,0))),NA())</f>
        <v>#N/A</v>
      </c>
      <c r="AF679" t="e">
        <f>IFERROR(IF(INDEX(Aux_puntos!$A$2:$OJ$901,675,MATCH($B$2&amp;"|yC",Aux_puntos!$1:$1,0))="",NA(),INDEX(Aux_puntos!$A$2:$OJ$901,675,MATCH($B$2&amp;"|yC",Aux_puntos!$1:$1,0))),NA())</f>
        <v>#N/A</v>
      </c>
      <c r="AG679" t="e">
        <f>IFERROR(IF(INDEX(Aux_puntos!$A$2:$OJ$901,675,MATCH($B$2&amp;"|xI",Aux_puntos!$1:$1,0))="",NA(),INDEX(Aux_puntos!$A$2:$OJ$901,675,MATCH($B$2&amp;"|xI",Aux_puntos!$1:$1,0))),NA())</f>
        <v>#N/A</v>
      </c>
      <c r="AH679" t="e">
        <f>IFERROR(IF(INDEX(Aux_puntos!$A$2:$OJ$901,675,MATCH($B$2&amp;"|yI",Aux_puntos!$1:$1,0))="",NA(),INDEX(Aux_puntos!$A$2:$OJ$901,675,MATCH($B$2&amp;"|yI",Aux_puntos!$1:$1,0))),NA())</f>
        <v>#N/A</v>
      </c>
      <c r="AI679" t="e">
        <f>IFERROR(IF(INDEX(Aux_puntos!$A$2:$OJ$901,675,MATCH($B$2&amp;"|xN",Aux_puntos!$1:$1,0))="",NA(),INDEX(Aux_puntos!$A$2:$OJ$901,675,MATCH($B$2&amp;"|xN",Aux_puntos!$1:$1,0))),NA())</f>
        <v>#N/A</v>
      </c>
      <c r="AJ679" t="e">
        <f>IFERROR(IF(INDEX(Aux_puntos!$A$2:$OJ$901,675,MATCH($B$2&amp;"|yN",Aux_puntos!$1:$1,0))="",NA(),INDEX(Aux_puntos!$A$2:$OJ$901,675,MATCH($B$2&amp;"|yN",Aux_puntos!$1:$1,0))),NA())</f>
        <v>#N/A</v>
      </c>
    </row>
    <row r="680" spans="29:36" x14ac:dyDescent="0.3">
      <c r="AC680" t="e">
        <f>IFERROR(IF(INDEX(Aux_puntos!$A$2:$OJ$901,676,MATCH($B$2&amp;"|xK",Aux_puntos!$1:$1,0))="",NA(),INDEX(Aux_puntos!$A$2:$OJ$901,676,MATCH($B$2&amp;"|xK",Aux_puntos!$1:$1,0))),NA())</f>
        <v>#N/A</v>
      </c>
      <c r="AD680" t="e">
        <f>IFERROR(IF(INDEX(Aux_puntos!$A$2:$OJ$901,676,MATCH($B$2&amp;"|yK",Aux_puntos!$1:$1,0))="",NA(),INDEX(Aux_puntos!$A$2:$OJ$901,676,MATCH($B$2&amp;"|yK",Aux_puntos!$1:$1,0))),NA())</f>
        <v>#N/A</v>
      </c>
      <c r="AE680" t="e">
        <f>IFERROR(IF(INDEX(Aux_puntos!$A$2:$OJ$901,676,MATCH($B$2&amp;"|xC",Aux_puntos!$1:$1,0))="",NA(),INDEX(Aux_puntos!$A$2:$OJ$901,676,MATCH($B$2&amp;"|xC",Aux_puntos!$1:$1,0))),NA())</f>
        <v>#N/A</v>
      </c>
      <c r="AF680" t="e">
        <f>IFERROR(IF(INDEX(Aux_puntos!$A$2:$OJ$901,676,MATCH($B$2&amp;"|yC",Aux_puntos!$1:$1,0))="",NA(),INDEX(Aux_puntos!$A$2:$OJ$901,676,MATCH($B$2&amp;"|yC",Aux_puntos!$1:$1,0))),NA())</f>
        <v>#N/A</v>
      </c>
      <c r="AG680" t="e">
        <f>IFERROR(IF(INDEX(Aux_puntos!$A$2:$OJ$901,676,MATCH($B$2&amp;"|xI",Aux_puntos!$1:$1,0))="",NA(),INDEX(Aux_puntos!$A$2:$OJ$901,676,MATCH($B$2&amp;"|xI",Aux_puntos!$1:$1,0))),NA())</f>
        <v>#N/A</v>
      </c>
      <c r="AH680" t="e">
        <f>IFERROR(IF(INDEX(Aux_puntos!$A$2:$OJ$901,676,MATCH($B$2&amp;"|yI",Aux_puntos!$1:$1,0))="",NA(),INDEX(Aux_puntos!$A$2:$OJ$901,676,MATCH($B$2&amp;"|yI",Aux_puntos!$1:$1,0))),NA())</f>
        <v>#N/A</v>
      </c>
      <c r="AI680" t="e">
        <f>IFERROR(IF(INDEX(Aux_puntos!$A$2:$OJ$901,676,MATCH($B$2&amp;"|xN",Aux_puntos!$1:$1,0))="",NA(),INDEX(Aux_puntos!$A$2:$OJ$901,676,MATCH($B$2&amp;"|xN",Aux_puntos!$1:$1,0))),NA())</f>
        <v>#N/A</v>
      </c>
      <c r="AJ680" t="e">
        <f>IFERROR(IF(INDEX(Aux_puntos!$A$2:$OJ$901,676,MATCH($B$2&amp;"|yN",Aux_puntos!$1:$1,0))="",NA(),INDEX(Aux_puntos!$A$2:$OJ$901,676,MATCH($B$2&amp;"|yN",Aux_puntos!$1:$1,0))),NA())</f>
        <v>#N/A</v>
      </c>
    </row>
    <row r="681" spans="29:36" x14ac:dyDescent="0.3">
      <c r="AC681" t="e">
        <f>IFERROR(IF(INDEX(Aux_puntos!$A$2:$OJ$901,677,MATCH($B$2&amp;"|xK",Aux_puntos!$1:$1,0))="",NA(),INDEX(Aux_puntos!$A$2:$OJ$901,677,MATCH($B$2&amp;"|xK",Aux_puntos!$1:$1,0))),NA())</f>
        <v>#N/A</v>
      </c>
      <c r="AD681" t="e">
        <f>IFERROR(IF(INDEX(Aux_puntos!$A$2:$OJ$901,677,MATCH($B$2&amp;"|yK",Aux_puntos!$1:$1,0))="",NA(),INDEX(Aux_puntos!$A$2:$OJ$901,677,MATCH($B$2&amp;"|yK",Aux_puntos!$1:$1,0))),NA())</f>
        <v>#N/A</v>
      </c>
      <c r="AE681" t="e">
        <f>IFERROR(IF(INDEX(Aux_puntos!$A$2:$OJ$901,677,MATCH($B$2&amp;"|xC",Aux_puntos!$1:$1,0))="",NA(),INDEX(Aux_puntos!$A$2:$OJ$901,677,MATCH($B$2&amp;"|xC",Aux_puntos!$1:$1,0))),NA())</f>
        <v>#N/A</v>
      </c>
      <c r="AF681" t="e">
        <f>IFERROR(IF(INDEX(Aux_puntos!$A$2:$OJ$901,677,MATCH($B$2&amp;"|yC",Aux_puntos!$1:$1,0))="",NA(),INDEX(Aux_puntos!$A$2:$OJ$901,677,MATCH($B$2&amp;"|yC",Aux_puntos!$1:$1,0))),NA())</f>
        <v>#N/A</v>
      </c>
      <c r="AG681" t="e">
        <f>IFERROR(IF(INDEX(Aux_puntos!$A$2:$OJ$901,677,MATCH($B$2&amp;"|xI",Aux_puntos!$1:$1,0))="",NA(),INDEX(Aux_puntos!$A$2:$OJ$901,677,MATCH($B$2&amp;"|xI",Aux_puntos!$1:$1,0))),NA())</f>
        <v>#N/A</v>
      </c>
      <c r="AH681" t="e">
        <f>IFERROR(IF(INDEX(Aux_puntos!$A$2:$OJ$901,677,MATCH($B$2&amp;"|yI",Aux_puntos!$1:$1,0))="",NA(),INDEX(Aux_puntos!$A$2:$OJ$901,677,MATCH($B$2&amp;"|yI",Aux_puntos!$1:$1,0))),NA())</f>
        <v>#N/A</v>
      </c>
      <c r="AI681" t="e">
        <f>IFERROR(IF(INDEX(Aux_puntos!$A$2:$OJ$901,677,MATCH($B$2&amp;"|xN",Aux_puntos!$1:$1,0))="",NA(),INDEX(Aux_puntos!$A$2:$OJ$901,677,MATCH($B$2&amp;"|xN",Aux_puntos!$1:$1,0))),NA())</f>
        <v>#N/A</v>
      </c>
      <c r="AJ681" t="e">
        <f>IFERROR(IF(INDEX(Aux_puntos!$A$2:$OJ$901,677,MATCH($B$2&amp;"|yN",Aux_puntos!$1:$1,0))="",NA(),INDEX(Aux_puntos!$A$2:$OJ$901,677,MATCH($B$2&amp;"|yN",Aux_puntos!$1:$1,0))),NA())</f>
        <v>#N/A</v>
      </c>
    </row>
    <row r="682" spans="29:36" x14ac:dyDescent="0.3">
      <c r="AC682" t="e">
        <f>IFERROR(IF(INDEX(Aux_puntos!$A$2:$OJ$901,678,MATCH($B$2&amp;"|xK",Aux_puntos!$1:$1,0))="",NA(),INDEX(Aux_puntos!$A$2:$OJ$901,678,MATCH($B$2&amp;"|xK",Aux_puntos!$1:$1,0))),NA())</f>
        <v>#N/A</v>
      </c>
      <c r="AD682" t="e">
        <f>IFERROR(IF(INDEX(Aux_puntos!$A$2:$OJ$901,678,MATCH($B$2&amp;"|yK",Aux_puntos!$1:$1,0))="",NA(),INDEX(Aux_puntos!$A$2:$OJ$901,678,MATCH($B$2&amp;"|yK",Aux_puntos!$1:$1,0))),NA())</f>
        <v>#N/A</v>
      </c>
      <c r="AE682" t="e">
        <f>IFERROR(IF(INDEX(Aux_puntos!$A$2:$OJ$901,678,MATCH($B$2&amp;"|xC",Aux_puntos!$1:$1,0))="",NA(),INDEX(Aux_puntos!$A$2:$OJ$901,678,MATCH($B$2&amp;"|xC",Aux_puntos!$1:$1,0))),NA())</f>
        <v>#N/A</v>
      </c>
      <c r="AF682" t="e">
        <f>IFERROR(IF(INDEX(Aux_puntos!$A$2:$OJ$901,678,MATCH($B$2&amp;"|yC",Aux_puntos!$1:$1,0))="",NA(),INDEX(Aux_puntos!$A$2:$OJ$901,678,MATCH($B$2&amp;"|yC",Aux_puntos!$1:$1,0))),NA())</f>
        <v>#N/A</v>
      </c>
      <c r="AG682" t="e">
        <f>IFERROR(IF(INDEX(Aux_puntos!$A$2:$OJ$901,678,MATCH($B$2&amp;"|xI",Aux_puntos!$1:$1,0))="",NA(),INDEX(Aux_puntos!$A$2:$OJ$901,678,MATCH($B$2&amp;"|xI",Aux_puntos!$1:$1,0))),NA())</f>
        <v>#N/A</v>
      </c>
      <c r="AH682" t="e">
        <f>IFERROR(IF(INDEX(Aux_puntos!$A$2:$OJ$901,678,MATCH($B$2&amp;"|yI",Aux_puntos!$1:$1,0))="",NA(),INDEX(Aux_puntos!$A$2:$OJ$901,678,MATCH($B$2&amp;"|yI",Aux_puntos!$1:$1,0))),NA())</f>
        <v>#N/A</v>
      </c>
      <c r="AI682" t="e">
        <f>IFERROR(IF(INDEX(Aux_puntos!$A$2:$OJ$901,678,MATCH($B$2&amp;"|xN",Aux_puntos!$1:$1,0))="",NA(),INDEX(Aux_puntos!$A$2:$OJ$901,678,MATCH($B$2&amp;"|xN",Aux_puntos!$1:$1,0))),NA())</f>
        <v>#N/A</v>
      </c>
      <c r="AJ682" t="e">
        <f>IFERROR(IF(INDEX(Aux_puntos!$A$2:$OJ$901,678,MATCH($B$2&amp;"|yN",Aux_puntos!$1:$1,0))="",NA(),INDEX(Aux_puntos!$A$2:$OJ$901,678,MATCH($B$2&amp;"|yN",Aux_puntos!$1:$1,0))),NA())</f>
        <v>#N/A</v>
      </c>
    </row>
    <row r="683" spans="29:36" x14ac:dyDescent="0.3">
      <c r="AC683" t="e">
        <f>IFERROR(IF(INDEX(Aux_puntos!$A$2:$OJ$901,679,MATCH($B$2&amp;"|xK",Aux_puntos!$1:$1,0))="",NA(),INDEX(Aux_puntos!$A$2:$OJ$901,679,MATCH($B$2&amp;"|xK",Aux_puntos!$1:$1,0))),NA())</f>
        <v>#N/A</v>
      </c>
      <c r="AD683" t="e">
        <f>IFERROR(IF(INDEX(Aux_puntos!$A$2:$OJ$901,679,MATCH($B$2&amp;"|yK",Aux_puntos!$1:$1,0))="",NA(),INDEX(Aux_puntos!$A$2:$OJ$901,679,MATCH($B$2&amp;"|yK",Aux_puntos!$1:$1,0))),NA())</f>
        <v>#N/A</v>
      </c>
      <c r="AE683" t="e">
        <f>IFERROR(IF(INDEX(Aux_puntos!$A$2:$OJ$901,679,MATCH($B$2&amp;"|xC",Aux_puntos!$1:$1,0))="",NA(),INDEX(Aux_puntos!$A$2:$OJ$901,679,MATCH($B$2&amp;"|xC",Aux_puntos!$1:$1,0))),NA())</f>
        <v>#N/A</v>
      </c>
      <c r="AF683" t="e">
        <f>IFERROR(IF(INDEX(Aux_puntos!$A$2:$OJ$901,679,MATCH($B$2&amp;"|yC",Aux_puntos!$1:$1,0))="",NA(),INDEX(Aux_puntos!$A$2:$OJ$901,679,MATCH($B$2&amp;"|yC",Aux_puntos!$1:$1,0))),NA())</f>
        <v>#N/A</v>
      </c>
      <c r="AG683" t="e">
        <f>IFERROR(IF(INDEX(Aux_puntos!$A$2:$OJ$901,679,MATCH($B$2&amp;"|xI",Aux_puntos!$1:$1,0))="",NA(),INDEX(Aux_puntos!$A$2:$OJ$901,679,MATCH($B$2&amp;"|xI",Aux_puntos!$1:$1,0))),NA())</f>
        <v>#N/A</v>
      </c>
      <c r="AH683" t="e">
        <f>IFERROR(IF(INDEX(Aux_puntos!$A$2:$OJ$901,679,MATCH($B$2&amp;"|yI",Aux_puntos!$1:$1,0))="",NA(),INDEX(Aux_puntos!$A$2:$OJ$901,679,MATCH($B$2&amp;"|yI",Aux_puntos!$1:$1,0))),NA())</f>
        <v>#N/A</v>
      </c>
      <c r="AI683" t="e">
        <f>IFERROR(IF(INDEX(Aux_puntos!$A$2:$OJ$901,679,MATCH($B$2&amp;"|xN",Aux_puntos!$1:$1,0))="",NA(),INDEX(Aux_puntos!$A$2:$OJ$901,679,MATCH($B$2&amp;"|xN",Aux_puntos!$1:$1,0))),NA())</f>
        <v>#N/A</v>
      </c>
      <c r="AJ683" t="e">
        <f>IFERROR(IF(INDEX(Aux_puntos!$A$2:$OJ$901,679,MATCH($B$2&amp;"|yN",Aux_puntos!$1:$1,0))="",NA(),INDEX(Aux_puntos!$A$2:$OJ$901,679,MATCH($B$2&amp;"|yN",Aux_puntos!$1:$1,0))),NA())</f>
        <v>#N/A</v>
      </c>
    </row>
    <row r="684" spans="29:36" x14ac:dyDescent="0.3">
      <c r="AC684" t="e">
        <f>IFERROR(IF(INDEX(Aux_puntos!$A$2:$OJ$901,680,MATCH($B$2&amp;"|xK",Aux_puntos!$1:$1,0))="",NA(),INDEX(Aux_puntos!$A$2:$OJ$901,680,MATCH($B$2&amp;"|xK",Aux_puntos!$1:$1,0))),NA())</f>
        <v>#N/A</v>
      </c>
      <c r="AD684" t="e">
        <f>IFERROR(IF(INDEX(Aux_puntos!$A$2:$OJ$901,680,MATCH($B$2&amp;"|yK",Aux_puntos!$1:$1,0))="",NA(),INDEX(Aux_puntos!$A$2:$OJ$901,680,MATCH($B$2&amp;"|yK",Aux_puntos!$1:$1,0))),NA())</f>
        <v>#N/A</v>
      </c>
      <c r="AE684" t="e">
        <f>IFERROR(IF(INDEX(Aux_puntos!$A$2:$OJ$901,680,MATCH($B$2&amp;"|xC",Aux_puntos!$1:$1,0))="",NA(),INDEX(Aux_puntos!$A$2:$OJ$901,680,MATCH($B$2&amp;"|xC",Aux_puntos!$1:$1,0))),NA())</f>
        <v>#N/A</v>
      </c>
      <c r="AF684" t="e">
        <f>IFERROR(IF(INDEX(Aux_puntos!$A$2:$OJ$901,680,MATCH($B$2&amp;"|yC",Aux_puntos!$1:$1,0))="",NA(),INDEX(Aux_puntos!$A$2:$OJ$901,680,MATCH($B$2&amp;"|yC",Aux_puntos!$1:$1,0))),NA())</f>
        <v>#N/A</v>
      </c>
      <c r="AG684" t="e">
        <f>IFERROR(IF(INDEX(Aux_puntos!$A$2:$OJ$901,680,MATCH($B$2&amp;"|xI",Aux_puntos!$1:$1,0))="",NA(),INDEX(Aux_puntos!$A$2:$OJ$901,680,MATCH($B$2&amp;"|xI",Aux_puntos!$1:$1,0))),NA())</f>
        <v>#N/A</v>
      </c>
      <c r="AH684" t="e">
        <f>IFERROR(IF(INDEX(Aux_puntos!$A$2:$OJ$901,680,MATCH($B$2&amp;"|yI",Aux_puntos!$1:$1,0))="",NA(),INDEX(Aux_puntos!$A$2:$OJ$901,680,MATCH($B$2&amp;"|yI",Aux_puntos!$1:$1,0))),NA())</f>
        <v>#N/A</v>
      </c>
      <c r="AI684" t="e">
        <f>IFERROR(IF(INDEX(Aux_puntos!$A$2:$OJ$901,680,MATCH($B$2&amp;"|xN",Aux_puntos!$1:$1,0))="",NA(),INDEX(Aux_puntos!$A$2:$OJ$901,680,MATCH($B$2&amp;"|xN",Aux_puntos!$1:$1,0))),NA())</f>
        <v>#N/A</v>
      </c>
      <c r="AJ684" t="e">
        <f>IFERROR(IF(INDEX(Aux_puntos!$A$2:$OJ$901,680,MATCH($B$2&amp;"|yN",Aux_puntos!$1:$1,0))="",NA(),INDEX(Aux_puntos!$A$2:$OJ$901,680,MATCH($B$2&amp;"|yN",Aux_puntos!$1:$1,0))),NA())</f>
        <v>#N/A</v>
      </c>
    </row>
    <row r="685" spans="29:36" x14ac:dyDescent="0.3">
      <c r="AC685" t="e">
        <f>IFERROR(IF(INDEX(Aux_puntos!$A$2:$OJ$901,681,MATCH($B$2&amp;"|xK",Aux_puntos!$1:$1,0))="",NA(),INDEX(Aux_puntos!$A$2:$OJ$901,681,MATCH($B$2&amp;"|xK",Aux_puntos!$1:$1,0))),NA())</f>
        <v>#N/A</v>
      </c>
      <c r="AD685" t="e">
        <f>IFERROR(IF(INDEX(Aux_puntos!$A$2:$OJ$901,681,MATCH($B$2&amp;"|yK",Aux_puntos!$1:$1,0))="",NA(),INDEX(Aux_puntos!$A$2:$OJ$901,681,MATCH($B$2&amp;"|yK",Aux_puntos!$1:$1,0))),NA())</f>
        <v>#N/A</v>
      </c>
      <c r="AE685" t="e">
        <f>IFERROR(IF(INDEX(Aux_puntos!$A$2:$OJ$901,681,MATCH($B$2&amp;"|xC",Aux_puntos!$1:$1,0))="",NA(),INDEX(Aux_puntos!$A$2:$OJ$901,681,MATCH($B$2&amp;"|xC",Aux_puntos!$1:$1,0))),NA())</f>
        <v>#N/A</v>
      </c>
      <c r="AF685" t="e">
        <f>IFERROR(IF(INDEX(Aux_puntos!$A$2:$OJ$901,681,MATCH($B$2&amp;"|yC",Aux_puntos!$1:$1,0))="",NA(),INDEX(Aux_puntos!$A$2:$OJ$901,681,MATCH($B$2&amp;"|yC",Aux_puntos!$1:$1,0))),NA())</f>
        <v>#N/A</v>
      </c>
      <c r="AG685" t="e">
        <f>IFERROR(IF(INDEX(Aux_puntos!$A$2:$OJ$901,681,MATCH($B$2&amp;"|xI",Aux_puntos!$1:$1,0))="",NA(),INDEX(Aux_puntos!$A$2:$OJ$901,681,MATCH($B$2&amp;"|xI",Aux_puntos!$1:$1,0))),NA())</f>
        <v>#N/A</v>
      </c>
      <c r="AH685" t="e">
        <f>IFERROR(IF(INDEX(Aux_puntos!$A$2:$OJ$901,681,MATCH($B$2&amp;"|yI",Aux_puntos!$1:$1,0))="",NA(),INDEX(Aux_puntos!$A$2:$OJ$901,681,MATCH($B$2&amp;"|yI",Aux_puntos!$1:$1,0))),NA())</f>
        <v>#N/A</v>
      </c>
      <c r="AI685" t="e">
        <f>IFERROR(IF(INDEX(Aux_puntos!$A$2:$OJ$901,681,MATCH($B$2&amp;"|xN",Aux_puntos!$1:$1,0))="",NA(),INDEX(Aux_puntos!$A$2:$OJ$901,681,MATCH($B$2&amp;"|xN",Aux_puntos!$1:$1,0))),NA())</f>
        <v>#N/A</v>
      </c>
      <c r="AJ685" t="e">
        <f>IFERROR(IF(INDEX(Aux_puntos!$A$2:$OJ$901,681,MATCH($B$2&amp;"|yN",Aux_puntos!$1:$1,0))="",NA(),INDEX(Aux_puntos!$A$2:$OJ$901,681,MATCH($B$2&amp;"|yN",Aux_puntos!$1:$1,0))),NA())</f>
        <v>#N/A</v>
      </c>
    </row>
    <row r="686" spans="29:36" x14ac:dyDescent="0.3">
      <c r="AC686" t="e">
        <f>IFERROR(IF(INDEX(Aux_puntos!$A$2:$OJ$901,682,MATCH($B$2&amp;"|xK",Aux_puntos!$1:$1,0))="",NA(),INDEX(Aux_puntos!$A$2:$OJ$901,682,MATCH($B$2&amp;"|xK",Aux_puntos!$1:$1,0))),NA())</f>
        <v>#N/A</v>
      </c>
      <c r="AD686" t="e">
        <f>IFERROR(IF(INDEX(Aux_puntos!$A$2:$OJ$901,682,MATCH($B$2&amp;"|yK",Aux_puntos!$1:$1,0))="",NA(),INDEX(Aux_puntos!$A$2:$OJ$901,682,MATCH($B$2&amp;"|yK",Aux_puntos!$1:$1,0))),NA())</f>
        <v>#N/A</v>
      </c>
      <c r="AE686" t="e">
        <f>IFERROR(IF(INDEX(Aux_puntos!$A$2:$OJ$901,682,MATCH($B$2&amp;"|xC",Aux_puntos!$1:$1,0))="",NA(),INDEX(Aux_puntos!$A$2:$OJ$901,682,MATCH($B$2&amp;"|xC",Aux_puntos!$1:$1,0))),NA())</f>
        <v>#N/A</v>
      </c>
      <c r="AF686" t="e">
        <f>IFERROR(IF(INDEX(Aux_puntos!$A$2:$OJ$901,682,MATCH($B$2&amp;"|yC",Aux_puntos!$1:$1,0))="",NA(),INDEX(Aux_puntos!$A$2:$OJ$901,682,MATCH($B$2&amp;"|yC",Aux_puntos!$1:$1,0))),NA())</f>
        <v>#N/A</v>
      </c>
      <c r="AG686" t="e">
        <f>IFERROR(IF(INDEX(Aux_puntos!$A$2:$OJ$901,682,MATCH($B$2&amp;"|xI",Aux_puntos!$1:$1,0))="",NA(),INDEX(Aux_puntos!$A$2:$OJ$901,682,MATCH($B$2&amp;"|xI",Aux_puntos!$1:$1,0))),NA())</f>
        <v>#N/A</v>
      </c>
      <c r="AH686" t="e">
        <f>IFERROR(IF(INDEX(Aux_puntos!$A$2:$OJ$901,682,MATCH($B$2&amp;"|yI",Aux_puntos!$1:$1,0))="",NA(),INDEX(Aux_puntos!$A$2:$OJ$901,682,MATCH($B$2&amp;"|yI",Aux_puntos!$1:$1,0))),NA())</f>
        <v>#N/A</v>
      </c>
      <c r="AI686" t="e">
        <f>IFERROR(IF(INDEX(Aux_puntos!$A$2:$OJ$901,682,MATCH($B$2&amp;"|xN",Aux_puntos!$1:$1,0))="",NA(),INDEX(Aux_puntos!$A$2:$OJ$901,682,MATCH($B$2&amp;"|xN",Aux_puntos!$1:$1,0))),NA())</f>
        <v>#N/A</v>
      </c>
      <c r="AJ686" t="e">
        <f>IFERROR(IF(INDEX(Aux_puntos!$A$2:$OJ$901,682,MATCH($B$2&amp;"|yN",Aux_puntos!$1:$1,0))="",NA(),INDEX(Aux_puntos!$A$2:$OJ$901,682,MATCH($B$2&amp;"|yN",Aux_puntos!$1:$1,0))),NA())</f>
        <v>#N/A</v>
      </c>
    </row>
    <row r="687" spans="29:36" x14ac:dyDescent="0.3">
      <c r="AC687" t="e">
        <f>IFERROR(IF(INDEX(Aux_puntos!$A$2:$OJ$901,683,MATCH($B$2&amp;"|xK",Aux_puntos!$1:$1,0))="",NA(),INDEX(Aux_puntos!$A$2:$OJ$901,683,MATCH($B$2&amp;"|xK",Aux_puntos!$1:$1,0))),NA())</f>
        <v>#N/A</v>
      </c>
      <c r="AD687" t="e">
        <f>IFERROR(IF(INDEX(Aux_puntos!$A$2:$OJ$901,683,MATCH($B$2&amp;"|yK",Aux_puntos!$1:$1,0))="",NA(),INDEX(Aux_puntos!$A$2:$OJ$901,683,MATCH($B$2&amp;"|yK",Aux_puntos!$1:$1,0))),NA())</f>
        <v>#N/A</v>
      </c>
      <c r="AE687" t="e">
        <f>IFERROR(IF(INDEX(Aux_puntos!$A$2:$OJ$901,683,MATCH($B$2&amp;"|xC",Aux_puntos!$1:$1,0))="",NA(),INDEX(Aux_puntos!$A$2:$OJ$901,683,MATCH($B$2&amp;"|xC",Aux_puntos!$1:$1,0))),NA())</f>
        <v>#N/A</v>
      </c>
      <c r="AF687" t="e">
        <f>IFERROR(IF(INDEX(Aux_puntos!$A$2:$OJ$901,683,MATCH($B$2&amp;"|yC",Aux_puntos!$1:$1,0))="",NA(),INDEX(Aux_puntos!$A$2:$OJ$901,683,MATCH($B$2&amp;"|yC",Aux_puntos!$1:$1,0))),NA())</f>
        <v>#N/A</v>
      </c>
      <c r="AG687" t="e">
        <f>IFERROR(IF(INDEX(Aux_puntos!$A$2:$OJ$901,683,MATCH($B$2&amp;"|xI",Aux_puntos!$1:$1,0))="",NA(),INDEX(Aux_puntos!$A$2:$OJ$901,683,MATCH($B$2&amp;"|xI",Aux_puntos!$1:$1,0))),NA())</f>
        <v>#N/A</v>
      </c>
      <c r="AH687" t="e">
        <f>IFERROR(IF(INDEX(Aux_puntos!$A$2:$OJ$901,683,MATCH($B$2&amp;"|yI",Aux_puntos!$1:$1,0))="",NA(),INDEX(Aux_puntos!$A$2:$OJ$901,683,MATCH($B$2&amp;"|yI",Aux_puntos!$1:$1,0))),NA())</f>
        <v>#N/A</v>
      </c>
      <c r="AI687" t="e">
        <f>IFERROR(IF(INDEX(Aux_puntos!$A$2:$OJ$901,683,MATCH($B$2&amp;"|xN",Aux_puntos!$1:$1,0))="",NA(),INDEX(Aux_puntos!$A$2:$OJ$901,683,MATCH($B$2&amp;"|xN",Aux_puntos!$1:$1,0))),NA())</f>
        <v>#N/A</v>
      </c>
      <c r="AJ687" t="e">
        <f>IFERROR(IF(INDEX(Aux_puntos!$A$2:$OJ$901,683,MATCH($B$2&amp;"|yN",Aux_puntos!$1:$1,0))="",NA(),INDEX(Aux_puntos!$A$2:$OJ$901,683,MATCH($B$2&amp;"|yN",Aux_puntos!$1:$1,0))),NA())</f>
        <v>#N/A</v>
      </c>
    </row>
    <row r="688" spans="29:36" x14ac:dyDescent="0.3">
      <c r="AC688" t="e">
        <f>IFERROR(IF(INDEX(Aux_puntos!$A$2:$OJ$901,684,MATCH($B$2&amp;"|xK",Aux_puntos!$1:$1,0))="",NA(),INDEX(Aux_puntos!$A$2:$OJ$901,684,MATCH($B$2&amp;"|xK",Aux_puntos!$1:$1,0))),NA())</f>
        <v>#N/A</v>
      </c>
      <c r="AD688" t="e">
        <f>IFERROR(IF(INDEX(Aux_puntos!$A$2:$OJ$901,684,MATCH($B$2&amp;"|yK",Aux_puntos!$1:$1,0))="",NA(),INDEX(Aux_puntos!$A$2:$OJ$901,684,MATCH($B$2&amp;"|yK",Aux_puntos!$1:$1,0))),NA())</f>
        <v>#N/A</v>
      </c>
      <c r="AE688" t="e">
        <f>IFERROR(IF(INDEX(Aux_puntos!$A$2:$OJ$901,684,MATCH($B$2&amp;"|xC",Aux_puntos!$1:$1,0))="",NA(),INDEX(Aux_puntos!$A$2:$OJ$901,684,MATCH($B$2&amp;"|xC",Aux_puntos!$1:$1,0))),NA())</f>
        <v>#N/A</v>
      </c>
      <c r="AF688" t="e">
        <f>IFERROR(IF(INDEX(Aux_puntos!$A$2:$OJ$901,684,MATCH($B$2&amp;"|yC",Aux_puntos!$1:$1,0))="",NA(),INDEX(Aux_puntos!$A$2:$OJ$901,684,MATCH($B$2&amp;"|yC",Aux_puntos!$1:$1,0))),NA())</f>
        <v>#N/A</v>
      </c>
      <c r="AG688" t="e">
        <f>IFERROR(IF(INDEX(Aux_puntos!$A$2:$OJ$901,684,MATCH($B$2&amp;"|xI",Aux_puntos!$1:$1,0))="",NA(),INDEX(Aux_puntos!$A$2:$OJ$901,684,MATCH($B$2&amp;"|xI",Aux_puntos!$1:$1,0))),NA())</f>
        <v>#N/A</v>
      </c>
      <c r="AH688" t="e">
        <f>IFERROR(IF(INDEX(Aux_puntos!$A$2:$OJ$901,684,MATCH($B$2&amp;"|yI",Aux_puntos!$1:$1,0))="",NA(),INDEX(Aux_puntos!$A$2:$OJ$901,684,MATCH($B$2&amp;"|yI",Aux_puntos!$1:$1,0))),NA())</f>
        <v>#N/A</v>
      </c>
      <c r="AI688" t="e">
        <f>IFERROR(IF(INDEX(Aux_puntos!$A$2:$OJ$901,684,MATCH($B$2&amp;"|xN",Aux_puntos!$1:$1,0))="",NA(),INDEX(Aux_puntos!$A$2:$OJ$901,684,MATCH($B$2&amp;"|xN",Aux_puntos!$1:$1,0))),NA())</f>
        <v>#N/A</v>
      </c>
      <c r="AJ688" t="e">
        <f>IFERROR(IF(INDEX(Aux_puntos!$A$2:$OJ$901,684,MATCH($B$2&amp;"|yN",Aux_puntos!$1:$1,0))="",NA(),INDEX(Aux_puntos!$A$2:$OJ$901,684,MATCH($B$2&amp;"|yN",Aux_puntos!$1:$1,0))),NA())</f>
        <v>#N/A</v>
      </c>
    </row>
    <row r="689" spans="29:36" x14ac:dyDescent="0.3">
      <c r="AC689" t="e">
        <f>IFERROR(IF(INDEX(Aux_puntos!$A$2:$OJ$901,685,MATCH($B$2&amp;"|xK",Aux_puntos!$1:$1,0))="",NA(),INDEX(Aux_puntos!$A$2:$OJ$901,685,MATCH($B$2&amp;"|xK",Aux_puntos!$1:$1,0))),NA())</f>
        <v>#N/A</v>
      </c>
      <c r="AD689" t="e">
        <f>IFERROR(IF(INDEX(Aux_puntos!$A$2:$OJ$901,685,MATCH($B$2&amp;"|yK",Aux_puntos!$1:$1,0))="",NA(),INDEX(Aux_puntos!$A$2:$OJ$901,685,MATCH($B$2&amp;"|yK",Aux_puntos!$1:$1,0))),NA())</f>
        <v>#N/A</v>
      </c>
      <c r="AE689" t="e">
        <f>IFERROR(IF(INDEX(Aux_puntos!$A$2:$OJ$901,685,MATCH($B$2&amp;"|xC",Aux_puntos!$1:$1,0))="",NA(),INDEX(Aux_puntos!$A$2:$OJ$901,685,MATCH($B$2&amp;"|xC",Aux_puntos!$1:$1,0))),NA())</f>
        <v>#N/A</v>
      </c>
      <c r="AF689" t="e">
        <f>IFERROR(IF(INDEX(Aux_puntos!$A$2:$OJ$901,685,MATCH($B$2&amp;"|yC",Aux_puntos!$1:$1,0))="",NA(),INDEX(Aux_puntos!$A$2:$OJ$901,685,MATCH($B$2&amp;"|yC",Aux_puntos!$1:$1,0))),NA())</f>
        <v>#N/A</v>
      </c>
      <c r="AG689" t="e">
        <f>IFERROR(IF(INDEX(Aux_puntos!$A$2:$OJ$901,685,MATCH($B$2&amp;"|xI",Aux_puntos!$1:$1,0))="",NA(),INDEX(Aux_puntos!$A$2:$OJ$901,685,MATCH($B$2&amp;"|xI",Aux_puntos!$1:$1,0))),NA())</f>
        <v>#N/A</v>
      </c>
      <c r="AH689" t="e">
        <f>IFERROR(IF(INDEX(Aux_puntos!$A$2:$OJ$901,685,MATCH($B$2&amp;"|yI",Aux_puntos!$1:$1,0))="",NA(),INDEX(Aux_puntos!$A$2:$OJ$901,685,MATCH($B$2&amp;"|yI",Aux_puntos!$1:$1,0))),NA())</f>
        <v>#N/A</v>
      </c>
      <c r="AI689" t="e">
        <f>IFERROR(IF(INDEX(Aux_puntos!$A$2:$OJ$901,685,MATCH($B$2&amp;"|xN",Aux_puntos!$1:$1,0))="",NA(),INDEX(Aux_puntos!$A$2:$OJ$901,685,MATCH($B$2&amp;"|xN",Aux_puntos!$1:$1,0))),NA())</f>
        <v>#N/A</v>
      </c>
      <c r="AJ689" t="e">
        <f>IFERROR(IF(INDEX(Aux_puntos!$A$2:$OJ$901,685,MATCH($B$2&amp;"|yN",Aux_puntos!$1:$1,0))="",NA(),INDEX(Aux_puntos!$A$2:$OJ$901,685,MATCH($B$2&amp;"|yN",Aux_puntos!$1:$1,0))),NA())</f>
        <v>#N/A</v>
      </c>
    </row>
    <row r="690" spans="29:36" x14ac:dyDescent="0.3">
      <c r="AC690" t="e">
        <f>IFERROR(IF(INDEX(Aux_puntos!$A$2:$OJ$901,686,MATCH($B$2&amp;"|xK",Aux_puntos!$1:$1,0))="",NA(),INDEX(Aux_puntos!$A$2:$OJ$901,686,MATCH($B$2&amp;"|xK",Aux_puntos!$1:$1,0))),NA())</f>
        <v>#N/A</v>
      </c>
      <c r="AD690" t="e">
        <f>IFERROR(IF(INDEX(Aux_puntos!$A$2:$OJ$901,686,MATCH($B$2&amp;"|yK",Aux_puntos!$1:$1,0))="",NA(),INDEX(Aux_puntos!$A$2:$OJ$901,686,MATCH($B$2&amp;"|yK",Aux_puntos!$1:$1,0))),NA())</f>
        <v>#N/A</v>
      </c>
      <c r="AE690" t="e">
        <f>IFERROR(IF(INDEX(Aux_puntos!$A$2:$OJ$901,686,MATCH($B$2&amp;"|xC",Aux_puntos!$1:$1,0))="",NA(),INDEX(Aux_puntos!$A$2:$OJ$901,686,MATCH($B$2&amp;"|xC",Aux_puntos!$1:$1,0))),NA())</f>
        <v>#N/A</v>
      </c>
      <c r="AF690" t="e">
        <f>IFERROR(IF(INDEX(Aux_puntos!$A$2:$OJ$901,686,MATCH($B$2&amp;"|yC",Aux_puntos!$1:$1,0))="",NA(),INDEX(Aux_puntos!$A$2:$OJ$901,686,MATCH($B$2&amp;"|yC",Aux_puntos!$1:$1,0))),NA())</f>
        <v>#N/A</v>
      </c>
      <c r="AG690" t="e">
        <f>IFERROR(IF(INDEX(Aux_puntos!$A$2:$OJ$901,686,MATCH($B$2&amp;"|xI",Aux_puntos!$1:$1,0))="",NA(),INDEX(Aux_puntos!$A$2:$OJ$901,686,MATCH($B$2&amp;"|xI",Aux_puntos!$1:$1,0))),NA())</f>
        <v>#N/A</v>
      </c>
      <c r="AH690" t="e">
        <f>IFERROR(IF(INDEX(Aux_puntos!$A$2:$OJ$901,686,MATCH($B$2&amp;"|yI",Aux_puntos!$1:$1,0))="",NA(),INDEX(Aux_puntos!$A$2:$OJ$901,686,MATCH($B$2&amp;"|yI",Aux_puntos!$1:$1,0))),NA())</f>
        <v>#N/A</v>
      </c>
      <c r="AI690" t="e">
        <f>IFERROR(IF(INDEX(Aux_puntos!$A$2:$OJ$901,686,MATCH($B$2&amp;"|xN",Aux_puntos!$1:$1,0))="",NA(),INDEX(Aux_puntos!$A$2:$OJ$901,686,MATCH($B$2&amp;"|xN",Aux_puntos!$1:$1,0))),NA())</f>
        <v>#N/A</v>
      </c>
      <c r="AJ690" t="e">
        <f>IFERROR(IF(INDEX(Aux_puntos!$A$2:$OJ$901,686,MATCH($B$2&amp;"|yN",Aux_puntos!$1:$1,0))="",NA(),INDEX(Aux_puntos!$A$2:$OJ$901,686,MATCH($B$2&amp;"|yN",Aux_puntos!$1:$1,0))),NA())</f>
        <v>#N/A</v>
      </c>
    </row>
    <row r="691" spans="29:36" x14ac:dyDescent="0.3">
      <c r="AC691" t="e">
        <f>IFERROR(IF(INDEX(Aux_puntos!$A$2:$OJ$901,687,MATCH($B$2&amp;"|xK",Aux_puntos!$1:$1,0))="",NA(),INDEX(Aux_puntos!$A$2:$OJ$901,687,MATCH($B$2&amp;"|xK",Aux_puntos!$1:$1,0))),NA())</f>
        <v>#N/A</v>
      </c>
      <c r="AD691" t="e">
        <f>IFERROR(IF(INDEX(Aux_puntos!$A$2:$OJ$901,687,MATCH($B$2&amp;"|yK",Aux_puntos!$1:$1,0))="",NA(),INDEX(Aux_puntos!$A$2:$OJ$901,687,MATCH($B$2&amp;"|yK",Aux_puntos!$1:$1,0))),NA())</f>
        <v>#N/A</v>
      </c>
      <c r="AE691" t="e">
        <f>IFERROR(IF(INDEX(Aux_puntos!$A$2:$OJ$901,687,MATCH($B$2&amp;"|xC",Aux_puntos!$1:$1,0))="",NA(),INDEX(Aux_puntos!$A$2:$OJ$901,687,MATCH($B$2&amp;"|xC",Aux_puntos!$1:$1,0))),NA())</f>
        <v>#N/A</v>
      </c>
      <c r="AF691" t="e">
        <f>IFERROR(IF(INDEX(Aux_puntos!$A$2:$OJ$901,687,MATCH($B$2&amp;"|yC",Aux_puntos!$1:$1,0))="",NA(),INDEX(Aux_puntos!$A$2:$OJ$901,687,MATCH($B$2&amp;"|yC",Aux_puntos!$1:$1,0))),NA())</f>
        <v>#N/A</v>
      </c>
      <c r="AG691" t="e">
        <f>IFERROR(IF(INDEX(Aux_puntos!$A$2:$OJ$901,687,MATCH($B$2&amp;"|xI",Aux_puntos!$1:$1,0))="",NA(),INDEX(Aux_puntos!$A$2:$OJ$901,687,MATCH($B$2&amp;"|xI",Aux_puntos!$1:$1,0))),NA())</f>
        <v>#N/A</v>
      </c>
      <c r="AH691" t="e">
        <f>IFERROR(IF(INDEX(Aux_puntos!$A$2:$OJ$901,687,MATCH($B$2&amp;"|yI",Aux_puntos!$1:$1,0))="",NA(),INDEX(Aux_puntos!$A$2:$OJ$901,687,MATCH($B$2&amp;"|yI",Aux_puntos!$1:$1,0))),NA())</f>
        <v>#N/A</v>
      </c>
      <c r="AI691" t="e">
        <f>IFERROR(IF(INDEX(Aux_puntos!$A$2:$OJ$901,687,MATCH($B$2&amp;"|xN",Aux_puntos!$1:$1,0))="",NA(),INDEX(Aux_puntos!$A$2:$OJ$901,687,MATCH($B$2&amp;"|xN",Aux_puntos!$1:$1,0))),NA())</f>
        <v>#N/A</v>
      </c>
      <c r="AJ691" t="e">
        <f>IFERROR(IF(INDEX(Aux_puntos!$A$2:$OJ$901,687,MATCH($B$2&amp;"|yN",Aux_puntos!$1:$1,0))="",NA(),INDEX(Aux_puntos!$A$2:$OJ$901,687,MATCH($B$2&amp;"|yN",Aux_puntos!$1:$1,0))),NA())</f>
        <v>#N/A</v>
      </c>
    </row>
    <row r="692" spans="29:36" x14ac:dyDescent="0.3">
      <c r="AC692" t="e">
        <f>IFERROR(IF(INDEX(Aux_puntos!$A$2:$OJ$901,688,MATCH($B$2&amp;"|xK",Aux_puntos!$1:$1,0))="",NA(),INDEX(Aux_puntos!$A$2:$OJ$901,688,MATCH($B$2&amp;"|xK",Aux_puntos!$1:$1,0))),NA())</f>
        <v>#N/A</v>
      </c>
      <c r="AD692" t="e">
        <f>IFERROR(IF(INDEX(Aux_puntos!$A$2:$OJ$901,688,MATCH($B$2&amp;"|yK",Aux_puntos!$1:$1,0))="",NA(),INDEX(Aux_puntos!$A$2:$OJ$901,688,MATCH($B$2&amp;"|yK",Aux_puntos!$1:$1,0))),NA())</f>
        <v>#N/A</v>
      </c>
      <c r="AE692" t="e">
        <f>IFERROR(IF(INDEX(Aux_puntos!$A$2:$OJ$901,688,MATCH($B$2&amp;"|xC",Aux_puntos!$1:$1,0))="",NA(),INDEX(Aux_puntos!$A$2:$OJ$901,688,MATCH($B$2&amp;"|xC",Aux_puntos!$1:$1,0))),NA())</f>
        <v>#N/A</v>
      </c>
      <c r="AF692" t="e">
        <f>IFERROR(IF(INDEX(Aux_puntos!$A$2:$OJ$901,688,MATCH($B$2&amp;"|yC",Aux_puntos!$1:$1,0))="",NA(),INDEX(Aux_puntos!$A$2:$OJ$901,688,MATCH($B$2&amp;"|yC",Aux_puntos!$1:$1,0))),NA())</f>
        <v>#N/A</v>
      </c>
      <c r="AG692" t="e">
        <f>IFERROR(IF(INDEX(Aux_puntos!$A$2:$OJ$901,688,MATCH($B$2&amp;"|xI",Aux_puntos!$1:$1,0))="",NA(),INDEX(Aux_puntos!$A$2:$OJ$901,688,MATCH($B$2&amp;"|xI",Aux_puntos!$1:$1,0))),NA())</f>
        <v>#N/A</v>
      </c>
      <c r="AH692" t="e">
        <f>IFERROR(IF(INDEX(Aux_puntos!$A$2:$OJ$901,688,MATCH($B$2&amp;"|yI",Aux_puntos!$1:$1,0))="",NA(),INDEX(Aux_puntos!$A$2:$OJ$901,688,MATCH($B$2&amp;"|yI",Aux_puntos!$1:$1,0))),NA())</f>
        <v>#N/A</v>
      </c>
      <c r="AI692" t="e">
        <f>IFERROR(IF(INDEX(Aux_puntos!$A$2:$OJ$901,688,MATCH($B$2&amp;"|xN",Aux_puntos!$1:$1,0))="",NA(),INDEX(Aux_puntos!$A$2:$OJ$901,688,MATCH($B$2&amp;"|xN",Aux_puntos!$1:$1,0))),NA())</f>
        <v>#N/A</v>
      </c>
      <c r="AJ692" t="e">
        <f>IFERROR(IF(INDEX(Aux_puntos!$A$2:$OJ$901,688,MATCH($B$2&amp;"|yN",Aux_puntos!$1:$1,0))="",NA(),INDEX(Aux_puntos!$A$2:$OJ$901,688,MATCH($B$2&amp;"|yN",Aux_puntos!$1:$1,0))),NA())</f>
        <v>#N/A</v>
      </c>
    </row>
    <row r="693" spans="29:36" x14ac:dyDescent="0.3">
      <c r="AC693" t="e">
        <f>IFERROR(IF(INDEX(Aux_puntos!$A$2:$OJ$901,689,MATCH($B$2&amp;"|xK",Aux_puntos!$1:$1,0))="",NA(),INDEX(Aux_puntos!$A$2:$OJ$901,689,MATCH($B$2&amp;"|xK",Aux_puntos!$1:$1,0))),NA())</f>
        <v>#N/A</v>
      </c>
      <c r="AD693" t="e">
        <f>IFERROR(IF(INDEX(Aux_puntos!$A$2:$OJ$901,689,MATCH($B$2&amp;"|yK",Aux_puntos!$1:$1,0))="",NA(),INDEX(Aux_puntos!$A$2:$OJ$901,689,MATCH($B$2&amp;"|yK",Aux_puntos!$1:$1,0))),NA())</f>
        <v>#N/A</v>
      </c>
      <c r="AE693" t="e">
        <f>IFERROR(IF(INDEX(Aux_puntos!$A$2:$OJ$901,689,MATCH($B$2&amp;"|xC",Aux_puntos!$1:$1,0))="",NA(),INDEX(Aux_puntos!$A$2:$OJ$901,689,MATCH($B$2&amp;"|xC",Aux_puntos!$1:$1,0))),NA())</f>
        <v>#N/A</v>
      </c>
      <c r="AF693" t="e">
        <f>IFERROR(IF(INDEX(Aux_puntos!$A$2:$OJ$901,689,MATCH($B$2&amp;"|yC",Aux_puntos!$1:$1,0))="",NA(),INDEX(Aux_puntos!$A$2:$OJ$901,689,MATCH($B$2&amp;"|yC",Aux_puntos!$1:$1,0))),NA())</f>
        <v>#N/A</v>
      </c>
      <c r="AG693" t="e">
        <f>IFERROR(IF(INDEX(Aux_puntos!$A$2:$OJ$901,689,MATCH($B$2&amp;"|xI",Aux_puntos!$1:$1,0))="",NA(),INDEX(Aux_puntos!$A$2:$OJ$901,689,MATCH($B$2&amp;"|xI",Aux_puntos!$1:$1,0))),NA())</f>
        <v>#N/A</v>
      </c>
      <c r="AH693" t="e">
        <f>IFERROR(IF(INDEX(Aux_puntos!$A$2:$OJ$901,689,MATCH($B$2&amp;"|yI",Aux_puntos!$1:$1,0))="",NA(),INDEX(Aux_puntos!$A$2:$OJ$901,689,MATCH($B$2&amp;"|yI",Aux_puntos!$1:$1,0))),NA())</f>
        <v>#N/A</v>
      </c>
      <c r="AI693" t="e">
        <f>IFERROR(IF(INDEX(Aux_puntos!$A$2:$OJ$901,689,MATCH($B$2&amp;"|xN",Aux_puntos!$1:$1,0))="",NA(),INDEX(Aux_puntos!$A$2:$OJ$901,689,MATCH($B$2&amp;"|xN",Aux_puntos!$1:$1,0))),NA())</f>
        <v>#N/A</v>
      </c>
      <c r="AJ693" t="e">
        <f>IFERROR(IF(INDEX(Aux_puntos!$A$2:$OJ$901,689,MATCH($B$2&amp;"|yN",Aux_puntos!$1:$1,0))="",NA(),INDEX(Aux_puntos!$A$2:$OJ$901,689,MATCH($B$2&amp;"|yN",Aux_puntos!$1:$1,0))),NA())</f>
        <v>#N/A</v>
      </c>
    </row>
    <row r="694" spans="29:36" x14ac:dyDescent="0.3">
      <c r="AC694" t="e">
        <f>IFERROR(IF(INDEX(Aux_puntos!$A$2:$OJ$901,690,MATCH($B$2&amp;"|xK",Aux_puntos!$1:$1,0))="",NA(),INDEX(Aux_puntos!$A$2:$OJ$901,690,MATCH($B$2&amp;"|xK",Aux_puntos!$1:$1,0))),NA())</f>
        <v>#N/A</v>
      </c>
      <c r="AD694" t="e">
        <f>IFERROR(IF(INDEX(Aux_puntos!$A$2:$OJ$901,690,MATCH($B$2&amp;"|yK",Aux_puntos!$1:$1,0))="",NA(),INDEX(Aux_puntos!$A$2:$OJ$901,690,MATCH($B$2&amp;"|yK",Aux_puntos!$1:$1,0))),NA())</f>
        <v>#N/A</v>
      </c>
      <c r="AE694" t="e">
        <f>IFERROR(IF(INDEX(Aux_puntos!$A$2:$OJ$901,690,MATCH($B$2&amp;"|xC",Aux_puntos!$1:$1,0))="",NA(),INDEX(Aux_puntos!$A$2:$OJ$901,690,MATCH($B$2&amp;"|xC",Aux_puntos!$1:$1,0))),NA())</f>
        <v>#N/A</v>
      </c>
      <c r="AF694" t="e">
        <f>IFERROR(IF(INDEX(Aux_puntos!$A$2:$OJ$901,690,MATCH($B$2&amp;"|yC",Aux_puntos!$1:$1,0))="",NA(),INDEX(Aux_puntos!$A$2:$OJ$901,690,MATCH($B$2&amp;"|yC",Aux_puntos!$1:$1,0))),NA())</f>
        <v>#N/A</v>
      </c>
      <c r="AG694" t="e">
        <f>IFERROR(IF(INDEX(Aux_puntos!$A$2:$OJ$901,690,MATCH($B$2&amp;"|xI",Aux_puntos!$1:$1,0))="",NA(),INDEX(Aux_puntos!$A$2:$OJ$901,690,MATCH($B$2&amp;"|xI",Aux_puntos!$1:$1,0))),NA())</f>
        <v>#N/A</v>
      </c>
      <c r="AH694" t="e">
        <f>IFERROR(IF(INDEX(Aux_puntos!$A$2:$OJ$901,690,MATCH($B$2&amp;"|yI",Aux_puntos!$1:$1,0))="",NA(),INDEX(Aux_puntos!$A$2:$OJ$901,690,MATCH($B$2&amp;"|yI",Aux_puntos!$1:$1,0))),NA())</f>
        <v>#N/A</v>
      </c>
      <c r="AI694" t="e">
        <f>IFERROR(IF(INDEX(Aux_puntos!$A$2:$OJ$901,690,MATCH($B$2&amp;"|xN",Aux_puntos!$1:$1,0))="",NA(),INDEX(Aux_puntos!$A$2:$OJ$901,690,MATCH($B$2&amp;"|xN",Aux_puntos!$1:$1,0))),NA())</f>
        <v>#N/A</v>
      </c>
      <c r="AJ694" t="e">
        <f>IFERROR(IF(INDEX(Aux_puntos!$A$2:$OJ$901,690,MATCH($B$2&amp;"|yN",Aux_puntos!$1:$1,0))="",NA(),INDEX(Aux_puntos!$A$2:$OJ$901,690,MATCH($B$2&amp;"|yN",Aux_puntos!$1:$1,0))),NA())</f>
        <v>#N/A</v>
      </c>
    </row>
    <row r="695" spans="29:36" x14ac:dyDescent="0.3">
      <c r="AC695" t="e">
        <f>IFERROR(IF(INDEX(Aux_puntos!$A$2:$OJ$901,691,MATCH($B$2&amp;"|xK",Aux_puntos!$1:$1,0))="",NA(),INDEX(Aux_puntos!$A$2:$OJ$901,691,MATCH($B$2&amp;"|xK",Aux_puntos!$1:$1,0))),NA())</f>
        <v>#N/A</v>
      </c>
      <c r="AD695" t="e">
        <f>IFERROR(IF(INDEX(Aux_puntos!$A$2:$OJ$901,691,MATCH($B$2&amp;"|yK",Aux_puntos!$1:$1,0))="",NA(),INDEX(Aux_puntos!$A$2:$OJ$901,691,MATCH($B$2&amp;"|yK",Aux_puntos!$1:$1,0))),NA())</f>
        <v>#N/A</v>
      </c>
      <c r="AE695" t="e">
        <f>IFERROR(IF(INDEX(Aux_puntos!$A$2:$OJ$901,691,MATCH($B$2&amp;"|xC",Aux_puntos!$1:$1,0))="",NA(),INDEX(Aux_puntos!$A$2:$OJ$901,691,MATCH($B$2&amp;"|xC",Aux_puntos!$1:$1,0))),NA())</f>
        <v>#N/A</v>
      </c>
      <c r="AF695" t="e">
        <f>IFERROR(IF(INDEX(Aux_puntos!$A$2:$OJ$901,691,MATCH($B$2&amp;"|yC",Aux_puntos!$1:$1,0))="",NA(),INDEX(Aux_puntos!$A$2:$OJ$901,691,MATCH($B$2&amp;"|yC",Aux_puntos!$1:$1,0))),NA())</f>
        <v>#N/A</v>
      </c>
      <c r="AG695" t="e">
        <f>IFERROR(IF(INDEX(Aux_puntos!$A$2:$OJ$901,691,MATCH($B$2&amp;"|xI",Aux_puntos!$1:$1,0))="",NA(),INDEX(Aux_puntos!$A$2:$OJ$901,691,MATCH($B$2&amp;"|xI",Aux_puntos!$1:$1,0))),NA())</f>
        <v>#N/A</v>
      </c>
      <c r="AH695" t="e">
        <f>IFERROR(IF(INDEX(Aux_puntos!$A$2:$OJ$901,691,MATCH($B$2&amp;"|yI",Aux_puntos!$1:$1,0))="",NA(),INDEX(Aux_puntos!$A$2:$OJ$901,691,MATCH($B$2&amp;"|yI",Aux_puntos!$1:$1,0))),NA())</f>
        <v>#N/A</v>
      </c>
      <c r="AI695" t="e">
        <f>IFERROR(IF(INDEX(Aux_puntos!$A$2:$OJ$901,691,MATCH($B$2&amp;"|xN",Aux_puntos!$1:$1,0))="",NA(),INDEX(Aux_puntos!$A$2:$OJ$901,691,MATCH($B$2&amp;"|xN",Aux_puntos!$1:$1,0))),NA())</f>
        <v>#N/A</v>
      </c>
      <c r="AJ695" t="e">
        <f>IFERROR(IF(INDEX(Aux_puntos!$A$2:$OJ$901,691,MATCH($B$2&amp;"|yN",Aux_puntos!$1:$1,0))="",NA(),INDEX(Aux_puntos!$A$2:$OJ$901,691,MATCH($B$2&amp;"|yN",Aux_puntos!$1:$1,0))),NA())</f>
        <v>#N/A</v>
      </c>
    </row>
    <row r="696" spans="29:36" x14ac:dyDescent="0.3">
      <c r="AC696" t="e">
        <f>IFERROR(IF(INDEX(Aux_puntos!$A$2:$OJ$901,692,MATCH($B$2&amp;"|xK",Aux_puntos!$1:$1,0))="",NA(),INDEX(Aux_puntos!$A$2:$OJ$901,692,MATCH($B$2&amp;"|xK",Aux_puntos!$1:$1,0))),NA())</f>
        <v>#N/A</v>
      </c>
      <c r="AD696" t="e">
        <f>IFERROR(IF(INDEX(Aux_puntos!$A$2:$OJ$901,692,MATCH($B$2&amp;"|yK",Aux_puntos!$1:$1,0))="",NA(),INDEX(Aux_puntos!$A$2:$OJ$901,692,MATCH($B$2&amp;"|yK",Aux_puntos!$1:$1,0))),NA())</f>
        <v>#N/A</v>
      </c>
      <c r="AE696" t="e">
        <f>IFERROR(IF(INDEX(Aux_puntos!$A$2:$OJ$901,692,MATCH($B$2&amp;"|xC",Aux_puntos!$1:$1,0))="",NA(),INDEX(Aux_puntos!$A$2:$OJ$901,692,MATCH($B$2&amp;"|xC",Aux_puntos!$1:$1,0))),NA())</f>
        <v>#N/A</v>
      </c>
      <c r="AF696" t="e">
        <f>IFERROR(IF(INDEX(Aux_puntos!$A$2:$OJ$901,692,MATCH($B$2&amp;"|yC",Aux_puntos!$1:$1,0))="",NA(),INDEX(Aux_puntos!$A$2:$OJ$901,692,MATCH($B$2&amp;"|yC",Aux_puntos!$1:$1,0))),NA())</f>
        <v>#N/A</v>
      </c>
      <c r="AG696" t="e">
        <f>IFERROR(IF(INDEX(Aux_puntos!$A$2:$OJ$901,692,MATCH($B$2&amp;"|xI",Aux_puntos!$1:$1,0))="",NA(),INDEX(Aux_puntos!$A$2:$OJ$901,692,MATCH($B$2&amp;"|xI",Aux_puntos!$1:$1,0))),NA())</f>
        <v>#N/A</v>
      </c>
      <c r="AH696" t="e">
        <f>IFERROR(IF(INDEX(Aux_puntos!$A$2:$OJ$901,692,MATCH($B$2&amp;"|yI",Aux_puntos!$1:$1,0))="",NA(),INDEX(Aux_puntos!$A$2:$OJ$901,692,MATCH($B$2&amp;"|yI",Aux_puntos!$1:$1,0))),NA())</f>
        <v>#N/A</v>
      </c>
      <c r="AI696" t="e">
        <f>IFERROR(IF(INDEX(Aux_puntos!$A$2:$OJ$901,692,MATCH($B$2&amp;"|xN",Aux_puntos!$1:$1,0))="",NA(),INDEX(Aux_puntos!$A$2:$OJ$901,692,MATCH($B$2&amp;"|xN",Aux_puntos!$1:$1,0))),NA())</f>
        <v>#N/A</v>
      </c>
      <c r="AJ696" t="e">
        <f>IFERROR(IF(INDEX(Aux_puntos!$A$2:$OJ$901,692,MATCH($B$2&amp;"|yN",Aux_puntos!$1:$1,0))="",NA(),INDEX(Aux_puntos!$A$2:$OJ$901,692,MATCH($B$2&amp;"|yN",Aux_puntos!$1:$1,0))),NA())</f>
        <v>#N/A</v>
      </c>
    </row>
    <row r="697" spans="29:36" x14ac:dyDescent="0.3">
      <c r="AC697" t="e">
        <f>IFERROR(IF(INDEX(Aux_puntos!$A$2:$OJ$901,693,MATCH($B$2&amp;"|xK",Aux_puntos!$1:$1,0))="",NA(),INDEX(Aux_puntos!$A$2:$OJ$901,693,MATCH($B$2&amp;"|xK",Aux_puntos!$1:$1,0))),NA())</f>
        <v>#N/A</v>
      </c>
      <c r="AD697" t="e">
        <f>IFERROR(IF(INDEX(Aux_puntos!$A$2:$OJ$901,693,MATCH($B$2&amp;"|yK",Aux_puntos!$1:$1,0))="",NA(),INDEX(Aux_puntos!$A$2:$OJ$901,693,MATCH($B$2&amp;"|yK",Aux_puntos!$1:$1,0))),NA())</f>
        <v>#N/A</v>
      </c>
      <c r="AE697" t="e">
        <f>IFERROR(IF(INDEX(Aux_puntos!$A$2:$OJ$901,693,MATCH($B$2&amp;"|xC",Aux_puntos!$1:$1,0))="",NA(),INDEX(Aux_puntos!$A$2:$OJ$901,693,MATCH($B$2&amp;"|xC",Aux_puntos!$1:$1,0))),NA())</f>
        <v>#N/A</v>
      </c>
      <c r="AF697" t="e">
        <f>IFERROR(IF(INDEX(Aux_puntos!$A$2:$OJ$901,693,MATCH($B$2&amp;"|yC",Aux_puntos!$1:$1,0))="",NA(),INDEX(Aux_puntos!$A$2:$OJ$901,693,MATCH($B$2&amp;"|yC",Aux_puntos!$1:$1,0))),NA())</f>
        <v>#N/A</v>
      </c>
      <c r="AG697" t="e">
        <f>IFERROR(IF(INDEX(Aux_puntos!$A$2:$OJ$901,693,MATCH($B$2&amp;"|xI",Aux_puntos!$1:$1,0))="",NA(),INDEX(Aux_puntos!$A$2:$OJ$901,693,MATCH($B$2&amp;"|xI",Aux_puntos!$1:$1,0))),NA())</f>
        <v>#N/A</v>
      </c>
      <c r="AH697" t="e">
        <f>IFERROR(IF(INDEX(Aux_puntos!$A$2:$OJ$901,693,MATCH($B$2&amp;"|yI",Aux_puntos!$1:$1,0))="",NA(),INDEX(Aux_puntos!$A$2:$OJ$901,693,MATCH($B$2&amp;"|yI",Aux_puntos!$1:$1,0))),NA())</f>
        <v>#N/A</v>
      </c>
      <c r="AI697" t="e">
        <f>IFERROR(IF(INDEX(Aux_puntos!$A$2:$OJ$901,693,MATCH($B$2&amp;"|xN",Aux_puntos!$1:$1,0))="",NA(),INDEX(Aux_puntos!$A$2:$OJ$901,693,MATCH($B$2&amp;"|xN",Aux_puntos!$1:$1,0))),NA())</f>
        <v>#N/A</v>
      </c>
      <c r="AJ697" t="e">
        <f>IFERROR(IF(INDEX(Aux_puntos!$A$2:$OJ$901,693,MATCH($B$2&amp;"|yN",Aux_puntos!$1:$1,0))="",NA(),INDEX(Aux_puntos!$A$2:$OJ$901,693,MATCH($B$2&amp;"|yN",Aux_puntos!$1:$1,0))),NA())</f>
        <v>#N/A</v>
      </c>
    </row>
    <row r="698" spans="29:36" x14ac:dyDescent="0.3">
      <c r="AC698" t="e">
        <f>IFERROR(IF(INDEX(Aux_puntos!$A$2:$OJ$901,694,MATCH($B$2&amp;"|xK",Aux_puntos!$1:$1,0))="",NA(),INDEX(Aux_puntos!$A$2:$OJ$901,694,MATCH($B$2&amp;"|xK",Aux_puntos!$1:$1,0))),NA())</f>
        <v>#N/A</v>
      </c>
      <c r="AD698" t="e">
        <f>IFERROR(IF(INDEX(Aux_puntos!$A$2:$OJ$901,694,MATCH($B$2&amp;"|yK",Aux_puntos!$1:$1,0))="",NA(),INDEX(Aux_puntos!$A$2:$OJ$901,694,MATCH($B$2&amp;"|yK",Aux_puntos!$1:$1,0))),NA())</f>
        <v>#N/A</v>
      </c>
      <c r="AE698" t="e">
        <f>IFERROR(IF(INDEX(Aux_puntos!$A$2:$OJ$901,694,MATCH($B$2&amp;"|xC",Aux_puntos!$1:$1,0))="",NA(),INDEX(Aux_puntos!$A$2:$OJ$901,694,MATCH($B$2&amp;"|xC",Aux_puntos!$1:$1,0))),NA())</f>
        <v>#N/A</v>
      </c>
      <c r="AF698" t="e">
        <f>IFERROR(IF(INDEX(Aux_puntos!$A$2:$OJ$901,694,MATCH($B$2&amp;"|yC",Aux_puntos!$1:$1,0))="",NA(),INDEX(Aux_puntos!$A$2:$OJ$901,694,MATCH($B$2&amp;"|yC",Aux_puntos!$1:$1,0))),NA())</f>
        <v>#N/A</v>
      </c>
      <c r="AG698" t="e">
        <f>IFERROR(IF(INDEX(Aux_puntos!$A$2:$OJ$901,694,MATCH($B$2&amp;"|xI",Aux_puntos!$1:$1,0))="",NA(),INDEX(Aux_puntos!$A$2:$OJ$901,694,MATCH($B$2&amp;"|xI",Aux_puntos!$1:$1,0))),NA())</f>
        <v>#N/A</v>
      </c>
      <c r="AH698" t="e">
        <f>IFERROR(IF(INDEX(Aux_puntos!$A$2:$OJ$901,694,MATCH($B$2&amp;"|yI",Aux_puntos!$1:$1,0))="",NA(),INDEX(Aux_puntos!$A$2:$OJ$901,694,MATCH($B$2&amp;"|yI",Aux_puntos!$1:$1,0))),NA())</f>
        <v>#N/A</v>
      </c>
      <c r="AI698" t="e">
        <f>IFERROR(IF(INDEX(Aux_puntos!$A$2:$OJ$901,694,MATCH($B$2&amp;"|xN",Aux_puntos!$1:$1,0))="",NA(),INDEX(Aux_puntos!$A$2:$OJ$901,694,MATCH($B$2&amp;"|xN",Aux_puntos!$1:$1,0))),NA())</f>
        <v>#N/A</v>
      </c>
      <c r="AJ698" t="e">
        <f>IFERROR(IF(INDEX(Aux_puntos!$A$2:$OJ$901,694,MATCH($B$2&amp;"|yN",Aux_puntos!$1:$1,0))="",NA(),INDEX(Aux_puntos!$A$2:$OJ$901,694,MATCH($B$2&amp;"|yN",Aux_puntos!$1:$1,0))),NA())</f>
        <v>#N/A</v>
      </c>
    </row>
    <row r="699" spans="29:36" x14ac:dyDescent="0.3">
      <c r="AC699" t="e">
        <f>IFERROR(IF(INDEX(Aux_puntos!$A$2:$OJ$901,695,MATCH($B$2&amp;"|xK",Aux_puntos!$1:$1,0))="",NA(),INDEX(Aux_puntos!$A$2:$OJ$901,695,MATCH($B$2&amp;"|xK",Aux_puntos!$1:$1,0))),NA())</f>
        <v>#N/A</v>
      </c>
      <c r="AD699" t="e">
        <f>IFERROR(IF(INDEX(Aux_puntos!$A$2:$OJ$901,695,MATCH($B$2&amp;"|yK",Aux_puntos!$1:$1,0))="",NA(),INDEX(Aux_puntos!$A$2:$OJ$901,695,MATCH($B$2&amp;"|yK",Aux_puntos!$1:$1,0))),NA())</f>
        <v>#N/A</v>
      </c>
      <c r="AE699" t="e">
        <f>IFERROR(IF(INDEX(Aux_puntos!$A$2:$OJ$901,695,MATCH($B$2&amp;"|xC",Aux_puntos!$1:$1,0))="",NA(),INDEX(Aux_puntos!$A$2:$OJ$901,695,MATCH($B$2&amp;"|xC",Aux_puntos!$1:$1,0))),NA())</f>
        <v>#N/A</v>
      </c>
      <c r="AF699" t="e">
        <f>IFERROR(IF(INDEX(Aux_puntos!$A$2:$OJ$901,695,MATCH($B$2&amp;"|yC",Aux_puntos!$1:$1,0))="",NA(),INDEX(Aux_puntos!$A$2:$OJ$901,695,MATCH($B$2&amp;"|yC",Aux_puntos!$1:$1,0))),NA())</f>
        <v>#N/A</v>
      </c>
      <c r="AG699" t="e">
        <f>IFERROR(IF(INDEX(Aux_puntos!$A$2:$OJ$901,695,MATCH($B$2&amp;"|xI",Aux_puntos!$1:$1,0))="",NA(),INDEX(Aux_puntos!$A$2:$OJ$901,695,MATCH($B$2&amp;"|xI",Aux_puntos!$1:$1,0))),NA())</f>
        <v>#N/A</v>
      </c>
      <c r="AH699" t="e">
        <f>IFERROR(IF(INDEX(Aux_puntos!$A$2:$OJ$901,695,MATCH($B$2&amp;"|yI",Aux_puntos!$1:$1,0))="",NA(),INDEX(Aux_puntos!$A$2:$OJ$901,695,MATCH($B$2&amp;"|yI",Aux_puntos!$1:$1,0))),NA())</f>
        <v>#N/A</v>
      </c>
      <c r="AI699" t="e">
        <f>IFERROR(IF(INDEX(Aux_puntos!$A$2:$OJ$901,695,MATCH($B$2&amp;"|xN",Aux_puntos!$1:$1,0))="",NA(),INDEX(Aux_puntos!$A$2:$OJ$901,695,MATCH($B$2&amp;"|xN",Aux_puntos!$1:$1,0))),NA())</f>
        <v>#N/A</v>
      </c>
      <c r="AJ699" t="e">
        <f>IFERROR(IF(INDEX(Aux_puntos!$A$2:$OJ$901,695,MATCH($B$2&amp;"|yN",Aux_puntos!$1:$1,0))="",NA(),INDEX(Aux_puntos!$A$2:$OJ$901,695,MATCH($B$2&amp;"|yN",Aux_puntos!$1:$1,0))),NA())</f>
        <v>#N/A</v>
      </c>
    </row>
    <row r="700" spans="29:36" x14ac:dyDescent="0.3">
      <c r="AC700" t="e">
        <f>IFERROR(IF(INDEX(Aux_puntos!$A$2:$OJ$901,696,MATCH($B$2&amp;"|xK",Aux_puntos!$1:$1,0))="",NA(),INDEX(Aux_puntos!$A$2:$OJ$901,696,MATCH($B$2&amp;"|xK",Aux_puntos!$1:$1,0))),NA())</f>
        <v>#N/A</v>
      </c>
      <c r="AD700" t="e">
        <f>IFERROR(IF(INDEX(Aux_puntos!$A$2:$OJ$901,696,MATCH($B$2&amp;"|yK",Aux_puntos!$1:$1,0))="",NA(),INDEX(Aux_puntos!$A$2:$OJ$901,696,MATCH($B$2&amp;"|yK",Aux_puntos!$1:$1,0))),NA())</f>
        <v>#N/A</v>
      </c>
      <c r="AE700" t="e">
        <f>IFERROR(IF(INDEX(Aux_puntos!$A$2:$OJ$901,696,MATCH($B$2&amp;"|xC",Aux_puntos!$1:$1,0))="",NA(),INDEX(Aux_puntos!$A$2:$OJ$901,696,MATCH($B$2&amp;"|xC",Aux_puntos!$1:$1,0))),NA())</f>
        <v>#N/A</v>
      </c>
      <c r="AF700" t="e">
        <f>IFERROR(IF(INDEX(Aux_puntos!$A$2:$OJ$901,696,MATCH($B$2&amp;"|yC",Aux_puntos!$1:$1,0))="",NA(),INDEX(Aux_puntos!$A$2:$OJ$901,696,MATCH($B$2&amp;"|yC",Aux_puntos!$1:$1,0))),NA())</f>
        <v>#N/A</v>
      </c>
      <c r="AG700" t="e">
        <f>IFERROR(IF(INDEX(Aux_puntos!$A$2:$OJ$901,696,MATCH($B$2&amp;"|xI",Aux_puntos!$1:$1,0))="",NA(),INDEX(Aux_puntos!$A$2:$OJ$901,696,MATCH($B$2&amp;"|xI",Aux_puntos!$1:$1,0))),NA())</f>
        <v>#N/A</v>
      </c>
      <c r="AH700" t="e">
        <f>IFERROR(IF(INDEX(Aux_puntos!$A$2:$OJ$901,696,MATCH($B$2&amp;"|yI",Aux_puntos!$1:$1,0))="",NA(),INDEX(Aux_puntos!$A$2:$OJ$901,696,MATCH($B$2&amp;"|yI",Aux_puntos!$1:$1,0))),NA())</f>
        <v>#N/A</v>
      </c>
      <c r="AI700" t="e">
        <f>IFERROR(IF(INDEX(Aux_puntos!$A$2:$OJ$901,696,MATCH($B$2&amp;"|xN",Aux_puntos!$1:$1,0))="",NA(),INDEX(Aux_puntos!$A$2:$OJ$901,696,MATCH($B$2&amp;"|xN",Aux_puntos!$1:$1,0))),NA())</f>
        <v>#N/A</v>
      </c>
      <c r="AJ700" t="e">
        <f>IFERROR(IF(INDEX(Aux_puntos!$A$2:$OJ$901,696,MATCH($B$2&amp;"|yN",Aux_puntos!$1:$1,0))="",NA(),INDEX(Aux_puntos!$A$2:$OJ$901,696,MATCH($B$2&amp;"|yN",Aux_puntos!$1:$1,0))),NA())</f>
        <v>#N/A</v>
      </c>
    </row>
    <row r="701" spans="29:36" x14ac:dyDescent="0.3">
      <c r="AC701" t="e">
        <f>IFERROR(IF(INDEX(Aux_puntos!$A$2:$OJ$901,697,MATCH($B$2&amp;"|xK",Aux_puntos!$1:$1,0))="",NA(),INDEX(Aux_puntos!$A$2:$OJ$901,697,MATCH($B$2&amp;"|xK",Aux_puntos!$1:$1,0))),NA())</f>
        <v>#N/A</v>
      </c>
      <c r="AD701" t="e">
        <f>IFERROR(IF(INDEX(Aux_puntos!$A$2:$OJ$901,697,MATCH($B$2&amp;"|yK",Aux_puntos!$1:$1,0))="",NA(),INDEX(Aux_puntos!$A$2:$OJ$901,697,MATCH($B$2&amp;"|yK",Aux_puntos!$1:$1,0))),NA())</f>
        <v>#N/A</v>
      </c>
      <c r="AE701" t="e">
        <f>IFERROR(IF(INDEX(Aux_puntos!$A$2:$OJ$901,697,MATCH($B$2&amp;"|xC",Aux_puntos!$1:$1,0))="",NA(),INDEX(Aux_puntos!$A$2:$OJ$901,697,MATCH($B$2&amp;"|xC",Aux_puntos!$1:$1,0))),NA())</f>
        <v>#N/A</v>
      </c>
      <c r="AF701" t="e">
        <f>IFERROR(IF(INDEX(Aux_puntos!$A$2:$OJ$901,697,MATCH($B$2&amp;"|yC",Aux_puntos!$1:$1,0))="",NA(),INDEX(Aux_puntos!$A$2:$OJ$901,697,MATCH($B$2&amp;"|yC",Aux_puntos!$1:$1,0))),NA())</f>
        <v>#N/A</v>
      </c>
      <c r="AG701" t="e">
        <f>IFERROR(IF(INDEX(Aux_puntos!$A$2:$OJ$901,697,MATCH($B$2&amp;"|xI",Aux_puntos!$1:$1,0))="",NA(),INDEX(Aux_puntos!$A$2:$OJ$901,697,MATCH($B$2&amp;"|xI",Aux_puntos!$1:$1,0))),NA())</f>
        <v>#N/A</v>
      </c>
      <c r="AH701" t="e">
        <f>IFERROR(IF(INDEX(Aux_puntos!$A$2:$OJ$901,697,MATCH($B$2&amp;"|yI",Aux_puntos!$1:$1,0))="",NA(),INDEX(Aux_puntos!$A$2:$OJ$901,697,MATCH($B$2&amp;"|yI",Aux_puntos!$1:$1,0))),NA())</f>
        <v>#N/A</v>
      </c>
      <c r="AI701" t="e">
        <f>IFERROR(IF(INDEX(Aux_puntos!$A$2:$OJ$901,697,MATCH($B$2&amp;"|xN",Aux_puntos!$1:$1,0))="",NA(),INDEX(Aux_puntos!$A$2:$OJ$901,697,MATCH($B$2&amp;"|xN",Aux_puntos!$1:$1,0))),NA())</f>
        <v>#N/A</v>
      </c>
      <c r="AJ701" t="e">
        <f>IFERROR(IF(INDEX(Aux_puntos!$A$2:$OJ$901,697,MATCH($B$2&amp;"|yN",Aux_puntos!$1:$1,0))="",NA(),INDEX(Aux_puntos!$A$2:$OJ$901,697,MATCH($B$2&amp;"|yN",Aux_puntos!$1:$1,0))),NA())</f>
        <v>#N/A</v>
      </c>
    </row>
    <row r="702" spans="29:36" x14ac:dyDescent="0.3">
      <c r="AC702" t="e">
        <f>IFERROR(IF(INDEX(Aux_puntos!$A$2:$OJ$901,698,MATCH($B$2&amp;"|xK",Aux_puntos!$1:$1,0))="",NA(),INDEX(Aux_puntos!$A$2:$OJ$901,698,MATCH($B$2&amp;"|xK",Aux_puntos!$1:$1,0))),NA())</f>
        <v>#N/A</v>
      </c>
      <c r="AD702" t="e">
        <f>IFERROR(IF(INDEX(Aux_puntos!$A$2:$OJ$901,698,MATCH($B$2&amp;"|yK",Aux_puntos!$1:$1,0))="",NA(),INDEX(Aux_puntos!$A$2:$OJ$901,698,MATCH($B$2&amp;"|yK",Aux_puntos!$1:$1,0))),NA())</f>
        <v>#N/A</v>
      </c>
      <c r="AE702" t="e">
        <f>IFERROR(IF(INDEX(Aux_puntos!$A$2:$OJ$901,698,MATCH($B$2&amp;"|xC",Aux_puntos!$1:$1,0))="",NA(),INDEX(Aux_puntos!$A$2:$OJ$901,698,MATCH($B$2&amp;"|xC",Aux_puntos!$1:$1,0))),NA())</f>
        <v>#N/A</v>
      </c>
      <c r="AF702" t="e">
        <f>IFERROR(IF(INDEX(Aux_puntos!$A$2:$OJ$901,698,MATCH($B$2&amp;"|yC",Aux_puntos!$1:$1,0))="",NA(),INDEX(Aux_puntos!$A$2:$OJ$901,698,MATCH($B$2&amp;"|yC",Aux_puntos!$1:$1,0))),NA())</f>
        <v>#N/A</v>
      </c>
      <c r="AG702" t="e">
        <f>IFERROR(IF(INDEX(Aux_puntos!$A$2:$OJ$901,698,MATCH($B$2&amp;"|xI",Aux_puntos!$1:$1,0))="",NA(),INDEX(Aux_puntos!$A$2:$OJ$901,698,MATCH($B$2&amp;"|xI",Aux_puntos!$1:$1,0))),NA())</f>
        <v>#N/A</v>
      </c>
      <c r="AH702" t="e">
        <f>IFERROR(IF(INDEX(Aux_puntos!$A$2:$OJ$901,698,MATCH($B$2&amp;"|yI",Aux_puntos!$1:$1,0))="",NA(),INDEX(Aux_puntos!$A$2:$OJ$901,698,MATCH($B$2&amp;"|yI",Aux_puntos!$1:$1,0))),NA())</f>
        <v>#N/A</v>
      </c>
      <c r="AI702" t="e">
        <f>IFERROR(IF(INDEX(Aux_puntos!$A$2:$OJ$901,698,MATCH($B$2&amp;"|xN",Aux_puntos!$1:$1,0))="",NA(),INDEX(Aux_puntos!$A$2:$OJ$901,698,MATCH($B$2&amp;"|xN",Aux_puntos!$1:$1,0))),NA())</f>
        <v>#N/A</v>
      </c>
      <c r="AJ702" t="e">
        <f>IFERROR(IF(INDEX(Aux_puntos!$A$2:$OJ$901,698,MATCH($B$2&amp;"|yN",Aux_puntos!$1:$1,0))="",NA(),INDEX(Aux_puntos!$A$2:$OJ$901,698,MATCH($B$2&amp;"|yN",Aux_puntos!$1:$1,0))),NA())</f>
        <v>#N/A</v>
      </c>
    </row>
    <row r="703" spans="29:36" x14ac:dyDescent="0.3">
      <c r="AC703" t="e">
        <f>IFERROR(IF(INDEX(Aux_puntos!$A$2:$OJ$901,699,MATCH($B$2&amp;"|xK",Aux_puntos!$1:$1,0))="",NA(),INDEX(Aux_puntos!$A$2:$OJ$901,699,MATCH($B$2&amp;"|xK",Aux_puntos!$1:$1,0))),NA())</f>
        <v>#N/A</v>
      </c>
      <c r="AD703" t="e">
        <f>IFERROR(IF(INDEX(Aux_puntos!$A$2:$OJ$901,699,MATCH($B$2&amp;"|yK",Aux_puntos!$1:$1,0))="",NA(),INDEX(Aux_puntos!$A$2:$OJ$901,699,MATCH($B$2&amp;"|yK",Aux_puntos!$1:$1,0))),NA())</f>
        <v>#N/A</v>
      </c>
      <c r="AE703" t="e">
        <f>IFERROR(IF(INDEX(Aux_puntos!$A$2:$OJ$901,699,MATCH($B$2&amp;"|xC",Aux_puntos!$1:$1,0))="",NA(),INDEX(Aux_puntos!$A$2:$OJ$901,699,MATCH($B$2&amp;"|xC",Aux_puntos!$1:$1,0))),NA())</f>
        <v>#N/A</v>
      </c>
      <c r="AF703" t="e">
        <f>IFERROR(IF(INDEX(Aux_puntos!$A$2:$OJ$901,699,MATCH($B$2&amp;"|yC",Aux_puntos!$1:$1,0))="",NA(),INDEX(Aux_puntos!$A$2:$OJ$901,699,MATCH($B$2&amp;"|yC",Aux_puntos!$1:$1,0))),NA())</f>
        <v>#N/A</v>
      </c>
      <c r="AG703" t="e">
        <f>IFERROR(IF(INDEX(Aux_puntos!$A$2:$OJ$901,699,MATCH($B$2&amp;"|xI",Aux_puntos!$1:$1,0))="",NA(),INDEX(Aux_puntos!$A$2:$OJ$901,699,MATCH($B$2&amp;"|xI",Aux_puntos!$1:$1,0))),NA())</f>
        <v>#N/A</v>
      </c>
      <c r="AH703" t="e">
        <f>IFERROR(IF(INDEX(Aux_puntos!$A$2:$OJ$901,699,MATCH($B$2&amp;"|yI",Aux_puntos!$1:$1,0))="",NA(),INDEX(Aux_puntos!$A$2:$OJ$901,699,MATCH($B$2&amp;"|yI",Aux_puntos!$1:$1,0))),NA())</f>
        <v>#N/A</v>
      </c>
      <c r="AI703" t="e">
        <f>IFERROR(IF(INDEX(Aux_puntos!$A$2:$OJ$901,699,MATCH($B$2&amp;"|xN",Aux_puntos!$1:$1,0))="",NA(),INDEX(Aux_puntos!$A$2:$OJ$901,699,MATCH($B$2&amp;"|xN",Aux_puntos!$1:$1,0))),NA())</f>
        <v>#N/A</v>
      </c>
      <c r="AJ703" t="e">
        <f>IFERROR(IF(INDEX(Aux_puntos!$A$2:$OJ$901,699,MATCH($B$2&amp;"|yN",Aux_puntos!$1:$1,0))="",NA(),INDEX(Aux_puntos!$A$2:$OJ$901,699,MATCH($B$2&amp;"|yN",Aux_puntos!$1:$1,0))),NA())</f>
        <v>#N/A</v>
      </c>
    </row>
    <row r="704" spans="29:36" x14ac:dyDescent="0.3">
      <c r="AC704" t="e">
        <f>IFERROR(IF(INDEX(Aux_puntos!$A$2:$OJ$901,700,MATCH($B$2&amp;"|xK",Aux_puntos!$1:$1,0))="",NA(),INDEX(Aux_puntos!$A$2:$OJ$901,700,MATCH($B$2&amp;"|xK",Aux_puntos!$1:$1,0))),NA())</f>
        <v>#N/A</v>
      </c>
      <c r="AD704" t="e">
        <f>IFERROR(IF(INDEX(Aux_puntos!$A$2:$OJ$901,700,MATCH($B$2&amp;"|yK",Aux_puntos!$1:$1,0))="",NA(),INDEX(Aux_puntos!$A$2:$OJ$901,700,MATCH($B$2&amp;"|yK",Aux_puntos!$1:$1,0))),NA())</f>
        <v>#N/A</v>
      </c>
      <c r="AE704" t="e">
        <f>IFERROR(IF(INDEX(Aux_puntos!$A$2:$OJ$901,700,MATCH($B$2&amp;"|xC",Aux_puntos!$1:$1,0))="",NA(),INDEX(Aux_puntos!$A$2:$OJ$901,700,MATCH($B$2&amp;"|xC",Aux_puntos!$1:$1,0))),NA())</f>
        <v>#N/A</v>
      </c>
      <c r="AF704" t="e">
        <f>IFERROR(IF(INDEX(Aux_puntos!$A$2:$OJ$901,700,MATCH($B$2&amp;"|yC",Aux_puntos!$1:$1,0))="",NA(),INDEX(Aux_puntos!$A$2:$OJ$901,700,MATCH($B$2&amp;"|yC",Aux_puntos!$1:$1,0))),NA())</f>
        <v>#N/A</v>
      </c>
      <c r="AG704" t="e">
        <f>IFERROR(IF(INDEX(Aux_puntos!$A$2:$OJ$901,700,MATCH($B$2&amp;"|xI",Aux_puntos!$1:$1,0))="",NA(),INDEX(Aux_puntos!$A$2:$OJ$901,700,MATCH($B$2&amp;"|xI",Aux_puntos!$1:$1,0))),NA())</f>
        <v>#N/A</v>
      </c>
      <c r="AH704" t="e">
        <f>IFERROR(IF(INDEX(Aux_puntos!$A$2:$OJ$901,700,MATCH($B$2&amp;"|yI",Aux_puntos!$1:$1,0))="",NA(),INDEX(Aux_puntos!$A$2:$OJ$901,700,MATCH($B$2&amp;"|yI",Aux_puntos!$1:$1,0))),NA())</f>
        <v>#N/A</v>
      </c>
      <c r="AI704" t="e">
        <f>IFERROR(IF(INDEX(Aux_puntos!$A$2:$OJ$901,700,MATCH($B$2&amp;"|xN",Aux_puntos!$1:$1,0))="",NA(),INDEX(Aux_puntos!$A$2:$OJ$901,700,MATCH($B$2&amp;"|xN",Aux_puntos!$1:$1,0))),NA())</f>
        <v>#N/A</v>
      </c>
      <c r="AJ704" t="e">
        <f>IFERROR(IF(INDEX(Aux_puntos!$A$2:$OJ$901,700,MATCH($B$2&amp;"|yN",Aux_puntos!$1:$1,0))="",NA(),INDEX(Aux_puntos!$A$2:$OJ$901,700,MATCH($B$2&amp;"|yN",Aux_puntos!$1:$1,0))),NA())</f>
        <v>#N/A</v>
      </c>
    </row>
    <row r="705" spans="29:36" x14ac:dyDescent="0.3">
      <c r="AC705" t="e">
        <f>IFERROR(IF(INDEX(Aux_puntos!$A$2:$OJ$901,701,MATCH($B$2&amp;"|xK",Aux_puntos!$1:$1,0))="",NA(),INDEX(Aux_puntos!$A$2:$OJ$901,701,MATCH($B$2&amp;"|xK",Aux_puntos!$1:$1,0))),NA())</f>
        <v>#N/A</v>
      </c>
      <c r="AD705" t="e">
        <f>IFERROR(IF(INDEX(Aux_puntos!$A$2:$OJ$901,701,MATCH($B$2&amp;"|yK",Aux_puntos!$1:$1,0))="",NA(),INDEX(Aux_puntos!$A$2:$OJ$901,701,MATCH($B$2&amp;"|yK",Aux_puntos!$1:$1,0))),NA())</f>
        <v>#N/A</v>
      </c>
      <c r="AE705" t="e">
        <f>IFERROR(IF(INDEX(Aux_puntos!$A$2:$OJ$901,701,MATCH($B$2&amp;"|xC",Aux_puntos!$1:$1,0))="",NA(),INDEX(Aux_puntos!$A$2:$OJ$901,701,MATCH($B$2&amp;"|xC",Aux_puntos!$1:$1,0))),NA())</f>
        <v>#N/A</v>
      </c>
      <c r="AF705" t="e">
        <f>IFERROR(IF(INDEX(Aux_puntos!$A$2:$OJ$901,701,MATCH($B$2&amp;"|yC",Aux_puntos!$1:$1,0))="",NA(),INDEX(Aux_puntos!$A$2:$OJ$901,701,MATCH($B$2&amp;"|yC",Aux_puntos!$1:$1,0))),NA())</f>
        <v>#N/A</v>
      </c>
      <c r="AG705" t="e">
        <f>IFERROR(IF(INDEX(Aux_puntos!$A$2:$OJ$901,701,MATCH($B$2&amp;"|xI",Aux_puntos!$1:$1,0))="",NA(),INDEX(Aux_puntos!$A$2:$OJ$901,701,MATCH($B$2&amp;"|xI",Aux_puntos!$1:$1,0))),NA())</f>
        <v>#N/A</v>
      </c>
      <c r="AH705" t="e">
        <f>IFERROR(IF(INDEX(Aux_puntos!$A$2:$OJ$901,701,MATCH($B$2&amp;"|yI",Aux_puntos!$1:$1,0))="",NA(),INDEX(Aux_puntos!$A$2:$OJ$901,701,MATCH($B$2&amp;"|yI",Aux_puntos!$1:$1,0))),NA())</f>
        <v>#N/A</v>
      </c>
      <c r="AI705" t="e">
        <f>IFERROR(IF(INDEX(Aux_puntos!$A$2:$OJ$901,701,MATCH($B$2&amp;"|xN",Aux_puntos!$1:$1,0))="",NA(),INDEX(Aux_puntos!$A$2:$OJ$901,701,MATCH($B$2&amp;"|xN",Aux_puntos!$1:$1,0))),NA())</f>
        <v>#N/A</v>
      </c>
      <c r="AJ705" t="e">
        <f>IFERROR(IF(INDEX(Aux_puntos!$A$2:$OJ$901,701,MATCH($B$2&amp;"|yN",Aux_puntos!$1:$1,0))="",NA(),INDEX(Aux_puntos!$A$2:$OJ$901,701,MATCH($B$2&amp;"|yN",Aux_puntos!$1:$1,0))),NA())</f>
        <v>#N/A</v>
      </c>
    </row>
    <row r="706" spans="29:36" x14ac:dyDescent="0.3">
      <c r="AC706" t="e">
        <f>IFERROR(IF(INDEX(Aux_puntos!$A$2:$OJ$901,702,MATCH($B$2&amp;"|xK",Aux_puntos!$1:$1,0))="",NA(),INDEX(Aux_puntos!$A$2:$OJ$901,702,MATCH($B$2&amp;"|xK",Aux_puntos!$1:$1,0))),NA())</f>
        <v>#N/A</v>
      </c>
      <c r="AD706" t="e">
        <f>IFERROR(IF(INDEX(Aux_puntos!$A$2:$OJ$901,702,MATCH($B$2&amp;"|yK",Aux_puntos!$1:$1,0))="",NA(),INDEX(Aux_puntos!$A$2:$OJ$901,702,MATCH($B$2&amp;"|yK",Aux_puntos!$1:$1,0))),NA())</f>
        <v>#N/A</v>
      </c>
      <c r="AE706" t="e">
        <f>IFERROR(IF(INDEX(Aux_puntos!$A$2:$OJ$901,702,MATCH($B$2&amp;"|xC",Aux_puntos!$1:$1,0))="",NA(),INDEX(Aux_puntos!$A$2:$OJ$901,702,MATCH($B$2&amp;"|xC",Aux_puntos!$1:$1,0))),NA())</f>
        <v>#N/A</v>
      </c>
      <c r="AF706" t="e">
        <f>IFERROR(IF(INDEX(Aux_puntos!$A$2:$OJ$901,702,MATCH($B$2&amp;"|yC",Aux_puntos!$1:$1,0))="",NA(),INDEX(Aux_puntos!$A$2:$OJ$901,702,MATCH($B$2&amp;"|yC",Aux_puntos!$1:$1,0))),NA())</f>
        <v>#N/A</v>
      </c>
      <c r="AG706" t="e">
        <f>IFERROR(IF(INDEX(Aux_puntos!$A$2:$OJ$901,702,MATCH($B$2&amp;"|xI",Aux_puntos!$1:$1,0))="",NA(),INDEX(Aux_puntos!$A$2:$OJ$901,702,MATCH($B$2&amp;"|xI",Aux_puntos!$1:$1,0))),NA())</f>
        <v>#N/A</v>
      </c>
      <c r="AH706" t="e">
        <f>IFERROR(IF(INDEX(Aux_puntos!$A$2:$OJ$901,702,MATCH($B$2&amp;"|yI",Aux_puntos!$1:$1,0))="",NA(),INDEX(Aux_puntos!$A$2:$OJ$901,702,MATCH($B$2&amp;"|yI",Aux_puntos!$1:$1,0))),NA())</f>
        <v>#N/A</v>
      </c>
      <c r="AI706" t="e">
        <f>IFERROR(IF(INDEX(Aux_puntos!$A$2:$OJ$901,702,MATCH($B$2&amp;"|xN",Aux_puntos!$1:$1,0))="",NA(),INDEX(Aux_puntos!$A$2:$OJ$901,702,MATCH($B$2&amp;"|xN",Aux_puntos!$1:$1,0))),NA())</f>
        <v>#N/A</v>
      </c>
      <c r="AJ706" t="e">
        <f>IFERROR(IF(INDEX(Aux_puntos!$A$2:$OJ$901,702,MATCH($B$2&amp;"|yN",Aux_puntos!$1:$1,0))="",NA(),INDEX(Aux_puntos!$A$2:$OJ$901,702,MATCH($B$2&amp;"|yN",Aux_puntos!$1:$1,0))),NA())</f>
        <v>#N/A</v>
      </c>
    </row>
    <row r="707" spans="29:36" x14ac:dyDescent="0.3">
      <c r="AC707" t="e">
        <f>IFERROR(IF(INDEX(Aux_puntos!$A$2:$OJ$901,703,MATCH($B$2&amp;"|xK",Aux_puntos!$1:$1,0))="",NA(),INDEX(Aux_puntos!$A$2:$OJ$901,703,MATCH($B$2&amp;"|xK",Aux_puntos!$1:$1,0))),NA())</f>
        <v>#N/A</v>
      </c>
      <c r="AD707" t="e">
        <f>IFERROR(IF(INDEX(Aux_puntos!$A$2:$OJ$901,703,MATCH($B$2&amp;"|yK",Aux_puntos!$1:$1,0))="",NA(),INDEX(Aux_puntos!$A$2:$OJ$901,703,MATCH($B$2&amp;"|yK",Aux_puntos!$1:$1,0))),NA())</f>
        <v>#N/A</v>
      </c>
      <c r="AE707" t="e">
        <f>IFERROR(IF(INDEX(Aux_puntos!$A$2:$OJ$901,703,MATCH($B$2&amp;"|xC",Aux_puntos!$1:$1,0))="",NA(),INDEX(Aux_puntos!$A$2:$OJ$901,703,MATCH($B$2&amp;"|xC",Aux_puntos!$1:$1,0))),NA())</f>
        <v>#N/A</v>
      </c>
      <c r="AF707" t="e">
        <f>IFERROR(IF(INDEX(Aux_puntos!$A$2:$OJ$901,703,MATCH($B$2&amp;"|yC",Aux_puntos!$1:$1,0))="",NA(),INDEX(Aux_puntos!$A$2:$OJ$901,703,MATCH($B$2&amp;"|yC",Aux_puntos!$1:$1,0))),NA())</f>
        <v>#N/A</v>
      </c>
      <c r="AG707" t="e">
        <f>IFERROR(IF(INDEX(Aux_puntos!$A$2:$OJ$901,703,MATCH($B$2&amp;"|xI",Aux_puntos!$1:$1,0))="",NA(),INDEX(Aux_puntos!$A$2:$OJ$901,703,MATCH($B$2&amp;"|xI",Aux_puntos!$1:$1,0))),NA())</f>
        <v>#N/A</v>
      </c>
      <c r="AH707" t="e">
        <f>IFERROR(IF(INDEX(Aux_puntos!$A$2:$OJ$901,703,MATCH($B$2&amp;"|yI",Aux_puntos!$1:$1,0))="",NA(),INDEX(Aux_puntos!$A$2:$OJ$901,703,MATCH($B$2&amp;"|yI",Aux_puntos!$1:$1,0))),NA())</f>
        <v>#N/A</v>
      </c>
      <c r="AI707" t="e">
        <f>IFERROR(IF(INDEX(Aux_puntos!$A$2:$OJ$901,703,MATCH($B$2&amp;"|xN",Aux_puntos!$1:$1,0))="",NA(),INDEX(Aux_puntos!$A$2:$OJ$901,703,MATCH($B$2&amp;"|xN",Aux_puntos!$1:$1,0))),NA())</f>
        <v>#N/A</v>
      </c>
      <c r="AJ707" t="e">
        <f>IFERROR(IF(INDEX(Aux_puntos!$A$2:$OJ$901,703,MATCH($B$2&amp;"|yN",Aux_puntos!$1:$1,0))="",NA(),INDEX(Aux_puntos!$A$2:$OJ$901,703,MATCH($B$2&amp;"|yN",Aux_puntos!$1:$1,0))),NA())</f>
        <v>#N/A</v>
      </c>
    </row>
    <row r="708" spans="29:36" x14ac:dyDescent="0.3">
      <c r="AC708" t="e">
        <f>IFERROR(IF(INDEX(Aux_puntos!$A$2:$OJ$901,704,MATCH($B$2&amp;"|xK",Aux_puntos!$1:$1,0))="",NA(),INDEX(Aux_puntos!$A$2:$OJ$901,704,MATCH($B$2&amp;"|xK",Aux_puntos!$1:$1,0))),NA())</f>
        <v>#N/A</v>
      </c>
      <c r="AD708" t="e">
        <f>IFERROR(IF(INDEX(Aux_puntos!$A$2:$OJ$901,704,MATCH($B$2&amp;"|yK",Aux_puntos!$1:$1,0))="",NA(),INDEX(Aux_puntos!$A$2:$OJ$901,704,MATCH($B$2&amp;"|yK",Aux_puntos!$1:$1,0))),NA())</f>
        <v>#N/A</v>
      </c>
      <c r="AE708" t="e">
        <f>IFERROR(IF(INDEX(Aux_puntos!$A$2:$OJ$901,704,MATCH($B$2&amp;"|xC",Aux_puntos!$1:$1,0))="",NA(),INDEX(Aux_puntos!$A$2:$OJ$901,704,MATCH($B$2&amp;"|xC",Aux_puntos!$1:$1,0))),NA())</f>
        <v>#N/A</v>
      </c>
      <c r="AF708" t="e">
        <f>IFERROR(IF(INDEX(Aux_puntos!$A$2:$OJ$901,704,MATCH($B$2&amp;"|yC",Aux_puntos!$1:$1,0))="",NA(),INDEX(Aux_puntos!$A$2:$OJ$901,704,MATCH($B$2&amp;"|yC",Aux_puntos!$1:$1,0))),NA())</f>
        <v>#N/A</v>
      </c>
      <c r="AG708" t="e">
        <f>IFERROR(IF(INDEX(Aux_puntos!$A$2:$OJ$901,704,MATCH($B$2&amp;"|xI",Aux_puntos!$1:$1,0))="",NA(),INDEX(Aux_puntos!$A$2:$OJ$901,704,MATCH($B$2&amp;"|xI",Aux_puntos!$1:$1,0))),NA())</f>
        <v>#N/A</v>
      </c>
      <c r="AH708" t="e">
        <f>IFERROR(IF(INDEX(Aux_puntos!$A$2:$OJ$901,704,MATCH($B$2&amp;"|yI",Aux_puntos!$1:$1,0))="",NA(),INDEX(Aux_puntos!$A$2:$OJ$901,704,MATCH($B$2&amp;"|yI",Aux_puntos!$1:$1,0))),NA())</f>
        <v>#N/A</v>
      </c>
      <c r="AI708" t="e">
        <f>IFERROR(IF(INDEX(Aux_puntos!$A$2:$OJ$901,704,MATCH($B$2&amp;"|xN",Aux_puntos!$1:$1,0))="",NA(),INDEX(Aux_puntos!$A$2:$OJ$901,704,MATCH($B$2&amp;"|xN",Aux_puntos!$1:$1,0))),NA())</f>
        <v>#N/A</v>
      </c>
      <c r="AJ708" t="e">
        <f>IFERROR(IF(INDEX(Aux_puntos!$A$2:$OJ$901,704,MATCH($B$2&amp;"|yN",Aux_puntos!$1:$1,0))="",NA(),INDEX(Aux_puntos!$A$2:$OJ$901,704,MATCH($B$2&amp;"|yN",Aux_puntos!$1:$1,0))),NA())</f>
        <v>#N/A</v>
      </c>
    </row>
    <row r="709" spans="29:36" x14ac:dyDescent="0.3">
      <c r="AC709" t="e">
        <f>IFERROR(IF(INDEX(Aux_puntos!$A$2:$OJ$901,705,MATCH($B$2&amp;"|xK",Aux_puntos!$1:$1,0))="",NA(),INDEX(Aux_puntos!$A$2:$OJ$901,705,MATCH($B$2&amp;"|xK",Aux_puntos!$1:$1,0))),NA())</f>
        <v>#N/A</v>
      </c>
      <c r="AD709" t="e">
        <f>IFERROR(IF(INDEX(Aux_puntos!$A$2:$OJ$901,705,MATCH($B$2&amp;"|yK",Aux_puntos!$1:$1,0))="",NA(),INDEX(Aux_puntos!$A$2:$OJ$901,705,MATCH($B$2&amp;"|yK",Aux_puntos!$1:$1,0))),NA())</f>
        <v>#N/A</v>
      </c>
      <c r="AE709" t="e">
        <f>IFERROR(IF(INDEX(Aux_puntos!$A$2:$OJ$901,705,MATCH($B$2&amp;"|xC",Aux_puntos!$1:$1,0))="",NA(),INDEX(Aux_puntos!$A$2:$OJ$901,705,MATCH($B$2&amp;"|xC",Aux_puntos!$1:$1,0))),NA())</f>
        <v>#N/A</v>
      </c>
      <c r="AF709" t="e">
        <f>IFERROR(IF(INDEX(Aux_puntos!$A$2:$OJ$901,705,MATCH($B$2&amp;"|yC",Aux_puntos!$1:$1,0))="",NA(),INDEX(Aux_puntos!$A$2:$OJ$901,705,MATCH($B$2&amp;"|yC",Aux_puntos!$1:$1,0))),NA())</f>
        <v>#N/A</v>
      </c>
      <c r="AG709" t="e">
        <f>IFERROR(IF(INDEX(Aux_puntos!$A$2:$OJ$901,705,MATCH($B$2&amp;"|xI",Aux_puntos!$1:$1,0))="",NA(),INDEX(Aux_puntos!$A$2:$OJ$901,705,MATCH($B$2&amp;"|xI",Aux_puntos!$1:$1,0))),NA())</f>
        <v>#N/A</v>
      </c>
      <c r="AH709" t="e">
        <f>IFERROR(IF(INDEX(Aux_puntos!$A$2:$OJ$901,705,MATCH($B$2&amp;"|yI",Aux_puntos!$1:$1,0))="",NA(),INDEX(Aux_puntos!$A$2:$OJ$901,705,MATCH($B$2&amp;"|yI",Aux_puntos!$1:$1,0))),NA())</f>
        <v>#N/A</v>
      </c>
      <c r="AI709" t="e">
        <f>IFERROR(IF(INDEX(Aux_puntos!$A$2:$OJ$901,705,MATCH($B$2&amp;"|xN",Aux_puntos!$1:$1,0))="",NA(),INDEX(Aux_puntos!$A$2:$OJ$901,705,MATCH($B$2&amp;"|xN",Aux_puntos!$1:$1,0))),NA())</f>
        <v>#N/A</v>
      </c>
      <c r="AJ709" t="e">
        <f>IFERROR(IF(INDEX(Aux_puntos!$A$2:$OJ$901,705,MATCH($B$2&amp;"|yN",Aux_puntos!$1:$1,0))="",NA(),INDEX(Aux_puntos!$A$2:$OJ$901,705,MATCH($B$2&amp;"|yN",Aux_puntos!$1:$1,0))),NA())</f>
        <v>#N/A</v>
      </c>
    </row>
    <row r="710" spans="29:36" x14ac:dyDescent="0.3">
      <c r="AC710" t="e">
        <f>IFERROR(IF(INDEX(Aux_puntos!$A$2:$OJ$901,706,MATCH($B$2&amp;"|xK",Aux_puntos!$1:$1,0))="",NA(),INDEX(Aux_puntos!$A$2:$OJ$901,706,MATCH($B$2&amp;"|xK",Aux_puntos!$1:$1,0))),NA())</f>
        <v>#N/A</v>
      </c>
      <c r="AD710" t="e">
        <f>IFERROR(IF(INDEX(Aux_puntos!$A$2:$OJ$901,706,MATCH($B$2&amp;"|yK",Aux_puntos!$1:$1,0))="",NA(),INDEX(Aux_puntos!$A$2:$OJ$901,706,MATCH($B$2&amp;"|yK",Aux_puntos!$1:$1,0))),NA())</f>
        <v>#N/A</v>
      </c>
      <c r="AE710" t="e">
        <f>IFERROR(IF(INDEX(Aux_puntos!$A$2:$OJ$901,706,MATCH($B$2&amp;"|xC",Aux_puntos!$1:$1,0))="",NA(),INDEX(Aux_puntos!$A$2:$OJ$901,706,MATCH($B$2&amp;"|xC",Aux_puntos!$1:$1,0))),NA())</f>
        <v>#N/A</v>
      </c>
      <c r="AF710" t="e">
        <f>IFERROR(IF(INDEX(Aux_puntos!$A$2:$OJ$901,706,MATCH($B$2&amp;"|yC",Aux_puntos!$1:$1,0))="",NA(),INDEX(Aux_puntos!$A$2:$OJ$901,706,MATCH($B$2&amp;"|yC",Aux_puntos!$1:$1,0))),NA())</f>
        <v>#N/A</v>
      </c>
      <c r="AG710" t="e">
        <f>IFERROR(IF(INDEX(Aux_puntos!$A$2:$OJ$901,706,MATCH($B$2&amp;"|xI",Aux_puntos!$1:$1,0))="",NA(),INDEX(Aux_puntos!$A$2:$OJ$901,706,MATCH($B$2&amp;"|xI",Aux_puntos!$1:$1,0))),NA())</f>
        <v>#N/A</v>
      </c>
      <c r="AH710" t="e">
        <f>IFERROR(IF(INDEX(Aux_puntos!$A$2:$OJ$901,706,MATCH($B$2&amp;"|yI",Aux_puntos!$1:$1,0))="",NA(),INDEX(Aux_puntos!$A$2:$OJ$901,706,MATCH($B$2&amp;"|yI",Aux_puntos!$1:$1,0))),NA())</f>
        <v>#N/A</v>
      </c>
      <c r="AI710" t="e">
        <f>IFERROR(IF(INDEX(Aux_puntos!$A$2:$OJ$901,706,MATCH($B$2&amp;"|xN",Aux_puntos!$1:$1,0))="",NA(),INDEX(Aux_puntos!$A$2:$OJ$901,706,MATCH($B$2&amp;"|xN",Aux_puntos!$1:$1,0))),NA())</f>
        <v>#N/A</v>
      </c>
      <c r="AJ710" t="e">
        <f>IFERROR(IF(INDEX(Aux_puntos!$A$2:$OJ$901,706,MATCH($B$2&amp;"|yN",Aux_puntos!$1:$1,0))="",NA(),INDEX(Aux_puntos!$A$2:$OJ$901,706,MATCH($B$2&amp;"|yN",Aux_puntos!$1:$1,0))),NA())</f>
        <v>#N/A</v>
      </c>
    </row>
    <row r="711" spans="29:36" x14ac:dyDescent="0.3">
      <c r="AC711" t="e">
        <f>IFERROR(IF(INDEX(Aux_puntos!$A$2:$OJ$901,707,MATCH($B$2&amp;"|xK",Aux_puntos!$1:$1,0))="",NA(),INDEX(Aux_puntos!$A$2:$OJ$901,707,MATCH($B$2&amp;"|xK",Aux_puntos!$1:$1,0))),NA())</f>
        <v>#N/A</v>
      </c>
      <c r="AD711" t="e">
        <f>IFERROR(IF(INDEX(Aux_puntos!$A$2:$OJ$901,707,MATCH($B$2&amp;"|yK",Aux_puntos!$1:$1,0))="",NA(),INDEX(Aux_puntos!$A$2:$OJ$901,707,MATCH($B$2&amp;"|yK",Aux_puntos!$1:$1,0))),NA())</f>
        <v>#N/A</v>
      </c>
      <c r="AE711" t="e">
        <f>IFERROR(IF(INDEX(Aux_puntos!$A$2:$OJ$901,707,MATCH($B$2&amp;"|xC",Aux_puntos!$1:$1,0))="",NA(),INDEX(Aux_puntos!$A$2:$OJ$901,707,MATCH($B$2&amp;"|xC",Aux_puntos!$1:$1,0))),NA())</f>
        <v>#N/A</v>
      </c>
      <c r="AF711" t="e">
        <f>IFERROR(IF(INDEX(Aux_puntos!$A$2:$OJ$901,707,MATCH($B$2&amp;"|yC",Aux_puntos!$1:$1,0))="",NA(),INDEX(Aux_puntos!$A$2:$OJ$901,707,MATCH($B$2&amp;"|yC",Aux_puntos!$1:$1,0))),NA())</f>
        <v>#N/A</v>
      </c>
      <c r="AG711" t="e">
        <f>IFERROR(IF(INDEX(Aux_puntos!$A$2:$OJ$901,707,MATCH($B$2&amp;"|xI",Aux_puntos!$1:$1,0))="",NA(),INDEX(Aux_puntos!$A$2:$OJ$901,707,MATCH($B$2&amp;"|xI",Aux_puntos!$1:$1,0))),NA())</f>
        <v>#N/A</v>
      </c>
      <c r="AH711" t="e">
        <f>IFERROR(IF(INDEX(Aux_puntos!$A$2:$OJ$901,707,MATCH($B$2&amp;"|yI",Aux_puntos!$1:$1,0))="",NA(),INDEX(Aux_puntos!$A$2:$OJ$901,707,MATCH($B$2&amp;"|yI",Aux_puntos!$1:$1,0))),NA())</f>
        <v>#N/A</v>
      </c>
      <c r="AI711" t="e">
        <f>IFERROR(IF(INDEX(Aux_puntos!$A$2:$OJ$901,707,MATCH($B$2&amp;"|xN",Aux_puntos!$1:$1,0))="",NA(),INDEX(Aux_puntos!$A$2:$OJ$901,707,MATCH($B$2&amp;"|xN",Aux_puntos!$1:$1,0))),NA())</f>
        <v>#N/A</v>
      </c>
      <c r="AJ711" t="e">
        <f>IFERROR(IF(INDEX(Aux_puntos!$A$2:$OJ$901,707,MATCH($B$2&amp;"|yN",Aux_puntos!$1:$1,0))="",NA(),INDEX(Aux_puntos!$A$2:$OJ$901,707,MATCH($B$2&amp;"|yN",Aux_puntos!$1:$1,0))),NA())</f>
        <v>#N/A</v>
      </c>
    </row>
    <row r="712" spans="29:36" x14ac:dyDescent="0.3">
      <c r="AC712" t="e">
        <f>IFERROR(IF(INDEX(Aux_puntos!$A$2:$OJ$901,708,MATCH($B$2&amp;"|xK",Aux_puntos!$1:$1,0))="",NA(),INDEX(Aux_puntos!$A$2:$OJ$901,708,MATCH($B$2&amp;"|xK",Aux_puntos!$1:$1,0))),NA())</f>
        <v>#N/A</v>
      </c>
      <c r="AD712" t="e">
        <f>IFERROR(IF(INDEX(Aux_puntos!$A$2:$OJ$901,708,MATCH($B$2&amp;"|yK",Aux_puntos!$1:$1,0))="",NA(),INDEX(Aux_puntos!$A$2:$OJ$901,708,MATCH($B$2&amp;"|yK",Aux_puntos!$1:$1,0))),NA())</f>
        <v>#N/A</v>
      </c>
      <c r="AE712" t="e">
        <f>IFERROR(IF(INDEX(Aux_puntos!$A$2:$OJ$901,708,MATCH($B$2&amp;"|xC",Aux_puntos!$1:$1,0))="",NA(),INDEX(Aux_puntos!$A$2:$OJ$901,708,MATCH($B$2&amp;"|xC",Aux_puntos!$1:$1,0))),NA())</f>
        <v>#N/A</v>
      </c>
      <c r="AF712" t="e">
        <f>IFERROR(IF(INDEX(Aux_puntos!$A$2:$OJ$901,708,MATCH($B$2&amp;"|yC",Aux_puntos!$1:$1,0))="",NA(),INDEX(Aux_puntos!$A$2:$OJ$901,708,MATCH($B$2&amp;"|yC",Aux_puntos!$1:$1,0))),NA())</f>
        <v>#N/A</v>
      </c>
      <c r="AG712" t="e">
        <f>IFERROR(IF(INDEX(Aux_puntos!$A$2:$OJ$901,708,MATCH($B$2&amp;"|xI",Aux_puntos!$1:$1,0))="",NA(),INDEX(Aux_puntos!$A$2:$OJ$901,708,MATCH($B$2&amp;"|xI",Aux_puntos!$1:$1,0))),NA())</f>
        <v>#N/A</v>
      </c>
      <c r="AH712" t="e">
        <f>IFERROR(IF(INDEX(Aux_puntos!$A$2:$OJ$901,708,MATCH($B$2&amp;"|yI",Aux_puntos!$1:$1,0))="",NA(),INDEX(Aux_puntos!$A$2:$OJ$901,708,MATCH($B$2&amp;"|yI",Aux_puntos!$1:$1,0))),NA())</f>
        <v>#N/A</v>
      </c>
      <c r="AI712" t="e">
        <f>IFERROR(IF(INDEX(Aux_puntos!$A$2:$OJ$901,708,MATCH($B$2&amp;"|xN",Aux_puntos!$1:$1,0))="",NA(),INDEX(Aux_puntos!$A$2:$OJ$901,708,MATCH($B$2&amp;"|xN",Aux_puntos!$1:$1,0))),NA())</f>
        <v>#N/A</v>
      </c>
      <c r="AJ712" t="e">
        <f>IFERROR(IF(INDEX(Aux_puntos!$A$2:$OJ$901,708,MATCH($B$2&amp;"|yN",Aux_puntos!$1:$1,0))="",NA(),INDEX(Aux_puntos!$A$2:$OJ$901,708,MATCH($B$2&amp;"|yN",Aux_puntos!$1:$1,0))),NA())</f>
        <v>#N/A</v>
      </c>
    </row>
    <row r="713" spans="29:36" x14ac:dyDescent="0.3">
      <c r="AC713" t="e">
        <f>IFERROR(IF(INDEX(Aux_puntos!$A$2:$OJ$901,709,MATCH($B$2&amp;"|xK",Aux_puntos!$1:$1,0))="",NA(),INDEX(Aux_puntos!$A$2:$OJ$901,709,MATCH($B$2&amp;"|xK",Aux_puntos!$1:$1,0))),NA())</f>
        <v>#N/A</v>
      </c>
      <c r="AD713" t="e">
        <f>IFERROR(IF(INDEX(Aux_puntos!$A$2:$OJ$901,709,MATCH($B$2&amp;"|yK",Aux_puntos!$1:$1,0))="",NA(),INDEX(Aux_puntos!$A$2:$OJ$901,709,MATCH($B$2&amp;"|yK",Aux_puntos!$1:$1,0))),NA())</f>
        <v>#N/A</v>
      </c>
      <c r="AE713" t="e">
        <f>IFERROR(IF(INDEX(Aux_puntos!$A$2:$OJ$901,709,MATCH($B$2&amp;"|xC",Aux_puntos!$1:$1,0))="",NA(),INDEX(Aux_puntos!$A$2:$OJ$901,709,MATCH($B$2&amp;"|xC",Aux_puntos!$1:$1,0))),NA())</f>
        <v>#N/A</v>
      </c>
      <c r="AF713" t="e">
        <f>IFERROR(IF(INDEX(Aux_puntos!$A$2:$OJ$901,709,MATCH($B$2&amp;"|yC",Aux_puntos!$1:$1,0))="",NA(),INDEX(Aux_puntos!$A$2:$OJ$901,709,MATCH($B$2&amp;"|yC",Aux_puntos!$1:$1,0))),NA())</f>
        <v>#N/A</v>
      </c>
      <c r="AG713" t="e">
        <f>IFERROR(IF(INDEX(Aux_puntos!$A$2:$OJ$901,709,MATCH($B$2&amp;"|xI",Aux_puntos!$1:$1,0))="",NA(),INDEX(Aux_puntos!$A$2:$OJ$901,709,MATCH($B$2&amp;"|xI",Aux_puntos!$1:$1,0))),NA())</f>
        <v>#N/A</v>
      </c>
      <c r="AH713" t="e">
        <f>IFERROR(IF(INDEX(Aux_puntos!$A$2:$OJ$901,709,MATCH($B$2&amp;"|yI",Aux_puntos!$1:$1,0))="",NA(),INDEX(Aux_puntos!$A$2:$OJ$901,709,MATCH($B$2&amp;"|yI",Aux_puntos!$1:$1,0))),NA())</f>
        <v>#N/A</v>
      </c>
      <c r="AI713" t="e">
        <f>IFERROR(IF(INDEX(Aux_puntos!$A$2:$OJ$901,709,MATCH($B$2&amp;"|xN",Aux_puntos!$1:$1,0))="",NA(),INDEX(Aux_puntos!$A$2:$OJ$901,709,MATCH($B$2&amp;"|xN",Aux_puntos!$1:$1,0))),NA())</f>
        <v>#N/A</v>
      </c>
      <c r="AJ713" t="e">
        <f>IFERROR(IF(INDEX(Aux_puntos!$A$2:$OJ$901,709,MATCH($B$2&amp;"|yN",Aux_puntos!$1:$1,0))="",NA(),INDEX(Aux_puntos!$A$2:$OJ$901,709,MATCH($B$2&amp;"|yN",Aux_puntos!$1:$1,0))),NA())</f>
        <v>#N/A</v>
      </c>
    </row>
    <row r="714" spans="29:36" x14ac:dyDescent="0.3">
      <c r="AC714" t="e">
        <f>IFERROR(IF(INDEX(Aux_puntos!$A$2:$OJ$901,710,MATCH($B$2&amp;"|xK",Aux_puntos!$1:$1,0))="",NA(),INDEX(Aux_puntos!$A$2:$OJ$901,710,MATCH($B$2&amp;"|xK",Aux_puntos!$1:$1,0))),NA())</f>
        <v>#N/A</v>
      </c>
      <c r="AD714" t="e">
        <f>IFERROR(IF(INDEX(Aux_puntos!$A$2:$OJ$901,710,MATCH($B$2&amp;"|yK",Aux_puntos!$1:$1,0))="",NA(),INDEX(Aux_puntos!$A$2:$OJ$901,710,MATCH($B$2&amp;"|yK",Aux_puntos!$1:$1,0))),NA())</f>
        <v>#N/A</v>
      </c>
      <c r="AE714" t="e">
        <f>IFERROR(IF(INDEX(Aux_puntos!$A$2:$OJ$901,710,MATCH($B$2&amp;"|xC",Aux_puntos!$1:$1,0))="",NA(),INDEX(Aux_puntos!$A$2:$OJ$901,710,MATCH($B$2&amp;"|xC",Aux_puntos!$1:$1,0))),NA())</f>
        <v>#N/A</v>
      </c>
      <c r="AF714" t="e">
        <f>IFERROR(IF(INDEX(Aux_puntos!$A$2:$OJ$901,710,MATCH($B$2&amp;"|yC",Aux_puntos!$1:$1,0))="",NA(),INDEX(Aux_puntos!$A$2:$OJ$901,710,MATCH($B$2&amp;"|yC",Aux_puntos!$1:$1,0))),NA())</f>
        <v>#N/A</v>
      </c>
      <c r="AG714" t="e">
        <f>IFERROR(IF(INDEX(Aux_puntos!$A$2:$OJ$901,710,MATCH($B$2&amp;"|xI",Aux_puntos!$1:$1,0))="",NA(),INDEX(Aux_puntos!$A$2:$OJ$901,710,MATCH($B$2&amp;"|xI",Aux_puntos!$1:$1,0))),NA())</f>
        <v>#N/A</v>
      </c>
      <c r="AH714" t="e">
        <f>IFERROR(IF(INDEX(Aux_puntos!$A$2:$OJ$901,710,MATCH($B$2&amp;"|yI",Aux_puntos!$1:$1,0))="",NA(),INDEX(Aux_puntos!$A$2:$OJ$901,710,MATCH($B$2&amp;"|yI",Aux_puntos!$1:$1,0))),NA())</f>
        <v>#N/A</v>
      </c>
      <c r="AI714" t="e">
        <f>IFERROR(IF(INDEX(Aux_puntos!$A$2:$OJ$901,710,MATCH($B$2&amp;"|xN",Aux_puntos!$1:$1,0))="",NA(),INDEX(Aux_puntos!$A$2:$OJ$901,710,MATCH($B$2&amp;"|xN",Aux_puntos!$1:$1,0))),NA())</f>
        <v>#N/A</v>
      </c>
      <c r="AJ714" t="e">
        <f>IFERROR(IF(INDEX(Aux_puntos!$A$2:$OJ$901,710,MATCH($B$2&amp;"|yN",Aux_puntos!$1:$1,0))="",NA(),INDEX(Aux_puntos!$A$2:$OJ$901,710,MATCH($B$2&amp;"|yN",Aux_puntos!$1:$1,0))),NA())</f>
        <v>#N/A</v>
      </c>
    </row>
    <row r="715" spans="29:36" x14ac:dyDescent="0.3">
      <c r="AC715" t="e">
        <f>IFERROR(IF(INDEX(Aux_puntos!$A$2:$OJ$901,711,MATCH($B$2&amp;"|xK",Aux_puntos!$1:$1,0))="",NA(),INDEX(Aux_puntos!$A$2:$OJ$901,711,MATCH($B$2&amp;"|xK",Aux_puntos!$1:$1,0))),NA())</f>
        <v>#N/A</v>
      </c>
      <c r="AD715" t="e">
        <f>IFERROR(IF(INDEX(Aux_puntos!$A$2:$OJ$901,711,MATCH($B$2&amp;"|yK",Aux_puntos!$1:$1,0))="",NA(),INDEX(Aux_puntos!$A$2:$OJ$901,711,MATCH($B$2&amp;"|yK",Aux_puntos!$1:$1,0))),NA())</f>
        <v>#N/A</v>
      </c>
      <c r="AE715" t="e">
        <f>IFERROR(IF(INDEX(Aux_puntos!$A$2:$OJ$901,711,MATCH($B$2&amp;"|xC",Aux_puntos!$1:$1,0))="",NA(),INDEX(Aux_puntos!$A$2:$OJ$901,711,MATCH($B$2&amp;"|xC",Aux_puntos!$1:$1,0))),NA())</f>
        <v>#N/A</v>
      </c>
      <c r="AF715" t="e">
        <f>IFERROR(IF(INDEX(Aux_puntos!$A$2:$OJ$901,711,MATCH($B$2&amp;"|yC",Aux_puntos!$1:$1,0))="",NA(),INDEX(Aux_puntos!$A$2:$OJ$901,711,MATCH($B$2&amp;"|yC",Aux_puntos!$1:$1,0))),NA())</f>
        <v>#N/A</v>
      </c>
      <c r="AG715" t="e">
        <f>IFERROR(IF(INDEX(Aux_puntos!$A$2:$OJ$901,711,MATCH($B$2&amp;"|xI",Aux_puntos!$1:$1,0))="",NA(),INDEX(Aux_puntos!$A$2:$OJ$901,711,MATCH($B$2&amp;"|xI",Aux_puntos!$1:$1,0))),NA())</f>
        <v>#N/A</v>
      </c>
      <c r="AH715" t="e">
        <f>IFERROR(IF(INDEX(Aux_puntos!$A$2:$OJ$901,711,MATCH($B$2&amp;"|yI",Aux_puntos!$1:$1,0))="",NA(),INDEX(Aux_puntos!$A$2:$OJ$901,711,MATCH($B$2&amp;"|yI",Aux_puntos!$1:$1,0))),NA())</f>
        <v>#N/A</v>
      </c>
      <c r="AI715" t="e">
        <f>IFERROR(IF(INDEX(Aux_puntos!$A$2:$OJ$901,711,MATCH($B$2&amp;"|xN",Aux_puntos!$1:$1,0))="",NA(),INDEX(Aux_puntos!$A$2:$OJ$901,711,MATCH($B$2&amp;"|xN",Aux_puntos!$1:$1,0))),NA())</f>
        <v>#N/A</v>
      </c>
      <c r="AJ715" t="e">
        <f>IFERROR(IF(INDEX(Aux_puntos!$A$2:$OJ$901,711,MATCH($B$2&amp;"|yN",Aux_puntos!$1:$1,0))="",NA(),INDEX(Aux_puntos!$A$2:$OJ$901,711,MATCH($B$2&amp;"|yN",Aux_puntos!$1:$1,0))),NA())</f>
        <v>#N/A</v>
      </c>
    </row>
    <row r="716" spans="29:36" x14ac:dyDescent="0.3">
      <c r="AC716" t="e">
        <f>IFERROR(IF(INDEX(Aux_puntos!$A$2:$OJ$901,712,MATCH($B$2&amp;"|xK",Aux_puntos!$1:$1,0))="",NA(),INDEX(Aux_puntos!$A$2:$OJ$901,712,MATCH($B$2&amp;"|xK",Aux_puntos!$1:$1,0))),NA())</f>
        <v>#N/A</v>
      </c>
      <c r="AD716" t="e">
        <f>IFERROR(IF(INDEX(Aux_puntos!$A$2:$OJ$901,712,MATCH($B$2&amp;"|yK",Aux_puntos!$1:$1,0))="",NA(),INDEX(Aux_puntos!$A$2:$OJ$901,712,MATCH($B$2&amp;"|yK",Aux_puntos!$1:$1,0))),NA())</f>
        <v>#N/A</v>
      </c>
      <c r="AE716" t="e">
        <f>IFERROR(IF(INDEX(Aux_puntos!$A$2:$OJ$901,712,MATCH($B$2&amp;"|xC",Aux_puntos!$1:$1,0))="",NA(),INDEX(Aux_puntos!$A$2:$OJ$901,712,MATCH($B$2&amp;"|xC",Aux_puntos!$1:$1,0))),NA())</f>
        <v>#N/A</v>
      </c>
      <c r="AF716" t="e">
        <f>IFERROR(IF(INDEX(Aux_puntos!$A$2:$OJ$901,712,MATCH($B$2&amp;"|yC",Aux_puntos!$1:$1,0))="",NA(),INDEX(Aux_puntos!$A$2:$OJ$901,712,MATCH($B$2&amp;"|yC",Aux_puntos!$1:$1,0))),NA())</f>
        <v>#N/A</v>
      </c>
      <c r="AG716" t="e">
        <f>IFERROR(IF(INDEX(Aux_puntos!$A$2:$OJ$901,712,MATCH($B$2&amp;"|xI",Aux_puntos!$1:$1,0))="",NA(),INDEX(Aux_puntos!$A$2:$OJ$901,712,MATCH($B$2&amp;"|xI",Aux_puntos!$1:$1,0))),NA())</f>
        <v>#N/A</v>
      </c>
      <c r="AH716" t="e">
        <f>IFERROR(IF(INDEX(Aux_puntos!$A$2:$OJ$901,712,MATCH($B$2&amp;"|yI",Aux_puntos!$1:$1,0))="",NA(),INDEX(Aux_puntos!$A$2:$OJ$901,712,MATCH($B$2&amp;"|yI",Aux_puntos!$1:$1,0))),NA())</f>
        <v>#N/A</v>
      </c>
      <c r="AI716" t="e">
        <f>IFERROR(IF(INDEX(Aux_puntos!$A$2:$OJ$901,712,MATCH($B$2&amp;"|xN",Aux_puntos!$1:$1,0))="",NA(),INDEX(Aux_puntos!$A$2:$OJ$901,712,MATCH($B$2&amp;"|xN",Aux_puntos!$1:$1,0))),NA())</f>
        <v>#N/A</v>
      </c>
      <c r="AJ716" t="e">
        <f>IFERROR(IF(INDEX(Aux_puntos!$A$2:$OJ$901,712,MATCH($B$2&amp;"|yN",Aux_puntos!$1:$1,0))="",NA(),INDEX(Aux_puntos!$A$2:$OJ$901,712,MATCH($B$2&amp;"|yN",Aux_puntos!$1:$1,0))),NA())</f>
        <v>#N/A</v>
      </c>
    </row>
    <row r="717" spans="29:36" x14ac:dyDescent="0.3">
      <c r="AC717" t="e">
        <f>IFERROR(IF(INDEX(Aux_puntos!$A$2:$OJ$901,713,MATCH($B$2&amp;"|xK",Aux_puntos!$1:$1,0))="",NA(),INDEX(Aux_puntos!$A$2:$OJ$901,713,MATCH($B$2&amp;"|xK",Aux_puntos!$1:$1,0))),NA())</f>
        <v>#N/A</v>
      </c>
      <c r="AD717" t="e">
        <f>IFERROR(IF(INDEX(Aux_puntos!$A$2:$OJ$901,713,MATCH($B$2&amp;"|yK",Aux_puntos!$1:$1,0))="",NA(),INDEX(Aux_puntos!$A$2:$OJ$901,713,MATCH($B$2&amp;"|yK",Aux_puntos!$1:$1,0))),NA())</f>
        <v>#N/A</v>
      </c>
      <c r="AE717" t="e">
        <f>IFERROR(IF(INDEX(Aux_puntos!$A$2:$OJ$901,713,MATCH($B$2&amp;"|xC",Aux_puntos!$1:$1,0))="",NA(),INDEX(Aux_puntos!$A$2:$OJ$901,713,MATCH($B$2&amp;"|xC",Aux_puntos!$1:$1,0))),NA())</f>
        <v>#N/A</v>
      </c>
      <c r="AF717" t="e">
        <f>IFERROR(IF(INDEX(Aux_puntos!$A$2:$OJ$901,713,MATCH($B$2&amp;"|yC",Aux_puntos!$1:$1,0))="",NA(),INDEX(Aux_puntos!$A$2:$OJ$901,713,MATCH($B$2&amp;"|yC",Aux_puntos!$1:$1,0))),NA())</f>
        <v>#N/A</v>
      </c>
      <c r="AG717" t="e">
        <f>IFERROR(IF(INDEX(Aux_puntos!$A$2:$OJ$901,713,MATCH($B$2&amp;"|xI",Aux_puntos!$1:$1,0))="",NA(),INDEX(Aux_puntos!$A$2:$OJ$901,713,MATCH($B$2&amp;"|xI",Aux_puntos!$1:$1,0))),NA())</f>
        <v>#N/A</v>
      </c>
      <c r="AH717" t="e">
        <f>IFERROR(IF(INDEX(Aux_puntos!$A$2:$OJ$901,713,MATCH($B$2&amp;"|yI",Aux_puntos!$1:$1,0))="",NA(),INDEX(Aux_puntos!$A$2:$OJ$901,713,MATCH($B$2&amp;"|yI",Aux_puntos!$1:$1,0))),NA())</f>
        <v>#N/A</v>
      </c>
      <c r="AI717" t="e">
        <f>IFERROR(IF(INDEX(Aux_puntos!$A$2:$OJ$901,713,MATCH($B$2&amp;"|xN",Aux_puntos!$1:$1,0))="",NA(),INDEX(Aux_puntos!$A$2:$OJ$901,713,MATCH($B$2&amp;"|xN",Aux_puntos!$1:$1,0))),NA())</f>
        <v>#N/A</v>
      </c>
      <c r="AJ717" t="e">
        <f>IFERROR(IF(INDEX(Aux_puntos!$A$2:$OJ$901,713,MATCH($B$2&amp;"|yN",Aux_puntos!$1:$1,0))="",NA(),INDEX(Aux_puntos!$A$2:$OJ$901,713,MATCH($B$2&amp;"|yN",Aux_puntos!$1:$1,0))),NA())</f>
        <v>#N/A</v>
      </c>
    </row>
    <row r="718" spans="29:36" x14ac:dyDescent="0.3">
      <c r="AC718" t="e">
        <f>IFERROR(IF(INDEX(Aux_puntos!$A$2:$OJ$901,714,MATCH($B$2&amp;"|xK",Aux_puntos!$1:$1,0))="",NA(),INDEX(Aux_puntos!$A$2:$OJ$901,714,MATCH($B$2&amp;"|xK",Aux_puntos!$1:$1,0))),NA())</f>
        <v>#N/A</v>
      </c>
      <c r="AD718" t="e">
        <f>IFERROR(IF(INDEX(Aux_puntos!$A$2:$OJ$901,714,MATCH($B$2&amp;"|yK",Aux_puntos!$1:$1,0))="",NA(),INDEX(Aux_puntos!$A$2:$OJ$901,714,MATCH($B$2&amp;"|yK",Aux_puntos!$1:$1,0))),NA())</f>
        <v>#N/A</v>
      </c>
      <c r="AE718" t="e">
        <f>IFERROR(IF(INDEX(Aux_puntos!$A$2:$OJ$901,714,MATCH($B$2&amp;"|xC",Aux_puntos!$1:$1,0))="",NA(),INDEX(Aux_puntos!$A$2:$OJ$901,714,MATCH($B$2&amp;"|xC",Aux_puntos!$1:$1,0))),NA())</f>
        <v>#N/A</v>
      </c>
      <c r="AF718" t="e">
        <f>IFERROR(IF(INDEX(Aux_puntos!$A$2:$OJ$901,714,MATCH($B$2&amp;"|yC",Aux_puntos!$1:$1,0))="",NA(),INDEX(Aux_puntos!$A$2:$OJ$901,714,MATCH($B$2&amp;"|yC",Aux_puntos!$1:$1,0))),NA())</f>
        <v>#N/A</v>
      </c>
      <c r="AG718" t="e">
        <f>IFERROR(IF(INDEX(Aux_puntos!$A$2:$OJ$901,714,MATCH($B$2&amp;"|xI",Aux_puntos!$1:$1,0))="",NA(),INDEX(Aux_puntos!$A$2:$OJ$901,714,MATCH($B$2&amp;"|xI",Aux_puntos!$1:$1,0))),NA())</f>
        <v>#N/A</v>
      </c>
      <c r="AH718" t="e">
        <f>IFERROR(IF(INDEX(Aux_puntos!$A$2:$OJ$901,714,MATCH($B$2&amp;"|yI",Aux_puntos!$1:$1,0))="",NA(),INDEX(Aux_puntos!$A$2:$OJ$901,714,MATCH($B$2&amp;"|yI",Aux_puntos!$1:$1,0))),NA())</f>
        <v>#N/A</v>
      </c>
      <c r="AI718" t="e">
        <f>IFERROR(IF(INDEX(Aux_puntos!$A$2:$OJ$901,714,MATCH($B$2&amp;"|xN",Aux_puntos!$1:$1,0))="",NA(),INDEX(Aux_puntos!$A$2:$OJ$901,714,MATCH($B$2&amp;"|xN",Aux_puntos!$1:$1,0))),NA())</f>
        <v>#N/A</v>
      </c>
      <c r="AJ718" t="e">
        <f>IFERROR(IF(INDEX(Aux_puntos!$A$2:$OJ$901,714,MATCH($B$2&amp;"|yN",Aux_puntos!$1:$1,0))="",NA(),INDEX(Aux_puntos!$A$2:$OJ$901,714,MATCH($B$2&amp;"|yN",Aux_puntos!$1:$1,0))),NA())</f>
        <v>#N/A</v>
      </c>
    </row>
    <row r="719" spans="29:36" x14ac:dyDescent="0.3">
      <c r="AC719" t="e">
        <f>IFERROR(IF(INDEX(Aux_puntos!$A$2:$OJ$901,715,MATCH($B$2&amp;"|xK",Aux_puntos!$1:$1,0))="",NA(),INDEX(Aux_puntos!$A$2:$OJ$901,715,MATCH($B$2&amp;"|xK",Aux_puntos!$1:$1,0))),NA())</f>
        <v>#N/A</v>
      </c>
      <c r="AD719" t="e">
        <f>IFERROR(IF(INDEX(Aux_puntos!$A$2:$OJ$901,715,MATCH($B$2&amp;"|yK",Aux_puntos!$1:$1,0))="",NA(),INDEX(Aux_puntos!$A$2:$OJ$901,715,MATCH($B$2&amp;"|yK",Aux_puntos!$1:$1,0))),NA())</f>
        <v>#N/A</v>
      </c>
      <c r="AE719" t="e">
        <f>IFERROR(IF(INDEX(Aux_puntos!$A$2:$OJ$901,715,MATCH($B$2&amp;"|xC",Aux_puntos!$1:$1,0))="",NA(),INDEX(Aux_puntos!$A$2:$OJ$901,715,MATCH($B$2&amp;"|xC",Aux_puntos!$1:$1,0))),NA())</f>
        <v>#N/A</v>
      </c>
      <c r="AF719" t="e">
        <f>IFERROR(IF(INDEX(Aux_puntos!$A$2:$OJ$901,715,MATCH($B$2&amp;"|yC",Aux_puntos!$1:$1,0))="",NA(),INDEX(Aux_puntos!$A$2:$OJ$901,715,MATCH($B$2&amp;"|yC",Aux_puntos!$1:$1,0))),NA())</f>
        <v>#N/A</v>
      </c>
      <c r="AG719" t="e">
        <f>IFERROR(IF(INDEX(Aux_puntos!$A$2:$OJ$901,715,MATCH($B$2&amp;"|xI",Aux_puntos!$1:$1,0))="",NA(),INDEX(Aux_puntos!$A$2:$OJ$901,715,MATCH($B$2&amp;"|xI",Aux_puntos!$1:$1,0))),NA())</f>
        <v>#N/A</v>
      </c>
      <c r="AH719" t="e">
        <f>IFERROR(IF(INDEX(Aux_puntos!$A$2:$OJ$901,715,MATCH($B$2&amp;"|yI",Aux_puntos!$1:$1,0))="",NA(),INDEX(Aux_puntos!$A$2:$OJ$901,715,MATCH($B$2&amp;"|yI",Aux_puntos!$1:$1,0))),NA())</f>
        <v>#N/A</v>
      </c>
      <c r="AI719" t="e">
        <f>IFERROR(IF(INDEX(Aux_puntos!$A$2:$OJ$901,715,MATCH($B$2&amp;"|xN",Aux_puntos!$1:$1,0))="",NA(),INDEX(Aux_puntos!$A$2:$OJ$901,715,MATCH($B$2&amp;"|xN",Aux_puntos!$1:$1,0))),NA())</f>
        <v>#N/A</v>
      </c>
      <c r="AJ719" t="e">
        <f>IFERROR(IF(INDEX(Aux_puntos!$A$2:$OJ$901,715,MATCH($B$2&amp;"|yN",Aux_puntos!$1:$1,0))="",NA(),INDEX(Aux_puntos!$A$2:$OJ$901,715,MATCH($B$2&amp;"|yN",Aux_puntos!$1:$1,0))),NA())</f>
        <v>#N/A</v>
      </c>
    </row>
    <row r="720" spans="29:36" x14ac:dyDescent="0.3">
      <c r="AC720" t="e">
        <f>IFERROR(IF(INDEX(Aux_puntos!$A$2:$OJ$901,716,MATCH($B$2&amp;"|xK",Aux_puntos!$1:$1,0))="",NA(),INDEX(Aux_puntos!$A$2:$OJ$901,716,MATCH($B$2&amp;"|xK",Aux_puntos!$1:$1,0))),NA())</f>
        <v>#N/A</v>
      </c>
      <c r="AD720" t="e">
        <f>IFERROR(IF(INDEX(Aux_puntos!$A$2:$OJ$901,716,MATCH($B$2&amp;"|yK",Aux_puntos!$1:$1,0))="",NA(),INDEX(Aux_puntos!$A$2:$OJ$901,716,MATCH($B$2&amp;"|yK",Aux_puntos!$1:$1,0))),NA())</f>
        <v>#N/A</v>
      </c>
      <c r="AE720" t="e">
        <f>IFERROR(IF(INDEX(Aux_puntos!$A$2:$OJ$901,716,MATCH($B$2&amp;"|xC",Aux_puntos!$1:$1,0))="",NA(),INDEX(Aux_puntos!$A$2:$OJ$901,716,MATCH($B$2&amp;"|xC",Aux_puntos!$1:$1,0))),NA())</f>
        <v>#N/A</v>
      </c>
      <c r="AF720" t="e">
        <f>IFERROR(IF(INDEX(Aux_puntos!$A$2:$OJ$901,716,MATCH($B$2&amp;"|yC",Aux_puntos!$1:$1,0))="",NA(),INDEX(Aux_puntos!$A$2:$OJ$901,716,MATCH($B$2&amp;"|yC",Aux_puntos!$1:$1,0))),NA())</f>
        <v>#N/A</v>
      </c>
      <c r="AG720" t="e">
        <f>IFERROR(IF(INDEX(Aux_puntos!$A$2:$OJ$901,716,MATCH($B$2&amp;"|xI",Aux_puntos!$1:$1,0))="",NA(),INDEX(Aux_puntos!$A$2:$OJ$901,716,MATCH($B$2&amp;"|xI",Aux_puntos!$1:$1,0))),NA())</f>
        <v>#N/A</v>
      </c>
      <c r="AH720" t="e">
        <f>IFERROR(IF(INDEX(Aux_puntos!$A$2:$OJ$901,716,MATCH($B$2&amp;"|yI",Aux_puntos!$1:$1,0))="",NA(),INDEX(Aux_puntos!$A$2:$OJ$901,716,MATCH($B$2&amp;"|yI",Aux_puntos!$1:$1,0))),NA())</f>
        <v>#N/A</v>
      </c>
      <c r="AI720" t="e">
        <f>IFERROR(IF(INDEX(Aux_puntos!$A$2:$OJ$901,716,MATCH($B$2&amp;"|xN",Aux_puntos!$1:$1,0))="",NA(),INDEX(Aux_puntos!$A$2:$OJ$901,716,MATCH($B$2&amp;"|xN",Aux_puntos!$1:$1,0))),NA())</f>
        <v>#N/A</v>
      </c>
      <c r="AJ720" t="e">
        <f>IFERROR(IF(INDEX(Aux_puntos!$A$2:$OJ$901,716,MATCH($B$2&amp;"|yN",Aux_puntos!$1:$1,0))="",NA(),INDEX(Aux_puntos!$A$2:$OJ$901,716,MATCH($B$2&amp;"|yN",Aux_puntos!$1:$1,0))),NA())</f>
        <v>#N/A</v>
      </c>
    </row>
    <row r="721" spans="29:36" x14ac:dyDescent="0.3">
      <c r="AC721" t="e">
        <f>IFERROR(IF(INDEX(Aux_puntos!$A$2:$OJ$901,717,MATCH($B$2&amp;"|xK",Aux_puntos!$1:$1,0))="",NA(),INDEX(Aux_puntos!$A$2:$OJ$901,717,MATCH($B$2&amp;"|xK",Aux_puntos!$1:$1,0))),NA())</f>
        <v>#N/A</v>
      </c>
      <c r="AD721" t="e">
        <f>IFERROR(IF(INDEX(Aux_puntos!$A$2:$OJ$901,717,MATCH($B$2&amp;"|yK",Aux_puntos!$1:$1,0))="",NA(),INDEX(Aux_puntos!$A$2:$OJ$901,717,MATCH($B$2&amp;"|yK",Aux_puntos!$1:$1,0))),NA())</f>
        <v>#N/A</v>
      </c>
      <c r="AE721" t="e">
        <f>IFERROR(IF(INDEX(Aux_puntos!$A$2:$OJ$901,717,MATCH($B$2&amp;"|xC",Aux_puntos!$1:$1,0))="",NA(),INDEX(Aux_puntos!$A$2:$OJ$901,717,MATCH($B$2&amp;"|xC",Aux_puntos!$1:$1,0))),NA())</f>
        <v>#N/A</v>
      </c>
      <c r="AF721" t="e">
        <f>IFERROR(IF(INDEX(Aux_puntos!$A$2:$OJ$901,717,MATCH($B$2&amp;"|yC",Aux_puntos!$1:$1,0))="",NA(),INDEX(Aux_puntos!$A$2:$OJ$901,717,MATCH($B$2&amp;"|yC",Aux_puntos!$1:$1,0))),NA())</f>
        <v>#N/A</v>
      </c>
      <c r="AG721" t="e">
        <f>IFERROR(IF(INDEX(Aux_puntos!$A$2:$OJ$901,717,MATCH($B$2&amp;"|xI",Aux_puntos!$1:$1,0))="",NA(),INDEX(Aux_puntos!$A$2:$OJ$901,717,MATCH($B$2&amp;"|xI",Aux_puntos!$1:$1,0))),NA())</f>
        <v>#N/A</v>
      </c>
      <c r="AH721" t="e">
        <f>IFERROR(IF(INDEX(Aux_puntos!$A$2:$OJ$901,717,MATCH($B$2&amp;"|yI",Aux_puntos!$1:$1,0))="",NA(),INDEX(Aux_puntos!$A$2:$OJ$901,717,MATCH($B$2&amp;"|yI",Aux_puntos!$1:$1,0))),NA())</f>
        <v>#N/A</v>
      </c>
      <c r="AI721" t="e">
        <f>IFERROR(IF(INDEX(Aux_puntos!$A$2:$OJ$901,717,MATCH($B$2&amp;"|xN",Aux_puntos!$1:$1,0))="",NA(),INDEX(Aux_puntos!$A$2:$OJ$901,717,MATCH($B$2&amp;"|xN",Aux_puntos!$1:$1,0))),NA())</f>
        <v>#N/A</v>
      </c>
      <c r="AJ721" t="e">
        <f>IFERROR(IF(INDEX(Aux_puntos!$A$2:$OJ$901,717,MATCH($B$2&amp;"|yN",Aux_puntos!$1:$1,0))="",NA(),INDEX(Aux_puntos!$A$2:$OJ$901,717,MATCH($B$2&amp;"|yN",Aux_puntos!$1:$1,0))),NA())</f>
        <v>#N/A</v>
      </c>
    </row>
    <row r="722" spans="29:36" x14ac:dyDescent="0.3">
      <c r="AC722" t="e">
        <f>IFERROR(IF(INDEX(Aux_puntos!$A$2:$OJ$901,718,MATCH($B$2&amp;"|xK",Aux_puntos!$1:$1,0))="",NA(),INDEX(Aux_puntos!$A$2:$OJ$901,718,MATCH($B$2&amp;"|xK",Aux_puntos!$1:$1,0))),NA())</f>
        <v>#N/A</v>
      </c>
      <c r="AD722" t="e">
        <f>IFERROR(IF(INDEX(Aux_puntos!$A$2:$OJ$901,718,MATCH($B$2&amp;"|yK",Aux_puntos!$1:$1,0))="",NA(),INDEX(Aux_puntos!$A$2:$OJ$901,718,MATCH($B$2&amp;"|yK",Aux_puntos!$1:$1,0))),NA())</f>
        <v>#N/A</v>
      </c>
      <c r="AE722" t="e">
        <f>IFERROR(IF(INDEX(Aux_puntos!$A$2:$OJ$901,718,MATCH($B$2&amp;"|xC",Aux_puntos!$1:$1,0))="",NA(),INDEX(Aux_puntos!$A$2:$OJ$901,718,MATCH($B$2&amp;"|xC",Aux_puntos!$1:$1,0))),NA())</f>
        <v>#N/A</v>
      </c>
      <c r="AF722" t="e">
        <f>IFERROR(IF(INDEX(Aux_puntos!$A$2:$OJ$901,718,MATCH($B$2&amp;"|yC",Aux_puntos!$1:$1,0))="",NA(),INDEX(Aux_puntos!$A$2:$OJ$901,718,MATCH($B$2&amp;"|yC",Aux_puntos!$1:$1,0))),NA())</f>
        <v>#N/A</v>
      </c>
      <c r="AG722" t="e">
        <f>IFERROR(IF(INDEX(Aux_puntos!$A$2:$OJ$901,718,MATCH($B$2&amp;"|xI",Aux_puntos!$1:$1,0))="",NA(),INDEX(Aux_puntos!$A$2:$OJ$901,718,MATCH($B$2&amp;"|xI",Aux_puntos!$1:$1,0))),NA())</f>
        <v>#N/A</v>
      </c>
      <c r="AH722" t="e">
        <f>IFERROR(IF(INDEX(Aux_puntos!$A$2:$OJ$901,718,MATCH($B$2&amp;"|yI",Aux_puntos!$1:$1,0))="",NA(),INDEX(Aux_puntos!$A$2:$OJ$901,718,MATCH($B$2&amp;"|yI",Aux_puntos!$1:$1,0))),NA())</f>
        <v>#N/A</v>
      </c>
      <c r="AI722" t="e">
        <f>IFERROR(IF(INDEX(Aux_puntos!$A$2:$OJ$901,718,MATCH($B$2&amp;"|xN",Aux_puntos!$1:$1,0))="",NA(),INDEX(Aux_puntos!$A$2:$OJ$901,718,MATCH($B$2&amp;"|xN",Aux_puntos!$1:$1,0))),NA())</f>
        <v>#N/A</v>
      </c>
      <c r="AJ722" t="e">
        <f>IFERROR(IF(INDEX(Aux_puntos!$A$2:$OJ$901,718,MATCH($B$2&amp;"|yN",Aux_puntos!$1:$1,0))="",NA(),INDEX(Aux_puntos!$A$2:$OJ$901,718,MATCH($B$2&amp;"|yN",Aux_puntos!$1:$1,0))),NA())</f>
        <v>#N/A</v>
      </c>
    </row>
    <row r="723" spans="29:36" x14ac:dyDescent="0.3">
      <c r="AC723" t="e">
        <f>IFERROR(IF(INDEX(Aux_puntos!$A$2:$OJ$901,719,MATCH($B$2&amp;"|xK",Aux_puntos!$1:$1,0))="",NA(),INDEX(Aux_puntos!$A$2:$OJ$901,719,MATCH($B$2&amp;"|xK",Aux_puntos!$1:$1,0))),NA())</f>
        <v>#N/A</v>
      </c>
      <c r="AD723" t="e">
        <f>IFERROR(IF(INDEX(Aux_puntos!$A$2:$OJ$901,719,MATCH($B$2&amp;"|yK",Aux_puntos!$1:$1,0))="",NA(),INDEX(Aux_puntos!$A$2:$OJ$901,719,MATCH($B$2&amp;"|yK",Aux_puntos!$1:$1,0))),NA())</f>
        <v>#N/A</v>
      </c>
      <c r="AE723" t="e">
        <f>IFERROR(IF(INDEX(Aux_puntos!$A$2:$OJ$901,719,MATCH($B$2&amp;"|xC",Aux_puntos!$1:$1,0))="",NA(),INDEX(Aux_puntos!$A$2:$OJ$901,719,MATCH($B$2&amp;"|xC",Aux_puntos!$1:$1,0))),NA())</f>
        <v>#N/A</v>
      </c>
      <c r="AF723" t="e">
        <f>IFERROR(IF(INDEX(Aux_puntos!$A$2:$OJ$901,719,MATCH($B$2&amp;"|yC",Aux_puntos!$1:$1,0))="",NA(),INDEX(Aux_puntos!$A$2:$OJ$901,719,MATCH($B$2&amp;"|yC",Aux_puntos!$1:$1,0))),NA())</f>
        <v>#N/A</v>
      </c>
      <c r="AG723" t="e">
        <f>IFERROR(IF(INDEX(Aux_puntos!$A$2:$OJ$901,719,MATCH($B$2&amp;"|xI",Aux_puntos!$1:$1,0))="",NA(),INDEX(Aux_puntos!$A$2:$OJ$901,719,MATCH($B$2&amp;"|xI",Aux_puntos!$1:$1,0))),NA())</f>
        <v>#N/A</v>
      </c>
      <c r="AH723" t="e">
        <f>IFERROR(IF(INDEX(Aux_puntos!$A$2:$OJ$901,719,MATCH($B$2&amp;"|yI",Aux_puntos!$1:$1,0))="",NA(),INDEX(Aux_puntos!$A$2:$OJ$901,719,MATCH($B$2&amp;"|yI",Aux_puntos!$1:$1,0))),NA())</f>
        <v>#N/A</v>
      </c>
      <c r="AI723" t="e">
        <f>IFERROR(IF(INDEX(Aux_puntos!$A$2:$OJ$901,719,MATCH($B$2&amp;"|xN",Aux_puntos!$1:$1,0))="",NA(),INDEX(Aux_puntos!$A$2:$OJ$901,719,MATCH($B$2&amp;"|xN",Aux_puntos!$1:$1,0))),NA())</f>
        <v>#N/A</v>
      </c>
      <c r="AJ723" t="e">
        <f>IFERROR(IF(INDEX(Aux_puntos!$A$2:$OJ$901,719,MATCH($B$2&amp;"|yN",Aux_puntos!$1:$1,0))="",NA(),INDEX(Aux_puntos!$A$2:$OJ$901,719,MATCH($B$2&amp;"|yN",Aux_puntos!$1:$1,0))),NA())</f>
        <v>#N/A</v>
      </c>
    </row>
    <row r="724" spans="29:36" x14ac:dyDescent="0.3">
      <c r="AC724" t="e">
        <f>IFERROR(IF(INDEX(Aux_puntos!$A$2:$OJ$901,720,MATCH($B$2&amp;"|xK",Aux_puntos!$1:$1,0))="",NA(),INDEX(Aux_puntos!$A$2:$OJ$901,720,MATCH($B$2&amp;"|xK",Aux_puntos!$1:$1,0))),NA())</f>
        <v>#N/A</v>
      </c>
      <c r="AD724" t="e">
        <f>IFERROR(IF(INDEX(Aux_puntos!$A$2:$OJ$901,720,MATCH($B$2&amp;"|yK",Aux_puntos!$1:$1,0))="",NA(),INDEX(Aux_puntos!$A$2:$OJ$901,720,MATCH($B$2&amp;"|yK",Aux_puntos!$1:$1,0))),NA())</f>
        <v>#N/A</v>
      </c>
      <c r="AE724" t="e">
        <f>IFERROR(IF(INDEX(Aux_puntos!$A$2:$OJ$901,720,MATCH($B$2&amp;"|xC",Aux_puntos!$1:$1,0))="",NA(),INDEX(Aux_puntos!$A$2:$OJ$901,720,MATCH($B$2&amp;"|xC",Aux_puntos!$1:$1,0))),NA())</f>
        <v>#N/A</v>
      </c>
      <c r="AF724" t="e">
        <f>IFERROR(IF(INDEX(Aux_puntos!$A$2:$OJ$901,720,MATCH($B$2&amp;"|yC",Aux_puntos!$1:$1,0))="",NA(),INDEX(Aux_puntos!$A$2:$OJ$901,720,MATCH($B$2&amp;"|yC",Aux_puntos!$1:$1,0))),NA())</f>
        <v>#N/A</v>
      </c>
      <c r="AG724" t="e">
        <f>IFERROR(IF(INDEX(Aux_puntos!$A$2:$OJ$901,720,MATCH($B$2&amp;"|xI",Aux_puntos!$1:$1,0))="",NA(),INDEX(Aux_puntos!$A$2:$OJ$901,720,MATCH($B$2&amp;"|xI",Aux_puntos!$1:$1,0))),NA())</f>
        <v>#N/A</v>
      </c>
      <c r="AH724" t="e">
        <f>IFERROR(IF(INDEX(Aux_puntos!$A$2:$OJ$901,720,MATCH($B$2&amp;"|yI",Aux_puntos!$1:$1,0))="",NA(),INDEX(Aux_puntos!$A$2:$OJ$901,720,MATCH($B$2&amp;"|yI",Aux_puntos!$1:$1,0))),NA())</f>
        <v>#N/A</v>
      </c>
      <c r="AI724" t="e">
        <f>IFERROR(IF(INDEX(Aux_puntos!$A$2:$OJ$901,720,MATCH($B$2&amp;"|xN",Aux_puntos!$1:$1,0))="",NA(),INDEX(Aux_puntos!$A$2:$OJ$901,720,MATCH($B$2&amp;"|xN",Aux_puntos!$1:$1,0))),NA())</f>
        <v>#N/A</v>
      </c>
      <c r="AJ724" t="e">
        <f>IFERROR(IF(INDEX(Aux_puntos!$A$2:$OJ$901,720,MATCH($B$2&amp;"|yN",Aux_puntos!$1:$1,0))="",NA(),INDEX(Aux_puntos!$A$2:$OJ$901,720,MATCH($B$2&amp;"|yN",Aux_puntos!$1:$1,0))),NA())</f>
        <v>#N/A</v>
      </c>
    </row>
    <row r="725" spans="29:36" x14ac:dyDescent="0.3">
      <c r="AC725" t="e">
        <f>IFERROR(IF(INDEX(Aux_puntos!$A$2:$OJ$901,721,MATCH($B$2&amp;"|xK",Aux_puntos!$1:$1,0))="",NA(),INDEX(Aux_puntos!$A$2:$OJ$901,721,MATCH($B$2&amp;"|xK",Aux_puntos!$1:$1,0))),NA())</f>
        <v>#N/A</v>
      </c>
      <c r="AD725" t="e">
        <f>IFERROR(IF(INDEX(Aux_puntos!$A$2:$OJ$901,721,MATCH($B$2&amp;"|yK",Aux_puntos!$1:$1,0))="",NA(),INDEX(Aux_puntos!$A$2:$OJ$901,721,MATCH($B$2&amp;"|yK",Aux_puntos!$1:$1,0))),NA())</f>
        <v>#N/A</v>
      </c>
      <c r="AE725" t="e">
        <f>IFERROR(IF(INDEX(Aux_puntos!$A$2:$OJ$901,721,MATCH($B$2&amp;"|xC",Aux_puntos!$1:$1,0))="",NA(),INDEX(Aux_puntos!$A$2:$OJ$901,721,MATCH($B$2&amp;"|xC",Aux_puntos!$1:$1,0))),NA())</f>
        <v>#N/A</v>
      </c>
      <c r="AF725" t="e">
        <f>IFERROR(IF(INDEX(Aux_puntos!$A$2:$OJ$901,721,MATCH($B$2&amp;"|yC",Aux_puntos!$1:$1,0))="",NA(),INDEX(Aux_puntos!$A$2:$OJ$901,721,MATCH($B$2&amp;"|yC",Aux_puntos!$1:$1,0))),NA())</f>
        <v>#N/A</v>
      </c>
      <c r="AG725" t="e">
        <f>IFERROR(IF(INDEX(Aux_puntos!$A$2:$OJ$901,721,MATCH($B$2&amp;"|xI",Aux_puntos!$1:$1,0))="",NA(),INDEX(Aux_puntos!$A$2:$OJ$901,721,MATCH($B$2&amp;"|xI",Aux_puntos!$1:$1,0))),NA())</f>
        <v>#N/A</v>
      </c>
      <c r="AH725" t="e">
        <f>IFERROR(IF(INDEX(Aux_puntos!$A$2:$OJ$901,721,MATCH($B$2&amp;"|yI",Aux_puntos!$1:$1,0))="",NA(),INDEX(Aux_puntos!$A$2:$OJ$901,721,MATCH($B$2&amp;"|yI",Aux_puntos!$1:$1,0))),NA())</f>
        <v>#N/A</v>
      </c>
      <c r="AI725" t="e">
        <f>IFERROR(IF(INDEX(Aux_puntos!$A$2:$OJ$901,721,MATCH($B$2&amp;"|xN",Aux_puntos!$1:$1,0))="",NA(),INDEX(Aux_puntos!$A$2:$OJ$901,721,MATCH($B$2&amp;"|xN",Aux_puntos!$1:$1,0))),NA())</f>
        <v>#N/A</v>
      </c>
      <c r="AJ725" t="e">
        <f>IFERROR(IF(INDEX(Aux_puntos!$A$2:$OJ$901,721,MATCH($B$2&amp;"|yN",Aux_puntos!$1:$1,0))="",NA(),INDEX(Aux_puntos!$A$2:$OJ$901,721,MATCH($B$2&amp;"|yN",Aux_puntos!$1:$1,0))),NA())</f>
        <v>#N/A</v>
      </c>
    </row>
    <row r="726" spans="29:36" x14ac:dyDescent="0.3">
      <c r="AC726" t="e">
        <f>IFERROR(IF(INDEX(Aux_puntos!$A$2:$OJ$901,722,MATCH($B$2&amp;"|xK",Aux_puntos!$1:$1,0))="",NA(),INDEX(Aux_puntos!$A$2:$OJ$901,722,MATCH($B$2&amp;"|xK",Aux_puntos!$1:$1,0))),NA())</f>
        <v>#N/A</v>
      </c>
      <c r="AD726" t="e">
        <f>IFERROR(IF(INDEX(Aux_puntos!$A$2:$OJ$901,722,MATCH($B$2&amp;"|yK",Aux_puntos!$1:$1,0))="",NA(),INDEX(Aux_puntos!$A$2:$OJ$901,722,MATCH($B$2&amp;"|yK",Aux_puntos!$1:$1,0))),NA())</f>
        <v>#N/A</v>
      </c>
      <c r="AE726" t="e">
        <f>IFERROR(IF(INDEX(Aux_puntos!$A$2:$OJ$901,722,MATCH($B$2&amp;"|xC",Aux_puntos!$1:$1,0))="",NA(),INDEX(Aux_puntos!$A$2:$OJ$901,722,MATCH($B$2&amp;"|xC",Aux_puntos!$1:$1,0))),NA())</f>
        <v>#N/A</v>
      </c>
      <c r="AF726" t="e">
        <f>IFERROR(IF(INDEX(Aux_puntos!$A$2:$OJ$901,722,MATCH($B$2&amp;"|yC",Aux_puntos!$1:$1,0))="",NA(),INDEX(Aux_puntos!$A$2:$OJ$901,722,MATCH($B$2&amp;"|yC",Aux_puntos!$1:$1,0))),NA())</f>
        <v>#N/A</v>
      </c>
      <c r="AG726" t="e">
        <f>IFERROR(IF(INDEX(Aux_puntos!$A$2:$OJ$901,722,MATCH($B$2&amp;"|xI",Aux_puntos!$1:$1,0))="",NA(),INDEX(Aux_puntos!$A$2:$OJ$901,722,MATCH($B$2&amp;"|xI",Aux_puntos!$1:$1,0))),NA())</f>
        <v>#N/A</v>
      </c>
      <c r="AH726" t="e">
        <f>IFERROR(IF(INDEX(Aux_puntos!$A$2:$OJ$901,722,MATCH($B$2&amp;"|yI",Aux_puntos!$1:$1,0))="",NA(),INDEX(Aux_puntos!$A$2:$OJ$901,722,MATCH($B$2&amp;"|yI",Aux_puntos!$1:$1,0))),NA())</f>
        <v>#N/A</v>
      </c>
      <c r="AI726" t="e">
        <f>IFERROR(IF(INDEX(Aux_puntos!$A$2:$OJ$901,722,MATCH($B$2&amp;"|xN",Aux_puntos!$1:$1,0))="",NA(),INDEX(Aux_puntos!$A$2:$OJ$901,722,MATCH($B$2&amp;"|xN",Aux_puntos!$1:$1,0))),NA())</f>
        <v>#N/A</v>
      </c>
      <c r="AJ726" t="e">
        <f>IFERROR(IF(INDEX(Aux_puntos!$A$2:$OJ$901,722,MATCH($B$2&amp;"|yN",Aux_puntos!$1:$1,0))="",NA(),INDEX(Aux_puntos!$A$2:$OJ$901,722,MATCH($B$2&amp;"|yN",Aux_puntos!$1:$1,0))),NA())</f>
        <v>#N/A</v>
      </c>
    </row>
    <row r="727" spans="29:36" x14ac:dyDescent="0.3">
      <c r="AC727" t="e">
        <f>IFERROR(IF(INDEX(Aux_puntos!$A$2:$OJ$901,723,MATCH($B$2&amp;"|xK",Aux_puntos!$1:$1,0))="",NA(),INDEX(Aux_puntos!$A$2:$OJ$901,723,MATCH($B$2&amp;"|xK",Aux_puntos!$1:$1,0))),NA())</f>
        <v>#N/A</v>
      </c>
      <c r="AD727" t="e">
        <f>IFERROR(IF(INDEX(Aux_puntos!$A$2:$OJ$901,723,MATCH($B$2&amp;"|yK",Aux_puntos!$1:$1,0))="",NA(),INDEX(Aux_puntos!$A$2:$OJ$901,723,MATCH($B$2&amp;"|yK",Aux_puntos!$1:$1,0))),NA())</f>
        <v>#N/A</v>
      </c>
      <c r="AE727" t="e">
        <f>IFERROR(IF(INDEX(Aux_puntos!$A$2:$OJ$901,723,MATCH($B$2&amp;"|xC",Aux_puntos!$1:$1,0))="",NA(),INDEX(Aux_puntos!$A$2:$OJ$901,723,MATCH($B$2&amp;"|xC",Aux_puntos!$1:$1,0))),NA())</f>
        <v>#N/A</v>
      </c>
      <c r="AF727" t="e">
        <f>IFERROR(IF(INDEX(Aux_puntos!$A$2:$OJ$901,723,MATCH($B$2&amp;"|yC",Aux_puntos!$1:$1,0))="",NA(),INDEX(Aux_puntos!$A$2:$OJ$901,723,MATCH($B$2&amp;"|yC",Aux_puntos!$1:$1,0))),NA())</f>
        <v>#N/A</v>
      </c>
      <c r="AG727" t="e">
        <f>IFERROR(IF(INDEX(Aux_puntos!$A$2:$OJ$901,723,MATCH($B$2&amp;"|xI",Aux_puntos!$1:$1,0))="",NA(),INDEX(Aux_puntos!$A$2:$OJ$901,723,MATCH($B$2&amp;"|xI",Aux_puntos!$1:$1,0))),NA())</f>
        <v>#N/A</v>
      </c>
      <c r="AH727" t="e">
        <f>IFERROR(IF(INDEX(Aux_puntos!$A$2:$OJ$901,723,MATCH($B$2&amp;"|yI",Aux_puntos!$1:$1,0))="",NA(),INDEX(Aux_puntos!$A$2:$OJ$901,723,MATCH($B$2&amp;"|yI",Aux_puntos!$1:$1,0))),NA())</f>
        <v>#N/A</v>
      </c>
      <c r="AI727" t="e">
        <f>IFERROR(IF(INDEX(Aux_puntos!$A$2:$OJ$901,723,MATCH($B$2&amp;"|xN",Aux_puntos!$1:$1,0))="",NA(),INDEX(Aux_puntos!$A$2:$OJ$901,723,MATCH($B$2&amp;"|xN",Aux_puntos!$1:$1,0))),NA())</f>
        <v>#N/A</v>
      </c>
      <c r="AJ727" t="e">
        <f>IFERROR(IF(INDEX(Aux_puntos!$A$2:$OJ$901,723,MATCH($B$2&amp;"|yN",Aux_puntos!$1:$1,0))="",NA(),INDEX(Aux_puntos!$A$2:$OJ$901,723,MATCH($B$2&amp;"|yN",Aux_puntos!$1:$1,0))),NA())</f>
        <v>#N/A</v>
      </c>
    </row>
    <row r="728" spans="29:36" x14ac:dyDescent="0.3">
      <c r="AC728" t="e">
        <f>IFERROR(IF(INDEX(Aux_puntos!$A$2:$OJ$901,724,MATCH($B$2&amp;"|xK",Aux_puntos!$1:$1,0))="",NA(),INDEX(Aux_puntos!$A$2:$OJ$901,724,MATCH($B$2&amp;"|xK",Aux_puntos!$1:$1,0))),NA())</f>
        <v>#N/A</v>
      </c>
      <c r="AD728" t="e">
        <f>IFERROR(IF(INDEX(Aux_puntos!$A$2:$OJ$901,724,MATCH($B$2&amp;"|yK",Aux_puntos!$1:$1,0))="",NA(),INDEX(Aux_puntos!$A$2:$OJ$901,724,MATCH($B$2&amp;"|yK",Aux_puntos!$1:$1,0))),NA())</f>
        <v>#N/A</v>
      </c>
      <c r="AE728" t="e">
        <f>IFERROR(IF(INDEX(Aux_puntos!$A$2:$OJ$901,724,MATCH($B$2&amp;"|xC",Aux_puntos!$1:$1,0))="",NA(),INDEX(Aux_puntos!$A$2:$OJ$901,724,MATCH($B$2&amp;"|xC",Aux_puntos!$1:$1,0))),NA())</f>
        <v>#N/A</v>
      </c>
      <c r="AF728" t="e">
        <f>IFERROR(IF(INDEX(Aux_puntos!$A$2:$OJ$901,724,MATCH($B$2&amp;"|yC",Aux_puntos!$1:$1,0))="",NA(),INDEX(Aux_puntos!$A$2:$OJ$901,724,MATCH($B$2&amp;"|yC",Aux_puntos!$1:$1,0))),NA())</f>
        <v>#N/A</v>
      </c>
      <c r="AG728" t="e">
        <f>IFERROR(IF(INDEX(Aux_puntos!$A$2:$OJ$901,724,MATCH($B$2&amp;"|xI",Aux_puntos!$1:$1,0))="",NA(),INDEX(Aux_puntos!$A$2:$OJ$901,724,MATCH($B$2&amp;"|xI",Aux_puntos!$1:$1,0))),NA())</f>
        <v>#N/A</v>
      </c>
      <c r="AH728" t="e">
        <f>IFERROR(IF(INDEX(Aux_puntos!$A$2:$OJ$901,724,MATCH($B$2&amp;"|yI",Aux_puntos!$1:$1,0))="",NA(),INDEX(Aux_puntos!$A$2:$OJ$901,724,MATCH($B$2&amp;"|yI",Aux_puntos!$1:$1,0))),NA())</f>
        <v>#N/A</v>
      </c>
      <c r="AI728" t="e">
        <f>IFERROR(IF(INDEX(Aux_puntos!$A$2:$OJ$901,724,MATCH($B$2&amp;"|xN",Aux_puntos!$1:$1,0))="",NA(),INDEX(Aux_puntos!$A$2:$OJ$901,724,MATCH($B$2&amp;"|xN",Aux_puntos!$1:$1,0))),NA())</f>
        <v>#N/A</v>
      </c>
      <c r="AJ728" t="e">
        <f>IFERROR(IF(INDEX(Aux_puntos!$A$2:$OJ$901,724,MATCH($B$2&amp;"|yN",Aux_puntos!$1:$1,0))="",NA(),INDEX(Aux_puntos!$A$2:$OJ$901,724,MATCH($B$2&amp;"|yN",Aux_puntos!$1:$1,0))),NA())</f>
        <v>#N/A</v>
      </c>
    </row>
    <row r="729" spans="29:36" x14ac:dyDescent="0.3">
      <c r="AC729" t="e">
        <f>IFERROR(IF(INDEX(Aux_puntos!$A$2:$OJ$901,725,MATCH($B$2&amp;"|xK",Aux_puntos!$1:$1,0))="",NA(),INDEX(Aux_puntos!$A$2:$OJ$901,725,MATCH($B$2&amp;"|xK",Aux_puntos!$1:$1,0))),NA())</f>
        <v>#N/A</v>
      </c>
      <c r="AD729" t="e">
        <f>IFERROR(IF(INDEX(Aux_puntos!$A$2:$OJ$901,725,MATCH($B$2&amp;"|yK",Aux_puntos!$1:$1,0))="",NA(),INDEX(Aux_puntos!$A$2:$OJ$901,725,MATCH($B$2&amp;"|yK",Aux_puntos!$1:$1,0))),NA())</f>
        <v>#N/A</v>
      </c>
      <c r="AE729" t="e">
        <f>IFERROR(IF(INDEX(Aux_puntos!$A$2:$OJ$901,725,MATCH($B$2&amp;"|xC",Aux_puntos!$1:$1,0))="",NA(),INDEX(Aux_puntos!$A$2:$OJ$901,725,MATCH($B$2&amp;"|xC",Aux_puntos!$1:$1,0))),NA())</f>
        <v>#N/A</v>
      </c>
      <c r="AF729" t="e">
        <f>IFERROR(IF(INDEX(Aux_puntos!$A$2:$OJ$901,725,MATCH($B$2&amp;"|yC",Aux_puntos!$1:$1,0))="",NA(),INDEX(Aux_puntos!$A$2:$OJ$901,725,MATCH($B$2&amp;"|yC",Aux_puntos!$1:$1,0))),NA())</f>
        <v>#N/A</v>
      </c>
      <c r="AG729" t="e">
        <f>IFERROR(IF(INDEX(Aux_puntos!$A$2:$OJ$901,725,MATCH($B$2&amp;"|xI",Aux_puntos!$1:$1,0))="",NA(),INDEX(Aux_puntos!$A$2:$OJ$901,725,MATCH($B$2&amp;"|xI",Aux_puntos!$1:$1,0))),NA())</f>
        <v>#N/A</v>
      </c>
      <c r="AH729" t="e">
        <f>IFERROR(IF(INDEX(Aux_puntos!$A$2:$OJ$901,725,MATCH($B$2&amp;"|yI",Aux_puntos!$1:$1,0))="",NA(),INDEX(Aux_puntos!$A$2:$OJ$901,725,MATCH($B$2&amp;"|yI",Aux_puntos!$1:$1,0))),NA())</f>
        <v>#N/A</v>
      </c>
      <c r="AI729" t="e">
        <f>IFERROR(IF(INDEX(Aux_puntos!$A$2:$OJ$901,725,MATCH($B$2&amp;"|xN",Aux_puntos!$1:$1,0))="",NA(),INDEX(Aux_puntos!$A$2:$OJ$901,725,MATCH($B$2&amp;"|xN",Aux_puntos!$1:$1,0))),NA())</f>
        <v>#N/A</v>
      </c>
      <c r="AJ729" t="e">
        <f>IFERROR(IF(INDEX(Aux_puntos!$A$2:$OJ$901,725,MATCH($B$2&amp;"|yN",Aux_puntos!$1:$1,0))="",NA(),INDEX(Aux_puntos!$A$2:$OJ$901,725,MATCH($B$2&amp;"|yN",Aux_puntos!$1:$1,0))),NA())</f>
        <v>#N/A</v>
      </c>
    </row>
    <row r="730" spans="29:36" x14ac:dyDescent="0.3">
      <c r="AC730" t="e">
        <f>IFERROR(IF(INDEX(Aux_puntos!$A$2:$OJ$901,726,MATCH($B$2&amp;"|xK",Aux_puntos!$1:$1,0))="",NA(),INDEX(Aux_puntos!$A$2:$OJ$901,726,MATCH($B$2&amp;"|xK",Aux_puntos!$1:$1,0))),NA())</f>
        <v>#N/A</v>
      </c>
      <c r="AD730" t="e">
        <f>IFERROR(IF(INDEX(Aux_puntos!$A$2:$OJ$901,726,MATCH($B$2&amp;"|yK",Aux_puntos!$1:$1,0))="",NA(),INDEX(Aux_puntos!$A$2:$OJ$901,726,MATCH($B$2&amp;"|yK",Aux_puntos!$1:$1,0))),NA())</f>
        <v>#N/A</v>
      </c>
      <c r="AE730" t="e">
        <f>IFERROR(IF(INDEX(Aux_puntos!$A$2:$OJ$901,726,MATCH($B$2&amp;"|xC",Aux_puntos!$1:$1,0))="",NA(),INDEX(Aux_puntos!$A$2:$OJ$901,726,MATCH($B$2&amp;"|xC",Aux_puntos!$1:$1,0))),NA())</f>
        <v>#N/A</v>
      </c>
      <c r="AF730" t="e">
        <f>IFERROR(IF(INDEX(Aux_puntos!$A$2:$OJ$901,726,MATCH($B$2&amp;"|yC",Aux_puntos!$1:$1,0))="",NA(),INDEX(Aux_puntos!$A$2:$OJ$901,726,MATCH($B$2&amp;"|yC",Aux_puntos!$1:$1,0))),NA())</f>
        <v>#N/A</v>
      </c>
      <c r="AG730" t="e">
        <f>IFERROR(IF(INDEX(Aux_puntos!$A$2:$OJ$901,726,MATCH($B$2&amp;"|xI",Aux_puntos!$1:$1,0))="",NA(),INDEX(Aux_puntos!$A$2:$OJ$901,726,MATCH($B$2&amp;"|xI",Aux_puntos!$1:$1,0))),NA())</f>
        <v>#N/A</v>
      </c>
      <c r="AH730" t="e">
        <f>IFERROR(IF(INDEX(Aux_puntos!$A$2:$OJ$901,726,MATCH($B$2&amp;"|yI",Aux_puntos!$1:$1,0))="",NA(),INDEX(Aux_puntos!$A$2:$OJ$901,726,MATCH($B$2&amp;"|yI",Aux_puntos!$1:$1,0))),NA())</f>
        <v>#N/A</v>
      </c>
      <c r="AI730" t="e">
        <f>IFERROR(IF(INDEX(Aux_puntos!$A$2:$OJ$901,726,MATCH($B$2&amp;"|xN",Aux_puntos!$1:$1,0))="",NA(),INDEX(Aux_puntos!$A$2:$OJ$901,726,MATCH($B$2&amp;"|xN",Aux_puntos!$1:$1,0))),NA())</f>
        <v>#N/A</v>
      </c>
      <c r="AJ730" t="e">
        <f>IFERROR(IF(INDEX(Aux_puntos!$A$2:$OJ$901,726,MATCH($B$2&amp;"|yN",Aux_puntos!$1:$1,0))="",NA(),INDEX(Aux_puntos!$A$2:$OJ$901,726,MATCH($B$2&amp;"|yN",Aux_puntos!$1:$1,0))),NA())</f>
        <v>#N/A</v>
      </c>
    </row>
    <row r="731" spans="29:36" x14ac:dyDescent="0.3">
      <c r="AC731" t="e">
        <f>IFERROR(IF(INDEX(Aux_puntos!$A$2:$OJ$901,727,MATCH($B$2&amp;"|xK",Aux_puntos!$1:$1,0))="",NA(),INDEX(Aux_puntos!$A$2:$OJ$901,727,MATCH($B$2&amp;"|xK",Aux_puntos!$1:$1,0))),NA())</f>
        <v>#N/A</v>
      </c>
      <c r="AD731" t="e">
        <f>IFERROR(IF(INDEX(Aux_puntos!$A$2:$OJ$901,727,MATCH($B$2&amp;"|yK",Aux_puntos!$1:$1,0))="",NA(),INDEX(Aux_puntos!$A$2:$OJ$901,727,MATCH($B$2&amp;"|yK",Aux_puntos!$1:$1,0))),NA())</f>
        <v>#N/A</v>
      </c>
      <c r="AE731" t="e">
        <f>IFERROR(IF(INDEX(Aux_puntos!$A$2:$OJ$901,727,MATCH($B$2&amp;"|xC",Aux_puntos!$1:$1,0))="",NA(),INDEX(Aux_puntos!$A$2:$OJ$901,727,MATCH($B$2&amp;"|xC",Aux_puntos!$1:$1,0))),NA())</f>
        <v>#N/A</v>
      </c>
      <c r="AF731" t="e">
        <f>IFERROR(IF(INDEX(Aux_puntos!$A$2:$OJ$901,727,MATCH($B$2&amp;"|yC",Aux_puntos!$1:$1,0))="",NA(),INDEX(Aux_puntos!$A$2:$OJ$901,727,MATCH($B$2&amp;"|yC",Aux_puntos!$1:$1,0))),NA())</f>
        <v>#N/A</v>
      </c>
      <c r="AG731" t="e">
        <f>IFERROR(IF(INDEX(Aux_puntos!$A$2:$OJ$901,727,MATCH($B$2&amp;"|xI",Aux_puntos!$1:$1,0))="",NA(),INDEX(Aux_puntos!$A$2:$OJ$901,727,MATCH($B$2&amp;"|xI",Aux_puntos!$1:$1,0))),NA())</f>
        <v>#N/A</v>
      </c>
      <c r="AH731" t="e">
        <f>IFERROR(IF(INDEX(Aux_puntos!$A$2:$OJ$901,727,MATCH($B$2&amp;"|yI",Aux_puntos!$1:$1,0))="",NA(),INDEX(Aux_puntos!$A$2:$OJ$901,727,MATCH($B$2&amp;"|yI",Aux_puntos!$1:$1,0))),NA())</f>
        <v>#N/A</v>
      </c>
      <c r="AI731" t="e">
        <f>IFERROR(IF(INDEX(Aux_puntos!$A$2:$OJ$901,727,MATCH($B$2&amp;"|xN",Aux_puntos!$1:$1,0))="",NA(),INDEX(Aux_puntos!$A$2:$OJ$901,727,MATCH($B$2&amp;"|xN",Aux_puntos!$1:$1,0))),NA())</f>
        <v>#N/A</v>
      </c>
      <c r="AJ731" t="e">
        <f>IFERROR(IF(INDEX(Aux_puntos!$A$2:$OJ$901,727,MATCH($B$2&amp;"|yN",Aux_puntos!$1:$1,0))="",NA(),INDEX(Aux_puntos!$A$2:$OJ$901,727,MATCH($B$2&amp;"|yN",Aux_puntos!$1:$1,0))),NA())</f>
        <v>#N/A</v>
      </c>
    </row>
    <row r="732" spans="29:36" x14ac:dyDescent="0.3">
      <c r="AC732" t="e">
        <f>IFERROR(IF(INDEX(Aux_puntos!$A$2:$OJ$901,728,MATCH($B$2&amp;"|xK",Aux_puntos!$1:$1,0))="",NA(),INDEX(Aux_puntos!$A$2:$OJ$901,728,MATCH($B$2&amp;"|xK",Aux_puntos!$1:$1,0))),NA())</f>
        <v>#N/A</v>
      </c>
      <c r="AD732" t="e">
        <f>IFERROR(IF(INDEX(Aux_puntos!$A$2:$OJ$901,728,MATCH($B$2&amp;"|yK",Aux_puntos!$1:$1,0))="",NA(),INDEX(Aux_puntos!$A$2:$OJ$901,728,MATCH($B$2&amp;"|yK",Aux_puntos!$1:$1,0))),NA())</f>
        <v>#N/A</v>
      </c>
      <c r="AE732" t="e">
        <f>IFERROR(IF(INDEX(Aux_puntos!$A$2:$OJ$901,728,MATCH($B$2&amp;"|xC",Aux_puntos!$1:$1,0))="",NA(),INDEX(Aux_puntos!$A$2:$OJ$901,728,MATCH($B$2&amp;"|xC",Aux_puntos!$1:$1,0))),NA())</f>
        <v>#N/A</v>
      </c>
      <c r="AF732" t="e">
        <f>IFERROR(IF(INDEX(Aux_puntos!$A$2:$OJ$901,728,MATCH($B$2&amp;"|yC",Aux_puntos!$1:$1,0))="",NA(),INDEX(Aux_puntos!$A$2:$OJ$901,728,MATCH($B$2&amp;"|yC",Aux_puntos!$1:$1,0))),NA())</f>
        <v>#N/A</v>
      </c>
      <c r="AG732" t="e">
        <f>IFERROR(IF(INDEX(Aux_puntos!$A$2:$OJ$901,728,MATCH($B$2&amp;"|xI",Aux_puntos!$1:$1,0))="",NA(),INDEX(Aux_puntos!$A$2:$OJ$901,728,MATCH($B$2&amp;"|xI",Aux_puntos!$1:$1,0))),NA())</f>
        <v>#N/A</v>
      </c>
      <c r="AH732" t="e">
        <f>IFERROR(IF(INDEX(Aux_puntos!$A$2:$OJ$901,728,MATCH($B$2&amp;"|yI",Aux_puntos!$1:$1,0))="",NA(),INDEX(Aux_puntos!$A$2:$OJ$901,728,MATCH($B$2&amp;"|yI",Aux_puntos!$1:$1,0))),NA())</f>
        <v>#N/A</v>
      </c>
      <c r="AI732" t="e">
        <f>IFERROR(IF(INDEX(Aux_puntos!$A$2:$OJ$901,728,MATCH($B$2&amp;"|xN",Aux_puntos!$1:$1,0))="",NA(),INDEX(Aux_puntos!$A$2:$OJ$901,728,MATCH($B$2&amp;"|xN",Aux_puntos!$1:$1,0))),NA())</f>
        <v>#N/A</v>
      </c>
      <c r="AJ732" t="e">
        <f>IFERROR(IF(INDEX(Aux_puntos!$A$2:$OJ$901,728,MATCH($B$2&amp;"|yN",Aux_puntos!$1:$1,0))="",NA(),INDEX(Aux_puntos!$A$2:$OJ$901,728,MATCH($B$2&amp;"|yN",Aux_puntos!$1:$1,0))),NA())</f>
        <v>#N/A</v>
      </c>
    </row>
    <row r="733" spans="29:36" x14ac:dyDescent="0.3">
      <c r="AC733" t="e">
        <f>IFERROR(IF(INDEX(Aux_puntos!$A$2:$OJ$901,729,MATCH($B$2&amp;"|xK",Aux_puntos!$1:$1,0))="",NA(),INDEX(Aux_puntos!$A$2:$OJ$901,729,MATCH($B$2&amp;"|xK",Aux_puntos!$1:$1,0))),NA())</f>
        <v>#N/A</v>
      </c>
      <c r="AD733" t="e">
        <f>IFERROR(IF(INDEX(Aux_puntos!$A$2:$OJ$901,729,MATCH($B$2&amp;"|yK",Aux_puntos!$1:$1,0))="",NA(),INDEX(Aux_puntos!$A$2:$OJ$901,729,MATCH($B$2&amp;"|yK",Aux_puntos!$1:$1,0))),NA())</f>
        <v>#N/A</v>
      </c>
      <c r="AE733" t="e">
        <f>IFERROR(IF(INDEX(Aux_puntos!$A$2:$OJ$901,729,MATCH($B$2&amp;"|xC",Aux_puntos!$1:$1,0))="",NA(),INDEX(Aux_puntos!$A$2:$OJ$901,729,MATCH($B$2&amp;"|xC",Aux_puntos!$1:$1,0))),NA())</f>
        <v>#N/A</v>
      </c>
      <c r="AF733" t="e">
        <f>IFERROR(IF(INDEX(Aux_puntos!$A$2:$OJ$901,729,MATCH($B$2&amp;"|yC",Aux_puntos!$1:$1,0))="",NA(),INDEX(Aux_puntos!$A$2:$OJ$901,729,MATCH($B$2&amp;"|yC",Aux_puntos!$1:$1,0))),NA())</f>
        <v>#N/A</v>
      </c>
      <c r="AG733" t="e">
        <f>IFERROR(IF(INDEX(Aux_puntos!$A$2:$OJ$901,729,MATCH($B$2&amp;"|xI",Aux_puntos!$1:$1,0))="",NA(),INDEX(Aux_puntos!$A$2:$OJ$901,729,MATCH($B$2&amp;"|xI",Aux_puntos!$1:$1,0))),NA())</f>
        <v>#N/A</v>
      </c>
      <c r="AH733" t="e">
        <f>IFERROR(IF(INDEX(Aux_puntos!$A$2:$OJ$901,729,MATCH($B$2&amp;"|yI",Aux_puntos!$1:$1,0))="",NA(),INDEX(Aux_puntos!$A$2:$OJ$901,729,MATCH($B$2&amp;"|yI",Aux_puntos!$1:$1,0))),NA())</f>
        <v>#N/A</v>
      </c>
      <c r="AI733" t="e">
        <f>IFERROR(IF(INDEX(Aux_puntos!$A$2:$OJ$901,729,MATCH($B$2&amp;"|xN",Aux_puntos!$1:$1,0))="",NA(),INDEX(Aux_puntos!$A$2:$OJ$901,729,MATCH($B$2&amp;"|xN",Aux_puntos!$1:$1,0))),NA())</f>
        <v>#N/A</v>
      </c>
      <c r="AJ733" t="e">
        <f>IFERROR(IF(INDEX(Aux_puntos!$A$2:$OJ$901,729,MATCH($B$2&amp;"|yN",Aux_puntos!$1:$1,0))="",NA(),INDEX(Aux_puntos!$A$2:$OJ$901,729,MATCH($B$2&amp;"|yN",Aux_puntos!$1:$1,0))),NA())</f>
        <v>#N/A</v>
      </c>
    </row>
    <row r="734" spans="29:36" x14ac:dyDescent="0.3">
      <c r="AC734" t="e">
        <f>IFERROR(IF(INDEX(Aux_puntos!$A$2:$OJ$901,730,MATCH($B$2&amp;"|xK",Aux_puntos!$1:$1,0))="",NA(),INDEX(Aux_puntos!$A$2:$OJ$901,730,MATCH($B$2&amp;"|xK",Aux_puntos!$1:$1,0))),NA())</f>
        <v>#N/A</v>
      </c>
      <c r="AD734" t="e">
        <f>IFERROR(IF(INDEX(Aux_puntos!$A$2:$OJ$901,730,MATCH($B$2&amp;"|yK",Aux_puntos!$1:$1,0))="",NA(),INDEX(Aux_puntos!$A$2:$OJ$901,730,MATCH($B$2&amp;"|yK",Aux_puntos!$1:$1,0))),NA())</f>
        <v>#N/A</v>
      </c>
      <c r="AE734" t="e">
        <f>IFERROR(IF(INDEX(Aux_puntos!$A$2:$OJ$901,730,MATCH($B$2&amp;"|xC",Aux_puntos!$1:$1,0))="",NA(),INDEX(Aux_puntos!$A$2:$OJ$901,730,MATCH($B$2&amp;"|xC",Aux_puntos!$1:$1,0))),NA())</f>
        <v>#N/A</v>
      </c>
      <c r="AF734" t="e">
        <f>IFERROR(IF(INDEX(Aux_puntos!$A$2:$OJ$901,730,MATCH($B$2&amp;"|yC",Aux_puntos!$1:$1,0))="",NA(),INDEX(Aux_puntos!$A$2:$OJ$901,730,MATCH($B$2&amp;"|yC",Aux_puntos!$1:$1,0))),NA())</f>
        <v>#N/A</v>
      </c>
      <c r="AG734" t="e">
        <f>IFERROR(IF(INDEX(Aux_puntos!$A$2:$OJ$901,730,MATCH($B$2&amp;"|xI",Aux_puntos!$1:$1,0))="",NA(),INDEX(Aux_puntos!$A$2:$OJ$901,730,MATCH($B$2&amp;"|xI",Aux_puntos!$1:$1,0))),NA())</f>
        <v>#N/A</v>
      </c>
      <c r="AH734" t="e">
        <f>IFERROR(IF(INDEX(Aux_puntos!$A$2:$OJ$901,730,MATCH($B$2&amp;"|yI",Aux_puntos!$1:$1,0))="",NA(),INDEX(Aux_puntos!$A$2:$OJ$901,730,MATCH($B$2&amp;"|yI",Aux_puntos!$1:$1,0))),NA())</f>
        <v>#N/A</v>
      </c>
      <c r="AI734" t="e">
        <f>IFERROR(IF(INDEX(Aux_puntos!$A$2:$OJ$901,730,MATCH($B$2&amp;"|xN",Aux_puntos!$1:$1,0))="",NA(),INDEX(Aux_puntos!$A$2:$OJ$901,730,MATCH($B$2&amp;"|xN",Aux_puntos!$1:$1,0))),NA())</f>
        <v>#N/A</v>
      </c>
      <c r="AJ734" t="e">
        <f>IFERROR(IF(INDEX(Aux_puntos!$A$2:$OJ$901,730,MATCH($B$2&amp;"|yN",Aux_puntos!$1:$1,0))="",NA(),INDEX(Aux_puntos!$A$2:$OJ$901,730,MATCH($B$2&amp;"|yN",Aux_puntos!$1:$1,0))),NA())</f>
        <v>#N/A</v>
      </c>
    </row>
    <row r="735" spans="29:36" x14ac:dyDescent="0.3">
      <c r="AC735" t="e">
        <f>IFERROR(IF(INDEX(Aux_puntos!$A$2:$OJ$901,731,MATCH($B$2&amp;"|xK",Aux_puntos!$1:$1,0))="",NA(),INDEX(Aux_puntos!$A$2:$OJ$901,731,MATCH($B$2&amp;"|xK",Aux_puntos!$1:$1,0))),NA())</f>
        <v>#N/A</v>
      </c>
      <c r="AD735" t="e">
        <f>IFERROR(IF(INDEX(Aux_puntos!$A$2:$OJ$901,731,MATCH($B$2&amp;"|yK",Aux_puntos!$1:$1,0))="",NA(),INDEX(Aux_puntos!$A$2:$OJ$901,731,MATCH($B$2&amp;"|yK",Aux_puntos!$1:$1,0))),NA())</f>
        <v>#N/A</v>
      </c>
      <c r="AE735" t="e">
        <f>IFERROR(IF(INDEX(Aux_puntos!$A$2:$OJ$901,731,MATCH($B$2&amp;"|xC",Aux_puntos!$1:$1,0))="",NA(),INDEX(Aux_puntos!$A$2:$OJ$901,731,MATCH($B$2&amp;"|xC",Aux_puntos!$1:$1,0))),NA())</f>
        <v>#N/A</v>
      </c>
      <c r="AF735" t="e">
        <f>IFERROR(IF(INDEX(Aux_puntos!$A$2:$OJ$901,731,MATCH($B$2&amp;"|yC",Aux_puntos!$1:$1,0))="",NA(),INDEX(Aux_puntos!$A$2:$OJ$901,731,MATCH($B$2&amp;"|yC",Aux_puntos!$1:$1,0))),NA())</f>
        <v>#N/A</v>
      </c>
      <c r="AG735" t="e">
        <f>IFERROR(IF(INDEX(Aux_puntos!$A$2:$OJ$901,731,MATCH($B$2&amp;"|xI",Aux_puntos!$1:$1,0))="",NA(),INDEX(Aux_puntos!$A$2:$OJ$901,731,MATCH($B$2&amp;"|xI",Aux_puntos!$1:$1,0))),NA())</f>
        <v>#N/A</v>
      </c>
      <c r="AH735" t="e">
        <f>IFERROR(IF(INDEX(Aux_puntos!$A$2:$OJ$901,731,MATCH($B$2&amp;"|yI",Aux_puntos!$1:$1,0))="",NA(),INDEX(Aux_puntos!$A$2:$OJ$901,731,MATCH($B$2&amp;"|yI",Aux_puntos!$1:$1,0))),NA())</f>
        <v>#N/A</v>
      </c>
      <c r="AI735" t="e">
        <f>IFERROR(IF(INDEX(Aux_puntos!$A$2:$OJ$901,731,MATCH($B$2&amp;"|xN",Aux_puntos!$1:$1,0))="",NA(),INDEX(Aux_puntos!$A$2:$OJ$901,731,MATCH($B$2&amp;"|xN",Aux_puntos!$1:$1,0))),NA())</f>
        <v>#N/A</v>
      </c>
      <c r="AJ735" t="e">
        <f>IFERROR(IF(INDEX(Aux_puntos!$A$2:$OJ$901,731,MATCH($B$2&amp;"|yN",Aux_puntos!$1:$1,0))="",NA(),INDEX(Aux_puntos!$A$2:$OJ$901,731,MATCH($B$2&amp;"|yN",Aux_puntos!$1:$1,0))),NA())</f>
        <v>#N/A</v>
      </c>
    </row>
    <row r="736" spans="29:36" x14ac:dyDescent="0.3">
      <c r="AC736" t="e">
        <f>IFERROR(IF(INDEX(Aux_puntos!$A$2:$OJ$901,732,MATCH($B$2&amp;"|xK",Aux_puntos!$1:$1,0))="",NA(),INDEX(Aux_puntos!$A$2:$OJ$901,732,MATCH($B$2&amp;"|xK",Aux_puntos!$1:$1,0))),NA())</f>
        <v>#N/A</v>
      </c>
      <c r="AD736" t="e">
        <f>IFERROR(IF(INDEX(Aux_puntos!$A$2:$OJ$901,732,MATCH($B$2&amp;"|yK",Aux_puntos!$1:$1,0))="",NA(),INDEX(Aux_puntos!$A$2:$OJ$901,732,MATCH($B$2&amp;"|yK",Aux_puntos!$1:$1,0))),NA())</f>
        <v>#N/A</v>
      </c>
      <c r="AE736" t="e">
        <f>IFERROR(IF(INDEX(Aux_puntos!$A$2:$OJ$901,732,MATCH($B$2&amp;"|xC",Aux_puntos!$1:$1,0))="",NA(),INDEX(Aux_puntos!$A$2:$OJ$901,732,MATCH($B$2&amp;"|xC",Aux_puntos!$1:$1,0))),NA())</f>
        <v>#N/A</v>
      </c>
      <c r="AF736" t="e">
        <f>IFERROR(IF(INDEX(Aux_puntos!$A$2:$OJ$901,732,MATCH($B$2&amp;"|yC",Aux_puntos!$1:$1,0))="",NA(),INDEX(Aux_puntos!$A$2:$OJ$901,732,MATCH($B$2&amp;"|yC",Aux_puntos!$1:$1,0))),NA())</f>
        <v>#N/A</v>
      </c>
      <c r="AG736" t="e">
        <f>IFERROR(IF(INDEX(Aux_puntos!$A$2:$OJ$901,732,MATCH($B$2&amp;"|xI",Aux_puntos!$1:$1,0))="",NA(),INDEX(Aux_puntos!$A$2:$OJ$901,732,MATCH($B$2&amp;"|xI",Aux_puntos!$1:$1,0))),NA())</f>
        <v>#N/A</v>
      </c>
      <c r="AH736" t="e">
        <f>IFERROR(IF(INDEX(Aux_puntos!$A$2:$OJ$901,732,MATCH($B$2&amp;"|yI",Aux_puntos!$1:$1,0))="",NA(),INDEX(Aux_puntos!$A$2:$OJ$901,732,MATCH($B$2&amp;"|yI",Aux_puntos!$1:$1,0))),NA())</f>
        <v>#N/A</v>
      </c>
      <c r="AI736" t="e">
        <f>IFERROR(IF(INDEX(Aux_puntos!$A$2:$OJ$901,732,MATCH($B$2&amp;"|xN",Aux_puntos!$1:$1,0))="",NA(),INDEX(Aux_puntos!$A$2:$OJ$901,732,MATCH($B$2&amp;"|xN",Aux_puntos!$1:$1,0))),NA())</f>
        <v>#N/A</v>
      </c>
      <c r="AJ736" t="e">
        <f>IFERROR(IF(INDEX(Aux_puntos!$A$2:$OJ$901,732,MATCH($B$2&amp;"|yN",Aux_puntos!$1:$1,0))="",NA(),INDEX(Aux_puntos!$A$2:$OJ$901,732,MATCH($B$2&amp;"|yN",Aux_puntos!$1:$1,0))),NA())</f>
        <v>#N/A</v>
      </c>
    </row>
    <row r="737" spans="29:36" x14ac:dyDescent="0.3">
      <c r="AC737" t="e">
        <f>IFERROR(IF(INDEX(Aux_puntos!$A$2:$OJ$901,733,MATCH($B$2&amp;"|xK",Aux_puntos!$1:$1,0))="",NA(),INDEX(Aux_puntos!$A$2:$OJ$901,733,MATCH($B$2&amp;"|xK",Aux_puntos!$1:$1,0))),NA())</f>
        <v>#N/A</v>
      </c>
      <c r="AD737" t="e">
        <f>IFERROR(IF(INDEX(Aux_puntos!$A$2:$OJ$901,733,MATCH($B$2&amp;"|yK",Aux_puntos!$1:$1,0))="",NA(),INDEX(Aux_puntos!$A$2:$OJ$901,733,MATCH($B$2&amp;"|yK",Aux_puntos!$1:$1,0))),NA())</f>
        <v>#N/A</v>
      </c>
      <c r="AE737" t="e">
        <f>IFERROR(IF(INDEX(Aux_puntos!$A$2:$OJ$901,733,MATCH($B$2&amp;"|xC",Aux_puntos!$1:$1,0))="",NA(),INDEX(Aux_puntos!$A$2:$OJ$901,733,MATCH($B$2&amp;"|xC",Aux_puntos!$1:$1,0))),NA())</f>
        <v>#N/A</v>
      </c>
      <c r="AF737" t="e">
        <f>IFERROR(IF(INDEX(Aux_puntos!$A$2:$OJ$901,733,MATCH($B$2&amp;"|yC",Aux_puntos!$1:$1,0))="",NA(),INDEX(Aux_puntos!$A$2:$OJ$901,733,MATCH($B$2&amp;"|yC",Aux_puntos!$1:$1,0))),NA())</f>
        <v>#N/A</v>
      </c>
      <c r="AG737" t="e">
        <f>IFERROR(IF(INDEX(Aux_puntos!$A$2:$OJ$901,733,MATCH($B$2&amp;"|xI",Aux_puntos!$1:$1,0))="",NA(),INDEX(Aux_puntos!$A$2:$OJ$901,733,MATCH($B$2&amp;"|xI",Aux_puntos!$1:$1,0))),NA())</f>
        <v>#N/A</v>
      </c>
      <c r="AH737" t="e">
        <f>IFERROR(IF(INDEX(Aux_puntos!$A$2:$OJ$901,733,MATCH($B$2&amp;"|yI",Aux_puntos!$1:$1,0))="",NA(),INDEX(Aux_puntos!$A$2:$OJ$901,733,MATCH($B$2&amp;"|yI",Aux_puntos!$1:$1,0))),NA())</f>
        <v>#N/A</v>
      </c>
      <c r="AI737" t="e">
        <f>IFERROR(IF(INDEX(Aux_puntos!$A$2:$OJ$901,733,MATCH($B$2&amp;"|xN",Aux_puntos!$1:$1,0))="",NA(),INDEX(Aux_puntos!$A$2:$OJ$901,733,MATCH($B$2&amp;"|xN",Aux_puntos!$1:$1,0))),NA())</f>
        <v>#N/A</v>
      </c>
      <c r="AJ737" t="e">
        <f>IFERROR(IF(INDEX(Aux_puntos!$A$2:$OJ$901,733,MATCH($B$2&amp;"|yN",Aux_puntos!$1:$1,0))="",NA(),INDEX(Aux_puntos!$A$2:$OJ$901,733,MATCH($B$2&amp;"|yN",Aux_puntos!$1:$1,0))),NA())</f>
        <v>#N/A</v>
      </c>
    </row>
    <row r="738" spans="29:36" x14ac:dyDescent="0.3">
      <c r="AC738" t="e">
        <f>IFERROR(IF(INDEX(Aux_puntos!$A$2:$OJ$901,734,MATCH($B$2&amp;"|xK",Aux_puntos!$1:$1,0))="",NA(),INDEX(Aux_puntos!$A$2:$OJ$901,734,MATCH($B$2&amp;"|xK",Aux_puntos!$1:$1,0))),NA())</f>
        <v>#N/A</v>
      </c>
      <c r="AD738" t="e">
        <f>IFERROR(IF(INDEX(Aux_puntos!$A$2:$OJ$901,734,MATCH($B$2&amp;"|yK",Aux_puntos!$1:$1,0))="",NA(),INDEX(Aux_puntos!$A$2:$OJ$901,734,MATCH($B$2&amp;"|yK",Aux_puntos!$1:$1,0))),NA())</f>
        <v>#N/A</v>
      </c>
      <c r="AE738" t="e">
        <f>IFERROR(IF(INDEX(Aux_puntos!$A$2:$OJ$901,734,MATCH($B$2&amp;"|xC",Aux_puntos!$1:$1,0))="",NA(),INDEX(Aux_puntos!$A$2:$OJ$901,734,MATCH($B$2&amp;"|xC",Aux_puntos!$1:$1,0))),NA())</f>
        <v>#N/A</v>
      </c>
      <c r="AF738" t="e">
        <f>IFERROR(IF(INDEX(Aux_puntos!$A$2:$OJ$901,734,MATCH($B$2&amp;"|yC",Aux_puntos!$1:$1,0))="",NA(),INDEX(Aux_puntos!$A$2:$OJ$901,734,MATCH($B$2&amp;"|yC",Aux_puntos!$1:$1,0))),NA())</f>
        <v>#N/A</v>
      </c>
      <c r="AG738" t="e">
        <f>IFERROR(IF(INDEX(Aux_puntos!$A$2:$OJ$901,734,MATCH($B$2&amp;"|xI",Aux_puntos!$1:$1,0))="",NA(),INDEX(Aux_puntos!$A$2:$OJ$901,734,MATCH($B$2&amp;"|xI",Aux_puntos!$1:$1,0))),NA())</f>
        <v>#N/A</v>
      </c>
      <c r="AH738" t="e">
        <f>IFERROR(IF(INDEX(Aux_puntos!$A$2:$OJ$901,734,MATCH($B$2&amp;"|yI",Aux_puntos!$1:$1,0))="",NA(),INDEX(Aux_puntos!$A$2:$OJ$901,734,MATCH($B$2&amp;"|yI",Aux_puntos!$1:$1,0))),NA())</f>
        <v>#N/A</v>
      </c>
      <c r="AI738" t="e">
        <f>IFERROR(IF(INDEX(Aux_puntos!$A$2:$OJ$901,734,MATCH($B$2&amp;"|xN",Aux_puntos!$1:$1,0))="",NA(),INDEX(Aux_puntos!$A$2:$OJ$901,734,MATCH($B$2&amp;"|xN",Aux_puntos!$1:$1,0))),NA())</f>
        <v>#N/A</v>
      </c>
      <c r="AJ738" t="e">
        <f>IFERROR(IF(INDEX(Aux_puntos!$A$2:$OJ$901,734,MATCH($B$2&amp;"|yN",Aux_puntos!$1:$1,0))="",NA(),INDEX(Aux_puntos!$A$2:$OJ$901,734,MATCH($B$2&amp;"|yN",Aux_puntos!$1:$1,0))),NA())</f>
        <v>#N/A</v>
      </c>
    </row>
    <row r="739" spans="29:36" x14ac:dyDescent="0.3">
      <c r="AC739" t="e">
        <f>IFERROR(IF(INDEX(Aux_puntos!$A$2:$OJ$901,735,MATCH($B$2&amp;"|xK",Aux_puntos!$1:$1,0))="",NA(),INDEX(Aux_puntos!$A$2:$OJ$901,735,MATCH($B$2&amp;"|xK",Aux_puntos!$1:$1,0))),NA())</f>
        <v>#N/A</v>
      </c>
      <c r="AD739" t="e">
        <f>IFERROR(IF(INDEX(Aux_puntos!$A$2:$OJ$901,735,MATCH($B$2&amp;"|yK",Aux_puntos!$1:$1,0))="",NA(),INDEX(Aux_puntos!$A$2:$OJ$901,735,MATCH($B$2&amp;"|yK",Aux_puntos!$1:$1,0))),NA())</f>
        <v>#N/A</v>
      </c>
      <c r="AE739" t="e">
        <f>IFERROR(IF(INDEX(Aux_puntos!$A$2:$OJ$901,735,MATCH($B$2&amp;"|xC",Aux_puntos!$1:$1,0))="",NA(),INDEX(Aux_puntos!$A$2:$OJ$901,735,MATCH($B$2&amp;"|xC",Aux_puntos!$1:$1,0))),NA())</f>
        <v>#N/A</v>
      </c>
      <c r="AF739" t="e">
        <f>IFERROR(IF(INDEX(Aux_puntos!$A$2:$OJ$901,735,MATCH($B$2&amp;"|yC",Aux_puntos!$1:$1,0))="",NA(),INDEX(Aux_puntos!$A$2:$OJ$901,735,MATCH($B$2&amp;"|yC",Aux_puntos!$1:$1,0))),NA())</f>
        <v>#N/A</v>
      </c>
      <c r="AG739" t="e">
        <f>IFERROR(IF(INDEX(Aux_puntos!$A$2:$OJ$901,735,MATCH($B$2&amp;"|xI",Aux_puntos!$1:$1,0))="",NA(),INDEX(Aux_puntos!$A$2:$OJ$901,735,MATCH($B$2&amp;"|xI",Aux_puntos!$1:$1,0))),NA())</f>
        <v>#N/A</v>
      </c>
      <c r="AH739" t="e">
        <f>IFERROR(IF(INDEX(Aux_puntos!$A$2:$OJ$901,735,MATCH($B$2&amp;"|yI",Aux_puntos!$1:$1,0))="",NA(),INDEX(Aux_puntos!$A$2:$OJ$901,735,MATCH($B$2&amp;"|yI",Aux_puntos!$1:$1,0))),NA())</f>
        <v>#N/A</v>
      </c>
      <c r="AI739" t="e">
        <f>IFERROR(IF(INDEX(Aux_puntos!$A$2:$OJ$901,735,MATCH($B$2&amp;"|xN",Aux_puntos!$1:$1,0))="",NA(),INDEX(Aux_puntos!$A$2:$OJ$901,735,MATCH($B$2&amp;"|xN",Aux_puntos!$1:$1,0))),NA())</f>
        <v>#N/A</v>
      </c>
      <c r="AJ739" t="e">
        <f>IFERROR(IF(INDEX(Aux_puntos!$A$2:$OJ$901,735,MATCH($B$2&amp;"|yN",Aux_puntos!$1:$1,0))="",NA(),INDEX(Aux_puntos!$A$2:$OJ$901,735,MATCH($B$2&amp;"|yN",Aux_puntos!$1:$1,0))),NA())</f>
        <v>#N/A</v>
      </c>
    </row>
    <row r="740" spans="29:36" x14ac:dyDescent="0.3">
      <c r="AC740" t="e">
        <f>IFERROR(IF(INDEX(Aux_puntos!$A$2:$OJ$901,736,MATCH($B$2&amp;"|xK",Aux_puntos!$1:$1,0))="",NA(),INDEX(Aux_puntos!$A$2:$OJ$901,736,MATCH($B$2&amp;"|xK",Aux_puntos!$1:$1,0))),NA())</f>
        <v>#N/A</v>
      </c>
      <c r="AD740" t="e">
        <f>IFERROR(IF(INDEX(Aux_puntos!$A$2:$OJ$901,736,MATCH($B$2&amp;"|yK",Aux_puntos!$1:$1,0))="",NA(),INDEX(Aux_puntos!$A$2:$OJ$901,736,MATCH($B$2&amp;"|yK",Aux_puntos!$1:$1,0))),NA())</f>
        <v>#N/A</v>
      </c>
      <c r="AE740" t="e">
        <f>IFERROR(IF(INDEX(Aux_puntos!$A$2:$OJ$901,736,MATCH($B$2&amp;"|xC",Aux_puntos!$1:$1,0))="",NA(),INDEX(Aux_puntos!$A$2:$OJ$901,736,MATCH($B$2&amp;"|xC",Aux_puntos!$1:$1,0))),NA())</f>
        <v>#N/A</v>
      </c>
      <c r="AF740" t="e">
        <f>IFERROR(IF(INDEX(Aux_puntos!$A$2:$OJ$901,736,MATCH($B$2&amp;"|yC",Aux_puntos!$1:$1,0))="",NA(),INDEX(Aux_puntos!$A$2:$OJ$901,736,MATCH($B$2&amp;"|yC",Aux_puntos!$1:$1,0))),NA())</f>
        <v>#N/A</v>
      </c>
      <c r="AG740" t="e">
        <f>IFERROR(IF(INDEX(Aux_puntos!$A$2:$OJ$901,736,MATCH($B$2&amp;"|xI",Aux_puntos!$1:$1,0))="",NA(),INDEX(Aux_puntos!$A$2:$OJ$901,736,MATCH($B$2&amp;"|xI",Aux_puntos!$1:$1,0))),NA())</f>
        <v>#N/A</v>
      </c>
      <c r="AH740" t="e">
        <f>IFERROR(IF(INDEX(Aux_puntos!$A$2:$OJ$901,736,MATCH($B$2&amp;"|yI",Aux_puntos!$1:$1,0))="",NA(),INDEX(Aux_puntos!$A$2:$OJ$901,736,MATCH($B$2&amp;"|yI",Aux_puntos!$1:$1,0))),NA())</f>
        <v>#N/A</v>
      </c>
      <c r="AI740" t="e">
        <f>IFERROR(IF(INDEX(Aux_puntos!$A$2:$OJ$901,736,MATCH($B$2&amp;"|xN",Aux_puntos!$1:$1,0))="",NA(),INDEX(Aux_puntos!$A$2:$OJ$901,736,MATCH($B$2&amp;"|xN",Aux_puntos!$1:$1,0))),NA())</f>
        <v>#N/A</v>
      </c>
      <c r="AJ740" t="e">
        <f>IFERROR(IF(INDEX(Aux_puntos!$A$2:$OJ$901,736,MATCH($B$2&amp;"|yN",Aux_puntos!$1:$1,0))="",NA(),INDEX(Aux_puntos!$A$2:$OJ$901,736,MATCH($B$2&amp;"|yN",Aux_puntos!$1:$1,0))),NA())</f>
        <v>#N/A</v>
      </c>
    </row>
    <row r="741" spans="29:36" x14ac:dyDescent="0.3">
      <c r="AC741" t="e">
        <f>IFERROR(IF(INDEX(Aux_puntos!$A$2:$OJ$901,737,MATCH($B$2&amp;"|xK",Aux_puntos!$1:$1,0))="",NA(),INDEX(Aux_puntos!$A$2:$OJ$901,737,MATCH($B$2&amp;"|xK",Aux_puntos!$1:$1,0))),NA())</f>
        <v>#N/A</v>
      </c>
      <c r="AD741" t="e">
        <f>IFERROR(IF(INDEX(Aux_puntos!$A$2:$OJ$901,737,MATCH($B$2&amp;"|yK",Aux_puntos!$1:$1,0))="",NA(),INDEX(Aux_puntos!$A$2:$OJ$901,737,MATCH($B$2&amp;"|yK",Aux_puntos!$1:$1,0))),NA())</f>
        <v>#N/A</v>
      </c>
      <c r="AE741" t="e">
        <f>IFERROR(IF(INDEX(Aux_puntos!$A$2:$OJ$901,737,MATCH($B$2&amp;"|xC",Aux_puntos!$1:$1,0))="",NA(),INDEX(Aux_puntos!$A$2:$OJ$901,737,MATCH($B$2&amp;"|xC",Aux_puntos!$1:$1,0))),NA())</f>
        <v>#N/A</v>
      </c>
      <c r="AF741" t="e">
        <f>IFERROR(IF(INDEX(Aux_puntos!$A$2:$OJ$901,737,MATCH($B$2&amp;"|yC",Aux_puntos!$1:$1,0))="",NA(),INDEX(Aux_puntos!$A$2:$OJ$901,737,MATCH($B$2&amp;"|yC",Aux_puntos!$1:$1,0))),NA())</f>
        <v>#N/A</v>
      </c>
      <c r="AG741" t="e">
        <f>IFERROR(IF(INDEX(Aux_puntos!$A$2:$OJ$901,737,MATCH($B$2&amp;"|xI",Aux_puntos!$1:$1,0))="",NA(),INDEX(Aux_puntos!$A$2:$OJ$901,737,MATCH($B$2&amp;"|xI",Aux_puntos!$1:$1,0))),NA())</f>
        <v>#N/A</v>
      </c>
      <c r="AH741" t="e">
        <f>IFERROR(IF(INDEX(Aux_puntos!$A$2:$OJ$901,737,MATCH($B$2&amp;"|yI",Aux_puntos!$1:$1,0))="",NA(),INDEX(Aux_puntos!$A$2:$OJ$901,737,MATCH($B$2&amp;"|yI",Aux_puntos!$1:$1,0))),NA())</f>
        <v>#N/A</v>
      </c>
      <c r="AI741" t="e">
        <f>IFERROR(IF(INDEX(Aux_puntos!$A$2:$OJ$901,737,MATCH($B$2&amp;"|xN",Aux_puntos!$1:$1,0))="",NA(),INDEX(Aux_puntos!$A$2:$OJ$901,737,MATCH($B$2&amp;"|xN",Aux_puntos!$1:$1,0))),NA())</f>
        <v>#N/A</v>
      </c>
      <c r="AJ741" t="e">
        <f>IFERROR(IF(INDEX(Aux_puntos!$A$2:$OJ$901,737,MATCH($B$2&amp;"|yN",Aux_puntos!$1:$1,0))="",NA(),INDEX(Aux_puntos!$A$2:$OJ$901,737,MATCH($B$2&amp;"|yN",Aux_puntos!$1:$1,0))),NA())</f>
        <v>#N/A</v>
      </c>
    </row>
    <row r="742" spans="29:36" x14ac:dyDescent="0.3">
      <c r="AC742" t="e">
        <f>IFERROR(IF(INDEX(Aux_puntos!$A$2:$OJ$901,738,MATCH($B$2&amp;"|xK",Aux_puntos!$1:$1,0))="",NA(),INDEX(Aux_puntos!$A$2:$OJ$901,738,MATCH($B$2&amp;"|xK",Aux_puntos!$1:$1,0))),NA())</f>
        <v>#N/A</v>
      </c>
      <c r="AD742" t="e">
        <f>IFERROR(IF(INDEX(Aux_puntos!$A$2:$OJ$901,738,MATCH($B$2&amp;"|yK",Aux_puntos!$1:$1,0))="",NA(),INDEX(Aux_puntos!$A$2:$OJ$901,738,MATCH($B$2&amp;"|yK",Aux_puntos!$1:$1,0))),NA())</f>
        <v>#N/A</v>
      </c>
      <c r="AE742" t="e">
        <f>IFERROR(IF(INDEX(Aux_puntos!$A$2:$OJ$901,738,MATCH($B$2&amp;"|xC",Aux_puntos!$1:$1,0))="",NA(),INDEX(Aux_puntos!$A$2:$OJ$901,738,MATCH($B$2&amp;"|xC",Aux_puntos!$1:$1,0))),NA())</f>
        <v>#N/A</v>
      </c>
      <c r="AF742" t="e">
        <f>IFERROR(IF(INDEX(Aux_puntos!$A$2:$OJ$901,738,MATCH($B$2&amp;"|yC",Aux_puntos!$1:$1,0))="",NA(),INDEX(Aux_puntos!$A$2:$OJ$901,738,MATCH($B$2&amp;"|yC",Aux_puntos!$1:$1,0))),NA())</f>
        <v>#N/A</v>
      </c>
      <c r="AG742" t="e">
        <f>IFERROR(IF(INDEX(Aux_puntos!$A$2:$OJ$901,738,MATCH($B$2&amp;"|xI",Aux_puntos!$1:$1,0))="",NA(),INDEX(Aux_puntos!$A$2:$OJ$901,738,MATCH($B$2&amp;"|xI",Aux_puntos!$1:$1,0))),NA())</f>
        <v>#N/A</v>
      </c>
      <c r="AH742" t="e">
        <f>IFERROR(IF(INDEX(Aux_puntos!$A$2:$OJ$901,738,MATCH($B$2&amp;"|yI",Aux_puntos!$1:$1,0))="",NA(),INDEX(Aux_puntos!$A$2:$OJ$901,738,MATCH($B$2&amp;"|yI",Aux_puntos!$1:$1,0))),NA())</f>
        <v>#N/A</v>
      </c>
      <c r="AI742" t="e">
        <f>IFERROR(IF(INDEX(Aux_puntos!$A$2:$OJ$901,738,MATCH($B$2&amp;"|xN",Aux_puntos!$1:$1,0))="",NA(),INDEX(Aux_puntos!$A$2:$OJ$901,738,MATCH($B$2&amp;"|xN",Aux_puntos!$1:$1,0))),NA())</f>
        <v>#N/A</v>
      </c>
      <c r="AJ742" t="e">
        <f>IFERROR(IF(INDEX(Aux_puntos!$A$2:$OJ$901,738,MATCH($B$2&amp;"|yN",Aux_puntos!$1:$1,0))="",NA(),INDEX(Aux_puntos!$A$2:$OJ$901,738,MATCH($B$2&amp;"|yN",Aux_puntos!$1:$1,0))),NA())</f>
        <v>#N/A</v>
      </c>
    </row>
    <row r="743" spans="29:36" x14ac:dyDescent="0.3">
      <c r="AC743" t="e">
        <f>IFERROR(IF(INDEX(Aux_puntos!$A$2:$OJ$901,739,MATCH($B$2&amp;"|xK",Aux_puntos!$1:$1,0))="",NA(),INDEX(Aux_puntos!$A$2:$OJ$901,739,MATCH($B$2&amp;"|xK",Aux_puntos!$1:$1,0))),NA())</f>
        <v>#N/A</v>
      </c>
      <c r="AD743" t="e">
        <f>IFERROR(IF(INDEX(Aux_puntos!$A$2:$OJ$901,739,MATCH($B$2&amp;"|yK",Aux_puntos!$1:$1,0))="",NA(),INDEX(Aux_puntos!$A$2:$OJ$901,739,MATCH($B$2&amp;"|yK",Aux_puntos!$1:$1,0))),NA())</f>
        <v>#N/A</v>
      </c>
      <c r="AE743" t="e">
        <f>IFERROR(IF(INDEX(Aux_puntos!$A$2:$OJ$901,739,MATCH($B$2&amp;"|xC",Aux_puntos!$1:$1,0))="",NA(),INDEX(Aux_puntos!$A$2:$OJ$901,739,MATCH($B$2&amp;"|xC",Aux_puntos!$1:$1,0))),NA())</f>
        <v>#N/A</v>
      </c>
      <c r="AF743" t="e">
        <f>IFERROR(IF(INDEX(Aux_puntos!$A$2:$OJ$901,739,MATCH($B$2&amp;"|yC",Aux_puntos!$1:$1,0))="",NA(),INDEX(Aux_puntos!$A$2:$OJ$901,739,MATCH($B$2&amp;"|yC",Aux_puntos!$1:$1,0))),NA())</f>
        <v>#N/A</v>
      </c>
      <c r="AG743" t="e">
        <f>IFERROR(IF(INDEX(Aux_puntos!$A$2:$OJ$901,739,MATCH($B$2&amp;"|xI",Aux_puntos!$1:$1,0))="",NA(),INDEX(Aux_puntos!$A$2:$OJ$901,739,MATCH($B$2&amp;"|xI",Aux_puntos!$1:$1,0))),NA())</f>
        <v>#N/A</v>
      </c>
      <c r="AH743" t="e">
        <f>IFERROR(IF(INDEX(Aux_puntos!$A$2:$OJ$901,739,MATCH($B$2&amp;"|yI",Aux_puntos!$1:$1,0))="",NA(),INDEX(Aux_puntos!$A$2:$OJ$901,739,MATCH($B$2&amp;"|yI",Aux_puntos!$1:$1,0))),NA())</f>
        <v>#N/A</v>
      </c>
      <c r="AI743" t="e">
        <f>IFERROR(IF(INDEX(Aux_puntos!$A$2:$OJ$901,739,MATCH($B$2&amp;"|xN",Aux_puntos!$1:$1,0))="",NA(),INDEX(Aux_puntos!$A$2:$OJ$901,739,MATCH($B$2&amp;"|xN",Aux_puntos!$1:$1,0))),NA())</f>
        <v>#N/A</v>
      </c>
      <c r="AJ743" t="e">
        <f>IFERROR(IF(INDEX(Aux_puntos!$A$2:$OJ$901,739,MATCH($B$2&amp;"|yN",Aux_puntos!$1:$1,0))="",NA(),INDEX(Aux_puntos!$A$2:$OJ$901,739,MATCH($B$2&amp;"|yN",Aux_puntos!$1:$1,0))),NA())</f>
        <v>#N/A</v>
      </c>
    </row>
    <row r="744" spans="29:36" x14ac:dyDescent="0.3">
      <c r="AC744" t="e">
        <f>IFERROR(IF(INDEX(Aux_puntos!$A$2:$OJ$901,740,MATCH($B$2&amp;"|xK",Aux_puntos!$1:$1,0))="",NA(),INDEX(Aux_puntos!$A$2:$OJ$901,740,MATCH($B$2&amp;"|xK",Aux_puntos!$1:$1,0))),NA())</f>
        <v>#N/A</v>
      </c>
      <c r="AD744" t="e">
        <f>IFERROR(IF(INDEX(Aux_puntos!$A$2:$OJ$901,740,MATCH($B$2&amp;"|yK",Aux_puntos!$1:$1,0))="",NA(),INDEX(Aux_puntos!$A$2:$OJ$901,740,MATCH($B$2&amp;"|yK",Aux_puntos!$1:$1,0))),NA())</f>
        <v>#N/A</v>
      </c>
      <c r="AE744" t="e">
        <f>IFERROR(IF(INDEX(Aux_puntos!$A$2:$OJ$901,740,MATCH($B$2&amp;"|xC",Aux_puntos!$1:$1,0))="",NA(),INDEX(Aux_puntos!$A$2:$OJ$901,740,MATCH($B$2&amp;"|xC",Aux_puntos!$1:$1,0))),NA())</f>
        <v>#N/A</v>
      </c>
      <c r="AF744" t="e">
        <f>IFERROR(IF(INDEX(Aux_puntos!$A$2:$OJ$901,740,MATCH($B$2&amp;"|yC",Aux_puntos!$1:$1,0))="",NA(),INDEX(Aux_puntos!$A$2:$OJ$901,740,MATCH($B$2&amp;"|yC",Aux_puntos!$1:$1,0))),NA())</f>
        <v>#N/A</v>
      </c>
      <c r="AG744" t="e">
        <f>IFERROR(IF(INDEX(Aux_puntos!$A$2:$OJ$901,740,MATCH($B$2&amp;"|xI",Aux_puntos!$1:$1,0))="",NA(),INDEX(Aux_puntos!$A$2:$OJ$901,740,MATCH($B$2&amp;"|xI",Aux_puntos!$1:$1,0))),NA())</f>
        <v>#N/A</v>
      </c>
      <c r="AH744" t="e">
        <f>IFERROR(IF(INDEX(Aux_puntos!$A$2:$OJ$901,740,MATCH($B$2&amp;"|yI",Aux_puntos!$1:$1,0))="",NA(),INDEX(Aux_puntos!$A$2:$OJ$901,740,MATCH($B$2&amp;"|yI",Aux_puntos!$1:$1,0))),NA())</f>
        <v>#N/A</v>
      </c>
      <c r="AI744" t="e">
        <f>IFERROR(IF(INDEX(Aux_puntos!$A$2:$OJ$901,740,MATCH($B$2&amp;"|xN",Aux_puntos!$1:$1,0))="",NA(),INDEX(Aux_puntos!$A$2:$OJ$901,740,MATCH($B$2&amp;"|xN",Aux_puntos!$1:$1,0))),NA())</f>
        <v>#N/A</v>
      </c>
      <c r="AJ744" t="e">
        <f>IFERROR(IF(INDEX(Aux_puntos!$A$2:$OJ$901,740,MATCH($B$2&amp;"|yN",Aux_puntos!$1:$1,0))="",NA(),INDEX(Aux_puntos!$A$2:$OJ$901,740,MATCH($B$2&amp;"|yN",Aux_puntos!$1:$1,0))),NA())</f>
        <v>#N/A</v>
      </c>
    </row>
    <row r="745" spans="29:36" x14ac:dyDescent="0.3">
      <c r="AC745" t="e">
        <f>IFERROR(IF(INDEX(Aux_puntos!$A$2:$OJ$901,741,MATCH($B$2&amp;"|xK",Aux_puntos!$1:$1,0))="",NA(),INDEX(Aux_puntos!$A$2:$OJ$901,741,MATCH($B$2&amp;"|xK",Aux_puntos!$1:$1,0))),NA())</f>
        <v>#N/A</v>
      </c>
      <c r="AD745" t="e">
        <f>IFERROR(IF(INDEX(Aux_puntos!$A$2:$OJ$901,741,MATCH($B$2&amp;"|yK",Aux_puntos!$1:$1,0))="",NA(),INDEX(Aux_puntos!$A$2:$OJ$901,741,MATCH($B$2&amp;"|yK",Aux_puntos!$1:$1,0))),NA())</f>
        <v>#N/A</v>
      </c>
      <c r="AE745" t="e">
        <f>IFERROR(IF(INDEX(Aux_puntos!$A$2:$OJ$901,741,MATCH($B$2&amp;"|xC",Aux_puntos!$1:$1,0))="",NA(),INDEX(Aux_puntos!$A$2:$OJ$901,741,MATCH($B$2&amp;"|xC",Aux_puntos!$1:$1,0))),NA())</f>
        <v>#N/A</v>
      </c>
      <c r="AF745" t="e">
        <f>IFERROR(IF(INDEX(Aux_puntos!$A$2:$OJ$901,741,MATCH($B$2&amp;"|yC",Aux_puntos!$1:$1,0))="",NA(),INDEX(Aux_puntos!$A$2:$OJ$901,741,MATCH($B$2&amp;"|yC",Aux_puntos!$1:$1,0))),NA())</f>
        <v>#N/A</v>
      </c>
      <c r="AG745" t="e">
        <f>IFERROR(IF(INDEX(Aux_puntos!$A$2:$OJ$901,741,MATCH($B$2&amp;"|xI",Aux_puntos!$1:$1,0))="",NA(),INDEX(Aux_puntos!$A$2:$OJ$901,741,MATCH($B$2&amp;"|xI",Aux_puntos!$1:$1,0))),NA())</f>
        <v>#N/A</v>
      </c>
      <c r="AH745" t="e">
        <f>IFERROR(IF(INDEX(Aux_puntos!$A$2:$OJ$901,741,MATCH($B$2&amp;"|yI",Aux_puntos!$1:$1,0))="",NA(),INDEX(Aux_puntos!$A$2:$OJ$901,741,MATCH($B$2&amp;"|yI",Aux_puntos!$1:$1,0))),NA())</f>
        <v>#N/A</v>
      </c>
      <c r="AI745" t="e">
        <f>IFERROR(IF(INDEX(Aux_puntos!$A$2:$OJ$901,741,MATCH($B$2&amp;"|xN",Aux_puntos!$1:$1,0))="",NA(),INDEX(Aux_puntos!$A$2:$OJ$901,741,MATCH($B$2&amp;"|xN",Aux_puntos!$1:$1,0))),NA())</f>
        <v>#N/A</v>
      </c>
      <c r="AJ745" t="e">
        <f>IFERROR(IF(INDEX(Aux_puntos!$A$2:$OJ$901,741,MATCH($B$2&amp;"|yN",Aux_puntos!$1:$1,0))="",NA(),INDEX(Aux_puntos!$A$2:$OJ$901,741,MATCH($B$2&amp;"|yN",Aux_puntos!$1:$1,0))),NA())</f>
        <v>#N/A</v>
      </c>
    </row>
    <row r="746" spans="29:36" x14ac:dyDescent="0.3">
      <c r="AC746" t="e">
        <f>IFERROR(IF(INDEX(Aux_puntos!$A$2:$OJ$901,742,MATCH($B$2&amp;"|xK",Aux_puntos!$1:$1,0))="",NA(),INDEX(Aux_puntos!$A$2:$OJ$901,742,MATCH($B$2&amp;"|xK",Aux_puntos!$1:$1,0))),NA())</f>
        <v>#N/A</v>
      </c>
      <c r="AD746" t="e">
        <f>IFERROR(IF(INDEX(Aux_puntos!$A$2:$OJ$901,742,MATCH($B$2&amp;"|yK",Aux_puntos!$1:$1,0))="",NA(),INDEX(Aux_puntos!$A$2:$OJ$901,742,MATCH($B$2&amp;"|yK",Aux_puntos!$1:$1,0))),NA())</f>
        <v>#N/A</v>
      </c>
      <c r="AE746" t="e">
        <f>IFERROR(IF(INDEX(Aux_puntos!$A$2:$OJ$901,742,MATCH($B$2&amp;"|xC",Aux_puntos!$1:$1,0))="",NA(),INDEX(Aux_puntos!$A$2:$OJ$901,742,MATCH($B$2&amp;"|xC",Aux_puntos!$1:$1,0))),NA())</f>
        <v>#N/A</v>
      </c>
      <c r="AF746" t="e">
        <f>IFERROR(IF(INDEX(Aux_puntos!$A$2:$OJ$901,742,MATCH($B$2&amp;"|yC",Aux_puntos!$1:$1,0))="",NA(),INDEX(Aux_puntos!$A$2:$OJ$901,742,MATCH($B$2&amp;"|yC",Aux_puntos!$1:$1,0))),NA())</f>
        <v>#N/A</v>
      </c>
      <c r="AG746" t="e">
        <f>IFERROR(IF(INDEX(Aux_puntos!$A$2:$OJ$901,742,MATCH($B$2&amp;"|xI",Aux_puntos!$1:$1,0))="",NA(),INDEX(Aux_puntos!$A$2:$OJ$901,742,MATCH($B$2&amp;"|xI",Aux_puntos!$1:$1,0))),NA())</f>
        <v>#N/A</v>
      </c>
      <c r="AH746" t="e">
        <f>IFERROR(IF(INDEX(Aux_puntos!$A$2:$OJ$901,742,MATCH($B$2&amp;"|yI",Aux_puntos!$1:$1,0))="",NA(),INDEX(Aux_puntos!$A$2:$OJ$901,742,MATCH($B$2&amp;"|yI",Aux_puntos!$1:$1,0))),NA())</f>
        <v>#N/A</v>
      </c>
      <c r="AI746" t="e">
        <f>IFERROR(IF(INDEX(Aux_puntos!$A$2:$OJ$901,742,MATCH($B$2&amp;"|xN",Aux_puntos!$1:$1,0))="",NA(),INDEX(Aux_puntos!$A$2:$OJ$901,742,MATCH($B$2&amp;"|xN",Aux_puntos!$1:$1,0))),NA())</f>
        <v>#N/A</v>
      </c>
      <c r="AJ746" t="e">
        <f>IFERROR(IF(INDEX(Aux_puntos!$A$2:$OJ$901,742,MATCH($B$2&amp;"|yN",Aux_puntos!$1:$1,0))="",NA(),INDEX(Aux_puntos!$A$2:$OJ$901,742,MATCH($B$2&amp;"|yN",Aux_puntos!$1:$1,0))),NA())</f>
        <v>#N/A</v>
      </c>
    </row>
    <row r="747" spans="29:36" x14ac:dyDescent="0.3">
      <c r="AC747" t="e">
        <f>IFERROR(IF(INDEX(Aux_puntos!$A$2:$OJ$901,743,MATCH($B$2&amp;"|xK",Aux_puntos!$1:$1,0))="",NA(),INDEX(Aux_puntos!$A$2:$OJ$901,743,MATCH($B$2&amp;"|xK",Aux_puntos!$1:$1,0))),NA())</f>
        <v>#N/A</v>
      </c>
      <c r="AD747" t="e">
        <f>IFERROR(IF(INDEX(Aux_puntos!$A$2:$OJ$901,743,MATCH($B$2&amp;"|yK",Aux_puntos!$1:$1,0))="",NA(),INDEX(Aux_puntos!$A$2:$OJ$901,743,MATCH($B$2&amp;"|yK",Aux_puntos!$1:$1,0))),NA())</f>
        <v>#N/A</v>
      </c>
      <c r="AE747" t="e">
        <f>IFERROR(IF(INDEX(Aux_puntos!$A$2:$OJ$901,743,MATCH($B$2&amp;"|xC",Aux_puntos!$1:$1,0))="",NA(),INDEX(Aux_puntos!$A$2:$OJ$901,743,MATCH($B$2&amp;"|xC",Aux_puntos!$1:$1,0))),NA())</f>
        <v>#N/A</v>
      </c>
      <c r="AF747" t="e">
        <f>IFERROR(IF(INDEX(Aux_puntos!$A$2:$OJ$901,743,MATCH($B$2&amp;"|yC",Aux_puntos!$1:$1,0))="",NA(),INDEX(Aux_puntos!$A$2:$OJ$901,743,MATCH($B$2&amp;"|yC",Aux_puntos!$1:$1,0))),NA())</f>
        <v>#N/A</v>
      </c>
      <c r="AG747" t="e">
        <f>IFERROR(IF(INDEX(Aux_puntos!$A$2:$OJ$901,743,MATCH($B$2&amp;"|xI",Aux_puntos!$1:$1,0))="",NA(),INDEX(Aux_puntos!$A$2:$OJ$901,743,MATCH($B$2&amp;"|xI",Aux_puntos!$1:$1,0))),NA())</f>
        <v>#N/A</v>
      </c>
      <c r="AH747" t="e">
        <f>IFERROR(IF(INDEX(Aux_puntos!$A$2:$OJ$901,743,MATCH($B$2&amp;"|yI",Aux_puntos!$1:$1,0))="",NA(),INDEX(Aux_puntos!$A$2:$OJ$901,743,MATCH($B$2&amp;"|yI",Aux_puntos!$1:$1,0))),NA())</f>
        <v>#N/A</v>
      </c>
      <c r="AI747" t="e">
        <f>IFERROR(IF(INDEX(Aux_puntos!$A$2:$OJ$901,743,MATCH($B$2&amp;"|xN",Aux_puntos!$1:$1,0))="",NA(),INDEX(Aux_puntos!$A$2:$OJ$901,743,MATCH($B$2&amp;"|xN",Aux_puntos!$1:$1,0))),NA())</f>
        <v>#N/A</v>
      </c>
      <c r="AJ747" t="e">
        <f>IFERROR(IF(INDEX(Aux_puntos!$A$2:$OJ$901,743,MATCH($B$2&amp;"|yN",Aux_puntos!$1:$1,0))="",NA(),INDEX(Aux_puntos!$A$2:$OJ$901,743,MATCH($B$2&amp;"|yN",Aux_puntos!$1:$1,0))),NA())</f>
        <v>#N/A</v>
      </c>
    </row>
    <row r="748" spans="29:36" x14ac:dyDescent="0.3">
      <c r="AC748" t="e">
        <f>IFERROR(IF(INDEX(Aux_puntos!$A$2:$OJ$901,744,MATCH($B$2&amp;"|xK",Aux_puntos!$1:$1,0))="",NA(),INDEX(Aux_puntos!$A$2:$OJ$901,744,MATCH($B$2&amp;"|xK",Aux_puntos!$1:$1,0))),NA())</f>
        <v>#N/A</v>
      </c>
      <c r="AD748" t="e">
        <f>IFERROR(IF(INDEX(Aux_puntos!$A$2:$OJ$901,744,MATCH($B$2&amp;"|yK",Aux_puntos!$1:$1,0))="",NA(),INDEX(Aux_puntos!$A$2:$OJ$901,744,MATCH($B$2&amp;"|yK",Aux_puntos!$1:$1,0))),NA())</f>
        <v>#N/A</v>
      </c>
      <c r="AE748" t="e">
        <f>IFERROR(IF(INDEX(Aux_puntos!$A$2:$OJ$901,744,MATCH($B$2&amp;"|xC",Aux_puntos!$1:$1,0))="",NA(),INDEX(Aux_puntos!$A$2:$OJ$901,744,MATCH($B$2&amp;"|xC",Aux_puntos!$1:$1,0))),NA())</f>
        <v>#N/A</v>
      </c>
      <c r="AF748" t="e">
        <f>IFERROR(IF(INDEX(Aux_puntos!$A$2:$OJ$901,744,MATCH($B$2&amp;"|yC",Aux_puntos!$1:$1,0))="",NA(),INDEX(Aux_puntos!$A$2:$OJ$901,744,MATCH($B$2&amp;"|yC",Aux_puntos!$1:$1,0))),NA())</f>
        <v>#N/A</v>
      </c>
      <c r="AG748" t="e">
        <f>IFERROR(IF(INDEX(Aux_puntos!$A$2:$OJ$901,744,MATCH($B$2&amp;"|xI",Aux_puntos!$1:$1,0))="",NA(),INDEX(Aux_puntos!$A$2:$OJ$901,744,MATCH($B$2&amp;"|xI",Aux_puntos!$1:$1,0))),NA())</f>
        <v>#N/A</v>
      </c>
      <c r="AH748" t="e">
        <f>IFERROR(IF(INDEX(Aux_puntos!$A$2:$OJ$901,744,MATCH($B$2&amp;"|yI",Aux_puntos!$1:$1,0))="",NA(),INDEX(Aux_puntos!$A$2:$OJ$901,744,MATCH($B$2&amp;"|yI",Aux_puntos!$1:$1,0))),NA())</f>
        <v>#N/A</v>
      </c>
      <c r="AI748" t="e">
        <f>IFERROR(IF(INDEX(Aux_puntos!$A$2:$OJ$901,744,MATCH($B$2&amp;"|xN",Aux_puntos!$1:$1,0))="",NA(),INDEX(Aux_puntos!$A$2:$OJ$901,744,MATCH($B$2&amp;"|xN",Aux_puntos!$1:$1,0))),NA())</f>
        <v>#N/A</v>
      </c>
      <c r="AJ748" t="e">
        <f>IFERROR(IF(INDEX(Aux_puntos!$A$2:$OJ$901,744,MATCH($B$2&amp;"|yN",Aux_puntos!$1:$1,0))="",NA(),INDEX(Aux_puntos!$A$2:$OJ$901,744,MATCH($B$2&amp;"|yN",Aux_puntos!$1:$1,0))),NA())</f>
        <v>#N/A</v>
      </c>
    </row>
    <row r="749" spans="29:36" x14ac:dyDescent="0.3">
      <c r="AC749" t="e">
        <f>IFERROR(IF(INDEX(Aux_puntos!$A$2:$OJ$901,745,MATCH($B$2&amp;"|xK",Aux_puntos!$1:$1,0))="",NA(),INDEX(Aux_puntos!$A$2:$OJ$901,745,MATCH($B$2&amp;"|xK",Aux_puntos!$1:$1,0))),NA())</f>
        <v>#N/A</v>
      </c>
      <c r="AD749" t="e">
        <f>IFERROR(IF(INDEX(Aux_puntos!$A$2:$OJ$901,745,MATCH($B$2&amp;"|yK",Aux_puntos!$1:$1,0))="",NA(),INDEX(Aux_puntos!$A$2:$OJ$901,745,MATCH($B$2&amp;"|yK",Aux_puntos!$1:$1,0))),NA())</f>
        <v>#N/A</v>
      </c>
      <c r="AE749" t="e">
        <f>IFERROR(IF(INDEX(Aux_puntos!$A$2:$OJ$901,745,MATCH($B$2&amp;"|xC",Aux_puntos!$1:$1,0))="",NA(),INDEX(Aux_puntos!$A$2:$OJ$901,745,MATCH($B$2&amp;"|xC",Aux_puntos!$1:$1,0))),NA())</f>
        <v>#N/A</v>
      </c>
      <c r="AF749" t="e">
        <f>IFERROR(IF(INDEX(Aux_puntos!$A$2:$OJ$901,745,MATCH($B$2&amp;"|yC",Aux_puntos!$1:$1,0))="",NA(),INDEX(Aux_puntos!$A$2:$OJ$901,745,MATCH($B$2&amp;"|yC",Aux_puntos!$1:$1,0))),NA())</f>
        <v>#N/A</v>
      </c>
      <c r="AG749" t="e">
        <f>IFERROR(IF(INDEX(Aux_puntos!$A$2:$OJ$901,745,MATCH($B$2&amp;"|xI",Aux_puntos!$1:$1,0))="",NA(),INDEX(Aux_puntos!$A$2:$OJ$901,745,MATCH($B$2&amp;"|xI",Aux_puntos!$1:$1,0))),NA())</f>
        <v>#N/A</v>
      </c>
      <c r="AH749" t="e">
        <f>IFERROR(IF(INDEX(Aux_puntos!$A$2:$OJ$901,745,MATCH($B$2&amp;"|yI",Aux_puntos!$1:$1,0))="",NA(),INDEX(Aux_puntos!$A$2:$OJ$901,745,MATCH($B$2&amp;"|yI",Aux_puntos!$1:$1,0))),NA())</f>
        <v>#N/A</v>
      </c>
      <c r="AI749" t="e">
        <f>IFERROR(IF(INDEX(Aux_puntos!$A$2:$OJ$901,745,MATCH($B$2&amp;"|xN",Aux_puntos!$1:$1,0))="",NA(),INDEX(Aux_puntos!$A$2:$OJ$901,745,MATCH($B$2&amp;"|xN",Aux_puntos!$1:$1,0))),NA())</f>
        <v>#N/A</v>
      </c>
      <c r="AJ749" t="e">
        <f>IFERROR(IF(INDEX(Aux_puntos!$A$2:$OJ$901,745,MATCH($B$2&amp;"|yN",Aux_puntos!$1:$1,0))="",NA(),INDEX(Aux_puntos!$A$2:$OJ$901,745,MATCH($B$2&amp;"|yN",Aux_puntos!$1:$1,0))),NA())</f>
        <v>#N/A</v>
      </c>
    </row>
    <row r="750" spans="29:36" x14ac:dyDescent="0.3">
      <c r="AC750" t="e">
        <f>IFERROR(IF(INDEX(Aux_puntos!$A$2:$OJ$901,746,MATCH($B$2&amp;"|xK",Aux_puntos!$1:$1,0))="",NA(),INDEX(Aux_puntos!$A$2:$OJ$901,746,MATCH($B$2&amp;"|xK",Aux_puntos!$1:$1,0))),NA())</f>
        <v>#N/A</v>
      </c>
      <c r="AD750" t="e">
        <f>IFERROR(IF(INDEX(Aux_puntos!$A$2:$OJ$901,746,MATCH($B$2&amp;"|yK",Aux_puntos!$1:$1,0))="",NA(),INDEX(Aux_puntos!$A$2:$OJ$901,746,MATCH($B$2&amp;"|yK",Aux_puntos!$1:$1,0))),NA())</f>
        <v>#N/A</v>
      </c>
      <c r="AE750" t="e">
        <f>IFERROR(IF(INDEX(Aux_puntos!$A$2:$OJ$901,746,MATCH($B$2&amp;"|xC",Aux_puntos!$1:$1,0))="",NA(),INDEX(Aux_puntos!$A$2:$OJ$901,746,MATCH($B$2&amp;"|xC",Aux_puntos!$1:$1,0))),NA())</f>
        <v>#N/A</v>
      </c>
      <c r="AF750" t="e">
        <f>IFERROR(IF(INDEX(Aux_puntos!$A$2:$OJ$901,746,MATCH($B$2&amp;"|yC",Aux_puntos!$1:$1,0))="",NA(),INDEX(Aux_puntos!$A$2:$OJ$901,746,MATCH($B$2&amp;"|yC",Aux_puntos!$1:$1,0))),NA())</f>
        <v>#N/A</v>
      </c>
      <c r="AG750" t="e">
        <f>IFERROR(IF(INDEX(Aux_puntos!$A$2:$OJ$901,746,MATCH($B$2&amp;"|xI",Aux_puntos!$1:$1,0))="",NA(),INDEX(Aux_puntos!$A$2:$OJ$901,746,MATCH($B$2&amp;"|xI",Aux_puntos!$1:$1,0))),NA())</f>
        <v>#N/A</v>
      </c>
      <c r="AH750" t="e">
        <f>IFERROR(IF(INDEX(Aux_puntos!$A$2:$OJ$901,746,MATCH($B$2&amp;"|yI",Aux_puntos!$1:$1,0))="",NA(),INDEX(Aux_puntos!$A$2:$OJ$901,746,MATCH($B$2&amp;"|yI",Aux_puntos!$1:$1,0))),NA())</f>
        <v>#N/A</v>
      </c>
      <c r="AI750" t="e">
        <f>IFERROR(IF(INDEX(Aux_puntos!$A$2:$OJ$901,746,MATCH($B$2&amp;"|xN",Aux_puntos!$1:$1,0))="",NA(),INDEX(Aux_puntos!$A$2:$OJ$901,746,MATCH($B$2&amp;"|xN",Aux_puntos!$1:$1,0))),NA())</f>
        <v>#N/A</v>
      </c>
      <c r="AJ750" t="e">
        <f>IFERROR(IF(INDEX(Aux_puntos!$A$2:$OJ$901,746,MATCH($B$2&amp;"|yN",Aux_puntos!$1:$1,0))="",NA(),INDEX(Aux_puntos!$A$2:$OJ$901,746,MATCH($B$2&amp;"|yN",Aux_puntos!$1:$1,0))),NA())</f>
        <v>#N/A</v>
      </c>
    </row>
    <row r="751" spans="29:36" x14ac:dyDescent="0.3">
      <c r="AC751" t="e">
        <f>IFERROR(IF(INDEX(Aux_puntos!$A$2:$OJ$901,747,MATCH($B$2&amp;"|xK",Aux_puntos!$1:$1,0))="",NA(),INDEX(Aux_puntos!$A$2:$OJ$901,747,MATCH($B$2&amp;"|xK",Aux_puntos!$1:$1,0))),NA())</f>
        <v>#N/A</v>
      </c>
      <c r="AD751" t="e">
        <f>IFERROR(IF(INDEX(Aux_puntos!$A$2:$OJ$901,747,MATCH($B$2&amp;"|yK",Aux_puntos!$1:$1,0))="",NA(),INDEX(Aux_puntos!$A$2:$OJ$901,747,MATCH($B$2&amp;"|yK",Aux_puntos!$1:$1,0))),NA())</f>
        <v>#N/A</v>
      </c>
      <c r="AE751" t="e">
        <f>IFERROR(IF(INDEX(Aux_puntos!$A$2:$OJ$901,747,MATCH($B$2&amp;"|xC",Aux_puntos!$1:$1,0))="",NA(),INDEX(Aux_puntos!$A$2:$OJ$901,747,MATCH($B$2&amp;"|xC",Aux_puntos!$1:$1,0))),NA())</f>
        <v>#N/A</v>
      </c>
      <c r="AF751" t="e">
        <f>IFERROR(IF(INDEX(Aux_puntos!$A$2:$OJ$901,747,MATCH($B$2&amp;"|yC",Aux_puntos!$1:$1,0))="",NA(),INDEX(Aux_puntos!$A$2:$OJ$901,747,MATCH($B$2&amp;"|yC",Aux_puntos!$1:$1,0))),NA())</f>
        <v>#N/A</v>
      </c>
      <c r="AG751" t="e">
        <f>IFERROR(IF(INDEX(Aux_puntos!$A$2:$OJ$901,747,MATCH($B$2&amp;"|xI",Aux_puntos!$1:$1,0))="",NA(),INDEX(Aux_puntos!$A$2:$OJ$901,747,MATCH($B$2&amp;"|xI",Aux_puntos!$1:$1,0))),NA())</f>
        <v>#N/A</v>
      </c>
      <c r="AH751" t="e">
        <f>IFERROR(IF(INDEX(Aux_puntos!$A$2:$OJ$901,747,MATCH($B$2&amp;"|yI",Aux_puntos!$1:$1,0))="",NA(),INDEX(Aux_puntos!$A$2:$OJ$901,747,MATCH($B$2&amp;"|yI",Aux_puntos!$1:$1,0))),NA())</f>
        <v>#N/A</v>
      </c>
      <c r="AI751" t="e">
        <f>IFERROR(IF(INDEX(Aux_puntos!$A$2:$OJ$901,747,MATCH($B$2&amp;"|xN",Aux_puntos!$1:$1,0))="",NA(),INDEX(Aux_puntos!$A$2:$OJ$901,747,MATCH($B$2&amp;"|xN",Aux_puntos!$1:$1,0))),NA())</f>
        <v>#N/A</v>
      </c>
      <c r="AJ751" t="e">
        <f>IFERROR(IF(INDEX(Aux_puntos!$A$2:$OJ$901,747,MATCH($B$2&amp;"|yN",Aux_puntos!$1:$1,0))="",NA(),INDEX(Aux_puntos!$A$2:$OJ$901,747,MATCH($B$2&amp;"|yN",Aux_puntos!$1:$1,0))),NA())</f>
        <v>#N/A</v>
      </c>
    </row>
    <row r="752" spans="29:36" x14ac:dyDescent="0.3">
      <c r="AC752" t="e">
        <f>IFERROR(IF(INDEX(Aux_puntos!$A$2:$OJ$901,748,MATCH($B$2&amp;"|xK",Aux_puntos!$1:$1,0))="",NA(),INDEX(Aux_puntos!$A$2:$OJ$901,748,MATCH($B$2&amp;"|xK",Aux_puntos!$1:$1,0))),NA())</f>
        <v>#N/A</v>
      </c>
      <c r="AD752" t="e">
        <f>IFERROR(IF(INDEX(Aux_puntos!$A$2:$OJ$901,748,MATCH($B$2&amp;"|yK",Aux_puntos!$1:$1,0))="",NA(),INDEX(Aux_puntos!$A$2:$OJ$901,748,MATCH($B$2&amp;"|yK",Aux_puntos!$1:$1,0))),NA())</f>
        <v>#N/A</v>
      </c>
      <c r="AE752" t="e">
        <f>IFERROR(IF(INDEX(Aux_puntos!$A$2:$OJ$901,748,MATCH($B$2&amp;"|xC",Aux_puntos!$1:$1,0))="",NA(),INDEX(Aux_puntos!$A$2:$OJ$901,748,MATCH($B$2&amp;"|xC",Aux_puntos!$1:$1,0))),NA())</f>
        <v>#N/A</v>
      </c>
      <c r="AF752" t="e">
        <f>IFERROR(IF(INDEX(Aux_puntos!$A$2:$OJ$901,748,MATCH($B$2&amp;"|yC",Aux_puntos!$1:$1,0))="",NA(),INDEX(Aux_puntos!$A$2:$OJ$901,748,MATCH($B$2&amp;"|yC",Aux_puntos!$1:$1,0))),NA())</f>
        <v>#N/A</v>
      </c>
      <c r="AG752" t="e">
        <f>IFERROR(IF(INDEX(Aux_puntos!$A$2:$OJ$901,748,MATCH($B$2&amp;"|xI",Aux_puntos!$1:$1,0))="",NA(),INDEX(Aux_puntos!$A$2:$OJ$901,748,MATCH($B$2&amp;"|xI",Aux_puntos!$1:$1,0))),NA())</f>
        <v>#N/A</v>
      </c>
      <c r="AH752" t="e">
        <f>IFERROR(IF(INDEX(Aux_puntos!$A$2:$OJ$901,748,MATCH($B$2&amp;"|yI",Aux_puntos!$1:$1,0))="",NA(),INDEX(Aux_puntos!$A$2:$OJ$901,748,MATCH($B$2&amp;"|yI",Aux_puntos!$1:$1,0))),NA())</f>
        <v>#N/A</v>
      </c>
      <c r="AI752" t="e">
        <f>IFERROR(IF(INDEX(Aux_puntos!$A$2:$OJ$901,748,MATCH($B$2&amp;"|xN",Aux_puntos!$1:$1,0))="",NA(),INDEX(Aux_puntos!$A$2:$OJ$901,748,MATCH($B$2&amp;"|xN",Aux_puntos!$1:$1,0))),NA())</f>
        <v>#N/A</v>
      </c>
      <c r="AJ752" t="e">
        <f>IFERROR(IF(INDEX(Aux_puntos!$A$2:$OJ$901,748,MATCH($B$2&amp;"|yN",Aux_puntos!$1:$1,0))="",NA(),INDEX(Aux_puntos!$A$2:$OJ$901,748,MATCH($B$2&amp;"|yN",Aux_puntos!$1:$1,0))),NA())</f>
        <v>#N/A</v>
      </c>
    </row>
    <row r="753" spans="29:36" x14ac:dyDescent="0.3">
      <c r="AC753" t="e">
        <f>IFERROR(IF(INDEX(Aux_puntos!$A$2:$OJ$901,749,MATCH($B$2&amp;"|xK",Aux_puntos!$1:$1,0))="",NA(),INDEX(Aux_puntos!$A$2:$OJ$901,749,MATCH($B$2&amp;"|xK",Aux_puntos!$1:$1,0))),NA())</f>
        <v>#N/A</v>
      </c>
      <c r="AD753" t="e">
        <f>IFERROR(IF(INDEX(Aux_puntos!$A$2:$OJ$901,749,MATCH($B$2&amp;"|yK",Aux_puntos!$1:$1,0))="",NA(),INDEX(Aux_puntos!$A$2:$OJ$901,749,MATCH($B$2&amp;"|yK",Aux_puntos!$1:$1,0))),NA())</f>
        <v>#N/A</v>
      </c>
      <c r="AE753" t="e">
        <f>IFERROR(IF(INDEX(Aux_puntos!$A$2:$OJ$901,749,MATCH($B$2&amp;"|xC",Aux_puntos!$1:$1,0))="",NA(),INDEX(Aux_puntos!$A$2:$OJ$901,749,MATCH($B$2&amp;"|xC",Aux_puntos!$1:$1,0))),NA())</f>
        <v>#N/A</v>
      </c>
      <c r="AF753" t="e">
        <f>IFERROR(IF(INDEX(Aux_puntos!$A$2:$OJ$901,749,MATCH($B$2&amp;"|yC",Aux_puntos!$1:$1,0))="",NA(),INDEX(Aux_puntos!$A$2:$OJ$901,749,MATCH($B$2&amp;"|yC",Aux_puntos!$1:$1,0))),NA())</f>
        <v>#N/A</v>
      </c>
      <c r="AG753" t="e">
        <f>IFERROR(IF(INDEX(Aux_puntos!$A$2:$OJ$901,749,MATCH($B$2&amp;"|xI",Aux_puntos!$1:$1,0))="",NA(),INDEX(Aux_puntos!$A$2:$OJ$901,749,MATCH($B$2&amp;"|xI",Aux_puntos!$1:$1,0))),NA())</f>
        <v>#N/A</v>
      </c>
      <c r="AH753" t="e">
        <f>IFERROR(IF(INDEX(Aux_puntos!$A$2:$OJ$901,749,MATCH($B$2&amp;"|yI",Aux_puntos!$1:$1,0))="",NA(),INDEX(Aux_puntos!$A$2:$OJ$901,749,MATCH($B$2&amp;"|yI",Aux_puntos!$1:$1,0))),NA())</f>
        <v>#N/A</v>
      </c>
      <c r="AI753" t="e">
        <f>IFERROR(IF(INDEX(Aux_puntos!$A$2:$OJ$901,749,MATCH($B$2&amp;"|xN",Aux_puntos!$1:$1,0))="",NA(),INDEX(Aux_puntos!$A$2:$OJ$901,749,MATCH($B$2&amp;"|xN",Aux_puntos!$1:$1,0))),NA())</f>
        <v>#N/A</v>
      </c>
      <c r="AJ753" t="e">
        <f>IFERROR(IF(INDEX(Aux_puntos!$A$2:$OJ$901,749,MATCH($B$2&amp;"|yN",Aux_puntos!$1:$1,0))="",NA(),INDEX(Aux_puntos!$A$2:$OJ$901,749,MATCH($B$2&amp;"|yN",Aux_puntos!$1:$1,0))),NA())</f>
        <v>#N/A</v>
      </c>
    </row>
    <row r="754" spans="29:36" x14ac:dyDescent="0.3">
      <c r="AC754" t="e">
        <f>IFERROR(IF(INDEX(Aux_puntos!$A$2:$OJ$901,750,MATCH($B$2&amp;"|xK",Aux_puntos!$1:$1,0))="",NA(),INDEX(Aux_puntos!$A$2:$OJ$901,750,MATCH($B$2&amp;"|xK",Aux_puntos!$1:$1,0))),NA())</f>
        <v>#N/A</v>
      </c>
      <c r="AD754" t="e">
        <f>IFERROR(IF(INDEX(Aux_puntos!$A$2:$OJ$901,750,MATCH($B$2&amp;"|yK",Aux_puntos!$1:$1,0))="",NA(),INDEX(Aux_puntos!$A$2:$OJ$901,750,MATCH($B$2&amp;"|yK",Aux_puntos!$1:$1,0))),NA())</f>
        <v>#N/A</v>
      </c>
      <c r="AE754" t="e">
        <f>IFERROR(IF(INDEX(Aux_puntos!$A$2:$OJ$901,750,MATCH($B$2&amp;"|xC",Aux_puntos!$1:$1,0))="",NA(),INDEX(Aux_puntos!$A$2:$OJ$901,750,MATCH($B$2&amp;"|xC",Aux_puntos!$1:$1,0))),NA())</f>
        <v>#N/A</v>
      </c>
      <c r="AF754" t="e">
        <f>IFERROR(IF(INDEX(Aux_puntos!$A$2:$OJ$901,750,MATCH($B$2&amp;"|yC",Aux_puntos!$1:$1,0))="",NA(),INDEX(Aux_puntos!$A$2:$OJ$901,750,MATCH($B$2&amp;"|yC",Aux_puntos!$1:$1,0))),NA())</f>
        <v>#N/A</v>
      </c>
      <c r="AG754" t="e">
        <f>IFERROR(IF(INDEX(Aux_puntos!$A$2:$OJ$901,750,MATCH($B$2&amp;"|xI",Aux_puntos!$1:$1,0))="",NA(),INDEX(Aux_puntos!$A$2:$OJ$901,750,MATCH($B$2&amp;"|xI",Aux_puntos!$1:$1,0))),NA())</f>
        <v>#N/A</v>
      </c>
      <c r="AH754" t="e">
        <f>IFERROR(IF(INDEX(Aux_puntos!$A$2:$OJ$901,750,MATCH($B$2&amp;"|yI",Aux_puntos!$1:$1,0))="",NA(),INDEX(Aux_puntos!$A$2:$OJ$901,750,MATCH($B$2&amp;"|yI",Aux_puntos!$1:$1,0))),NA())</f>
        <v>#N/A</v>
      </c>
      <c r="AI754" t="e">
        <f>IFERROR(IF(INDEX(Aux_puntos!$A$2:$OJ$901,750,MATCH($B$2&amp;"|xN",Aux_puntos!$1:$1,0))="",NA(),INDEX(Aux_puntos!$A$2:$OJ$901,750,MATCH($B$2&amp;"|xN",Aux_puntos!$1:$1,0))),NA())</f>
        <v>#N/A</v>
      </c>
      <c r="AJ754" t="e">
        <f>IFERROR(IF(INDEX(Aux_puntos!$A$2:$OJ$901,750,MATCH($B$2&amp;"|yN",Aux_puntos!$1:$1,0))="",NA(),INDEX(Aux_puntos!$A$2:$OJ$901,750,MATCH($B$2&amp;"|yN",Aux_puntos!$1:$1,0))),NA())</f>
        <v>#N/A</v>
      </c>
    </row>
    <row r="755" spans="29:36" x14ac:dyDescent="0.3">
      <c r="AC755" t="e">
        <f>IFERROR(IF(INDEX(Aux_puntos!$A$2:$OJ$901,751,MATCH($B$2&amp;"|xK",Aux_puntos!$1:$1,0))="",NA(),INDEX(Aux_puntos!$A$2:$OJ$901,751,MATCH($B$2&amp;"|xK",Aux_puntos!$1:$1,0))),NA())</f>
        <v>#N/A</v>
      </c>
      <c r="AD755" t="e">
        <f>IFERROR(IF(INDEX(Aux_puntos!$A$2:$OJ$901,751,MATCH($B$2&amp;"|yK",Aux_puntos!$1:$1,0))="",NA(),INDEX(Aux_puntos!$A$2:$OJ$901,751,MATCH($B$2&amp;"|yK",Aux_puntos!$1:$1,0))),NA())</f>
        <v>#N/A</v>
      </c>
      <c r="AE755" t="e">
        <f>IFERROR(IF(INDEX(Aux_puntos!$A$2:$OJ$901,751,MATCH($B$2&amp;"|xC",Aux_puntos!$1:$1,0))="",NA(),INDEX(Aux_puntos!$A$2:$OJ$901,751,MATCH($B$2&amp;"|xC",Aux_puntos!$1:$1,0))),NA())</f>
        <v>#N/A</v>
      </c>
      <c r="AF755" t="e">
        <f>IFERROR(IF(INDEX(Aux_puntos!$A$2:$OJ$901,751,MATCH($B$2&amp;"|yC",Aux_puntos!$1:$1,0))="",NA(),INDEX(Aux_puntos!$A$2:$OJ$901,751,MATCH($B$2&amp;"|yC",Aux_puntos!$1:$1,0))),NA())</f>
        <v>#N/A</v>
      </c>
      <c r="AG755" t="e">
        <f>IFERROR(IF(INDEX(Aux_puntos!$A$2:$OJ$901,751,MATCH($B$2&amp;"|xI",Aux_puntos!$1:$1,0))="",NA(),INDEX(Aux_puntos!$A$2:$OJ$901,751,MATCH($B$2&amp;"|xI",Aux_puntos!$1:$1,0))),NA())</f>
        <v>#N/A</v>
      </c>
      <c r="AH755" t="e">
        <f>IFERROR(IF(INDEX(Aux_puntos!$A$2:$OJ$901,751,MATCH($B$2&amp;"|yI",Aux_puntos!$1:$1,0))="",NA(),INDEX(Aux_puntos!$A$2:$OJ$901,751,MATCH($B$2&amp;"|yI",Aux_puntos!$1:$1,0))),NA())</f>
        <v>#N/A</v>
      </c>
      <c r="AI755" t="e">
        <f>IFERROR(IF(INDEX(Aux_puntos!$A$2:$OJ$901,751,MATCH($B$2&amp;"|xN",Aux_puntos!$1:$1,0))="",NA(),INDEX(Aux_puntos!$A$2:$OJ$901,751,MATCH($B$2&amp;"|xN",Aux_puntos!$1:$1,0))),NA())</f>
        <v>#N/A</v>
      </c>
      <c r="AJ755" t="e">
        <f>IFERROR(IF(INDEX(Aux_puntos!$A$2:$OJ$901,751,MATCH($B$2&amp;"|yN",Aux_puntos!$1:$1,0))="",NA(),INDEX(Aux_puntos!$A$2:$OJ$901,751,MATCH($B$2&amp;"|yN",Aux_puntos!$1:$1,0))),NA())</f>
        <v>#N/A</v>
      </c>
    </row>
    <row r="756" spans="29:36" x14ac:dyDescent="0.3">
      <c r="AC756" t="e">
        <f>IFERROR(IF(INDEX(Aux_puntos!$A$2:$OJ$901,752,MATCH($B$2&amp;"|xK",Aux_puntos!$1:$1,0))="",NA(),INDEX(Aux_puntos!$A$2:$OJ$901,752,MATCH($B$2&amp;"|xK",Aux_puntos!$1:$1,0))),NA())</f>
        <v>#N/A</v>
      </c>
      <c r="AD756" t="e">
        <f>IFERROR(IF(INDEX(Aux_puntos!$A$2:$OJ$901,752,MATCH($B$2&amp;"|yK",Aux_puntos!$1:$1,0))="",NA(),INDEX(Aux_puntos!$A$2:$OJ$901,752,MATCH($B$2&amp;"|yK",Aux_puntos!$1:$1,0))),NA())</f>
        <v>#N/A</v>
      </c>
      <c r="AE756" t="e">
        <f>IFERROR(IF(INDEX(Aux_puntos!$A$2:$OJ$901,752,MATCH($B$2&amp;"|xC",Aux_puntos!$1:$1,0))="",NA(),INDEX(Aux_puntos!$A$2:$OJ$901,752,MATCH($B$2&amp;"|xC",Aux_puntos!$1:$1,0))),NA())</f>
        <v>#N/A</v>
      </c>
      <c r="AF756" t="e">
        <f>IFERROR(IF(INDEX(Aux_puntos!$A$2:$OJ$901,752,MATCH($B$2&amp;"|yC",Aux_puntos!$1:$1,0))="",NA(),INDEX(Aux_puntos!$A$2:$OJ$901,752,MATCH($B$2&amp;"|yC",Aux_puntos!$1:$1,0))),NA())</f>
        <v>#N/A</v>
      </c>
      <c r="AG756" t="e">
        <f>IFERROR(IF(INDEX(Aux_puntos!$A$2:$OJ$901,752,MATCH($B$2&amp;"|xI",Aux_puntos!$1:$1,0))="",NA(),INDEX(Aux_puntos!$A$2:$OJ$901,752,MATCH($B$2&amp;"|xI",Aux_puntos!$1:$1,0))),NA())</f>
        <v>#N/A</v>
      </c>
      <c r="AH756" t="e">
        <f>IFERROR(IF(INDEX(Aux_puntos!$A$2:$OJ$901,752,MATCH($B$2&amp;"|yI",Aux_puntos!$1:$1,0))="",NA(),INDEX(Aux_puntos!$A$2:$OJ$901,752,MATCH($B$2&amp;"|yI",Aux_puntos!$1:$1,0))),NA())</f>
        <v>#N/A</v>
      </c>
      <c r="AI756" t="e">
        <f>IFERROR(IF(INDEX(Aux_puntos!$A$2:$OJ$901,752,MATCH($B$2&amp;"|xN",Aux_puntos!$1:$1,0))="",NA(),INDEX(Aux_puntos!$A$2:$OJ$901,752,MATCH($B$2&amp;"|xN",Aux_puntos!$1:$1,0))),NA())</f>
        <v>#N/A</v>
      </c>
      <c r="AJ756" t="e">
        <f>IFERROR(IF(INDEX(Aux_puntos!$A$2:$OJ$901,752,MATCH($B$2&amp;"|yN",Aux_puntos!$1:$1,0))="",NA(),INDEX(Aux_puntos!$A$2:$OJ$901,752,MATCH($B$2&amp;"|yN",Aux_puntos!$1:$1,0))),NA())</f>
        <v>#N/A</v>
      </c>
    </row>
    <row r="757" spans="29:36" x14ac:dyDescent="0.3">
      <c r="AC757" t="e">
        <f>IFERROR(IF(INDEX(Aux_puntos!$A$2:$OJ$901,753,MATCH($B$2&amp;"|xK",Aux_puntos!$1:$1,0))="",NA(),INDEX(Aux_puntos!$A$2:$OJ$901,753,MATCH($B$2&amp;"|xK",Aux_puntos!$1:$1,0))),NA())</f>
        <v>#N/A</v>
      </c>
      <c r="AD757" t="e">
        <f>IFERROR(IF(INDEX(Aux_puntos!$A$2:$OJ$901,753,MATCH($B$2&amp;"|yK",Aux_puntos!$1:$1,0))="",NA(),INDEX(Aux_puntos!$A$2:$OJ$901,753,MATCH($B$2&amp;"|yK",Aux_puntos!$1:$1,0))),NA())</f>
        <v>#N/A</v>
      </c>
      <c r="AE757" t="e">
        <f>IFERROR(IF(INDEX(Aux_puntos!$A$2:$OJ$901,753,MATCH($B$2&amp;"|xC",Aux_puntos!$1:$1,0))="",NA(),INDEX(Aux_puntos!$A$2:$OJ$901,753,MATCH($B$2&amp;"|xC",Aux_puntos!$1:$1,0))),NA())</f>
        <v>#N/A</v>
      </c>
      <c r="AF757" t="e">
        <f>IFERROR(IF(INDEX(Aux_puntos!$A$2:$OJ$901,753,MATCH($B$2&amp;"|yC",Aux_puntos!$1:$1,0))="",NA(),INDEX(Aux_puntos!$A$2:$OJ$901,753,MATCH($B$2&amp;"|yC",Aux_puntos!$1:$1,0))),NA())</f>
        <v>#N/A</v>
      </c>
      <c r="AG757" t="e">
        <f>IFERROR(IF(INDEX(Aux_puntos!$A$2:$OJ$901,753,MATCH($B$2&amp;"|xI",Aux_puntos!$1:$1,0))="",NA(),INDEX(Aux_puntos!$A$2:$OJ$901,753,MATCH($B$2&amp;"|xI",Aux_puntos!$1:$1,0))),NA())</f>
        <v>#N/A</v>
      </c>
      <c r="AH757" t="e">
        <f>IFERROR(IF(INDEX(Aux_puntos!$A$2:$OJ$901,753,MATCH($B$2&amp;"|yI",Aux_puntos!$1:$1,0))="",NA(),INDEX(Aux_puntos!$A$2:$OJ$901,753,MATCH($B$2&amp;"|yI",Aux_puntos!$1:$1,0))),NA())</f>
        <v>#N/A</v>
      </c>
      <c r="AI757" t="e">
        <f>IFERROR(IF(INDEX(Aux_puntos!$A$2:$OJ$901,753,MATCH($B$2&amp;"|xN",Aux_puntos!$1:$1,0))="",NA(),INDEX(Aux_puntos!$A$2:$OJ$901,753,MATCH($B$2&amp;"|xN",Aux_puntos!$1:$1,0))),NA())</f>
        <v>#N/A</v>
      </c>
      <c r="AJ757" t="e">
        <f>IFERROR(IF(INDEX(Aux_puntos!$A$2:$OJ$901,753,MATCH($B$2&amp;"|yN",Aux_puntos!$1:$1,0))="",NA(),INDEX(Aux_puntos!$A$2:$OJ$901,753,MATCH($B$2&amp;"|yN",Aux_puntos!$1:$1,0))),NA())</f>
        <v>#N/A</v>
      </c>
    </row>
    <row r="758" spans="29:36" x14ac:dyDescent="0.3">
      <c r="AC758" t="e">
        <f>IFERROR(IF(INDEX(Aux_puntos!$A$2:$OJ$901,754,MATCH($B$2&amp;"|xK",Aux_puntos!$1:$1,0))="",NA(),INDEX(Aux_puntos!$A$2:$OJ$901,754,MATCH($B$2&amp;"|xK",Aux_puntos!$1:$1,0))),NA())</f>
        <v>#N/A</v>
      </c>
      <c r="AD758" t="e">
        <f>IFERROR(IF(INDEX(Aux_puntos!$A$2:$OJ$901,754,MATCH($B$2&amp;"|yK",Aux_puntos!$1:$1,0))="",NA(),INDEX(Aux_puntos!$A$2:$OJ$901,754,MATCH($B$2&amp;"|yK",Aux_puntos!$1:$1,0))),NA())</f>
        <v>#N/A</v>
      </c>
      <c r="AE758" t="e">
        <f>IFERROR(IF(INDEX(Aux_puntos!$A$2:$OJ$901,754,MATCH($B$2&amp;"|xC",Aux_puntos!$1:$1,0))="",NA(),INDEX(Aux_puntos!$A$2:$OJ$901,754,MATCH($B$2&amp;"|xC",Aux_puntos!$1:$1,0))),NA())</f>
        <v>#N/A</v>
      </c>
      <c r="AF758" t="e">
        <f>IFERROR(IF(INDEX(Aux_puntos!$A$2:$OJ$901,754,MATCH($B$2&amp;"|yC",Aux_puntos!$1:$1,0))="",NA(),INDEX(Aux_puntos!$A$2:$OJ$901,754,MATCH($B$2&amp;"|yC",Aux_puntos!$1:$1,0))),NA())</f>
        <v>#N/A</v>
      </c>
      <c r="AG758" t="e">
        <f>IFERROR(IF(INDEX(Aux_puntos!$A$2:$OJ$901,754,MATCH($B$2&amp;"|xI",Aux_puntos!$1:$1,0))="",NA(),INDEX(Aux_puntos!$A$2:$OJ$901,754,MATCH($B$2&amp;"|xI",Aux_puntos!$1:$1,0))),NA())</f>
        <v>#N/A</v>
      </c>
      <c r="AH758" t="e">
        <f>IFERROR(IF(INDEX(Aux_puntos!$A$2:$OJ$901,754,MATCH($B$2&amp;"|yI",Aux_puntos!$1:$1,0))="",NA(),INDEX(Aux_puntos!$A$2:$OJ$901,754,MATCH($B$2&amp;"|yI",Aux_puntos!$1:$1,0))),NA())</f>
        <v>#N/A</v>
      </c>
      <c r="AI758" t="e">
        <f>IFERROR(IF(INDEX(Aux_puntos!$A$2:$OJ$901,754,MATCH($B$2&amp;"|xN",Aux_puntos!$1:$1,0))="",NA(),INDEX(Aux_puntos!$A$2:$OJ$901,754,MATCH($B$2&amp;"|xN",Aux_puntos!$1:$1,0))),NA())</f>
        <v>#N/A</v>
      </c>
      <c r="AJ758" t="e">
        <f>IFERROR(IF(INDEX(Aux_puntos!$A$2:$OJ$901,754,MATCH($B$2&amp;"|yN",Aux_puntos!$1:$1,0))="",NA(),INDEX(Aux_puntos!$A$2:$OJ$901,754,MATCH($B$2&amp;"|yN",Aux_puntos!$1:$1,0))),NA())</f>
        <v>#N/A</v>
      </c>
    </row>
    <row r="759" spans="29:36" x14ac:dyDescent="0.3">
      <c r="AC759" t="e">
        <f>IFERROR(IF(INDEX(Aux_puntos!$A$2:$OJ$901,755,MATCH($B$2&amp;"|xK",Aux_puntos!$1:$1,0))="",NA(),INDEX(Aux_puntos!$A$2:$OJ$901,755,MATCH($B$2&amp;"|xK",Aux_puntos!$1:$1,0))),NA())</f>
        <v>#N/A</v>
      </c>
      <c r="AD759" t="e">
        <f>IFERROR(IF(INDEX(Aux_puntos!$A$2:$OJ$901,755,MATCH($B$2&amp;"|yK",Aux_puntos!$1:$1,0))="",NA(),INDEX(Aux_puntos!$A$2:$OJ$901,755,MATCH($B$2&amp;"|yK",Aux_puntos!$1:$1,0))),NA())</f>
        <v>#N/A</v>
      </c>
      <c r="AE759" t="e">
        <f>IFERROR(IF(INDEX(Aux_puntos!$A$2:$OJ$901,755,MATCH($B$2&amp;"|xC",Aux_puntos!$1:$1,0))="",NA(),INDEX(Aux_puntos!$A$2:$OJ$901,755,MATCH($B$2&amp;"|xC",Aux_puntos!$1:$1,0))),NA())</f>
        <v>#N/A</v>
      </c>
      <c r="AF759" t="e">
        <f>IFERROR(IF(INDEX(Aux_puntos!$A$2:$OJ$901,755,MATCH($B$2&amp;"|yC",Aux_puntos!$1:$1,0))="",NA(),INDEX(Aux_puntos!$A$2:$OJ$901,755,MATCH($B$2&amp;"|yC",Aux_puntos!$1:$1,0))),NA())</f>
        <v>#N/A</v>
      </c>
      <c r="AG759" t="e">
        <f>IFERROR(IF(INDEX(Aux_puntos!$A$2:$OJ$901,755,MATCH($B$2&amp;"|xI",Aux_puntos!$1:$1,0))="",NA(),INDEX(Aux_puntos!$A$2:$OJ$901,755,MATCH($B$2&amp;"|xI",Aux_puntos!$1:$1,0))),NA())</f>
        <v>#N/A</v>
      </c>
      <c r="AH759" t="e">
        <f>IFERROR(IF(INDEX(Aux_puntos!$A$2:$OJ$901,755,MATCH($B$2&amp;"|yI",Aux_puntos!$1:$1,0))="",NA(),INDEX(Aux_puntos!$A$2:$OJ$901,755,MATCH($B$2&amp;"|yI",Aux_puntos!$1:$1,0))),NA())</f>
        <v>#N/A</v>
      </c>
      <c r="AI759" t="e">
        <f>IFERROR(IF(INDEX(Aux_puntos!$A$2:$OJ$901,755,MATCH($B$2&amp;"|xN",Aux_puntos!$1:$1,0))="",NA(),INDEX(Aux_puntos!$A$2:$OJ$901,755,MATCH($B$2&amp;"|xN",Aux_puntos!$1:$1,0))),NA())</f>
        <v>#N/A</v>
      </c>
      <c r="AJ759" t="e">
        <f>IFERROR(IF(INDEX(Aux_puntos!$A$2:$OJ$901,755,MATCH($B$2&amp;"|yN",Aux_puntos!$1:$1,0))="",NA(),INDEX(Aux_puntos!$A$2:$OJ$901,755,MATCH($B$2&amp;"|yN",Aux_puntos!$1:$1,0))),NA())</f>
        <v>#N/A</v>
      </c>
    </row>
    <row r="760" spans="29:36" x14ac:dyDescent="0.3">
      <c r="AC760" t="e">
        <f>IFERROR(IF(INDEX(Aux_puntos!$A$2:$OJ$901,756,MATCH($B$2&amp;"|xK",Aux_puntos!$1:$1,0))="",NA(),INDEX(Aux_puntos!$A$2:$OJ$901,756,MATCH($B$2&amp;"|xK",Aux_puntos!$1:$1,0))),NA())</f>
        <v>#N/A</v>
      </c>
      <c r="AD760" t="e">
        <f>IFERROR(IF(INDEX(Aux_puntos!$A$2:$OJ$901,756,MATCH($B$2&amp;"|yK",Aux_puntos!$1:$1,0))="",NA(),INDEX(Aux_puntos!$A$2:$OJ$901,756,MATCH($B$2&amp;"|yK",Aux_puntos!$1:$1,0))),NA())</f>
        <v>#N/A</v>
      </c>
      <c r="AE760" t="e">
        <f>IFERROR(IF(INDEX(Aux_puntos!$A$2:$OJ$901,756,MATCH($B$2&amp;"|xC",Aux_puntos!$1:$1,0))="",NA(),INDEX(Aux_puntos!$A$2:$OJ$901,756,MATCH($B$2&amp;"|xC",Aux_puntos!$1:$1,0))),NA())</f>
        <v>#N/A</v>
      </c>
      <c r="AF760" t="e">
        <f>IFERROR(IF(INDEX(Aux_puntos!$A$2:$OJ$901,756,MATCH($B$2&amp;"|yC",Aux_puntos!$1:$1,0))="",NA(),INDEX(Aux_puntos!$A$2:$OJ$901,756,MATCH($B$2&amp;"|yC",Aux_puntos!$1:$1,0))),NA())</f>
        <v>#N/A</v>
      </c>
      <c r="AG760" t="e">
        <f>IFERROR(IF(INDEX(Aux_puntos!$A$2:$OJ$901,756,MATCH($B$2&amp;"|xI",Aux_puntos!$1:$1,0))="",NA(),INDEX(Aux_puntos!$A$2:$OJ$901,756,MATCH($B$2&amp;"|xI",Aux_puntos!$1:$1,0))),NA())</f>
        <v>#N/A</v>
      </c>
      <c r="AH760" t="e">
        <f>IFERROR(IF(INDEX(Aux_puntos!$A$2:$OJ$901,756,MATCH($B$2&amp;"|yI",Aux_puntos!$1:$1,0))="",NA(),INDEX(Aux_puntos!$A$2:$OJ$901,756,MATCH($B$2&amp;"|yI",Aux_puntos!$1:$1,0))),NA())</f>
        <v>#N/A</v>
      </c>
      <c r="AI760" t="e">
        <f>IFERROR(IF(INDEX(Aux_puntos!$A$2:$OJ$901,756,MATCH($B$2&amp;"|xN",Aux_puntos!$1:$1,0))="",NA(),INDEX(Aux_puntos!$A$2:$OJ$901,756,MATCH($B$2&amp;"|xN",Aux_puntos!$1:$1,0))),NA())</f>
        <v>#N/A</v>
      </c>
      <c r="AJ760" t="e">
        <f>IFERROR(IF(INDEX(Aux_puntos!$A$2:$OJ$901,756,MATCH($B$2&amp;"|yN",Aux_puntos!$1:$1,0))="",NA(),INDEX(Aux_puntos!$A$2:$OJ$901,756,MATCH($B$2&amp;"|yN",Aux_puntos!$1:$1,0))),NA())</f>
        <v>#N/A</v>
      </c>
    </row>
    <row r="761" spans="29:36" x14ac:dyDescent="0.3">
      <c r="AC761" t="e">
        <f>IFERROR(IF(INDEX(Aux_puntos!$A$2:$OJ$901,757,MATCH($B$2&amp;"|xK",Aux_puntos!$1:$1,0))="",NA(),INDEX(Aux_puntos!$A$2:$OJ$901,757,MATCH($B$2&amp;"|xK",Aux_puntos!$1:$1,0))),NA())</f>
        <v>#N/A</v>
      </c>
      <c r="AD761" t="e">
        <f>IFERROR(IF(INDEX(Aux_puntos!$A$2:$OJ$901,757,MATCH($B$2&amp;"|yK",Aux_puntos!$1:$1,0))="",NA(),INDEX(Aux_puntos!$A$2:$OJ$901,757,MATCH($B$2&amp;"|yK",Aux_puntos!$1:$1,0))),NA())</f>
        <v>#N/A</v>
      </c>
      <c r="AE761" t="e">
        <f>IFERROR(IF(INDEX(Aux_puntos!$A$2:$OJ$901,757,MATCH($B$2&amp;"|xC",Aux_puntos!$1:$1,0))="",NA(),INDEX(Aux_puntos!$A$2:$OJ$901,757,MATCH($B$2&amp;"|xC",Aux_puntos!$1:$1,0))),NA())</f>
        <v>#N/A</v>
      </c>
      <c r="AF761" t="e">
        <f>IFERROR(IF(INDEX(Aux_puntos!$A$2:$OJ$901,757,MATCH($B$2&amp;"|yC",Aux_puntos!$1:$1,0))="",NA(),INDEX(Aux_puntos!$A$2:$OJ$901,757,MATCH($B$2&amp;"|yC",Aux_puntos!$1:$1,0))),NA())</f>
        <v>#N/A</v>
      </c>
      <c r="AG761" t="e">
        <f>IFERROR(IF(INDEX(Aux_puntos!$A$2:$OJ$901,757,MATCH($B$2&amp;"|xI",Aux_puntos!$1:$1,0))="",NA(),INDEX(Aux_puntos!$A$2:$OJ$901,757,MATCH($B$2&amp;"|xI",Aux_puntos!$1:$1,0))),NA())</f>
        <v>#N/A</v>
      </c>
      <c r="AH761" t="e">
        <f>IFERROR(IF(INDEX(Aux_puntos!$A$2:$OJ$901,757,MATCH($B$2&amp;"|yI",Aux_puntos!$1:$1,0))="",NA(),INDEX(Aux_puntos!$A$2:$OJ$901,757,MATCH($B$2&amp;"|yI",Aux_puntos!$1:$1,0))),NA())</f>
        <v>#N/A</v>
      </c>
      <c r="AI761" t="e">
        <f>IFERROR(IF(INDEX(Aux_puntos!$A$2:$OJ$901,757,MATCH($B$2&amp;"|xN",Aux_puntos!$1:$1,0))="",NA(),INDEX(Aux_puntos!$A$2:$OJ$901,757,MATCH($B$2&amp;"|xN",Aux_puntos!$1:$1,0))),NA())</f>
        <v>#N/A</v>
      </c>
      <c r="AJ761" t="e">
        <f>IFERROR(IF(INDEX(Aux_puntos!$A$2:$OJ$901,757,MATCH($B$2&amp;"|yN",Aux_puntos!$1:$1,0))="",NA(),INDEX(Aux_puntos!$A$2:$OJ$901,757,MATCH($B$2&amp;"|yN",Aux_puntos!$1:$1,0))),NA())</f>
        <v>#N/A</v>
      </c>
    </row>
    <row r="762" spans="29:36" x14ac:dyDescent="0.3">
      <c r="AC762" t="e">
        <f>IFERROR(IF(INDEX(Aux_puntos!$A$2:$OJ$901,758,MATCH($B$2&amp;"|xK",Aux_puntos!$1:$1,0))="",NA(),INDEX(Aux_puntos!$A$2:$OJ$901,758,MATCH($B$2&amp;"|xK",Aux_puntos!$1:$1,0))),NA())</f>
        <v>#N/A</v>
      </c>
      <c r="AD762" t="e">
        <f>IFERROR(IF(INDEX(Aux_puntos!$A$2:$OJ$901,758,MATCH($B$2&amp;"|yK",Aux_puntos!$1:$1,0))="",NA(),INDEX(Aux_puntos!$A$2:$OJ$901,758,MATCH($B$2&amp;"|yK",Aux_puntos!$1:$1,0))),NA())</f>
        <v>#N/A</v>
      </c>
      <c r="AE762" t="e">
        <f>IFERROR(IF(INDEX(Aux_puntos!$A$2:$OJ$901,758,MATCH($B$2&amp;"|xC",Aux_puntos!$1:$1,0))="",NA(),INDEX(Aux_puntos!$A$2:$OJ$901,758,MATCH($B$2&amp;"|xC",Aux_puntos!$1:$1,0))),NA())</f>
        <v>#N/A</v>
      </c>
      <c r="AF762" t="e">
        <f>IFERROR(IF(INDEX(Aux_puntos!$A$2:$OJ$901,758,MATCH($B$2&amp;"|yC",Aux_puntos!$1:$1,0))="",NA(),INDEX(Aux_puntos!$A$2:$OJ$901,758,MATCH($B$2&amp;"|yC",Aux_puntos!$1:$1,0))),NA())</f>
        <v>#N/A</v>
      </c>
      <c r="AG762" t="e">
        <f>IFERROR(IF(INDEX(Aux_puntos!$A$2:$OJ$901,758,MATCH($B$2&amp;"|xI",Aux_puntos!$1:$1,0))="",NA(),INDEX(Aux_puntos!$A$2:$OJ$901,758,MATCH($B$2&amp;"|xI",Aux_puntos!$1:$1,0))),NA())</f>
        <v>#N/A</v>
      </c>
      <c r="AH762" t="e">
        <f>IFERROR(IF(INDEX(Aux_puntos!$A$2:$OJ$901,758,MATCH($B$2&amp;"|yI",Aux_puntos!$1:$1,0))="",NA(),INDEX(Aux_puntos!$A$2:$OJ$901,758,MATCH($B$2&amp;"|yI",Aux_puntos!$1:$1,0))),NA())</f>
        <v>#N/A</v>
      </c>
      <c r="AI762" t="e">
        <f>IFERROR(IF(INDEX(Aux_puntos!$A$2:$OJ$901,758,MATCH($B$2&amp;"|xN",Aux_puntos!$1:$1,0))="",NA(),INDEX(Aux_puntos!$A$2:$OJ$901,758,MATCH($B$2&amp;"|xN",Aux_puntos!$1:$1,0))),NA())</f>
        <v>#N/A</v>
      </c>
      <c r="AJ762" t="e">
        <f>IFERROR(IF(INDEX(Aux_puntos!$A$2:$OJ$901,758,MATCH($B$2&amp;"|yN",Aux_puntos!$1:$1,0))="",NA(),INDEX(Aux_puntos!$A$2:$OJ$901,758,MATCH($B$2&amp;"|yN",Aux_puntos!$1:$1,0))),NA())</f>
        <v>#N/A</v>
      </c>
    </row>
    <row r="763" spans="29:36" x14ac:dyDescent="0.3">
      <c r="AC763" t="e">
        <f>IFERROR(IF(INDEX(Aux_puntos!$A$2:$OJ$901,759,MATCH($B$2&amp;"|xK",Aux_puntos!$1:$1,0))="",NA(),INDEX(Aux_puntos!$A$2:$OJ$901,759,MATCH($B$2&amp;"|xK",Aux_puntos!$1:$1,0))),NA())</f>
        <v>#N/A</v>
      </c>
      <c r="AD763" t="e">
        <f>IFERROR(IF(INDEX(Aux_puntos!$A$2:$OJ$901,759,MATCH($B$2&amp;"|yK",Aux_puntos!$1:$1,0))="",NA(),INDEX(Aux_puntos!$A$2:$OJ$901,759,MATCH($B$2&amp;"|yK",Aux_puntos!$1:$1,0))),NA())</f>
        <v>#N/A</v>
      </c>
      <c r="AE763" t="e">
        <f>IFERROR(IF(INDEX(Aux_puntos!$A$2:$OJ$901,759,MATCH($B$2&amp;"|xC",Aux_puntos!$1:$1,0))="",NA(),INDEX(Aux_puntos!$A$2:$OJ$901,759,MATCH($B$2&amp;"|xC",Aux_puntos!$1:$1,0))),NA())</f>
        <v>#N/A</v>
      </c>
      <c r="AF763" t="e">
        <f>IFERROR(IF(INDEX(Aux_puntos!$A$2:$OJ$901,759,MATCH($B$2&amp;"|yC",Aux_puntos!$1:$1,0))="",NA(),INDEX(Aux_puntos!$A$2:$OJ$901,759,MATCH($B$2&amp;"|yC",Aux_puntos!$1:$1,0))),NA())</f>
        <v>#N/A</v>
      </c>
      <c r="AG763" t="e">
        <f>IFERROR(IF(INDEX(Aux_puntos!$A$2:$OJ$901,759,MATCH($B$2&amp;"|xI",Aux_puntos!$1:$1,0))="",NA(),INDEX(Aux_puntos!$A$2:$OJ$901,759,MATCH($B$2&amp;"|xI",Aux_puntos!$1:$1,0))),NA())</f>
        <v>#N/A</v>
      </c>
      <c r="AH763" t="e">
        <f>IFERROR(IF(INDEX(Aux_puntos!$A$2:$OJ$901,759,MATCH($B$2&amp;"|yI",Aux_puntos!$1:$1,0))="",NA(),INDEX(Aux_puntos!$A$2:$OJ$901,759,MATCH($B$2&amp;"|yI",Aux_puntos!$1:$1,0))),NA())</f>
        <v>#N/A</v>
      </c>
      <c r="AI763" t="e">
        <f>IFERROR(IF(INDEX(Aux_puntos!$A$2:$OJ$901,759,MATCH($B$2&amp;"|xN",Aux_puntos!$1:$1,0))="",NA(),INDEX(Aux_puntos!$A$2:$OJ$901,759,MATCH($B$2&amp;"|xN",Aux_puntos!$1:$1,0))),NA())</f>
        <v>#N/A</v>
      </c>
      <c r="AJ763" t="e">
        <f>IFERROR(IF(INDEX(Aux_puntos!$A$2:$OJ$901,759,MATCH($B$2&amp;"|yN",Aux_puntos!$1:$1,0))="",NA(),INDEX(Aux_puntos!$A$2:$OJ$901,759,MATCH($B$2&amp;"|yN",Aux_puntos!$1:$1,0))),NA())</f>
        <v>#N/A</v>
      </c>
    </row>
    <row r="764" spans="29:36" x14ac:dyDescent="0.3">
      <c r="AC764" t="e">
        <f>IFERROR(IF(INDEX(Aux_puntos!$A$2:$OJ$901,760,MATCH($B$2&amp;"|xK",Aux_puntos!$1:$1,0))="",NA(),INDEX(Aux_puntos!$A$2:$OJ$901,760,MATCH($B$2&amp;"|xK",Aux_puntos!$1:$1,0))),NA())</f>
        <v>#N/A</v>
      </c>
      <c r="AD764" t="e">
        <f>IFERROR(IF(INDEX(Aux_puntos!$A$2:$OJ$901,760,MATCH($B$2&amp;"|yK",Aux_puntos!$1:$1,0))="",NA(),INDEX(Aux_puntos!$A$2:$OJ$901,760,MATCH($B$2&amp;"|yK",Aux_puntos!$1:$1,0))),NA())</f>
        <v>#N/A</v>
      </c>
      <c r="AE764" t="e">
        <f>IFERROR(IF(INDEX(Aux_puntos!$A$2:$OJ$901,760,MATCH($B$2&amp;"|xC",Aux_puntos!$1:$1,0))="",NA(),INDEX(Aux_puntos!$A$2:$OJ$901,760,MATCH($B$2&amp;"|xC",Aux_puntos!$1:$1,0))),NA())</f>
        <v>#N/A</v>
      </c>
      <c r="AF764" t="e">
        <f>IFERROR(IF(INDEX(Aux_puntos!$A$2:$OJ$901,760,MATCH($B$2&amp;"|yC",Aux_puntos!$1:$1,0))="",NA(),INDEX(Aux_puntos!$A$2:$OJ$901,760,MATCH($B$2&amp;"|yC",Aux_puntos!$1:$1,0))),NA())</f>
        <v>#N/A</v>
      </c>
      <c r="AG764" t="e">
        <f>IFERROR(IF(INDEX(Aux_puntos!$A$2:$OJ$901,760,MATCH($B$2&amp;"|xI",Aux_puntos!$1:$1,0))="",NA(),INDEX(Aux_puntos!$A$2:$OJ$901,760,MATCH($B$2&amp;"|xI",Aux_puntos!$1:$1,0))),NA())</f>
        <v>#N/A</v>
      </c>
      <c r="AH764" t="e">
        <f>IFERROR(IF(INDEX(Aux_puntos!$A$2:$OJ$901,760,MATCH($B$2&amp;"|yI",Aux_puntos!$1:$1,0))="",NA(),INDEX(Aux_puntos!$A$2:$OJ$901,760,MATCH($B$2&amp;"|yI",Aux_puntos!$1:$1,0))),NA())</f>
        <v>#N/A</v>
      </c>
      <c r="AI764" t="e">
        <f>IFERROR(IF(INDEX(Aux_puntos!$A$2:$OJ$901,760,MATCH($B$2&amp;"|xN",Aux_puntos!$1:$1,0))="",NA(),INDEX(Aux_puntos!$A$2:$OJ$901,760,MATCH($B$2&amp;"|xN",Aux_puntos!$1:$1,0))),NA())</f>
        <v>#N/A</v>
      </c>
      <c r="AJ764" t="e">
        <f>IFERROR(IF(INDEX(Aux_puntos!$A$2:$OJ$901,760,MATCH($B$2&amp;"|yN",Aux_puntos!$1:$1,0))="",NA(),INDEX(Aux_puntos!$A$2:$OJ$901,760,MATCH($B$2&amp;"|yN",Aux_puntos!$1:$1,0))),NA())</f>
        <v>#N/A</v>
      </c>
    </row>
    <row r="765" spans="29:36" x14ac:dyDescent="0.3">
      <c r="AC765" t="e">
        <f>IFERROR(IF(INDEX(Aux_puntos!$A$2:$OJ$901,761,MATCH($B$2&amp;"|xK",Aux_puntos!$1:$1,0))="",NA(),INDEX(Aux_puntos!$A$2:$OJ$901,761,MATCH($B$2&amp;"|xK",Aux_puntos!$1:$1,0))),NA())</f>
        <v>#N/A</v>
      </c>
      <c r="AD765" t="e">
        <f>IFERROR(IF(INDEX(Aux_puntos!$A$2:$OJ$901,761,MATCH($B$2&amp;"|yK",Aux_puntos!$1:$1,0))="",NA(),INDEX(Aux_puntos!$A$2:$OJ$901,761,MATCH($B$2&amp;"|yK",Aux_puntos!$1:$1,0))),NA())</f>
        <v>#N/A</v>
      </c>
      <c r="AE765" t="e">
        <f>IFERROR(IF(INDEX(Aux_puntos!$A$2:$OJ$901,761,MATCH($B$2&amp;"|xC",Aux_puntos!$1:$1,0))="",NA(),INDEX(Aux_puntos!$A$2:$OJ$901,761,MATCH($B$2&amp;"|xC",Aux_puntos!$1:$1,0))),NA())</f>
        <v>#N/A</v>
      </c>
      <c r="AF765" t="e">
        <f>IFERROR(IF(INDEX(Aux_puntos!$A$2:$OJ$901,761,MATCH($B$2&amp;"|yC",Aux_puntos!$1:$1,0))="",NA(),INDEX(Aux_puntos!$A$2:$OJ$901,761,MATCH($B$2&amp;"|yC",Aux_puntos!$1:$1,0))),NA())</f>
        <v>#N/A</v>
      </c>
      <c r="AG765" t="e">
        <f>IFERROR(IF(INDEX(Aux_puntos!$A$2:$OJ$901,761,MATCH($B$2&amp;"|xI",Aux_puntos!$1:$1,0))="",NA(),INDEX(Aux_puntos!$A$2:$OJ$901,761,MATCH($B$2&amp;"|xI",Aux_puntos!$1:$1,0))),NA())</f>
        <v>#N/A</v>
      </c>
      <c r="AH765" t="e">
        <f>IFERROR(IF(INDEX(Aux_puntos!$A$2:$OJ$901,761,MATCH($B$2&amp;"|yI",Aux_puntos!$1:$1,0))="",NA(),INDEX(Aux_puntos!$A$2:$OJ$901,761,MATCH($B$2&amp;"|yI",Aux_puntos!$1:$1,0))),NA())</f>
        <v>#N/A</v>
      </c>
      <c r="AI765" t="e">
        <f>IFERROR(IF(INDEX(Aux_puntos!$A$2:$OJ$901,761,MATCH($B$2&amp;"|xN",Aux_puntos!$1:$1,0))="",NA(),INDEX(Aux_puntos!$A$2:$OJ$901,761,MATCH($B$2&amp;"|xN",Aux_puntos!$1:$1,0))),NA())</f>
        <v>#N/A</v>
      </c>
      <c r="AJ765" t="e">
        <f>IFERROR(IF(INDEX(Aux_puntos!$A$2:$OJ$901,761,MATCH($B$2&amp;"|yN",Aux_puntos!$1:$1,0))="",NA(),INDEX(Aux_puntos!$A$2:$OJ$901,761,MATCH($B$2&amp;"|yN",Aux_puntos!$1:$1,0))),NA())</f>
        <v>#N/A</v>
      </c>
    </row>
    <row r="766" spans="29:36" x14ac:dyDescent="0.3">
      <c r="AC766" t="e">
        <f>IFERROR(IF(INDEX(Aux_puntos!$A$2:$OJ$901,762,MATCH($B$2&amp;"|xK",Aux_puntos!$1:$1,0))="",NA(),INDEX(Aux_puntos!$A$2:$OJ$901,762,MATCH($B$2&amp;"|xK",Aux_puntos!$1:$1,0))),NA())</f>
        <v>#N/A</v>
      </c>
      <c r="AD766" t="e">
        <f>IFERROR(IF(INDEX(Aux_puntos!$A$2:$OJ$901,762,MATCH($B$2&amp;"|yK",Aux_puntos!$1:$1,0))="",NA(),INDEX(Aux_puntos!$A$2:$OJ$901,762,MATCH($B$2&amp;"|yK",Aux_puntos!$1:$1,0))),NA())</f>
        <v>#N/A</v>
      </c>
      <c r="AE766" t="e">
        <f>IFERROR(IF(INDEX(Aux_puntos!$A$2:$OJ$901,762,MATCH($B$2&amp;"|xC",Aux_puntos!$1:$1,0))="",NA(),INDEX(Aux_puntos!$A$2:$OJ$901,762,MATCH($B$2&amp;"|xC",Aux_puntos!$1:$1,0))),NA())</f>
        <v>#N/A</v>
      </c>
      <c r="AF766" t="e">
        <f>IFERROR(IF(INDEX(Aux_puntos!$A$2:$OJ$901,762,MATCH($B$2&amp;"|yC",Aux_puntos!$1:$1,0))="",NA(),INDEX(Aux_puntos!$A$2:$OJ$901,762,MATCH($B$2&amp;"|yC",Aux_puntos!$1:$1,0))),NA())</f>
        <v>#N/A</v>
      </c>
      <c r="AG766" t="e">
        <f>IFERROR(IF(INDEX(Aux_puntos!$A$2:$OJ$901,762,MATCH($B$2&amp;"|xI",Aux_puntos!$1:$1,0))="",NA(),INDEX(Aux_puntos!$A$2:$OJ$901,762,MATCH($B$2&amp;"|xI",Aux_puntos!$1:$1,0))),NA())</f>
        <v>#N/A</v>
      </c>
      <c r="AH766" t="e">
        <f>IFERROR(IF(INDEX(Aux_puntos!$A$2:$OJ$901,762,MATCH($B$2&amp;"|yI",Aux_puntos!$1:$1,0))="",NA(),INDEX(Aux_puntos!$A$2:$OJ$901,762,MATCH($B$2&amp;"|yI",Aux_puntos!$1:$1,0))),NA())</f>
        <v>#N/A</v>
      </c>
      <c r="AI766" t="e">
        <f>IFERROR(IF(INDEX(Aux_puntos!$A$2:$OJ$901,762,MATCH($B$2&amp;"|xN",Aux_puntos!$1:$1,0))="",NA(),INDEX(Aux_puntos!$A$2:$OJ$901,762,MATCH($B$2&amp;"|xN",Aux_puntos!$1:$1,0))),NA())</f>
        <v>#N/A</v>
      </c>
      <c r="AJ766" t="e">
        <f>IFERROR(IF(INDEX(Aux_puntos!$A$2:$OJ$901,762,MATCH($B$2&amp;"|yN",Aux_puntos!$1:$1,0))="",NA(),INDEX(Aux_puntos!$A$2:$OJ$901,762,MATCH($B$2&amp;"|yN",Aux_puntos!$1:$1,0))),NA())</f>
        <v>#N/A</v>
      </c>
    </row>
    <row r="767" spans="29:36" x14ac:dyDescent="0.3">
      <c r="AC767" t="e">
        <f>IFERROR(IF(INDEX(Aux_puntos!$A$2:$OJ$901,763,MATCH($B$2&amp;"|xK",Aux_puntos!$1:$1,0))="",NA(),INDEX(Aux_puntos!$A$2:$OJ$901,763,MATCH($B$2&amp;"|xK",Aux_puntos!$1:$1,0))),NA())</f>
        <v>#N/A</v>
      </c>
      <c r="AD767" t="e">
        <f>IFERROR(IF(INDEX(Aux_puntos!$A$2:$OJ$901,763,MATCH($B$2&amp;"|yK",Aux_puntos!$1:$1,0))="",NA(),INDEX(Aux_puntos!$A$2:$OJ$901,763,MATCH($B$2&amp;"|yK",Aux_puntos!$1:$1,0))),NA())</f>
        <v>#N/A</v>
      </c>
      <c r="AE767" t="e">
        <f>IFERROR(IF(INDEX(Aux_puntos!$A$2:$OJ$901,763,MATCH($B$2&amp;"|xC",Aux_puntos!$1:$1,0))="",NA(),INDEX(Aux_puntos!$A$2:$OJ$901,763,MATCH($B$2&amp;"|xC",Aux_puntos!$1:$1,0))),NA())</f>
        <v>#N/A</v>
      </c>
      <c r="AF767" t="e">
        <f>IFERROR(IF(INDEX(Aux_puntos!$A$2:$OJ$901,763,MATCH($B$2&amp;"|yC",Aux_puntos!$1:$1,0))="",NA(),INDEX(Aux_puntos!$A$2:$OJ$901,763,MATCH($B$2&amp;"|yC",Aux_puntos!$1:$1,0))),NA())</f>
        <v>#N/A</v>
      </c>
      <c r="AG767" t="e">
        <f>IFERROR(IF(INDEX(Aux_puntos!$A$2:$OJ$901,763,MATCH($B$2&amp;"|xI",Aux_puntos!$1:$1,0))="",NA(),INDEX(Aux_puntos!$A$2:$OJ$901,763,MATCH($B$2&amp;"|xI",Aux_puntos!$1:$1,0))),NA())</f>
        <v>#N/A</v>
      </c>
      <c r="AH767" t="e">
        <f>IFERROR(IF(INDEX(Aux_puntos!$A$2:$OJ$901,763,MATCH($B$2&amp;"|yI",Aux_puntos!$1:$1,0))="",NA(),INDEX(Aux_puntos!$A$2:$OJ$901,763,MATCH($B$2&amp;"|yI",Aux_puntos!$1:$1,0))),NA())</f>
        <v>#N/A</v>
      </c>
      <c r="AI767" t="e">
        <f>IFERROR(IF(INDEX(Aux_puntos!$A$2:$OJ$901,763,MATCH($B$2&amp;"|xN",Aux_puntos!$1:$1,0))="",NA(),INDEX(Aux_puntos!$A$2:$OJ$901,763,MATCH($B$2&amp;"|xN",Aux_puntos!$1:$1,0))),NA())</f>
        <v>#N/A</v>
      </c>
      <c r="AJ767" t="e">
        <f>IFERROR(IF(INDEX(Aux_puntos!$A$2:$OJ$901,763,MATCH($B$2&amp;"|yN",Aux_puntos!$1:$1,0))="",NA(),INDEX(Aux_puntos!$A$2:$OJ$901,763,MATCH($B$2&amp;"|yN",Aux_puntos!$1:$1,0))),NA())</f>
        <v>#N/A</v>
      </c>
    </row>
    <row r="768" spans="29:36" x14ac:dyDescent="0.3">
      <c r="AC768" t="e">
        <f>IFERROR(IF(INDEX(Aux_puntos!$A$2:$OJ$901,764,MATCH($B$2&amp;"|xK",Aux_puntos!$1:$1,0))="",NA(),INDEX(Aux_puntos!$A$2:$OJ$901,764,MATCH($B$2&amp;"|xK",Aux_puntos!$1:$1,0))),NA())</f>
        <v>#N/A</v>
      </c>
      <c r="AD768" t="e">
        <f>IFERROR(IF(INDEX(Aux_puntos!$A$2:$OJ$901,764,MATCH($B$2&amp;"|yK",Aux_puntos!$1:$1,0))="",NA(),INDEX(Aux_puntos!$A$2:$OJ$901,764,MATCH($B$2&amp;"|yK",Aux_puntos!$1:$1,0))),NA())</f>
        <v>#N/A</v>
      </c>
      <c r="AE768" t="e">
        <f>IFERROR(IF(INDEX(Aux_puntos!$A$2:$OJ$901,764,MATCH($B$2&amp;"|xC",Aux_puntos!$1:$1,0))="",NA(),INDEX(Aux_puntos!$A$2:$OJ$901,764,MATCH($B$2&amp;"|xC",Aux_puntos!$1:$1,0))),NA())</f>
        <v>#N/A</v>
      </c>
      <c r="AF768" t="e">
        <f>IFERROR(IF(INDEX(Aux_puntos!$A$2:$OJ$901,764,MATCH($B$2&amp;"|yC",Aux_puntos!$1:$1,0))="",NA(),INDEX(Aux_puntos!$A$2:$OJ$901,764,MATCH($B$2&amp;"|yC",Aux_puntos!$1:$1,0))),NA())</f>
        <v>#N/A</v>
      </c>
      <c r="AG768" t="e">
        <f>IFERROR(IF(INDEX(Aux_puntos!$A$2:$OJ$901,764,MATCH($B$2&amp;"|xI",Aux_puntos!$1:$1,0))="",NA(),INDEX(Aux_puntos!$A$2:$OJ$901,764,MATCH($B$2&amp;"|xI",Aux_puntos!$1:$1,0))),NA())</f>
        <v>#N/A</v>
      </c>
      <c r="AH768" t="e">
        <f>IFERROR(IF(INDEX(Aux_puntos!$A$2:$OJ$901,764,MATCH($B$2&amp;"|yI",Aux_puntos!$1:$1,0))="",NA(),INDEX(Aux_puntos!$A$2:$OJ$901,764,MATCH($B$2&amp;"|yI",Aux_puntos!$1:$1,0))),NA())</f>
        <v>#N/A</v>
      </c>
      <c r="AI768" t="e">
        <f>IFERROR(IF(INDEX(Aux_puntos!$A$2:$OJ$901,764,MATCH($B$2&amp;"|xN",Aux_puntos!$1:$1,0))="",NA(),INDEX(Aux_puntos!$A$2:$OJ$901,764,MATCH($B$2&amp;"|xN",Aux_puntos!$1:$1,0))),NA())</f>
        <v>#N/A</v>
      </c>
      <c r="AJ768" t="e">
        <f>IFERROR(IF(INDEX(Aux_puntos!$A$2:$OJ$901,764,MATCH($B$2&amp;"|yN",Aux_puntos!$1:$1,0))="",NA(),INDEX(Aux_puntos!$A$2:$OJ$901,764,MATCH($B$2&amp;"|yN",Aux_puntos!$1:$1,0))),NA())</f>
        <v>#N/A</v>
      </c>
    </row>
    <row r="769" spans="29:36" x14ac:dyDescent="0.3">
      <c r="AC769" t="e">
        <f>IFERROR(IF(INDEX(Aux_puntos!$A$2:$OJ$901,765,MATCH($B$2&amp;"|xK",Aux_puntos!$1:$1,0))="",NA(),INDEX(Aux_puntos!$A$2:$OJ$901,765,MATCH($B$2&amp;"|xK",Aux_puntos!$1:$1,0))),NA())</f>
        <v>#N/A</v>
      </c>
      <c r="AD769" t="e">
        <f>IFERROR(IF(INDEX(Aux_puntos!$A$2:$OJ$901,765,MATCH($B$2&amp;"|yK",Aux_puntos!$1:$1,0))="",NA(),INDEX(Aux_puntos!$A$2:$OJ$901,765,MATCH($B$2&amp;"|yK",Aux_puntos!$1:$1,0))),NA())</f>
        <v>#N/A</v>
      </c>
      <c r="AE769" t="e">
        <f>IFERROR(IF(INDEX(Aux_puntos!$A$2:$OJ$901,765,MATCH($B$2&amp;"|xC",Aux_puntos!$1:$1,0))="",NA(),INDEX(Aux_puntos!$A$2:$OJ$901,765,MATCH($B$2&amp;"|xC",Aux_puntos!$1:$1,0))),NA())</f>
        <v>#N/A</v>
      </c>
      <c r="AF769" t="e">
        <f>IFERROR(IF(INDEX(Aux_puntos!$A$2:$OJ$901,765,MATCH($B$2&amp;"|yC",Aux_puntos!$1:$1,0))="",NA(),INDEX(Aux_puntos!$A$2:$OJ$901,765,MATCH($B$2&amp;"|yC",Aux_puntos!$1:$1,0))),NA())</f>
        <v>#N/A</v>
      </c>
      <c r="AG769" t="e">
        <f>IFERROR(IF(INDEX(Aux_puntos!$A$2:$OJ$901,765,MATCH($B$2&amp;"|xI",Aux_puntos!$1:$1,0))="",NA(),INDEX(Aux_puntos!$A$2:$OJ$901,765,MATCH($B$2&amp;"|xI",Aux_puntos!$1:$1,0))),NA())</f>
        <v>#N/A</v>
      </c>
      <c r="AH769" t="e">
        <f>IFERROR(IF(INDEX(Aux_puntos!$A$2:$OJ$901,765,MATCH($B$2&amp;"|yI",Aux_puntos!$1:$1,0))="",NA(),INDEX(Aux_puntos!$A$2:$OJ$901,765,MATCH($B$2&amp;"|yI",Aux_puntos!$1:$1,0))),NA())</f>
        <v>#N/A</v>
      </c>
      <c r="AI769" t="e">
        <f>IFERROR(IF(INDEX(Aux_puntos!$A$2:$OJ$901,765,MATCH($B$2&amp;"|xN",Aux_puntos!$1:$1,0))="",NA(),INDEX(Aux_puntos!$A$2:$OJ$901,765,MATCH($B$2&amp;"|xN",Aux_puntos!$1:$1,0))),NA())</f>
        <v>#N/A</v>
      </c>
      <c r="AJ769" t="e">
        <f>IFERROR(IF(INDEX(Aux_puntos!$A$2:$OJ$901,765,MATCH($B$2&amp;"|yN",Aux_puntos!$1:$1,0))="",NA(),INDEX(Aux_puntos!$A$2:$OJ$901,765,MATCH($B$2&amp;"|yN",Aux_puntos!$1:$1,0))),NA())</f>
        <v>#N/A</v>
      </c>
    </row>
    <row r="770" spans="29:36" x14ac:dyDescent="0.3">
      <c r="AC770" t="e">
        <f>IFERROR(IF(INDEX(Aux_puntos!$A$2:$OJ$901,766,MATCH($B$2&amp;"|xK",Aux_puntos!$1:$1,0))="",NA(),INDEX(Aux_puntos!$A$2:$OJ$901,766,MATCH($B$2&amp;"|xK",Aux_puntos!$1:$1,0))),NA())</f>
        <v>#N/A</v>
      </c>
      <c r="AD770" t="e">
        <f>IFERROR(IF(INDEX(Aux_puntos!$A$2:$OJ$901,766,MATCH($B$2&amp;"|yK",Aux_puntos!$1:$1,0))="",NA(),INDEX(Aux_puntos!$A$2:$OJ$901,766,MATCH($B$2&amp;"|yK",Aux_puntos!$1:$1,0))),NA())</f>
        <v>#N/A</v>
      </c>
      <c r="AE770" t="e">
        <f>IFERROR(IF(INDEX(Aux_puntos!$A$2:$OJ$901,766,MATCH($B$2&amp;"|xC",Aux_puntos!$1:$1,0))="",NA(),INDEX(Aux_puntos!$A$2:$OJ$901,766,MATCH($B$2&amp;"|xC",Aux_puntos!$1:$1,0))),NA())</f>
        <v>#N/A</v>
      </c>
      <c r="AF770" t="e">
        <f>IFERROR(IF(INDEX(Aux_puntos!$A$2:$OJ$901,766,MATCH($B$2&amp;"|yC",Aux_puntos!$1:$1,0))="",NA(),INDEX(Aux_puntos!$A$2:$OJ$901,766,MATCH($B$2&amp;"|yC",Aux_puntos!$1:$1,0))),NA())</f>
        <v>#N/A</v>
      </c>
      <c r="AG770" t="e">
        <f>IFERROR(IF(INDEX(Aux_puntos!$A$2:$OJ$901,766,MATCH($B$2&amp;"|xI",Aux_puntos!$1:$1,0))="",NA(),INDEX(Aux_puntos!$A$2:$OJ$901,766,MATCH($B$2&amp;"|xI",Aux_puntos!$1:$1,0))),NA())</f>
        <v>#N/A</v>
      </c>
      <c r="AH770" t="e">
        <f>IFERROR(IF(INDEX(Aux_puntos!$A$2:$OJ$901,766,MATCH($B$2&amp;"|yI",Aux_puntos!$1:$1,0))="",NA(),INDEX(Aux_puntos!$A$2:$OJ$901,766,MATCH($B$2&amp;"|yI",Aux_puntos!$1:$1,0))),NA())</f>
        <v>#N/A</v>
      </c>
      <c r="AI770" t="e">
        <f>IFERROR(IF(INDEX(Aux_puntos!$A$2:$OJ$901,766,MATCH($B$2&amp;"|xN",Aux_puntos!$1:$1,0))="",NA(),INDEX(Aux_puntos!$A$2:$OJ$901,766,MATCH($B$2&amp;"|xN",Aux_puntos!$1:$1,0))),NA())</f>
        <v>#N/A</v>
      </c>
      <c r="AJ770" t="e">
        <f>IFERROR(IF(INDEX(Aux_puntos!$A$2:$OJ$901,766,MATCH($B$2&amp;"|yN",Aux_puntos!$1:$1,0))="",NA(),INDEX(Aux_puntos!$A$2:$OJ$901,766,MATCH($B$2&amp;"|yN",Aux_puntos!$1:$1,0))),NA())</f>
        <v>#N/A</v>
      </c>
    </row>
    <row r="771" spans="29:36" x14ac:dyDescent="0.3">
      <c r="AC771" t="e">
        <f>IFERROR(IF(INDEX(Aux_puntos!$A$2:$OJ$901,767,MATCH($B$2&amp;"|xK",Aux_puntos!$1:$1,0))="",NA(),INDEX(Aux_puntos!$A$2:$OJ$901,767,MATCH($B$2&amp;"|xK",Aux_puntos!$1:$1,0))),NA())</f>
        <v>#N/A</v>
      </c>
      <c r="AD771" t="e">
        <f>IFERROR(IF(INDEX(Aux_puntos!$A$2:$OJ$901,767,MATCH($B$2&amp;"|yK",Aux_puntos!$1:$1,0))="",NA(),INDEX(Aux_puntos!$A$2:$OJ$901,767,MATCH($B$2&amp;"|yK",Aux_puntos!$1:$1,0))),NA())</f>
        <v>#N/A</v>
      </c>
      <c r="AE771" t="e">
        <f>IFERROR(IF(INDEX(Aux_puntos!$A$2:$OJ$901,767,MATCH($B$2&amp;"|xC",Aux_puntos!$1:$1,0))="",NA(),INDEX(Aux_puntos!$A$2:$OJ$901,767,MATCH($B$2&amp;"|xC",Aux_puntos!$1:$1,0))),NA())</f>
        <v>#N/A</v>
      </c>
      <c r="AF771" t="e">
        <f>IFERROR(IF(INDEX(Aux_puntos!$A$2:$OJ$901,767,MATCH($B$2&amp;"|yC",Aux_puntos!$1:$1,0))="",NA(),INDEX(Aux_puntos!$A$2:$OJ$901,767,MATCH($B$2&amp;"|yC",Aux_puntos!$1:$1,0))),NA())</f>
        <v>#N/A</v>
      </c>
      <c r="AG771" t="e">
        <f>IFERROR(IF(INDEX(Aux_puntos!$A$2:$OJ$901,767,MATCH($B$2&amp;"|xI",Aux_puntos!$1:$1,0))="",NA(),INDEX(Aux_puntos!$A$2:$OJ$901,767,MATCH($B$2&amp;"|xI",Aux_puntos!$1:$1,0))),NA())</f>
        <v>#N/A</v>
      </c>
      <c r="AH771" t="e">
        <f>IFERROR(IF(INDEX(Aux_puntos!$A$2:$OJ$901,767,MATCH($B$2&amp;"|yI",Aux_puntos!$1:$1,0))="",NA(),INDEX(Aux_puntos!$A$2:$OJ$901,767,MATCH($B$2&amp;"|yI",Aux_puntos!$1:$1,0))),NA())</f>
        <v>#N/A</v>
      </c>
      <c r="AI771" t="e">
        <f>IFERROR(IF(INDEX(Aux_puntos!$A$2:$OJ$901,767,MATCH($B$2&amp;"|xN",Aux_puntos!$1:$1,0))="",NA(),INDEX(Aux_puntos!$A$2:$OJ$901,767,MATCH($B$2&amp;"|xN",Aux_puntos!$1:$1,0))),NA())</f>
        <v>#N/A</v>
      </c>
      <c r="AJ771" t="e">
        <f>IFERROR(IF(INDEX(Aux_puntos!$A$2:$OJ$901,767,MATCH($B$2&amp;"|yN",Aux_puntos!$1:$1,0))="",NA(),INDEX(Aux_puntos!$A$2:$OJ$901,767,MATCH($B$2&amp;"|yN",Aux_puntos!$1:$1,0))),NA())</f>
        <v>#N/A</v>
      </c>
    </row>
    <row r="772" spans="29:36" x14ac:dyDescent="0.3">
      <c r="AC772" t="e">
        <f>IFERROR(IF(INDEX(Aux_puntos!$A$2:$OJ$901,768,MATCH($B$2&amp;"|xK",Aux_puntos!$1:$1,0))="",NA(),INDEX(Aux_puntos!$A$2:$OJ$901,768,MATCH($B$2&amp;"|xK",Aux_puntos!$1:$1,0))),NA())</f>
        <v>#N/A</v>
      </c>
      <c r="AD772" t="e">
        <f>IFERROR(IF(INDEX(Aux_puntos!$A$2:$OJ$901,768,MATCH($B$2&amp;"|yK",Aux_puntos!$1:$1,0))="",NA(),INDEX(Aux_puntos!$A$2:$OJ$901,768,MATCH($B$2&amp;"|yK",Aux_puntos!$1:$1,0))),NA())</f>
        <v>#N/A</v>
      </c>
      <c r="AE772" t="e">
        <f>IFERROR(IF(INDEX(Aux_puntos!$A$2:$OJ$901,768,MATCH($B$2&amp;"|xC",Aux_puntos!$1:$1,0))="",NA(),INDEX(Aux_puntos!$A$2:$OJ$901,768,MATCH($B$2&amp;"|xC",Aux_puntos!$1:$1,0))),NA())</f>
        <v>#N/A</v>
      </c>
      <c r="AF772" t="e">
        <f>IFERROR(IF(INDEX(Aux_puntos!$A$2:$OJ$901,768,MATCH($B$2&amp;"|yC",Aux_puntos!$1:$1,0))="",NA(),INDEX(Aux_puntos!$A$2:$OJ$901,768,MATCH($B$2&amp;"|yC",Aux_puntos!$1:$1,0))),NA())</f>
        <v>#N/A</v>
      </c>
      <c r="AG772" t="e">
        <f>IFERROR(IF(INDEX(Aux_puntos!$A$2:$OJ$901,768,MATCH($B$2&amp;"|xI",Aux_puntos!$1:$1,0))="",NA(),INDEX(Aux_puntos!$A$2:$OJ$901,768,MATCH($B$2&amp;"|xI",Aux_puntos!$1:$1,0))),NA())</f>
        <v>#N/A</v>
      </c>
      <c r="AH772" t="e">
        <f>IFERROR(IF(INDEX(Aux_puntos!$A$2:$OJ$901,768,MATCH($B$2&amp;"|yI",Aux_puntos!$1:$1,0))="",NA(),INDEX(Aux_puntos!$A$2:$OJ$901,768,MATCH($B$2&amp;"|yI",Aux_puntos!$1:$1,0))),NA())</f>
        <v>#N/A</v>
      </c>
      <c r="AI772" t="e">
        <f>IFERROR(IF(INDEX(Aux_puntos!$A$2:$OJ$901,768,MATCH($B$2&amp;"|xN",Aux_puntos!$1:$1,0))="",NA(),INDEX(Aux_puntos!$A$2:$OJ$901,768,MATCH($B$2&amp;"|xN",Aux_puntos!$1:$1,0))),NA())</f>
        <v>#N/A</v>
      </c>
      <c r="AJ772" t="e">
        <f>IFERROR(IF(INDEX(Aux_puntos!$A$2:$OJ$901,768,MATCH($B$2&amp;"|yN",Aux_puntos!$1:$1,0))="",NA(),INDEX(Aux_puntos!$A$2:$OJ$901,768,MATCH($B$2&amp;"|yN",Aux_puntos!$1:$1,0))),NA())</f>
        <v>#N/A</v>
      </c>
    </row>
    <row r="773" spans="29:36" x14ac:dyDescent="0.3">
      <c r="AC773" t="e">
        <f>IFERROR(IF(INDEX(Aux_puntos!$A$2:$OJ$901,769,MATCH($B$2&amp;"|xK",Aux_puntos!$1:$1,0))="",NA(),INDEX(Aux_puntos!$A$2:$OJ$901,769,MATCH($B$2&amp;"|xK",Aux_puntos!$1:$1,0))),NA())</f>
        <v>#N/A</v>
      </c>
      <c r="AD773" t="e">
        <f>IFERROR(IF(INDEX(Aux_puntos!$A$2:$OJ$901,769,MATCH($B$2&amp;"|yK",Aux_puntos!$1:$1,0))="",NA(),INDEX(Aux_puntos!$A$2:$OJ$901,769,MATCH($B$2&amp;"|yK",Aux_puntos!$1:$1,0))),NA())</f>
        <v>#N/A</v>
      </c>
      <c r="AE773" t="e">
        <f>IFERROR(IF(INDEX(Aux_puntos!$A$2:$OJ$901,769,MATCH($B$2&amp;"|xC",Aux_puntos!$1:$1,0))="",NA(),INDEX(Aux_puntos!$A$2:$OJ$901,769,MATCH($B$2&amp;"|xC",Aux_puntos!$1:$1,0))),NA())</f>
        <v>#N/A</v>
      </c>
      <c r="AF773" t="e">
        <f>IFERROR(IF(INDEX(Aux_puntos!$A$2:$OJ$901,769,MATCH($B$2&amp;"|yC",Aux_puntos!$1:$1,0))="",NA(),INDEX(Aux_puntos!$A$2:$OJ$901,769,MATCH($B$2&amp;"|yC",Aux_puntos!$1:$1,0))),NA())</f>
        <v>#N/A</v>
      </c>
      <c r="AG773" t="e">
        <f>IFERROR(IF(INDEX(Aux_puntos!$A$2:$OJ$901,769,MATCH($B$2&amp;"|xI",Aux_puntos!$1:$1,0))="",NA(),INDEX(Aux_puntos!$A$2:$OJ$901,769,MATCH($B$2&amp;"|xI",Aux_puntos!$1:$1,0))),NA())</f>
        <v>#N/A</v>
      </c>
      <c r="AH773" t="e">
        <f>IFERROR(IF(INDEX(Aux_puntos!$A$2:$OJ$901,769,MATCH($B$2&amp;"|yI",Aux_puntos!$1:$1,0))="",NA(),INDEX(Aux_puntos!$A$2:$OJ$901,769,MATCH($B$2&amp;"|yI",Aux_puntos!$1:$1,0))),NA())</f>
        <v>#N/A</v>
      </c>
      <c r="AI773" t="e">
        <f>IFERROR(IF(INDEX(Aux_puntos!$A$2:$OJ$901,769,MATCH($B$2&amp;"|xN",Aux_puntos!$1:$1,0))="",NA(),INDEX(Aux_puntos!$A$2:$OJ$901,769,MATCH($B$2&amp;"|xN",Aux_puntos!$1:$1,0))),NA())</f>
        <v>#N/A</v>
      </c>
      <c r="AJ773" t="e">
        <f>IFERROR(IF(INDEX(Aux_puntos!$A$2:$OJ$901,769,MATCH($B$2&amp;"|yN",Aux_puntos!$1:$1,0))="",NA(),INDEX(Aux_puntos!$A$2:$OJ$901,769,MATCH($B$2&amp;"|yN",Aux_puntos!$1:$1,0))),NA())</f>
        <v>#N/A</v>
      </c>
    </row>
    <row r="774" spans="29:36" x14ac:dyDescent="0.3">
      <c r="AC774" t="e">
        <f>IFERROR(IF(INDEX(Aux_puntos!$A$2:$OJ$901,770,MATCH($B$2&amp;"|xK",Aux_puntos!$1:$1,0))="",NA(),INDEX(Aux_puntos!$A$2:$OJ$901,770,MATCH($B$2&amp;"|xK",Aux_puntos!$1:$1,0))),NA())</f>
        <v>#N/A</v>
      </c>
      <c r="AD774" t="e">
        <f>IFERROR(IF(INDEX(Aux_puntos!$A$2:$OJ$901,770,MATCH($B$2&amp;"|yK",Aux_puntos!$1:$1,0))="",NA(),INDEX(Aux_puntos!$A$2:$OJ$901,770,MATCH($B$2&amp;"|yK",Aux_puntos!$1:$1,0))),NA())</f>
        <v>#N/A</v>
      </c>
      <c r="AE774" t="e">
        <f>IFERROR(IF(INDEX(Aux_puntos!$A$2:$OJ$901,770,MATCH($B$2&amp;"|xC",Aux_puntos!$1:$1,0))="",NA(),INDEX(Aux_puntos!$A$2:$OJ$901,770,MATCH($B$2&amp;"|xC",Aux_puntos!$1:$1,0))),NA())</f>
        <v>#N/A</v>
      </c>
      <c r="AF774" t="e">
        <f>IFERROR(IF(INDEX(Aux_puntos!$A$2:$OJ$901,770,MATCH($B$2&amp;"|yC",Aux_puntos!$1:$1,0))="",NA(),INDEX(Aux_puntos!$A$2:$OJ$901,770,MATCH($B$2&amp;"|yC",Aux_puntos!$1:$1,0))),NA())</f>
        <v>#N/A</v>
      </c>
      <c r="AG774" t="e">
        <f>IFERROR(IF(INDEX(Aux_puntos!$A$2:$OJ$901,770,MATCH($B$2&amp;"|xI",Aux_puntos!$1:$1,0))="",NA(),INDEX(Aux_puntos!$A$2:$OJ$901,770,MATCH($B$2&amp;"|xI",Aux_puntos!$1:$1,0))),NA())</f>
        <v>#N/A</v>
      </c>
      <c r="AH774" t="e">
        <f>IFERROR(IF(INDEX(Aux_puntos!$A$2:$OJ$901,770,MATCH($B$2&amp;"|yI",Aux_puntos!$1:$1,0))="",NA(),INDEX(Aux_puntos!$A$2:$OJ$901,770,MATCH($B$2&amp;"|yI",Aux_puntos!$1:$1,0))),NA())</f>
        <v>#N/A</v>
      </c>
      <c r="AI774" t="e">
        <f>IFERROR(IF(INDEX(Aux_puntos!$A$2:$OJ$901,770,MATCH($B$2&amp;"|xN",Aux_puntos!$1:$1,0))="",NA(),INDEX(Aux_puntos!$A$2:$OJ$901,770,MATCH($B$2&amp;"|xN",Aux_puntos!$1:$1,0))),NA())</f>
        <v>#N/A</v>
      </c>
      <c r="AJ774" t="e">
        <f>IFERROR(IF(INDEX(Aux_puntos!$A$2:$OJ$901,770,MATCH($B$2&amp;"|yN",Aux_puntos!$1:$1,0))="",NA(),INDEX(Aux_puntos!$A$2:$OJ$901,770,MATCH($B$2&amp;"|yN",Aux_puntos!$1:$1,0))),NA())</f>
        <v>#N/A</v>
      </c>
    </row>
    <row r="775" spans="29:36" x14ac:dyDescent="0.3">
      <c r="AC775" t="e">
        <f>IFERROR(IF(INDEX(Aux_puntos!$A$2:$OJ$901,771,MATCH($B$2&amp;"|xK",Aux_puntos!$1:$1,0))="",NA(),INDEX(Aux_puntos!$A$2:$OJ$901,771,MATCH($B$2&amp;"|xK",Aux_puntos!$1:$1,0))),NA())</f>
        <v>#N/A</v>
      </c>
      <c r="AD775" t="e">
        <f>IFERROR(IF(INDEX(Aux_puntos!$A$2:$OJ$901,771,MATCH($B$2&amp;"|yK",Aux_puntos!$1:$1,0))="",NA(),INDEX(Aux_puntos!$A$2:$OJ$901,771,MATCH($B$2&amp;"|yK",Aux_puntos!$1:$1,0))),NA())</f>
        <v>#N/A</v>
      </c>
      <c r="AE775" t="e">
        <f>IFERROR(IF(INDEX(Aux_puntos!$A$2:$OJ$901,771,MATCH($B$2&amp;"|xC",Aux_puntos!$1:$1,0))="",NA(),INDEX(Aux_puntos!$A$2:$OJ$901,771,MATCH($B$2&amp;"|xC",Aux_puntos!$1:$1,0))),NA())</f>
        <v>#N/A</v>
      </c>
      <c r="AF775" t="e">
        <f>IFERROR(IF(INDEX(Aux_puntos!$A$2:$OJ$901,771,MATCH($B$2&amp;"|yC",Aux_puntos!$1:$1,0))="",NA(),INDEX(Aux_puntos!$A$2:$OJ$901,771,MATCH($B$2&amp;"|yC",Aux_puntos!$1:$1,0))),NA())</f>
        <v>#N/A</v>
      </c>
      <c r="AG775" t="e">
        <f>IFERROR(IF(INDEX(Aux_puntos!$A$2:$OJ$901,771,MATCH($B$2&amp;"|xI",Aux_puntos!$1:$1,0))="",NA(),INDEX(Aux_puntos!$A$2:$OJ$901,771,MATCH($B$2&amp;"|xI",Aux_puntos!$1:$1,0))),NA())</f>
        <v>#N/A</v>
      </c>
      <c r="AH775" t="e">
        <f>IFERROR(IF(INDEX(Aux_puntos!$A$2:$OJ$901,771,MATCH($B$2&amp;"|yI",Aux_puntos!$1:$1,0))="",NA(),INDEX(Aux_puntos!$A$2:$OJ$901,771,MATCH($B$2&amp;"|yI",Aux_puntos!$1:$1,0))),NA())</f>
        <v>#N/A</v>
      </c>
      <c r="AI775" t="e">
        <f>IFERROR(IF(INDEX(Aux_puntos!$A$2:$OJ$901,771,MATCH($B$2&amp;"|xN",Aux_puntos!$1:$1,0))="",NA(),INDEX(Aux_puntos!$A$2:$OJ$901,771,MATCH($B$2&amp;"|xN",Aux_puntos!$1:$1,0))),NA())</f>
        <v>#N/A</v>
      </c>
      <c r="AJ775" t="e">
        <f>IFERROR(IF(INDEX(Aux_puntos!$A$2:$OJ$901,771,MATCH($B$2&amp;"|yN",Aux_puntos!$1:$1,0))="",NA(),INDEX(Aux_puntos!$A$2:$OJ$901,771,MATCH($B$2&amp;"|yN",Aux_puntos!$1:$1,0))),NA())</f>
        <v>#N/A</v>
      </c>
    </row>
    <row r="776" spans="29:36" x14ac:dyDescent="0.3">
      <c r="AC776" t="e">
        <f>IFERROR(IF(INDEX(Aux_puntos!$A$2:$OJ$901,772,MATCH($B$2&amp;"|xK",Aux_puntos!$1:$1,0))="",NA(),INDEX(Aux_puntos!$A$2:$OJ$901,772,MATCH($B$2&amp;"|xK",Aux_puntos!$1:$1,0))),NA())</f>
        <v>#N/A</v>
      </c>
      <c r="AD776" t="e">
        <f>IFERROR(IF(INDEX(Aux_puntos!$A$2:$OJ$901,772,MATCH($B$2&amp;"|yK",Aux_puntos!$1:$1,0))="",NA(),INDEX(Aux_puntos!$A$2:$OJ$901,772,MATCH($B$2&amp;"|yK",Aux_puntos!$1:$1,0))),NA())</f>
        <v>#N/A</v>
      </c>
      <c r="AE776" t="e">
        <f>IFERROR(IF(INDEX(Aux_puntos!$A$2:$OJ$901,772,MATCH($B$2&amp;"|xC",Aux_puntos!$1:$1,0))="",NA(),INDEX(Aux_puntos!$A$2:$OJ$901,772,MATCH($B$2&amp;"|xC",Aux_puntos!$1:$1,0))),NA())</f>
        <v>#N/A</v>
      </c>
      <c r="AF776" t="e">
        <f>IFERROR(IF(INDEX(Aux_puntos!$A$2:$OJ$901,772,MATCH($B$2&amp;"|yC",Aux_puntos!$1:$1,0))="",NA(),INDEX(Aux_puntos!$A$2:$OJ$901,772,MATCH($B$2&amp;"|yC",Aux_puntos!$1:$1,0))),NA())</f>
        <v>#N/A</v>
      </c>
      <c r="AG776" t="e">
        <f>IFERROR(IF(INDEX(Aux_puntos!$A$2:$OJ$901,772,MATCH($B$2&amp;"|xI",Aux_puntos!$1:$1,0))="",NA(),INDEX(Aux_puntos!$A$2:$OJ$901,772,MATCH($B$2&amp;"|xI",Aux_puntos!$1:$1,0))),NA())</f>
        <v>#N/A</v>
      </c>
      <c r="AH776" t="e">
        <f>IFERROR(IF(INDEX(Aux_puntos!$A$2:$OJ$901,772,MATCH($B$2&amp;"|yI",Aux_puntos!$1:$1,0))="",NA(),INDEX(Aux_puntos!$A$2:$OJ$901,772,MATCH($B$2&amp;"|yI",Aux_puntos!$1:$1,0))),NA())</f>
        <v>#N/A</v>
      </c>
      <c r="AI776" t="e">
        <f>IFERROR(IF(INDEX(Aux_puntos!$A$2:$OJ$901,772,MATCH($B$2&amp;"|xN",Aux_puntos!$1:$1,0))="",NA(),INDEX(Aux_puntos!$A$2:$OJ$901,772,MATCH($B$2&amp;"|xN",Aux_puntos!$1:$1,0))),NA())</f>
        <v>#N/A</v>
      </c>
      <c r="AJ776" t="e">
        <f>IFERROR(IF(INDEX(Aux_puntos!$A$2:$OJ$901,772,MATCH($B$2&amp;"|yN",Aux_puntos!$1:$1,0))="",NA(),INDEX(Aux_puntos!$A$2:$OJ$901,772,MATCH($B$2&amp;"|yN",Aux_puntos!$1:$1,0))),NA())</f>
        <v>#N/A</v>
      </c>
    </row>
    <row r="777" spans="29:36" x14ac:dyDescent="0.3">
      <c r="AC777" t="e">
        <f>IFERROR(IF(INDEX(Aux_puntos!$A$2:$OJ$901,773,MATCH($B$2&amp;"|xK",Aux_puntos!$1:$1,0))="",NA(),INDEX(Aux_puntos!$A$2:$OJ$901,773,MATCH($B$2&amp;"|xK",Aux_puntos!$1:$1,0))),NA())</f>
        <v>#N/A</v>
      </c>
      <c r="AD777" t="e">
        <f>IFERROR(IF(INDEX(Aux_puntos!$A$2:$OJ$901,773,MATCH($B$2&amp;"|yK",Aux_puntos!$1:$1,0))="",NA(),INDEX(Aux_puntos!$A$2:$OJ$901,773,MATCH($B$2&amp;"|yK",Aux_puntos!$1:$1,0))),NA())</f>
        <v>#N/A</v>
      </c>
      <c r="AE777" t="e">
        <f>IFERROR(IF(INDEX(Aux_puntos!$A$2:$OJ$901,773,MATCH($B$2&amp;"|xC",Aux_puntos!$1:$1,0))="",NA(),INDEX(Aux_puntos!$A$2:$OJ$901,773,MATCH($B$2&amp;"|xC",Aux_puntos!$1:$1,0))),NA())</f>
        <v>#N/A</v>
      </c>
      <c r="AF777" t="e">
        <f>IFERROR(IF(INDEX(Aux_puntos!$A$2:$OJ$901,773,MATCH($B$2&amp;"|yC",Aux_puntos!$1:$1,0))="",NA(),INDEX(Aux_puntos!$A$2:$OJ$901,773,MATCH($B$2&amp;"|yC",Aux_puntos!$1:$1,0))),NA())</f>
        <v>#N/A</v>
      </c>
      <c r="AG777" t="e">
        <f>IFERROR(IF(INDEX(Aux_puntos!$A$2:$OJ$901,773,MATCH($B$2&amp;"|xI",Aux_puntos!$1:$1,0))="",NA(),INDEX(Aux_puntos!$A$2:$OJ$901,773,MATCH($B$2&amp;"|xI",Aux_puntos!$1:$1,0))),NA())</f>
        <v>#N/A</v>
      </c>
      <c r="AH777" t="e">
        <f>IFERROR(IF(INDEX(Aux_puntos!$A$2:$OJ$901,773,MATCH($B$2&amp;"|yI",Aux_puntos!$1:$1,0))="",NA(),INDEX(Aux_puntos!$A$2:$OJ$901,773,MATCH($B$2&amp;"|yI",Aux_puntos!$1:$1,0))),NA())</f>
        <v>#N/A</v>
      </c>
      <c r="AI777" t="e">
        <f>IFERROR(IF(INDEX(Aux_puntos!$A$2:$OJ$901,773,MATCH($B$2&amp;"|xN",Aux_puntos!$1:$1,0))="",NA(),INDEX(Aux_puntos!$A$2:$OJ$901,773,MATCH($B$2&amp;"|xN",Aux_puntos!$1:$1,0))),NA())</f>
        <v>#N/A</v>
      </c>
      <c r="AJ777" t="e">
        <f>IFERROR(IF(INDEX(Aux_puntos!$A$2:$OJ$901,773,MATCH($B$2&amp;"|yN",Aux_puntos!$1:$1,0))="",NA(),INDEX(Aux_puntos!$A$2:$OJ$901,773,MATCH($B$2&amp;"|yN",Aux_puntos!$1:$1,0))),NA())</f>
        <v>#N/A</v>
      </c>
    </row>
    <row r="778" spans="29:36" x14ac:dyDescent="0.3">
      <c r="AC778" t="e">
        <f>IFERROR(IF(INDEX(Aux_puntos!$A$2:$OJ$901,774,MATCH($B$2&amp;"|xK",Aux_puntos!$1:$1,0))="",NA(),INDEX(Aux_puntos!$A$2:$OJ$901,774,MATCH($B$2&amp;"|xK",Aux_puntos!$1:$1,0))),NA())</f>
        <v>#N/A</v>
      </c>
      <c r="AD778" t="e">
        <f>IFERROR(IF(INDEX(Aux_puntos!$A$2:$OJ$901,774,MATCH($B$2&amp;"|yK",Aux_puntos!$1:$1,0))="",NA(),INDEX(Aux_puntos!$A$2:$OJ$901,774,MATCH($B$2&amp;"|yK",Aux_puntos!$1:$1,0))),NA())</f>
        <v>#N/A</v>
      </c>
      <c r="AE778" t="e">
        <f>IFERROR(IF(INDEX(Aux_puntos!$A$2:$OJ$901,774,MATCH($B$2&amp;"|xC",Aux_puntos!$1:$1,0))="",NA(),INDEX(Aux_puntos!$A$2:$OJ$901,774,MATCH($B$2&amp;"|xC",Aux_puntos!$1:$1,0))),NA())</f>
        <v>#N/A</v>
      </c>
      <c r="AF778" t="e">
        <f>IFERROR(IF(INDEX(Aux_puntos!$A$2:$OJ$901,774,MATCH($B$2&amp;"|yC",Aux_puntos!$1:$1,0))="",NA(),INDEX(Aux_puntos!$A$2:$OJ$901,774,MATCH($B$2&amp;"|yC",Aux_puntos!$1:$1,0))),NA())</f>
        <v>#N/A</v>
      </c>
      <c r="AG778" t="e">
        <f>IFERROR(IF(INDEX(Aux_puntos!$A$2:$OJ$901,774,MATCH($B$2&amp;"|xI",Aux_puntos!$1:$1,0))="",NA(),INDEX(Aux_puntos!$A$2:$OJ$901,774,MATCH($B$2&amp;"|xI",Aux_puntos!$1:$1,0))),NA())</f>
        <v>#N/A</v>
      </c>
      <c r="AH778" t="e">
        <f>IFERROR(IF(INDEX(Aux_puntos!$A$2:$OJ$901,774,MATCH($B$2&amp;"|yI",Aux_puntos!$1:$1,0))="",NA(),INDEX(Aux_puntos!$A$2:$OJ$901,774,MATCH($B$2&amp;"|yI",Aux_puntos!$1:$1,0))),NA())</f>
        <v>#N/A</v>
      </c>
      <c r="AI778" t="e">
        <f>IFERROR(IF(INDEX(Aux_puntos!$A$2:$OJ$901,774,MATCH($B$2&amp;"|xN",Aux_puntos!$1:$1,0))="",NA(),INDEX(Aux_puntos!$A$2:$OJ$901,774,MATCH($B$2&amp;"|xN",Aux_puntos!$1:$1,0))),NA())</f>
        <v>#N/A</v>
      </c>
      <c r="AJ778" t="e">
        <f>IFERROR(IF(INDEX(Aux_puntos!$A$2:$OJ$901,774,MATCH($B$2&amp;"|yN",Aux_puntos!$1:$1,0))="",NA(),INDEX(Aux_puntos!$A$2:$OJ$901,774,MATCH($B$2&amp;"|yN",Aux_puntos!$1:$1,0))),NA())</f>
        <v>#N/A</v>
      </c>
    </row>
    <row r="779" spans="29:36" x14ac:dyDescent="0.3">
      <c r="AC779" t="e">
        <f>IFERROR(IF(INDEX(Aux_puntos!$A$2:$OJ$901,775,MATCH($B$2&amp;"|xK",Aux_puntos!$1:$1,0))="",NA(),INDEX(Aux_puntos!$A$2:$OJ$901,775,MATCH($B$2&amp;"|xK",Aux_puntos!$1:$1,0))),NA())</f>
        <v>#N/A</v>
      </c>
      <c r="AD779" t="e">
        <f>IFERROR(IF(INDEX(Aux_puntos!$A$2:$OJ$901,775,MATCH($B$2&amp;"|yK",Aux_puntos!$1:$1,0))="",NA(),INDEX(Aux_puntos!$A$2:$OJ$901,775,MATCH($B$2&amp;"|yK",Aux_puntos!$1:$1,0))),NA())</f>
        <v>#N/A</v>
      </c>
      <c r="AE779" t="e">
        <f>IFERROR(IF(INDEX(Aux_puntos!$A$2:$OJ$901,775,MATCH($B$2&amp;"|xC",Aux_puntos!$1:$1,0))="",NA(),INDEX(Aux_puntos!$A$2:$OJ$901,775,MATCH($B$2&amp;"|xC",Aux_puntos!$1:$1,0))),NA())</f>
        <v>#N/A</v>
      </c>
      <c r="AF779" t="e">
        <f>IFERROR(IF(INDEX(Aux_puntos!$A$2:$OJ$901,775,MATCH($B$2&amp;"|yC",Aux_puntos!$1:$1,0))="",NA(),INDEX(Aux_puntos!$A$2:$OJ$901,775,MATCH($B$2&amp;"|yC",Aux_puntos!$1:$1,0))),NA())</f>
        <v>#N/A</v>
      </c>
      <c r="AG779" t="e">
        <f>IFERROR(IF(INDEX(Aux_puntos!$A$2:$OJ$901,775,MATCH($B$2&amp;"|xI",Aux_puntos!$1:$1,0))="",NA(),INDEX(Aux_puntos!$A$2:$OJ$901,775,MATCH($B$2&amp;"|xI",Aux_puntos!$1:$1,0))),NA())</f>
        <v>#N/A</v>
      </c>
      <c r="AH779" t="e">
        <f>IFERROR(IF(INDEX(Aux_puntos!$A$2:$OJ$901,775,MATCH($B$2&amp;"|yI",Aux_puntos!$1:$1,0))="",NA(),INDEX(Aux_puntos!$A$2:$OJ$901,775,MATCH($B$2&amp;"|yI",Aux_puntos!$1:$1,0))),NA())</f>
        <v>#N/A</v>
      </c>
      <c r="AI779" t="e">
        <f>IFERROR(IF(INDEX(Aux_puntos!$A$2:$OJ$901,775,MATCH($B$2&amp;"|xN",Aux_puntos!$1:$1,0))="",NA(),INDEX(Aux_puntos!$A$2:$OJ$901,775,MATCH($B$2&amp;"|xN",Aux_puntos!$1:$1,0))),NA())</f>
        <v>#N/A</v>
      </c>
      <c r="AJ779" t="e">
        <f>IFERROR(IF(INDEX(Aux_puntos!$A$2:$OJ$901,775,MATCH($B$2&amp;"|yN",Aux_puntos!$1:$1,0))="",NA(),INDEX(Aux_puntos!$A$2:$OJ$901,775,MATCH($B$2&amp;"|yN",Aux_puntos!$1:$1,0))),NA())</f>
        <v>#N/A</v>
      </c>
    </row>
    <row r="780" spans="29:36" x14ac:dyDescent="0.3">
      <c r="AC780" t="e">
        <f>IFERROR(IF(INDEX(Aux_puntos!$A$2:$OJ$901,776,MATCH($B$2&amp;"|xK",Aux_puntos!$1:$1,0))="",NA(),INDEX(Aux_puntos!$A$2:$OJ$901,776,MATCH($B$2&amp;"|xK",Aux_puntos!$1:$1,0))),NA())</f>
        <v>#N/A</v>
      </c>
      <c r="AD780" t="e">
        <f>IFERROR(IF(INDEX(Aux_puntos!$A$2:$OJ$901,776,MATCH($B$2&amp;"|yK",Aux_puntos!$1:$1,0))="",NA(),INDEX(Aux_puntos!$A$2:$OJ$901,776,MATCH($B$2&amp;"|yK",Aux_puntos!$1:$1,0))),NA())</f>
        <v>#N/A</v>
      </c>
      <c r="AE780" t="e">
        <f>IFERROR(IF(INDEX(Aux_puntos!$A$2:$OJ$901,776,MATCH($B$2&amp;"|xC",Aux_puntos!$1:$1,0))="",NA(),INDEX(Aux_puntos!$A$2:$OJ$901,776,MATCH($B$2&amp;"|xC",Aux_puntos!$1:$1,0))),NA())</f>
        <v>#N/A</v>
      </c>
      <c r="AF780" t="e">
        <f>IFERROR(IF(INDEX(Aux_puntos!$A$2:$OJ$901,776,MATCH($B$2&amp;"|yC",Aux_puntos!$1:$1,0))="",NA(),INDEX(Aux_puntos!$A$2:$OJ$901,776,MATCH($B$2&amp;"|yC",Aux_puntos!$1:$1,0))),NA())</f>
        <v>#N/A</v>
      </c>
      <c r="AG780" t="e">
        <f>IFERROR(IF(INDEX(Aux_puntos!$A$2:$OJ$901,776,MATCH($B$2&amp;"|xI",Aux_puntos!$1:$1,0))="",NA(),INDEX(Aux_puntos!$A$2:$OJ$901,776,MATCH($B$2&amp;"|xI",Aux_puntos!$1:$1,0))),NA())</f>
        <v>#N/A</v>
      </c>
      <c r="AH780" t="e">
        <f>IFERROR(IF(INDEX(Aux_puntos!$A$2:$OJ$901,776,MATCH($B$2&amp;"|yI",Aux_puntos!$1:$1,0))="",NA(),INDEX(Aux_puntos!$A$2:$OJ$901,776,MATCH($B$2&amp;"|yI",Aux_puntos!$1:$1,0))),NA())</f>
        <v>#N/A</v>
      </c>
      <c r="AI780" t="e">
        <f>IFERROR(IF(INDEX(Aux_puntos!$A$2:$OJ$901,776,MATCH($B$2&amp;"|xN",Aux_puntos!$1:$1,0))="",NA(),INDEX(Aux_puntos!$A$2:$OJ$901,776,MATCH($B$2&amp;"|xN",Aux_puntos!$1:$1,0))),NA())</f>
        <v>#N/A</v>
      </c>
      <c r="AJ780" t="e">
        <f>IFERROR(IF(INDEX(Aux_puntos!$A$2:$OJ$901,776,MATCH($B$2&amp;"|yN",Aux_puntos!$1:$1,0))="",NA(),INDEX(Aux_puntos!$A$2:$OJ$901,776,MATCH($B$2&amp;"|yN",Aux_puntos!$1:$1,0))),NA())</f>
        <v>#N/A</v>
      </c>
    </row>
    <row r="781" spans="29:36" x14ac:dyDescent="0.3">
      <c r="AC781" t="e">
        <f>IFERROR(IF(INDEX(Aux_puntos!$A$2:$OJ$901,777,MATCH($B$2&amp;"|xK",Aux_puntos!$1:$1,0))="",NA(),INDEX(Aux_puntos!$A$2:$OJ$901,777,MATCH($B$2&amp;"|xK",Aux_puntos!$1:$1,0))),NA())</f>
        <v>#N/A</v>
      </c>
      <c r="AD781" t="e">
        <f>IFERROR(IF(INDEX(Aux_puntos!$A$2:$OJ$901,777,MATCH($B$2&amp;"|yK",Aux_puntos!$1:$1,0))="",NA(),INDEX(Aux_puntos!$A$2:$OJ$901,777,MATCH($B$2&amp;"|yK",Aux_puntos!$1:$1,0))),NA())</f>
        <v>#N/A</v>
      </c>
      <c r="AE781" t="e">
        <f>IFERROR(IF(INDEX(Aux_puntos!$A$2:$OJ$901,777,MATCH($B$2&amp;"|xC",Aux_puntos!$1:$1,0))="",NA(),INDEX(Aux_puntos!$A$2:$OJ$901,777,MATCH($B$2&amp;"|xC",Aux_puntos!$1:$1,0))),NA())</f>
        <v>#N/A</v>
      </c>
      <c r="AF781" t="e">
        <f>IFERROR(IF(INDEX(Aux_puntos!$A$2:$OJ$901,777,MATCH($B$2&amp;"|yC",Aux_puntos!$1:$1,0))="",NA(),INDEX(Aux_puntos!$A$2:$OJ$901,777,MATCH($B$2&amp;"|yC",Aux_puntos!$1:$1,0))),NA())</f>
        <v>#N/A</v>
      </c>
      <c r="AG781" t="e">
        <f>IFERROR(IF(INDEX(Aux_puntos!$A$2:$OJ$901,777,MATCH($B$2&amp;"|xI",Aux_puntos!$1:$1,0))="",NA(),INDEX(Aux_puntos!$A$2:$OJ$901,777,MATCH($B$2&amp;"|xI",Aux_puntos!$1:$1,0))),NA())</f>
        <v>#N/A</v>
      </c>
      <c r="AH781" t="e">
        <f>IFERROR(IF(INDEX(Aux_puntos!$A$2:$OJ$901,777,MATCH($B$2&amp;"|yI",Aux_puntos!$1:$1,0))="",NA(),INDEX(Aux_puntos!$A$2:$OJ$901,777,MATCH($B$2&amp;"|yI",Aux_puntos!$1:$1,0))),NA())</f>
        <v>#N/A</v>
      </c>
      <c r="AI781" t="e">
        <f>IFERROR(IF(INDEX(Aux_puntos!$A$2:$OJ$901,777,MATCH($B$2&amp;"|xN",Aux_puntos!$1:$1,0))="",NA(),INDEX(Aux_puntos!$A$2:$OJ$901,777,MATCH($B$2&amp;"|xN",Aux_puntos!$1:$1,0))),NA())</f>
        <v>#N/A</v>
      </c>
      <c r="AJ781" t="e">
        <f>IFERROR(IF(INDEX(Aux_puntos!$A$2:$OJ$901,777,MATCH($B$2&amp;"|yN",Aux_puntos!$1:$1,0))="",NA(),INDEX(Aux_puntos!$A$2:$OJ$901,777,MATCH($B$2&amp;"|yN",Aux_puntos!$1:$1,0))),NA())</f>
        <v>#N/A</v>
      </c>
    </row>
    <row r="782" spans="29:36" x14ac:dyDescent="0.3">
      <c r="AC782" t="e">
        <f>IFERROR(IF(INDEX(Aux_puntos!$A$2:$OJ$901,778,MATCH($B$2&amp;"|xK",Aux_puntos!$1:$1,0))="",NA(),INDEX(Aux_puntos!$A$2:$OJ$901,778,MATCH($B$2&amp;"|xK",Aux_puntos!$1:$1,0))),NA())</f>
        <v>#N/A</v>
      </c>
      <c r="AD782" t="e">
        <f>IFERROR(IF(INDEX(Aux_puntos!$A$2:$OJ$901,778,MATCH($B$2&amp;"|yK",Aux_puntos!$1:$1,0))="",NA(),INDEX(Aux_puntos!$A$2:$OJ$901,778,MATCH($B$2&amp;"|yK",Aux_puntos!$1:$1,0))),NA())</f>
        <v>#N/A</v>
      </c>
      <c r="AE782" t="e">
        <f>IFERROR(IF(INDEX(Aux_puntos!$A$2:$OJ$901,778,MATCH($B$2&amp;"|xC",Aux_puntos!$1:$1,0))="",NA(),INDEX(Aux_puntos!$A$2:$OJ$901,778,MATCH($B$2&amp;"|xC",Aux_puntos!$1:$1,0))),NA())</f>
        <v>#N/A</v>
      </c>
      <c r="AF782" t="e">
        <f>IFERROR(IF(INDEX(Aux_puntos!$A$2:$OJ$901,778,MATCH($B$2&amp;"|yC",Aux_puntos!$1:$1,0))="",NA(),INDEX(Aux_puntos!$A$2:$OJ$901,778,MATCH($B$2&amp;"|yC",Aux_puntos!$1:$1,0))),NA())</f>
        <v>#N/A</v>
      </c>
      <c r="AG782" t="e">
        <f>IFERROR(IF(INDEX(Aux_puntos!$A$2:$OJ$901,778,MATCH($B$2&amp;"|xI",Aux_puntos!$1:$1,0))="",NA(),INDEX(Aux_puntos!$A$2:$OJ$901,778,MATCH($B$2&amp;"|xI",Aux_puntos!$1:$1,0))),NA())</f>
        <v>#N/A</v>
      </c>
      <c r="AH782" t="e">
        <f>IFERROR(IF(INDEX(Aux_puntos!$A$2:$OJ$901,778,MATCH($B$2&amp;"|yI",Aux_puntos!$1:$1,0))="",NA(),INDEX(Aux_puntos!$A$2:$OJ$901,778,MATCH($B$2&amp;"|yI",Aux_puntos!$1:$1,0))),NA())</f>
        <v>#N/A</v>
      </c>
      <c r="AI782" t="e">
        <f>IFERROR(IF(INDEX(Aux_puntos!$A$2:$OJ$901,778,MATCH($B$2&amp;"|xN",Aux_puntos!$1:$1,0))="",NA(),INDEX(Aux_puntos!$A$2:$OJ$901,778,MATCH($B$2&amp;"|xN",Aux_puntos!$1:$1,0))),NA())</f>
        <v>#N/A</v>
      </c>
      <c r="AJ782" t="e">
        <f>IFERROR(IF(INDEX(Aux_puntos!$A$2:$OJ$901,778,MATCH($B$2&amp;"|yN",Aux_puntos!$1:$1,0))="",NA(),INDEX(Aux_puntos!$A$2:$OJ$901,778,MATCH($B$2&amp;"|yN",Aux_puntos!$1:$1,0))),NA())</f>
        <v>#N/A</v>
      </c>
    </row>
    <row r="783" spans="29:36" x14ac:dyDescent="0.3">
      <c r="AC783" t="e">
        <f>IFERROR(IF(INDEX(Aux_puntos!$A$2:$OJ$901,779,MATCH($B$2&amp;"|xK",Aux_puntos!$1:$1,0))="",NA(),INDEX(Aux_puntos!$A$2:$OJ$901,779,MATCH($B$2&amp;"|xK",Aux_puntos!$1:$1,0))),NA())</f>
        <v>#N/A</v>
      </c>
      <c r="AD783" t="e">
        <f>IFERROR(IF(INDEX(Aux_puntos!$A$2:$OJ$901,779,MATCH($B$2&amp;"|yK",Aux_puntos!$1:$1,0))="",NA(),INDEX(Aux_puntos!$A$2:$OJ$901,779,MATCH($B$2&amp;"|yK",Aux_puntos!$1:$1,0))),NA())</f>
        <v>#N/A</v>
      </c>
      <c r="AE783" t="e">
        <f>IFERROR(IF(INDEX(Aux_puntos!$A$2:$OJ$901,779,MATCH($B$2&amp;"|xC",Aux_puntos!$1:$1,0))="",NA(),INDEX(Aux_puntos!$A$2:$OJ$901,779,MATCH($B$2&amp;"|xC",Aux_puntos!$1:$1,0))),NA())</f>
        <v>#N/A</v>
      </c>
      <c r="AF783" t="e">
        <f>IFERROR(IF(INDEX(Aux_puntos!$A$2:$OJ$901,779,MATCH($B$2&amp;"|yC",Aux_puntos!$1:$1,0))="",NA(),INDEX(Aux_puntos!$A$2:$OJ$901,779,MATCH($B$2&amp;"|yC",Aux_puntos!$1:$1,0))),NA())</f>
        <v>#N/A</v>
      </c>
      <c r="AG783" t="e">
        <f>IFERROR(IF(INDEX(Aux_puntos!$A$2:$OJ$901,779,MATCH($B$2&amp;"|xI",Aux_puntos!$1:$1,0))="",NA(),INDEX(Aux_puntos!$A$2:$OJ$901,779,MATCH($B$2&amp;"|xI",Aux_puntos!$1:$1,0))),NA())</f>
        <v>#N/A</v>
      </c>
      <c r="AH783" t="e">
        <f>IFERROR(IF(INDEX(Aux_puntos!$A$2:$OJ$901,779,MATCH($B$2&amp;"|yI",Aux_puntos!$1:$1,0))="",NA(),INDEX(Aux_puntos!$A$2:$OJ$901,779,MATCH($B$2&amp;"|yI",Aux_puntos!$1:$1,0))),NA())</f>
        <v>#N/A</v>
      </c>
      <c r="AI783" t="e">
        <f>IFERROR(IF(INDEX(Aux_puntos!$A$2:$OJ$901,779,MATCH($B$2&amp;"|xN",Aux_puntos!$1:$1,0))="",NA(),INDEX(Aux_puntos!$A$2:$OJ$901,779,MATCH($B$2&amp;"|xN",Aux_puntos!$1:$1,0))),NA())</f>
        <v>#N/A</v>
      </c>
      <c r="AJ783" t="e">
        <f>IFERROR(IF(INDEX(Aux_puntos!$A$2:$OJ$901,779,MATCH($B$2&amp;"|yN",Aux_puntos!$1:$1,0))="",NA(),INDEX(Aux_puntos!$A$2:$OJ$901,779,MATCH($B$2&amp;"|yN",Aux_puntos!$1:$1,0))),NA())</f>
        <v>#N/A</v>
      </c>
    </row>
    <row r="784" spans="29:36" x14ac:dyDescent="0.3">
      <c r="AC784" t="e">
        <f>IFERROR(IF(INDEX(Aux_puntos!$A$2:$OJ$901,780,MATCH($B$2&amp;"|xK",Aux_puntos!$1:$1,0))="",NA(),INDEX(Aux_puntos!$A$2:$OJ$901,780,MATCH($B$2&amp;"|xK",Aux_puntos!$1:$1,0))),NA())</f>
        <v>#N/A</v>
      </c>
      <c r="AD784" t="e">
        <f>IFERROR(IF(INDEX(Aux_puntos!$A$2:$OJ$901,780,MATCH($B$2&amp;"|yK",Aux_puntos!$1:$1,0))="",NA(),INDEX(Aux_puntos!$A$2:$OJ$901,780,MATCH($B$2&amp;"|yK",Aux_puntos!$1:$1,0))),NA())</f>
        <v>#N/A</v>
      </c>
      <c r="AE784" t="e">
        <f>IFERROR(IF(INDEX(Aux_puntos!$A$2:$OJ$901,780,MATCH($B$2&amp;"|xC",Aux_puntos!$1:$1,0))="",NA(),INDEX(Aux_puntos!$A$2:$OJ$901,780,MATCH($B$2&amp;"|xC",Aux_puntos!$1:$1,0))),NA())</f>
        <v>#N/A</v>
      </c>
      <c r="AF784" t="e">
        <f>IFERROR(IF(INDEX(Aux_puntos!$A$2:$OJ$901,780,MATCH($B$2&amp;"|yC",Aux_puntos!$1:$1,0))="",NA(),INDEX(Aux_puntos!$A$2:$OJ$901,780,MATCH($B$2&amp;"|yC",Aux_puntos!$1:$1,0))),NA())</f>
        <v>#N/A</v>
      </c>
      <c r="AG784" t="e">
        <f>IFERROR(IF(INDEX(Aux_puntos!$A$2:$OJ$901,780,MATCH($B$2&amp;"|xI",Aux_puntos!$1:$1,0))="",NA(),INDEX(Aux_puntos!$A$2:$OJ$901,780,MATCH($B$2&amp;"|xI",Aux_puntos!$1:$1,0))),NA())</f>
        <v>#N/A</v>
      </c>
      <c r="AH784" t="e">
        <f>IFERROR(IF(INDEX(Aux_puntos!$A$2:$OJ$901,780,MATCH($B$2&amp;"|yI",Aux_puntos!$1:$1,0))="",NA(),INDEX(Aux_puntos!$A$2:$OJ$901,780,MATCH($B$2&amp;"|yI",Aux_puntos!$1:$1,0))),NA())</f>
        <v>#N/A</v>
      </c>
      <c r="AI784" t="e">
        <f>IFERROR(IF(INDEX(Aux_puntos!$A$2:$OJ$901,780,MATCH($B$2&amp;"|xN",Aux_puntos!$1:$1,0))="",NA(),INDEX(Aux_puntos!$A$2:$OJ$901,780,MATCH($B$2&amp;"|xN",Aux_puntos!$1:$1,0))),NA())</f>
        <v>#N/A</v>
      </c>
      <c r="AJ784" t="e">
        <f>IFERROR(IF(INDEX(Aux_puntos!$A$2:$OJ$901,780,MATCH($B$2&amp;"|yN",Aux_puntos!$1:$1,0))="",NA(),INDEX(Aux_puntos!$A$2:$OJ$901,780,MATCH($B$2&amp;"|yN",Aux_puntos!$1:$1,0))),NA())</f>
        <v>#N/A</v>
      </c>
    </row>
    <row r="785" spans="29:36" x14ac:dyDescent="0.3">
      <c r="AC785" t="e">
        <f>IFERROR(IF(INDEX(Aux_puntos!$A$2:$OJ$901,781,MATCH($B$2&amp;"|xK",Aux_puntos!$1:$1,0))="",NA(),INDEX(Aux_puntos!$A$2:$OJ$901,781,MATCH($B$2&amp;"|xK",Aux_puntos!$1:$1,0))),NA())</f>
        <v>#N/A</v>
      </c>
      <c r="AD785" t="e">
        <f>IFERROR(IF(INDEX(Aux_puntos!$A$2:$OJ$901,781,MATCH($B$2&amp;"|yK",Aux_puntos!$1:$1,0))="",NA(),INDEX(Aux_puntos!$A$2:$OJ$901,781,MATCH($B$2&amp;"|yK",Aux_puntos!$1:$1,0))),NA())</f>
        <v>#N/A</v>
      </c>
      <c r="AE785" t="e">
        <f>IFERROR(IF(INDEX(Aux_puntos!$A$2:$OJ$901,781,MATCH($B$2&amp;"|xC",Aux_puntos!$1:$1,0))="",NA(),INDEX(Aux_puntos!$A$2:$OJ$901,781,MATCH($B$2&amp;"|xC",Aux_puntos!$1:$1,0))),NA())</f>
        <v>#N/A</v>
      </c>
      <c r="AF785" t="e">
        <f>IFERROR(IF(INDEX(Aux_puntos!$A$2:$OJ$901,781,MATCH($B$2&amp;"|yC",Aux_puntos!$1:$1,0))="",NA(),INDEX(Aux_puntos!$A$2:$OJ$901,781,MATCH($B$2&amp;"|yC",Aux_puntos!$1:$1,0))),NA())</f>
        <v>#N/A</v>
      </c>
      <c r="AG785" t="e">
        <f>IFERROR(IF(INDEX(Aux_puntos!$A$2:$OJ$901,781,MATCH($B$2&amp;"|xI",Aux_puntos!$1:$1,0))="",NA(),INDEX(Aux_puntos!$A$2:$OJ$901,781,MATCH($B$2&amp;"|xI",Aux_puntos!$1:$1,0))),NA())</f>
        <v>#N/A</v>
      </c>
      <c r="AH785" t="e">
        <f>IFERROR(IF(INDEX(Aux_puntos!$A$2:$OJ$901,781,MATCH($B$2&amp;"|yI",Aux_puntos!$1:$1,0))="",NA(),INDEX(Aux_puntos!$A$2:$OJ$901,781,MATCH($B$2&amp;"|yI",Aux_puntos!$1:$1,0))),NA())</f>
        <v>#N/A</v>
      </c>
      <c r="AI785" t="e">
        <f>IFERROR(IF(INDEX(Aux_puntos!$A$2:$OJ$901,781,MATCH($B$2&amp;"|xN",Aux_puntos!$1:$1,0))="",NA(),INDEX(Aux_puntos!$A$2:$OJ$901,781,MATCH($B$2&amp;"|xN",Aux_puntos!$1:$1,0))),NA())</f>
        <v>#N/A</v>
      </c>
      <c r="AJ785" t="e">
        <f>IFERROR(IF(INDEX(Aux_puntos!$A$2:$OJ$901,781,MATCH($B$2&amp;"|yN",Aux_puntos!$1:$1,0))="",NA(),INDEX(Aux_puntos!$A$2:$OJ$901,781,MATCH($B$2&amp;"|yN",Aux_puntos!$1:$1,0))),NA())</f>
        <v>#N/A</v>
      </c>
    </row>
    <row r="786" spans="29:36" x14ac:dyDescent="0.3">
      <c r="AC786" t="e">
        <f>IFERROR(IF(INDEX(Aux_puntos!$A$2:$OJ$901,782,MATCH($B$2&amp;"|xK",Aux_puntos!$1:$1,0))="",NA(),INDEX(Aux_puntos!$A$2:$OJ$901,782,MATCH($B$2&amp;"|xK",Aux_puntos!$1:$1,0))),NA())</f>
        <v>#N/A</v>
      </c>
      <c r="AD786" t="e">
        <f>IFERROR(IF(INDEX(Aux_puntos!$A$2:$OJ$901,782,MATCH($B$2&amp;"|yK",Aux_puntos!$1:$1,0))="",NA(),INDEX(Aux_puntos!$A$2:$OJ$901,782,MATCH($B$2&amp;"|yK",Aux_puntos!$1:$1,0))),NA())</f>
        <v>#N/A</v>
      </c>
      <c r="AE786" t="e">
        <f>IFERROR(IF(INDEX(Aux_puntos!$A$2:$OJ$901,782,MATCH($B$2&amp;"|xC",Aux_puntos!$1:$1,0))="",NA(),INDEX(Aux_puntos!$A$2:$OJ$901,782,MATCH($B$2&amp;"|xC",Aux_puntos!$1:$1,0))),NA())</f>
        <v>#N/A</v>
      </c>
      <c r="AF786" t="e">
        <f>IFERROR(IF(INDEX(Aux_puntos!$A$2:$OJ$901,782,MATCH($B$2&amp;"|yC",Aux_puntos!$1:$1,0))="",NA(),INDEX(Aux_puntos!$A$2:$OJ$901,782,MATCH($B$2&amp;"|yC",Aux_puntos!$1:$1,0))),NA())</f>
        <v>#N/A</v>
      </c>
      <c r="AG786" t="e">
        <f>IFERROR(IF(INDEX(Aux_puntos!$A$2:$OJ$901,782,MATCH($B$2&amp;"|xI",Aux_puntos!$1:$1,0))="",NA(),INDEX(Aux_puntos!$A$2:$OJ$901,782,MATCH($B$2&amp;"|xI",Aux_puntos!$1:$1,0))),NA())</f>
        <v>#N/A</v>
      </c>
      <c r="AH786" t="e">
        <f>IFERROR(IF(INDEX(Aux_puntos!$A$2:$OJ$901,782,MATCH($B$2&amp;"|yI",Aux_puntos!$1:$1,0))="",NA(),INDEX(Aux_puntos!$A$2:$OJ$901,782,MATCH($B$2&amp;"|yI",Aux_puntos!$1:$1,0))),NA())</f>
        <v>#N/A</v>
      </c>
      <c r="AI786" t="e">
        <f>IFERROR(IF(INDEX(Aux_puntos!$A$2:$OJ$901,782,MATCH($B$2&amp;"|xN",Aux_puntos!$1:$1,0))="",NA(),INDEX(Aux_puntos!$A$2:$OJ$901,782,MATCH($B$2&amp;"|xN",Aux_puntos!$1:$1,0))),NA())</f>
        <v>#N/A</v>
      </c>
      <c r="AJ786" t="e">
        <f>IFERROR(IF(INDEX(Aux_puntos!$A$2:$OJ$901,782,MATCH($B$2&amp;"|yN",Aux_puntos!$1:$1,0))="",NA(),INDEX(Aux_puntos!$A$2:$OJ$901,782,MATCH($B$2&amp;"|yN",Aux_puntos!$1:$1,0))),NA())</f>
        <v>#N/A</v>
      </c>
    </row>
    <row r="787" spans="29:36" x14ac:dyDescent="0.3">
      <c r="AC787" t="e">
        <f>IFERROR(IF(INDEX(Aux_puntos!$A$2:$OJ$901,783,MATCH($B$2&amp;"|xK",Aux_puntos!$1:$1,0))="",NA(),INDEX(Aux_puntos!$A$2:$OJ$901,783,MATCH($B$2&amp;"|xK",Aux_puntos!$1:$1,0))),NA())</f>
        <v>#N/A</v>
      </c>
      <c r="AD787" t="e">
        <f>IFERROR(IF(INDEX(Aux_puntos!$A$2:$OJ$901,783,MATCH($B$2&amp;"|yK",Aux_puntos!$1:$1,0))="",NA(),INDEX(Aux_puntos!$A$2:$OJ$901,783,MATCH($B$2&amp;"|yK",Aux_puntos!$1:$1,0))),NA())</f>
        <v>#N/A</v>
      </c>
      <c r="AE787" t="e">
        <f>IFERROR(IF(INDEX(Aux_puntos!$A$2:$OJ$901,783,MATCH($B$2&amp;"|xC",Aux_puntos!$1:$1,0))="",NA(),INDEX(Aux_puntos!$A$2:$OJ$901,783,MATCH($B$2&amp;"|xC",Aux_puntos!$1:$1,0))),NA())</f>
        <v>#N/A</v>
      </c>
      <c r="AF787" t="e">
        <f>IFERROR(IF(INDEX(Aux_puntos!$A$2:$OJ$901,783,MATCH($B$2&amp;"|yC",Aux_puntos!$1:$1,0))="",NA(),INDEX(Aux_puntos!$A$2:$OJ$901,783,MATCH($B$2&amp;"|yC",Aux_puntos!$1:$1,0))),NA())</f>
        <v>#N/A</v>
      </c>
      <c r="AG787" t="e">
        <f>IFERROR(IF(INDEX(Aux_puntos!$A$2:$OJ$901,783,MATCH($B$2&amp;"|xI",Aux_puntos!$1:$1,0))="",NA(),INDEX(Aux_puntos!$A$2:$OJ$901,783,MATCH($B$2&amp;"|xI",Aux_puntos!$1:$1,0))),NA())</f>
        <v>#N/A</v>
      </c>
      <c r="AH787" t="e">
        <f>IFERROR(IF(INDEX(Aux_puntos!$A$2:$OJ$901,783,MATCH($B$2&amp;"|yI",Aux_puntos!$1:$1,0))="",NA(),INDEX(Aux_puntos!$A$2:$OJ$901,783,MATCH($B$2&amp;"|yI",Aux_puntos!$1:$1,0))),NA())</f>
        <v>#N/A</v>
      </c>
      <c r="AI787" t="e">
        <f>IFERROR(IF(INDEX(Aux_puntos!$A$2:$OJ$901,783,MATCH($B$2&amp;"|xN",Aux_puntos!$1:$1,0))="",NA(),INDEX(Aux_puntos!$A$2:$OJ$901,783,MATCH($B$2&amp;"|xN",Aux_puntos!$1:$1,0))),NA())</f>
        <v>#N/A</v>
      </c>
      <c r="AJ787" t="e">
        <f>IFERROR(IF(INDEX(Aux_puntos!$A$2:$OJ$901,783,MATCH($B$2&amp;"|yN",Aux_puntos!$1:$1,0))="",NA(),INDEX(Aux_puntos!$A$2:$OJ$901,783,MATCH($B$2&amp;"|yN",Aux_puntos!$1:$1,0))),NA())</f>
        <v>#N/A</v>
      </c>
    </row>
    <row r="788" spans="29:36" x14ac:dyDescent="0.3">
      <c r="AC788" t="e">
        <f>IFERROR(IF(INDEX(Aux_puntos!$A$2:$OJ$901,784,MATCH($B$2&amp;"|xK",Aux_puntos!$1:$1,0))="",NA(),INDEX(Aux_puntos!$A$2:$OJ$901,784,MATCH($B$2&amp;"|xK",Aux_puntos!$1:$1,0))),NA())</f>
        <v>#N/A</v>
      </c>
      <c r="AD788" t="e">
        <f>IFERROR(IF(INDEX(Aux_puntos!$A$2:$OJ$901,784,MATCH($B$2&amp;"|yK",Aux_puntos!$1:$1,0))="",NA(),INDEX(Aux_puntos!$A$2:$OJ$901,784,MATCH($B$2&amp;"|yK",Aux_puntos!$1:$1,0))),NA())</f>
        <v>#N/A</v>
      </c>
      <c r="AE788" t="e">
        <f>IFERROR(IF(INDEX(Aux_puntos!$A$2:$OJ$901,784,MATCH($B$2&amp;"|xC",Aux_puntos!$1:$1,0))="",NA(),INDEX(Aux_puntos!$A$2:$OJ$901,784,MATCH($B$2&amp;"|xC",Aux_puntos!$1:$1,0))),NA())</f>
        <v>#N/A</v>
      </c>
      <c r="AF788" t="e">
        <f>IFERROR(IF(INDEX(Aux_puntos!$A$2:$OJ$901,784,MATCH($B$2&amp;"|yC",Aux_puntos!$1:$1,0))="",NA(),INDEX(Aux_puntos!$A$2:$OJ$901,784,MATCH($B$2&amp;"|yC",Aux_puntos!$1:$1,0))),NA())</f>
        <v>#N/A</v>
      </c>
      <c r="AG788" t="e">
        <f>IFERROR(IF(INDEX(Aux_puntos!$A$2:$OJ$901,784,MATCH($B$2&amp;"|xI",Aux_puntos!$1:$1,0))="",NA(),INDEX(Aux_puntos!$A$2:$OJ$901,784,MATCH($B$2&amp;"|xI",Aux_puntos!$1:$1,0))),NA())</f>
        <v>#N/A</v>
      </c>
      <c r="AH788" t="e">
        <f>IFERROR(IF(INDEX(Aux_puntos!$A$2:$OJ$901,784,MATCH($B$2&amp;"|yI",Aux_puntos!$1:$1,0))="",NA(),INDEX(Aux_puntos!$A$2:$OJ$901,784,MATCH($B$2&amp;"|yI",Aux_puntos!$1:$1,0))),NA())</f>
        <v>#N/A</v>
      </c>
      <c r="AI788" t="e">
        <f>IFERROR(IF(INDEX(Aux_puntos!$A$2:$OJ$901,784,MATCH($B$2&amp;"|xN",Aux_puntos!$1:$1,0))="",NA(),INDEX(Aux_puntos!$A$2:$OJ$901,784,MATCH($B$2&amp;"|xN",Aux_puntos!$1:$1,0))),NA())</f>
        <v>#N/A</v>
      </c>
      <c r="AJ788" t="e">
        <f>IFERROR(IF(INDEX(Aux_puntos!$A$2:$OJ$901,784,MATCH($B$2&amp;"|yN",Aux_puntos!$1:$1,0))="",NA(),INDEX(Aux_puntos!$A$2:$OJ$901,784,MATCH($B$2&amp;"|yN",Aux_puntos!$1:$1,0))),NA())</f>
        <v>#N/A</v>
      </c>
    </row>
    <row r="789" spans="29:36" x14ac:dyDescent="0.3">
      <c r="AC789" t="e">
        <f>IFERROR(IF(INDEX(Aux_puntos!$A$2:$OJ$901,785,MATCH($B$2&amp;"|xK",Aux_puntos!$1:$1,0))="",NA(),INDEX(Aux_puntos!$A$2:$OJ$901,785,MATCH($B$2&amp;"|xK",Aux_puntos!$1:$1,0))),NA())</f>
        <v>#N/A</v>
      </c>
      <c r="AD789" t="e">
        <f>IFERROR(IF(INDEX(Aux_puntos!$A$2:$OJ$901,785,MATCH($B$2&amp;"|yK",Aux_puntos!$1:$1,0))="",NA(),INDEX(Aux_puntos!$A$2:$OJ$901,785,MATCH($B$2&amp;"|yK",Aux_puntos!$1:$1,0))),NA())</f>
        <v>#N/A</v>
      </c>
      <c r="AE789" t="e">
        <f>IFERROR(IF(INDEX(Aux_puntos!$A$2:$OJ$901,785,MATCH($B$2&amp;"|xC",Aux_puntos!$1:$1,0))="",NA(),INDEX(Aux_puntos!$A$2:$OJ$901,785,MATCH($B$2&amp;"|xC",Aux_puntos!$1:$1,0))),NA())</f>
        <v>#N/A</v>
      </c>
      <c r="AF789" t="e">
        <f>IFERROR(IF(INDEX(Aux_puntos!$A$2:$OJ$901,785,MATCH($B$2&amp;"|yC",Aux_puntos!$1:$1,0))="",NA(),INDEX(Aux_puntos!$A$2:$OJ$901,785,MATCH($B$2&amp;"|yC",Aux_puntos!$1:$1,0))),NA())</f>
        <v>#N/A</v>
      </c>
      <c r="AG789" t="e">
        <f>IFERROR(IF(INDEX(Aux_puntos!$A$2:$OJ$901,785,MATCH($B$2&amp;"|xI",Aux_puntos!$1:$1,0))="",NA(),INDEX(Aux_puntos!$A$2:$OJ$901,785,MATCH($B$2&amp;"|xI",Aux_puntos!$1:$1,0))),NA())</f>
        <v>#N/A</v>
      </c>
      <c r="AH789" t="e">
        <f>IFERROR(IF(INDEX(Aux_puntos!$A$2:$OJ$901,785,MATCH($B$2&amp;"|yI",Aux_puntos!$1:$1,0))="",NA(),INDEX(Aux_puntos!$A$2:$OJ$901,785,MATCH($B$2&amp;"|yI",Aux_puntos!$1:$1,0))),NA())</f>
        <v>#N/A</v>
      </c>
      <c r="AI789" t="e">
        <f>IFERROR(IF(INDEX(Aux_puntos!$A$2:$OJ$901,785,MATCH($B$2&amp;"|xN",Aux_puntos!$1:$1,0))="",NA(),INDEX(Aux_puntos!$A$2:$OJ$901,785,MATCH($B$2&amp;"|xN",Aux_puntos!$1:$1,0))),NA())</f>
        <v>#N/A</v>
      </c>
      <c r="AJ789" t="e">
        <f>IFERROR(IF(INDEX(Aux_puntos!$A$2:$OJ$901,785,MATCH($B$2&amp;"|yN",Aux_puntos!$1:$1,0))="",NA(),INDEX(Aux_puntos!$A$2:$OJ$901,785,MATCH($B$2&amp;"|yN",Aux_puntos!$1:$1,0))),NA())</f>
        <v>#N/A</v>
      </c>
    </row>
    <row r="790" spans="29:36" x14ac:dyDescent="0.3">
      <c r="AC790" t="e">
        <f>IFERROR(IF(INDEX(Aux_puntos!$A$2:$OJ$901,786,MATCH($B$2&amp;"|xK",Aux_puntos!$1:$1,0))="",NA(),INDEX(Aux_puntos!$A$2:$OJ$901,786,MATCH($B$2&amp;"|xK",Aux_puntos!$1:$1,0))),NA())</f>
        <v>#N/A</v>
      </c>
      <c r="AD790" t="e">
        <f>IFERROR(IF(INDEX(Aux_puntos!$A$2:$OJ$901,786,MATCH($B$2&amp;"|yK",Aux_puntos!$1:$1,0))="",NA(),INDEX(Aux_puntos!$A$2:$OJ$901,786,MATCH($B$2&amp;"|yK",Aux_puntos!$1:$1,0))),NA())</f>
        <v>#N/A</v>
      </c>
      <c r="AE790" t="e">
        <f>IFERROR(IF(INDEX(Aux_puntos!$A$2:$OJ$901,786,MATCH($B$2&amp;"|xC",Aux_puntos!$1:$1,0))="",NA(),INDEX(Aux_puntos!$A$2:$OJ$901,786,MATCH($B$2&amp;"|xC",Aux_puntos!$1:$1,0))),NA())</f>
        <v>#N/A</v>
      </c>
      <c r="AF790" t="e">
        <f>IFERROR(IF(INDEX(Aux_puntos!$A$2:$OJ$901,786,MATCH($B$2&amp;"|yC",Aux_puntos!$1:$1,0))="",NA(),INDEX(Aux_puntos!$A$2:$OJ$901,786,MATCH($B$2&amp;"|yC",Aux_puntos!$1:$1,0))),NA())</f>
        <v>#N/A</v>
      </c>
      <c r="AG790" t="e">
        <f>IFERROR(IF(INDEX(Aux_puntos!$A$2:$OJ$901,786,MATCH($B$2&amp;"|xI",Aux_puntos!$1:$1,0))="",NA(),INDEX(Aux_puntos!$A$2:$OJ$901,786,MATCH($B$2&amp;"|xI",Aux_puntos!$1:$1,0))),NA())</f>
        <v>#N/A</v>
      </c>
      <c r="AH790" t="e">
        <f>IFERROR(IF(INDEX(Aux_puntos!$A$2:$OJ$901,786,MATCH($B$2&amp;"|yI",Aux_puntos!$1:$1,0))="",NA(),INDEX(Aux_puntos!$A$2:$OJ$901,786,MATCH($B$2&amp;"|yI",Aux_puntos!$1:$1,0))),NA())</f>
        <v>#N/A</v>
      </c>
      <c r="AI790" t="e">
        <f>IFERROR(IF(INDEX(Aux_puntos!$A$2:$OJ$901,786,MATCH($B$2&amp;"|xN",Aux_puntos!$1:$1,0))="",NA(),INDEX(Aux_puntos!$A$2:$OJ$901,786,MATCH($B$2&amp;"|xN",Aux_puntos!$1:$1,0))),NA())</f>
        <v>#N/A</v>
      </c>
      <c r="AJ790" t="e">
        <f>IFERROR(IF(INDEX(Aux_puntos!$A$2:$OJ$901,786,MATCH($B$2&amp;"|yN",Aux_puntos!$1:$1,0))="",NA(),INDEX(Aux_puntos!$A$2:$OJ$901,786,MATCH($B$2&amp;"|yN",Aux_puntos!$1:$1,0))),NA())</f>
        <v>#N/A</v>
      </c>
    </row>
    <row r="791" spans="29:36" x14ac:dyDescent="0.3">
      <c r="AC791" t="e">
        <f>IFERROR(IF(INDEX(Aux_puntos!$A$2:$OJ$901,787,MATCH($B$2&amp;"|xK",Aux_puntos!$1:$1,0))="",NA(),INDEX(Aux_puntos!$A$2:$OJ$901,787,MATCH($B$2&amp;"|xK",Aux_puntos!$1:$1,0))),NA())</f>
        <v>#N/A</v>
      </c>
      <c r="AD791" t="e">
        <f>IFERROR(IF(INDEX(Aux_puntos!$A$2:$OJ$901,787,MATCH($B$2&amp;"|yK",Aux_puntos!$1:$1,0))="",NA(),INDEX(Aux_puntos!$A$2:$OJ$901,787,MATCH($B$2&amp;"|yK",Aux_puntos!$1:$1,0))),NA())</f>
        <v>#N/A</v>
      </c>
      <c r="AE791" t="e">
        <f>IFERROR(IF(INDEX(Aux_puntos!$A$2:$OJ$901,787,MATCH($B$2&amp;"|xC",Aux_puntos!$1:$1,0))="",NA(),INDEX(Aux_puntos!$A$2:$OJ$901,787,MATCH($B$2&amp;"|xC",Aux_puntos!$1:$1,0))),NA())</f>
        <v>#N/A</v>
      </c>
      <c r="AF791" t="e">
        <f>IFERROR(IF(INDEX(Aux_puntos!$A$2:$OJ$901,787,MATCH($B$2&amp;"|yC",Aux_puntos!$1:$1,0))="",NA(),INDEX(Aux_puntos!$A$2:$OJ$901,787,MATCH($B$2&amp;"|yC",Aux_puntos!$1:$1,0))),NA())</f>
        <v>#N/A</v>
      </c>
      <c r="AG791" t="e">
        <f>IFERROR(IF(INDEX(Aux_puntos!$A$2:$OJ$901,787,MATCH($B$2&amp;"|xI",Aux_puntos!$1:$1,0))="",NA(),INDEX(Aux_puntos!$A$2:$OJ$901,787,MATCH($B$2&amp;"|xI",Aux_puntos!$1:$1,0))),NA())</f>
        <v>#N/A</v>
      </c>
      <c r="AH791" t="e">
        <f>IFERROR(IF(INDEX(Aux_puntos!$A$2:$OJ$901,787,MATCH($B$2&amp;"|yI",Aux_puntos!$1:$1,0))="",NA(),INDEX(Aux_puntos!$A$2:$OJ$901,787,MATCH($B$2&amp;"|yI",Aux_puntos!$1:$1,0))),NA())</f>
        <v>#N/A</v>
      </c>
      <c r="AI791" t="e">
        <f>IFERROR(IF(INDEX(Aux_puntos!$A$2:$OJ$901,787,MATCH($B$2&amp;"|xN",Aux_puntos!$1:$1,0))="",NA(),INDEX(Aux_puntos!$A$2:$OJ$901,787,MATCH($B$2&amp;"|xN",Aux_puntos!$1:$1,0))),NA())</f>
        <v>#N/A</v>
      </c>
      <c r="AJ791" t="e">
        <f>IFERROR(IF(INDEX(Aux_puntos!$A$2:$OJ$901,787,MATCH($B$2&amp;"|yN",Aux_puntos!$1:$1,0))="",NA(),INDEX(Aux_puntos!$A$2:$OJ$901,787,MATCH($B$2&amp;"|yN",Aux_puntos!$1:$1,0))),NA())</f>
        <v>#N/A</v>
      </c>
    </row>
    <row r="792" spans="29:36" x14ac:dyDescent="0.3">
      <c r="AC792" t="e">
        <f>IFERROR(IF(INDEX(Aux_puntos!$A$2:$OJ$901,788,MATCH($B$2&amp;"|xK",Aux_puntos!$1:$1,0))="",NA(),INDEX(Aux_puntos!$A$2:$OJ$901,788,MATCH($B$2&amp;"|xK",Aux_puntos!$1:$1,0))),NA())</f>
        <v>#N/A</v>
      </c>
      <c r="AD792" t="e">
        <f>IFERROR(IF(INDEX(Aux_puntos!$A$2:$OJ$901,788,MATCH($B$2&amp;"|yK",Aux_puntos!$1:$1,0))="",NA(),INDEX(Aux_puntos!$A$2:$OJ$901,788,MATCH($B$2&amp;"|yK",Aux_puntos!$1:$1,0))),NA())</f>
        <v>#N/A</v>
      </c>
      <c r="AE792" t="e">
        <f>IFERROR(IF(INDEX(Aux_puntos!$A$2:$OJ$901,788,MATCH($B$2&amp;"|xC",Aux_puntos!$1:$1,0))="",NA(),INDEX(Aux_puntos!$A$2:$OJ$901,788,MATCH($B$2&amp;"|xC",Aux_puntos!$1:$1,0))),NA())</f>
        <v>#N/A</v>
      </c>
      <c r="AF792" t="e">
        <f>IFERROR(IF(INDEX(Aux_puntos!$A$2:$OJ$901,788,MATCH($B$2&amp;"|yC",Aux_puntos!$1:$1,0))="",NA(),INDEX(Aux_puntos!$A$2:$OJ$901,788,MATCH($B$2&amp;"|yC",Aux_puntos!$1:$1,0))),NA())</f>
        <v>#N/A</v>
      </c>
      <c r="AG792" t="e">
        <f>IFERROR(IF(INDEX(Aux_puntos!$A$2:$OJ$901,788,MATCH($B$2&amp;"|xI",Aux_puntos!$1:$1,0))="",NA(),INDEX(Aux_puntos!$A$2:$OJ$901,788,MATCH($B$2&amp;"|xI",Aux_puntos!$1:$1,0))),NA())</f>
        <v>#N/A</v>
      </c>
      <c r="AH792" t="e">
        <f>IFERROR(IF(INDEX(Aux_puntos!$A$2:$OJ$901,788,MATCH($B$2&amp;"|yI",Aux_puntos!$1:$1,0))="",NA(),INDEX(Aux_puntos!$A$2:$OJ$901,788,MATCH($B$2&amp;"|yI",Aux_puntos!$1:$1,0))),NA())</f>
        <v>#N/A</v>
      </c>
      <c r="AI792" t="e">
        <f>IFERROR(IF(INDEX(Aux_puntos!$A$2:$OJ$901,788,MATCH($B$2&amp;"|xN",Aux_puntos!$1:$1,0))="",NA(),INDEX(Aux_puntos!$A$2:$OJ$901,788,MATCH($B$2&amp;"|xN",Aux_puntos!$1:$1,0))),NA())</f>
        <v>#N/A</v>
      </c>
      <c r="AJ792" t="e">
        <f>IFERROR(IF(INDEX(Aux_puntos!$A$2:$OJ$901,788,MATCH($B$2&amp;"|yN",Aux_puntos!$1:$1,0))="",NA(),INDEX(Aux_puntos!$A$2:$OJ$901,788,MATCH($B$2&amp;"|yN",Aux_puntos!$1:$1,0))),NA())</f>
        <v>#N/A</v>
      </c>
    </row>
    <row r="793" spans="29:36" x14ac:dyDescent="0.3">
      <c r="AC793" t="e">
        <f>IFERROR(IF(INDEX(Aux_puntos!$A$2:$OJ$901,789,MATCH($B$2&amp;"|xK",Aux_puntos!$1:$1,0))="",NA(),INDEX(Aux_puntos!$A$2:$OJ$901,789,MATCH($B$2&amp;"|xK",Aux_puntos!$1:$1,0))),NA())</f>
        <v>#N/A</v>
      </c>
      <c r="AD793" t="e">
        <f>IFERROR(IF(INDEX(Aux_puntos!$A$2:$OJ$901,789,MATCH($B$2&amp;"|yK",Aux_puntos!$1:$1,0))="",NA(),INDEX(Aux_puntos!$A$2:$OJ$901,789,MATCH($B$2&amp;"|yK",Aux_puntos!$1:$1,0))),NA())</f>
        <v>#N/A</v>
      </c>
      <c r="AE793" t="e">
        <f>IFERROR(IF(INDEX(Aux_puntos!$A$2:$OJ$901,789,MATCH($B$2&amp;"|xC",Aux_puntos!$1:$1,0))="",NA(),INDEX(Aux_puntos!$A$2:$OJ$901,789,MATCH($B$2&amp;"|xC",Aux_puntos!$1:$1,0))),NA())</f>
        <v>#N/A</v>
      </c>
      <c r="AF793" t="e">
        <f>IFERROR(IF(INDEX(Aux_puntos!$A$2:$OJ$901,789,MATCH($B$2&amp;"|yC",Aux_puntos!$1:$1,0))="",NA(),INDEX(Aux_puntos!$A$2:$OJ$901,789,MATCH($B$2&amp;"|yC",Aux_puntos!$1:$1,0))),NA())</f>
        <v>#N/A</v>
      </c>
      <c r="AG793" t="e">
        <f>IFERROR(IF(INDEX(Aux_puntos!$A$2:$OJ$901,789,MATCH($B$2&amp;"|xI",Aux_puntos!$1:$1,0))="",NA(),INDEX(Aux_puntos!$A$2:$OJ$901,789,MATCH($B$2&amp;"|xI",Aux_puntos!$1:$1,0))),NA())</f>
        <v>#N/A</v>
      </c>
      <c r="AH793" t="e">
        <f>IFERROR(IF(INDEX(Aux_puntos!$A$2:$OJ$901,789,MATCH($B$2&amp;"|yI",Aux_puntos!$1:$1,0))="",NA(),INDEX(Aux_puntos!$A$2:$OJ$901,789,MATCH($B$2&amp;"|yI",Aux_puntos!$1:$1,0))),NA())</f>
        <v>#N/A</v>
      </c>
      <c r="AI793" t="e">
        <f>IFERROR(IF(INDEX(Aux_puntos!$A$2:$OJ$901,789,MATCH($B$2&amp;"|xN",Aux_puntos!$1:$1,0))="",NA(),INDEX(Aux_puntos!$A$2:$OJ$901,789,MATCH($B$2&amp;"|xN",Aux_puntos!$1:$1,0))),NA())</f>
        <v>#N/A</v>
      </c>
      <c r="AJ793" t="e">
        <f>IFERROR(IF(INDEX(Aux_puntos!$A$2:$OJ$901,789,MATCH($B$2&amp;"|yN",Aux_puntos!$1:$1,0))="",NA(),INDEX(Aux_puntos!$A$2:$OJ$901,789,MATCH($B$2&amp;"|yN",Aux_puntos!$1:$1,0))),NA())</f>
        <v>#N/A</v>
      </c>
    </row>
    <row r="794" spans="29:36" x14ac:dyDescent="0.3">
      <c r="AC794" t="e">
        <f>IFERROR(IF(INDEX(Aux_puntos!$A$2:$OJ$901,790,MATCH($B$2&amp;"|xK",Aux_puntos!$1:$1,0))="",NA(),INDEX(Aux_puntos!$A$2:$OJ$901,790,MATCH($B$2&amp;"|xK",Aux_puntos!$1:$1,0))),NA())</f>
        <v>#N/A</v>
      </c>
      <c r="AD794" t="e">
        <f>IFERROR(IF(INDEX(Aux_puntos!$A$2:$OJ$901,790,MATCH($B$2&amp;"|yK",Aux_puntos!$1:$1,0))="",NA(),INDEX(Aux_puntos!$A$2:$OJ$901,790,MATCH($B$2&amp;"|yK",Aux_puntos!$1:$1,0))),NA())</f>
        <v>#N/A</v>
      </c>
      <c r="AE794" t="e">
        <f>IFERROR(IF(INDEX(Aux_puntos!$A$2:$OJ$901,790,MATCH($B$2&amp;"|xC",Aux_puntos!$1:$1,0))="",NA(),INDEX(Aux_puntos!$A$2:$OJ$901,790,MATCH($B$2&amp;"|xC",Aux_puntos!$1:$1,0))),NA())</f>
        <v>#N/A</v>
      </c>
      <c r="AF794" t="e">
        <f>IFERROR(IF(INDEX(Aux_puntos!$A$2:$OJ$901,790,MATCH($B$2&amp;"|yC",Aux_puntos!$1:$1,0))="",NA(),INDEX(Aux_puntos!$A$2:$OJ$901,790,MATCH($B$2&amp;"|yC",Aux_puntos!$1:$1,0))),NA())</f>
        <v>#N/A</v>
      </c>
      <c r="AG794" t="e">
        <f>IFERROR(IF(INDEX(Aux_puntos!$A$2:$OJ$901,790,MATCH($B$2&amp;"|xI",Aux_puntos!$1:$1,0))="",NA(),INDEX(Aux_puntos!$A$2:$OJ$901,790,MATCH($B$2&amp;"|xI",Aux_puntos!$1:$1,0))),NA())</f>
        <v>#N/A</v>
      </c>
      <c r="AH794" t="e">
        <f>IFERROR(IF(INDEX(Aux_puntos!$A$2:$OJ$901,790,MATCH($B$2&amp;"|yI",Aux_puntos!$1:$1,0))="",NA(),INDEX(Aux_puntos!$A$2:$OJ$901,790,MATCH($B$2&amp;"|yI",Aux_puntos!$1:$1,0))),NA())</f>
        <v>#N/A</v>
      </c>
      <c r="AI794" t="e">
        <f>IFERROR(IF(INDEX(Aux_puntos!$A$2:$OJ$901,790,MATCH($B$2&amp;"|xN",Aux_puntos!$1:$1,0))="",NA(),INDEX(Aux_puntos!$A$2:$OJ$901,790,MATCH($B$2&amp;"|xN",Aux_puntos!$1:$1,0))),NA())</f>
        <v>#N/A</v>
      </c>
      <c r="AJ794" t="e">
        <f>IFERROR(IF(INDEX(Aux_puntos!$A$2:$OJ$901,790,MATCH($B$2&amp;"|yN",Aux_puntos!$1:$1,0))="",NA(),INDEX(Aux_puntos!$A$2:$OJ$901,790,MATCH($B$2&amp;"|yN",Aux_puntos!$1:$1,0))),NA())</f>
        <v>#N/A</v>
      </c>
    </row>
    <row r="795" spans="29:36" x14ac:dyDescent="0.3">
      <c r="AC795" t="e">
        <f>IFERROR(IF(INDEX(Aux_puntos!$A$2:$OJ$901,791,MATCH($B$2&amp;"|xK",Aux_puntos!$1:$1,0))="",NA(),INDEX(Aux_puntos!$A$2:$OJ$901,791,MATCH($B$2&amp;"|xK",Aux_puntos!$1:$1,0))),NA())</f>
        <v>#N/A</v>
      </c>
      <c r="AD795" t="e">
        <f>IFERROR(IF(INDEX(Aux_puntos!$A$2:$OJ$901,791,MATCH($B$2&amp;"|yK",Aux_puntos!$1:$1,0))="",NA(),INDEX(Aux_puntos!$A$2:$OJ$901,791,MATCH($B$2&amp;"|yK",Aux_puntos!$1:$1,0))),NA())</f>
        <v>#N/A</v>
      </c>
      <c r="AE795" t="e">
        <f>IFERROR(IF(INDEX(Aux_puntos!$A$2:$OJ$901,791,MATCH($B$2&amp;"|xC",Aux_puntos!$1:$1,0))="",NA(),INDEX(Aux_puntos!$A$2:$OJ$901,791,MATCH($B$2&amp;"|xC",Aux_puntos!$1:$1,0))),NA())</f>
        <v>#N/A</v>
      </c>
      <c r="AF795" t="e">
        <f>IFERROR(IF(INDEX(Aux_puntos!$A$2:$OJ$901,791,MATCH($B$2&amp;"|yC",Aux_puntos!$1:$1,0))="",NA(),INDEX(Aux_puntos!$A$2:$OJ$901,791,MATCH($B$2&amp;"|yC",Aux_puntos!$1:$1,0))),NA())</f>
        <v>#N/A</v>
      </c>
      <c r="AG795" t="e">
        <f>IFERROR(IF(INDEX(Aux_puntos!$A$2:$OJ$901,791,MATCH($B$2&amp;"|xI",Aux_puntos!$1:$1,0))="",NA(),INDEX(Aux_puntos!$A$2:$OJ$901,791,MATCH($B$2&amp;"|xI",Aux_puntos!$1:$1,0))),NA())</f>
        <v>#N/A</v>
      </c>
      <c r="AH795" t="e">
        <f>IFERROR(IF(INDEX(Aux_puntos!$A$2:$OJ$901,791,MATCH($B$2&amp;"|yI",Aux_puntos!$1:$1,0))="",NA(),INDEX(Aux_puntos!$A$2:$OJ$901,791,MATCH($B$2&amp;"|yI",Aux_puntos!$1:$1,0))),NA())</f>
        <v>#N/A</v>
      </c>
      <c r="AI795" t="e">
        <f>IFERROR(IF(INDEX(Aux_puntos!$A$2:$OJ$901,791,MATCH($B$2&amp;"|xN",Aux_puntos!$1:$1,0))="",NA(),INDEX(Aux_puntos!$A$2:$OJ$901,791,MATCH($B$2&amp;"|xN",Aux_puntos!$1:$1,0))),NA())</f>
        <v>#N/A</v>
      </c>
      <c r="AJ795" t="e">
        <f>IFERROR(IF(INDEX(Aux_puntos!$A$2:$OJ$901,791,MATCH($B$2&amp;"|yN",Aux_puntos!$1:$1,0))="",NA(),INDEX(Aux_puntos!$A$2:$OJ$901,791,MATCH($B$2&amp;"|yN",Aux_puntos!$1:$1,0))),NA())</f>
        <v>#N/A</v>
      </c>
    </row>
    <row r="796" spans="29:36" x14ac:dyDescent="0.3">
      <c r="AC796" t="e">
        <f>IFERROR(IF(INDEX(Aux_puntos!$A$2:$OJ$901,792,MATCH($B$2&amp;"|xK",Aux_puntos!$1:$1,0))="",NA(),INDEX(Aux_puntos!$A$2:$OJ$901,792,MATCH($B$2&amp;"|xK",Aux_puntos!$1:$1,0))),NA())</f>
        <v>#N/A</v>
      </c>
      <c r="AD796" t="e">
        <f>IFERROR(IF(INDEX(Aux_puntos!$A$2:$OJ$901,792,MATCH($B$2&amp;"|yK",Aux_puntos!$1:$1,0))="",NA(),INDEX(Aux_puntos!$A$2:$OJ$901,792,MATCH($B$2&amp;"|yK",Aux_puntos!$1:$1,0))),NA())</f>
        <v>#N/A</v>
      </c>
      <c r="AE796" t="e">
        <f>IFERROR(IF(INDEX(Aux_puntos!$A$2:$OJ$901,792,MATCH($B$2&amp;"|xC",Aux_puntos!$1:$1,0))="",NA(),INDEX(Aux_puntos!$A$2:$OJ$901,792,MATCH($B$2&amp;"|xC",Aux_puntos!$1:$1,0))),NA())</f>
        <v>#N/A</v>
      </c>
      <c r="AF796" t="e">
        <f>IFERROR(IF(INDEX(Aux_puntos!$A$2:$OJ$901,792,MATCH($B$2&amp;"|yC",Aux_puntos!$1:$1,0))="",NA(),INDEX(Aux_puntos!$A$2:$OJ$901,792,MATCH($B$2&amp;"|yC",Aux_puntos!$1:$1,0))),NA())</f>
        <v>#N/A</v>
      </c>
      <c r="AG796" t="e">
        <f>IFERROR(IF(INDEX(Aux_puntos!$A$2:$OJ$901,792,MATCH($B$2&amp;"|xI",Aux_puntos!$1:$1,0))="",NA(),INDEX(Aux_puntos!$A$2:$OJ$901,792,MATCH($B$2&amp;"|xI",Aux_puntos!$1:$1,0))),NA())</f>
        <v>#N/A</v>
      </c>
      <c r="AH796" t="e">
        <f>IFERROR(IF(INDEX(Aux_puntos!$A$2:$OJ$901,792,MATCH($B$2&amp;"|yI",Aux_puntos!$1:$1,0))="",NA(),INDEX(Aux_puntos!$A$2:$OJ$901,792,MATCH($B$2&amp;"|yI",Aux_puntos!$1:$1,0))),NA())</f>
        <v>#N/A</v>
      </c>
      <c r="AI796" t="e">
        <f>IFERROR(IF(INDEX(Aux_puntos!$A$2:$OJ$901,792,MATCH($B$2&amp;"|xN",Aux_puntos!$1:$1,0))="",NA(),INDEX(Aux_puntos!$A$2:$OJ$901,792,MATCH($B$2&amp;"|xN",Aux_puntos!$1:$1,0))),NA())</f>
        <v>#N/A</v>
      </c>
      <c r="AJ796" t="e">
        <f>IFERROR(IF(INDEX(Aux_puntos!$A$2:$OJ$901,792,MATCH($B$2&amp;"|yN",Aux_puntos!$1:$1,0))="",NA(),INDEX(Aux_puntos!$A$2:$OJ$901,792,MATCH($B$2&amp;"|yN",Aux_puntos!$1:$1,0))),NA())</f>
        <v>#N/A</v>
      </c>
    </row>
    <row r="797" spans="29:36" x14ac:dyDescent="0.3">
      <c r="AC797" t="e">
        <f>IFERROR(IF(INDEX(Aux_puntos!$A$2:$OJ$901,793,MATCH($B$2&amp;"|xK",Aux_puntos!$1:$1,0))="",NA(),INDEX(Aux_puntos!$A$2:$OJ$901,793,MATCH($B$2&amp;"|xK",Aux_puntos!$1:$1,0))),NA())</f>
        <v>#N/A</v>
      </c>
      <c r="AD797" t="e">
        <f>IFERROR(IF(INDEX(Aux_puntos!$A$2:$OJ$901,793,MATCH($B$2&amp;"|yK",Aux_puntos!$1:$1,0))="",NA(),INDEX(Aux_puntos!$A$2:$OJ$901,793,MATCH($B$2&amp;"|yK",Aux_puntos!$1:$1,0))),NA())</f>
        <v>#N/A</v>
      </c>
      <c r="AE797" t="e">
        <f>IFERROR(IF(INDEX(Aux_puntos!$A$2:$OJ$901,793,MATCH($B$2&amp;"|xC",Aux_puntos!$1:$1,0))="",NA(),INDEX(Aux_puntos!$A$2:$OJ$901,793,MATCH($B$2&amp;"|xC",Aux_puntos!$1:$1,0))),NA())</f>
        <v>#N/A</v>
      </c>
      <c r="AF797" t="e">
        <f>IFERROR(IF(INDEX(Aux_puntos!$A$2:$OJ$901,793,MATCH($B$2&amp;"|yC",Aux_puntos!$1:$1,0))="",NA(),INDEX(Aux_puntos!$A$2:$OJ$901,793,MATCH($B$2&amp;"|yC",Aux_puntos!$1:$1,0))),NA())</f>
        <v>#N/A</v>
      </c>
      <c r="AG797" t="e">
        <f>IFERROR(IF(INDEX(Aux_puntos!$A$2:$OJ$901,793,MATCH($B$2&amp;"|xI",Aux_puntos!$1:$1,0))="",NA(),INDEX(Aux_puntos!$A$2:$OJ$901,793,MATCH($B$2&amp;"|xI",Aux_puntos!$1:$1,0))),NA())</f>
        <v>#N/A</v>
      </c>
      <c r="AH797" t="e">
        <f>IFERROR(IF(INDEX(Aux_puntos!$A$2:$OJ$901,793,MATCH($B$2&amp;"|yI",Aux_puntos!$1:$1,0))="",NA(),INDEX(Aux_puntos!$A$2:$OJ$901,793,MATCH($B$2&amp;"|yI",Aux_puntos!$1:$1,0))),NA())</f>
        <v>#N/A</v>
      </c>
      <c r="AI797" t="e">
        <f>IFERROR(IF(INDEX(Aux_puntos!$A$2:$OJ$901,793,MATCH($B$2&amp;"|xN",Aux_puntos!$1:$1,0))="",NA(),INDEX(Aux_puntos!$A$2:$OJ$901,793,MATCH($B$2&amp;"|xN",Aux_puntos!$1:$1,0))),NA())</f>
        <v>#N/A</v>
      </c>
      <c r="AJ797" t="e">
        <f>IFERROR(IF(INDEX(Aux_puntos!$A$2:$OJ$901,793,MATCH($B$2&amp;"|yN",Aux_puntos!$1:$1,0))="",NA(),INDEX(Aux_puntos!$A$2:$OJ$901,793,MATCH($B$2&amp;"|yN",Aux_puntos!$1:$1,0))),NA())</f>
        <v>#N/A</v>
      </c>
    </row>
    <row r="798" spans="29:36" x14ac:dyDescent="0.3">
      <c r="AC798" t="e">
        <f>IFERROR(IF(INDEX(Aux_puntos!$A$2:$OJ$901,794,MATCH($B$2&amp;"|xK",Aux_puntos!$1:$1,0))="",NA(),INDEX(Aux_puntos!$A$2:$OJ$901,794,MATCH($B$2&amp;"|xK",Aux_puntos!$1:$1,0))),NA())</f>
        <v>#N/A</v>
      </c>
      <c r="AD798" t="e">
        <f>IFERROR(IF(INDEX(Aux_puntos!$A$2:$OJ$901,794,MATCH($B$2&amp;"|yK",Aux_puntos!$1:$1,0))="",NA(),INDEX(Aux_puntos!$A$2:$OJ$901,794,MATCH($B$2&amp;"|yK",Aux_puntos!$1:$1,0))),NA())</f>
        <v>#N/A</v>
      </c>
      <c r="AE798" t="e">
        <f>IFERROR(IF(INDEX(Aux_puntos!$A$2:$OJ$901,794,MATCH($B$2&amp;"|xC",Aux_puntos!$1:$1,0))="",NA(),INDEX(Aux_puntos!$A$2:$OJ$901,794,MATCH($B$2&amp;"|xC",Aux_puntos!$1:$1,0))),NA())</f>
        <v>#N/A</v>
      </c>
      <c r="AF798" t="e">
        <f>IFERROR(IF(INDEX(Aux_puntos!$A$2:$OJ$901,794,MATCH($B$2&amp;"|yC",Aux_puntos!$1:$1,0))="",NA(),INDEX(Aux_puntos!$A$2:$OJ$901,794,MATCH($B$2&amp;"|yC",Aux_puntos!$1:$1,0))),NA())</f>
        <v>#N/A</v>
      </c>
      <c r="AG798" t="e">
        <f>IFERROR(IF(INDEX(Aux_puntos!$A$2:$OJ$901,794,MATCH($B$2&amp;"|xI",Aux_puntos!$1:$1,0))="",NA(),INDEX(Aux_puntos!$A$2:$OJ$901,794,MATCH($B$2&amp;"|xI",Aux_puntos!$1:$1,0))),NA())</f>
        <v>#N/A</v>
      </c>
      <c r="AH798" t="e">
        <f>IFERROR(IF(INDEX(Aux_puntos!$A$2:$OJ$901,794,MATCH($B$2&amp;"|yI",Aux_puntos!$1:$1,0))="",NA(),INDEX(Aux_puntos!$A$2:$OJ$901,794,MATCH($B$2&amp;"|yI",Aux_puntos!$1:$1,0))),NA())</f>
        <v>#N/A</v>
      </c>
      <c r="AI798" t="e">
        <f>IFERROR(IF(INDEX(Aux_puntos!$A$2:$OJ$901,794,MATCH($B$2&amp;"|xN",Aux_puntos!$1:$1,0))="",NA(),INDEX(Aux_puntos!$A$2:$OJ$901,794,MATCH($B$2&amp;"|xN",Aux_puntos!$1:$1,0))),NA())</f>
        <v>#N/A</v>
      </c>
      <c r="AJ798" t="e">
        <f>IFERROR(IF(INDEX(Aux_puntos!$A$2:$OJ$901,794,MATCH($B$2&amp;"|yN",Aux_puntos!$1:$1,0))="",NA(),INDEX(Aux_puntos!$A$2:$OJ$901,794,MATCH($B$2&amp;"|yN",Aux_puntos!$1:$1,0))),NA())</f>
        <v>#N/A</v>
      </c>
    </row>
    <row r="799" spans="29:36" x14ac:dyDescent="0.3">
      <c r="AC799" t="e">
        <f>IFERROR(IF(INDEX(Aux_puntos!$A$2:$OJ$901,795,MATCH($B$2&amp;"|xK",Aux_puntos!$1:$1,0))="",NA(),INDEX(Aux_puntos!$A$2:$OJ$901,795,MATCH($B$2&amp;"|xK",Aux_puntos!$1:$1,0))),NA())</f>
        <v>#N/A</v>
      </c>
      <c r="AD799" t="e">
        <f>IFERROR(IF(INDEX(Aux_puntos!$A$2:$OJ$901,795,MATCH($B$2&amp;"|yK",Aux_puntos!$1:$1,0))="",NA(),INDEX(Aux_puntos!$A$2:$OJ$901,795,MATCH($B$2&amp;"|yK",Aux_puntos!$1:$1,0))),NA())</f>
        <v>#N/A</v>
      </c>
      <c r="AE799" t="e">
        <f>IFERROR(IF(INDEX(Aux_puntos!$A$2:$OJ$901,795,MATCH($B$2&amp;"|xC",Aux_puntos!$1:$1,0))="",NA(),INDEX(Aux_puntos!$A$2:$OJ$901,795,MATCH($B$2&amp;"|xC",Aux_puntos!$1:$1,0))),NA())</f>
        <v>#N/A</v>
      </c>
      <c r="AF799" t="e">
        <f>IFERROR(IF(INDEX(Aux_puntos!$A$2:$OJ$901,795,MATCH($B$2&amp;"|yC",Aux_puntos!$1:$1,0))="",NA(),INDEX(Aux_puntos!$A$2:$OJ$901,795,MATCH($B$2&amp;"|yC",Aux_puntos!$1:$1,0))),NA())</f>
        <v>#N/A</v>
      </c>
      <c r="AG799" t="e">
        <f>IFERROR(IF(INDEX(Aux_puntos!$A$2:$OJ$901,795,MATCH($B$2&amp;"|xI",Aux_puntos!$1:$1,0))="",NA(),INDEX(Aux_puntos!$A$2:$OJ$901,795,MATCH($B$2&amp;"|xI",Aux_puntos!$1:$1,0))),NA())</f>
        <v>#N/A</v>
      </c>
      <c r="AH799" t="e">
        <f>IFERROR(IF(INDEX(Aux_puntos!$A$2:$OJ$901,795,MATCH($B$2&amp;"|yI",Aux_puntos!$1:$1,0))="",NA(),INDEX(Aux_puntos!$A$2:$OJ$901,795,MATCH($B$2&amp;"|yI",Aux_puntos!$1:$1,0))),NA())</f>
        <v>#N/A</v>
      </c>
      <c r="AI799" t="e">
        <f>IFERROR(IF(INDEX(Aux_puntos!$A$2:$OJ$901,795,MATCH($B$2&amp;"|xN",Aux_puntos!$1:$1,0))="",NA(),INDEX(Aux_puntos!$A$2:$OJ$901,795,MATCH($B$2&amp;"|xN",Aux_puntos!$1:$1,0))),NA())</f>
        <v>#N/A</v>
      </c>
      <c r="AJ799" t="e">
        <f>IFERROR(IF(INDEX(Aux_puntos!$A$2:$OJ$901,795,MATCH($B$2&amp;"|yN",Aux_puntos!$1:$1,0))="",NA(),INDEX(Aux_puntos!$A$2:$OJ$901,795,MATCH($B$2&amp;"|yN",Aux_puntos!$1:$1,0))),NA())</f>
        <v>#N/A</v>
      </c>
    </row>
    <row r="800" spans="29:36" x14ac:dyDescent="0.3">
      <c r="AC800" t="e">
        <f>IFERROR(IF(INDEX(Aux_puntos!$A$2:$OJ$901,796,MATCH($B$2&amp;"|xK",Aux_puntos!$1:$1,0))="",NA(),INDEX(Aux_puntos!$A$2:$OJ$901,796,MATCH($B$2&amp;"|xK",Aux_puntos!$1:$1,0))),NA())</f>
        <v>#N/A</v>
      </c>
      <c r="AD800" t="e">
        <f>IFERROR(IF(INDEX(Aux_puntos!$A$2:$OJ$901,796,MATCH($B$2&amp;"|yK",Aux_puntos!$1:$1,0))="",NA(),INDEX(Aux_puntos!$A$2:$OJ$901,796,MATCH($B$2&amp;"|yK",Aux_puntos!$1:$1,0))),NA())</f>
        <v>#N/A</v>
      </c>
      <c r="AE800" t="e">
        <f>IFERROR(IF(INDEX(Aux_puntos!$A$2:$OJ$901,796,MATCH($B$2&amp;"|xC",Aux_puntos!$1:$1,0))="",NA(),INDEX(Aux_puntos!$A$2:$OJ$901,796,MATCH($B$2&amp;"|xC",Aux_puntos!$1:$1,0))),NA())</f>
        <v>#N/A</v>
      </c>
      <c r="AF800" t="e">
        <f>IFERROR(IF(INDEX(Aux_puntos!$A$2:$OJ$901,796,MATCH($B$2&amp;"|yC",Aux_puntos!$1:$1,0))="",NA(),INDEX(Aux_puntos!$A$2:$OJ$901,796,MATCH($B$2&amp;"|yC",Aux_puntos!$1:$1,0))),NA())</f>
        <v>#N/A</v>
      </c>
      <c r="AG800" t="e">
        <f>IFERROR(IF(INDEX(Aux_puntos!$A$2:$OJ$901,796,MATCH($B$2&amp;"|xI",Aux_puntos!$1:$1,0))="",NA(),INDEX(Aux_puntos!$A$2:$OJ$901,796,MATCH($B$2&amp;"|xI",Aux_puntos!$1:$1,0))),NA())</f>
        <v>#N/A</v>
      </c>
      <c r="AH800" t="e">
        <f>IFERROR(IF(INDEX(Aux_puntos!$A$2:$OJ$901,796,MATCH($B$2&amp;"|yI",Aux_puntos!$1:$1,0))="",NA(),INDEX(Aux_puntos!$A$2:$OJ$901,796,MATCH($B$2&amp;"|yI",Aux_puntos!$1:$1,0))),NA())</f>
        <v>#N/A</v>
      </c>
      <c r="AI800" t="e">
        <f>IFERROR(IF(INDEX(Aux_puntos!$A$2:$OJ$901,796,MATCH($B$2&amp;"|xN",Aux_puntos!$1:$1,0))="",NA(),INDEX(Aux_puntos!$A$2:$OJ$901,796,MATCH($B$2&amp;"|xN",Aux_puntos!$1:$1,0))),NA())</f>
        <v>#N/A</v>
      </c>
      <c r="AJ800" t="e">
        <f>IFERROR(IF(INDEX(Aux_puntos!$A$2:$OJ$901,796,MATCH($B$2&amp;"|yN",Aux_puntos!$1:$1,0))="",NA(),INDEX(Aux_puntos!$A$2:$OJ$901,796,MATCH($B$2&amp;"|yN",Aux_puntos!$1:$1,0))),NA())</f>
        <v>#N/A</v>
      </c>
    </row>
    <row r="801" spans="29:36" x14ac:dyDescent="0.3">
      <c r="AC801" t="e">
        <f>IFERROR(IF(INDEX(Aux_puntos!$A$2:$OJ$901,797,MATCH($B$2&amp;"|xK",Aux_puntos!$1:$1,0))="",NA(),INDEX(Aux_puntos!$A$2:$OJ$901,797,MATCH($B$2&amp;"|xK",Aux_puntos!$1:$1,0))),NA())</f>
        <v>#N/A</v>
      </c>
      <c r="AD801" t="e">
        <f>IFERROR(IF(INDEX(Aux_puntos!$A$2:$OJ$901,797,MATCH($B$2&amp;"|yK",Aux_puntos!$1:$1,0))="",NA(),INDEX(Aux_puntos!$A$2:$OJ$901,797,MATCH($B$2&amp;"|yK",Aux_puntos!$1:$1,0))),NA())</f>
        <v>#N/A</v>
      </c>
      <c r="AE801" t="e">
        <f>IFERROR(IF(INDEX(Aux_puntos!$A$2:$OJ$901,797,MATCH($B$2&amp;"|xC",Aux_puntos!$1:$1,0))="",NA(),INDEX(Aux_puntos!$A$2:$OJ$901,797,MATCH($B$2&amp;"|xC",Aux_puntos!$1:$1,0))),NA())</f>
        <v>#N/A</v>
      </c>
      <c r="AF801" t="e">
        <f>IFERROR(IF(INDEX(Aux_puntos!$A$2:$OJ$901,797,MATCH($B$2&amp;"|yC",Aux_puntos!$1:$1,0))="",NA(),INDEX(Aux_puntos!$A$2:$OJ$901,797,MATCH($B$2&amp;"|yC",Aux_puntos!$1:$1,0))),NA())</f>
        <v>#N/A</v>
      </c>
      <c r="AG801" t="e">
        <f>IFERROR(IF(INDEX(Aux_puntos!$A$2:$OJ$901,797,MATCH($B$2&amp;"|xI",Aux_puntos!$1:$1,0))="",NA(),INDEX(Aux_puntos!$A$2:$OJ$901,797,MATCH($B$2&amp;"|xI",Aux_puntos!$1:$1,0))),NA())</f>
        <v>#N/A</v>
      </c>
      <c r="AH801" t="e">
        <f>IFERROR(IF(INDEX(Aux_puntos!$A$2:$OJ$901,797,MATCH($B$2&amp;"|yI",Aux_puntos!$1:$1,0))="",NA(),INDEX(Aux_puntos!$A$2:$OJ$901,797,MATCH($B$2&amp;"|yI",Aux_puntos!$1:$1,0))),NA())</f>
        <v>#N/A</v>
      </c>
      <c r="AI801" t="e">
        <f>IFERROR(IF(INDEX(Aux_puntos!$A$2:$OJ$901,797,MATCH($B$2&amp;"|xN",Aux_puntos!$1:$1,0))="",NA(),INDEX(Aux_puntos!$A$2:$OJ$901,797,MATCH($B$2&amp;"|xN",Aux_puntos!$1:$1,0))),NA())</f>
        <v>#N/A</v>
      </c>
      <c r="AJ801" t="e">
        <f>IFERROR(IF(INDEX(Aux_puntos!$A$2:$OJ$901,797,MATCH($B$2&amp;"|yN",Aux_puntos!$1:$1,0))="",NA(),INDEX(Aux_puntos!$A$2:$OJ$901,797,MATCH($B$2&amp;"|yN",Aux_puntos!$1:$1,0))),NA())</f>
        <v>#N/A</v>
      </c>
    </row>
    <row r="802" spans="29:36" x14ac:dyDescent="0.3">
      <c r="AC802" t="e">
        <f>IFERROR(IF(INDEX(Aux_puntos!$A$2:$OJ$901,798,MATCH($B$2&amp;"|xK",Aux_puntos!$1:$1,0))="",NA(),INDEX(Aux_puntos!$A$2:$OJ$901,798,MATCH($B$2&amp;"|xK",Aux_puntos!$1:$1,0))),NA())</f>
        <v>#N/A</v>
      </c>
      <c r="AD802" t="e">
        <f>IFERROR(IF(INDEX(Aux_puntos!$A$2:$OJ$901,798,MATCH($B$2&amp;"|yK",Aux_puntos!$1:$1,0))="",NA(),INDEX(Aux_puntos!$A$2:$OJ$901,798,MATCH($B$2&amp;"|yK",Aux_puntos!$1:$1,0))),NA())</f>
        <v>#N/A</v>
      </c>
      <c r="AE802" t="e">
        <f>IFERROR(IF(INDEX(Aux_puntos!$A$2:$OJ$901,798,MATCH($B$2&amp;"|xC",Aux_puntos!$1:$1,0))="",NA(),INDEX(Aux_puntos!$A$2:$OJ$901,798,MATCH($B$2&amp;"|xC",Aux_puntos!$1:$1,0))),NA())</f>
        <v>#N/A</v>
      </c>
      <c r="AF802" t="e">
        <f>IFERROR(IF(INDEX(Aux_puntos!$A$2:$OJ$901,798,MATCH($B$2&amp;"|yC",Aux_puntos!$1:$1,0))="",NA(),INDEX(Aux_puntos!$A$2:$OJ$901,798,MATCH($B$2&amp;"|yC",Aux_puntos!$1:$1,0))),NA())</f>
        <v>#N/A</v>
      </c>
      <c r="AG802" t="e">
        <f>IFERROR(IF(INDEX(Aux_puntos!$A$2:$OJ$901,798,MATCH($B$2&amp;"|xI",Aux_puntos!$1:$1,0))="",NA(),INDEX(Aux_puntos!$A$2:$OJ$901,798,MATCH($B$2&amp;"|xI",Aux_puntos!$1:$1,0))),NA())</f>
        <v>#N/A</v>
      </c>
      <c r="AH802" t="e">
        <f>IFERROR(IF(INDEX(Aux_puntos!$A$2:$OJ$901,798,MATCH($B$2&amp;"|yI",Aux_puntos!$1:$1,0))="",NA(),INDEX(Aux_puntos!$A$2:$OJ$901,798,MATCH($B$2&amp;"|yI",Aux_puntos!$1:$1,0))),NA())</f>
        <v>#N/A</v>
      </c>
      <c r="AI802" t="e">
        <f>IFERROR(IF(INDEX(Aux_puntos!$A$2:$OJ$901,798,MATCH($B$2&amp;"|xN",Aux_puntos!$1:$1,0))="",NA(),INDEX(Aux_puntos!$A$2:$OJ$901,798,MATCH($B$2&amp;"|xN",Aux_puntos!$1:$1,0))),NA())</f>
        <v>#N/A</v>
      </c>
      <c r="AJ802" t="e">
        <f>IFERROR(IF(INDEX(Aux_puntos!$A$2:$OJ$901,798,MATCH($B$2&amp;"|yN",Aux_puntos!$1:$1,0))="",NA(),INDEX(Aux_puntos!$A$2:$OJ$901,798,MATCH($B$2&amp;"|yN",Aux_puntos!$1:$1,0))),NA())</f>
        <v>#N/A</v>
      </c>
    </row>
    <row r="803" spans="29:36" x14ac:dyDescent="0.3">
      <c r="AC803" t="e">
        <f>IFERROR(IF(INDEX(Aux_puntos!$A$2:$OJ$901,799,MATCH($B$2&amp;"|xK",Aux_puntos!$1:$1,0))="",NA(),INDEX(Aux_puntos!$A$2:$OJ$901,799,MATCH($B$2&amp;"|xK",Aux_puntos!$1:$1,0))),NA())</f>
        <v>#N/A</v>
      </c>
      <c r="AD803" t="e">
        <f>IFERROR(IF(INDEX(Aux_puntos!$A$2:$OJ$901,799,MATCH($B$2&amp;"|yK",Aux_puntos!$1:$1,0))="",NA(),INDEX(Aux_puntos!$A$2:$OJ$901,799,MATCH($B$2&amp;"|yK",Aux_puntos!$1:$1,0))),NA())</f>
        <v>#N/A</v>
      </c>
      <c r="AE803" t="e">
        <f>IFERROR(IF(INDEX(Aux_puntos!$A$2:$OJ$901,799,MATCH($B$2&amp;"|xC",Aux_puntos!$1:$1,0))="",NA(),INDEX(Aux_puntos!$A$2:$OJ$901,799,MATCH($B$2&amp;"|xC",Aux_puntos!$1:$1,0))),NA())</f>
        <v>#N/A</v>
      </c>
      <c r="AF803" t="e">
        <f>IFERROR(IF(INDEX(Aux_puntos!$A$2:$OJ$901,799,MATCH($B$2&amp;"|yC",Aux_puntos!$1:$1,0))="",NA(),INDEX(Aux_puntos!$A$2:$OJ$901,799,MATCH($B$2&amp;"|yC",Aux_puntos!$1:$1,0))),NA())</f>
        <v>#N/A</v>
      </c>
      <c r="AG803" t="e">
        <f>IFERROR(IF(INDEX(Aux_puntos!$A$2:$OJ$901,799,MATCH($B$2&amp;"|xI",Aux_puntos!$1:$1,0))="",NA(),INDEX(Aux_puntos!$A$2:$OJ$901,799,MATCH($B$2&amp;"|xI",Aux_puntos!$1:$1,0))),NA())</f>
        <v>#N/A</v>
      </c>
      <c r="AH803" t="e">
        <f>IFERROR(IF(INDEX(Aux_puntos!$A$2:$OJ$901,799,MATCH($B$2&amp;"|yI",Aux_puntos!$1:$1,0))="",NA(),INDEX(Aux_puntos!$A$2:$OJ$901,799,MATCH($B$2&amp;"|yI",Aux_puntos!$1:$1,0))),NA())</f>
        <v>#N/A</v>
      </c>
      <c r="AI803" t="e">
        <f>IFERROR(IF(INDEX(Aux_puntos!$A$2:$OJ$901,799,MATCH($B$2&amp;"|xN",Aux_puntos!$1:$1,0))="",NA(),INDEX(Aux_puntos!$A$2:$OJ$901,799,MATCH($B$2&amp;"|xN",Aux_puntos!$1:$1,0))),NA())</f>
        <v>#N/A</v>
      </c>
      <c r="AJ803" t="e">
        <f>IFERROR(IF(INDEX(Aux_puntos!$A$2:$OJ$901,799,MATCH($B$2&amp;"|yN",Aux_puntos!$1:$1,0))="",NA(),INDEX(Aux_puntos!$A$2:$OJ$901,799,MATCH($B$2&amp;"|yN",Aux_puntos!$1:$1,0))),NA())</f>
        <v>#N/A</v>
      </c>
    </row>
    <row r="804" spans="29:36" x14ac:dyDescent="0.3">
      <c r="AC804" t="e">
        <f>IFERROR(IF(INDEX(Aux_puntos!$A$2:$OJ$901,800,MATCH($B$2&amp;"|xK",Aux_puntos!$1:$1,0))="",NA(),INDEX(Aux_puntos!$A$2:$OJ$901,800,MATCH($B$2&amp;"|xK",Aux_puntos!$1:$1,0))),NA())</f>
        <v>#N/A</v>
      </c>
      <c r="AD804" t="e">
        <f>IFERROR(IF(INDEX(Aux_puntos!$A$2:$OJ$901,800,MATCH($B$2&amp;"|yK",Aux_puntos!$1:$1,0))="",NA(),INDEX(Aux_puntos!$A$2:$OJ$901,800,MATCH($B$2&amp;"|yK",Aux_puntos!$1:$1,0))),NA())</f>
        <v>#N/A</v>
      </c>
      <c r="AE804" t="e">
        <f>IFERROR(IF(INDEX(Aux_puntos!$A$2:$OJ$901,800,MATCH($B$2&amp;"|xC",Aux_puntos!$1:$1,0))="",NA(),INDEX(Aux_puntos!$A$2:$OJ$901,800,MATCH($B$2&amp;"|xC",Aux_puntos!$1:$1,0))),NA())</f>
        <v>#N/A</v>
      </c>
      <c r="AF804" t="e">
        <f>IFERROR(IF(INDEX(Aux_puntos!$A$2:$OJ$901,800,MATCH($B$2&amp;"|yC",Aux_puntos!$1:$1,0))="",NA(),INDEX(Aux_puntos!$A$2:$OJ$901,800,MATCH($B$2&amp;"|yC",Aux_puntos!$1:$1,0))),NA())</f>
        <v>#N/A</v>
      </c>
      <c r="AG804" t="e">
        <f>IFERROR(IF(INDEX(Aux_puntos!$A$2:$OJ$901,800,MATCH($B$2&amp;"|xI",Aux_puntos!$1:$1,0))="",NA(),INDEX(Aux_puntos!$A$2:$OJ$901,800,MATCH($B$2&amp;"|xI",Aux_puntos!$1:$1,0))),NA())</f>
        <v>#N/A</v>
      </c>
      <c r="AH804" t="e">
        <f>IFERROR(IF(INDEX(Aux_puntos!$A$2:$OJ$901,800,MATCH($B$2&amp;"|yI",Aux_puntos!$1:$1,0))="",NA(),INDEX(Aux_puntos!$A$2:$OJ$901,800,MATCH($B$2&amp;"|yI",Aux_puntos!$1:$1,0))),NA())</f>
        <v>#N/A</v>
      </c>
      <c r="AI804" t="e">
        <f>IFERROR(IF(INDEX(Aux_puntos!$A$2:$OJ$901,800,MATCH($B$2&amp;"|xN",Aux_puntos!$1:$1,0))="",NA(),INDEX(Aux_puntos!$A$2:$OJ$901,800,MATCH($B$2&amp;"|xN",Aux_puntos!$1:$1,0))),NA())</f>
        <v>#N/A</v>
      </c>
      <c r="AJ804" t="e">
        <f>IFERROR(IF(INDEX(Aux_puntos!$A$2:$OJ$901,800,MATCH($B$2&amp;"|yN",Aux_puntos!$1:$1,0))="",NA(),INDEX(Aux_puntos!$A$2:$OJ$901,800,MATCH($B$2&amp;"|yN",Aux_puntos!$1:$1,0))),NA())</f>
        <v>#N/A</v>
      </c>
    </row>
    <row r="805" spans="29:36" x14ac:dyDescent="0.3">
      <c r="AC805" t="e">
        <f>IFERROR(IF(INDEX(Aux_puntos!$A$2:$OJ$901,801,MATCH($B$2&amp;"|xK",Aux_puntos!$1:$1,0))="",NA(),INDEX(Aux_puntos!$A$2:$OJ$901,801,MATCH($B$2&amp;"|xK",Aux_puntos!$1:$1,0))),NA())</f>
        <v>#N/A</v>
      </c>
      <c r="AD805" t="e">
        <f>IFERROR(IF(INDEX(Aux_puntos!$A$2:$OJ$901,801,MATCH($B$2&amp;"|yK",Aux_puntos!$1:$1,0))="",NA(),INDEX(Aux_puntos!$A$2:$OJ$901,801,MATCH($B$2&amp;"|yK",Aux_puntos!$1:$1,0))),NA())</f>
        <v>#N/A</v>
      </c>
      <c r="AE805" t="e">
        <f>IFERROR(IF(INDEX(Aux_puntos!$A$2:$OJ$901,801,MATCH($B$2&amp;"|xC",Aux_puntos!$1:$1,0))="",NA(),INDEX(Aux_puntos!$A$2:$OJ$901,801,MATCH($B$2&amp;"|xC",Aux_puntos!$1:$1,0))),NA())</f>
        <v>#N/A</v>
      </c>
      <c r="AF805" t="e">
        <f>IFERROR(IF(INDEX(Aux_puntos!$A$2:$OJ$901,801,MATCH($B$2&amp;"|yC",Aux_puntos!$1:$1,0))="",NA(),INDEX(Aux_puntos!$A$2:$OJ$901,801,MATCH($B$2&amp;"|yC",Aux_puntos!$1:$1,0))),NA())</f>
        <v>#N/A</v>
      </c>
      <c r="AG805" t="e">
        <f>IFERROR(IF(INDEX(Aux_puntos!$A$2:$OJ$901,801,MATCH($B$2&amp;"|xI",Aux_puntos!$1:$1,0))="",NA(),INDEX(Aux_puntos!$A$2:$OJ$901,801,MATCH($B$2&amp;"|xI",Aux_puntos!$1:$1,0))),NA())</f>
        <v>#N/A</v>
      </c>
      <c r="AH805" t="e">
        <f>IFERROR(IF(INDEX(Aux_puntos!$A$2:$OJ$901,801,MATCH($B$2&amp;"|yI",Aux_puntos!$1:$1,0))="",NA(),INDEX(Aux_puntos!$A$2:$OJ$901,801,MATCH($B$2&amp;"|yI",Aux_puntos!$1:$1,0))),NA())</f>
        <v>#N/A</v>
      </c>
      <c r="AI805" t="e">
        <f>IFERROR(IF(INDEX(Aux_puntos!$A$2:$OJ$901,801,MATCH($B$2&amp;"|xN",Aux_puntos!$1:$1,0))="",NA(),INDEX(Aux_puntos!$A$2:$OJ$901,801,MATCH($B$2&amp;"|xN",Aux_puntos!$1:$1,0))),NA())</f>
        <v>#N/A</v>
      </c>
      <c r="AJ805" t="e">
        <f>IFERROR(IF(INDEX(Aux_puntos!$A$2:$OJ$901,801,MATCH($B$2&amp;"|yN",Aux_puntos!$1:$1,0))="",NA(),INDEX(Aux_puntos!$A$2:$OJ$901,801,MATCH($B$2&amp;"|yN",Aux_puntos!$1:$1,0))),NA())</f>
        <v>#N/A</v>
      </c>
    </row>
    <row r="806" spans="29:36" x14ac:dyDescent="0.3">
      <c r="AC806" t="e">
        <f>IFERROR(IF(INDEX(Aux_puntos!$A$2:$OJ$901,802,MATCH($B$2&amp;"|xK",Aux_puntos!$1:$1,0))="",NA(),INDEX(Aux_puntos!$A$2:$OJ$901,802,MATCH($B$2&amp;"|xK",Aux_puntos!$1:$1,0))),NA())</f>
        <v>#N/A</v>
      </c>
      <c r="AD806" t="e">
        <f>IFERROR(IF(INDEX(Aux_puntos!$A$2:$OJ$901,802,MATCH($B$2&amp;"|yK",Aux_puntos!$1:$1,0))="",NA(),INDEX(Aux_puntos!$A$2:$OJ$901,802,MATCH($B$2&amp;"|yK",Aux_puntos!$1:$1,0))),NA())</f>
        <v>#N/A</v>
      </c>
      <c r="AE806" t="e">
        <f>IFERROR(IF(INDEX(Aux_puntos!$A$2:$OJ$901,802,MATCH($B$2&amp;"|xC",Aux_puntos!$1:$1,0))="",NA(),INDEX(Aux_puntos!$A$2:$OJ$901,802,MATCH($B$2&amp;"|xC",Aux_puntos!$1:$1,0))),NA())</f>
        <v>#N/A</v>
      </c>
      <c r="AF806" t="e">
        <f>IFERROR(IF(INDEX(Aux_puntos!$A$2:$OJ$901,802,MATCH($B$2&amp;"|yC",Aux_puntos!$1:$1,0))="",NA(),INDEX(Aux_puntos!$A$2:$OJ$901,802,MATCH($B$2&amp;"|yC",Aux_puntos!$1:$1,0))),NA())</f>
        <v>#N/A</v>
      </c>
      <c r="AG806" t="e">
        <f>IFERROR(IF(INDEX(Aux_puntos!$A$2:$OJ$901,802,MATCH($B$2&amp;"|xI",Aux_puntos!$1:$1,0))="",NA(),INDEX(Aux_puntos!$A$2:$OJ$901,802,MATCH($B$2&amp;"|xI",Aux_puntos!$1:$1,0))),NA())</f>
        <v>#N/A</v>
      </c>
      <c r="AH806" t="e">
        <f>IFERROR(IF(INDEX(Aux_puntos!$A$2:$OJ$901,802,MATCH($B$2&amp;"|yI",Aux_puntos!$1:$1,0))="",NA(),INDEX(Aux_puntos!$A$2:$OJ$901,802,MATCH($B$2&amp;"|yI",Aux_puntos!$1:$1,0))),NA())</f>
        <v>#N/A</v>
      </c>
      <c r="AI806" t="e">
        <f>IFERROR(IF(INDEX(Aux_puntos!$A$2:$OJ$901,802,MATCH($B$2&amp;"|xN",Aux_puntos!$1:$1,0))="",NA(),INDEX(Aux_puntos!$A$2:$OJ$901,802,MATCH($B$2&amp;"|xN",Aux_puntos!$1:$1,0))),NA())</f>
        <v>#N/A</v>
      </c>
      <c r="AJ806" t="e">
        <f>IFERROR(IF(INDEX(Aux_puntos!$A$2:$OJ$901,802,MATCH($B$2&amp;"|yN",Aux_puntos!$1:$1,0))="",NA(),INDEX(Aux_puntos!$A$2:$OJ$901,802,MATCH($B$2&amp;"|yN",Aux_puntos!$1:$1,0))),NA())</f>
        <v>#N/A</v>
      </c>
    </row>
    <row r="807" spans="29:36" x14ac:dyDescent="0.3">
      <c r="AC807" t="e">
        <f>IFERROR(IF(INDEX(Aux_puntos!$A$2:$OJ$901,803,MATCH($B$2&amp;"|xK",Aux_puntos!$1:$1,0))="",NA(),INDEX(Aux_puntos!$A$2:$OJ$901,803,MATCH($B$2&amp;"|xK",Aux_puntos!$1:$1,0))),NA())</f>
        <v>#N/A</v>
      </c>
      <c r="AD807" t="e">
        <f>IFERROR(IF(INDEX(Aux_puntos!$A$2:$OJ$901,803,MATCH($B$2&amp;"|yK",Aux_puntos!$1:$1,0))="",NA(),INDEX(Aux_puntos!$A$2:$OJ$901,803,MATCH($B$2&amp;"|yK",Aux_puntos!$1:$1,0))),NA())</f>
        <v>#N/A</v>
      </c>
      <c r="AE807" t="e">
        <f>IFERROR(IF(INDEX(Aux_puntos!$A$2:$OJ$901,803,MATCH($B$2&amp;"|xC",Aux_puntos!$1:$1,0))="",NA(),INDEX(Aux_puntos!$A$2:$OJ$901,803,MATCH($B$2&amp;"|xC",Aux_puntos!$1:$1,0))),NA())</f>
        <v>#N/A</v>
      </c>
      <c r="AF807" t="e">
        <f>IFERROR(IF(INDEX(Aux_puntos!$A$2:$OJ$901,803,MATCH($B$2&amp;"|yC",Aux_puntos!$1:$1,0))="",NA(),INDEX(Aux_puntos!$A$2:$OJ$901,803,MATCH($B$2&amp;"|yC",Aux_puntos!$1:$1,0))),NA())</f>
        <v>#N/A</v>
      </c>
      <c r="AG807" t="e">
        <f>IFERROR(IF(INDEX(Aux_puntos!$A$2:$OJ$901,803,MATCH($B$2&amp;"|xI",Aux_puntos!$1:$1,0))="",NA(),INDEX(Aux_puntos!$A$2:$OJ$901,803,MATCH($B$2&amp;"|xI",Aux_puntos!$1:$1,0))),NA())</f>
        <v>#N/A</v>
      </c>
      <c r="AH807" t="e">
        <f>IFERROR(IF(INDEX(Aux_puntos!$A$2:$OJ$901,803,MATCH($B$2&amp;"|yI",Aux_puntos!$1:$1,0))="",NA(),INDEX(Aux_puntos!$A$2:$OJ$901,803,MATCH($B$2&amp;"|yI",Aux_puntos!$1:$1,0))),NA())</f>
        <v>#N/A</v>
      </c>
      <c r="AI807" t="e">
        <f>IFERROR(IF(INDEX(Aux_puntos!$A$2:$OJ$901,803,MATCH($B$2&amp;"|xN",Aux_puntos!$1:$1,0))="",NA(),INDEX(Aux_puntos!$A$2:$OJ$901,803,MATCH($B$2&amp;"|xN",Aux_puntos!$1:$1,0))),NA())</f>
        <v>#N/A</v>
      </c>
      <c r="AJ807" t="e">
        <f>IFERROR(IF(INDEX(Aux_puntos!$A$2:$OJ$901,803,MATCH($B$2&amp;"|yN",Aux_puntos!$1:$1,0))="",NA(),INDEX(Aux_puntos!$A$2:$OJ$901,803,MATCH($B$2&amp;"|yN",Aux_puntos!$1:$1,0))),NA())</f>
        <v>#N/A</v>
      </c>
    </row>
    <row r="808" spans="29:36" x14ac:dyDescent="0.3">
      <c r="AC808" t="e">
        <f>IFERROR(IF(INDEX(Aux_puntos!$A$2:$OJ$901,804,MATCH($B$2&amp;"|xK",Aux_puntos!$1:$1,0))="",NA(),INDEX(Aux_puntos!$A$2:$OJ$901,804,MATCH($B$2&amp;"|xK",Aux_puntos!$1:$1,0))),NA())</f>
        <v>#N/A</v>
      </c>
      <c r="AD808" t="e">
        <f>IFERROR(IF(INDEX(Aux_puntos!$A$2:$OJ$901,804,MATCH($B$2&amp;"|yK",Aux_puntos!$1:$1,0))="",NA(),INDEX(Aux_puntos!$A$2:$OJ$901,804,MATCH($B$2&amp;"|yK",Aux_puntos!$1:$1,0))),NA())</f>
        <v>#N/A</v>
      </c>
      <c r="AE808" t="e">
        <f>IFERROR(IF(INDEX(Aux_puntos!$A$2:$OJ$901,804,MATCH($B$2&amp;"|xC",Aux_puntos!$1:$1,0))="",NA(),INDEX(Aux_puntos!$A$2:$OJ$901,804,MATCH($B$2&amp;"|xC",Aux_puntos!$1:$1,0))),NA())</f>
        <v>#N/A</v>
      </c>
      <c r="AF808" t="e">
        <f>IFERROR(IF(INDEX(Aux_puntos!$A$2:$OJ$901,804,MATCH($B$2&amp;"|yC",Aux_puntos!$1:$1,0))="",NA(),INDEX(Aux_puntos!$A$2:$OJ$901,804,MATCH($B$2&amp;"|yC",Aux_puntos!$1:$1,0))),NA())</f>
        <v>#N/A</v>
      </c>
      <c r="AG808" t="e">
        <f>IFERROR(IF(INDEX(Aux_puntos!$A$2:$OJ$901,804,MATCH($B$2&amp;"|xI",Aux_puntos!$1:$1,0))="",NA(),INDEX(Aux_puntos!$A$2:$OJ$901,804,MATCH($B$2&amp;"|xI",Aux_puntos!$1:$1,0))),NA())</f>
        <v>#N/A</v>
      </c>
      <c r="AH808" t="e">
        <f>IFERROR(IF(INDEX(Aux_puntos!$A$2:$OJ$901,804,MATCH($B$2&amp;"|yI",Aux_puntos!$1:$1,0))="",NA(),INDEX(Aux_puntos!$A$2:$OJ$901,804,MATCH($B$2&amp;"|yI",Aux_puntos!$1:$1,0))),NA())</f>
        <v>#N/A</v>
      </c>
      <c r="AI808" t="e">
        <f>IFERROR(IF(INDEX(Aux_puntos!$A$2:$OJ$901,804,MATCH($B$2&amp;"|xN",Aux_puntos!$1:$1,0))="",NA(),INDEX(Aux_puntos!$A$2:$OJ$901,804,MATCH($B$2&amp;"|xN",Aux_puntos!$1:$1,0))),NA())</f>
        <v>#N/A</v>
      </c>
      <c r="AJ808" t="e">
        <f>IFERROR(IF(INDEX(Aux_puntos!$A$2:$OJ$901,804,MATCH($B$2&amp;"|yN",Aux_puntos!$1:$1,0))="",NA(),INDEX(Aux_puntos!$A$2:$OJ$901,804,MATCH($B$2&amp;"|yN",Aux_puntos!$1:$1,0))),NA())</f>
        <v>#N/A</v>
      </c>
    </row>
    <row r="809" spans="29:36" x14ac:dyDescent="0.3">
      <c r="AC809" t="e">
        <f>IFERROR(IF(INDEX(Aux_puntos!$A$2:$OJ$901,805,MATCH($B$2&amp;"|xK",Aux_puntos!$1:$1,0))="",NA(),INDEX(Aux_puntos!$A$2:$OJ$901,805,MATCH($B$2&amp;"|xK",Aux_puntos!$1:$1,0))),NA())</f>
        <v>#N/A</v>
      </c>
      <c r="AD809" t="e">
        <f>IFERROR(IF(INDEX(Aux_puntos!$A$2:$OJ$901,805,MATCH($B$2&amp;"|yK",Aux_puntos!$1:$1,0))="",NA(),INDEX(Aux_puntos!$A$2:$OJ$901,805,MATCH($B$2&amp;"|yK",Aux_puntos!$1:$1,0))),NA())</f>
        <v>#N/A</v>
      </c>
      <c r="AE809" t="e">
        <f>IFERROR(IF(INDEX(Aux_puntos!$A$2:$OJ$901,805,MATCH($B$2&amp;"|xC",Aux_puntos!$1:$1,0))="",NA(),INDEX(Aux_puntos!$A$2:$OJ$901,805,MATCH($B$2&amp;"|xC",Aux_puntos!$1:$1,0))),NA())</f>
        <v>#N/A</v>
      </c>
      <c r="AF809" t="e">
        <f>IFERROR(IF(INDEX(Aux_puntos!$A$2:$OJ$901,805,MATCH($B$2&amp;"|yC",Aux_puntos!$1:$1,0))="",NA(),INDEX(Aux_puntos!$A$2:$OJ$901,805,MATCH($B$2&amp;"|yC",Aux_puntos!$1:$1,0))),NA())</f>
        <v>#N/A</v>
      </c>
      <c r="AG809" t="e">
        <f>IFERROR(IF(INDEX(Aux_puntos!$A$2:$OJ$901,805,MATCH($B$2&amp;"|xI",Aux_puntos!$1:$1,0))="",NA(),INDEX(Aux_puntos!$A$2:$OJ$901,805,MATCH($B$2&amp;"|xI",Aux_puntos!$1:$1,0))),NA())</f>
        <v>#N/A</v>
      </c>
      <c r="AH809" t="e">
        <f>IFERROR(IF(INDEX(Aux_puntos!$A$2:$OJ$901,805,MATCH($B$2&amp;"|yI",Aux_puntos!$1:$1,0))="",NA(),INDEX(Aux_puntos!$A$2:$OJ$901,805,MATCH($B$2&amp;"|yI",Aux_puntos!$1:$1,0))),NA())</f>
        <v>#N/A</v>
      </c>
      <c r="AI809" t="e">
        <f>IFERROR(IF(INDEX(Aux_puntos!$A$2:$OJ$901,805,MATCH($B$2&amp;"|xN",Aux_puntos!$1:$1,0))="",NA(),INDEX(Aux_puntos!$A$2:$OJ$901,805,MATCH($B$2&amp;"|xN",Aux_puntos!$1:$1,0))),NA())</f>
        <v>#N/A</v>
      </c>
      <c r="AJ809" t="e">
        <f>IFERROR(IF(INDEX(Aux_puntos!$A$2:$OJ$901,805,MATCH($B$2&amp;"|yN",Aux_puntos!$1:$1,0))="",NA(),INDEX(Aux_puntos!$A$2:$OJ$901,805,MATCH($B$2&amp;"|yN",Aux_puntos!$1:$1,0))),NA())</f>
        <v>#N/A</v>
      </c>
    </row>
    <row r="810" spans="29:36" x14ac:dyDescent="0.3">
      <c r="AC810" t="e">
        <f>IFERROR(IF(INDEX(Aux_puntos!$A$2:$OJ$901,806,MATCH($B$2&amp;"|xK",Aux_puntos!$1:$1,0))="",NA(),INDEX(Aux_puntos!$A$2:$OJ$901,806,MATCH($B$2&amp;"|xK",Aux_puntos!$1:$1,0))),NA())</f>
        <v>#N/A</v>
      </c>
      <c r="AD810" t="e">
        <f>IFERROR(IF(INDEX(Aux_puntos!$A$2:$OJ$901,806,MATCH($B$2&amp;"|yK",Aux_puntos!$1:$1,0))="",NA(),INDEX(Aux_puntos!$A$2:$OJ$901,806,MATCH($B$2&amp;"|yK",Aux_puntos!$1:$1,0))),NA())</f>
        <v>#N/A</v>
      </c>
      <c r="AE810" t="e">
        <f>IFERROR(IF(INDEX(Aux_puntos!$A$2:$OJ$901,806,MATCH($B$2&amp;"|xC",Aux_puntos!$1:$1,0))="",NA(),INDEX(Aux_puntos!$A$2:$OJ$901,806,MATCH($B$2&amp;"|xC",Aux_puntos!$1:$1,0))),NA())</f>
        <v>#N/A</v>
      </c>
      <c r="AF810" t="e">
        <f>IFERROR(IF(INDEX(Aux_puntos!$A$2:$OJ$901,806,MATCH($B$2&amp;"|yC",Aux_puntos!$1:$1,0))="",NA(),INDEX(Aux_puntos!$A$2:$OJ$901,806,MATCH($B$2&amp;"|yC",Aux_puntos!$1:$1,0))),NA())</f>
        <v>#N/A</v>
      </c>
      <c r="AG810" t="e">
        <f>IFERROR(IF(INDEX(Aux_puntos!$A$2:$OJ$901,806,MATCH($B$2&amp;"|xI",Aux_puntos!$1:$1,0))="",NA(),INDEX(Aux_puntos!$A$2:$OJ$901,806,MATCH($B$2&amp;"|xI",Aux_puntos!$1:$1,0))),NA())</f>
        <v>#N/A</v>
      </c>
      <c r="AH810" t="e">
        <f>IFERROR(IF(INDEX(Aux_puntos!$A$2:$OJ$901,806,MATCH($B$2&amp;"|yI",Aux_puntos!$1:$1,0))="",NA(),INDEX(Aux_puntos!$A$2:$OJ$901,806,MATCH($B$2&amp;"|yI",Aux_puntos!$1:$1,0))),NA())</f>
        <v>#N/A</v>
      </c>
      <c r="AI810" t="e">
        <f>IFERROR(IF(INDEX(Aux_puntos!$A$2:$OJ$901,806,MATCH($B$2&amp;"|xN",Aux_puntos!$1:$1,0))="",NA(),INDEX(Aux_puntos!$A$2:$OJ$901,806,MATCH($B$2&amp;"|xN",Aux_puntos!$1:$1,0))),NA())</f>
        <v>#N/A</v>
      </c>
      <c r="AJ810" t="e">
        <f>IFERROR(IF(INDEX(Aux_puntos!$A$2:$OJ$901,806,MATCH($B$2&amp;"|yN",Aux_puntos!$1:$1,0))="",NA(),INDEX(Aux_puntos!$A$2:$OJ$901,806,MATCH($B$2&amp;"|yN",Aux_puntos!$1:$1,0))),NA())</f>
        <v>#N/A</v>
      </c>
    </row>
    <row r="811" spans="29:36" x14ac:dyDescent="0.3">
      <c r="AC811" t="e">
        <f>IFERROR(IF(INDEX(Aux_puntos!$A$2:$OJ$901,807,MATCH($B$2&amp;"|xK",Aux_puntos!$1:$1,0))="",NA(),INDEX(Aux_puntos!$A$2:$OJ$901,807,MATCH($B$2&amp;"|xK",Aux_puntos!$1:$1,0))),NA())</f>
        <v>#N/A</v>
      </c>
      <c r="AD811" t="e">
        <f>IFERROR(IF(INDEX(Aux_puntos!$A$2:$OJ$901,807,MATCH($B$2&amp;"|yK",Aux_puntos!$1:$1,0))="",NA(),INDEX(Aux_puntos!$A$2:$OJ$901,807,MATCH($B$2&amp;"|yK",Aux_puntos!$1:$1,0))),NA())</f>
        <v>#N/A</v>
      </c>
      <c r="AE811" t="e">
        <f>IFERROR(IF(INDEX(Aux_puntos!$A$2:$OJ$901,807,MATCH($B$2&amp;"|xC",Aux_puntos!$1:$1,0))="",NA(),INDEX(Aux_puntos!$A$2:$OJ$901,807,MATCH($B$2&amp;"|xC",Aux_puntos!$1:$1,0))),NA())</f>
        <v>#N/A</v>
      </c>
      <c r="AF811" t="e">
        <f>IFERROR(IF(INDEX(Aux_puntos!$A$2:$OJ$901,807,MATCH($B$2&amp;"|yC",Aux_puntos!$1:$1,0))="",NA(),INDEX(Aux_puntos!$A$2:$OJ$901,807,MATCH($B$2&amp;"|yC",Aux_puntos!$1:$1,0))),NA())</f>
        <v>#N/A</v>
      </c>
      <c r="AG811" t="e">
        <f>IFERROR(IF(INDEX(Aux_puntos!$A$2:$OJ$901,807,MATCH($B$2&amp;"|xI",Aux_puntos!$1:$1,0))="",NA(),INDEX(Aux_puntos!$A$2:$OJ$901,807,MATCH($B$2&amp;"|xI",Aux_puntos!$1:$1,0))),NA())</f>
        <v>#N/A</v>
      </c>
      <c r="AH811" t="e">
        <f>IFERROR(IF(INDEX(Aux_puntos!$A$2:$OJ$901,807,MATCH($B$2&amp;"|yI",Aux_puntos!$1:$1,0))="",NA(),INDEX(Aux_puntos!$A$2:$OJ$901,807,MATCH($B$2&amp;"|yI",Aux_puntos!$1:$1,0))),NA())</f>
        <v>#N/A</v>
      </c>
      <c r="AI811" t="e">
        <f>IFERROR(IF(INDEX(Aux_puntos!$A$2:$OJ$901,807,MATCH($B$2&amp;"|xN",Aux_puntos!$1:$1,0))="",NA(),INDEX(Aux_puntos!$A$2:$OJ$901,807,MATCH($B$2&amp;"|xN",Aux_puntos!$1:$1,0))),NA())</f>
        <v>#N/A</v>
      </c>
      <c r="AJ811" t="e">
        <f>IFERROR(IF(INDEX(Aux_puntos!$A$2:$OJ$901,807,MATCH($B$2&amp;"|yN",Aux_puntos!$1:$1,0))="",NA(),INDEX(Aux_puntos!$A$2:$OJ$901,807,MATCH($B$2&amp;"|yN",Aux_puntos!$1:$1,0))),NA())</f>
        <v>#N/A</v>
      </c>
    </row>
    <row r="812" spans="29:36" x14ac:dyDescent="0.3">
      <c r="AC812" t="e">
        <f>IFERROR(IF(INDEX(Aux_puntos!$A$2:$OJ$901,808,MATCH($B$2&amp;"|xK",Aux_puntos!$1:$1,0))="",NA(),INDEX(Aux_puntos!$A$2:$OJ$901,808,MATCH($B$2&amp;"|xK",Aux_puntos!$1:$1,0))),NA())</f>
        <v>#N/A</v>
      </c>
      <c r="AD812" t="e">
        <f>IFERROR(IF(INDEX(Aux_puntos!$A$2:$OJ$901,808,MATCH($B$2&amp;"|yK",Aux_puntos!$1:$1,0))="",NA(),INDEX(Aux_puntos!$A$2:$OJ$901,808,MATCH($B$2&amp;"|yK",Aux_puntos!$1:$1,0))),NA())</f>
        <v>#N/A</v>
      </c>
      <c r="AE812" t="e">
        <f>IFERROR(IF(INDEX(Aux_puntos!$A$2:$OJ$901,808,MATCH($B$2&amp;"|xC",Aux_puntos!$1:$1,0))="",NA(),INDEX(Aux_puntos!$A$2:$OJ$901,808,MATCH($B$2&amp;"|xC",Aux_puntos!$1:$1,0))),NA())</f>
        <v>#N/A</v>
      </c>
      <c r="AF812" t="e">
        <f>IFERROR(IF(INDEX(Aux_puntos!$A$2:$OJ$901,808,MATCH($B$2&amp;"|yC",Aux_puntos!$1:$1,0))="",NA(),INDEX(Aux_puntos!$A$2:$OJ$901,808,MATCH($B$2&amp;"|yC",Aux_puntos!$1:$1,0))),NA())</f>
        <v>#N/A</v>
      </c>
      <c r="AG812" t="e">
        <f>IFERROR(IF(INDEX(Aux_puntos!$A$2:$OJ$901,808,MATCH($B$2&amp;"|xI",Aux_puntos!$1:$1,0))="",NA(),INDEX(Aux_puntos!$A$2:$OJ$901,808,MATCH($B$2&amp;"|xI",Aux_puntos!$1:$1,0))),NA())</f>
        <v>#N/A</v>
      </c>
      <c r="AH812" t="e">
        <f>IFERROR(IF(INDEX(Aux_puntos!$A$2:$OJ$901,808,MATCH($B$2&amp;"|yI",Aux_puntos!$1:$1,0))="",NA(),INDEX(Aux_puntos!$A$2:$OJ$901,808,MATCH($B$2&amp;"|yI",Aux_puntos!$1:$1,0))),NA())</f>
        <v>#N/A</v>
      </c>
      <c r="AI812" t="e">
        <f>IFERROR(IF(INDEX(Aux_puntos!$A$2:$OJ$901,808,MATCH($B$2&amp;"|xN",Aux_puntos!$1:$1,0))="",NA(),INDEX(Aux_puntos!$A$2:$OJ$901,808,MATCH($B$2&amp;"|xN",Aux_puntos!$1:$1,0))),NA())</f>
        <v>#N/A</v>
      </c>
      <c r="AJ812" t="e">
        <f>IFERROR(IF(INDEX(Aux_puntos!$A$2:$OJ$901,808,MATCH($B$2&amp;"|yN",Aux_puntos!$1:$1,0))="",NA(),INDEX(Aux_puntos!$A$2:$OJ$901,808,MATCH($B$2&amp;"|yN",Aux_puntos!$1:$1,0))),NA())</f>
        <v>#N/A</v>
      </c>
    </row>
    <row r="813" spans="29:36" x14ac:dyDescent="0.3">
      <c r="AC813" t="e">
        <f>IFERROR(IF(INDEX(Aux_puntos!$A$2:$OJ$901,809,MATCH($B$2&amp;"|xK",Aux_puntos!$1:$1,0))="",NA(),INDEX(Aux_puntos!$A$2:$OJ$901,809,MATCH($B$2&amp;"|xK",Aux_puntos!$1:$1,0))),NA())</f>
        <v>#N/A</v>
      </c>
      <c r="AD813" t="e">
        <f>IFERROR(IF(INDEX(Aux_puntos!$A$2:$OJ$901,809,MATCH($B$2&amp;"|yK",Aux_puntos!$1:$1,0))="",NA(),INDEX(Aux_puntos!$A$2:$OJ$901,809,MATCH($B$2&amp;"|yK",Aux_puntos!$1:$1,0))),NA())</f>
        <v>#N/A</v>
      </c>
      <c r="AE813" t="e">
        <f>IFERROR(IF(INDEX(Aux_puntos!$A$2:$OJ$901,809,MATCH($B$2&amp;"|xC",Aux_puntos!$1:$1,0))="",NA(),INDEX(Aux_puntos!$A$2:$OJ$901,809,MATCH($B$2&amp;"|xC",Aux_puntos!$1:$1,0))),NA())</f>
        <v>#N/A</v>
      </c>
      <c r="AF813" t="e">
        <f>IFERROR(IF(INDEX(Aux_puntos!$A$2:$OJ$901,809,MATCH($B$2&amp;"|yC",Aux_puntos!$1:$1,0))="",NA(),INDEX(Aux_puntos!$A$2:$OJ$901,809,MATCH($B$2&amp;"|yC",Aux_puntos!$1:$1,0))),NA())</f>
        <v>#N/A</v>
      </c>
      <c r="AG813" t="e">
        <f>IFERROR(IF(INDEX(Aux_puntos!$A$2:$OJ$901,809,MATCH($B$2&amp;"|xI",Aux_puntos!$1:$1,0))="",NA(),INDEX(Aux_puntos!$A$2:$OJ$901,809,MATCH($B$2&amp;"|xI",Aux_puntos!$1:$1,0))),NA())</f>
        <v>#N/A</v>
      </c>
      <c r="AH813" t="e">
        <f>IFERROR(IF(INDEX(Aux_puntos!$A$2:$OJ$901,809,MATCH($B$2&amp;"|yI",Aux_puntos!$1:$1,0))="",NA(),INDEX(Aux_puntos!$A$2:$OJ$901,809,MATCH($B$2&amp;"|yI",Aux_puntos!$1:$1,0))),NA())</f>
        <v>#N/A</v>
      </c>
      <c r="AI813" t="e">
        <f>IFERROR(IF(INDEX(Aux_puntos!$A$2:$OJ$901,809,MATCH($B$2&amp;"|xN",Aux_puntos!$1:$1,0))="",NA(),INDEX(Aux_puntos!$A$2:$OJ$901,809,MATCH($B$2&amp;"|xN",Aux_puntos!$1:$1,0))),NA())</f>
        <v>#N/A</v>
      </c>
      <c r="AJ813" t="e">
        <f>IFERROR(IF(INDEX(Aux_puntos!$A$2:$OJ$901,809,MATCH($B$2&amp;"|yN",Aux_puntos!$1:$1,0))="",NA(),INDEX(Aux_puntos!$A$2:$OJ$901,809,MATCH($B$2&amp;"|yN",Aux_puntos!$1:$1,0))),NA())</f>
        <v>#N/A</v>
      </c>
    </row>
    <row r="814" spans="29:36" x14ac:dyDescent="0.3">
      <c r="AC814" t="e">
        <f>IFERROR(IF(INDEX(Aux_puntos!$A$2:$OJ$901,810,MATCH($B$2&amp;"|xK",Aux_puntos!$1:$1,0))="",NA(),INDEX(Aux_puntos!$A$2:$OJ$901,810,MATCH($B$2&amp;"|xK",Aux_puntos!$1:$1,0))),NA())</f>
        <v>#N/A</v>
      </c>
      <c r="AD814" t="e">
        <f>IFERROR(IF(INDEX(Aux_puntos!$A$2:$OJ$901,810,MATCH($B$2&amp;"|yK",Aux_puntos!$1:$1,0))="",NA(),INDEX(Aux_puntos!$A$2:$OJ$901,810,MATCH($B$2&amp;"|yK",Aux_puntos!$1:$1,0))),NA())</f>
        <v>#N/A</v>
      </c>
      <c r="AE814" t="e">
        <f>IFERROR(IF(INDEX(Aux_puntos!$A$2:$OJ$901,810,MATCH($B$2&amp;"|xC",Aux_puntos!$1:$1,0))="",NA(),INDEX(Aux_puntos!$A$2:$OJ$901,810,MATCH($B$2&amp;"|xC",Aux_puntos!$1:$1,0))),NA())</f>
        <v>#N/A</v>
      </c>
      <c r="AF814" t="e">
        <f>IFERROR(IF(INDEX(Aux_puntos!$A$2:$OJ$901,810,MATCH($B$2&amp;"|yC",Aux_puntos!$1:$1,0))="",NA(),INDEX(Aux_puntos!$A$2:$OJ$901,810,MATCH($B$2&amp;"|yC",Aux_puntos!$1:$1,0))),NA())</f>
        <v>#N/A</v>
      </c>
      <c r="AG814" t="e">
        <f>IFERROR(IF(INDEX(Aux_puntos!$A$2:$OJ$901,810,MATCH($B$2&amp;"|xI",Aux_puntos!$1:$1,0))="",NA(),INDEX(Aux_puntos!$A$2:$OJ$901,810,MATCH($B$2&amp;"|xI",Aux_puntos!$1:$1,0))),NA())</f>
        <v>#N/A</v>
      </c>
      <c r="AH814" t="e">
        <f>IFERROR(IF(INDEX(Aux_puntos!$A$2:$OJ$901,810,MATCH($B$2&amp;"|yI",Aux_puntos!$1:$1,0))="",NA(),INDEX(Aux_puntos!$A$2:$OJ$901,810,MATCH($B$2&amp;"|yI",Aux_puntos!$1:$1,0))),NA())</f>
        <v>#N/A</v>
      </c>
      <c r="AI814" t="e">
        <f>IFERROR(IF(INDEX(Aux_puntos!$A$2:$OJ$901,810,MATCH($B$2&amp;"|xN",Aux_puntos!$1:$1,0))="",NA(),INDEX(Aux_puntos!$A$2:$OJ$901,810,MATCH($B$2&amp;"|xN",Aux_puntos!$1:$1,0))),NA())</f>
        <v>#N/A</v>
      </c>
      <c r="AJ814" t="e">
        <f>IFERROR(IF(INDEX(Aux_puntos!$A$2:$OJ$901,810,MATCH($B$2&amp;"|yN",Aux_puntos!$1:$1,0))="",NA(),INDEX(Aux_puntos!$A$2:$OJ$901,810,MATCH($B$2&amp;"|yN",Aux_puntos!$1:$1,0))),NA())</f>
        <v>#N/A</v>
      </c>
    </row>
    <row r="815" spans="29:36" x14ac:dyDescent="0.3">
      <c r="AC815" t="e">
        <f>IFERROR(IF(INDEX(Aux_puntos!$A$2:$OJ$901,811,MATCH($B$2&amp;"|xK",Aux_puntos!$1:$1,0))="",NA(),INDEX(Aux_puntos!$A$2:$OJ$901,811,MATCH($B$2&amp;"|xK",Aux_puntos!$1:$1,0))),NA())</f>
        <v>#N/A</v>
      </c>
      <c r="AD815" t="e">
        <f>IFERROR(IF(INDEX(Aux_puntos!$A$2:$OJ$901,811,MATCH($B$2&amp;"|yK",Aux_puntos!$1:$1,0))="",NA(),INDEX(Aux_puntos!$A$2:$OJ$901,811,MATCH($B$2&amp;"|yK",Aux_puntos!$1:$1,0))),NA())</f>
        <v>#N/A</v>
      </c>
      <c r="AE815" t="e">
        <f>IFERROR(IF(INDEX(Aux_puntos!$A$2:$OJ$901,811,MATCH($B$2&amp;"|xC",Aux_puntos!$1:$1,0))="",NA(),INDEX(Aux_puntos!$A$2:$OJ$901,811,MATCH($B$2&amp;"|xC",Aux_puntos!$1:$1,0))),NA())</f>
        <v>#N/A</v>
      </c>
      <c r="AF815" t="e">
        <f>IFERROR(IF(INDEX(Aux_puntos!$A$2:$OJ$901,811,MATCH($B$2&amp;"|yC",Aux_puntos!$1:$1,0))="",NA(),INDEX(Aux_puntos!$A$2:$OJ$901,811,MATCH($B$2&amp;"|yC",Aux_puntos!$1:$1,0))),NA())</f>
        <v>#N/A</v>
      </c>
      <c r="AG815" t="e">
        <f>IFERROR(IF(INDEX(Aux_puntos!$A$2:$OJ$901,811,MATCH($B$2&amp;"|xI",Aux_puntos!$1:$1,0))="",NA(),INDEX(Aux_puntos!$A$2:$OJ$901,811,MATCH($B$2&amp;"|xI",Aux_puntos!$1:$1,0))),NA())</f>
        <v>#N/A</v>
      </c>
      <c r="AH815" t="e">
        <f>IFERROR(IF(INDEX(Aux_puntos!$A$2:$OJ$901,811,MATCH($B$2&amp;"|yI",Aux_puntos!$1:$1,0))="",NA(),INDEX(Aux_puntos!$A$2:$OJ$901,811,MATCH($B$2&amp;"|yI",Aux_puntos!$1:$1,0))),NA())</f>
        <v>#N/A</v>
      </c>
      <c r="AI815" t="e">
        <f>IFERROR(IF(INDEX(Aux_puntos!$A$2:$OJ$901,811,MATCH($B$2&amp;"|xN",Aux_puntos!$1:$1,0))="",NA(),INDEX(Aux_puntos!$A$2:$OJ$901,811,MATCH($B$2&amp;"|xN",Aux_puntos!$1:$1,0))),NA())</f>
        <v>#N/A</v>
      </c>
      <c r="AJ815" t="e">
        <f>IFERROR(IF(INDEX(Aux_puntos!$A$2:$OJ$901,811,MATCH($B$2&amp;"|yN",Aux_puntos!$1:$1,0))="",NA(),INDEX(Aux_puntos!$A$2:$OJ$901,811,MATCH($B$2&amp;"|yN",Aux_puntos!$1:$1,0))),NA())</f>
        <v>#N/A</v>
      </c>
    </row>
    <row r="816" spans="29:36" x14ac:dyDescent="0.3">
      <c r="AC816" t="e">
        <f>IFERROR(IF(INDEX(Aux_puntos!$A$2:$OJ$901,812,MATCH($B$2&amp;"|xK",Aux_puntos!$1:$1,0))="",NA(),INDEX(Aux_puntos!$A$2:$OJ$901,812,MATCH($B$2&amp;"|xK",Aux_puntos!$1:$1,0))),NA())</f>
        <v>#N/A</v>
      </c>
      <c r="AD816" t="e">
        <f>IFERROR(IF(INDEX(Aux_puntos!$A$2:$OJ$901,812,MATCH($B$2&amp;"|yK",Aux_puntos!$1:$1,0))="",NA(),INDEX(Aux_puntos!$A$2:$OJ$901,812,MATCH($B$2&amp;"|yK",Aux_puntos!$1:$1,0))),NA())</f>
        <v>#N/A</v>
      </c>
      <c r="AE816" t="e">
        <f>IFERROR(IF(INDEX(Aux_puntos!$A$2:$OJ$901,812,MATCH($B$2&amp;"|xC",Aux_puntos!$1:$1,0))="",NA(),INDEX(Aux_puntos!$A$2:$OJ$901,812,MATCH($B$2&amp;"|xC",Aux_puntos!$1:$1,0))),NA())</f>
        <v>#N/A</v>
      </c>
      <c r="AF816" t="e">
        <f>IFERROR(IF(INDEX(Aux_puntos!$A$2:$OJ$901,812,MATCH($B$2&amp;"|yC",Aux_puntos!$1:$1,0))="",NA(),INDEX(Aux_puntos!$A$2:$OJ$901,812,MATCH($B$2&amp;"|yC",Aux_puntos!$1:$1,0))),NA())</f>
        <v>#N/A</v>
      </c>
      <c r="AG816" t="e">
        <f>IFERROR(IF(INDEX(Aux_puntos!$A$2:$OJ$901,812,MATCH($B$2&amp;"|xI",Aux_puntos!$1:$1,0))="",NA(),INDEX(Aux_puntos!$A$2:$OJ$901,812,MATCH($B$2&amp;"|xI",Aux_puntos!$1:$1,0))),NA())</f>
        <v>#N/A</v>
      </c>
      <c r="AH816" t="e">
        <f>IFERROR(IF(INDEX(Aux_puntos!$A$2:$OJ$901,812,MATCH($B$2&amp;"|yI",Aux_puntos!$1:$1,0))="",NA(),INDEX(Aux_puntos!$A$2:$OJ$901,812,MATCH($B$2&amp;"|yI",Aux_puntos!$1:$1,0))),NA())</f>
        <v>#N/A</v>
      </c>
      <c r="AI816" t="e">
        <f>IFERROR(IF(INDEX(Aux_puntos!$A$2:$OJ$901,812,MATCH($B$2&amp;"|xN",Aux_puntos!$1:$1,0))="",NA(),INDEX(Aux_puntos!$A$2:$OJ$901,812,MATCH($B$2&amp;"|xN",Aux_puntos!$1:$1,0))),NA())</f>
        <v>#N/A</v>
      </c>
      <c r="AJ816" t="e">
        <f>IFERROR(IF(INDEX(Aux_puntos!$A$2:$OJ$901,812,MATCH($B$2&amp;"|yN",Aux_puntos!$1:$1,0))="",NA(),INDEX(Aux_puntos!$A$2:$OJ$901,812,MATCH($B$2&amp;"|yN",Aux_puntos!$1:$1,0))),NA())</f>
        <v>#N/A</v>
      </c>
    </row>
    <row r="817" spans="29:36" x14ac:dyDescent="0.3">
      <c r="AC817" t="e">
        <f>IFERROR(IF(INDEX(Aux_puntos!$A$2:$OJ$901,813,MATCH($B$2&amp;"|xK",Aux_puntos!$1:$1,0))="",NA(),INDEX(Aux_puntos!$A$2:$OJ$901,813,MATCH($B$2&amp;"|xK",Aux_puntos!$1:$1,0))),NA())</f>
        <v>#N/A</v>
      </c>
      <c r="AD817" t="e">
        <f>IFERROR(IF(INDEX(Aux_puntos!$A$2:$OJ$901,813,MATCH($B$2&amp;"|yK",Aux_puntos!$1:$1,0))="",NA(),INDEX(Aux_puntos!$A$2:$OJ$901,813,MATCH($B$2&amp;"|yK",Aux_puntos!$1:$1,0))),NA())</f>
        <v>#N/A</v>
      </c>
      <c r="AE817" t="e">
        <f>IFERROR(IF(INDEX(Aux_puntos!$A$2:$OJ$901,813,MATCH($B$2&amp;"|xC",Aux_puntos!$1:$1,0))="",NA(),INDEX(Aux_puntos!$A$2:$OJ$901,813,MATCH($B$2&amp;"|xC",Aux_puntos!$1:$1,0))),NA())</f>
        <v>#N/A</v>
      </c>
      <c r="AF817" t="e">
        <f>IFERROR(IF(INDEX(Aux_puntos!$A$2:$OJ$901,813,MATCH($B$2&amp;"|yC",Aux_puntos!$1:$1,0))="",NA(),INDEX(Aux_puntos!$A$2:$OJ$901,813,MATCH($B$2&amp;"|yC",Aux_puntos!$1:$1,0))),NA())</f>
        <v>#N/A</v>
      </c>
      <c r="AG817" t="e">
        <f>IFERROR(IF(INDEX(Aux_puntos!$A$2:$OJ$901,813,MATCH($B$2&amp;"|xI",Aux_puntos!$1:$1,0))="",NA(),INDEX(Aux_puntos!$A$2:$OJ$901,813,MATCH($B$2&amp;"|xI",Aux_puntos!$1:$1,0))),NA())</f>
        <v>#N/A</v>
      </c>
      <c r="AH817" t="e">
        <f>IFERROR(IF(INDEX(Aux_puntos!$A$2:$OJ$901,813,MATCH($B$2&amp;"|yI",Aux_puntos!$1:$1,0))="",NA(),INDEX(Aux_puntos!$A$2:$OJ$901,813,MATCH($B$2&amp;"|yI",Aux_puntos!$1:$1,0))),NA())</f>
        <v>#N/A</v>
      </c>
      <c r="AI817" t="e">
        <f>IFERROR(IF(INDEX(Aux_puntos!$A$2:$OJ$901,813,MATCH($B$2&amp;"|xN",Aux_puntos!$1:$1,0))="",NA(),INDEX(Aux_puntos!$A$2:$OJ$901,813,MATCH($B$2&amp;"|xN",Aux_puntos!$1:$1,0))),NA())</f>
        <v>#N/A</v>
      </c>
      <c r="AJ817" t="e">
        <f>IFERROR(IF(INDEX(Aux_puntos!$A$2:$OJ$901,813,MATCH($B$2&amp;"|yN",Aux_puntos!$1:$1,0))="",NA(),INDEX(Aux_puntos!$A$2:$OJ$901,813,MATCH($B$2&amp;"|yN",Aux_puntos!$1:$1,0))),NA())</f>
        <v>#N/A</v>
      </c>
    </row>
    <row r="818" spans="29:36" x14ac:dyDescent="0.3">
      <c r="AC818" t="e">
        <f>IFERROR(IF(INDEX(Aux_puntos!$A$2:$OJ$901,814,MATCH($B$2&amp;"|xK",Aux_puntos!$1:$1,0))="",NA(),INDEX(Aux_puntos!$A$2:$OJ$901,814,MATCH($B$2&amp;"|xK",Aux_puntos!$1:$1,0))),NA())</f>
        <v>#N/A</v>
      </c>
      <c r="AD818" t="e">
        <f>IFERROR(IF(INDEX(Aux_puntos!$A$2:$OJ$901,814,MATCH($B$2&amp;"|yK",Aux_puntos!$1:$1,0))="",NA(),INDEX(Aux_puntos!$A$2:$OJ$901,814,MATCH($B$2&amp;"|yK",Aux_puntos!$1:$1,0))),NA())</f>
        <v>#N/A</v>
      </c>
      <c r="AE818" t="e">
        <f>IFERROR(IF(INDEX(Aux_puntos!$A$2:$OJ$901,814,MATCH($B$2&amp;"|xC",Aux_puntos!$1:$1,0))="",NA(),INDEX(Aux_puntos!$A$2:$OJ$901,814,MATCH($B$2&amp;"|xC",Aux_puntos!$1:$1,0))),NA())</f>
        <v>#N/A</v>
      </c>
      <c r="AF818" t="e">
        <f>IFERROR(IF(INDEX(Aux_puntos!$A$2:$OJ$901,814,MATCH($B$2&amp;"|yC",Aux_puntos!$1:$1,0))="",NA(),INDEX(Aux_puntos!$A$2:$OJ$901,814,MATCH($B$2&amp;"|yC",Aux_puntos!$1:$1,0))),NA())</f>
        <v>#N/A</v>
      </c>
      <c r="AG818" t="e">
        <f>IFERROR(IF(INDEX(Aux_puntos!$A$2:$OJ$901,814,MATCH($B$2&amp;"|xI",Aux_puntos!$1:$1,0))="",NA(),INDEX(Aux_puntos!$A$2:$OJ$901,814,MATCH($B$2&amp;"|xI",Aux_puntos!$1:$1,0))),NA())</f>
        <v>#N/A</v>
      </c>
      <c r="AH818" t="e">
        <f>IFERROR(IF(INDEX(Aux_puntos!$A$2:$OJ$901,814,MATCH($B$2&amp;"|yI",Aux_puntos!$1:$1,0))="",NA(),INDEX(Aux_puntos!$A$2:$OJ$901,814,MATCH($B$2&amp;"|yI",Aux_puntos!$1:$1,0))),NA())</f>
        <v>#N/A</v>
      </c>
      <c r="AI818" t="e">
        <f>IFERROR(IF(INDEX(Aux_puntos!$A$2:$OJ$901,814,MATCH($B$2&amp;"|xN",Aux_puntos!$1:$1,0))="",NA(),INDEX(Aux_puntos!$A$2:$OJ$901,814,MATCH($B$2&amp;"|xN",Aux_puntos!$1:$1,0))),NA())</f>
        <v>#N/A</v>
      </c>
      <c r="AJ818" t="e">
        <f>IFERROR(IF(INDEX(Aux_puntos!$A$2:$OJ$901,814,MATCH($B$2&amp;"|yN",Aux_puntos!$1:$1,0))="",NA(),INDEX(Aux_puntos!$A$2:$OJ$901,814,MATCH($B$2&amp;"|yN",Aux_puntos!$1:$1,0))),NA())</f>
        <v>#N/A</v>
      </c>
    </row>
    <row r="819" spans="29:36" x14ac:dyDescent="0.3">
      <c r="AC819" t="e">
        <f>IFERROR(IF(INDEX(Aux_puntos!$A$2:$OJ$901,815,MATCH($B$2&amp;"|xK",Aux_puntos!$1:$1,0))="",NA(),INDEX(Aux_puntos!$A$2:$OJ$901,815,MATCH($B$2&amp;"|xK",Aux_puntos!$1:$1,0))),NA())</f>
        <v>#N/A</v>
      </c>
      <c r="AD819" t="e">
        <f>IFERROR(IF(INDEX(Aux_puntos!$A$2:$OJ$901,815,MATCH($B$2&amp;"|yK",Aux_puntos!$1:$1,0))="",NA(),INDEX(Aux_puntos!$A$2:$OJ$901,815,MATCH($B$2&amp;"|yK",Aux_puntos!$1:$1,0))),NA())</f>
        <v>#N/A</v>
      </c>
      <c r="AE819" t="e">
        <f>IFERROR(IF(INDEX(Aux_puntos!$A$2:$OJ$901,815,MATCH($B$2&amp;"|xC",Aux_puntos!$1:$1,0))="",NA(),INDEX(Aux_puntos!$A$2:$OJ$901,815,MATCH($B$2&amp;"|xC",Aux_puntos!$1:$1,0))),NA())</f>
        <v>#N/A</v>
      </c>
      <c r="AF819" t="e">
        <f>IFERROR(IF(INDEX(Aux_puntos!$A$2:$OJ$901,815,MATCH($B$2&amp;"|yC",Aux_puntos!$1:$1,0))="",NA(),INDEX(Aux_puntos!$A$2:$OJ$901,815,MATCH($B$2&amp;"|yC",Aux_puntos!$1:$1,0))),NA())</f>
        <v>#N/A</v>
      </c>
      <c r="AG819" t="e">
        <f>IFERROR(IF(INDEX(Aux_puntos!$A$2:$OJ$901,815,MATCH($B$2&amp;"|xI",Aux_puntos!$1:$1,0))="",NA(),INDEX(Aux_puntos!$A$2:$OJ$901,815,MATCH($B$2&amp;"|xI",Aux_puntos!$1:$1,0))),NA())</f>
        <v>#N/A</v>
      </c>
      <c r="AH819" t="e">
        <f>IFERROR(IF(INDEX(Aux_puntos!$A$2:$OJ$901,815,MATCH($B$2&amp;"|yI",Aux_puntos!$1:$1,0))="",NA(),INDEX(Aux_puntos!$A$2:$OJ$901,815,MATCH($B$2&amp;"|yI",Aux_puntos!$1:$1,0))),NA())</f>
        <v>#N/A</v>
      </c>
      <c r="AI819" t="e">
        <f>IFERROR(IF(INDEX(Aux_puntos!$A$2:$OJ$901,815,MATCH($B$2&amp;"|xN",Aux_puntos!$1:$1,0))="",NA(),INDEX(Aux_puntos!$A$2:$OJ$901,815,MATCH($B$2&amp;"|xN",Aux_puntos!$1:$1,0))),NA())</f>
        <v>#N/A</v>
      </c>
      <c r="AJ819" t="e">
        <f>IFERROR(IF(INDEX(Aux_puntos!$A$2:$OJ$901,815,MATCH($B$2&amp;"|yN",Aux_puntos!$1:$1,0))="",NA(),INDEX(Aux_puntos!$A$2:$OJ$901,815,MATCH($B$2&amp;"|yN",Aux_puntos!$1:$1,0))),NA())</f>
        <v>#N/A</v>
      </c>
    </row>
    <row r="820" spans="29:36" x14ac:dyDescent="0.3">
      <c r="AC820" t="e">
        <f>IFERROR(IF(INDEX(Aux_puntos!$A$2:$OJ$901,816,MATCH($B$2&amp;"|xK",Aux_puntos!$1:$1,0))="",NA(),INDEX(Aux_puntos!$A$2:$OJ$901,816,MATCH($B$2&amp;"|xK",Aux_puntos!$1:$1,0))),NA())</f>
        <v>#N/A</v>
      </c>
      <c r="AD820" t="e">
        <f>IFERROR(IF(INDEX(Aux_puntos!$A$2:$OJ$901,816,MATCH($B$2&amp;"|yK",Aux_puntos!$1:$1,0))="",NA(),INDEX(Aux_puntos!$A$2:$OJ$901,816,MATCH($B$2&amp;"|yK",Aux_puntos!$1:$1,0))),NA())</f>
        <v>#N/A</v>
      </c>
      <c r="AE820" t="e">
        <f>IFERROR(IF(INDEX(Aux_puntos!$A$2:$OJ$901,816,MATCH($B$2&amp;"|xC",Aux_puntos!$1:$1,0))="",NA(),INDEX(Aux_puntos!$A$2:$OJ$901,816,MATCH($B$2&amp;"|xC",Aux_puntos!$1:$1,0))),NA())</f>
        <v>#N/A</v>
      </c>
      <c r="AF820" t="e">
        <f>IFERROR(IF(INDEX(Aux_puntos!$A$2:$OJ$901,816,MATCH($B$2&amp;"|yC",Aux_puntos!$1:$1,0))="",NA(),INDEX(Aux_puntos!$A$2:$OJ$901,816,MATCH($B$2&amp;"|yC",Aux_puntos!$1:$1,0))),NA())</f>
        <v>#N/A</v>
      </c>
      <c r="AG820" t="e">
        <f>IFERROR(IF(INDEX(Aux_puntos!$A$2:$OJ$901,816,MATCH($B$2&amp;"|xI",Aux_puntos!$1:$1,0))="",NA(),INDEX(Aux_puntos!$A$2:$OJ$901,816,MATCH($B$2&amp;"|xI",Aux_puntos!$1:$1,0))),NA())</f>
        <v>#N/A</v>
      </c>
      <c r="AH820" t="e">
        <f>IFERROR(IF(INDEX(Aux_puntos!$A$2:$OJ$901,816,MATCH($B$2&amp;"|yI",Aux_puntos!$1:$1,0))="",NA(),INDEX(Aux_puntos!$A$2:$OJ$901,816,MATCH($B$2&amp;"|yI",Aux_puntos!$1:$1,0))),NA())</f>
        <v>#N/A</v>
      </c>
      <c r="AI820" t="e">
        <f>IFERROR(IF(INDEX(Aux_puntos!$A$2:$OJ$901,816,MATCH($B$2&amp;"|xN",Aux_puntos!$1:$1,0))="",NA(),INDEX(Aux_puntos!$A$2:$OJ$901,816,MATCH($B$2&amp;"|xN",Aux_puntos!$1:$1,0))),NA())</f>
        <v>#N/A</v>
      </c>
      <c r="AJ820" t="e">
        <f>IFERROR(IF(INDEX(Aux_puntos!$A$2:$OJ$901,816,MATCH($B$2&amp;"|yN",Aux_puntos!$1:$1,0))="",NA(),INDEX(Aux_puntos!$A$2:$OJ$901,816,MATCH($B$2&amp;"|yN",Aux_puntos!$1:$1,0))),NA())</f>
        <v>#N/A</v>
      </c>
    </row>
    <row r="821" spans="29:36" x14ac:dyDescent="0.3">
      <c r="AC821" t="e">
        <f>IFERROR(IF(INDEX(Aux_puntos!$A$2:$OJ$901,817,MATCH($B$2&amp;"|xK",Aux_puntos!$1:$1,0))="",NA(),INDEX(Aux_puntos!$A$2:$OJ$901,817,MATCH($B$2&amp;"|xK",Aux_puntos!$1:$1,0))),NA())</f>
        <v>#N/A</v>
      </c>
      <c r="AD821" t="e">
        <f>IFERROR(IF(INDEX(Aux_puntos!$A$2:$OJ$901,817,MATCH($B$2&amp;"|yK",Aux_puntos!$1:$1,0))="",NA(),INDEX(Aux_puntos!$A$2:$OJ$901,817,MATCH($B$2&amp;"|yK",Aux_puntos!$1:$1,0))),NA())</f>
        <v>#N/A</v>
      </c>
      <c r="AE821" t="e">
        <f>IFERROR(IF(INDEX(Aux_puntos!$A$2:$OJ$901,817,MATCH($B$2&amp;"|xC",Aux_puntos!$1:$1,0))="",NA(),INDEX(Aux_puntos!$A$2:$OJ$901,817,MATCH($B$2&amp;"|xC",Aux_puntos!$1:$1,0))),NA())</f>
        <v>#N/A</v>
      </c>
      <c r="AF821" t="e">
        <f>IFERROR(IF(INDEX(Aux_puntos!$A$2:$OJ$901,817,MATCH($B$2&amp;"|yC",Aux_puntos!$1:$1,0))="",NA(),INDEX(Aux_puntos!$A$2:$OJ$901,817,MATCH($B$2&amp;"|yC",Aux_puntos!$1:$1,0))),NA())</f>
        <v>#N/A</v>
      </c>
      <c r="AG821" t="e">
        <f>IFERROR(IF(INDEX(Aux_puntos!$A$2:$OJ$901,817,MATCH($B$2&amp;"|xI",Aux_puntos!$1:$1,0))="",NA(),INDEX(Aux_puntos!$A$2:$OJ$901,817,MATCH($B$2&amp;"|xI",Aux_puntos!$1:$1,0))),NA())</f>
        <v>#N/A</v>
      </c>
      <c r="AH821" t="e">
        <f>IFERROR(IF(INDEX(Aux_puntos!$A$2:$OJ$901,817,MATCH($B$2&amp;"|yI",Aux_puntos!$1:$1,0))="",NA(),INDEX(Aux_puntos!$A$2:$OJ$901,817,MATCH($B$2&amp;"|yI",Aux_puntos!$1:$1,0))),NA())</f>
        <v>#N/A</v>
      </c>
      <c r="AI821" t="e">
        <f>IFERROR(IF(INDEX(Aux_puntos!$A$2:$OJ$901,817,MATCH($B$2&amp;"|xN",Aux_puntos!$1:$1,0))="",NA(),INDEX(Aux_puntos!$A$2:$OJ$901,817,MATCH($B$2&amp;"|xN",Aux_puntos!$1:$1,0))),NA())</f>
        <v>#N/A</v>
      </c>
      <c r="AJ821" t="e">
        <f>IFERROR(IF(INDEX(Aux_puntos!$A$2:$OJ$901,817,MATCH($B$2&amp;"|yN",Aux_puntos!$1:$1,0))="",NA(),INDEX(Aux_puntos!$A$2:$OJ$901,817,MATCH($B$2&amp;"|yN",Aux_puntos!$1:$1,0))),NA())</f>
        <v>#N/A</v>
      </c>
    </row>
    <row r="822" spans="29:36" x14ac:dyDescent="0.3">
      <c r="AC822" t="e">
        <f>IFERROR(IF(INDEX(Aux_puntos!$A$2:$OJ$901,818,MATCH($B$2&amp;"|xK",Aux_puntos!$1:$1,0))="",NA(),INDEX(Aux_puntos!$A$2:$OJ$901,818,MATCH($B$2&amp;"|xK",Aux_puntos!$1:$1,0))),NA())</f>
        <v>#N/A</v>
      </c>
      <c r="AD822" t="e">
        <f>IFERROR(IF(INDEX(Aux_puntos!$A$2:$OJ$901,818,MATCH($B$2&amp;"|yK",Aux_puntos!$1:$1,0))="",NA(),INDEX(Aux_puntos!$A$2:$OJ$901,818,MATCH($B$2&amp;"|yK",Aux_puntos!$1:$1,0))),NA())</f>
        <v>#N/A</v>
      </c>
      <c r="AE822" t="e">
        <f>IFERROR(IF(INDEX(Aux_puntos!$A$2:$OJ$901,818,MATCH($B$2&amp;"|xC",Aux_puntos!$1:$1,0))="",NA(),INDEX(Aux_puntos!$A$2:$OJ$901,818,MATCH($B$2&amp;"|xC",Aux_puntos!$1:$1,0))),NA())</f>
        <v>#N/A</v>
      </c>
      <c r="AF822" t="e">
        <f>IFERROR(IF(INDEX(Aux_puntos!$A$2:$OJ$901,818,MATCH($B$2&amp;"|yC",Aux_puntos!$1:$1,0))="",NA(),INDEX(Aux_puntos!$A$2:$OJ$901,818,MATCH($B$2&amp;"|yC",Aux_puntos!$1:$1,0))),NA())</f>
        <v>#N/A</v>
      </c>
      <c r="AG822" t="e">
        <f>IFERROR(IF(INDEX(Aux_puntos!$A$2:$OJ$901,818,MATCH($B$2&amp;"|xI",Aux_puntos!$1:$1,0))="",NA(),INDEX(Aux_puntos!$A$2:$OJ$901,818,MATCH($B$2&amp;"|xI",Aux_puntos!$1:$1,0))),NA())</f>
        <v>#N/A</v>
      </c>
      <c r="AH822" t="e">
        <f>IFERROR(IF(INDEX(Aux_puntos!$A$2:$OJ$901,818,MATCH($B$2&amp;"|yI",Aux_puntos!$1:$1,0))="",NA(),INDEX(Aux_puntos!$A$2:$OJ$901,818,MATCH($B$2&amp;"|yI",Aux_puntos!$1:$1,0))),NA())</f>
        <v>#N/A</v>
      </c>
      <c r="AI822" t="e">
        <f>IFERROR(IF(INDEX(Aux_puntos!$A$2:$OJ$901,818,MATCH($B$2&amp;"|xN",Aux_puntos!$1:$1,0))="",NA(),INDEX(Aux_puntos!$A$2:$OJ$901,818,MATCH($B$2&amp;"|xN",Aux_puntos!$1:$1,0))),NA())</f>
        <v>#N/A</v>
      </c>
      <c r="AJ822" t="e">
        <f>IFERROR(IF(INDEX(Aux_puntos!$A$2:$OJ$901,818,MATCH($B$2&amp;"|yN",Aux_puntos!$1:$1,0))="",NA(),INDEX(Aux_puntos!$A$2:$OJ$901,818,MATCH($B$2&amp;"|yN",Aux_puntos!$1:$1,0))),NA())</f>
        <v>#N/A</v>
      </c>
    </row>
    <row r="823" spans="29:36" x14ac:dyDescent="0.3">
      <c r="AC823" t="e">
        <f>IFERROR(IF(INDEX(Aux_puntos!$A$2:$OJ$901,819,MATCH($B$2&amp;"|xK",Aux_puntos!$1:$1,0))="",NA(),INDEX(Aux_puntos!$A$2:$OJ$901,819,MATCH($B$2&amp;"|xK",Aux_puntos!$1:$1,0))),NA())</f>
        <v>#N/A</v>
      </c>
      <c r="AD823" t="e">
        <f>IFERROR(IF(INDEX(Aux_puntos!$A$2:$OJ$901,819,MATCH($B$2&amp;"|yK",Aux_puntos!$1:$1,0))="",NA(),INDEX(Aux_puntos!$A$2:$OJ$901,819,MATCH($B$2&amp;"|yK",Aux_puntos!$1:$1,0))),NA())</f>
        <v>#N/A</v>
      </c>
      <c r="AE823" t="e">
        <f>IFERROR(IF(INDEX(Aux_puntos!$A$2:$OJ$901,819,MATCH($B$2&amp;"|xC",Aux_puntos!$1:$1,0))="",NA(),INDEX(Aux_puntos!$A$2:$OJ$901,819,MATCH($B$2&amp;"|xC",Aux_puntos!$1:$1,0))),NA())</f>
        <v>#N/A</v>
      </c>
      <c r="AF823" t="e">
        <f>IFERROR(IF(INDEX(Aux_puntos!$A$2:$OJ$901,819,MATCH($B$2&amp;"|yC",Aux_puntos!$1:$1,0))="",NA(),INDEX(Aux_puntos!$A$2:$OJ$901,819,MATCH($B$2&amp;"|yC",Aux_puntos!$1:$1,0))),NA())</f>
        <v>#N/A</v>
      </c>
      <c r="AG823" t="e">
        <f>IFERROR(IF(INDEX(Aux_puntos!$A$2:$OJ$901,819,MATCH($B$2&amp;"|xI",Aux_puntos!$1:$1,0))="",NA(),INDEX(Aux_puntos!$A$2:$OJ$901,819,MATCH($B$2&amp;"|xI",Aux_puntos!$1:$1,0))),NA())</f>
        <v>#N/A</v>
      </c>
      <c r="AH823" t="e">
        <f>IFERROR(IF(INDEX(Aux_puntos!$A$2:$OJ$901,819,MATCH($B$2&amp;"|yI",Aux_puntos!$1:$1,0))="",NA(),INDEX(Aux_puntos!$A$2:$OJ$901,819,MATCH($B$2&amp;"|yI",Aux_puntos!$1:$1,0))),NA())</f>
        <v>#N/A</v>
      </c>
      <c r="AI823" t="e">
        <f>IFERROR(IF(INDEX(Aux_puntos!$A$2:$OJ$901,819,MATCH($B$2&amp;"|xN",Aux_puntos!$1:$1,0))="",NA(),INDEX(Aux_puntos!$A$2:$OJ$901,819,MATCH($B$2&amp;"|xN",Aux_puntos!$1:$1,0))),NA())</f>
        <v>#N/A</v>
      </c>
      <c r="AJ823" t="e">
        <f>IFERROR(IF(INDEX(Aux_puntos!$A$2:$OJ$901,819,MATCH($B$2&amp;"|yN",Aux_puntos!$1:$1,0))="",NA(),INDEX(Aux_puntos!$A$2:$OJ$901,819,MATCH($B$2&amp;"|yN",Aux_puntos!$1:$1,0))),NA())</f>
        <v>#N/A</v>
      </c>
    </row>
    <row r="824" spans="29:36" x14ac:dyDescent="0.3">
      <c r="AC824" t="e">
        <f>IFERROR(IF(INDEX(Aux_puntos!$A$2:$OJ$901,820,MATCH($B$2&amp;"|xK",Aux_puntos!$1:$1,0))="",NA(),INDEX(Aux_puntos!$A$2:$OJ$901,820,MATCH($B$2&amp;"|xK",Aux_puntos!$1:$1,0))),NA())</f>
        <v>#N/A</v>
      </c>
      <c r="AD824" t="e">
        <f>IFERROR(IF(INDEX(Aux_puntos!$A$2:$OJ$901,820,MATCH($B$2&amp;"|yK",Aux_puntos!$1:$1,0))="",NA(),INDEX(Aux_puntos!$A$2:$OJ$901,820,MATCH($B$2&amp;"|yK",Aux_puntos!$1:$1,0))),NA())</f>
        <v>#N/A</v>
      </c>
      <c r="AE824" t="e">
        <f>IFERROR(IF(INDEX(Aux_puntos!$A$2:$OJ$901,820,MATCH($B$2&amp;"|xC",Aux_puntos!$1:$1,0))="",NA(),INDEX(Aux_puntos!$A$2:$OJ$901,820,MATCH($B$2&amp;"|xC",Aux_puntos!$1:$1,0))),NA())</f>
        <v>#N/A</v>
      </c>
      <c r="AF824" t="e">
        <f>IFERROR(IF(INDEX(Aux_puntos!$A$2:$OJ$901,820,MATCH($B$2&amp;"|yC",Aux_puntos!$1:$1,0))="",NA(),INDEX(Aux_puntos!$A$2:$OJ$901,820,MATCH($B$2&amp;"|yC",Aux_puntos!$1:$1,0))),NA())</f>
        <v>#N/A</v>
      </c>
      <c r="AG824" t="e">
        <f>IFERROR(IF(INDEX(Aux_puntos!$A$2:$OJ$901,820,MATCH($B$2&amp;"|xI",Aux_puntos!$1:$1,0))="",NA(),INDEX(Aux_puntos!$A$2:$OJ$901,820,MATCH($B$2&amp;"|xI",Aux_puntos!$1:$1,0))),NA())</f>
        <v>#N/A</v>
      </c>
      <c r="AH824" t="e">
        <f>IFERROR(IF(INDEX(Aux_puntos!$A$2:$OJ$901,820,MATCH($B$2&amp;"|yI",Aux_puntos!$1:$1,0))="",NA(),INDEX(Aux_puntos!$A$2:$OJ$901,820,MATCH($B$2&amp;"|yI",Aux_puntos!$1:$1,0))),NA())</f>
        <v>#N/A</v>
      </c>
      <c r="AI824" t="e">
        <f>IFERROR(IF(INDEX(Aux_puntos!$A$2:$OJ$901,820,MATCH($B$2&amp;"|xN",Aux_puntos!$1:$1,0))="",NA(),INDEX(Aux_puntos!$A$2:$OJ$901,820,MATCH($B$2&amp;"|xN",Aux_puntos!$1:$1,0))),NA())</f>
        <v>#N/A</v>
      </c>
      <c r="AJ824" t="e">
        <f>IFERROR(IF(INDEX(Aux_puntos!$A$2:$OJ$901,820,MATCH($B$2&amp;"|yN",Aux_puntos!$1:$1,0))="",NA(),INDEX(Aux_puntos!$A$2:$OJ$901,820,MATCH($B$2&amp;"|yN",Aux_puntos!$1:$1,0))),NA())</f>
        <v>#N/A</v>
      </c>
    </row>
    <row r="825" spans="29:36" x14ac:dyDescent="0.3">
      <c r="AC825" t="e">
        <f>IFERROR(IF(INDEX(Aux_puntos!$A$2:$OJ$901,821,MATCH($B$2&amp;"|xK",Aux_puntos!$1:$1,0))="",NA(),INDEX(Aux_puntos!$A$2:$OJ$901,821,MATCH($B$2&amp;"|xK",Aux_puntos!$1:$1,0))),NA())</f>
        <v>#N/A</v>
      </c>
      <c r="AD825" t="e">
        <f>IFERROR(IF(INDEX(Aux_puntos!$A$2:$OJ$901,821,MATCH($B$2&amp;"|yK",Aux_puntos!$1:$1,0))="",NA(),INDEX(Aux_puntos!$A$2:$OJ$901,821,MATCH($B$2&amp;"|yK",Aux_puntos!$1:$1,0))),NA())</f>
        <v>#N/A</v>
      </c>
      <c r="AE825" t="e">
        <f>IFERROR(IF(INDEX(Aux_puntos!$A$2:$OJ$901,821,MATCH($B$2&amp;"|xC",Aux_puntos!$1:$1,0))="",NA(),INDEX(Aux_puntos!$A$2:$OJ$901,821,MATCH($B$2&amp;"|xC",Aux_puntos!$1:$1,0))),NA())</f>
        <v>#N/A</v>
      </c>
      <c r="AF825" t="e">
        <f>IFERROR(IF(INDEX(Aux_puntos!$A$2:$OJ$901,821,MATCH($B$2&amp;"|yC",Aux_puntos!$1:$1,0))="",NA(),INDEX(Aux_puntos!$A$2:$OJ$901,821,MATCH($B$2&amp;"|yC",Aux_puntos!$1:$1,0))),NA())</f>
        <v>#N/A</v>
      </c>
      <c r="AG825" t="e">
        <f>IFERROR(IF(INDEX(Aux_puntos!$A$2:$OJ$901,821,MATCH($B$2&amp;"|xI",Aux_puntos!$1:$1,0))="",NA(),INDEX(Aux_puntos!$A$2:$OJ$901,821,MATCH($B$2&amp;"|xI",Aux_puntos!$1:$1,0))),NA())</f>
        <v>#N/A</v>
      </c>
      <c r="AH825" t="e">
        <f>IFERROR(IF(INDEX(Aux_puntos!$A$2:$OJ$901,821,MATCH($B$2&amp;"|yI",Aux_puntos!$1:$1,0))="",NA(),INDEX(Aux_puntos!$A$2:$OJ$901,821,MATCH($B$2&amp;"|yI",Aux_puntos!$1:$1,0))),NA())</f>
        <v>#N/A</v>
      </c>
      <c r="AI825" t="e">
        <f>IFERROR(IF(INDEX(Aux_puntos!$A$2:$OJ$901,821,MATCH($B$2&amp;"|xN",Aux_puntos!$1:$1,0))="",NA(),INDEX(Aux_puntos!$A$2:$OJ$901,821,MATCH($B$2&amp;"|xN",Aux_puntos!$1:$1,0))),NA())</f>
        <v>#N/A</v>
      </c>
      <c r="AJ825" t="e">
        <f>IFERROR(IF(INDEX(Aux_puntos!$A$2:$OJ$901,821,MATCH($B$2&amp;"|yN",Aux_puntos!$1:$1,0))="",NA(),INDEX(Aux_puntos!$A$2:$OJ$901,821,MATCH($B$2&amp;"|yN",Aux_puntos!$1:$1,0))),NA())</f>
        <v>#N/A</v>
      </c>
    </row>
    <row r="826" spans="29:36" x14ac:dyDescent="0.3">
      <c r="AC826" t="e">
        <f>IFERROR(IF(INDEX(Aux_puntos!$A$2:$OJ$901,822,MATCH($B$2&amp;"|xK",Aux_puntos!$1:$1,0))="",NA(),INDEX(Aux_puntos!$A$2:$OJ$901,822,MATCH($B$2&amp;"|xK",Aux_puntos!$1:$1,0))),NA())</f>
        <v>#N/A</v>
      </c>
      <c r="AD826" t="e">
        <f>IFERROR(IF(INDEX(Aux_puntos!$A$2:$OJ$901,822,MATCH($B$2&amp;"|yK",Aux_puntos!$1:$1,0))="",NA(),INDEX(Aux_puntos!$A$2:$OJ$901,822,MATCH($B$2&amp;"|yK",Aux_puntos!$1:$1,0))),NA())</f>
        <v>#N/A</v>
      </c>
      <c r="AE826" t="e">
        <f>IFERROR(IF(INDEX(Aux_puntos!$A$2:$OJ$901,822,MATCH($B$2&amp;"|xC",Aux_puntos!$1:$1,0))="",NA(),INDEX(Aux_puntos!$A$2:$OJ$901,822,MATCH($B$2&amp;"|xC",Aux_puntos!$1:$1,0))),NA())</f>
        <v>#N/A</v>
      </c>
      <c r="AF826" t="e">
        <f>IFERROR(IF(INDEX(Aux_puntos!$A$2:$OJ$901,822,MATCH($B$2&amp;"|yC",Aux_puntos!$1:$1,0))="",NA(),INDEX(Aux_puntos!$A$2:$OJ$901,822,MATCH($B$2&amp;"|yC",Aux_puntos!$1:$1,0))),NA())</f>
        <v>#N/A</v>
      </c>
      <c r="AG826" t="e">
        <f>IFERROR(IF(INDEX(Aux_puntos!$A$2:$OJ$901,822,MATCH($B$2&amp;"|xI",Aux_puntos!$1:$1,0))="",NA(),INDEX(Aux_puntos!$A$2:$OJ$901,822,MATCH($B$2&amp;"|xI",Aux_puntos!$1:$1,0))),NA())</f>
        <v>#N/A</v>
      </c>
      <c r="AH826" t="e">
        <f>IFERROR(IF(INDEX(Aux_puntos!$A$2:$OJ$901,822,MATCH($B$2&amp;"|yI",Aux_puntos!$1:$1,0))="",NA(),INDEX(Aux_puntos!$A$2:$OJ$901,822,MATCH($B$2&amp;"|yI",Aux_puntos!$1:$1,0))),NA())</f>
        <v>#N/A</v>
      </c>
      <c r="AI826" t="e">
        <f>IFERROR(IF(INDEX(Aux_puntos!$A$2:$OJ$901,822,MATCH($B$2&amp;"|xN",Aux_puntos!$1:$1,0))="",NA(),INDEX(Aux_puntos!$A$2:$OJ$901,822,MATCH($B$2&amp;"|xN",Aux_puntos!$1:$1,0))),NA())</f>
        <v>#N/A</v>
      </c>
      <c r="AJ826" t="e">
        <f>IFERROR(IF(INDEX(Aux_puntos!$A$2:$OJ$901,822,MATCH($B$2&amp;"|yN",Aux_puntos!$1:$1,0))="",NA(),INDEX(Aux_puntos!$A$2:$OJ$901,822,MATCH($B$2&amp;"|yN",Aux_puntos!$1:$1,0))),NA())</f>
        <v>#N/A</v>
      </c>
    </row>
    <row r="827" spans="29:36" x14ac:dyDescent="0.3">
      <c r="AC827" t="e">
        <f>IFERROR(IF(INDEX(Aux_puntos!$A$2:$OJ$901,823,MATCH($B$2&amp;"|xK",Aux_puntos!$1:$1,0))="",NA(),INDEX(Aux_puntos!$A$2:$OJ$901,823,MATCH($B$2&amp;"|xK",Aux_puntos!$1:$1,0))),NA())</f>
        <v>#N/A</v>
      </c>
      <c r="AD827" t="e">
        <f>IFERROR(IF(INDEX(Aux_puntos!$A$2:$OJ$901,823,MATCH($B$2&amp;"|yK",Aux_puntos!$1:$1,0))="",NA(),INDEX(Aux_puntos!$A$2:$OJ$901,823,MATCH($B$2&amp;"|yK",Aux_puntos!$1:$1,0))),NA())</f>
        <v>#N/A</v>
      </c>
      <c r="AE827" t="e">
        <f>IFERROR(IF(INDEX(Aux_puntos!$A$2:$OJ$901,823,MATCH($B$2&amp;"|xC",Aux_puntos!$1:$1,0))="",NA(),INDEX(Aux_puntos!$A$2:$OJ$901,823,MATCH($B$2&amp;"|xC",Aux_puntos!$1:$1,0))),NA())</f>
        <v>#N/A</v>
      </c>
      <c r="AF827" t="e">
        <f>IFERROR(IF(INDEX(Aux_puntos!$A$2:$OJ$901,823,MATCH($B$2&amp;"|yC",Aux_puntos!$1:$1,0))="",NA(),INDEX(Aux_puntos!$A$2:$OJ$901,823,MATCH($B$2&amp;"|yC",Aux_puntos!$1:$1,0))),NA())</f>
        <v>#N/A</v>
      </c>
      <c r="AG827" t="e">
        <f>IFERROR(IF(INDEX(Aux_puntos!$A$2:$OJ$901,823,MATCH($B$2&amp;"|xI",Aux_puntos!$1:$1,0))="",NA(),INDEX(Aux_puntos!$A$2:$OJ$901,823,MATCH($B$2&amp;"|xI",Aux_puntos!$1:$1,0))),NA())</f>
        <v>#N/A</v>
      </c>
      <c r="AH827" t="e">
        <f>IFERROR(IF(INDEX(Aux_puntos!$A$2:$OJ$901,823,MATCH($B$2&amp;"|yI",Aux_puntos!$1:$1,0))="",NA(),INDEX(Aux_puntos!$A$2:$OJ$901,823,MATCH($B$2&amp;"|yI",Aux_puntos!$1:$1,0))),NA())</f>
        <v>#N/A</v>
      </c>
      <c r="AI827" t="e">
        <f>IFERROR(IF(INDEX(Aux_puntos!$A$2:$OJ$901,823,MATCH($B$2&amp;"|xN",Aux_puntos!$1:$1,0))="",NA(),INDEX(Aux_puntos!$A$2:$OJ$901,823,MATCH($B$2&amp;"|xN",Aux_puntos!$1:$1,0))),NA())</f>
        <v>#N/A</v>
      </c>
      <c r="AJ827" t="e">
        <f>IFERROR(IF(INDEX(Aux_puntos!$A$2:$OJ$901,823,MATCH($B$2&amp;"|yN",Aux_puntos!$1:$1,0))="",NA(),INDEX(Aux_puntos!$A$2:$OJ$901,823,MATCH($B$2&amp;"|yN",Aux_puntos!$1:$1,0))),NA())</f>
        <v>#N/A</v>
      </c>
    </row>
    <row r="828" spans="29:36" x14ac:dyDescent="0.3">
      <c r="AC828" t="e">
        <f>IFERROR(IF(INDEX(Aux_puntos!$A$2:$OJ$901,824,MATCH($B$2&amp;"|xK",Aux_puntos!$1:$1,0))="",NA(),INDEX(Aux_puntos!$A$2:$OJ$901,824,MATCH($B$2&amp;"|xK",Aux_puntos!$1:$1,0))),NA())</f>
        <v>#N/A</v>
      </c>
      <c r="AD828" t="e">
        <f>IFERROR(IF(INDEX(Aux_puntos!$A$2:$OJ$901,824,MATCH($B$2&amp;"|yK",Aux_puntos!$1:$1,0))="",NA(),INDEX(Aux_puntos!$A$2:$OJ$901,824,MATCH($B$2&amp;"|yK",Aux_puntos!$1:$1,0))),NA())</f>
        <v>#N/A</v>
      </c>
      <c r="AE828" t="e">
        <f>IFERROR(IF(INDEX(Aux_puntos!$A$2:$OJ$901,824,MATCH($B$2&amp;"|xC",Aux_puntos!$1:$1,0))="",NA(),INDEX(Aux_puntos!$A$2:$OJ$901,824,MATCH($B$2&amp;"|xC",Aux_puntos!$1:$1,0))),NA())</f>
        <v>#N/A</v>
      </c>
      <c r="AF828" t="e">
        <f>IFERROR(IF(INDEX(Aux_puntos!$A$2:$OJ$901,824,MATCH($B$2&amp;"|yC",Aux_puntos!$1:$1,0))="",NA(),INDEX(Aux_puntos!$A$2:$OJ$901,824,MATCH($B$2&amp;"|yC",Aux_puntos!$1:$1,0))),NA())</f>
        <v>#N/A</v>
      </c>
      <c r="AG828" t="e">
        <f>IFERROR(IF(INDEX(Aux_puntos!$A$2:$OJ$901,824,MATCH($B$2&amp;"|xI",Aux_puntos!$1:$1,0))="",NA(),INDEX(Aux_puntos!$A$2:$OJ$901,824,MATCH($B$2&amp;"|xI",Aux_puntos!$1:$1,0))),NA())</f>
        <v>#N/A</v>
      </c>
      <c r="AH828" t="e">
        <f>IFERROR(IF(INDEX(Aux_puntos!$A$2:$OJ$901,824,MATCH($B$2&amp;"|yI",Aux_puntos!$1:$1,0))="",NA(),INDEX(Aux_puntos!$A$2:$OJ$901,824,MATCH($B$2&amp;"|yI",Aux_puntos!$1:$1,0))),NA())</f>
        <v>#N/A</v>
      </c>
      <c r="AI828" t="e">
        <f>IFERROR(IF(INDEX(Aux_puntos!$A$2:$OJ$901,824,MATCH($B$2&amp;"|xN",Aux_puntos!$1:$1,0))="",NA(),INDEX(Aux_puntos!$A$2:$OJ$901,824,MATCH($B$2&amp;"|xN",Aux_puntos!$1:$1,0))),NA())</f>
        <v>#N/A</v>
      </c>
      <c r="AJ828" t="e">
        <f>IFERROR(IF(INDEX(Aux_puntos!$A$2:$OJ$901,824,MATCH($B$2&amp;"|yN",Aux_puntos!$1:$1,0))="",NA(),INDEX(Aux_puntos!$A$2:$OJ$901,824,MATCH($B$2&amp;"|yN",Aux_puntos!$1:$1,0))),NA())</f>
        <v>#N/A</v>
      </c>
    </row>
    <row r="829" spans="29:36" x14ac:dyDescent="0.3">
      <c r="AC829" t="e">
        <f>IFERROR(IF(INDEX(Aux_puntos!$A$2:$OJ$901,825,MATCH($B$2&amp;"|xK",Aux_puntos!$1:$1,0))="",NA(),INDEX(Aux_puntos!$A$2:$OJ$901,825,MATCH($B$2&amp;"|xK",Aux_puntos!$1:$1,0))),NA())</f>
        <v>#N/A</v>
      </c>
      <c r="AD829" t="e">
        <f>IFERROR(IF(INDEX(Aux_puntos!$A$2:$OJ$901,825,MATCH($B$2&amp;"|yK",Aux_puntos!$1:$1,0))="",NA(),INDEX(Aux_puntos!$A$2:$OJ$901,825,MATCH($B$2&amp;"|yK",Aux_puntos!$1:$1,0))),NA())</f>
        <v>#N/A</v>
      </c>
      <c r="AE829" t="e">
        <f>IFERROR(IF(INDEX(Aux_puntos!$A$2:$OJ$901,825,MATCH($B$2&amp;"|xC",Aux_puntos!$1:$1,0))="",NA(),INDEX(Aux_puntos!$A$2:$OJ$901,825,MATCH($B$2&amp;"|xC",Aux_puntos!$1:$1,0))),NA())</f>
        <v>#N/A</v>
      </c>
      <c r="AF829" t="e">
        <f>IFERROR(IF(INDEX(Aux_puntos!$A$2:$OJ$901,825,MATCH($B$2&amp;"|yC",Aux_puntos!$1:$1,0))="",NA(),INDEX(Aux_puntos!$A$2:$OJ$901,825,MATCH($B$2&amp;"|yC",Aux_puntos!$1:$1,0))),NA())</f>
        <v>#N/A</v>
      </c>
      <c r="AG829" t="e">
        <f>IFERROR(IF(INDEX(Aux_puntos!$A$2:$OJ$901,825,MATCH($B$2&amp;"|xI",Aux_puntos!$1:$1,0))="",NA(),INDEX(Aux_puntos!$A$2:$OJ$901,825,MATCH($B$2&amp;"|xI",Aux_puntos!$1:$1,0))),NA())</f>
        <v>#N/A</v>
      </c>
      <c r="AH829" t="e">
        <f>IFERROR(IF(INDEX(Aux_puntos!$A$2:$OJ$901,825,MATCH($B$2&amp;"|yI",Aux_puntos!$1:$1,0))="",NA(),INDEX(Aux_puntos!$A$2:$OJ$901,825,MATCH($B$2&amp;"|yI",Aux_puntos!$1:$1,0))),NA())</f>
        <v>#N/A</v>
      </c>
      <c r="AI829" t="e">
        <f>IFERROR(IF(INDEX(Aux_puntos!$A$2:$OJ$901,825,MATCH($B$2&amp;"|xN",Aux_puntos!$1:$1,0))="",NA(),INDEX(Aux_puntos!$A$2:$OJ$901,825,MATCH($B$2&amp;"|xN",Aux_puntos!$1:$1,0))),NA())</f>
        <v>#N/A</v>
      </c>
      <c r="AJ829" t="e">
        <f>IFERROR(IF(INDEX(Aux_puntos!$A$2:$OJ$901,825,MATCH($B$2&amp;"|yN",Aux_puntos!$1:$1,0))="",NA(),INDEX(Aux_puntos!$A$2:$OJ$901,825,MATCH($B$2&amp;"|yN",Aux_puntos!$1:$1,0))),NA())</f>
        <v>#N/A</v>
      </c>
    </row>
    <row r="830" spans="29:36" x14ac:dyDescent="0.3">
      <c r="AC830" t="e">
        <f>IFERROR(IF(INDEX(Aux_puntos!$A$2:$OJ$901,826,MATCH($B$2&amp;"|xK",Aux_puntos!$1:$1,0))="",NA(),INDEX(Aux_puntos!$A$2:$OJ$901,826,MATCH($B$2&amp;"|xK",Aux_puntos!$1:$1,0))),NA())</f>
        <v>#N/A</v>
      </c>
      <c r="AD830" t="e">
        <f>IFERROR(IF(INDEX(Aux_puntos!$A$2:$OJ$901,826,MATCH($B$2&amp;"|yK",Aux_puntos!$1:$1,0))="",NA(),INDEX(Aux_puntos!$A$2:$OJ$901,826,MATCH($B$2&amp;"|yK",Aux_puntos!$1:$1,0))),NA())</f>
        <v>#N/A</v>
      </c>
      <c r="AE830" t="e">
        <f>IFERROR(IF(INDEX(Aux_puntos!$A$2:$OJ$901,826,MATCH($B$2&amp;"|xC",Aux_puntos!$1:$1,0))="",NA(),INDEX(Aux_puntos!$A$2:$OJ$901,826,MATCH($B$2&amp;"|xC",Aux_puntos!$1:$1,0))),NA())</f>
        <v>#N/A</v>
      </c>
      <c r="AF830" t="e">
        <f>IFERROR(IF(INDEX(Aux_puntos!$A$2:$OJ$901,826,MATCH($B$2&amp;"|yC",Aux_puntos!$1:$1,0))="",NA(),INDEX(Aux_puntos!$A$2:$OJ$901,826,MATCH($B$2&amp;"|yC",Aux_puntos!$1:$1,0))),NA())</f>
        <v>#N/A</v>
      </c>
      <c r="AG830" t="e">
        <f>IFERROR(IF(INDEX(Aux_puntos!$A$2:$OJ$901,826,MATCH($B$2&amp;"|xI",Aux_puntos!$1:$1,0))="",NA(),INDEX(Aux_puntos!$A$2:$OJ$901,826,MATCH($B$2&amp;"|xI",Aux_puntos!$1:$1,0))),NA())</f>
        <v>#N/A</v>
      </c>
      <c r="AH830" t="e">
        <f>IFERROR(IF(INDEX(Aux_puntos!$A$2:$OJ$901,826,MATCH($B$2&amp;"|yI",Aux_puntos!$1:$1,0))="",NA(),INDEX(Aux_puntos!$A$2:$OJ$901,826,MATCH($B$2&amp;"|yI",Aux_puntos!$1:$1,0))),NA())</f>
        <v>#N/A</v>
      </c>
      <c r="AI830" t="e">
        <f>IFERROR(IF(INDEX(Aux_puntos!$A$2:$OJ$901,826,MATCH($B$2&amp;"|xN",Aux_puntos!$1:$1,0))="",NA(),INDEX(Aux_puntos!$A$2:$OJ$901,826,MATCH($B$2&amp;"|xN",Aux_puntos!$1:$1,0))),NA())</f>
        <v>#N/A</v>
      </c>
      <c r="AJ830" t="e">
        <f>IFERROR(IF(INDEX(Aux_puntos!$A$2:$OJ$901,826,MATCH($B$2&amp;"|yN",Aux_puntos!$1:$1,0))="",NA(),INDEX(Aux_puntos!$A$2:$OJ$901,826,MATCH($B$2&amp;"|yN",Aux_puntos!$1:$1,0))),NA())</f>
        <v>#N/A</v>
      </c>
    </row>
    <row r="831" spans="29:36" x14ac:dyDescent="0.3">
      <c r="AC831" t="e">
        <f>IFERROR(IF(INDEX(Aux_puntos!$A$2:$OJ$901,827,MATCH($B$2&amp;"|xK",Aux_puntos!$1:$1,0))="",NA(),INDEX(Aux_puntos!$A$2:$OJ$901,827,MATCH($B$2&amp;"|xK",Aux_puntos!$1:$1,0))),NA())</f>
        <v>#N/A</v>
      </c>
      <c r="AD831" t="e">
        <f>IFERROR(IF(INDEX(Aux_puntos!$A$2:$OJ$901,827,MATCH($B$2&amp;"|yK",Aux_puntos!$1:$1,0))="",NA(),INDEX(Aux_puntos!$A$2:$OJ$901,827,MATCH($B$2&amp;"|yK",Aux_puntos!$1:$1,0))),NA())</f>
        <v>#N/A</v>
      </c>
      <c r="AE831" t="e">
        <f>IFERROR(IF(INDEX(Aux_puntos!$A$2:$OJ$901,827,MATCH($B$2&amp;"|xC",Aux_puntos!$1:$1,0))="",NA(),INDEX(Aux_puntos!$A$2:$OJ$901,827,MATCH($B$2&amp;"|xC",Aux_puntos!$1:$1,0))),NA())</f>
        <v>#N/A</v>
      </c>
      <c r="AF831" t="e">
        <f>IFERROR(IF(INDEX(Aux_puntos!$A$2:$OJ$901,827,MATCH($B$2&amp;"|yC",Aux_puntos!$1:$1,0))="",NA(),INDEX(Aux_puntos!$A$2:$OJ$901,827,MATCH($B$2&amp;"|yC",Aux_puntos!$1:$1,0))),NA())</f>
        <v>#N/A</v>
      </c>
      <c r="AG831" t="e">
        <f>IFERROR(IF(INDEX(Aux_puntos!$A$2:$OJ$901,827,MATCH($B$2&amp;"|xI",Aux_puntos!$1:$1,0))="",NA(),INDEX(Aux_puntos!$A$2:$OJ$901,827,MATCH($B$2&amp;"|xI",Aux_puntos!$1:$1,0))),NA())</f>
        <v>#N/A</v>
      </c>
      <c r="AH831" t="e">
        <f>IFERROR(IF(INDEX(Aux_puntos!$A$2:$OJ$901,827,MATCH($B$2&amp;"|yI",Aux_puntos!$1:$1,0))="",NA(),INDEX(Aux_puntos!$A$2:$OJ$901,827,MATCH($B$2&amp;"|yI",Aux_puntos!$1:$1,0))),NA())</f>
        <v>#N/A</v>
      </c>
      <c r="AI831" t="e">
        <f>IFERROR(IF(INDEX(Aux_puntos!$A$2:$OJ$901,827,MATCH($B$2&amp;"|xN",Aux_puntos!$1:$1,0))="",NA(),INDEX(Aux_puntos!$A$2:$OJ$901,827,MATCH($B$2&amp;"|xN",Aux_puntos!$1:$1,0))),NA())</f>
        <v>#N/A</v>
      </c>
      <c r="AJ831" t="e">
        <f>IFERROR(IF(INDEX(Aux_puntos!$A$2:$OJ$901,827,MATCH($B$2&amp;"|yN",Aux_puntos!$1:$1,0))="",NA(),INDEX(Aux_puntos!$A$2:$OJ$901,827,MATCH($B$2&amp;"|yN",Aux_puntos!$1:$1,0))),NA())</f>
        <v>#N/A</v>
      </c>
    </row>
    <row r="832" spans="29:36" x14ac:dyDescent="0.3">
      <c r="AC832" t="e">
        <f>IFERROR(IF(INDEX(Aux_puntos!$A$2:$OJ$901,828,MATCH($B$2&amp;"|xK",Aux_puntos!$1:$1,0))="",NA(),INDEX(Aux_puntos!$A$2:$OJ$901,828,MATCH($B$2&amp;"|xK",Aux_puntos!$1:$1,0))),NA())</f>
        <v>#N/A</v>
      </c>
      <c r="AD832" t="e">
        <f>IFERROR(IF(INDEX(Aux_puntos!$A$2:$OJ$901,828,MATCH($B$2&amp;"|yK",Aux_puntos!$1:$1,0))="",NA(),INDEX(Aux_puntos!$A$2:$OJ$901,828,MATCH($B$2&amp;"|yK",Aux_puntos!$1:$1,0))),NA())</f>
        <v>#N/A</v>
      </c>
      <c r="AE832" t="e">
        <f>IFERROR(IF(INDEX(Aux_puntos!$A$2:$OJ$901,828,MATCH($B$2&amp;"|xC",Aux_puntos!$1:$1,0))="",NA(),INDEX(Aux_puntos!$A$2:$OJ$901,828,MATCH($B$2&amp;"|xC",Aux_puntos!$1:$1,0))),NA())</f>
        <v>#N/A</v>
      </c>
      <c r="AF832" t="e">
        <f>IFERROR(IF(INDEX(Aux_puntos!$A$2:$OJ$901,828,MATCH($B$2&amp;"|yC",Aux_puntos!$1:$1,0))="",NA(),INDEX(Aux_puntos!$A$2:$OJ$901,828,MATCH($B$2&amp;"|yC",Aux_puntos!$1:$1,0))),NA())</f>
        <v>#N/A</v>
      </c>
      <c r="AG832" t="e">
        <f>IFERROR(IF(INDEX(Aux_puntos!$A$2:$OJ$901,828,MATCH($B$2&amp;"|xI",Aux_puntos!$1:$1,0))="",NA(),INDEX(Aux_puntos!$A$2:$OJ$901,828,MATCH($B$2&amp;"|xI",Aux_puntos!$1:$1,0))),NA())</f>
        <v>#N/A</v>
      </c>
      <c r="AH832" t="e">
        <f>IFERROR(IF(INDEX(Aux_puntos!$A$2:$OJ$901,828,MATCH($B$2&amp;"|yI",Aux_puntos!$1:$1,0))="",NA(),INDEX(Aux_puntos!$A$2:$OJ$901,828,MATCH($B$2&amp;"|yI",Aux_puntos!$1:$1,0))),NA())</f>
        <v>#N/A</v>
      </c>
      <c r="AI832" t="e">
        <f>IFERROR(IF(INDEX(Aux_puntos!$A$2:$OJ$901,828,MATCH($B$2&amp;"|xN",Aux_puntos!$1:$1,0))="",NA(),INDEX(Aux_puntos!$A$2:$OJ$901,828,MATCH($B$2&amp;"|xN",Aux_puntos!$1:$1,0))),NA())</f>
        <v>#N/A</v>
      </c>
      <c r="AJ832" t="e">
        <f>IFERROR(IF(INDEX(Aux_puntos!$A$2:$OJ$901,828,MATCH($B$2&amp;"|yN",Aux_puntos!$1:$1,0))="",NA(),INDEX(Aux_puntos!$A$2:$OJ$901,828,MATCH($B$2&amp;"|yN",Aux_puntos!$1:$1,0))),NA())</f>
        <v>#N/A</v>
      </c>
    </row>
    <row r="833" spans="29:36" x14ac:dyDescent="0.3">
      <c r="AC833" t="e">
        <f>IFERROR(IF(INDEX(Aux_puntos!$A$2:$OJ$901,829,MATCH($B$2&amp;"|xK",Aux_puntos!$1:$1,0))="",NA(),INDEX(Aux_puntos!$A$2:$OJ$901,829,MATCH($B$2&amp;"|xK",Aux_puntos!$1:$1,0))),NA())</f>
        <v>#N/A</v>
      </c>
      <c r="AD833" t="e">
        <f>IFERROR(IF(INDEX(Aux_puntos!$A$2:$OJ$901,829,MATCH($B$2&amp;"|yK",Aux_puntos!$1:$1,0))="",NA(),INDEX(Aux_puntos!$A$2:$OJ$901,829,MATCH($B$2&amp;"|yK",Aux_puntos!$1:$1,0))),NA())</f>
        <v>#N/A</v>
      </c>
      <c r="AE833" t="e">
        <f>IFERROR(IF(INDEX(Aux_puntos!$A$2:$OJ$901,829,MATCH($B$2&amp;"|xC",Aux_puntos!$1:$1,0))="",NA(),INDEX(Aux_puntos!$A$2:$OJ$901,829,MATCH($B$2&amp;"|xC",Aux_puntos!$1:$1,0))),NA())</f>
        <v>#N/A</v>
      </c>
      <c r="AF833" t="e">
        <f>IFERROR(IF(INDEX(Aux_puntos!$A$2:$OJ$901,829,MATCH($B$2&amp;"|yC",Aux_puntos!$1:$1,0))="",NA(),INDEX(Aux_puntos!$A$2:$OJ$901,829,MATCH($B$2&amp;"|yC",Aux_puntos!$1:$1,0))),NA())</f>
        <v>#N/A</v>
      </c>
      <c r="AG833" t="e">
        <f>IFERROR(IF(INDEX(Aux_puntos!$A$2:$OJ$901,829,MATCH($B$2&amp;"|xI",Aux_puntos!$1:$1,0))="",NA(),INDEX(Aux_puntos!$A$2:$OJ$901,829,MATCH($B$2&amp;"|xI",Aux_puntos!$1:$1,0))),NA())</f>
        <v>#N/A</v>
      </c>
      <c r="AH833" t="e">
        <f>IFERROR(IF(INDEX(Aux_puntos!$A$2:$OJ$901,829,MATCH($B$2&amp;"|yI",Aux_puntos!$1:$1,0))="",NA(),INDEX(Aux_puntos!$A$2:$OJ$901,829,MATCH($B$2&amp;"|yI",Aux_puntos!$1:$1,0))),NA())</f>
        <v>#N/A</v>
      </c>
      <c r="AI833" t="e">
        <f>IFERROR(IF(INDEX(Aux_puntos!$A$2:$OJ$901,829,MATCH($B$2&amp;"|xN",Aux_puntos!$1:$1,0))="",NA(),INDEX(Aux_puntos!$A$2:$OJ$901,829,MATCH($B$2&amp;"|xN",Aux_puntos!$1:$1,0))),NA())</f>
        <v>#N/A</v>
      </c>
      <c r="AJ833" t="e">
        <f>IFERROR(IF(INDEX(Aux_puntos!$A$2:$OJ$901,829,MATCH($B$2&amp;"|yN",Aux_puntos!$1:$1,0))="",NA(),INDEX(Aux_puntos!$A$2:$OJ$901,829,MATCH($B$2&amp;"|yN",Aux_puntos!$1:$1,0))),NA())</f>
        <v>#N/A</v>
      </c>
    </row>
    <row r="834" spans="29:36" x14ac:dyDescent="0.3">
      <c r="AC834" t="e">
        <f>IFERROR(IF(INDEX(Aux_puntos!$A$2:$OJ$901,830,MATCH($B$2&amp;"|xK",Aux_puntos!$1:$1,0))="",NA(),INDEX(Aux_puntos!$A$2:$OJ$901,830,MATCH($B$2&amp;"|xK",Aux_puntos!$1:$1,0))),NA())</f>
        <v>#N/A</v>
      </c>
      <c r="AD834" t="e">
        <f>IFERROR(IF(INDEX(Aux_puntos!$A$2:$OJ$901,830,MATCH($B$2&amp;"|yK",Aux_puntos!$1:$1,0))="",NA(),INDEX(Aux_puntos!$A$2:$OJ$901,830,MATCH($B$2&amp;"|yK",Aux_puntos!$1:$1,0))),NA())</f>
        <v>#N/A</v>
      </c>
      <c r="AE834" t="e">
        <f>IFERROR(IF(INDEX(Aux_puntos!$A$2:$OJ$901,830,MATCH($B$2&amp;"|xC",Aux_puntos!$1:$1,0))="",NA(),INDEX(Aux_puntos!$A$2:$OJ$901,830,MATCH($B$2&amp;"|xC",Aux_puntos!$1:$1,0))),NA())</f>
        <v>#N/A</v>
      </c>
      <c r="AF834" t="e">
        <f>IFERROR(IF(INDEX(Aux_puntos!$A$2:$OJ$901,830,MATCH($B$2&amp;"|yC",Aux_puntos!$1:$1,0))="",NA(),INDEX(Aux_puntos!$A$2:$OJ$901,830,MATCH($B$2&amp;"|yC",Aux_puntos!$1:$1,0))),NA())</f>
        <v>#N/A</v>
      </c>
      <c r="AG834" t="e">
        <f>IFERROR(IF(INDEX(Aux_puntos!$A$2:$OJ$901,830,MATCH($B$2&amp;"|xI",Aux_puntos!$1:$1,0))="",NA(),INDEX(Aux_puntos!$A$2:$OJ$901,830,MATCH($B$2&amp;"|xI",Aux_puntos!$1:$1,0))),NA())</f>
        <v>#N/A</v>
      </c>
      <c r="AH834" t="e">
        <f>IFERROR(IF(INDEX(Aux_puntos!$A$2:$OJ$901,830,MATCH($B$2&amp;"|yI",Aux_puntos!$1:$1,0))="",NA(),INDEX(Aux_puntos!$A$2:$OJ$901,830,MATCH($B$2&amp;"|yI",Aux_puntos!$1:$1,0))),NA())</f>
        <v>#N/A</v>
      </c>
      <c r="AI834" t="e">
        <f>IFERROR(IF(INDEX(Aux_puntos!$A$2:$OJ$901,830,MATCH($B$2&amp;"|xN",Aux_puntos!$1:$1,0))="",NA(),INDEX(Aux_puntos!$A$2:$OJ$901,830,MATCH($B$2&amp;"|xN",Aux_puntos!$1:$1,0))),NA())</f>
        <v>#N/A</v>
      </c>
      <c r="AJ834" t="e">
        <f>IFERROR(IF(INDEX(Aux_puntos!$A$2:$OJ$901,830,MATCH($B$2&amp;"|yN",Aux_puntos!$1:$1,0))="",NA(),INDEX(Aux_puntos!$A$2:$OJ$901,830,MATCH($B$2&amp;"|yN",Aux_puntos!$1:$1,0))),NA())</f>
        <v>#N/A</v>
      </c>
    </row>
    <row r="835" spans="29:36" x14ac:dyDescent="0.3">
      <c r="AC835" t="e">
        <f>IFERROR(IF(INDEX(Aux_puntos!$A$2:$OJ$901,831,MATCH($B$2&amp;"|xK",Aux_puntos!$1:$1,0))="",NA(),INDEX(Aux_puntos!$A$2:$OJ$901,831,MATCH($B$2&amp;"|xK",Aux_puntos!$1:$1,0))),NA())</f>
        <v>#N/A</v>
      </c>
      <c r="AD835" t="e">
        <f>IFERROR(IF(INDEX(Aux_puntos!$A$2:$OJ$901,831,MATCH($B$2&amp;"|yK",Aux_puntos!$1:$1,0))="",NA(),INDEX(Aux_puntos!$A$2:$OJ$901,831,MATCH($B$2&amp;"|yK",Aux_puntos!$1:$1,0))),NA())</f>
        <v>#N/A</v>
      </c>
      <c r="AE835" t="e">
        <f>IFERROR(IF(INDEX(Aux_puntos!$A$2:$OJ$901,831,MATCH($B$2&amp;"|xC",Aux_puntos!$1:$1,0))="",NA(),INDEX(Aux_puntos!$A$2:$OJ$901,831,MATCH($B$2&amp;"|xC",Aux_puntos!$1:$1,0))),NA())</f>
        <v>#N/A</v>
      </c>
      <c r="AF835" t="e">
        <f>IFERROR(IF(INDEX(Aux_puntos!$A$2:$OJ$901,831,MATCH($B$2&amp;"|yC",Aux_puntos!$1:$1,0))="",NA(),INDEX(Aux_puntos!$A$2:$OJ$901,831,MATCH($B$2&amp;"|yC",Aux_puntos!$1:$1,0))),NA())</f>
        <v>#N/A</v>
      </c>
      <c r="AG835" t="e">
        <f>IFERROR(IF(INDEX(Aux_puntos!$A$2:$OJ$901,831,MATCH($B$2&amp;"|xI",Aux_puntos!$1:$1,0))="",NA(),INDEX(Aux_puntos!$A$2:$OJ$901,831,MATCH($B$2&amp;"|xI",Aux_puntos!$1:$1,0))),NA())</f>
        <v>#N/A</v>
      </c>
      <c r="AH835" t="e">
        <f>IFERROR(IF(INDEX(Aux_puntos!$A$2:$OJ$901,831,MATCH($B$2&amp;"|yI",Aux_puntos!$1:$1,0))="",NA(),INDEX(Aux_puntos!$A$2:$OJ$901,831,MATCH($B$2&amp;"|yI",Aux_puntos!$1:$1,0))),NA())</f>
        <v>#N/A</v>
      </c>
      <c r="AI835" t="e">
        <f>IFERROR(IF(INDEX(Aux_puntos!$A$2:$OJ$901,831,MATCH($B$2&amp;"|xN",Aux_puntos!$1:$1,0))="",NA(),INDEX(Aux_puntos!$A$2:$OJ$901,831,MATCH($B$2&amp;"|xN",Aux_puntos!$1:$1,0))),NA())</f>
        <v>#N/A</v>
      </c>
      <c r="AJ835" t="e">
        <f>IFERROR(IF(INDEX(Aux_puntos!$A$2:$OJ$901,831,MATCH($B$2&amp;"|yN",Aux_puntos!$1:$1,0))="",NA(),INDEX(Aux_puntos!$A$2:$OJ$901,831,MATCH($B$2&amp;"|yN",Aux_puntos!$1:$1,0))),NA())</f>
        <v>#N/A</v>
      </c>
    </row>
    <row r="836" spans="29:36" x14ac:dyDescent="0.3">
      <c r="AC836" t="e">
        <f>IFERROR(IF(INDEX(Aux_puntos!$A$2:$OJ$901,832,MATCH($B$2&amp;"|xK",Aux_puntos!$1:$1,0))="",NA(),INDEX(Aux_puntos!$A$2:$OJ$901,832,MATCH($B$2&amp;"|xK",Aux_puntos!$1:$1,0))),NA())</f>
        <v>#N/A</v>
      </c>
      <c r="AD836" t="e">
        <f>IFERROR(IF(INDEX(Aux_puntos!$A$2:$OJ$901,832,MATCH($B$2&amp;"|yK",Aux_puntos!$1:$1,0))="",NA(),INDEX(Aux_puntos!$A$2:$OJ$901,832,MATCH($B$2&amp;"|yK",Aux_puntos!$1:$1,0))),NA())</f>
        <v>#N/A</v>
      </c>
      <c r="AE836" t="e">
        <f>IFERROR(IF(INDEX(Aux_puntos!$A$2:$OJ$901,832,MATCH($B$2&amp;"|xC",Aux_puntos!$1:$1,0))="",NA(),INDEX(Aux_puntos!$A$2:$OJ$901,832,MATCH($B$2&amp;"|xC",Aux_puntos!$1:$1,0))),NA())</f>
        <v>#N/A</v>
      </c>
      <c r="AF836" t="e">
        <f>IFERROR(IF(INDEX(Aux_puntos!$A$2:$OJ$901,832,MATCH($B$2&amp;"|yC",Aux_puntos!$1:$1,0))="",NA(),INDEX(Aux_puntos!$A$2:$OJ$901,832,MATCH($B$2&amp;"|yC",Aux_puntos!$1:$1,0))),NA())</f>
        <v>#N/A</v>
      </c>
      <c r="AG836" t="e">
        <f>IFERROR(IF(INDEX(Aux_puntos!$A$2:$OJ$901,832,MATCH($B$2&amp;"|xI",Aux_puntos!$1:$1,0))="",NA(),INDEX(Aux_puntos!$A$2:$OJ$901,832,MATCH($B$2&amp;"|xI",Aux_puntos!$1:$1,0))),NA())</f>
        <v>#N/A</v>
      </c>
      <c r="AH836" t="e">
        <f>IFERROR(IF(INDEX(Aux_puntos!$A$2:$OJ$901,832,MATCH($B$2&amp;"|yI",Aux_puntos!$1:$1,0))="",NA(),INDEX(Aux_puntos!$A$2:$OJ$901,832,MATCH($B$2&amp;"|yI",Aux_puntos!$1:$1,0))),NA())</f>
        <v>#N/A</v>
      </c>
      <c r="AI836" t="e">
        <f>IFERROR(IF(INDEX(Aux_puntos!$A$2:$OJ$901,832,MATCH($B$2&amp;"|xN",Aux_puntos!$1:$1,0))="",NA(),INDEX(Aux_puntos!$A$2:$OJ$901,832,MATCH($B$2&amp;"|xN",Aux_puntos!$1:$1,0))),NA())</f>
        <v>#N/A</v>
      </c>
      <c r="AJ836" t="e">
        <f>IFERROR(IF(INDEX(Aux_puntos!$A$2:$OJ$901,832,MATCH($B$2&amp;"|yN",Aux_puntos!$1:$1,0))="",NA(),INDEX(Aux_puntos!$A$2:$OJ$901,832,MATCH($B$2&amp;"|yN",Aux_puntos!$1:$1,0))),NA())</f>
        <v>#N/A</v>
      </c>
    </row>
    <row r="837" spans="29:36" x14ac:dyDescent="0.3">
      <c r="AC837" t="e">
        <f>IFERROR(IF(INDEX(Aux_puntos!$A$2:$OJ$901,833,MATCH($B$2&amp;"|xK",Aux_puntos!$1:$1,0))="",NA(),INDEX(Aux_puntos!$A$2:$OJ$901,833,MATCH($B$2&amp;"|xK",Aux_puntos!$1:$1,0))),NA())</f>
        <v>#N/A</v>
      </c>
      <c r="AD837" t="e">
        <f>IFERROR(IF(INDEX(Aux_puntos!$A$2:$OJ$901,833,MATCH($B$2&amp;"|yK",Aux_puntos!$1:$1,0))="",NA(),INDEX(Aux_puntos!$A$2:$OJ$901,833,MATCH($B$2&amp;"|yK",Aux_puntos!$1:$1,0))),NA())</f>
        <v>#N/A</v>
      </c>
      <c r="AE837" t="e">
        <f>IFERROR(IF(INDEX(Aux_puntos!$A$2:$OJ$901,833,MATCH($B$2&amp;"|xC",Aux_puntos!$1:$1,0))="",NA(),INDEX(Aux_puntos!$A$2:$OJ$901,833,MATCH($B$2&amp;"|xC",Aux_puntos!$1:$1,0))),NA())</f>
        <v>#N/A</v>
      </c>
      <c r="AF837" t="e">
        <f>IFERROR(IF(INDEX(Aux_puntos!$A$2:$OJ$901,833,MATCH($B$2&amp;"|yC",Aux_puntos!$1:$1,0))="",NA(),INDEX(Aux_puntos!$A$2:$OJ$901,833,MATCH($B$2&amp;"|yC",Aux_puntos!$1:$1,0))),NA())</f>
        <v>#N/A</v>
      </c>
      <c r="AG837" t="e">
        <f>IFERROR(IF(INDEX(Aux_puntos!$A$2:$OJ$901,833,MATCH($B$2&amp;"|xI",Aux_puntos!$1:$1,0))="",NA(),INDEX(Aux_puntos!$A$2:$OJ$901,833,MATCH($B$2&amp;"|xI",Aux_puntos!$1:$1,0))),NA())</f>
        <v>#N/A</v>
      </c>
      <c r="AH837" t="e">
        <f>IFERROR(IF(INDEX(Aux_puntos!$A$2:$OJ$901,833,MATCH($B$2&amp;"|yI",Aux_puntos!$1:$1,0))="",NA(),INDEX(Aux_puntos!$A$2:$OJ$901,833,MATCH($B$2&amp;"|yI",Aux_puntos!$1:$1,0))),NA())</f>
        <v>#N/A</v>
      </c>
      <c r="AI837" t="e">
        <f>IFERROR(IF(INDEX(Aux_puntos!$A$2:$OJ$901,833,MATCH($B$2&amp;"|xN",Aux_puntos!$1:$1,0))="",NA(),INDEX(Aux_puntos!$A$2:$OJ$901,833,MATCH($B$2&amp;"|xN",Aux_puntos!$1:$1,0))),NA())</f>
        <v>#N/A</v>
      </c>
      <c r="AJ837" t="e">
        <f>IFERROR(IF(INDEX(Aux_puntos!$A$2:$OJ$901,833,MATCH($B$2&amp;"|yN",Aux_puntos!$1:$1,0))="",NA(),INDEX(Aux_puntos!$A$2:$OJ$901,833,MATCH($B$2&amp;"|yN",Aux_puntos!$1:$1,0))),NA())</f>
        <v>#N/A</v>
      </c>
    </row>
    <row r="838" spans="29:36" x14ac:dyDescent="0.3">
      <c r="AC838" t="e">
        <f>IFERROR(IF(INDEX(Aux_puntos!$A$2:$OJ$901,834,MATCH($B$2&amp;"|xK",Aux_puntos!$1:$1,0))="",NA(),INDEX(Aux_puntos!$A$2:$OJ$901,834,MATCH($B$2&amp;"|xK",Aux_puntos!$1:$1,0))),NA())</f>
        <v>#N/A</v>
      </c>
      <c r="AD838" t="e">
        <f>IFERROR(IF(INDEX(Aux_puntos!$A$2:$OJ$901,834,MATCH($B$2&amp;"|yK",Aux_puntos!$1:$1,0))="",NA(),INDEX(Aux_puntos!$A$2:$OJ$901,834,MATCH($B$2&amp;"|yK",Aux_puntos!$1:$1,0))),NA())</f>
        <v>#N/A</v>
      </c>
      <c r="AE838" t="e">
        <f>IFERROR(IF(INDEX(Aux_puntos!$A$2:$OJ$901,834,MATCH($B$2&amp;"|xC",Aux_puntos!$1:$1,0))="",NA(),INDEX(Aux_puntos!$A$2:$OJ$901,834,MATCH($B$2&amp;"|xC",Aux_puntos!$1:$1,0))),NA())</f>
        <v>#N/A</v>
      </c>
      <c r="AF838" t="e">
        <f>IFERROR(IF(INDEX(Aux_puntos!$A$2:$OJ$901,834,MATCH($B$2&amp;"|yC",Aux_puntos!$1:$1,0))="",NA(),INDEX(Aux_puntos!$A$2:$OJ$901,834,MATCH($B$2&amp;"|yC",Aux_puntos!$1:$1,0))),NA())</f>
        <v>#N/A</v>
      </c>
      <c r="AG838" t="e">
        <f>IFERROR(IF(INDEX(Aux_puntos!$A$2:$OJ$901,834,MATCH($B$2&amp;"|xI",Aux_puntos!$1:$1,0))="",NA(),INDEX(Aux_puntos!$A$2:$OJ$901,834,MATCH($B$2&amp;"|xI",Aux_puntos!$1:$1,0))),NA())</f>
        <v>#N/A</v>
      </c>
      <c r="AH838" t="e">
        <f>IFERROR(IF(INDEX(Aux_puntos!$A$2:$OJ$901,834,MATCH($B$2&amp;"|yI",Aux_puntos!$1:$1,0))="",NA(),INDEX(Aux_puntos!$A$2:$OJ$901,834,MATCH($B$2&amp;"|yI",Aux_puntos!$1:$1,0))),NA())</f>
        <v>#N/A</v>
      </c>
      <c r="AI838" t="e">
        <f>IFERROR(IF(INDEX(Aux_puntos!$A$2:$OJ$901,834,MATCH($B$2&amp;"|xN",Aux_puntos!$1:$1,0))="",NA(),INDEX(Aux_puntos!$A$2:$OJ$901,834,MATCH($B$2&amp;"|xN",Aux_puntos!$1:$1,0))),NA())</f>
        <v>#N/A</v>
      </c>
      <c r="AJ838" t="e">
        <f>IFERROR(IF(INDEX(Aux_puntos!$A$2:$OJ$901,834,MATCH($B$2&amp;"|yN",Aux_puntos!$1:$1,0))="",NA(),INDEX(Aux_puntos!$A$2:$OJ$901,834,MATCH($B$2&amp;"|yN",Aux_puntos!$1:$1,0))),NA())</f>
        <v>#N/A</v>
      </c>
    </row>
    <row r="839" spans="29:36" x14ac:dyDescent="0.3">
      <c r="AC839" t="e">
        <f>IFERROR(IF(INDEX(Aux_puntos!$A$2:$OJ$901,835,MATCH($B$2&amp;"|xK",Aux_puntos!$1:$1,0))="",NA(),INDEX(Aux_puntos!$A$2:$OJ$901,835,MATCH($B$2&amp;"|xK",Aux_puntos!$1:$1,0))),NA())</f>
        <v>#N/A</v>
      </c>
      <c r="AD839" t="e">
        <f>IFERROR(IF(INDEX(Aux_puntos!$A$2:$OJ$901,835,MATCH($B$2&amp;"|yK",Aux_puntos!$1:$1,0))="",NA(),INDEX(Aux_puntos!$A$2:$OJ$901,835,MATCH($B$2&amp;"|yK",Aux_puntos!$1:$1,0))),NA())</f>
        <v>#N/A</v>
      </c>
      <c r="AE839" t="e">
        <f>IFERROR(IF(INDEX(Aux_puntos!$A$2:$OJ$901,835,MATCH($B$2&amp;"|xC",Aux_puntos!$1:$1,0))="",NA(),INDEX(Aux_puntos!$A$2:$OJ$901,835,MATCH($B$2&amp;"|xC",Aux_puntos!$1:$1,0))),NA())</f>
        <v>#N/A</v>
      </c>
      <c r="AF839" t="e">
        <f>IFERROR(IF(INDEX(Aux_puntos!$A$2:$OJ$901,835,MATCH($B$2&amp;"|yC",Aux_puntos!$1:$1,0))="",NA(),INDEX(Aux_puntos!$A$2:$OJ$901,835,MATCH($B$2&amp;"|yC",Aux_puntos!$1:$1,0))),NA())</f>
        <v>#N/A</v>
      </c>
      <c r="AG839" t="e">
        <f>IFERROR(IF(INDEX(Aux_puntos!$A$2:$OJ$901,835,MATCH($B$2&amp;"|xI",Aux_puntos!$1:$1,0))="",NA(),INDEX(Aux_puntos!$A$2:$OJ$901,835,MATCH($B$2&amp;"|xI",Aux_puntos!$1:$1,0))),NA())</f>
        <v>#N/A</v>
      </c>
      <c r="AH839" t="e">
        <f>IFERROR(IF(INDEX(Aux_puntos!$A$2:$OJ$901,835,MATCH($B$2&amp;"|yI",Aux_puntos!$1:$1,0))="",NA(),INDEX(Aux_puntos!$A$2:$OJ$901,835,MATCH($B$2&amp;"|yI",Aux_puntos!$1:$1,0))),NA())</f>
        <v>#N/A</v>
      </c>
      <c r="AI839" t="e">
        <f>IFERROR(IF(INDEX(Aux_puntos!$A$2:$OJ$901,835,MATCH($B$2&amp;"|xN",Aux_puntos!$1:$1,0))="",NA(),INDEX(Aux_puntos!$A$2:$OJ$901,835,MATCH($B$2&amp;"|xN",Aux_puntos!$1:$1,0))),NA())</f>
        <v>#N/A</v>
      </c>
      <c r="AJ839" t="e">
        <f>IFERROR(IF(INDEX(Aux_puntos!$A$2:$OJ$901,835,MATCH($B$2&amp;"|yN",Aux_puntos!$1:$1,0))="",NA(),INDEX(Aux_puntos!$A$2:$OJ$901,835,MATCH($B$2&amp;"|yN",Aux_puntos!$1:$1,0))),NA())</f>
        <v>#N/A</v>
      </c>
    </row>
    <row r="840" spans="29:36" x14ac:dyDescent="0.3">
      <c r="AC840" t="e">
        <f>IFERROR(IF(INDEX(Aux_puntos!$A$2:$OJ$901,836,MATCH($B$2&amp;"|xK",Aux_puntos!$1:$1,0))="",NA(),INDEX(Aux_puntos!$A$2:$OJ$901,836,MATCH($B$2&amp;"|xK",Aux_puntos!$1:$1,0))),NA())</f>
        <v>#N/A</v>
      </c>
      <c r="AD840" t="e">
        <f>IFERROR(IF(INDEX(Aux_puntos!$A$2:$OJ$901,836,MATCH($B$2&amp;"|yK",Aux_puntos!$1:$1,0))="",NA(),INDEX(Aux_puntos!$A$2:$OJ$901,836,MATCH($B$2&amp;"|yK",Aux_puntos!$1:$1,0))),NA())</f>
        <v>#N/A</v>
      </c>
      <c r="AE840" t="e">
        <f>IFERROR(IF(INDEX(Aux_puntos!$A$2:$OJ$901,836,MATCH($B$2&amp;"|xC",Aux_puntos!$1:$1,0))="",NA(),INDEX(Aux_puntos!$A$2:$OJ$901,836,MATCH($B$2&amp;"|xC",Aux_puntos!$1:$1,0))),NA())</f>
        <v>#N/A</v>
      </c>
      <c r="AF840" t="e">
        <f>IFERROR(IF(INDEX(Aux_puntos!$A$2:$OJ$901,836,MATCH($B$2&amp;"|yC",Aux_puntos!$1:$1,0))="",NA(),INDEX(Aux_puntos!$A$2:$OJ$901,836,MATCH($B$2&amp;"|yC",Aux_puntos!$1:$1,0))),NA())</f>
        <v>#N/A</v>
      </c>
      <c r="AG840" t="e">
        <f>IFERROR(IF(INDEX(Aux_puntos!$A$2:$OJ$901,836,MATCH($B$2&amp;"|xI",Aux_puntos!$1:$1,0))="",NA(),INDEX(Aux_puntos!$A$2:$OJ$901,836,MATCH($B$2&amp;"|xI",Aux_puntos!$1:$1,0))),NA())</f>
        <v>#N/A</v>
      </c>
      <c r="AH840" t="e">
        <f>IFERROR(IF(INDEX(Aux_puntos!$A$2:$OJ$901,836,MATCH($B$2&amp;"|yI",Aux_puntos!$1:$1,0))="",NA(),INDEX(Aux_puntos!$A$2:$OJ$901,836,MATCH($B$2&amp;"|yI",Aux_puntos!$1:$1,0))),NA())</f>
        <v>#N/A</v>
      </c>
      <c r="AI840" t="e">
        <f>IFERROR(IF(INDEX(Aux_puntos!$A$2:$OJ$901,836,MATCH($B$2&amp;"|xN",Aux_puntos!$1:$1,0))="",NA(),INDEX(Aux_puntos!$A$2:$OJ$901,836,MATCH($B$2&amp;"|xN",Aux_puntos!$1:$1,0))),NA())</f>
        <v>#N/A</v>
      </c>
      <c r="AJ840" t="e">
        <f>IFERROR(IF(INDEX(Aux_puntos!$A$2:$OJ$901,836,MATCH($B$2&amp;"|yN",Aux_puntos!$1:$1,0))="",NA(),INDEX(Aux_puntos!$A$2:$OJ$901,836,MATCH($B$2&amp;"|yN",Aux_puntos!$1:$1,0))),NA())</f>
        <v>#N/A</v>
      </c>
    </row>
    <row r="841" spans="29:36" x14ac:dyDescent="0.3">
      <c r="AC841" t="e">
        <f>IFERROR(IF(INDEX(Aux_puntos!$A$2:$OJ$901,837,MATCH($B$2&amp;"|xK",Aux_puntos!$1:$1,0))="",NA(),INDEX(Aux_puntos!$A$2:$OJ$901,837,MATCH($B$2&amp;"|xK",Aux_puntos!$1:$1,0))),NA())</f>
        <v>#N/A</v>
      </c>
      <c r="AD841" t="e">
        <f>IFERROR(IF(INDEX(Aux_puntos!$A$2:$OJ$901,837,MATCH($B$2&amp;"|yK",Aux_puntos!$1:$1,0))="",NA(),INDEX(Aux_puntos!$A$2:$OJ$901,837,MATCH($B$2&amp;"|yK",Aux_puntos!$1:$1,0))),NA())</f>
        <v>#N/A</v>
      </c>
      <c r="AE841" t="e">
        <f>IFERROR(IF(INDEX(Aux_puntos!$A$2:$OJ$901,837,MATCH($B$2&amp;"|xC",Aux_puntos!$1:$1,0))="",NA(),INDEX(Aux_puntos!$A$2:$OJ$901,837,MATCH($B$2&amp;"|xC",Aux_puntos!$1:$1,0))),NA())</f>
        <v>#N/A</v>
      </c>
      <c r="AF841" t="e">
        <f>IFERROR(IF(INDEX(Aux_puntos!$A$2:$OJ$901,837,MATCH($B$2&amp;"|yC",Aux_puntos!$1:$1,0))="",NA(),INDEX(Aux_puntos!$A$2:$OJ$901,837,MATCH($B$2&amp;"|yC",Aux_puntos!$1:$1,0))),NA())</f>
        <v>#N/A</v>
      </c>
      <c r="AG841" t="e">
        <f>IFERROR(IF(INDEX(Aux_puntos!$A$2:$OJ$901,837,MATCH($B$2&amp;"|xI",Aux_puntos!$1:$1,0))="",NA(),INDEX(Aux_puntos!$A$2:$OJ$901,837,MATCH($B$2&amp;"|xI",Aux_puntos!$1:$1,0))),NA())</f>
        <v>#N/A</v>
      </c>
      <c r="AH841" t="e">
        <f>IFERROR(IF(INDEX(Aux_puntos!$A$2:$OJ$901,837,MATCH($B$2&amp;"|yI",Aux_puntos!$1:$1,0))="",NA(),INDEX(Aux_puntos!$A$2:$OJ$901,837,MATCH($B$2&amp;"|yI",Aux_puntos!$1:$1,0))),NA())</f>
        <v>#N/A</v>
      </c>
      <c r="AI841" t="e">
        <f>IFERROR(IF(INDEX(Aux_puntos!$A$2:$OJ$901,837,MATCH($B$2&amp;"|xN",Aux_puntos!$1:$1,0))="",NA(),INDEX(Aux_puntos!$A$2:$OJ$901,837,MATCH($B$2&amp;"|xN",Aux_puntos!$1:$1,0))),NA())</f>
        <v>#N/A</v>
      </c>
      <c r="AJ841" t="e">
        <f>IFERROR(IF(INDEX(Aux_puntos!$A$2:$OJ$901,837,MATCH($B$2&amp;"|yN",Aux_puntos!$1:$1,0))="",NA(),INDEX(Aux_puntos!$A$2:$OJ$901,837,MATCH($B$2&amp;"|yN",Aux_puntos!$1:$1,0))),NA())</f>
        <v>#N/A</v>
      </c>
    </row>
    <row r="842" spans="29:36" x14ac:dyDescent="0.3">
      <c r="AC842" t="e">
        <f>IFERROR(IF(INDEX(Aux_puntos!$A$2:$OJ$901,838,MATCH($B$2&amp;"|xK",Aux_puntos!$1:$1,0))="",NA(),INDEX(Aux_puntos!$A$2:$OJ$901,838,MATCH($B$2&amp;"|xK",Aux_puntos!$1:$1,0))),NA())</f>
        <v>#N/A</v>
      </c>
      <c r="AD842" t="e">
        <f>IFERROR(IF(INDEX(Aux_puntos!$A$2:$OJ$901,838,MATCH($B$2&amp;"|yK",Aux_puntos!$1:$1,0))="",NA(),INDEX(Aux_puntos!$A$2:$OJ$901,838,MATCH($B$2&amp;"|yK",Aux_puntos!$1:$1,0))),NA())</f>
        <v>#N/A</v>
      </c>
      <c r="AE842" t="e">
        <f>IFERROR(IF(INDEX(Aux_puntos!$A$2:$OJ$901,838,MATCH($B$2&amp;"|xC",Aux_puntos!$1:$1,0))="",NA(),INDEX(Aux_puntos!$A$2:$OJ$901,838,MATCH($B$2&amp;"|xC",Aux_puntos!$1:$1,0))),NA())</f>
        <v>#N/A</v>
      </c>
      <c r="AF842" t="e">
        <f>IFERROR(IF(INDEX(Aux_puntos!$A$2:$OJ$901,838,MATCH($B$2&amp;"|yC",Aux_puntos!$1:$1,0))="",NA(),INDEX(Aux_puntos!$A$2:$OJ$901,838,MATCH($B$2&amp;"|yC",Aux_puntos!$1:$1,0))),NA())</f>
        <v>#N/A</v>
      </c>
      <c r="AG842" t="e">
        <f>IFERROR(IF(INDEX(Aux_puntos!$A$2:$OJ$901,838,MATCH($B$2&amp;"|xI",Aux_puntos!$1:$1,0))="",NA(),INDEX(Aux_puntos!$A$2:$OJ$901,838,MATCH($B$2&amp;"|xI",Aux_puntos!$1:$1,0))),NA())</f>
        <v>#N/A</v>
      </c>
      <c r="AH842" t="e">
        <f>IFERROR(IF(INDEX(Aux_puntos!$A$2:$OJ$901,838,MATCH($B$2&amp;"|yI",Aux_puntos!$1:$1,0))="",NA(),INDEX(Aux_puntos!$A$2:$OJ$901,838,MATCH($B$2&amp;"|yI",Aux_puntos!$1:$1,0))),NA())</f>
        <v>#N/A</v>
      </c>
      <c r="AI842" t="e">
        <f>IFERROR(IF(INDEX(Aux_puntos!$A$2:$OJ$901,838,MATCH($B$2&amp;"|xN",Aux_puntos!$1:$1,0))="",NA(),INDEX(Aux_puntos!$A$2:$OJ$901,838,MATCH($B$2&amp;"|xN",Aux_puntos!$1:$1,0))),NA())</f>
        <v>#N/A</v>
      </c>
      <c r="AJ842" t="e">
        <f>IFERROR(IF(INDEX(Aux_puntos!$A$2:$OJ$901,838,MATCH($B$2&amp;"|yN",Aux_puntos!$1:$1,0))="",NA(),INDEX(Aux_puntos!$A$2:$OJ$901,838,MATCH($B$2&amp;"|yN",Aux_puntos!$1:$1,0))),NA())</f>
        <v>#N/A</v>
      </c>
    </row>
    <row r="843" spans="29:36" x14ac:dyDescent="0.3">
      <c r="AC843" t="e">
        <f>IFERROR(IF(INDEX(Aux_puntos!$A$2:$OJ$901,839,MATCH($B$2&amp;"|xK",Aux_puntos!$1:$1,0))="",NA(),INDEX(Aux_puntos!$A$2:$OJ$901,839,MATCH($B$2&amp;"|xK",Aux_puntos!$1:$1,0))),NA())</f>
        <v>#N/A</v>
      </c>
      <c r="AD843" t="e">
        <f>IFERROR(IF(INDEX(Aux_puntos!$A$2:$OJ$901,839,MATCH($B$2&amp;"|yK",Aux_puntos!$1:$1,0))="",NA(),INDEX(Aux_puntos!$A$2:$OJ$901,839,MATCH($B$2&amp;"|yK",Aux_puntos!$1:$1,0))),NA())</f>
        <v>#N/A</v>
      </c>
      <c r="AE843" t="e">
        <f>IFERROR(IF(INDEX(Aux_puntos!$A$2:$OJ$901,839,MATCH($B$2&amp;"|xC",Aux_puntos!$1:$1,0))="",NA(),INDEX(Aux_puntos!$A$2:$OJ$901,839,MATCH($B$2&amp;"|xC",Aux_puntos!$1:$1,0))),NA())</f>
        <v>#N/A</v>
      </c>
      <c r="AF843" t="e">
        <f>IFERROR(IF(INDEX(Aux_puntos!$A$2:$OJ$901,839,MATCH($B$2&amp;"|yC",Aux_puntos!$1:$1,0))="",NA(),INDEX(Aux_puntos!$A$2:$OJ$901,839,MATCH($B$2&amp;"|yC",Aux_puntos!$1:$1,0))),NA())</f>
        <v>#N/A</v>
      </c>
      <c r="AG843" t="e">
        <f>IFERROR(IF(INDEX(Aux_puntos!$A$2:$OJ$901,839,MATCH($B$2&amp;"|xI",Aux_puntos!$1:$1,0))="",NA(),INDEX(Aux_puntos!$A$2:$OJ$901,839,MATCH($B$2&amp;"|xI",Aux_puntos!$1:$1,0))),NA())</f>
        <v>#N/A</v>
      </c>
      <c r="AH843" t="e">
        <f>IFERROR(IF(INDEX(Aux_puntos!$A$2:$OJ$901,839,MATCH($B$2&amp;"|yI",Aux_puntos!$1:$1,0))="",NA(),INDEX(Aux_puntos!$A$2:$OJ$901,839,MATCH($B$2&amp;"|yI",Aux_puntos!$1:$1,0))),NA())</f>
        <v>#N/A</v>
      </c>
      <c r="AI843" t="e">
        <f>IFERROR(IF(INDEX(Aux_puntos!$A$2:$OJ$901,839,MATCH($B$2&amp;"|xN",Aux_puntos!$1:$1,0))="",NA(),INDEX(Aux_puntos!$A$2:$OJ$901,839,MATCH($B$2&amp;"|xN",Aux_puntos!$1:$1,0))),NA())</f>
        <v>#N/A</v>
      </c>
      <c r="AJ843" t="e">
        <f>IFERROR(IF(INDEX(Aux_puntos!$A$2:$OJ$901,839,MATCH($B$2&amp;"|yN",Aux_puntos!$1:$1,0))="",NA(),INDEX(Aux_puntos!$A$2:$OJ$901,839,MATCH($B$2&amp;"|yN",Aux_puntos!$1:$1,0))),NA())</f>
        <v>#N/A</v>
      </c>
    </row>
    <row r="844" spans="29:36" x14ac:dyDescent="0.3">
      <c r="AC844" t="e">
        <f>IFERROR(IF(INDEX(Aux_puntos!$A$2:$OJ$901,840,MATCH($B$2&amp;"|xK",Aux_puntos!$1:$1,0))="",NA(),INDEX(Aux_puntos!$A$2:$OJ$901,840,MATCH($B$2&amp;"|xK",Aux_puntos!$1:$1,0))),NA())</f>
        <v>#N/A</v>
      </c>
      <c r="AD844" t="e">
        <f>IFERROR(IF(INDEX(Aux_puntos!$A$2:$OJ$901,840,MATCH($B$2&amp;"|yK",Aux_puntos!$1:$1,0))="",NA(),INDEX(Aux_puntos!$A$2:$OJ$901,840,MATCH($B$2&amp;"|yK",Aux_puntos!$1:$1,0))),NA())</f>
        <v>#N/A</v>
      </c>
      <c r="AE844" t="e">
        <f>IFERROR(IF(INDEX(Aux_puntos!$A$2:$OJ$901,840,MATCH($B$2&amp;"|xC",Aux_puntos!$1:$1,0))="",NA(),INDEX(Aux_puntos!$A$2:$OJ$901,840,MATCH($B$2&amp;"|xC",Aux_puntos!$1:$1,0))),NA())</f>
        <v>#N/A</v>
      </c>
      <c r="AF844" t="e">
        <f>IFERROR(IF(INDEX(Aux_puntos!$A$2:$OJ$901,840,MATCH($B$2&amp;"|yC",Aux_puntos!$1:$1,0))="",NA(),INDEX(Aux_puntos!$A$2:$OJ$901,840,MATCH($B$2&amp;"|yC",Aux_puntos!$1:$1,0))),NA())</f>
        <v>#N/A</v>
      </c>
      <c r="AG844" t="e">
        <f>IFERROR(IF(INDEX(Aux_puntos!$A$2:$OJ$901,840,MATCH($B$2&amp;"|xI",Aux_puntos!$1:$1,0))="",NA(),INDEX(Aux_puntos!$A$2:$OJ$901,840,MATCH($B$2&amp;"|xI",Aux_puntos!$1:$1,0))),NA())</f>
        <v>#N/A</v>
      </c>
      <c r="AH844" t="e">
        <f>IFERROR(IF(INDEX(Aux_puntos!$A$2:$OJ$901,840,MATCH($B$2&amp;"|yI",Aux_puntos!$1:$1,0))="",NA(),INDEX(Aux_puntos!$A$2:$OJ$901,840,MATCH($B$2&amp;"|yI",Aux_puntos!$1:$1,0))),NA())</f>
        <v>#N/A</v>
      </c>
      <c r="AI844" t="e">
        <f>IFERROR(IF(INDEX(Aux_puntos!$A$2:$OJ$901,840,MATCH($B$2&amp;"|xN",Aux_puntos!$1:$1,0))="",NA(),INDEX(Aux_puntos!$A$2:$OJ$901,840,MATCH($B$2&amp;"|xN",Aux_puntos!$1:$1,0))),NA())</f>
        <v>#N/A</v>
      </c>
      <c r="AJ844" t="e">
        <f>IFERROR(IF(INDEX(Aux_puntos!$A$2:$OJ$901,840,MATCH($B$2&amp;"|yN",Aux_puntos!$1:$1,0))="",NA(),INDEX(Aux_puntos!$A$2:$OJ$901,840,MATCH($B$2&amp;"|yN",Aux_puntos!$1:$1,0))),NA())</f>
        <v>#N/A</v>
      </c>
    </row>
    <row r="845" spans="29:36" x14ac:dyDescent="0.3">
      <c r="AC845" t="e">
        <f>IFERROR(IF(INDEX(Aux_puntos!$A$2:$OJ$901,841,MATCH($B$2&amp;"|xK",Aux_puntos!$1:$1,0))="",NA(),INDEX(Aux_puntos!$A$2:$OJ$901,841,MATCH($B$2&amp;"|xK",Aux_puntos!$1:$1,0))),NA())</f>
        <v>#N/A</v>
      </c>
      <c r="AD845" t="e">
        <f>IFERROR(IF(INDEX(Aux_puntos!$A$2:$OJ$901,841,MATCH($B$2&amp;"|yK",Aux_puntos!$1:$1,0))="",NA(),INDEX(Aux_puntos!$A$2:$OJ$901,841,MATCH($B$2&amp;"|yK",Aux_puntos!$1:$1,0))),NA())</f>
        <v>#N/A</v>
      </c>
      <c r="AE845" t="e">
        <f>IFERROR(IF(INDEX(Aux_puntos!$A$2:$OJ$901,841,MATCH($B$2&amp;"|xC",Aux_puntos!$1:$1,0))="",NA(),INDEX(Aux_puntos!$A$2:$OJ$901,841,MATCH($B$2&amp;"|xC",Aux_puntos!$1:$1,0))),NA())</f>
        <v>#N/A</v>
      </c>
      <c r="AF845" t="e">
        <f>IFERROR(IF(INDEX(Aux_puntos!$A$2:$OJ$901,841,MATCH($B$2&amp;"|yC",Aux_puntos!$1:$1,0))="",NA(),INDEX(Aux_puntos!$A$2:$OJ$901,841,MATCH($B$2&amp;"|yC",Aux_puntos!$1:$1,0))),NA())</f>
        <v>#N/A</v>
      </c>
      <c r="AG845" t="e">
        <f>IFERROR(IF(INDEX(Aux_puntos!$A$2:$OJ$901,841,MATCH($B$2&amp;"|xI",Aux_puntos!$1:$1,0))="",NA(),INDEX(Aux_puntos!$A$2:$OJ$901,841,MATCH($B$2&amp;"|xI",Aux_puntos!$1:$1,0))),NA())</f>
        <v>#N/A</v>
      </c>
      <c r="AH845" t="e">
        <f>IFERROR(IF(INDEX(Aux_puntos!$A$2:$OJ$901,841,MATCH($B$2&amp;"|yI",Aux_puntos!$1:$1,0))="",NA(),INDEX(Aux_puntos!$A$2:$OJ$901,841,MATCH($B$2&amp;"|yI",Aux_puntos!$1:$1,0))),NA())</f>
        <v>#N/A</v>
      </c>
      <c r="AI845" t="e">
        <f>IFERROR(IF(INDEX(Aux_puntos!$A$2:$OJ$901,841,MATCH($B$2&amp;"|xN",Aux_puntos!$1:$1,0))="",NA(),INDEX(Aux_puntos!$A$2:$OJ$901,841,MATCH($B$2&amp;"|xN",Aux_puntos!$1:$1,0))),NA())</f>
        <v>#N/A</v>
      </c>
      <c r="AJ845" t="e">
        <f>IFERROR(IF(INDEX(Aux_puntos!$A$2:$OJ$901,841,MATCH($B$2&amp;"|yN",Aux_puntos!$1:$1,0))="",NA(),INDEX(Aux_puntos!$A$2:$OJ$901,841,MATCH($B$2&amp;"|yN",Aux_puntos!$1:$1,0))),NA())</f>
        <v>#N/A</v>
      </c>
    </row>
    <row r="846" spans="29:36" x14ac:dyDescent="0.3">
      <c r="AC846" t="e">
        <f>IFERROR(IF(INDEX(Aux_puntos!$A$2:$OJ$901,842,MATCH($B$2&amp;"|xK",Aux_puntos!$1:$1,0))="",NA(),INDEX(Aux_puntos!$A$2:$OJ$901,842,MATCH($B$2&amp;"|xK",Aux_puntos!$1:$1,0))),NA())</f>
        <v>#N/A</v>
      </c>
      <c r="AD846" t="e">
        <f>IFERROR(IF(INDEX(Aux_puntos!$A$2:$OJ$901,842,MATCH($B$2&amp;"|yK",Aux_puntos!$1:$1,0))="",NA(),INDEX(Aux_puntos!$A$2:$OJ$901,842,MATCH($B$2&amp;"|yK",Aux_puntos!$1:$1,0))),NA())</f>
        <v>#N/A</v>
      </c>
      <c r="AE846" t="e">
        <f>IFERROR(IF(INDEX(Aux_puntos!$A$2:$OJ$901,842,MATCH($B$2&amp;"|xC",Aux_puntos!$1:$1,0))="",NA(),INDEX(Aux_puntos!$A$2:$OJ$901,842,MATCH($B$2&amp;"|xC",Aux_puntos!$1:$1,0))),NA())</f>
        <v>#N/A</v>
      </c>
      <c r="AF846" t="e">
        <f>IFERROR(IF(INDEX(Aux_puntos!$A$2:$OJ$901,842,MATCH($B$2&amp;"|yC",Aux_puntos!$1:$1,0))="",NA(),INDEX(Aux_puntos!$A$2:$OJ$901,842,MATCH($B$2&amp;"|yC",Aux_puntos!$1:$1,0))),NA())</f>
        <v>#N/A</v>
      </c>
      <c r="AG846" t="e">
        <f>IFERROR(IF(INDEX(Aux_puntos!$A$2:$OJ$901,842,MATCH($B$2&amp;"|xI",Aux_puntos!$1:$1,0))="",NA(),INDEX(Aux_puntos!$A$2:$OJ$901,842,MATCH($B$2&amp;"|xI",Aux_puntos!$1:$1,0))),NA())</f>
        <v>#N/A</v>
      </c>
      <c r="AH846" t="e">
        <f>IFERROR(IF(INDEX(Aux_puntos!$A$2:$OJ$901,842,MATCH($B$2&amp;"|yI",Aux_puntos!$1:$1,0))="",NA(),INDEX(Aux_puntos!$A$2:$OJ$901,842,MATCH($B$2&amp;"|yI",Aux_puntos!$1:$1,0))),NA())</f>
        <v>#N/A</v>
      </c>
      <c r="AI846" t="e">
        <f>IFERROR(IF(INDEX(Aux_puntos!$A$2:$OJ$901,842,MATCH($B$2&amp;"|xN",Aux_puntos!$1:$1,0))="",NA(),INDEX(Aux_puntos!$A$2:$OJ$901,842,MATCH($B$2&amp;"|xN",Aux_puntos!$1:$1,0))),NA())</f>
        <v>#N/A</v>
      </c>
      <c r="AJ846" t="e">
        <f>IFERROR(IF(INDEX(Aux_puntos!$A$2:$OJ$901,842,MATCH($B$2&amp;"|yN",Aux_puntos!$1:$1,0))="",NA(),INDEX(Aux_puntos!$A$2:$OJ$901,842,MATCH($B$2&amp;"|yN",Aux_puntos!$1:$1,0))),NA())</f>
        <v>#N/A</v>
      </c>
    </row>
    <row r="847" spans="29:36" x14ac:dyDescent="0.3">
      <c r="AC847" t="e">
        <f>IFERROR(IF(INDEX(Aux_puntos!$A$2:$OJ$901,843,MATCH($B$2&amp;"|xK",Aux_puntos!$1:$1,0))="",NA(),INDEX(Aux_puntos!$A$2:$OJ$901,843,MATCH($B$2&amp;"|xK",Aux_puntos!$1:$1,0))),NA())</f>
        <v>#N/A</v>
      </c>
      <c r="AD847" t="e">
        <f>IFERROR(IF(INDEX(Aux_puntos!$A$2:$OJ$901,843,MATCH($B$2&amp;"|yK",Aux_puntos!$1:$1,0))="",NA(),INDEX(Aux_puntos!$A$2:$OJ$901,843,MATCH($B$2&amp;"|yK",Aux_puntos!$1:$1,0))),NA())</f>
        <v>#N/A</v>
      </c>
      <c r="AE847" t="e">
        <f>IFERROR(IF(INDEX(Aux_puntos!$A$2:$OJ$901,843,MATCH($B$2&amp;"|xC",Aux_puntos!$1:$1,0))="",NA(),INDEX(Aux_puntos!$A$2:$OJ$901,843,MATCH($B$2&amp;"|xC",Aux_puntos!$1:$1,0))),NA())</f>
        <v>#N/A</v>
      </c>
      <c r="AF847" t="e">
        <f>IFERROR(IF(INDEX(Aux_puntos!$A$2:$OJ$901,843,MATCH($B$2&amp;"|yC",Aux_puntos!$1:$1,0))="",NA(),INDEX(Aux_puntos!$A$2:$OJ$901,843,MATCH($B$2&amp;"|yC",Aux_puntos!$1:$1,0))),NA())</f>
        <v>#N/A</v>
      </c>
      <c r="AG847" t="e">
        <f>IFERROR(IF(INDEX(Aux_puntos!$A$2:$OJ$901,843,MATCH($B$2&amp;"|xI",Aux_puntos!$1:$1,0))="",NA(),INDEX(Aux_puntos!$A$2:$OJ$901,843,MATCH($B$2&amp;"|xI",Aux_puntos!$1:$1,0))),NA())</f>
        <v>#N/A</v>
      </c>
      <c r="AH847" t="e">
        <f>IFERROR(IF(INDEX(Aux_puntos!$A$2:$OJ$901,843,MATCH($B$2&amp;"|yI",Aux_puntos!$1:$1,0))="",NA(),INDEX(Aux_puntos!$A$2:$OJ$901,843,MATCH($B$2&amp;"|yI",Aux_puntos!$1:$1,0))),NA())</f>
        <v>#N/A</v>
      </c>
      <c r="AI847" t="e">
        <f>IFERROR(IF(INDEX(Aux_puntos!$A$2:$OJ$901,843,MATCH($B$2&amp;"|xN",Aux_puntos!$1:$1,0))="",NA(),INDEX(Aux_puntos!$A$2:$OJ$901,843,MATCH($B$2&amp;"|xN",Aux_puntos!$1:$1,0))),NA())</f>
        <v>#N/A</v>
      </c>
      <c r="AJ847" t="e">
        <f>IFERROR(IF(INDEX(Aux_puntos!$A$2:$OJ$901,843,MATCH($B$2&amp;"|yN",Aux_puntos!$1:$1,0))="",NA(),INDEX(Aux_puntos!$A$2:$OJ$901,843,MATCH($B$2&amp;"|yN",Aux_puntos!$1:$1,0))),NA())</f>
        <v>#N/A</v>
      </c>
    </row>
    <row r="848" spans="29:36" x14ac:dyDescent="0.3">
      <c r="AC848" t="e">
        <f>IFERROR(IF(INDEX(Aux_puntos!$A$2:$OJ$901,844,MATCH($B$2&amp;"|xK",Aux_puntos!$1:$1,0))="",NA(),INDEX(Aux_puntos!$A$2:$OJ$901,844,MATCH($B$2&amp;"|xK",Aux_puntos!$1:$1,0))),NA())</f>
        <v>#N/A</v>
      </c>
      <c r="AD848" t="e">
        <f>IFERROR(IF(INDEX(Aux_puntos!$A$2:$OJ$901,844,MATCH($B$2&amp;"|yK",Aux_puntos!$1:$1,0))="",NA(),INDEX(Aux_puntos!$A$2:$OJ$901,844,MATCH($B$2&amp;"|yK",Aux_puntos!$1:$1,0))),NA())</f>
        <v>#N/A</v>
      </c>
      <c r="AE848" t="e">
        <f>IFERROR(IF(INDEX(Aux_puntos!$A$2:$OJ$901,844,MATCH($B$2&amp;"|xC",Aux_puntos!$1:$1,0))="",NA(),INDEX(Aux_puntos!$A$2:$OJ$901,844,MATCH($B$2&amp;"|xC",Aux_puntos!$1:$1,0))),NA())</f>
        <v>#N/A</v>
      </c>
      <c r="AF848" t="e">
        <f>IFERROR(IF(INDEX(Aux_puntos!$A$2:$OJ$901,844,MATCH($B$2&amp;"|yC",Aux_puntos!$1:$1,0))="",NA(),INDEX(Aux_puntos!$A$2:$OJ$901,844,MATCH($B$2&amp;"|yC",Aux_puntos!$1:$1,0))),NA())</f>
        <v>#N/A</v>
      </c>
      <c r="AG848" t="e">
        <f>IFERROR(IF(INDEX(Aux_puntos!$A$2:$OJ$901,844,MATCH($B$2&amp;"|xI",Aux_puntos!$1:$1,0))="",NA(),INDEX(Aux_puntos!$A$2:$OJ$901,844,MATCH($B$2&amp;"|xI",Aux_puntos!$1:$1,0))),NA())</f>
        <v>#N/A</v>
      </c>
      <c r="AH848" t="e">
        <f>IFERROR(IF(INDEX(Aux_puntos!$A$2:$OJ$901,844,MATCH($B$2&amp;"|yI",Aux_puntos!$1:$1,0))="",NA(),INDEX(Aux_puntos!$A$2:$OJ$901,844,MATCH($B$2&amp;"|yI",Aux_puntos!$1:$1,0))),NA())</f>
        <v>#N/A</v>
      </c>
      <c r="AI848" t="e">
        <f>IFERROR(IF(INDEX(Aux_puntos!$A$2:$OJ$901,844,MATCH($B$2&amp;"|xN",Aux_puntos!$1:$1,0))="",NA(),INDEX(Aux_puntos!$A$2:$OJ$901,844,MATCH($B$2&amp;"|xN",Aux_puntos!$1:$1,0))),NA())</f>
        <v>#N/A</v>
      </c>
      <c r="AJ848" t="e">
        <f>IFERROR(IF(INDEX(Aux_puntos!$A$2:$OJ$901,844,MATCH($B$2&amp;"|yN",Aux_puntos!$1:$1,0))="",NA(),INDEX(Aux_puntos!$A$2:$OJ$901,844,MATCH($B$2&amp;"|yN",Aux_puntos!$1:$1,0))),NA())</f>
        <v>#N/A</v>
      </c>
    </row>
    <row r="849" spans="29:36" x14ac:dyDescent="0.3">
      <c r="AC849" t="e">
        <f>IFERROR(IF(INDEX(Aux_puntos!$A$2:$OJ$901,845,MATCH($B$2&amp;"|xK",Aux_puntos!$1:$1,0))="",NA(),INDEX(Aux_puntos!$A$2:$OJ$901,845,MATCH($B$2&amp;"|xK",Aux_puntos!$1:$1,0))),NA())</f>
        <v>#N/A</v>
      </c>
      <c r="AD849" t="e">
        <f>IFERROR(IF(INDEX(Aux_puntos!$A$2:$OJ$901,845,MATCH($B$2&amp;"|yK",Aux_puntos!$1:$1,0))="",NA(),INDEX(Aux_puntos!$A$2:$OJ$901,845,MATCH($B$2&amp;"|yK",Aux_puntos!$1:$1,0))),NA())</f>
        <v>#N/A</v>
      </c>
      <c r="AE849" t="e">
        <f>IFERROR(IF(INDEX(Aux_puntos!$A$2:$OJ$901,845,MATCH($B$2&amp;"|xC",Aux_puntos!$1:$1,0))="",NA(),INDEX(Aux_puntos!$A$2:$OJ$901,845,MATCH($B$2&amp;"|xC",Aux_puntos!$1:$1,0))),NA())</f>
        <v>#N/A</v>
      </c>
      <c r="AF849" t="e">
        <f>IFERROR(IF(INDEX(Aux_puntos!$A$2:$OJ$901,845,MATCH($B$2&amp;"|yC",Aux_puntos!$1:$1,0))="",NA(),INDEX(Aux_puntos!$A$2:$OJ$901,845,MATCH($B$2&amp;"|yC",Aux_puntos!$1:$1,0))),NA())</f>
        <v>#N/A</v>
      </c>
      <c r="AG849" t="e">
        <f>IFERROR(IF(INDEX(Aux_puntos!$A$2:$OJ$901,845,MATCH($B$2&amp;"|xI",Aux_puntos!$1:$1,0))="",NA(),INDEX(Aux_puntos!$A$2:$OJ$901,845,MATCH($B$2&amp;"|xI",Aux_puntos!$1:$1,0))),NA())</f>
        <v>#N/A</v>
      </c>
      <c r="AH849" t="e">
        <f>IFERROR(IF(INDEX(Aux_puntos!$A$2:$OJ$901,845,MATCH($B$2&amp;"|yI",Aux_puntos!$1:$1,0))="",NA(),INDEX(Aux_puntos!$A$2:$OJ$901,845,MATCH($B$2&amp;"|yI",Aux_puntos!$1:$1,0))),NA())</f>
        <v>#N/A</v>
      </c>
      <c r="AI849" t="e">
        <f>IFERROR(IF(INDEX(Aux_puntos!$A$2:$OJ$901,845,MATCH($B$2&amp;"|xN",Aux_puntos!$1:$1,0))="",NA(),INDEX(Aux_puntos!$A$2:$OJ$901,845,MATCH($B$2&amp;"|xN",Aux_puntos!$1:$1,0))),NA())</f>
        <v>#N/A</v>
      </c>
      <c r="AJ849" t="e">
        <f>IFERROR(IF(INDEX(Aux_puntos!$A$2:$OJ$901,845,MATCH($B$2&amp;"|yN",Aux_puntos!$1:$1,0))="",NA(),INDEX(Aux_puntos!$A$2:$OJ$901,845,MATCH($B$2&amp;"|yN",Aux_puntos!$1:$1,0))),NA())</f>
        <v>#N/A</v>
      </c>
    </row>
    <row r="850" spans="29:36" x14ac:dyDescent="0.3">
      <c r="AC850" t="e">
        <f>IFERROR(IF(INDEX(Aux_puntos!$A$2:$OJ$901,846,MATCH($B$2&amp;"|xK",Aux_puntos!$1:$1,0))="",NA(),INDEX(Aux_puntos!$A$2:$OJ$901,846,MATCH($B$2&amp;"|xK",Aux_puntos!$1:$1,0))),NA())</f>
        <v>#N/A</v>
      </c>
      <c r="AD850" t="e">
        <f>IFERROR(IF(INDEX(Aux_puntos!$A$2:$OJ$901,846,MATCH($B$2&amp;"|yK",Aux_puntos!$1:$1,0))="",NA(),INDEX(Aux_puntos!$A$2:$OJ$901,846,MATCH($B$2&amp;"|yK",Aux_puntos!$1:$1,0))),NA())</f>
        <v>#N/A</v>
      </c>
      <c r="AE850" t="e">
        <f>IFERROR(IF(INDEX(Aux_puntos!$A$2:$OJ$901,846,MATCH($B$2&amp;"|xC",Aux_puntos!$1:$1,0))="",NA(),INDEX(Aux_puntos!$A$2:$OJ$901,846,MATCH($B$2&amp;"|xC",Aux_puntos!$1:$1,0))),NA())</f>
        <v>#N/A</v>
      </c>
      <c r="AF850" t="e">
        <f>IFERROR(IF(INDEX(Aux_puntos!$A$2:$OJ$901,846,MATCH($B$2&amp;"|yC",Aux_puntos!$1:$1,0))="",NA(),INDEX(Aux_puntos!$A$2:$OJ$901,846,MATCH($B$2&amp;"|yC",Aux_puntos!$1:$1,0))),NA())</f>
        <v>#N/A</v>
      </c>
      <c r="AG850" t="e">
        <f>IFERROR(IF(INDEX(Aux_puntos!$A$2:$OJ$901,846,MATCH($B$2&amp;"|xI",Aux_puntos!$1:$1,0))="",NA(),INDEX(Aux_puntos!$A$2:$OJ$901,846,MATCH($B$2&amp;"|xI",Aux_puntos!$1:$1,0))),NA())</f>
        <v>#N/A</v>
      </c>
      <c r="AH850" t="e">
        <f>IFERROR(IF(INDEX(Aux_puntos!$A$2:$OJ$901,846,MATCH($B$2&amp;"|yI",Aux_puntos!$1:$1,0))="",NA(),INDEX(Aux_puntos!$A$2:$OJ$901,846,MATCH($B$2&amp;"|yI",Aux_puntos!$1:$1,0))),NA())</f>
        <v>#N/A</v>
      </c>
      <c r="AI850" t="e">
        <f>IFERROR(IF(INDEX(Aux_puntos!$A$2:$OJ$901,846,MATCH($B$2&amp;"|xN",Aux_puntos!$1:$1,0))="",NA(),INDEX(Aux_puntos!$A$2:$OJ$901,846,MATCH($B$2&amp;"|xN",Aux_puntos!$1:$1,0))),NA())</f>
        <v>#N/A</v>
      </c>
      <c r="AJ850" t="e">
        <f>IFERROR(IF(INDEX(Aux_puntos!$A$2:$OJ$901,846,MATCH($B$2&amp;"|yN",Aux_puntos!$1:$1,0))="",NA(),INDEX(Aux_puntos!$A$2:$OJ$901,846,MATCH($B$2&amp;"|yN",Aux_puntos!$1:$1,0))),NA())</f>
        <v>#N/A</v>
      </c>
    </row>
    <row r="851" spans="29:36" x14ac:dyDescent="0.3">
      <c r="AC851" t="e">
        <f>IFERROR(IF(INDEX(Aux_puntos!$A$2:$OJ$901,847,MATCH($B$2&amp;"|xK",Aux_puntos!$1:$1,0))="",NA(),INDEX(Aux_puntos!$A$2:$OJ$901,847,MATCH($B$2&amp;"|xK",Aux_puntos!$1:$1,0))),NA())</f>
        <v>#N/A</v>
      </c>
      <c r="AD851" t="e">
        <f>IFERROR(IF(INDEX(Aux_puntos!$A$2:$OJ$901,847,MATCH($B$2&amp;"|yK",Aux_puntos!$1:$1,0))="",NA(),INDEX(Aux_puntos!$A$2:$OJ$901,847,MATCH($B$2&amp;"|yK",Aux_puntos!$1:$1,0))),NA())</f>
        <v>#N/A</v>
      </c>
      <c r="AE851" t="e">
        <f>IFERROR(IF(INDEX(Aux_puntos!$A$2:$OJ$901,847,MATCH($B$2&amp;"|xC",Aux_puntos!$1:$1,0))="",NA(),INDEX(Aux_puntos!$A$2:$OJ$901,847,MATCH($B$2&amp;"|xC",Aux_puntos!$1:$1,0))),NA())</f>
        <v>#N/A</v>
      </c>
      <c r="AF851" t="e">
        <f>IFERROR(IF(INDEX(Aux_puntos!$A$2:$OJ$901,847,MATCH($B$2&amp;"|yC",Aux_puntos!$1:$1,0))="",NA(),INDEX(Aux_puntos!$A$2:$OJ$901,847,MATCH($B$2&amp;"|yC",Aux_puntos!$1:$1,0))),NA())</f>
        <v>#N/A</v>
      </c>
      <c r="AG851" t="e">
        <f>IFERROR(IF(INDEX(Aux_puntos!$A$2:$OJ$901,847,MATCH($B$2&amp;"|xI",Aux_puntos!$1:$1,0))="",NA(),INDEX(Aux_puntos!$A$2:$OJ$901,847,MATCH($B$2&amp;"|xI",Aux_puntos!$1:$1,0))),NA())</f>
        <v>#N/A</v>
      </c>
      <c r="AH851" t="e">
        <f>IFERROR(IF(INDEX(Aux_puntos!$A$2:$OJ$901,847,MATCH($B$2&amp;"|yI",Aux_puntos!$1:$1,0))="",NA(),INDEX(Aux_puntos!$A$2:$OJ$901,847,MATCH($B$2&amp;"|yI",Aux_puntos!$1:$1,0))),NA())</f>
        <v>#N/A</v>
      </c>
      <c r="AI851" t="e">
        <f>IFERROR(IF(INDEX(Aux_puntos!$A$2:$OJ$901,847,MATCH($B$2&amp;"|xN",Aux_puntos!$1:$1,0))="",NA(),INDEX(Aux_puntos!$A$2:$OJ$901,847,MATCH($B$2&amp;"|xN",Aux_puntos!$1:$1,0))),NA())</f>
        <v>#N/A</v>
      </c>
      <c r="AJ851" t="e">
        <f>IFERROR(IF(INDEX(Aux_puntos!$A$2:$OJ$901,847,MATCH($B$2&amp;"|yN",Aux_puntos!$1:$1,0))="",NA(),INDEX(Aux_puntos!$A$2:$OJ$901,847,MATCH($B$2&amp;"|yN",Aux_puntos!$1:$1,0))),NA())</f>
        <v>#N/A</v>
      </c>
    </row>
    <row r="852" spans="29:36" x14ac:dyDescent="0.3">
      <c r="AC852" t="e">
        <f>IFERROR(IF(INDEX(Aux_puntos!$A$2:$OJ$901,848,MATCH($B$2&amp;"|xK",Aux_puntos!$1:$1,0))="",NA(),INDEX(Aux_puntos!$A$2:$OJ$901,848,MATCH($B$2&amp;"|xK",Aux_puntos!$1:$1,0))),NA())</f>
        <v>#N/A</v>
      </c>
      <c r="AD852" t="e">
        <f>IFERROR(IF(INDEX(Aux_puntos!$A$2:$OJ$901,848,MATCH($B$2&amp;"|yK",Aux_puntos!$1:$1,0))="",NA(),INDEX(Aux_puntos!$A$2:$OJ$901,848,MATCH($B$2&amp;"|yK",Aux_puntos!$1:$1,0))),NA())</f>
        <v>#N/A</v>
      </c>
      <c r="AE852" t="e">
        <f>IFERROR(IF(INDEX(Aux_puntos!$A$2:$OJ$901,848,MATCH($B$2&amp;"|xC",Aux_puntos!$1:$1,0))="",NA(),INDEX(Aux_puntos!$A$2:$OJ$901,848,MATCH($B$2&amp;"|xC",Aux_puntos!$1:$1,0))),NA())</f>
        <v>#N/A</v>
      </c>
      <c r="AF852" t="e">
        <f>IFERROR(IF(INDEX(Aux_puntos!$A$2:$OJ$901,848,MATCH($B$2&amp;"|yC",Aux_puntos!$1:$1,0))="",NA(),INDEX(Aux_puntos!$A$2:$OJ$901,848,MATCH($B$2&amp;"|yC",Aux_puntos!$1:$1,0))),NA())</f>
        <v>#N/A</v>
      </c>
      <c r="AG852" t="e">
        <f>IFERROR(IF(INDEX(Aux_puntos!$A$2:$OJ$901,848,MATCH($B$2&amp;"|xI",Aux_puntos!$1:$1,0))="",NA(),INDEX(Aux_puntos!$A$2:$OJ$901,848,MATCH($B$2&amp;"|xI",Aux_puntos!$1:$1,0))),NA())</f>
        <v>#N/A</v>
      </c>
      <c r="AH852" t="e">
        <f>IFERROR(IF(INDEX(Aux_puntos!$A$2:$OJ$901,848,MATCH($B$2&amp;"|yI",Aux_puntos!$1:$1,0))="",NA(),INDEX(Aux_puntos!$A$2:$OJ$901,848,MATCH($B$2&amp;"|yI",Aux_puntos!$1:$1,0))),NA())</f>
        <v>#N/A</v>
      </c>
      <c r="AI852" t="e">
        <f>IFERROR(IF(INDEX(Aux_puntos!$A$2:$OJ$901,848,MATCH($B$2&amp;"|xN",Aux_puntos!$1:$1,0))="",NA(),INDEX(Aux_puntos!$A$2:$OJ$901,848,MATCH($B$2&amp;"|xN",Aux_puntos!$1:$1,0))),NA())</f>
        <v>#N/A</v>
      </c>
      <c r="AJ852" t="e">
        <f>IFERROR(IF(INDEX(Aux_puntos!$A$2:$OJ$901,848,MATCH($B$2&amp;"|yN",Aux_puntos!$1:$1,0))="",NA(),INDEX(Aux_puntos!$A$2:$OJ$901,848,MATCH($B$2&amp;"|yN",Aux_puntos!$1:$1,0))),NA())</f>
        <v>#N/A</v>
      </c>
    </row>
    <row r="853" spans="29:36" x14ac:dyDescent="0.3">
      <c r="AC853" t="e">
        <f>IFERROR(IF(INDEX(Aux_puntos!$A$2:$OJ$901,849,MATCH($B$2&amp;"|xK",Aux_puntos!$1:$1,0))="",NA(),INDEX(Aux_puntos!$A$2:$OJ$901,849,MATCH($B$2&amp;"|xK",Aux_puntos!$1:$1,0))),NA())</f>
        <v>#N/A</v>
      </c>
      <c r="AD853" t="e">
        <f>IFERROR(IF(INDEX(Aux_puntos!$A$2:$OJ$901,849,MATCH($B$2&amp;"|yK",Aux_puntos!$1:$1,0))="",NA(),INDEX(Aux_puntos!$A$2:$OJ$901,849,MATCH($B$2&amp;"|yK",Aux_puntos!$1:$1,0))),NA())</f>
        <v>#N/A</v>
      </c>
      <c r="AE853" t="e">
        <f>IFERROR(IF(INDEX(Aux_puntos!$A$2:$OJ$901,849,MATCH($B$2&amp;"|xC",Aux_puntos!$1:$1,0))="",NA(),INDEX(Aux_puntos!$A$2:$OJ$901,849,MATCH($B$2&amp;"|xC",Aux_puntos!$1:$1,0))),NA())</f>
        <v>#N/A</v>
      </c>
      <c r="AF853" t="e">
        <f>IFERROR(IF(INDEX(Aux_puntos!$A$2:$OJ$901,849,MATCH($B$2&amp;"|yC",Aux_puntos!$1:$1,0))="",NA(),INDEX(Aux_puntos!$A$2:$OJ$901,849,MATCH($B$2&amp;"|yC",Aux_puntos!$1:$1,0))),NA())</f>
        <v>#N/A</v>
      </c>
      <c r="AG853" t="e">
        <f>IFERROR(IF(INDEX(Aux_puntos!$A$2:$OJ$901,849,MATCH($B$2&amp;"|xI",Aux_puntos!$1:$1,0))="",NA(),INDEX(Aux_puntos!$A$2:$OJ$901,849,MATCH($B$2&amp;"|xI",Aux_puntos!$1:$1,0))),NA())</f>
        <v>#N/A</v>
      </c>
      <c r="AH853" t="e">
        <f>IFERROR(IF(INDEX(Aux_puntos!$A$2:$OJ$901,849,MATCH($B$2&amp;"|yI",Aux_puntos!$1:$1,0))="",NA(),INDEX(Aux_puntos!$A$2:$OJ$901,849,MATCH($B$2&amp;"|yI",Aux_puntos!$1:$1,0))),NA())</f>
        <v>#N/A</v>
      </c>
      <c r="AI853" t="e">
        <f>IFERROR(IF(INDEX(Aux_puntos!$A$2:$OJ$901,849,MATCH($B$2&amp;"|xN",Aux_puntos!$1:$1,0))="",NA(),INDEX(Aux_puntos!$A$2:$OJ$901,849,MATCH($B$2&amp;"|xN",Aux_puntos!$1:$1,0))),NA())</f>
        <v>#N/A</v>
      </c>
      <c r="AJ853" t="e">
        <f>IFERROR(IF(INDEX(Aux_puntos!$A$2:$OJ$901,849,MATCH($B$2&amp;"|yN",Aux_puntos!$1:$1,0))="",NA(),INDEX(Aux_puntos!$A$2:$OJ$901,849,MATCH($B$2&amp;"|yN",Aux_puntos!$1:$1,0))),NA())</f>
        <v>#N/A</v>
      </c>
    </row>
    <row r="854" spans="29:36" x14ac:dyDescent="0.3">
      <c r="AC854" t="e">
        <f>IFERROR(IF(INDEX(Aux_puntos!$A$2:$OJ$901,850,MATCH($B$2&amp;"|xK",Aux_puntos!$1:$1,0))="",NA(),INDEX(Aux_puntos!$A$2:$OJ$901,850,MATCH($B$2&amp;"|xK",Aux_puntos!$1:$1,0))),NA())</f>
        <v>#N/A</v>
      </c>
      <c r="AD854" t="e">
        <f>IFERROR(IF(INDEX(Aux_puntos!$A$2:$OJ$901,850,MATCH($B$2&amp;"|yK",Aux_puntos!$1:$1,0))="",NA(),INDEX(Aux_puntos!$A$2:$OJ$901,850,MATCH($B$2&amp;"|yK",Aux_puntos!$1:$1,0))),NA())</f>
        <v>#N/A</v>
      </c>
      <c r="AE854" t="e">
        <f>IFERROR(IF(INDEX(Aux_puntos!$A$2:$OJ$901,850,MATCH($B$2&amp;"|xC",Aux_puntos!$1:$1,0))="",NA(),INDEX(Aux_puntos!$A$2:$OJ$901,850,MATCH($B$2&amp;"|xC",Aux_puntos!$1:$1,0))),NA())</f>
        <v>#N/A</v>
      </c>
      <c r="AF854" t="e">
        <f>IFERROR(IF(INDEX(Aux_puntos!$A$2:$OJ$901,850,MATCH($B$2&amp;"|yC",Aux_puntos!$1:$1,0))="",NA(),INDEX(Aux_puntos!$A$2:$OJ$901,850,MATCH($B$2&amp;"|yC",Aux_puntos!$1:$1,0))),NA())</f>
        <v>#N/A</v>
      </c>
      <c r="AG854" t="e">
        <f>IFERROR(IF(INDEX(Aux_puntos!$A$2:$OJ$901,850,MATCH($B$2&amp;"|xI",Aux_puntos!$1:$1,0))="",NA(),INDEX(Aux_puntos!$A$2:$OJ$901,850,MATCH($B$2&amp;"|xI",Aux_puntos!$1:$1,0))),NA())</f>
        <v>#N/A</v>
      </c>
      <c r="AH854" t="e">
        <f>IFERROR(IF(INDEX(Aux_puntos!$A$2:$OJ$901,850,MATCH($B$2&amp;"|yI",Aux_puntos!$1:$1,0))="",NA(),INDEX(Aux_puntos!$A$2:$OJ$901,850,MATCH($B$2&amp;"|yI",Aux_puntos!$1:$1,0))),NA())</f>
        <v>#N/A</v>
      </c>
      <c r="AI854" t="e">
        <f>IFERROR(IF(INDEX(Aux_puntos!$A$2:$OJ$901,850,MATCH($B$2&amp;"|xN",Aux_puntos!$1:$1,0))="",NA(),INDEX(Aux_puntos!$A$2:$OJ$901,850,MATCH($B$2&amp;"|xN",Aux_puntos!$1:$1,0))),NA())</f>
        <v>#N/A</v>
      </c>
      <c r="AJ854" t="e">
        <f>IFERROR(IF(INDEX(Aux_puntos!$A$2:$OJ$901,850,MATCH($B$2&amp;"|yN",Aux_puntos!$1:$1,0))="",NA(),INDEX(Aux_puntos!$A$2:$OJ$901,850,MATCH($B$2&amp;"|yN",Aux_puntos!$1:$1,0))),NA())</f>
        <v>#N/A</v>
      </c>
    </row>
    <row r="855" spans="29:36" x14ac:dyDescent="0.3">
      <c r="AC855" t="e">
        <f>IFERROR(IF(INDEX(Aux_puntos!$A$2:$OJ$901,851,MATCH($B$2&amp;"|xK",Aux_puntos!$1:$1,0))="",NA(),INDEX(Aux_puntos!$A$2:$OJ$901,851,MATCH($B$2&amp;"|xK",Aux_puntos!$1:$1,0))),NA())</f>
        <v>#N/A</v>
      </c>
      <c r="AD855" t="e">
        <f>IFERROR(IF(INDEX(Aux_puntos!$A$2:$OJ$901,851,MATCH($B$2&amp;"|yK",Aux_puntos!$1:$1,0))="",NA(),INDEX(Aux_puntos!$A$2:$OJ$901,851,MATCH($B$2&amp;"|yK",Aux_puntos!$1:$1,0))),NA())</f>
        <v>#N/A</v>
      </c>
      <c r="AE855" t="e">
        <f>IFERROR(IF(INDEX(Aux_puntos!$A$2:$OJ$901,851,MATCH($B$2&amp;"|xC",Aux_puntos!$1:$1,0))="",NA(),INDEX(Aux_puntos!$A$2:$OJ$901,851,MATCH($B$2&amp;"|xC",Aux_puntos!$1:$1,0))),NA())</f>
        <v>#N/A</v>
      </c>
      <c r="AF855" t="e">
        <f>IFERROR(IF(INDEX(Aux_puntos!$A$2:$OJ$901,851,MATCH($B$2&amp;"|yC",Aux_puntos!$1:$1,0))="",NA(),INDEX(Aux_puntos!$A$2:$OJ$901,851,MATCH($B$2&amp;"|yC",Aux_puntos!$1:$1,0))),NA())</f>
        <v>#N/A</v>
      </c>
      <c r="AG855" t="e">
        <f>IFERROR(IF(INDEX(Aux_puntos!$A$2:$OJ$901,851,MATCH($B$2&amp;"|xI",Aux_puntos!$1:$1,0))="",NA(),INDEX(Aux_puntos!$A$2:$OJ$901,851,MATCH($B$2&amp;"|xI",Aux_puntos!$1:$1,0))),NA())</f>
        <v>#N/A</v>
      </c>
      <c r="AH855" t="e">
        <f>IFERROR(IF(INDEX(Aux_puntos!$A$2:$OJ$901,851,MATCH($B$2&amp;"|yI",Aux_puntos!$1:$1,0))="",NA(),INDEX(Aux_puntos!$A$2:$OJ$901,851,MATCH($B$2&amp;"|yI",Aux_puntos!$1:$1,0))),NA())</f>
        <v>#N/A</v>
      </c>
      <c r="AI855" t="e">
        <f>IFERROR(IF(INDEX(Aux_puntos!$A$2:$OJ$901,851,MATCH($B$2&amp;"|xN",Aux_puntos!$1:$1,0))="",NA(),INDEX(Aux_puntos!$A$2:$OJ$901,851,MATCH($B$2&amp;"|xN",Aux_puntos!$1:$1,0))),NA())</f>
        <v>#N/A</v>
      </c>
      <c r="AJ855" t="e">
        <f>IFERROR(IF(INDEX(Aux_puntos!$A$2:$OJ$901,851,MATCH($B$2&amp;"|yN",Aux_puntos!$1:$1,0))="",NA(),INDEX(Aux_puntos!$A$2:$OJ$901,851,MATCH($B$2&amp;"|yN",Aux_puntos!$1:$1,0))),NA())</f>
        <v>#N/A</v>
      </c>
    </row>
    <row r="856" spans="29:36" x14ac:dyDescent="0.3">
      <c r="AC856" t="e">
        <f>IFERROR(IF(INDEX(Aux_puntos!$A$2:$OJ$901,852,MATCH($B$2&amp;"|xK",Aux_puntos!$1:$1,0))="",NA(),INDEX(Aux_puntos!$A$2:$OJ$901,852,MATCH($B$2&amp;"|xK",Aux_puntos!$1:$1,0))),NA())</f>
        <v>#N/A</v>
      </c>
      <c r="AD856" t="e">
        <f>IFERROR(IF(INDEX(Aux_puntos!$A$2:$OJ$901,852,MATCH($B$2&amp;"|yK",Aux_puntos!$1:$1,0))="",NA(),INDEX(Aux_puntos!$A$2:$OJ$901,852,MATCH($B$2&amp;"|yK",Aux_puntos!$1:$1,0))),NA())</f>
        <v>#N/A</v>
      </c>
      <c r="AE856" t="e">
        <f>IFERROR(IF(INDEX(Aux_puntos!$A$2:$OJ$901,852,MATCH($B$2&amp;"|xC",Aux_puntos!$1:$1,0))="",NA(),INDEX(Aux_puntos!$A$2:$OJ$901,852,MATCH($B$2&amp;"|xC",Aux_puntos!$1:$1,0))),NA())</f>
        <v>#N/A</v>
      </c>
      <c r="AF856" t="e">
        <f>IFERROR(IF(INDEX(Aux_puntos!$A$2:$OJ$901,852,MATCH($B$2&amp;"|yC",Aux_puntos!$1:$1,0))="",NA(),INDEX(Aux_puntos!$A$2:$OJ$901,852,MATCH($B$2&amp;"|yC",Aux_puntos!$1:$1,0))),NA())</f>
        <v>#N/A</v>
      </c>
      <c r="AG856" t="e">
        <f>IFERROR(IF(INDEX(Aux_puntos!$A$2:$OJ$901,852,MATCH($B$2&amp;"|xI",Aux_puntos!$1:$1,0))="",NA(),INDEX(Aux_puntos!$A$2:$OJ$901,852,MATCH($B$2&amp;"|xI",Aux_puntos!$1:$1,0))),NA())</f>
        <v>#N/A</v>
      </c>
      <c r="AH856" t="e">
        <f>IFERROR(IF(INDEX(Aux_puntos!$A$2:$OJ$901,852,MATCH($B$2&amp;"|yI",Aux_puntos!$1:$1,0))="",NA(),INDEX(Aux_puntos!$A$2:$OJ$901,852,MATCH($B$2&amp;"|yI",Aux_puntos!$1:$1,0))),NA())</f>
        <v>#N/A</v>
      </c>
      <c r="AI856" t="e">
        <f>IFERROR(IF(INDEX(Aux_puntos!$A$2:$OJ$901,852,MATCH($B$2&amp;"|xN",Aux_puntos!$1:$1,0))="",NA(),INDEX(Aux_puntos!$A$2:$OJ$901,852,MATCH($B$2&amp;"|xN",Aux_puntos!$1:$1,0))),NA())</f>
        <v>#N/A</v>
      </c>
      <c r="AJ856" t="e">
        <f>IFERROR(IF(INDEX(Aux_puntos!$A$2:$OJ$901,852,MATCH($B$2&amp;"|yN",Aux_puntos!$1:$1,0))="",NA(),INDEX(Aux_puntos!$A$2:$OJ$901,852,MATCH($B$2&amp;"|yN",Aux_puntos!$1:$1,0))),NA())</f>
        <v>#N/A</v>
      </c>
    </row>
    <row r="857" spans="29:36" x14ac:dyDescent="0.3">
      <c r="AC857" t="e">
        <f>IFERROR(IF(INDEX(Aux_puntos!$A$2:$OJ$901,853,MATCH($B$2&amp;"|xK",Aux_puntos!$1:$1,0))="",NA(),INDEX(Aux_puntos!$A$2:$OJ$901,853,MATCH($B$2&amp;"|xK",Aux_puntos!$1:$1,0))),NA())</f>
        <v>#N/A</v>
      </c>
      <c r="AD857" t="e">
        <f>IFERROR(IF(INDEX(Aux_puntos!$A$2:$OJ$901,853,MATCH($B$2&amp;"|yK",Aux_puntos!$1:$1,0))="",NA(),INDEX(Aux_puntos!$A$2:$OJ$901,853,MATCH($B$2&amp;"|yK",Aux_puntos!$1:$1,0))),NA())</f>
        <v>#N/A</v>
      </c>
      <c r="AE857" t="e">
        <f>IFERROR(IF(INDEX(Aux_puntos!$A$2:$OJ$901,853,MATCH($B$2&amp;"|xC",Aux_puntos!$1:$1,0))="",NA(),INDEX(Aux_puntos!$A$2:$OJ$901,853,MATCH($B$2&amp;"|xC",Aux_puntos!$1:$1,0))),NA())</f>
        <v>#N/A</v>
      </c>
      <c r="AF857" t="e">
        <f>IFERROR(IF(INDEX(Aux_puntos!$A$2:$OJ$901,853,MATCH($B$2&amp;"|yC",Aux_puntos!$1:$1,0))="",NA(),INDEX(Aux_puntos!$A$2:$OJ$901,853,MATCH($B$2&amp;"|yC",Aux_puntos!$1:$1,0))),NA())</f>
        <v>#N/A</v>
      </c>
      <c r="AG857" t="e">
        <f>IFERROR(IF(INDEX(Aux_puntos!$A$2:$OJ$901,853,MATCH($B$2&amp;"|xI",Aux_puntos!$1:$1,0))="",NA(),INDEX(Aux_puntos!$A$2:$OJ$901,853,MATCH($B$2&amp;"|xI",Aux_puntos!$1:$1,0))),NA())</f>
        <v>#N/A</v>
      </c>
      <c r="AH857" t="e">
        <f>IFERROR(IF(INDEX(Aux_puntos!$A$2:$OJ$901,853,MATCH($B$2&amp;"|yI",Aux_puntos!$1:$1,0))="",NA(),INDEX(Aux_puntos!$A$2:$OJ$901,853,MATCH($B$2&amp;"|yI",Aux_puntos!$1:$1,0))),NA())</f>
        <v>#N/A</v>
      </c>
      <c r="AI857" t="e">
        <f>IFERROR(IF(INDEX(Aux_puntos!$A$2:$OJ$901,853,MATCH($B$2&amp;"|xN",Aux_puntos!$1:$1,0))="",NA(),INDEX(Aux_puntos!$A$2:$OJ$901,853,MATCH($B$2&amp;"|xN",Aux_puntos!$1:$1,0))),NA())</f>
        <v>#N/A</v>
      </c>
      <c r="AJ857" t="e">
        <f>IFERROR(IF(INDEX(Aux_puntos!$A$2:$OJ$901,853,MATCH($B$2&amp;"|yN",Aux_puntos!$1:$1,0))="",NA(),INDEX(Aux_puntos!$A$2:$OJ$901,853,MATCH($B$2&amp;"|yN",Aux_puntos!$1:$1,0))),NA())</f>
        <v>#N/A</v>
      </c>
    </row>
    <row r="858" spans="29:36" x14ac:dyDescent="0.3">
      <c r="AC858" t="e">
        <f>IFERROR(IF(INDEX(Aux_puntos!$A$2:$OJ$901,854,MATCH($B$2&amp;"|xK",Aux_puntos!$1:$1,0))="",NA(),INDEX(Aux_puntos!$A$2:$OJ$901,854,MATCH($B$2&amp;"|xK",Aux_puntos!$1:$1,0))),NA())</f>
        <v>#N/A</v>
      </c>
      <c r="AD858" t="e">
        <f>IFERROR(IF(INDEX(Aux_puntos!$A$2:$OJ$901,854,MATCH($B$2&amp;"|yK",Aux_puntos!$1:$1,0))="",NA(),INDEX(Aux_puntos!$A$2:$OJ$901,854,MATCH($B$2&amp;"|yK",Aux_puntos!$1:$1,0))),NA())</f>
        <v>#N/A</v>
      </c>
      <c r="AE858" t="e">
        <f>IFERROR(IF(INDEX(Aux_puntos!$A$2:$OJ$901,854,MATCH($B$2&amp;"|xC",Aux_puntos!$1:$1,0))="",NA(),INDEX(Aux_puntos!$A$2:$OJ$901,854,MATCH($B$2&amp;"|xC",Aux_puntos!$1:$1,0))),NA())</f>
        <v>#N/A</v>
      </c>
      <c r="AF858" t="e">
        <f>IFERROR(IF(INDEX(Aux_puntos!$A$2:$OJ$901,854,MATCH($B$2&amp;"|yC",Aux_puntos!$1:$1,0))="",NA(),INDEX(Aux_puntos!$A$2:$OJ$901,854,MATCH($B$2&amp;"|yC",Aux_puntos!$1:$1,0))),NA())</f>
        <v>#N/A</v>
      </c>
      <c r="AG858" t="e">
        <f>IFERROR(IF(INDEX(Aux_puntos!$A$2:$OJ$901,854,MATCH($B$2&amp;"|xI",Aux_puntos!$1:$1,0))="",NA(),INDEX(Aux_puntos!$A$2:$OJ$901,854,MATCH($B$2&amp;"|xI",Aux_puntos!$1:$1,0))),NA())</f>
        <v>#N/A</v>
      </c>
      <c r="AH858" t="e">
        <f>IFERROR(IF(INDEX(Aux_puntos!$A$2:$OJ$901,854,MATCH($B$2&amp;"|yI",Aux_puntos!$1:$1,0))="",NA(),INDEX(Aux_puntos!$A$2:$OJ$901,854,MATCH($B$2&amp;"|yI",Aux_puntos!$1:$1,0))),NA())</f>
        <v>#N/A</v>
      </c>
      <c r="AI858" t="e">
        <f>IFERROR(IF(INDEX(Aux_puntos!$A$2:$OJ$901,854,MATCH($B$2&amp;"|xN",Aux_puntos!$1:$1,0))="",NA(),INDEX(Aux_puntos!$A$2:$OJ$901,854,MATCH($B$2&amp;"|xN",Aux_puntos!$1:$1,0))),NA())</f>
        <v>#N/A</v>
      </c>
      <c r="AJ858" t="e">
        <f>IFERROR(IF(INDEX(Aux_puntos!$A$2:$OJ$901,854,MATCH($B$2&amp;"|yN",Aux_puntos!$1:$1,0))="",NA(),INDEX(Aux_puntos!$A$2:$OJ$901,854,MATCH($B$2&amp;"|yN",Aux_puntos!$1:$1,0))),NA())</f>
        <v>#N/A</v>
      </c>
    </row>
    <row r="859" spans="29:36" x14ac:dyDescent="0.3">
      <c r="AC859" t="e">
        <f>IFERROR(IF(INDEX(Aux_puntos!$A$2:$OJ$901,855,MATCH($B$2&amp;"|xK",Aux_puntos!$1:$1,0))="",NA(),INDEX(Aux_puntos!$A$2:$OJ$901,855,MATCH($B$2&amp;"|xK",Aux_puntos!$1:$1,0))),NA())</f>
        <v>#N/A</v>
      </c>
      <c r="AD859" t="e">
        <f>IFERROR(IF(INDEX(Aux_puntos!$A$2:$OJ$901,855,MATCH($B$2&amp;"|yK",Aux_puntos!$1:$1,0))="",NA(),INDEX(Aux_puntos!$A$2:$OJ$901,855,MATCH($B$2&amp;"|yK",Aux_puntos!$1:$1,0))),NA())</f>
        <v>#N/A</v>
      </c>
      <c r="AE859" t="e">
        <f>IFERROR(IF(INDEX(Aux_puntos!$A$2:$OJ$901,855,MATCH($B$2&amp;"|xC",Aux_puntos!$1:$1,0))="",NA(),INDEX(Aux_puntos!$A$2:$OJ$901,855,MATCH($B$2&amp;"|xC",Aux_puntos!$1:$1,0))),NA())</f>
        <v>#N/A</v>
      </c>
      <c r="AF859" t="e">
        <f>IFERROR(IF(INDEX(Aux_puntos!$A$2:$OJ$901,855,MATCH($B$2&amp;"|yC",Aux_puntos!$1:$1,0))="",NA(),INDEX(Aux_puntos!$A$2:$OJ$901,855,MATCH($B$2&amp;"|yC",Aux_puntos!$1:$1,0))),NA())</f>
        <v>#N/A</v>
      </c>
      <c r="AG859" t="e">
        <f>IFERROR(IF(INDEX(Aux_puntos!$A$2:$OJ$901,855,MATCH($B$2&amp;"|xI",Aux_puntos!$1:$1,0))="",NA(),INDEX(Aux_puntos!$A$2:$OJ$901,855,MATCH($B$2&amp;"|xI",Aux_puntos!$1:$1,0))),NA())</f>
        <v>#N/A</v>
      </c>
      <c r="AH859" t="e">
        <f>IFERROR(IF(INDEX(Aux_puntos!$A$2:$OJ$901,855,MATCH($B$2&amp;"|yI",Aux_puntos!$1:$1,0))="",NA(),INDEX(Aux_puntos!$A$2:$OJ$901,855,MATCH($B$2&amp;"|yI",Aux_puntos!$1:$1,0))),NA())</f>
        <v>#N/A</v>
      </c>
      <c r="AI859" t="e">
        <f>IFERROR(IF(INDEX(Aux_puntos!$A$2:$OJ$901,855,MATCH($B$2&amp;"|xN",Aux_puntos!$1:$1,0))="",NA(),INDEX(Aux_puntos!$A$2:$OJ$901,855,MATCH($B$2&amp;"|xN",Aux_puntos!$1:$1,0))),NA())</f>
        <v>#N/A</v>
      </c>
      <c r="AJ859" t="e">
        <f>IFERROR(IF(INDEX(Aux_puntos!$A$2:$OJ$901,855,MATCH($B$2&amp;"|yN",Aux_puntos!$1:$1,0))="",NA(),INDEX(Aux_puntos!$A$2:$OJ$901,855,MATCH($B$2&amp;"|yN",Aux_puntos!$1:$1,0))),NA())</f>
        <v>#N/A</v>
      </c>
    </row>
    <row r="860" spans="29:36" x14ac:dyDescent="0.3">
      <c r="AC860" t="e">
        <f>IFERROR(IF(INDEX(Aux_puntos!$A$2:$OJ$901,856,MATCH($B$2&amp;"|xK",Aux_puntos!$1:$1,0))="",NA(),INDEX(Aux_puntos!$A$2:$OJ$901,856,MATCH($B$2&amp;"|xK",Aux_puntos!$1:$1,0))),NA())</f>
        <v>#N/A</v>
      </c>
      <c r="AD860" t="e">
        <f>IFERROR(IF(INDEX(Aux_puntos!$A$2:$OJ$901,856,MATCH($B$2&amp;"|yK",Aux_puntos!$1:$1,0))="",NA(),INDEX(Aux_puntos!$A$2:$OJ$901,856,MATCH($B$2&amp;"|yK",Aux_puntos!$1:$1,0))),NA())</f>
        <v>#N/A</v>
      </c>
      <c r="AE860" t="e">
        <f>IFERROR(IF(INDEX(Aux_puntos!$A$2:$OJ$901,856,MATCH($B$2&amp;"|xC",Aux_puntos!$1:$1,0))="",NA(),INDEX(Aux_puntos!$A$2:$OJ$901,856,MATCH($B$2&amp;"|xC",Aux_puntos!$1:$1,0))),NA())</f>
        <v>#N/A</v>
      </c>
      <c r="AF860" t="e">
        <f>IFERROR(IF(INDEX(Aux_puntos!$A$2:$OJ$901,856,MATCH($B$2&amp;"|yC",Aux_puntos!$1:$1,0))="",NA(),INDEX(Aux_puntos!$A$2:$OJ$901,856,MATCH($B$2&amp;"|yC",Aux_puntos!$1:$1,0))),NA())</f>
        <v>#N/A</v>
      </c>
      <c r="AG860" t="e">
        <f>IFERROR(IF(INDEX(Aux_puntos!$A$2:$OJ$901,856,MATCH($B$2&amp;"|xI",Aux_puntos!$1:$1,0))="",NA(),INDEX(Aux_puntos!$A$2:$OJ$901,856,MATCH($B$2&amp;"|xI",Aux_puntos!$1:$1,0))),NA())</f>
        <v>#N/A</v>
      </c>
      <c r="AH860" t="e">
        <f>IFERROR(IF(INDEX(Aux_puntos!$A$2:$OJ$901,856,MATCH($B$2&amp;"|yI",Aux_puntos!$1:$1,0))="",NA(),INDEX(Aux_puntos!$A$2:$OJ$901,856,MATCH($B$2&amp;"|yI",Aux_puntos!$1:$1,0))),NA())</f>
        <v>#N/A</v>
      </c>
      <c r="AI860" t="e">
        <f>IFERROR(IF(INDEX(Aux_puntos!$A$2:$OJ$901,856,MATCH($B$2&amp;"|xN",Aux_puntos!$1:$1,0))="",NA(),INDEX(Aux_puntos!$A$2:$OJ$901,856,MATCH($B$2&amp;"|xN",Aux_puntos!$1:$1,0))),NA())</f>
        <v>#N/A</v>
      </c>
      <c r="AJ860" t="e">
        <f>IFERROR(IF(INDEX(Aux_puntos!$A$2:$OJ$901,856,MATCH($B$2&amp;"|yN",Aux_puntos!$1:$1,0))="",NA(),INDEX(Aux_puntos!$A$2:$OJ$901,856,MATCH($B$2&amp;"|yN",Aux_puntos!$1:$1,0))),NA())</f>
        <v>#N/A</v>
      </c>
    </row>
    <row r="861" spans="29:36" x14ac:dyDescent="0.3">
      <c r="AC861" t="e">
        <f>IFERROR(IF(INDEX(Aux_puntos!$A$2:$OJ$901,857,MATCH($B$2&amp;"|xK",Aux_puntos!$1:$1,0))="",NA(),INDEX(Aux_puntos!$A$2:$OJ$901,857,MATCH($B$2&amp;"|xK",Aux_puntos!$1:$1,0))),NA())</f>
        <v>#N/A</v>
      </c>
      <c r="AD861" t="e">
        <f>IFERROR(IF(INDEX(Aux_puntos!$A$2:$OJ$901,857,MATCH($B$2&amp;"|yK",Aux_puntos!$1:$1,0))="",NA(),INDEX(Aux_puntos!$A$2:$OJ$901,857,MATCH($B$2&amp;"|yK",Aux_puntos!$1:$1,0))),NA())</f>
        <v>#N/A</v>
      </c>
      <c r="AE861" t="e">
        <f>IFERROR(IF(INDEX(Aux_puntos!$A$2:$OJ$901,857,MATCH($B$2&amp;"|xC",Aux_puntos!$1:$1,0))="",NA(),INDEX(Aux_puntos!$A$2:$OJ$901,857,MATCH($B$2&amp;"|xC",Aux_puntos!$1:$1,0))),NA())</f>
        <v>#N/A</v>
      </c>
      <c r="AF861" t="e">
        <f>IFERROR(IF(INDEX(Aux_puntos!$A$2:$OJ$901,857,MATCH($B$2&amp;"|yC",Aux_puntos!$1:$1,0))="",NA(),INDEX(Aux_puntos!$A$2:$OJ$901,857,MATCH($B$2&amp;"|yC",Aux_puntos!$1:$1,0))),NA())</f>
        <v>#N/A</v>
      </c>
      <c r="AG861" t="e">
        <f>IFERROR(IF(INDEX(Aux_puntos!$A$2:$OJ$901,857,MATCH($B$2&amp;"|xI",Aux_puntos!$1:$1,0))="",NA(),INDEX(Aux_puntos!$A$2:$OJ$901,857,MATCH($B$2&amp;"|xI",Aux_puntos!$1:$1,0))),NA())</f>
        <v>#N/A</v>
      </c>
      <c r="AH861" t="e">
        <f>IFERROR(IF(INDEX(Aux_puntos!$A$2:$OJ$901,857,MATCH($B$2&amp;"|yI",Aux_puntos!$1:$1,0))="",NA(),INDEX(Aux_puntos!$A$2:$OJ$901,857,MATCH($B$2&amp;"|yI",Aux_puntos!$1:$1,0))),NA())</f>
        <v>#N/A</v>
      </c>
      <c r="AI861" t="e">
        <f>IFERROR(IF(INDEX(Aux_puntos!$A$2:$OJ$901,857,MATCH($B$2&amp;"|xN",Aux_puntos!$1:$1,0))="",NA(),INDEX(Aux_puntos!$A$2:$OJ$901,857,MATCH($B$2&amp;"|xN",Aux_puntos!$1:$1,0))),NA())</f>
        <v>#N/A</v>
      </c>
      <c r="AJ861" t="e">
        <f>IFERROR(IF(INDEX(Aux_puntos!$A$2:$OJ$901,857,MATCH($B$2&amp;"|yN",Aux_puntos!$1:$1,0))="",NA(),INDEX(Aux_puntos!$A$2:$OJ$901,857,MATCH($B$2&amp;"|yN",Aux_puntos!$1:$1,0))),NA())</f>
        <v>#N/A</v>
      </c>
    </row>
    <row r="862" spans="29:36" x14ac:dyDescent="0.3">
      <c r="AC862" t="e">
        <f>IFERROR(IF(INDEX(Aux_puntos!$A$2:$OJ$901,858,MATCH($B$2&amp;"|xK",Aux_puntos!$1:$1,0))="",NA(),INDEX(Aux_puntos!$A$2:$OJ$901,858,MATCH($B$2&amp;"|xK",Aux_puntos!$1:$1,0))),NA())</f>
        <v>#N/A</v>
      </c>
      <c r="AD862" t="e">
        <f>IFERROR(IF(INDEX(Aux_puntos!$A$2:$OJ$901,858,MATCH($B$2&amp;"|yK",Aux_puntos!$1:$1,0))="",NA(),INDEX(Aux_puntos!$A$2:$OJ$901,858,MATCH($B$2&amp;"|yK",Aux_puntos!$1:$1,0))),NA())</f>
        <v>#N/A</v>
      </c>
      <c r="AE862" t="e">
        <f>IFERROR(IF(INDEX(Aux_puntos!$A$2:$OJ$901,858,MATCH($B$2&amp;"|xC",Aux_puntos!$1:$1,0))="",NA(),INDEX(Aux_puntos!$A$2:$OJ$901,858,MATCH($B$2&amp;"|xC",Aux_puntos!$1:$1,0))),NA())</f>
        <v>#N/A</v>
      </c>
      <c r="AF862" t="e">
        <f>IFERROR(IF(INDEX(Aux_puntos!$A$2:$OJ$901,858,MATCH($B$2&amp;"|yC",Aux_puntos!$1:$1,0))="",NA(),INDEX(Aux_puntos!$A$2:$OJ$901,858,MATCH($B$2&amp;"|yC",Aux_puntos!$1:$1,0))),NA())</f>
        <v>#N/A</v>
      </c>
      <c r="AG862" t="e">
        <f>IFERROR(IF(INDEX(Aux_puntos!$A$2:$OJ$901,858,MATCH($B$2&amp;"|xI",Aux_puntos!$1:$1,0))="",NA(),INDEX(Aux_puntos!$A$2:$OJ$901,858,MATCH($B$2&amp;"|xI",Aux_puntos!$1:$1,0))),NA())</f>
        <v>#N/A</v>
      </c>
      <c r="AH862" t="e">
        <f>IFERROR(IF(INDEX(Aux_puntos!$A$2:$OJ$901,858,MATCH($B$2&amp;"|yI",Aux_puntos!$1:$1,0))="",NA(),INDEX(Aux_puntos!$A$2:$OJ$901,858,MATCH($B$2&amp;"|yI",Aux_puntos!$1:$1,0))),NA())</f>
        <v>#N/A</v>
      </c>
      <c r="AI862" t="e">
        <f>IFERROR(IF(INDEX(Aux_puntos!$A$2:$OJ$901,858,MATCH($B$2&amp;"|xN",Aux_puntos!$1:$1,0))="",NA(),INDEX(Aux_puntos!$A$2:$OJ$901,858,MATCH($B$2&amp;"|xN",Aux_puntos!$1:$1,0))),NA())</f>
        <v>#N/A</v>
      </c>
      <c r="AJ862" t="e">
        <f>IFERROR(IF(INDEX(Aux_puntos!$A$2:$OJ$901,858,MATCH($B$2&amp;"|yN",Aux_puntos!$1:$1,0))="",NA(),INDEX(Aux_puntos!$A$2:$OJ$901,858,MATCH($B$2&amp;"|yN",Aux_puntos!$1:$1,0))),NA())</f>
        <v>#N/A</v>
      </c>
    </row>
    <row r="863" spans="29:36" x14ac:dyDescent="0.3">
      <c r="AC863" t="e">
        <f>IFERROR(IF(INDEX(Aux_puntos!$A$2:$OJ$901,859,MATCH($B$2&amp;"|xK",Aux_puntos!$1:$1,0))="",NA(),INDEX(Aux_puntos!$A$2:$OJ$901,859,MATCH($B$2&amp;"|xK",Aux_puntos!$1:$1,0))),NA())</f>
        <v>#N/A</v>
      </c>
      <c r="AD863" t="e">
        <f>IFERROR(IF(INDEX(Aux_puntos!$A$2:$OJ$901,859,MATCH($B$2&amp;"|yK",Aux_puntos!$1:$1,0))="",NA(),INDEX(Aux_puntos!$A$2:$OJ$901,859,MATCH($B$2&amp;"|yK",Aux_puntos!$1:$1,0))),NA())</f>
        <v>#N/A</v>
      </c>
      <c r="AE863" t="e">
        <f>IFERROR(IF(INDEX(Aux_puntos!$A$2:$OJ$901,859,MATCH($B$2&amp;"|xC",Aux_puntos!$1:$1,0))="",NA(),INDEX(Aux_puntos!$A$2:$OJ$901,859,MATCH($B$2&amp;"|xC",Aux_puntos!$1:$1,0))),NA())</f>
        <v>#N/A</v>
      </c>
      <c r="AF863" t="e">
        <f>IFERROR(IF(INDEX(Aux_puntos!$A$2:$OJ$901,859,MATCH($B$2&amp;"|yC",Aux_puntos!$1:$1,0))="",NA(),INDEX(Aux_puntos!$A$2:$OJ$901,859,MATCH($B$2&amp;"|yC",Aux_puntos!$1:$1,0))),NA())</f>
        <v>#N/A</v>
      </c>
      <c r="AG863" t="e">
        <f>IFERROR(IF(INDEX(Aux_puntos!$A$2:$OJ$901,859,MATCH($B$2&amp;"|xI",Aux_puntos!$1:$1,0))="",NA(),INDEX(Aux_puntos!$A$2:$OJ$901,859,MATCH($B$2&amp;"|xI",Aux_puntos!$1:$1,0))),NA())</f>
        <v>#N/A</v>
      </c>
      <c r="AH863" t="e">
        <f>IFERROR(IF(INDEX(Aux_puntos!$A$2:$OJ$901,859,MATCH($B$2&amp;"|yI",Aux_puntos!$1:$1,0))="",NA(),INDEX(Aux_puntos!$A$2:$OJ$901,859,MATCH($B$2&amp;"|yI",Aux_puntos!$1:$1,0))),NA())</f>
        <v>#N/A</v>
      </c>
      <c r="AI863" t="e">
        <f>IFERROR(IF(INDEX(Aux_puntos!$A$2:$OJ$901,859,MATCH($B$2&amp;"|xN",Aux_puntos!$1:$1,0))="",NA(),INDEX(Aux_puntos!$A$2:$OJ$901,859,MATCH($B$2&amp;"|xN",Aux_puntos!$1:$1,0))),NA())</f>
        <v>#N/A</v>
      </c>
      <c r="AJ863" t="e">
        <f>IFERROR(IF(INDEX(Aux_puntos!$A$2:$OJ$901,859,MATCH($B$2&amp;"|yN",Aux_puntos!$1:$1,0))="",NA(),INDEX(Aux_puntos!$A$2:$OJ$901,859,MATCH($B$2&amp;"|yN",Aux_puntos!$1:$1,0))),NA())</f>
        <v>#N/A</v>
      </c>
    </row>
    <row r="864" spans="29:36" x14ac:dyDescent="0.3">
      <c r="AC864" t="e">
        <f>IFERROR(IF(INDEX(Aux_puntos!$A$2:$OJ$901,860,MATCH($B$2&amp;"|xK",Aux_puntos!$1:$1,0))="",NA(),INDEX(Aux_puntos!$A$2:$OJ$901,860,MATCH($B$2&amp;"|xK",Aux_puntos!$1:$1,0))),NA())</f>
        <v>#N/A</v>
      </c>
      <c r="AD864" t="e">
        <f>IFERROR(IF(INDEX(Aux_puntos!$A$2:$OJ$901,860,MATCH($B$2&amp;"|yK",Aux_puntos!$1:$1,0))="",NA(),INDEX(Aux_puntos!$A$2:$OJ$901,860,MATCH($B$2&amp;"|yK",Aux_puntos!$1:$1,0))),NA())</f>
        <v>#N/A</v>
      </c>
      <c r="AE864" t="e">
        <f>IFERROR(IF(INDEX(Aux_puntos!$A$2:$OJ$901,860,MATCH($B$2&amp;"|xC",Aux_puntos!$1:$1,0))="",NA(),INDEX(Aux_puntos!$A$2:$OJ$901,860,MATCH($B$2&amp;"|xC",Aux_puntos!$1:$1,0))),NA())</f>
        <v>#N/A</v>
      </c>
      <c r="AF864" t="e">
        <f>IFERROR(IF(INDEX(Aux_puntos!$A$2:$OJ$901,860,MATCH($B$2&amp;"|yC",Aux_puntos!$1:$1,0))="",NA(),INDEX(Aux_puntos!$A$2:$OJ$901,860,MATCH($B$2&amp;"|yC",Aux_puntos!$1:$1,0))),NA())</f>
        <v>#N/A</v>
      </c>
      <c r="AG864" t="e">
        <f>IFERROR(IF(INDEX(Aux_puntos!$A$2:$OJ$901,860,MATCH($B$2&amp;"|xI",Aux_puntos!$1:$1,0))="",NA(),INDEX(Aux_puntos!$A$2:$OJ$901,860,MATCH($B$2&amp;"|xI",Aux_puntos!$1:$1,0))),NA())</f>
        <v>#N/A</v>
      </c>
      <c r="AH864" t="e">
        <f>IFERROR(IF(INDEX(Aux_puntos!$A$2:$OJ$901,860,MATCH($B$2&amp;"|yI",Aux_puntos!$1:$1,0))="",NA(),INDEX(Aux_puntos!$A$2:$OJ$901,860,MATCH($B$2&amp;"|yI",Aux_puntos!$1:$1,0))),NA())</f>
        <v>#N/A</v>
      </c>
      <c r="AI864" t="e">
        <f>IFERROR(IF(INDEX(Aux_puntos!$A$2:$OJ$901,860,MATCH($B$2&amp;"|xN",Aux_puntos!$1:$1,0))="",NA(),INDEX(Aux_puntos!$A$2:$OJ$901,860,MATCH($B$2&amp;"|xN",Aux_puntos!$1:$1,0))),NA())</f>
        <v>#N/A</v>
      </c>
      <c r="AJ864" t="e">
        <f>IFERROR(IF(INDEX(Aux_puntos!$A$2:$OJ$901,860,MATCH($B$2&amp;"|yN",Aux_puntos!$1:$1,0))="",NA(),INDEX(Aux_puntos!$A$2:$OJ$901,860,MATCH($B$2&amp;"|yN",Aux_puntos!$1:$1,0))),NA())</f>
        <v>#N/A</v>
      </c>
    </row>
    <row r="865" spans="29:36" x14ac:dyDescent="0.3">
      <c r="AC865" t="e">
        <f>IFERROR(IF(INDEX(Aux_puntos!$A$2:$OJ$901,861,MATCH($B$2&amp;"|xK",Aux_puntos!$1:$1,0))="",NA(),INDEX(Aux_puntos!$A$2:$OJ$901,861,MATCH($B$2&amp;"|xK",Aux_puntos!$1:$1,0))),NA())</f>
        <v>#N/A</v>
      </c>
      <c r="AD865" t="e">
        <f>IFERROR(IF(INDEX(Aux_puntos!$A$2:$OJ$901,861,MATCH($B$2&amp;"|yK",Aux_puntos!$1:$1,0))="",NA(),INDEX(Aux_puntos!$A$2:$OJ$901,861,MATCH($B$2&amp;"|yK",Aux_puntos!$1:$1,0))),NA())</f>
        <v>#N/A</v>
      </c>
      <c r="AE865" t="e">
        <f>IFERROR(IF(INDEX(Aux_puntos!$A$2:$OJ$901,861,MATCH($B$2&amp;"|xC",Aux_puntos!$1:$1,0))="",NA(),INDEX(Aux_puntos!$A$2:$OJ$901,861,MATCH($B$2&amp;"|xC",Aux_puntos!$1:$1,0))),NA())</f>
        <v>#N/A</v>
      </c>
      <c r="AF865" t="e">
        <f>IFERROR(IF(INDEX(Aux_puntos!$A$2:$OJ$901,861,MATCH($B$2&amp;"|yC",Aux_puntos!$1:$1,0))="",NA(),INDEX(Aux_puntos!$A$2:$OJ$901,861,MATCH($B$2&amp;"|yC",Aux_puntos!$1:$1,0))),NA())</f>
        <v>#N/A</v>
      </c>
      <c r="AG865" t="e">
        <f>IFERROR(IF(INDEX(Aux_puntos!$A$2:$OJ$901,861,MATCH($B$2&amp;"|xI",Aux_puntos!$1:$1,0))="",NA(),INDEX(Aux_puntos!$A$2:$OJ$901,861,MATCH($B$2&amp;"|xI",Aux_puntos!$1:$1,0))),NA())</f>
        <v>#N/A</v>
      </c>
      <c r="AH865" t="e">
        <f>IFERROR(IF(INDEX(Aux_puntos!$A$2:$OJ$901,861,MATCH($B$2&amp;"|yI",Aux_puntos!$1:$1,0))="",NA(),INDEX(Aux_puntos!$A$2:$OJ$901,861,MATCH($B$2&amp;"|yI",Aux_puntos!$1:$1,0))),NA())</f>
        <v>#N/A</v>
      </c>
      <c r="AI865" t="e">
        <f>IFERROR(IF(INDEX(Aux_puntos!$A$2:$OJ$901,861,MATCH($B$2&amp;"|xN",Aux_puntos!$1:$1,0))="",NA(),INDEX(Aux_puntos!$A$2:$OJ$901,861,MATCH($B$2&amp;"|xN",Aux_puntos!$1:$1,0))),NA())</f>
        <v>#N/A</v>
      </c>
      <c r="AJ865" t="e">
        <f>IFERROR(IF(INDEX(Aux_puntos!$A$2:$OJ$901,861,MATCH($B$2&amp;"|yN",Aux_puntos!$1:$1,0))="",NA(),INDEX(Aux_puntos!$A$2:$OJ$901,861,MATCH($B$2&amp;"|yN",Aux_puntos!$1:$1,0))),NA())</f>
        <v>#N/A</v>
      </c>
    </row>
    <row r="866" spans="29:36" x14ac:dyDescent="0.3">
      <c r="AC866" t="e">
        <f>IFERROR(IF(INDEX(Aux_puntos!$A$2:$OJ$901,862,MATCH($B$2&amp;"|xK",Aux_puntos!$1:$1,0))="",NA(),INDEX(Aux_puntos!$A$2:$OJ$901,862,MATCH($B$2&amp;"|xK",Aux_puntos!$1:$1,0))),NA())</f>
        <v>#N/A</v>
      </c>
      <c r="AD866" t="e">
        <f>IFERROR(IF(INDEX(Aux_puntos!$A$2:$OJ$901,862,MATCH($B$2&amp;"|yK",Aux_puntos!$1:$1,0))="",NA(),INDEX(Aux_puntos!$A$2:$OJ$901,862,MATCH($B$2&amp;"|yK",Aux_puntos!$1:$1,0))),NA())</f>
        <v>#N/A</v>
      </c>
      <c r="AE866" t="e">
        <f>IFERROR(IF(INDEX(Aux_puntos!$A$2:$OJ$901,862,MATCH($B$2&amp;"|xC",Aux_puntos!$1:$1,0))="",NA(),INDEX(Aux_puntos!$A$2:$OJ$901,862,MATCH($B$2&amp;"|xC",Aux_puntos!$1:$1,0))),NA())</f>
        <v>#N/A</v>
      </c>
      <c r="AF866" t="e">
        <f>IFERROR(IF(INDEX(Aux_puntos!$A$2:$OJ$901,862,MATCH($B$2&amp;"|yC",Aux_puntos!$1:$1,0))="",NA(),INDEX(Aux_puntos!$A$2:$OJ$901,862,MATCH($B$2&amp;"|yC",Aux_puntos!$1:$1,0))),NA())</f>
        <v>#N/A</v>
      </c>
      <c r="AG866" t="e">
        <f>IFERROR(IF(INDEX(Aux_puntos!$A$2:$OJ$901,862,MATCH($B$2&amp;"|xI",Aux_puntos!$1:$1,0))="",NA(),INDEX(Aux_puntos!$A$2:$OJ$901,862,MATCH($B$2&amp;"|xI",Aux_puntos!$1:$1,0))),NA())</f>
        <v>#N/A</v>
      </c>
      <c r="AH866" t="e">
        <f>IFERROR(IF(INDEX(Aux_puntos!$A$2:$OJ$901,862,MATCH($B$2&amp;"|yI",Aux_puntos!$1:$1,0))="",NA(),INDEX(Aux_puntos!$A$2:$OJ$901,862,MATCH($B$2&amp;"|yI",Aux_puntos!$1:$1,0))),NA())</f>
        <v>#N/A</v>
      </c>
      <c r="AI866" t="e">
        <f>IFERROR(IF(INDEX(Aux_puntos!$A$2:$OJ$901,862,MATCH($B$2&amp;"|xN",Aux_puntos!$1:$1,0))="",NA(),INDEX(Aux_puntos!$A$2:$OJ$901,862,MATCH($B$2&amp;"|xN",Aux_puntos!$1:$1,0))),NA())</f>
        <v>#N/A</v>
      </c>
      <c r="AJ866" t="e">
        <f>IFERROR(IF(INDEX(Aux_puntos!$A$2:$OJ$901,862,MATCH($B$2&amp;"|yN",Aux_puntos!$1:$1,0))="",NA(),INDEX(Aux_puntos!$A$2:$OJ$901,862,MATCH($B$2&amp;"|yN",Aux_puntos!$1:$1,0))),NA())</f>
        <v>#N/A</v>
      </c>
    </row>
    <row r="867" spans="29:36" x14ac:dyDescent="0.3">
      <c r="AC867" t="e">
        <f>IFERROR(IF(INDEX(Aux_puntos!$A$2:$OJ$901,863,MATCH($B$2&amp;"|xK",Aux_puntos!$1:$1,0))="",NA(),INDEX(Aux_puntos!$A$2:$OJ$901,863,MATCH($B$2&amp;"|xK",Aux_puntos!$1:$1,0))),NA())</f>
        <v>#N/A</v>
      </c>
      <c r="AD867" t="e">
        <f>IFERROR(IF(INDEX(Aux_puntos!$A$2:$OJ$901,863,MATCH($B$2&amp;"|yK",Aux_puntos!$1:$1,0))="",NA(),INDEX(Aux_puntos!$A$2:$OJ$901,863,MATCH($B$2&amp;"|yK",Aux_puntos!$1:$1,0))),NA())</f>
        <v>#N/A</v>
      </c>
      <c r="AE867" t="e">
        <f>IFERROR(IF(INDEX(Aux_puntos!$A$2:$OJ$901,863,MATCH($B$2&amp;"|xC",Aux_puntos!$1:$1,0))="",NA(),INDEX(Aux_puntos!$A$2:$OJ$901,863,MATCH($B$2&amp;"|xC",Aux_puntos!$1:$1,0))),NA())</f>
        <v>#N/A</v>
      </c>
      <c r="AF867" t="e">
        <f>IFERROR(IF(INDEX(Aux_puntos!$A$2:$OJ$901,863,MATCH($B$2&amp;"|yC",Aux_puntos!$1:$1,0))="",NA(),INDEX(Aux_puntos!$A$2:$OJ$901,863,MATCH($B$2&amp;"|yC",Aux_puntos!$1:$1,0))),NA())</f>
        <v>#N/A</v>
      </c>
      <c r="AG867" t="e">
        <f>IFERROR(IF(INDEX(Aux_puntos!$A$2:$OJ$901,863,MATCH($B$2&amp;"|xI",Aux_puntos!$1:$1,0))="",NA(),INDEX(Aux_puntos!$A$2:$OJ$901,863,MATCH($B$2&amp;"|xI",Aux_puntos!$1:$1,0))),NA())</f>
        <v>#N/A</v>
      </c>
      <c r="AH867" t="e">
        <f>IFERROR(IF(INDEX(Aux_puntos!$A$2:$OJ$901,863,MATCH($B$2&amp;"|yI",Aux_puntos!$1:$1,0))="",NA(),INDEX(Aux_puntos!$A$2:$OJ$901,863,MATCH($B$2&amp;"|yI",Aux_puntos!$1:$1,0))),NA())</f>
        <v>#N/A</v>
      </c>
      <c r="AI867" t="e">
        <f>IFERROR(IF(INDEX(Aux_puntos!$A$2:$OJ$901,863,MATCH($B$2&amp;"|xN",Aux_puntos!$1:$1,0))="",NA(),INDEX(Aux_puntos!$A$2:$OJ$901,863,MATCH($B$2&amp;"|xN",Aux_puntos!$1:$1,0))),NA())</f>
        <v>#N/A</v>
      </c>
      <c r="AJ867" t="e">
        <f>IFERROR(IF(INDEX(Aux_puntos!$A$2:$OJ$901,863,MATCH($B$2&amp;"|yN",Aux_puntos!$1:$1,0))="",NA(),INDEX(Aux_puntos!$A$2:$OJ$901,863,MATCH($B$2&amp;"|yN",Aux_puntos!$1:$1,0))),NA())</f>
        <v>#N/A</v>
      </c>
    </row>
    <row r="868" spans="29:36" x14ac:dyDescent="0.3">
      <c r="AC868" t="e">
        <f>IFERROR(IF(INDEX(Aux_puntos!$A$2:$OJ$901,864,MATCH($B$2&amp;"|xK",Aux_puntos!$1:$1,0))="",NA(),INDEX(Aux_puntos!$A$2:$OJ$901,864,MATCH($B$2&amp;"|xK",Aux_puntos!$1:$1,0))),NA())</f>
        <v>#N/A</v>
      </c>
      <c r="AD868" t="e">
        <f>IFERROR(IF(INDEX(Aux_puntos!$A$2:$OJ$901,864,MATCH($B$2&amp;"|yK",Aux_puntos!$1:$1,0))="",NA(),INDEX(Aux_puntos!$A$2:$OJ$901,864,MATCH($B$2&amp;"|yK",Aux_puntos!$1:$1,0))),NA())</f>
        <v>#N/A</v>
      </c>
      <c r="AE868" t="e">
        <f>IFERROR(IF(INDEX(Aux_puntos!$A$2:$OJ$901,864,MATCH($B$2&amp;"|xC",Aux_puntos!$1:$1,0))="",NA(),INDEX(Aux_puntos!$A$2:$OJ$901,864,MATCH($B$2&amp;"|xC",Aux_puntos!$1:$1,0))),NA())</f>
        <v>#N/A</v>
      </c>
      <c r="AF868" t="e">
        <f>IFERROR(IF(INDEX(Aux_puntos!$A$2:$OJ$901,864,MATCH($B$2&amp;"|yC",Aux_puntos!$1:$1,0))="",NA(),INDEX(Aux_puntos!$A$2:$OJ$901,864,MATCH($B$2&amp;"|yC",Aux_puntos!$1:$1,0))),NA())</f>
        <v>#N/A</v>
      </c>
      <c r="AG868" t="e">
        <f>IFERROR(IF(INDEX(Aux_puntos!$A$2:$OJ$901,864,MATCH($B$2&amp;"|xI",Aux_puntos!$1:$1,0))="",NA(),INDEX(Aux_puntos!$A$2:$OJ$901,864,MATCH($B$2&amp;"|xI",Aux_puntos!$1:$1,0))),NA())</f>
        <v>#N/A</v>
      </c>
      <c r="AH868" t="e">
        <f>IFERROR(IF(INDEX(Aux_puntos!$A$2:$OJ$901,864,MATCH($B$2&amp;"|yI",Aux_puntos!$1:$1,0))="",NA(),INDEX(Aux_puntos!$A$2:$OJ$901,864,MATCH($B$2&amp;"|yI",Aux_puntos!$1:$1,0))),NA())</f>
        <v>#N/A</v>
      </c>
      <c r="AI868" t="e">
        <f>IFERROR(IF(INDEX(Aux_puntos!$A$2:$OJ$901,864,MATCH($B$2&amp;"|xN",Aux_puntos!$1:$1,0))="",NA(),INDEX(Aux_puntos!$A$2:$OJ$901,864,MATCH($B$2&amp;"|xN",Aux_puntos!$1:$1,0))),NA())</f>
        <v>#N/A</v>
      </c>
      <c r="AJ868" t="e">
        <f>IFERROR(IF(INDEX(Aux_puntos!$A$2:$OJ$901,864,MATCH($B$2&amp;"|yN",Aux_puntos!$1:$1,0))="",NA(),INDEX(Aux_puntos!$A$2:$OJ$901,864,MATCH($B$2&amp;"|yN",Aux_puntos!$1:$1,0))),NA())</f>
        <v>#N/A</v>
      </c>
    </row>
    <row r="869" spans="29:36" x14ac:dyDescent="0.3">
      <c r="AC869" t="e">
        <f>IFERROR(IF(INDEX(Aux_puntos!$A$2:$OJ$901,865,MATCH($B$2&amp;"|xK",Aux_puntos!$1:$1,0))="",NA(),INDEX(Aux_puntos!$A$2:$OJ$901,865,MATCH($B$2&amp;"|xK",Aux_puntos!$1:$1,0))),NA())</f>
        <v>#N/A</v>
      </c>
      <c r="AD869" t="e">
        <f>IFERROR(IF(INDEX(Aux_puntos!$A$2:$OJ$901,865,MATCH($B$2&amp;"|yK",Aux_puntos!$1:$1,0))="",NA(),INDEX(Aux_puntos!$A$2:$OJ$901,865,MATCH($B$2&amp;"|yK",Aux_puntos!$1:$1,0))),NA())</f>
        <v>#N/A</v>
      </c>
      <c r="AE869" t="e">
        <f>IFERROR(IF(INDEX(Aux_puntos!$A$2:$OJ$901,865,MATCH($B$2&amp;"|xC",Aux_puntos!$1:$1,0))="",NA(),INDEX(Aux_puntos!$A$2:$OJ$901,865,MATCH($B$2&amp;"|xC",Aux_puntos!$1:$1,0))),NA())</f>
        <v>#N/A</v>
      </c>
      <c r="AF869" t="e">
        <f>IFERROR(IF(INDEX(Aux_puntos!$A$2:$OJ$901,865,MATCH($B$2&amp;"|yC",Aux_puntos!$1:$1,0))="",NA(),INDEX(Aux_puntos!$A$2:$OJ$901,865,MATCH($B$2&amp;"|yC",Aux_puntos!$1:$1,0))),NA())</f>
        <v>#N/A</v>
      </c>
      <c r="AG869" t="e">
        <f>IFERROR(IF(INDEX(Aux_puntos!$A$2:$OJ$901,865,MATCH($B$2&amp;"|xI",Aux_puntos!$1:$1,0))="",NA(),INDEX(Aux_puntos!$A$2:$OJ$901,865,MATCH($B$2&amp;"|xI",Aux_puntos!$1:$1,0))),NA())</f>
        <v>#N/A</v>
      </c>
      <c r="AH869" t="e">
        <f>IFERROR(IF(INDEX(Aux_puntos!$A$2:$OJ$901,865,MATCH($B$2&amp;"|yI",Aux_puntos!$1:$1,0))="",NA(),INDEX(Aux_puntos!$A$2:$OJ$901,865,MATCH($B$2&amp;"|yI",Aux_puntos!$1:$1,0))),NA())</f>
        <v>#N/A</v>
      </c>
      <c r="AI869" t="e">
        <f>IFERROR(IF(INDEX(Aux_puntos!$A$2:$OJ$901,865,MATCH($B$2&amp;"|xN",Aux_puntos!$1:$1,0))="",NA(),INDEX(Aux_puntos!$A$2:$OJ$901,865,MATCH($B$2&amp;"|xN",Aux_puntos!$1:$1,0))),NA())</f>
        <v>#N/A</v>
      </c>
      <c r="AJ869" t="e">
        <f>IFERROR(IF(INDEX(Aux_puntos!$A$2:$OJ$901,865,MATCH($B$2&amp;"|yN",Aux_puntos!$1:$1,0))="",NA(),INDEX(Aux_puntos!$A$2:$OJ$901,865,MATCH($B$2&amp;"|yN",Aux_puntos!$1:$1,0))),NA())</f>
        <v>#N/A</v>
      </c>
    </row>
    <row r="870" spans="29:36" x14ac:dyDescent="0.3">
      <c r="AC870" t="e">
        <f>IFERROR(IF(INDEX(Aux_puntos!$A$2:$OJ$901,866,MATCH($B$2&amp;"|xK",Aux_puntos!$1:$1,0))="",NA(),INDEX(Aux_puntos!$A$2:$OJ$901,866,MATCH($B$2&amp;"|xK",Aux_puntos!$1:$1,0))),NA())</f>
        <v>#N/A</v>
      </c>
      <c r="AD870" t="e">
        <f>IFERROR(IF(INDEX(Aux_puntos!$A$2:$OJ$901,866,MATCH($B$2&amp;"|yK",Aux_puntos!$1:$1,0))="",NA(),INDEX(Aux_puntos!$A$2:$OJ$901,866,MATCH($B$2&amp;"|yK",Aux_puntos!$1:$1,0))),NA())</f>
        <v>#N/A</v>
      </c>
      <c r="AE870" t="e">
        <f>IFERROR(IF(INDEX(Aux_puntos!$A$2:$OJ$901,866,MATCH($B$2&amp;"|xC",Aux_puntos!$1:$1,0))="",NA(),INDEX(Aux_puntos!$A$2:$OJ$901,866,MATCH($B$2&amp;"|xC",Aux_puntos!$1:$1,0))),NA())</f>
        <v>#N/A</v>
      </c>
      <c r="AF870" t="e">
        <f>IFERROR(IF(INDEX(Aux_puntos!$A$2:$OJ$901,866,MATCH($B$2&amp;"|yC",Aux_puntos!$1:$1,0))="",NA(),INDEX(Aux_puntos!$A$2:$OJ$901,866,MATCH($B$2&amp;"|yC",Aux_puntos!$1:$1,0))),NA())</f>
        <v>#N/A</v>
      </c>
      <c r="AG870" t="e">
        <f>IFERROR(IF(INDEX(Aux_puntos!$A$2:$OJ$901,866,MATCH($B$2&amp;"|xI",Aux_puntos!$1:$1,0))="",NA(),INDEX(Aux_puntos!$A$2:$OJ$901,866,MATCH($B$2&amp;"|xI",Aux_puntos!$1:$1,0))),NA())</f>
        <v>#N/A</v>
      </c>
      <c r="AH870" t="e">
        <f>IFERROR(IF(INDEX(Aux_puntos!$A$2:$OJ$901,866,MATCH($B$2&amp;"|yI",Aux_puntos!$1:$1,0))="",NA(),INDEX(Aux_puntos!$A$2:$OJ$901,866,MATCH($B$2&amp;"|yI",Aux_puntos!$1:$1,0))),NA())</f>
        <v>#N/A</v>
      </c>
      <c r="AI870" t="e">
        <f>IFERROR(IF(INDEX(Aux_puntos!$A$2:$OJ$901,866,MATCH($B$2&amp;"|xN",Aux_puntos!$1:$1,0))="",NA(),INDEX(Aux_puntos!$A$2:$OJ$901,866,MATCH($B$2&amp;"|xN",Aux_puntos!$1:$1,0))),NA())</f>
        <v>#N/A</v>
      </c>
      <c r="AJ870" t="e">
        <f>IFERROR(IF(INDEX(Aux_puntos!$A$2:$OJ$901,866,MATCH($B$2&amp;"|yN",Aux_puntos!$1:$1,0))="",NA(),INDEX(Aux_puntos!$A$2:$OJ$901,866,MATCH($B$2&amp;"|yN",Aux_puntos!$1:$1,0))),NA())</f>
        <v>#N/A</v>
      </c>
    </row>
    <row r="871" spans="29:36" x14ac:dyDescent="0.3">
      <c r="AC871" t="e">
        <f>IFERROR(IF(INDEX(Aux_puntos!$A$2:$OJ$901,867,MATCH($B$2&amp;"|xK",Aux_puntos!$1:$1,0))="",NA(),INDEX(Aux_puntos!$A$2:$OJ$901,867,MATCH($B$2&amp;"|xK",Aux_puntos!$1:$1,0))),NA())</f>
        <v>#N/A</v>
      </c>
      <c r="AD871" t="e">
        <f>IFERROR(IF(INDEX(Aux_puntos!$A$2:$OJ$901,867,MATCH($B$2&amp;"|yK",Aux_puntos!$1:$1,0))="",NA(),INDEX(Aux_puntos!$A$2:$OJ$901,867,MATCH($B$2&amp;"|yK",Aux_puntos!$1:$1,0))),NA())</f>
        <v>#N/A</v>
      </c>
      <c r="AE871" t="e">
        <f>IFERROR(IF(INDEX(Aux_puntos!$A$2:$OJ$901,867,MATCH($B$2&amp;"|xC",Aux_puntos!$1:$1,0))="",NA(),INDEX(Aux_puntos!$A$2:$OJ$901,867,MATCH($B$2&amp;"|xC",Aux_puntos!$1:$1,0))),NA())</f>
        <v>#N/A</v>
      </c>
      <c r="AF871" t="e">
        <f>IFERROR(IF(INDEX(Aux_puntos!$A$2:$OJ$901,867,MATCH($B$2&amp;"|yC",Aux_puntos!$1:$1,0))="",NA(),INDEX(Aux_puntos!$A$2:$OJ$901,867,MATCH($B$2&amp;"|yC",Aux_puntos!$1:$1,0))),NA())</f>
        <v>#N/A</v>
      </c>
      <c r="AG871" t="e">
        <f>IFERROR(IF(INDEX(Aux_puntos!$A$2:$OJ$901,867,MATCH($B$2&amp;"|xI",Aux_puntos!$1:$1,0))="",NA(),INDEX(Aux_puntos!$A$2:$OJ$901,867,MATCH($B$2&amp;"|xI",Aux_puntos!$1:$1,0))),NA())</f>
        <v>#N/A</v>
      </c>
      <c r="AH871" t="e">
        <f>IFERROR(IF(INDEX(Aux_puntos!$A$2:$OJ$901,867,MATCH($B$2&amp;"|yI",Aux_puntos!$1:$1,0))="",NA(),INDEX(Aux_puntos!$A$2:$OJ$901,867,MATCH($B$2&amp;"|yI",Aux_puntos!$1:$1,0))),NA())</f>
        <v>#N/A</v>
      </c>
      <c r="AI871" t="e">
        <f>IFERROR(IF(INDEX(Aux_puntos!$A$2:$OJ$901,867,MATCH($B$2&amp;"|xN",Aux_puntos!$1:$1,0))="",NA(),INDEX(Aux_puntos!$A$2:$OJ$901,867,MATCH($B$2&amp;"|xN",Aux_puntos!$1:$1,0))),NA())</f>
        <v>#N/A</v>
      </c>
      <c r="AJ871" t="e">
        <f>IFERROR(IF(INDEX(Aux_puntos!$A$2:$OJ$901,867,MATCH($B$2&amp;"|yN",Aux_puntos!$1:$1,0))="",NA(),INDEX(Aux_puntos!$A$2:$OJ$901,867,MATCH($B$2&amp;"|yN",Aux_puntos!$1:$1,0))),NA())</f>
        <v>#N/A</v>
      </c>
    </row>
    <row r="872" spans="29:36" x14ac:dyDescent="0.3">
      <c r="AC872" t="e">
        <f>IFERROR(IF(INDEX(Aux_puntos!$A$2:$OJ$901,868,MATCH($B$2&amp;"|xK",Aux_puntos!$1:$1,0))="",NA(),INDEX(Aux_puntos!$A$2:$OJ$901,868,MATCH($B$2&amp;"|xK",Aux_puntos!$1:$1,0))),NA())</f>
        <v>#N/A</v>
      </c>
      <c r="AD872" t="e">
        <f>IFERROR(IF(INDEX(Aux_puntos!$A$2:$OJ$901,868,MATCH($B$2&amp;"|yK",Aux_puntos!$1:$1,0))="",NA(),INDEX(Aux_puntos!$A$2:$OJ$901,868,MATCH($B$2&amp;"|yK",Aux_puntos!$1:$1,0))),NA())</f>
        <v>#N/A</v>
      </c>
      <c r="AE872" t="e">
        <f>IFERROR(IF(INDEX(Aux_puntos!$A$2:$OJ$901,868,MATCH($B$2&amp;"|xC",Aux_puntos!$1:$1,0))="",NA(),INDEX(Aux_puntos!$A$2:$OJ$901,868,MATCH($B$2&amp;"|xC",Aux_puntos!$1:$1,0))),NA())</f>
        <v>#N/A</v>
      </c>
      <c r="AF872" t="e">
        <f>IFERROR(IF(INDEX(Aux_puntos!$A$2:$OJ$901,868,MATCH($B$2&amp;"|yC",Aux_puntos!$1:$1,0))="",NA(),INDEX(Aux_puntos!$A$2:$OJ$901,868,MATCH($B$2&amp;"|yC",Aux_puntos!$1:$1,0))),NA())</f>
        <v>#N/A</v>
      </c>
      <c r="AG872" t="e">
        <f>IFERROR(IF(INDEX(Aux_puntos!$A$2:$OJ$901,868,MATCH($B$2&amp;"|xI",Aux_puntos!$1:$1,0))="",NA(),INDEX(Aux_puntos!$A$2:$OJ$901,868,MATCH($B$2&amp;"|xI",Aux_puntos!$1:$1,0))),NA())</f>
        <v>#N/A</v>
      </c>
      <c r="AH872" t="e">
        <f>IFERROR(IF(INDEX(Aux_puntos!$A$2:$OJ$901,868,MATCH($B$2&amp;"|yI",Aux_puntos!$1:$1,0))="",NA(),INDEX(Aux_puntos!$A$2:$OJ$901,868,MATCH($B$2&amp;"|yI",Aux_puntos!$1:$1,0))),NA())</f>
        <v>#N/A</v>
      </c>
      <c r="AI872" t="e">
        <f>IFERROR(IF(INDEX(Aux_puntos!$A$2:$OJ$901,868,MATCH($B$2&amp;"|xN",Aux_puntos!$1:$1,0))="",NA(),INDEX(Aux_puntos!$A$2:$OJ$901,868,MATCH($B$2&amp;"|xN",Aux_puntos!$1:$1,0))),NA())</f>
        <v>#N/A</v>
      </c>
      <c r="AJ872" t="e">
        <f>IFERROR(IF(INDEX(Aux_puntos!$A$2:$OJ$901,868,MATCH($B$2&amp;"|yN",Aux_puntos!$1:$1,0))="",NA(),INDEX(Aux_puntos!$A$2:$OJ$901,868,MATCH($B$2&amp;"|yN",Aux_puntos!$1:$1,0))),NA())</f>
        <v>#N/A</v>
      </c>
    </row>
    <row r="873" spans="29:36" x14ac:dyDescent="0.3">
      <c r="AC873" t="e">
        <f>IFERROR(IF(INDEX(Aux_puntos!$A$2:$OJ$901,869,MATCH($B$2&amp;"|xK",Aux_puntos!$1:$1,0))="",NA(),INDEX(Aux_puntos!$A$2:$OJ$901,869,MATCH($B$2&amp;"|xK",Aux_puntos!$1:$1,0))),NA())</f>
        <v>#N/A</v>
      </c>
      <c r="AD873" t="e">
        <f>IFERROR(IF(INDEX(Aux_puntos!$A$2:$OJ$901,869,MATCH($B$2&amp;"|yK",Aux_puntos!$1:$1,0))="",NA(),INDEX(Aux_puntos!$A$2:$OJ$901,869,MATCH($B$2&amp;"|yK",Aux_puntos!$1:$1,0))),NA())</f>
        <v>#N/A</v>
      </c>
      <c r="AE873" t="e">
        <f>IFERROR(IF(INDEX(Aux_puntos!$A$2:$OJ$901,869,MATCH($B$2&amp;"|xC",Aux_puntos!$1:$1,0))="",NA(),INDEX(Aux_puntos!$A$2:$OJ$901,869,MATCH($B$2&amp;"|xC",Aux_puntos!$1:$1,0))),NA())</f>
        <v>#N/A</v>
      </c>
      <c r="AF873" t="e">
        <f>IFERROR(IF(INDEX(Aux_puntos!$A$2:$OJ$901,869,MATCH($B$2&amp;"|yC",Aux_puntos!$1:$1,0))="",NA(),INDEX(Aux_puntos!$A$2:$OJ$901,869,MATCH($B$2&amp;"|yC",Aux_puntos!$1:$1,0))),NA())</f>
        <v>#N/A</v>
      </c>
      <c r="AG873" t="e">
        <f>IFERROR(IF(INDEX(Aux_puntos!$A$2:$OJ$901,869,MATCH($B$2&amp;"|xI",Aux_puntos!$1:$1,0))="",NA(),INDEX(Aux_puntos!$A$2:$OJ$901,869,MATCH($B$2&amp;"|xI",Aux_puntos!$1:$1,0))),NA())</f>
        <v>#N/A</v>
      </c>
      <c r="AH873" t="e">
        <f>IFERROR(IF(INDEX(Aux_puntos!$A$2:$OJ$901,869,MATCH($B$2&amp;"|yI",Aux_puntos!$1:$1,0))="",NA(),INDEX(Aux_puntos!$A$2:$OJ$901,869,MATCH($B$2&amp;"|yI",Aux_puntos!$1:$1,0))),NA())</f>
        <v>#N/A</v>
      </c>
      <c r="AI873" t="e">
        <f>IFERROR(IF(INDEX(Aux_puntos!$A$2:$OJ$901,869,MATCH($B$2&amp;"|xN",Aux_puntos!$1:$1,0))="",NA(),INDEX(Aux_puntos!$A$2:$OJ$901,869,MATCH($B$2&amp;"|xN",Aux_puntos!$1:$1,0))),NA())</f>
        <v>#N/A</v>
      </c>
      <c r="AJ873" t="e">
        <f>IFERROR(IF(INDEX(Aux_puntos!$A$2:$OJ$901,869,MATCH($B$2&amp;"|yN",Aux_puntos!$1:$1,0))="",NA(),INDEX(Aux_puntos!$A$2:$OJ$901,869,MATCH($B$2&amp;"|yN",Aux_puntos!$1:$1,0))),NA())</f>
        <v>#N/A</v>
      </c>
    </row>
    <row r="874" spans="29:36" x14ac:dyDescent="0.3">
      <c r="AC874" t="e">
        <f>IFERROR(IF(INDEX(Aux_puntos!$A$2:$OJ$901,870,MATCH($B$2&amp;"|xK",Aux_puntos!$1:$1,0))="",NA(),INDEX(Aux_puntos!$A$2:$OJ$901,870,MATCH($B$2&amp;"|xK",Aux_puntos!$1:$1,0))),NA())</f>
        <v>#N/A</v>
      </c>
      <c r="AD874" t="e">
        <f>IFERROR(IF(INDEX(Aux_puntos!$A$2:$OJ$901,870,MATCH($B$2&amp;"|yK",Aux_puntos!$1:$1,0))="",NA(),INDEX(Aux_puntos!$A$2:$OJ$901,870,MATCH($B$2&amp;"|yK",Aux_puntos!$1:$1,0))),NA())</f>
        <v>#N/A</v>
      </c>
      <c r="AE874" t="e">
        <f>IFERROR(IF(INDEX(Aux_puntos!$A$2:$OJ$901,870,MATCH($B$2&amp;"|xC",Aux_puntos!$1:$1,0))="",NA(),INDEX(Aux_puntos!$A$2:$OJ$901,870,MATCH($B$2&amp;"|xC",Aux_puntos!$1:$1,0))),NA())</f>
        <v>#N/A</v>
      </c>
      <c r="AF874" t="e">
        <f>IFERROR(IF(INDEX(Aux_puntos!$A$2:$OJ$901,870,MATCH($B$2&amp;"|yC",Aux_puntos!$1:$1,0))="",NA(),INDEX(Aux_puntos!$A$2:$OJ$901,870,MATCH($B$2&amp;"|yC",Aux_puntos!$1:$1,0))),NA())</f>
        <v>#N/A</v>
      </c>
      <c r="AG874" t="e">
        <f>IFERROR(IF(INDEX(Aux_puntos!$A$2:$OJ$901,870,MATCH($B$2&amp;"|xI",Aux_puntos!$1:$1,0))="",NA(),INDEX(Aux_puntos!$A$2:$OJ$901,870,MATCH($B$2&amp;"|xI",Aux_puntos!$1:$1,0))),NA())</f>
        <v>#N/A</v>
      </c>
      <c r="AH874" t="e">
        <f>IFERROR(IF(INDEX(Aux_puntos!$A$2:$OJ$901,870,MATCH($B$2&amp;"|yI",Aux_puntos!$1:$1,0))="",NA(),INDEX(Aux_puntos!$A$2:$OJ$901,870,MATCH($B$2&amp;"|yI",Aux_puntos!$1:$1,0))),NA())</f>
        <v>#N/A</v>
      </c>
      <c r="AI874" t="e">
        <f>IFERROR(IF(INDEX(Aux_puntos!$A$2:$OJ$901,870,MATCH($B$2&amp;"|xN",Aux_puntos!$1:$1,0))="",NA(),INDEX(Aux_puntos!$A$2:$OJ$901,870,MATCH($B$2&amp;"|xN",Aux_puntos!$1:$1,0))),NA())</f>
        <v>#N/A</v>
      </c>
      <c r="AJ874" t="e">
        <f>IFERROR(IF(INDEX(Aux_puntos!$A$2:$OJ$901,870,MATCH($B$2&amp;"|yN",Aux_puntos!$1:$1,0))="",NA(),INDEX(Aux_puntos!$A$2:$OJ$901,870,MATCH($B$2&amp;"|yN",Aux_puntos!$1:$1,0))),NA())</f>
        <v>#N/A</v>
      </c>
    </row>
    <row r="875" spans="29:36" x14ac:dyDescent="0.3">
      <c r="AC875" t="e">
        <f>IFERROR(IF(INDEX(Aux_puntos!$A$2:$OJ$901,871,MATCH($B$2&amp;"|xK",Aux_puntos!$1:$1,0))="",NA(),INDEX(Aux_puntos!$A$2:$OJ$901,871,MATCH($B$2&amp;"|xK",Aux_puntos!$1:$1,0))),NA())</f>
        <v>#N/A</v>
      </c>
      <c r="AD875" t="e">
        <f>IFERROR(IF(INDEX(Aux_puntos!$A$2:$OJ$901,871,MATCH($B$2&amp;"|yK",Aux_puntos!$1:$1,0))="",NA(),INDEX(Aux_puntos!$A$2:$OJ$901,871,MATCH($B$2&amp;"|yK",Aux_puntos!$1:$1,0))),NA())</f>
        <v>#N/A</v>
      </c>
      <c r="AE875" t="e">
        <f>IFERROR(IF(INDEX(Aux_puntos!$A$2:$OJ$901,871,MATCH($B$2&amp;"|xC",Aux_puntos!$1:$1,0))="",NA(),INDEX(Aux_puntos!$A$2:$OJ$901,871,MATCH($B$2&amp;"|xC",Aux_puntos!$1:$1,0))),NA())</f>
        <v>#N/A</v>
      </c>
      <c r="AF875" t="e">
        <f>IFERROR(IF(INDEX(Aux_puntos!$A$2:$OJ$901,871,MATCH($B$2&amp;"|yC",Aux_puntos!$1:$1,0))="",NA(),INDEX(Aux_puntos!$A$2:$OJ$901,871,MATCH($B$2&amp;"|yC",Aux_puntos!$1:$1,0))),NA())</f>
        <v>#N/A</v>
      </c>
      <c r="AG875" t="e">
        <f>IFERROR(IF(INDEX(Aux_puntos!$A$2:$OJ$901,871,MATCH($B$2&amp;"|xI",Aux_puntos!$1:$1,0))="",NA(),INDEX(Aux_puntos!$A$2:$OJ$901,871,MATCH($B$2&amp;"|xI",Aux_puntos!$1:$1,0))),NA())</f>
        <v>#N/A</v>
      </c>
      <c r="AH875" t="e">
        <f>IFERROR(IF(INDEX(Aux_puntos!$A$2:$OJ$901,871,MATCH($B$2&amp;"|yI",Aux_puntos!$1:$1,0))="",NA(),INDEX(Aux_puntos!$A$2:$OJ$901,871,MATCH($B$2&amp;"|yI",Aux_puntos!$1:$1,0))),NA())</f>
        <v>#N/A</v>
      </c>
      <c r="AI875" t="e">
        <f>IFERROR(IF(INDEX(Aux_puntos!$A$2:$OJ$901,871,MATCH($B$2&amp;"|xN",Aux_puntos!$1:$1,0))="",NA(),INDEX(Aux_puntos!$A$2:$OJ$901,871,MATCH($B$2&amp;"|xN",Aux_puntos!$1:$1,0))),NA())</f>
        <v>#N/A</v>
      </c>
      <c r="AJ875" t="e">
        <f>IFERROR(IF(INDEX(Aux_puntos!$A$2:$OJ$901,871,MATCH($B$2&amp;"|yN",Aux_puntos!$1:$1,0))="",NA(),INDEX(Aux_puntos!$A$2:$OJ$901,871,MATCH($B$2&amp;"|yN",Aux_puntos!$1:$1,0))),NA())</f>
        <v>#N/A</v>
      </c>
    </row>
    <row r="876" spans="29:36" x14ac:dyDescent="0.3">
      <c r="AC876" t="e">
        <f>IFERROR(IF(INDEX(Aux_puntos!$A$2:$OJ$901,872,MATCH($B$2&amp;"|xK",Aux_puntos!$1:$1,0))="",NA(),INDEX(Aux_puntos!$A$2:$OJ$901,872,MATCH($B$2&amp;"|xK",Aux_puntos!$1:$1,0))),NA())</f>
        <v>#N/A</v>
      </c>
      <c r="AD876" t="e">
        <f>IFERROR(IF(INDEX(Aux_puntos!$A$2:$OJ$901,872,MATCH($B$2&amp;"|yK",Aux_puntos!$1:$1,0))="",NA(),INDEX(Aux_puntos!$A$2:$OJ$901,872,MATCH($B$2&amp;"|yK",Aux_puntos!$1:$1,0))),NA())</f>
        <v>#N/A</v>
      </c>
      <c r="AE876" t="e">
        <f>IFERROR(IF(INDEX(Aux_puntos!$A$2:$OJ$901,872,MATCH($B$2&amp;"|xC",Aux_puntos!$1:$1,0))="",NA(),INDEX(Aux_puntos!$A$2:$OJ$901,872,MATCH($B$2&amp;"|xC",Aux_puntos!$1:$1,0))),NA())</f>
        <v>#N/A</v>
      </c>
      <c r="AF876" t="e">
        <f>IFERROR(IF(INDEX(Aux_puntos!$A$2:$OJ$901,872,MATCH($B$2&amp;"|yC",Aux_puntos!$1:$1,0))="",NA(),INDEX(Aux_puntos!$A$2:$OJ$901,872,MATCH($B$2&amp;"|yC",Aux_puntos!$1:$1,0))),NA())</f>
        <v>#N/A</v>
      </c>
      <c r="AG876" t="e">
        <f>IFERROR(IF(INDEX(Aux_puntos!$A$2:$OJ$901,872,MATCH($B$2&amp;"|xI",Aux_puntos!$1:$1,0))="",NA(),INDEX(Aux_puntos!$A$2:$OJ$901,872,MATCH($B$2&amp;"|xI",Aux_puntos!$1:$1,0))),NA())</f>
        <v>#N/A</v>
      </c>
      <c r="AH876" t="e">
        <f>IFERROR(IF(INDEX(Aux_puntos!$A$2:$OJ$901,872,MATCH($B$2&amp;"|yI",Aux_puntos!$1:$1,0))="",NA(),INDEX(Aux_puntos!$A$2:$OJ$901,872,MATCH($B$2&amp;"|yI",Aux_puntos!$1:$1,0))),NA())</f>
        <v>#N/A</v>
      </c>
      <c r="AI876" t="e">
        <f>IFERROR(IF(INDEX(Aux_puntos!$A$2:$OJ$901,872,MATCH($B$2&amp;"|xN",Aux_puntos!$1:$1,0))="",NA(),INDEX(Aux_puntos!$A$2:$OJ$901,872,MATCH($B$2&amp;"|xN",Aux_puntos!$1:$1,0))),NA())</f>
        <v>#N/A</v>
      </c>
      <c r="AJ876" t="e">
        <f>IFERROR(IF(INDEX(Aux_puntos!$A$2:$OJ$901,872,MATCH($B$2&amp;"|yN",Aux_puntos!$1:$1,0))="",NA(),INDEX(Aux_puntos!$A$2:$OJ$901,872,MATCH($B$2&amp;"|yN",Aux_puntos!$1:$1,0))),NA())</f>
        <v>#N/A</v>
      </c>
    </row>
    <row r="877" spans="29:36" x14ac:dyDescent="0.3">
      <c r="AC877" t="e">
        <f>IFERROR(IF(INDEX(Aux_puntos!$A$2:$OJ$901,873,MATCH($B$2&amp;"|xK",Aux_puntos!$1:$1,0))="",NA(),INDEX(Aux_puntos!$A$2:$OJ$901,873,MATCH($B$2&amp;"|xK",Aux_puntos!$1:$1,0))),NA())</f>
        <v>#N/A</v>
      </c>
      <c r="AD877" t="e">
        <f>IFERROR(IF(INDEX(Aux_puntos!$A$2:$OJ$901,873,MATCH($B$2&amp;"|yK",Aux_puntos!$1:$1,0))="",NA(),INDEX(Aux_puntos!$A$2:$OJ$901,873,MATCH($B$2&amp;"|yK",Aux_puntos!$1:$1,0))),NA())</f>
        <v>#N/A</v>
      </c>
      <c r="AE877" t="e">
        <f>IFERROR(IF(INDEX(Aux_puntos!$A$2:$OJ$901,873,MATCH($B$2&amp;"|xC",Aux_puntos!$1:$1,0))="",NA(),INDEX(Aux_puntos!$A$2:$OJ$901,873,MATCH($B$2&amp;"|xC",Aux_puntos!$1:$1,0))),NA())</f>
        <v>#N/A</v>
      </c>
      <c r="AF877" t="e">
        <f>IFERROR(IF(INDEX(Aux_puntos!$A$2:$OJ$901,873,MATCH($B$2&amp;"|yC",Aux_puntos!$1:$1,0))="",NA(),INDEX(Aux_puntos!$A$2:$OJ$901,873,MATCH($B$2&amp;"|yC",Aux_puntos!$1:$1,0))),NA())</f>
        <v>#N/A</v>
      </c>
      <c r="AG877" t="e">
        <f>IFERROR(IF(INDEX(Aux_puntos!$A$2:$OJ$901,873,MATCH($B$2&amp;"|xI",Aux_puntos!$1:$1,0))="",NA(),INDEX(Aux_puntos!$A$2:$OJ$901,873,MATCH($B$2&amp;"|xI",Aux_puntos!$1:$1,0))),NA())</f>
        <v>#N/A</v>
      </c>
      <c r="AH877" t="e">
        <f>IFERROR(IF(INDEX(Aux_puntos!$A$2:$OJ$901,873,MATCH($B$2&amp;"|yI",Aux_puntos!$1:$1,0))="",NA(),INDEX(Aux_puntos!$A$2:$OJ$901,873,MATCH($B$2&amp;"|yI",Aux_puntos!$1:$1,0))),NA())</f>
        <v>#N/A</v>
      </c>
      <c r="AI877" t="e">
        <f>IFERROR(IF(INDEX(Aux_puntos!$A$2:$OJ$901,873,MATCH($B$2&amp;"|xN",Aux_puntos!$1:$1,0))="",NA(),INDEX(Aux_puntos!$A$2:$OJ$901,873,MATCH($B$2&amp;"|xN",Aux_puntos!$1:$1,0))),NA())</f>
        <v>#N/A</v>
      </c>
      <c r="AJ877" t="e">
        <f>IFERROR(IF(INDEX(Aux_puntos!$A$2:$OJ$901,873,MATCH($B$2&amp;"|yN",Aux_puntos!$1:$1,0))="",NA(),INDEX(Aux_puntos!$A$2:$OJ$901,873,MATCH($B$2&amp;"|yN",Aux_puntos!$1:$1,0))),NA())</f>
        <v>#N/A</v>
      </c>
    </row>
    <row r="878" spans="29:36" x14ac:dyDescent="0.3">
      <c r="AC878" t="e">
        <f>IFERROR(IF(INDEX(Aux_puntos!$A$2:$OJ$901,874,MATCH($B$2&amp;"|xK",Aux_puntos!$1:$1,0))="",NA(),INDEX(Aux_puntos!$A$2:$OJ$901,874,MATCH($B$2&amp;"|xK",Aux_puntos!$1:$1,0))),NA())</f>
        <v>#N/A</v>
      </c>
      <c r="AD878" t="e">
        <f>IFERROR(IF(INDEX(Aux_puntos!$A$2:$OJ$901,874,MATCH($B$2&amp;"|yK",Aux_puntos!$1:$1,0))="",NA(),INDEX(Aux_puntos!$A$2:$OJ$901,874,MATCH($B$2&amp;"|yK",Aux_puntos!$1:$1,0))),NA())</f>
        <v>#N/A</v>
      </c>
      <c r="AE878" t="e">
        <f>IFERROR(IF(INDEX(Aux_puntos!$A$2:$OJ$901,874,MATCH($B$2&amp;"|xC",Aux_puntos!$1:$1,0))="",NA(),INDEX(Aux_puntos!$A$2:$OJ$901,874,MATCH($B$2&amp;"|xC",Aux_puntos!$1:$1,0))),NA())</f>
        <v>#N/A</v>
      </c>
      <c r="AF878" t="e">
        <f>IFERROR(IF(INDEX(Aux_puntos!$A$2:$OJ$901,874,MATCH($B$2&amp;"|yC",Aux_puntos!$1:$1,0))="",NA(),INDEX(Aux_puntos!$A$2:$OJ$901,874,MATCH($B$2&amp;"|yC",Aux_puntos!$1:$1,0))),NA())</f>
        <v>#N/A</v>
      </c>
      <c r="AG878" t="e">
        <f>IFERROR(IF(INDEX(Aux_puntos!$A$2:$OJ$901,874,MATCH($B$2&amp;"|xI",Aux_puntos!$1:$1,0))="",NA(),INDEX(Aux_puntos!$A$2:$OJ$901,874,MATCH($B$2&amp;"|xI",Aux_puntos!$1:$1,0))),NA())</f>
        <v>#N/A</v>
      </c>
      <c r="AH878" t="e">
        <f>IFERROR(IF(INDEX(Aux_puntos!$A$2:$OJ$901,874,MATCH($B$2&amp;"|yI",Aux_puntos!$1:$1,0))="",NA(),INDEX(Aux_puntos!$A$2:$OJ$901,874,MATCH($B$2&amp;"|yI",Aux_puntos!$1:$1,0))),NA())</f>
        <v>#N/A</v>
      </c>
      <c r="AI878" t="e">
        <f>IFERROR(IF(INDEX(Aux_puntos!$A$2:$OJ$901,874,MATCH($B$2&amp;"|xN",Aux_puntos!$1:$1,0))="",NA(),INDEX(Aux_puntos!$A$2:$OJ$901,874,MATCH($B$2&amp;"|xN",Aux_puntos!$1:$1,0))),NA())</f>
        <v>#N/A</v>
      </c>
      <c r="AJ878" t="e">
        <f>IFERROR(IF(INDEX(Aux_puntos!$A$2:$OJ$901,874,MATCH($B$2&amp;"|yN",Aux_puntos!$1:$1,0))="",NA(),INDEX(Aux_puntos!$A$2:$OJ$901,874,MATCH($B$2&amp;"|yN",Aux_puntos!$1:$1,0))),NA())</f>
        <v>#N/A</v>
      </c>
    </row>
    <row r="879" spans="29:36" x14ac:dyDescent="0.3">
      <c r="AC879" t="e">
        <f>IFERROR(IF(INDEX(Aux_puntos!$A$2:$OJ$901,875,MATCH($B$2&amp;"|xK",Aux_puntos!$1:$1,0))="",NA(),INDEX(Aux_puntos!$A$2:$OJ$901,875,MATCH($B$2&amp;"|xK",Aux_puntos!$1:$1,0))),NA())</f>
        <v>#N/A</v>
      </c>
      <c r="AD879" t="e">
        <f>IFERROR(IF(INDEX(Aux_puntos!$A$2:$OJ$901,875,MATCH($B$2&amp;"|yK",Aux_puntos!$1:$1,0))="",NA(),INDEX(Aux_puntos!$A$2:$OJ$901,875,MATCH($B$2&amp;"|yK",Aux_puntos!$1:$1,0))),NA())</f>
        <v>#N/A</v>
      </c>
      <c r="AE879" t="e">
        <f>IFERROR(IF(INDEX(Aux_puntos!$A$2:$OJ$901,875,MATCH($B$2&amp;"|xC",Aux_puntos!$1:$1,0))="",NA(),INDEX(Aux_puntos!$A$2:$OJ$901,875,MATCH($B$2&amp;"|xC",Aux_puntos!$1:$1,0))),NA())</f>
        <v>#N/A</v>
      </c>
      <c r="AF879" t="e">
        <f>IFERROR(IF(INDEX(Aux_puntos!$A$2:$OJ$901,875,MATCH($B$2&amp;"|yC",Aux_puntos!$1:$1,0))="",NA(),INDEX(Aux_puntos!$A$2:$OJ$901,875,MATCH($B$2&amp;"|yC",Aux_puntos!$1:$1,0))),NA())</f>
        <v>#N/A</v>
      </c>
      <c r="AG879" t="e">
        <f>IFERROR(IF(INDEX(Aux_puntos!$A$2:$OJ$901,875,MATCH($B$2&amp;"|xI",Aux_puntos!$1:$1,0))="",NA(),INDEX(Aux_puntos!$A$2:$OJ$901,875,MATCH($B$2&amp;"|xI",Aux_puntos!$1:$1,0))),NA())</f>
        <v>#N/A</v>
      </c>
      <c r="AH879" t="e">
        <f>IFERROR(IF(INDEX(Aux_puntos!$A$2:$OJ$901,875,MATCH($B$2&amp;"|yI",Aux_puntos!$1:$1,0))="",NA(),INDEX(Aux_puntos!$A$2:$OJ$901,875,MATCH($B$2&amp;"|yI",Aux_puntos!$1:$1,0))),NA())</f>
        <v>#N/A</v>
      </c>
      <c r="AI879" t="e">
        <f>IFERROR(IF(INDEX(Aux_puntos!$A$2:$OJ$901,875,MATCH($B$2&amp;"|xN",Aux_puntos!$1:$1,0))="",NA(),INDEX(Aux_puntos!$A$2:$OJ$901,875,MATCH($B$2&amp;"|xN",Aux_puntos!$1:$1,0))),NA())</f>
        <v>#N/A</v>
      </c>
      <c r="AJ879" t="e">
        <f>IFERROR(IF(INDEX(Aux_puntos!$A$2:$OJ$901,875,MATCH($B$2&amp;"|yN",Aux_puntos!$1:$1,0))="",NA(),INDEX(Aux_puntos!$A$2:$OJ$901,875,MATCH($B$2&amp;"|yN",Aux_puntos!$1:$1,0))),NA())</f>
        <v>#N/A</v>
      </c>
    </row>
    <row r="880" spans="29:36" x14ac:dyDescent="0.3">
      <c r="AC880" t="e">
        <f>IFERROR(IF(INDEX(Aux_puntos!$A$2:$OJ$901,876,MATCH($B$2&amp;"|xK",Aux_puntos!$1:$1,0))="",NA(),INDEX(Aux_puntos!$A$2:$OJ$901,876,MATCH($B$2&amp;"|xK",Aux_puntos!$1:$1,0))),NA())</f>
        <v>#N/A</v>
      </c>
      <c r="AD880" t="e">
        <f>IFERROR(IF(INDEX(Aux_puntos!$A$2:$OJ$901,876,MATCH($B$2&amp;"|yK",Aux_puntos!$1:$1,0))="",NA(),INDEX(Aux_puntos!$A$2:$OJ$901,876,MATCH($B$2&amp;"|yK",Aux_puntos!$1:$1,0))),NA())</f>
        <v>#N/A</v>
      </c>
      <c r="AE880" t="e">
        <f>IFERROR(IF(INDEX(Aux_puntos!$A$2:$OJ$901,876,MATCH($B$2&amp;"|xC",Aux_puntos!$1:$1,0))="",NA(),INDEX(Aux_puntos!$A$2:$OJ$901,876,MATCH($B$2&amp;"|xC",Aux_puntos!$1:$1,0))),NA())</f>
        <v>#N/A</v>
      </c>
      <c r="AF880" t="e">
        <f>IFERROR(IF(INDEX(Aux_puntos!$A$2:$OJ$901,876,MATCH($B$2&amp;"|yC",Aux_puntos!$1:$1,0))="",NA(),INDEX(Aux_puntos!$A$2:$OJ$901,876,MATCH($B$2&amp;"|yC",Aux_puntos!$1:$1,0))),NA())</f>
        <v>#N/A</v>
      </c>
      <c r="AG880" t="e">
        <f>IFERROR(IF(INDEX(Aux_puntos!$A$2:$OJ$901,876,MATCH($B$2&amp;"|xI",Aux_puntos!$1:$1,0))="",NA(),INDEX(Aux_puntos!$A$2:$OJ$901,876,MATCH($B$2&amp;"|xI",Aux_puntos!$1:$1,0))),NA())</f>
        <v>#N/A</v>
      </c>
      <c r="AH880" t="e">
        <f>IFERROR(IF(INDEX(Aux_puntos!$A$2:$OJ$901,876,MATCH($B$2&amp;"|yI",Aux_puntos!$1:$1,0))="",NA(),INDEX(Aux_puntos!$A$2:$OJ$901,876,MATCH($B$2&amp;"|yI",Aux_puntos!$1:$1,0))),NA())</f>
        <v>#N/A</v>
      </c>
      <c r="AI880" t="e">
        <f>IFERROR(IF(INDEX(Aux_puntos!$A$2:$OJ$901,876,MATCH($B$2&amp;"|xN",Aux_puntos!$1:$1,0))="",NA(),INDEX(Aux_puntos!$A$2:$OJ$901,876,MATCH($B$2&amp;"|xN",Aux_puntos!$1:$1,0))),NA())</f>
        <v>#N/A</v>
      </c>
      <c r="AJ880" t="e">
        <f>IFERROR(IF(INDEX(Aux_puntos!$A$2:$OJ$901,876,MATCH($B$2&amp;"|yN",Aux_puntos!$1:$1,0))="",NA(),INDEX(Aux_puntos!$A$2:$OJ$901,876,MATCH($B$2&amp;"|yN",Aux_puntos!$1:$1,0))),NA())</f>
        <v>#N/A</v>
      </c>
    </row>
    <row r="881" spans="29:36" x14ac:dyDescent="0.3">
      <c r="AC881" t="e">
        <f>IFERROR(IF(INDEX(Aux_puntos!$A$2:$OJ$901,877,MATCH($B$2&amp;"|xK",Aux_puntos!$1:$1,0))="",NA(),INDEX(Aux_puntos!$A$2:$OJ$901,877,MATCH($B$2&amp;"|xK",Aux_puntos!$1:$1,0))),NA())</f>
        <v>#N/A</v>
      </c>
      <c r="AD881" t="e">
        <f>IFERROR(IF(INDEX(Aux_puntos!$A$2:$OJ$901,877,MATCH($B$2&amp;"|yK",Aux_puntos!$1:$1,0))="",NA(),INDEX(Aux_puntos!$A$2:$OJ$901,877,MATCH($B$2&amp;"|yK",Aux_puntos!$1:$1,0))),NA())</f>
        <v>#N/A</v>
      </c>
      <c r="AE881" t="e">
        <f>IFERROR(IF(INDEX(Aux_puntos!$A$2:$OJ$901,877,MATCH($B$2&amp;"|xC",Aux_puntos!$1:$1,0))="",NA(),INDEX(Aux_puntos!$A$2:$OJ$901,877,MATCH($B$2&amp;"|xC",Aux_puntos!$1:$1,0))),NA())</f>
        <v>#N/A</v>
      </c>
      <c r="AF881" t="e">
        <f>IFERROR(IF(INDEX(Aux_puntos!$A$2:$OJ$901,877,MATCH($B$2&amp;"|yC",Aux_puntos!$1:$1,0))="",NA(),INDEX(Aux_puntos!$A$2:$OJ$901,877,MATCH($B$2&amp;"|yC",Aux_puntos!$1:$1,0))),NA())</f>
        <v>#N/A</v>
      </c>
      <c r="AG881" t="e">
        <f>IFERROR(IF(INDEX(Aux_puntos!$A$2:$OJ$901,877,MATCH($B$2&amp;"|xI",Aux_puntos!$1:$1,0))="",NA(),INDEX(Aux_puntos!$A$2:$OJ$901,877,MATCH($B$2&amp;"|xI",Aux_puntos!$1:$1,0))),NA())</f>
        <v>#N/A</v>
      </c>
      <c r="AH881" t="e">
        <f>IFERROR(IF(INDEX(Aux_puntos!$A$2:$OJ$901,877,MATCH($B$2&amp;"|yI",Aux_puntos!$1:$1,0))="",NA(),INDEX(Aux_puntos!$A$2:$OJ$901,877,MATCH($B$2&amp;"|yI",Aux_puntos!$1:$1,0))),NA())</f>
        <v>#N/A</v>
      </c>
      <c r="AI881" t="e">
        <f>IFERROR(IF(INDEX(Aux_puntos!$A$2:$OJ$901,877,MATCH($B$2&amp;"|xN",Aux_puntos!$1:$1,0))="",NA(),INDEX(Aux_puntos!$A$2:$OJ$901,877,MATCH($B$2&amp;"|xN",Aux_puntos!$1:$1,0))),NA())</f>
        <v>#N/A</v>
      </c>
      <c r="AJ881" t="e">
        <f>IFERROR(IF(INDEX(Aux_puntos!$A$2:$OJ$901,877,MATCH($B$2&amp;"|yN",Aux_puntos!$1:$1,0))="",NA(),INDEX(Aux_puntos!$A$2:$OJ$901,877,MATCH($B$2&amp;"|yN",Aux_puntos!$1:$1,0))),NA())</f>
        <v>#N/A</v>
      </c>
    </row>
    <row r="882" spans="29:36" x14ac:dyDescent="0.3">
      <c r="AC882" t="e">
        <f>IFERROR(IF(INDEX(Aux_puntos!$A$2:$OJ$901,878,MATCH($B$2&amp;"|xK",Aux_puntos!$1:$1,0))="",NA(),INDEX(Aux_puntos!$A$2:$OJ$901,878,MATCH($B$2&amp;"|xK",Aux_puntos!$1:$1,0))),NA())</f>
        <v>#N/A</v>
      </c>
      <c r="AD882" t="e">
        <f>IFERROR(IF(INDEX(Aux_puntos!$A$2:$OJ$901,878,MATCH($B$2&amp;"|yK",Aux_puntos!$1:$1,0))="",NA(),INDEX(Aux_puntos!$A$2:$OJ$901,878,MATCH($B$2&amp;"|yK",Aux_puntos!$1:$1,0))),NA())</f>
        <v>#N/A</v>
      </c>
      <c r="AE882" t="e">
        <f>IFERROR(IF(INDEX(Aux_puntos!$A$2:$OJ$901,878,MATCH($B$2&amp;"|xC",Aux_puntos!$1:$1,0))="",NA(),INDEX(Aux_puntos!$A$2:$OJ$901,878,MATCH($B$2&amp;"|xC",Aux_puntos!$1:$1,0))),NA())</f>
        <v>#N/A</v>
      </c>
      <c r="AF882" t="e">
        <f>IFERROR(IF(INDEX(Aux_puntos!$A$2:$OJ$901,878,MATCH($B$2&amp;"|yC",Aux_puntos!$1:$1,0))="",NA(),INDEX(Aux_puntos!$A$2:$OJ$901,878,MATCH($B$2&amp;"|yC",Aux_puntos!$1:$1,0))),NA())</f>
        <v>#N/A</v>
      </c>
      <c r="AG882" t="e">
        <f>IFERROR(IF(INDEX(Aux_puntos!$A$2:$OJ$901,878,MATCH($B$2&amp;"|xI",Aux_puntos!$1:$1,0))="",NA(),INDEX(Aux_puntos!$A$2:$OJ$901,878,MATCH($B$2&amp;"|xI",Aux_puntos!$1:$1,0))),NA())</f>
        <v>#N/A</v>
      </c>
      <c r="AH882" t="e">
        <f>IFERROR(IF(INDEX(Aux_puntos!$A$2:$OJ$901,878,MATCH($B$2&amp;"|yI",Aux_puntos!$1:$1,0))="",NA(),INDEX(Aux_puntos!$A$2:$OJ$901,878,MATCH($B$2&amp;"|yI",Aux_puntos!$1:$1,0))),NA())</f>
        <v>#N/A</v>
      </c>
      <c r="AI882" t="e">
        <f>IFERROR(IF(INDEX(Aux_puntos!$A$2:$OJ$901,878,MATCH($B$2&amp;"|xN",Aux_puntos!$1:$1,0))="",NA(),INDEX(Aux_puntos!$A$2:$OJ$901,878,MATCH($B$2&amp;"|xN",Aux_puntos!$1:$1,0))),NA())</f>
        <v>#N/A</v>
      </c>
      <c r="AJ882" t="e">
        <f>IFERROR(IF(INDEX(Aux_puntos!$A$2:$OJ$901,878,MATCH($B$2&amp;"|yN",Aux_puntos!$1:$1,0))="",NA(),INDEX(Aux_puntos!$A$2:$OJ$901,878,MATCH($B$2&amp;"|yN",Aux_puntos!$1:$1,0))),NA())</f>
        <v>#N/A</v>
      </c>
    </row>
    <row r="883" spans="29:36" x14ac:dyDescent="0.3">
      <c r="AC883" t="e">
        <f>IFERROR(IF(INDEX(Aux_puntos!$A$2:$OJ$901,879,MATCH($B$2&amp;"|xK",Aux_puntos!$1:$1,0))="",NA(),INDEX(Aux_puntos!$A$2:$OJ$901,879,MATCH($B$2&amp;"|xK",Aux_puntos!$1:$1,0))),NA())</f>
        <v>#N/A</v>
      </c>
      <c r="AD883" t="e">
        <f>IFERROR(IF(INDEX(Aux_puntos!$A$2:$OJ$901,879,MATCH($B$2&amp;"|yK",Aux_puntos!$1:$1,0))="",NA(),INDEX(Aux_puntos!$A$2:$OJ$901,879,MATCH($B$2&amp;"|yK",Aux_puntos!$1:$1,0))),NA())</f>
        <v>#N/A</v>
      </c>
      <c r="AE883" t="e">
        <f>IFERROR(IF(INDEX(Aux_puntos!$A$2:$OJ$901,879,MATCH($B$2&amp;"|xC",Aux_puntos!$1:$1,0))="",NA(),INDEX(Aux_puntos!$A$2:$OJ$901,879,MATCH($B$2&amp;"|xC",Aux_puntos!$1:$1,0))),NA())</f>
        <v>#N/A</v>
      </c>
      <c r="AF883" t="e">
        <f>IFERROR(IF(INDEX(Aux_puntos!$A$2:$OJ$901,879,MATCH($B$2&amp;"|yC",Aux_puntos!$1:$1,0))="",NA(),INDEX(Aux_puntos!$A$2:$OJ$901,879,MATCH($B$2&amp;"|yC",Aux_puntos!$1:$1,0))),NA())</f>
        <v>#N/A</v>
      </c>
      <c r="AG883" t="e">
        <f>IFERROR(IF(INDEX(Aux_puntos!$A$2:$OJ$901,879,MATCH($B$2&amp;"|xI",Aux_puntos!$1:$1,0))="",NA(),INDEX(Aux_puntos!$A$2:$OJ$901,879,MATCH($B$2&amp;"|xI",Aux_puntos!$1:$1,0))),NA())</f>
        <v>#N/A</v>
      </c>
      <c r="AH883" t="e">
        <f>IFERROR(IF(INDEX(Aux_puntos!$A$2:$OJ$901,879,MATCH($B$2&amp;"|yI",Aux_puntos!$1:$1,0))="",NA(),INDEX(Aux_puntos!$A$2:$OJ$901,879,MATCH($B$2&amp;"|yI",Aux_puntos!$1:$1,0))),NA())</f>
        <v>#N/A</v>
      </c>
      <c r="AI883" t="e">
        <f>IFERROR(IF(INDEX(Aux_puntos!$A$2:$OJ$901,879,MATCH($B$2&amp;"|xN",Aux_puntos!$1:$1,0))="",NA(),INDEX(Aux_puntos!$A$2:$OJ$901,879,MATCH($B$2&amp;"|xN",Aux_puntos!$1:$1,0))),NA())</f>
        <v>#N/A</v>
      </c>
      <c r="AJ883" t="e">
        <f>IFERROR(IF(INDEX(Aux_puntos!$A$2:$OJ$901,879,MATCH($B$2&amp;"|yN",Aux_puntos!$1:$1,0))="",NA(),INDEX(Aux_puntos!$A$2:$OJ$901,879,MATCH($B$2&amp;"|yN",Aux_puntos!$1:$1,0))),NA())</f>
        <v>#N/A</v>
      </c>
    </row>
    <row r="884" spans="29:36" x14ac:dyDescent="0.3">
      <c r="AC884" t="e">
        <f>IFERROR(IF(INDEX(Aux_puntos!$A$2:$OJ$901,880,MATCH($B$2&amp;"|xK",Aux_puntos!$1:$1,0))="",NA(),INDEX(Aux_puntos!$A$2:$OJ$901,880,MATCH($B$2&amp;"|xK",Aux_puntos!$1:$1,0))),NA())</f>
        <v>#N/A</v>
      </c>
      <c r="AD884" t="e">
        <f>IFERROR(IF(INDEX(Aux_puntos!$A$2:$OJ$901,880,MATCH($B$2&amp;"|yK",Aux_puntos!$1:$1,0))="",NA(),INDEX(Aux_puntos!$A$2:$OJ$901,880,MATCH($B$2&amp;"|yK",Aux_puntos!$1:$1,0))),NA())</f>
        <v>#N/A</v>
      </c>
      <c r="AE884" t="e">
        <f>IFERROR(IF(INDEX(Aux_puntos!$A$2:$OJ$901,880,MATCH($B$2&amp;"|xC",Aux_puntos!$1:$1,0))="",NA(),INDEX(Aux_puntos!$A$2:$OJ$901,880,MATCH($B$2&amp;"|xC",Aux_puntos!$1:$1,0))),NA())</f>
        <v>#N/A</v>
      </c>
      <c r="AF884" t="e">
        <f>IFERROR(IF(INDEX(Aux_puntos!$A$2:$OJ$901,880,MATCH($B$2&amp;"|yC",Aux_puntos!$1:$1,0))="",NA(),INDEX(Aux_puntos!$A$2:$OJ$901,880,MATCH($B$2&amp;"|yC",Aux_puntos!$1:$1,0))),NA())</f>
        <v>#N/A</v>
      </c>
      <c r="AG884" t="e">
        <f>IFERROR(IF(INDEX(Aux_puntos!$A$2:$OJ$901,880,MATCH($B$2&amp;"|xI",Aux_puntos!$1:$1,0))="",NA(),INDEX(Aux_puntos!$A$2:$OJ$901,880,MATCH($B$2&amp;"|xI",Aux_puntos!$1:$1,0))),NA())</f>
        <v>#N/A</v>
      </c>
      <c r="AH884" t="e">
        <f>IFERROR(IF(INDEX(Aux_puntos!$A$2:$OJ$901,880,MATCH($B$2&amp;"|yI",Aux_puntos!$1:$1,0))="",NA(),INDEX(Aux_puntos!$A$2:$OJ$901,880,MATCH($B$2&amp;"|yI",Aux_puntos!$1:$1,0))),NA())</f>
        <v>#N/A</v>
      </c>
      <c r="AI884" t="e">
        <f>IFERROR(IF(INDEX(Aux_puntos!$A$2:$OJ$901,880,MATCH($B$2&amp;"|xN",Aux_puntos!$1:$1,0))="",NA(),INDEX(Aux_puntos!$A$2:$OJ$901,880,MATCH($B$2&amp;"|xN",Aux_puntos!$1:$1,0))),NA())</f>
        <v>#N/A</v>
      </c>
      <c r="AJ884" t="e">
        <f>IFERROR(IF(INDEX(Aux_puntos!$A$2:$OJ$901,880,MATCH($B$2&amp;"|yN",Aux_puntos!$1:$1,0))="",NA(),INDEX(Aux_puntos!$A$2:$OJ$901,880,MATCH($B$2&amp;"|yN",Aux_puntos!$1:$1,0))),NA())</f>
        <v>#N/A</v>
      </c>
    </row>
    <row r="885" spans="29:36" x14ac:dyDescent="0.3">
      <c r="AC885" t="e">
        <f>IFERROR(IF(INDEX(Aux_puntos!$A$2:$OJ$901,881,MATCH($B$2&amp;"|xK",Aux_puntos!$1:$1,0))="",NA(),INDEX(Aux_puntos!$A$2:$OJ$901,881,MATCH($B$2&amp;"|xK",Aux_puntos!$1:$1,0))),NA())</f>
        <v>#N/A</v>
      </c>
      <c r="AD885" t="e">
        <f>IFERROR(IF(INDEX(Aux_puntos!$A$2:$OJ$901,881,MATCH($B$2&amp;"|yK",Aux_puntos!$1:$1,0))="",NA(),INDEX(Aux_puntos!$A$2:$OJ$901,881,MATCH($B$2&amp;"|yK",Aux_puntos!$1:$1,0))),NA())</f>
        <v>#N/A</v>
      </c>
      <c r="AE885" t="e">
        <f>IFERROR(IF(INDEX(Aux_puntos!$A$2:$OJ$901,881,MATCH($B$2&amp;"|xC",Aux_puntos!$1:$1,0))="",NA(),INDEX(Aux_puntos!$A$2:$OJ$901,881,MATCH($B$2&amp;"|xC",Aux_puntos!$1:$1,0))),NA())</f>
        <v>#N/A</v>
      </c>
      <c r="AF885" t="e">
        <f>IFERROR(IF(INDEX(Aux_puntos!$A$2:$OJ$901,881,MATCH($B$2&amp;"|yC",Aux_puntos!$1:$1,0))="",NA(),INDEX(Aux_puntos!$A$2:$OJ$901,881,MATCH($B$2&amp;"|yC",Aux_puntos!$1:$1,0))),NA())</f>
        <v>#N/A</v>
      </c>
      <c r="AG885" t="e">
        <f>IFERROR(IF(INDEX(Aux_puntos!$A$2:$OJ$901,881,MATCH($B$2&amp;"|xI",Aux_puntos!$1:$1,0))="",NA(),INDEX(Aux_puntos!$A$2:$OJ$901,881,MATCH($B$2&amp;"|xI",Aux_puntos!$1:$1,0))),NA())</f>
        <v>#N/A</v>
      </c>
      <c r="AH885" t="e">
        <f>IFERROR(IF(INDEX(Aux_puntos!$A$2:$OJ$901,881,MATCH($B$2&amp;"|yI",Aux_puntos!$1:$1,0))="",NA(),INDEX(Aux_puntos!$A$2:$OJ$901,881,MATCH($B$2&amp;"|yI",Aux_puntos!$1:$1,0))),NA())</f>
        <v>#N/A</v>
      </c>
      <c r="AI885" t="e">
        <f>IFERROR(IF(INDEX(Aux_puntos!$A$2:$OJ$901,881,MATCH($B$2&amp;"|xN",Aux_puntos!$1:$1,0))="",NA(),INDEX(Aux_puntos!$A$2:$OJ$901,881,MATCH($B$2&amp;"|xN",Aux_puntos!$1:$1,0))),NA())</f>
        <v>#N/A</v>
      </c>
      <c r="AJ885" t="e">
        <f>IFERROR(IF(INDEX(Aux_puntos!$A$2:$OJ$901,881,MATCH($B$2&amp;"|yN",Aux_puntos!$1:$1,0))="",NA(),INDEX(Aux_puntos!$A$2:$OJ$901,881,MATCH($B$2&amp;"|yN",Aux_puntos!$1:$1,0))),NA())</f>
        <v>#N/A</v>
      </c>
    </row>
    <row r="886" spans="29:36" x14ac:dyDescent="0.3">
      <c r="AC886" t="e">
        <f>IFERROR(IF(INDEX(Aux_puntos!$A$2:$OJ$901,882,MATCH($B$2&amp;"|xK",Aux_puntos!$1:$1,0))="",NA(),INDEX(Aux_puntos!$A$2:$OJ$901,882,MATCH($B$2&amp;"|xK",Aux_puntos!$1:$1,0))),NA())</f>
        <v>#N/A</v>
      </c>
      <c r="AD886" t="e">
        <f>IFERROR(IF(INDEX(Aux_puntos!$A$2:$OJ$901,882,MATCH($B$2&amp;"|yK",Aux_puntos!$1:$1,0))="",NA(),INDEX(Aux_puntos!$A$2:$OJ$901,882,MATCH($B$2&amp;"|yK",Aux_puntos!$1:$1,0))),NA())</f>
        <v>#N/A</v>
      </c>
      <c r="AE886" t="e">
        <f>IFERROR(IF(INDEX(Aux_puntos!$A$2:$OJ$901,882,MATCH($B$2&amp;"|xC",Aux_puntos!$1:$1,0))="",NA(),INDEX(Aux_puntos!$A$2:$OJ$901,882,MATCH($B$2&amp;"|xC",Aux_puntos!$1:$1,0))),NA())</f>
        <v>#N/A</v>
      </c>
      <c r="AF886" t="e">
        <f>IFERROR(IF(INDEX(Aux_puntos!$A$2:$OJ$901,882,MATCH($B$2&amp;"|yC",Aux_puntos!$1:$1,0))="",NA(),INDEX(Aux_puntos!$A$2:$OJ$901,882,MATCH($B$2&amp;"|yC",Aux_puntos!$1:$1,0))),NA())</f>
        <v>#N/A</v>
      </c>
      <c r="AG886" t="e">
        <f>IFERROR(IF(INDEX(Aux_puntos!$A$2:$OJ$901,882,MATCH($B$2&amp;"|xI",Aux_puntos!$1:$1,0))="",NA(),INDEX(Aux_puntos!$A$2:$OJ$901,882,MATCH($B$2&amp;"|xI",Aux_puntos!$1:$1,0))),NA())</f>
        <v>#N/A</v>
      </c>
      <c r="AH886" t="e">
        <f>IFERROR(IF(INDEX(Aux_puntos!$A$2:$OJ$901,882,MATCH($B$2&amp;"|yI",Aux_puntos!$1:$1,0))="",NA(),INDEX(Aux_puntos!$A$2:$OJ$901,882,MATCH($B$2&amp;"|yI",Aux_puntos!$1:$1,0))),NA())</f>
        <v>#N/A</v>
      </c>
      <c r="AI886" t="e">
        <f>IFERROR(IF(INDEX(Aux_puntos!$A$2:$OJ$901,882,MATCH($B$2&amp;"|xN",Aux_puntos!$1:$1,0))="",NA(),INDEX(Aux_puntos!$A$2:$OJ$901,882,MATCH($B$2&amp;"|xN",Aux_puntos!$1:$1,0))),NA())</f>
        <v>#N/A</v>
      </c>
      <c r="AJ886" t="e">
        <f>IFERROR(IF(INDEX(Aux_puntos!$A$2:$OJ$901,882,MATCH($B$2&amp;"|yN",Aux_puntos!$1:$1,0))="",NA(),INDEX(Aux_puntos!$A$2:$OJ$901,882,MATCH($B$2&amp;"|yN",Aux_puntos!$1:$1,0))),NA())</f>
        <v>#N/A</v>
      </c>
    </row>
    <row r="887" spans="29:36" x14ac:dyDescent="0.3">
      <c r="AC887" t="e">
        <f>IFERROR(IF(INDEX(Aux_puntos!$A$2:$OJ$901,883,MATCH($B$2&amp;"|xK",Aux_puntos!$1:$1,0))="",NA(),INDEX(Aux_puntos!$A$2:$OJ$901,883,MATCH($B$2&amp;"|xK",Aux_puntos!$1:$1,0))),NA())</f>
        <v>#N/A</v>
      </c>
      <c r="AD887" t="e">
        <f>IFERROR(IF(INDEX(Aux_puntos!$A$2:$OJ$901,883,MATCH($B$2&amp;"|yK",Aux_puntos!$1:$1,0))="",NA(),INDEX(Aux_puntos!$A$2:$OJ$901,883,MATCH($B$2&amp;"|yK",Aux_puntos!$1:$1,0))),NA())</f>
        <v>#N/A</v>
      </c>
      <c r="AE887" t="e">
        <f>IFERROR(IF(INDEX(Aux_puntos!$A$2:$OJ$901,883,MATCH($B$2&amp;"|xC",Aux_puntos!$1:$1,0))="",NA(),INDEX(Aux_puntos!$A$2:$OJ$901,883,MATCH($B$2&amp;"|xC",Aux_puntos!$1:$1,0))),NA())</f>
        <v>#N/A</v>
      </c>
      <c r="AF887" t="e">
        <f>IFERROR(IF(INDEX(Aux_puntos!$A$2:$OJ$901,883,MATCH($B$2&amp;"|yC",Aux_puntos!$1:$1,0))="",NA(),INDEX(Aux_puntos!$A$2:$OJ$901,883,MATCH($B$2&amp;"|yC",Aux_puntos!$1:$1,0))),NA())</f>
        <v>#N/A</v>
      </c>
      <c r="AG887" t="e">
        <f>IFERROR(IF(INDEX(Aux_puntos!$A$2:$OJ$901,883,MATCH($B$2&amp;"|xI",Aux_puntos!$1:$1,0))="",NA(),INDEX(Aux_puntos!$A$2:$OJ$901,883,MATCH($B$2&amp;"|xI",Aux_puntos!$1:$1,0))),NA())</f>
        <v>#N/A</v>
      </c>
      <c r="AH887" t="e">
        <f>IFERROR(IF(INDEX(Aux_puntos!$A$2:$OJ$901,883,MATCH($B$2&amp;"|yI",Aux_puntos!$1:$1,0))="",NA(),INDEX(Aux_puntos!$A$2:$OJ$901,883,MATCH($B$2&amp;"|yI",Aux_puntos!$1:$1,0))),NA())</f>
        <v>#N/A</v>
      </c>
      <c r="AI887" t="e">
        <f>IFERROR(IF(INDEX(Aux_puntos!$A$2:$OJ$901,883,MATCH($B$2&amp;"|xN",Aux_puntos!$1:$1,0))="",NA(),INDEX(Aux_puntos!$A$2:$OJ$901,883,MATCH($B$2&amp;"|xN",Aux_puntos!$1:$1,0))),NA())</f>
        <v>#N/A</v>
      </c>
      <c r="AJ887" t="e">
        <f>IFERROR(IF(INDEX(Aux_puntos!$A$2:$OJ$901,883,MATCH($B$2&amp;"|yN",Aux_puntos!$1:$1,0))="",NA(),INDEX(Aux_puntos!$A$2:$OJ$901,883,MATCH($B$2&amp;"|yN",Aux_puntos!$1:$1,0))),NA())</f>
        <v>#N/A</v>
      </c>
    </row>
    <row r="888" spans="29:36" x14ac:dyDescent="0.3">
      <c r="AC888" t="e">
        <f>IFERROR(IF(INDEX(Aux_puntos!$A$2:$OJ$901,884,MATCH($B$2&amp;"|xK",Aux_puntos!$1:$1,0))="",NA(),INDEX(Aux_puntos!$A$2:$OJ$901,884,MATCH($B$2&amp;"|xK",Aux_puntos!$1:$1,0))),NA())</f>
        <v>#N/A</v>
      </c>
      <c r="AD888" t="e">
        <f>IFERROR(IF(INDEX(Aux_puntos!$A$2:$OJ$901,884,MATCH($B$2&amp;"|yK",Aux_puntos!$1:$1,0))="",NA(),INDEX(Aux_puntos!$A$2:$OJ$901,884,MATCH($B$2&amp;"|yK",Aux_puntos!$1:$1,0))),NA())</f>
        <v>#N/A</v>
      </c>
      <c r="AE888" t="e">
        <f>IFERROR(IF(INDEX(Aux_puntos!$A$2:$OJ$901,884,MATCH($B$2&amp;"|xC",Aux_puntos!$1:$1,0))="",NA(),INDEX(Aux_puntos!$A$2:$OJ$901,884,MATCH($B$2&amp;"|xC",Aux_puntos!$1:$1,0))),NA())</f>
        <v>#N/A</v>
      </c>
      <c r="AF888" t="e">
        <f>IFERROR(IF(INDEX(Aux_puntos!$A$2:$OJ$901,884,MATCH($B$2&amp;"|yC",Aux_puntos!$1:$1,0))="",NA(),INDEX(Aux_puntos!$A$2:$OJ$901,884,MATCH($B$2&amp;"|yC",Aux_puntos!$1:$1,0))),NA())</f>
        <v>#N/A</v>
      </c>
      <c r="AG888" t="e">
        <f>IFERROR(IF(INDEX(Aux_puntos!$A$2:$OJ$901,884,MATCH($B$2&amp;"|xI",Aux_puntos!$1:$1,0))="",NA(),INDEX(Aux_puntos!$A$2:$OJ$901,884,MATCH($B$2&amp;"|xI",Aux_puntos!$1:$1,0))),NA())</f>
        <v>#N/A</v>
      </c>
      <c r="AH888" t="e">
        <f>IFERROR(IF(INDEX(Aux_puntos!$A$2:$OJ$901,884,MATCH($B$2&amp;"|yI",Aux_puntos!$1:$1,0))="",NA(),INDEX(Aux_puntos!$A$2:$OJ$901,884,MATCH($B$2&amp;"|yI",Aux_puntos!$1:$1,0))),NA())</f>
        <v>#N/A</v>
      </c>
      <c r="AI888" t="e">
        <f>IFERROR(IF(INDEX(Aux_puntos!$A$2:$OJ$901,884,MATCH($B$2&amp;"|xN",Aux_puntos!$1:$1,0))="",NA(),INDEX(Aux_puntos!$A$2:$OJ$901,884,MATCH($B$2&amp;"|xN",Aux_puntos!$1:$1,0))),NA())</f>
        <v>#N/A</v>
      </c>
      <c r="AJ888" t="e">
        <f>IFERROR(IF(INDEX(Aux_puntos!$A$2:$OJ$901,884,MATCH($B$2&amp;"|yN",Aux_puntos!$1:$1,0))="",NA(),INDEX(Aux_puntos!$A$2:$OJ$901,884,MATCH($B$2&amp;"|yN",Aux_puntos!$1:$1,0))),NA())</f>
        <v>#N/A</v>
      </c>
    </row>
    <row r="889" spans="29:36" x14ac:dyDescent="0.3">
      <c r="AC889" t="e">
        <f>IFERROR(IF(INDEX(Aux_puntos!$A$2:$OJ$901,885,MATCH($B$2&amp;"|xK",Aux_puntos!$1:$1,0))="",NA(),INDEX(Aux_puntos!$A$2:$OJ$901,885,MATCH($B$2&amp;"|xK",Aux_puntos!$1:$1,0))),NA())</f>
        <v>#N/A</v>
      </c>
      <c r="AD889" t="e">
        <f>IFERROR(IF(INDEX(Aux_puntos!$A$2:$OJ$901,885,MATCH($B$2&amp;"|yK",Aux_puntos!$1:$1,0))="",NA(),INDEX(Aux_puntos!$A$2:$OJ$901,885,MATCH($B$2&amp;"|yK",Aux_puntos!$1:$1,0))),NA())</f>
        <v>#N/A</v>
      </c>
      <c r="AE889" t="e">
        <f>IFERROR(IF(INDEX(Aux_puntos!$A$2:$OJ$901,885,MATCH($B$2&amp;"|xC",Aux_puntos!$1:$1,0))="",NA(),INDEX(Aux_puntos!$A$2:$OJ$901,885,MATCH($B$2&amp;"|xC",Aux_puntos!$1:$1,0))),NA())</f>
        <v>#N/A</v>
      </c>
      <c r="AF889" t="e">
        <f>IFERROR(IF(INDEX(Aux_puntos!$A$2:$OJ$901,885,MATCH($B$2&amp;"|yC",Aux_puntos!$1:$1,0))="",NA(),INDEX(Aux_puntos!$A$2:$OJ$901,885,MATCH($B$2&amp;"|yC",Aux_puntos!$1:$1,0))),NA())</f>
        <v>#N/A</v>
      </c>
      <c r="AG889" t="e">
        <f>IFERROR(IF(INDEX(Aux_puntos!$A$2:$OJ$901,885,MATCH($B$2&amp;"|xI",Aux_puntos!$1:$1,0))="",NA(),INDEX(Aux_puntos!$A$2:$OJ$901,885,MATCH($B$2&amp;"|xI",Aux_puntos!$1:$1,0))),NA())</f>
        <v>#N/A</v>
      </c>
      <c r="AH889" t="e">
        <f>IFERROR(IF(INDEX(Aux_puntos!$A$2:$OJ$901,885,MATCH($B$2&amp;"|yI",Aux_puntos!$1:$1,0))="",NA(),INDEX(Aux_puntos!$A$2:$OJ$901,885,MATCH($B$2&amp;"|yI",Aux_puntos!$1:$1,0))),NA())</f>
        <v>#N/A</v>
      </c>
      <c r="AI889" t="e">
        <f>IFERROR(IF(INDEX(Aux_puntos!$A$2:$OJ$901,885,MATCH($B$2&amp;"|xN",Aux_puntos!$1:$1,0))="",NA(),INDEX(Aux_puntos!$A$2:$OJ$901,885,MATCH($B$2&amp;"|xN",Aux_puntos!$1:$1,0))),NA())</f>
        <v>#N/A</v>
      </c>
      <c r="AJ889" t="e">
        <f>IFERROR(IF(INDEX(Aux_puntos!$A$2:$OJ$901,885,MATCH($B$2&amp;"|yN",Aux_puntos!$1:$1,0))="",NA(),INDEX(Aux_puntos!$A$2:$OJ$901,885,MATCH($B$2&amp;"|yN",Aux_puntos!$1:$1,0))),NA())</f>
        <v>#N/A</v>
      </c>
    </row>
    <row r="890" spans="29:36" x14ac:dyDescent="0.3">
      <c r="AC890" t="e">
        <f>IFERROR(IF(INDEX(Aux_puntos!$A$2:$OJ$901,886,MATCH($B$2&amp;"|xK",Aux_puntos!$1:$1,0))="",NA(),INDEX(Aux_puntos!$A$2:$OJ$901,886,MATCH($B$2&amp;"|xK",Aux_puntos!$1:$1,0))),NA())</f>
        <v>#N/A</v>
      </c>
      <c r="AD890" t="e">
        <f>IFERROR(IF(INDEX(Aux_puntos!$A$2:$OJ$901,886,MATCH($B$2&amp;"|yK",Aux_puntos!$1:$1,0))="",NA(),INDEX(Aux_puntos!$A$2:$OJ$901,886,MATCH($B$2&amp;"|yK",Aux_puntos!$1:$1,0))),NA())</f>
        <v>#N/A</v>
      </c>
      <c r="AE890" t="e">
        <f>IFERROR(IF(INDEX(Aux_puntos!$A$2:$OJ$901,886,MATCH($B$2&amp;"|xC",Aux_puntos!$1:$1,0))="",NA(),INDEX(Aux_puntos!$A$2:$OJ$901,886,MATCH($B$2&amp;"|xC",Aux_puntos!$1:$1,0))),NA())</f>
        <v>#N/A</v>
      </c>
      <c r="AF890" t="e">
        <f>IFERROR(IF(INDEX(Aux_puntos!$A$2:$OJ$901,886,MATCH($B$2&amp;"|yC",Aux_puntos!$1:$1,0))="",NA(),INDEX(Aux_puntos!$A$2:$OJ$901,886,MATCH($B$2&amp;"|yC",Aux_puntos!$1:$1,0))),NA())</f>
        <v>#N/A</v>
      </c>
      <c r="AG890" t="e">
        <f>IFERROR(IF(INDEX(Aux_puntos!$A$2:$OJ$901,886,MATCH($B$2&amp;"|xI",Aux_puntos!$1:$1,0))="",NA(),INDEX(Aux_puntos!$A$2:$OJ$901,886,MATCH($B$2&amp;"|xI",Aux_puntos!$1:$1,0))),NA())</f>
        <v>#N/A</v>
      </c>
      <c r="AH890" t="e">
        <f>IFERROR(IF(INDEX(Aux_puntos!$A$2:$OJ$901,886,MATCH($B$2&amp;"|yI",Aux_puntos!$1:$1,0))="",NA(),INDEX(Aux_puntos!$A$2:$OJ$901,886,MATCH($B$2&amp;"|yI",Aux_puntos!$1:$1,0))),NA())</f>
        <v>#N/A</v>
      </c>
      <c r="AI890" t="e">
        <f>IFERROR(IF(INDEX(Aux_puntos!$A$2:$OJ$901,886,MATCH($B$2&amp;"|xN",Aux_puntos!$1:$1,0))="",NA(),INDEX(Aux_puntos!$A$2:$OJ$901,886,MATCH($B$2&amp;"|xN",Aux_puntos!$1:$1,0))),NA())</f>
        <v>#N/A</v>
      </c>
      <c r="AJ890" t="e">
        <f>IFERROR(IF(INDEX(Aux_puntos!$A$2:$OJ$901,886,MATCH($B$2&amp;"|yN",Aux_puntos!$1:$1,0))="",NA(),INDEX(Aux_puntos!$A$2:$OJ$901,886,MATCH($B$2&amp;"|yN",Aux_puntos!$1:$1,0))),NA())</f>
        <v>#N/A</v>
      </c>
    </row>
    <row r="891" spans="29:36" x14ac:dyDescent="0.3">
      <c r="AC891" t="e">
        <f>IFERROR(IF(INDEX(Aux_puntos!$A$2:$OJ$901,887,MATCH($B$2&amp;"|xK",Aux_puntos!$1:$1,0))="",NA(),INDEX(Aux_puntos!$A$2:$OJ$901,887,MATCH($B$2&amp;"|xK",Aux_puntos!$1:$1,0))),NA())</f>
        <v>#N/A</v>
      </c>
      <c r="AD891" t="e">
        <f>IFERROR(IF(INDEX(Aux_puntos!$A$2:$OJ$901,887,MATCH($B$2&amp;"|yK",Aux_puntos!$1:$1,0))="",NA(),INDEX(Aux_puntos!$A$2:$OJ$901,887,MATCH($B$2&amp;"|yK",Aux_puntos!$1:$1,0))),NA())</f>
        <v>#N/A</v>
      </c>
      <c r="AE891" t="e">
        <f>IFERROR(IF(INDEX(Aux_puntos!$A$2:$OJ$901,887,MATCH($B$2&amp;"|xC",Aux_puntos!$1:$1,0))="",NA(),INDEX(Aux_puntos!$A$2:$OJ$901,887,MATCH($B$2&amp;"|xC",Aux_puntos!$1:$1,0))),NA())</f>
        <v>#N/A</v>
      </c>
      <c r="AF891" t="e">
        <f>IFERROR(IF(INDEX(Aux_puntos!$A$2:$OJ$901,887,MATCH($B$2&amp;"|yC",Aux_puntos!$1:$1,0))="",NA(),INDEX(Aux_puntos!$A$2:$OJ$901,887,MATCH($B$2&amp;"|yC",Aux_puntos!$1:$1,0))),NA())</f>
        <v>#N/A</v>
      </c>
      <c r="AG891" t="e">
        <f>IFERROR(IF(INDEX(Aux_puntos!$A$2:$OJ$901,887,MATCH($B$2&amp;"|xI",Aux_puntos!$1:$1,0))="",NA(),INDEX(Aux_puntos!$A$2:$OJ$901,887,MATCH($B$2&amp;"|xI",Aux_puntos!$1:$1,0))),NA())</f>
        <v>#N/A</v>
      </c>
      <c r="AH891" t="e">
        <f>IFERROR(IF(INDEX(Aux_puntos!$A$2:$OJ$901,887,MATCH($B$2&amp;"|yI",Aux_puntos!$1:$1,0))="",NA(),INDEX(Aux_puntos!$A$2:$OJ$901,887,MATCH($B$2&amp;"|yI",Aux_puntos!$1:$1,0))),NA())</f>
        <v>#N/A</v>
      </c>
      <c r="AI891" t="e">
        <f>IFERROR(IF(INDEX(Aux_puntos!$A$2:$OJ$901,887,MATCH($B$2&amp;"|xN",Aux_puntos!$1:$1,0))="",NA(),INDEX(Aux_puntos!$A$2:$OJ$901,887,MATCH($B$2&amp;"|xN",Aux_puntos!$1:$1,0))),NA())</f>
        <v>#N/A</v>
      </c>
      <c r="AJ891" t="e">
        <f>IFERROR(IF(INDEX(Aux_puntos!$A$2:$OJ$901,887,MATCH($B$2&amp;"|yN",Aux_puntos!$1:$1,0))="",NA(),INDEX(Aux_puntos!$A$2:$OJ$901,887,MATCH($B$2&amp;"|yN",Aux_puntos!$1:$1,0))),NA())</f>
        <v>#N/A</v>
      </c>
    </row>
    <row r="892" spans="29:36" x14ac:dyDescent="0.3">
      <c r="AC892" t="e">
        <f>IFERROR(IF(INDEX(Aux_puntos!$A$2:$OJ$901,888,MATCH($B$2&amp;"|xK",Aux_puntos!$1:$1,0))="",NA(),INDEX(Aux_puntos!$A$2:$OJ$901,888,MATCH($B$2&amp;"|xK",Aux_puntos!$1:$1,0))),NA())</f>
        <v>#N/A</v>
      </c>
      <c r="AD892" t="e">
        <f>IFERROR(IF(INDEX(Aux_puntos!$A$2:$OJ$901,888,MATCH($B$2&amp;"|yK",Aux_puntos!$1:$1,0))="",NA(),INDEX(Aux_puntos!$A$2:$OJ$901,888,MATCH($B$2&amp;"|yK",Aux_puntos!$1:$1,0))),NA())</f>
        <v>#N/A</v>
      </c>
      <c r="AE892" t="e">
        <f>IFERROR(IF(INDEX(Aux_puntos!$A$2:$OJ$901,888,MATCH($B$2&amp;"|xC",Aux_puntos!$1:$1,0))="",NA(),INDEX(Aux_puntos!$A$2:$OJ$901,888,MATCH($B$2&amp;"|xC",Aux_puntos!$1:$1,0))),NA())</f>
        <v>#N/A</v>
      </c>
      <c r="AF892" t="e">
        <f>IFERROR(IF(INDEX(Aux_puntos!$A$2:$OJ$901,888,MATCH($B$2&amp;"|yC",Aux_puntos!$1:$1,0))="",NA(),INDEX(Aux_puntos!$A$2:$OJ$901,888,MATCH($B$2&amp;"|yC",Aux_puntos!$1:$1,0))),NA())</f>
        <v>#N/A</v>
      </c>
      <c r="AG892" t="e">
        <f>IFERROR(IF(INDEX(Aux_puntos!$A$2:$OJ$901,888,MATCH($B$2&amp;"|xI",Aux_puntos!$1:$1,0))="",NA(),INDEX(Aux_puntos!$A$2:$OJ$901,888,MATCH($B$2&amp;"|xI",Aux_puntos!$1:$1,0))),NA())</f>
        <v>#N/A</v>
      </c>
      <c r="AH892" t="e">
        <f>IFERROR(IF(INDEX(Aux_puntos!$A$2:$OJ$901,888,MATCH($B$2&amp;"|yI",Aux_puntos!$1:$1,0))="",NA(),INDEX(Aux_puntos!$A$2:$OJ$901,888,MATCH($B$2&amp;"|yI",Aux_puntos!$1:$1,0))),NA())</f>
        <v>#N/A</v>
      </c>
      <c r="AI892" t="e">
        <f>IFERROR(IF(INDEX(Aux_puntos!$A$2:$OJ$901,888,MATCH($B$2&amp;"|xN",Aux_puntos!$1:$1,0))="",NA(),INDEX(Aux_puntos!$A$2:$OJ$901,888,MATCH($B$2&amp;"|xN",Aux_puntos!$1:$1,0))),NA())</f>
        <v>#N/A</v>
      </c>
      <c r="AJ892" t="e">
        <f>IFERROR(IF(INDEX(Aux_puntos!$A$2:$OJ$901,888,MATCH($B$2&amp;"|yN",Aux_puntos!$1:$1,0))="",NA(),INDEX(Aux_puntos!$A$2:$OJ$901,888,MATCH($B$2&amp;"|yN",Aux_puntos!$1:$1,0))),NA())</f>
        <v>#N/A</v>
      </c>
    </row>
    <row r="893" spans="29:36" x14ac:dyDescent="0.3">
      <c r="AC893" t="e">
        <f>IFERROR(IF(INDEX(Aux_puntos!$A$2:$OJ$901,889,MATCH($B$2&amp;"|xK",Aux_puntos!$1:$1,0))="",NA(),INDEX(Aux_puntos!$A$2:$OJ$901,889,MATCH($B$2&amp;"|xK",Aux_puntos!$1:$1,0))),NA())</f>
        <v>#N/A</v>
      </c>
      <c r="AD893" t="e">
        <f>IFERROR(IF(INDEX(Aux_puntos!$A$2:$OJ$901,889,MATCH($B$2&amp;"|yK",Aux_puntos!$1:$1,0))="",NA(),INDEX(Aux_puntos!$A$2:$OJ$901,889,MATCH($B$2&amp;"|yK",Aux_puntos!$1:$1,0))),NA())</f>
        <v>#N/A</v>
      </c>
      <c r="AE893" t="e">
        <f>IFERROR(IF(INDEX(Aux_puntos!$A$2:$OJ$901,889,MATCH($B$2&amp;"|xC",Aux_puntos!$1:$1,0))="",NA(),INDEX(Aux_puntos!$A$2:$OJ$901,889,MATCH($B$2&amp;"|xC",Aux_puntos!$1:$1,0))),NA())</f>
        <v>#N/A</v>
      </c>
      <c r="AF893" t="e">
        <f>IFERROR(IF(INDEX(Aux_puntos!$A$2:$OJ$901,889,MATCH($B$2&amp;"|yC",Aux_puntos!$1:$1,0))="",NA(),INDEX(Aux_puntos!$A$2:$OJ$901,889,MATCH($B$2&amp;"|yC",Aux_puntos!$1:$1,0))),NA())</f>
        <v>#N/A</v>
      </c>
      <c r="AG893" t="e">
        <f>IFERROR(IF(INDEX(Aux_puntos!$A$2:$OJ$901,889,MATCH($B$2&amp;"|xI",Aux_puntos!$1:$1,0))="",NA(),INDEX(Aux_puntos!$A$2:$OJ$901,889,MATCH($B$2&amp;"|xI",Aux_puntos!$1:$1,0))),NA())</f>
        <v>#N/A</v>
      </c>
      <c r="AH893" t="e">
        <f>IFERROR(IF(INDEX(Aux_puntos!$A$2:$OJ$901,889,MATCH($B$2&amp;"|yI",Aux_puntos!$1:$1,0))="",NA(),INDEX(Aux_puntos!$A$2:$OJ$901,889,MATCH($B$2&amp;"|yI",Aux_puntos!$1:$1,0))),NA())</f>
        <v>#N/A</v>
      </c>
      <c r="AI893" t="e">
        <f>IFERROR(IF(INDEX(Aux_puntos!$A$2:$OJ$901,889,MATCH($B$2&amp;"|xN",Aux_puntos!$1:$1,0))="",NA(),INDEX(Aux_puntos!$A$2:$OJ$901,889,MATCH($B$2&amp;"|xN",Aux_puntos!$1:$1,0))),NA())</f>
        <v>#N/A</v>
      </c>
      <c r="AJ893" t="e">
        <f>IFERROR(IF(INDEX(Aux_puntos!$A$2:$OJ$901,889,MATCH($B$2&amp;"|yN",Aux_puntos!$1:$1,0))="",NA(),INDEX(Aux_puntos!$A$2:$OJ$901,889,MATCH($B$2&amp;"|yN",Aux_puntos!$1:$1,0))),NA())</f>
        <v>#N/A</v>
      </c>
    </row>
    <row r="894" spans="29:36" x14ac:dyDescent="0.3">
      <c r="AC894" t="e">
        <f>IFERROR(IF(INDEX(Aux_puntos!$A$2:$OJ$901,890,MATCH($B$2&amp;"|xK",Aux_puntos!$1:$1,0))="",NA(),INDEX(Aux_puntos!$A$2:$OJ$901,890,MATCH($B$2&amp;"|xK",Aux_puntos!$1:$1,0))),NA())</f>
        <v>#N/A</v>
      </c>
      <c r="AD894" t="e">
        <f>IFERROR(IF(INDEX(Aux_puntos!$A$2:$OJ$901,890,MATCH($B$2&amp;"|yK",Aux_puntos!$1:$1,0))="",NA(),INDEX(Aux_puntos!$A$2:$OJ$901,890,MATCH($B$2&amp;"|yK",Aux_puntos!$1:$1,0))),NA())</f>
        <v>#N/A</v>
      </c>
      <c r="AE894" t="e">
        <f>IFERROR(IF(INDEX(Aux_puntos!$A$2:$OJ$901,890,MATCH($B$2&amp;"|xC",Aux_puntos!$1:$1,0))="",NA(),INDEX(Aux_puntos!$A$2:$OJ$901,890,MATCH($B$2&amp;"|xC",Aux_puntos!$1:$1,0))),NA())</f>
        <v>#N/A</v>
      </c>
      <c r="AF894" t="e">
        <f>IFERROR(IF(INDEX(Aux_puntos!$A$2:$OJ$901,890,MATCH($B$2&amp;"|yC",Aux_puntos!$1:$1,0))="",NA(),INDEX(Aux_puntos!$A$2:$OJ$901,890,MATCH($B$2&amp;"|yC",Aux_puntos!$1:$1,0))),NA())</f>
        <v>#N/A</v>
      </c>
      <c r="AG894" t="e">
        <f>IFERROR(IF(INDEX(Aux_puntos!$A$2:$OJ$901,890,MATCH($B$2&amp;"|xI",Aux_puntos!$1:$1,0))="",NA(),INDEX(Aux_puntos!$A$2:$OJ$901,890,MATCH($B$2&amp;"|xI",Aux_puntos!$1:$1,0))),NA())</f>
        <v>#N/A</v>
      </c>
      <c r="AH894" t="e">
        <f>IFERROR(IF(INDEX(Aux_puntos!$A$2:$OJ$901,890,MATCH($B$2&amp;"|yI",Aux_puntos!$1:$1,0))="",NA(),INDEX(Aux_puntos!$A$2:$OJ$901,890,MATCH($B$2&amp;"|yI",Aux_puntos!$1:$1,0))),NA())</f>
        <v>#N/A</v>
      </c>
      <c r="AI894" t="e">
        <f>IFERROR(IF(INDEX(Aux_puntos!$A$2:$OJ$901,890,MATCH($B$2&amp;"|xN",Aux_puntos!$1:$1,0))="",NA(),INDEX(Aux_puntos!$A$2:$OJ$901,890,MATCH($B$2&amp;"|xN",Aux_puntos!$1:$1,0))),NA())</f>
        <v>#N/A</v>
      </c>
      <c r="AJ894" t="e">
        <f>IFERROR(IF(INDEX(Aux_puntos!$A$2:$OJ$901,890,MATCH($B$2&amp;"|yN",Aux_puntos!$1:$1,0))="",NA(),INDEX(Aux_puntos!$A$2:$OJ$901,890,MATCH($B$2&amp;"|yN",Aux_puntos!$1:$1,0))),NA())</f>
        <v>#N/A</v>
      </c>
    </row>
    <row r="895" spans="29:36" x14ac:dyDescent="0.3">
      <c r="AC895" t="e">
        <f>IFERROR(IF(INDEX(Aux_puntos!$A$2:$OJ$901,891,MATCH($B$2&amp;"|xK",Aux_puntos!$1:$1,0))="",NA(),INDEX(Aux_puntos!$A$2:$OJ$901,891,MATCH($B$2&amp;"|xK",Aux_puntos!$1:$1,0))),NA())</f>
        <v>#N/A</v>
      </c>
      <c r="AD895" t="e">
        <f>IFERROR(IF(INDEX(Aux_puntos!$A$2:$OJ$901,891,MATCH($B$2&amp;"|yK",Aux_puntos!$1:$1,0))="",NA(),INDEX(Aux_puntos!$A$2:$OJ$901,891,MATCH($B$2&amp;"|yK",Aux_puntos!$1:$1,0))),NA())</f>
        <v>#N/A</v>
      </c>
      <c r="AE895" t="e">
        <f>IFERROR(IF(INDEX(Aux_puntos!$A$2:$OJ$901,891,MATCH($B$2&amp;"|xC",Aux_puntos!$1:$1,0))="",NA(),INDEX(Aux_puntos!$A$2:$OJ$901,891,MATCH($B$2&amp;"|xC",Aux_puntos!$1:$1,0))),NA())</f>
        <v>#N/A</v>
      </c>
      <c r="AF895" t="e">
        <f>IFERROR(IF(INDEX(Aux_puntos!$A$2:$OJ$901,891,MATCH($B$2&amp;"|yC",Aux_puntos!$1:$1,0))="",NA(),INDEX(Aux_puntos!$A$2:$OJ$901,891,MATCH($B$2&amp;"|yC",Aux_puntos!$1:$1,0))),NA())</f>
        <v>#N/A</v>
      </c>
      <c r="AG895" t="e">
        <f>IFERROR(IF(INDEX(Aux_puntos!$A$2:$OJ$901,891,MATCH($B$2&amp;"|xI",Aux_puntos!$1:$1,0))="",NA(),INDEX(Aux_puntos!$A$2:$OJ$901,891,MATCH($B$2&amp;"|xI",Aux_puntos!$1:$1,0))),NA())</f>
        <v>#N/A</v>
      </c>
      <c r="AH895" t="e">
        <f>IFERROR(IF(INDEX(Aux_puntos!$A$2:$OJ$901,891,MATCH($B$2&amp;"|yI",Aux_puntos!$1:$1,0))="",NA(),INDEX(Aux_puntos!$A$2:$OJ$901,891,MATCH($B$2&amp;"|yI",Aux_puntos!$1:$1,0))),NA())</f>
        <v>#N/A</v>
      </c>
      <c r="AI895" t="e">
        <f>IFERROR(IF(INDEX(Aux_puntos!$A$2:$OJ$901,891,MATCH($B$2&amp;"|xN",Aux_puntos!$1:$1,0))="",NA(),INDEX(Aux_puntos!$A$2:$OJ$901,891,MATCH($B$2&amp;"|xN",Aux_puntos!$1:$1,0))),NA())</f>
        <v>#N/A</v>
      </c>
      <c r="AJ895" t="e">
        <f>IFERROR(IF(INDEX(Aux_puntos!$A$2:$OJ$901,891,MATCH($B$2&amp;"|yN",Aux_puntos!$1:$1,0))="",NA(),INDEX(Aux_puntos!$A$2:$OJ$901,891,MATCH($B$2&amp;"|yN",Aux_puntos!$1:$1,0))),NA())</f>
        <v>#N/A</v>
      </c>
    </row>
    <row r="896" spans="29:36" x14ac:dyDescent="0.3">
      <c r="AC896" t="e">
        <f>IFERROR(IF(INDEX(Aux_puntos!$A$2:$OJ$901,892,MATCH($B$2&amp;"|xK",Aux_puntos!$1:$1,0))="",NA(),INDEX(Aux_puntos!$A$2:$OJ$901,892,MATCH($B$2&amp;"|xK",Aux_puntos!$1:$1,0))),NA())</f>
        <v>#N/A</v>
      </c>
      <c r="AD896" t="e">
        <f>IFERROR(IF(INDEX(Aux_puntos!$A$2:$OJ$901,892,MATCH($B$2&amp;"|yK",Aux_puntos!$1:$1,0))="",NA(),INDEX(Aux_puntos!$A$2:$OJ$901,892,MATCH($B$2&amp;"|yK",Aux_puntos!$1:$1,0))),NA())</f>
        <v>#N/A</v>
      </c>
      <c r="AE896" t="e">
        <f>IFERROR(IF(INDEX(Aux_puntos!$A$2:$OJ$901,892,MATCH($B$2&amp;"|xC",Aux_puntos!$1:$1,0))="",NA(),INDEX(Aux_puntos!$A$2:$OJ$901,892,MATCH($B$2&amp;"|xC",Aux_puntos!$1:$1,0))),NA())</f>
        <v>#N/A</v>
      </c>
      <c r="AF896" t="e">
        <f>IFERROR(IF(INDEX(Aux_puntos!$A$2:$OJ$901,892,MATCH($B$2&amp;"|yC",Aux_puntos!$1:$1,0))="",NA(),INDEX(Aux_puntos!$A$2:$OJ$901,892,MATCH($B$2&amp;"|yC",Aux_puntos!$1:$1,0))),NA())</f>
        <v>#N/A</v>
      </c>
      <c r="AG896" t="e">
        <f>IFERROR(IF(INDEX(Aux_puntos!$A$2:$OJ$901,892,MATCH($B$2&amp;"|xI",Aux_puntos!$1:$1,0))="",NA(),INDEX(Aux_puntos!$A$2:$OJ$901,892,MATCH($B$2&amp;"|xI",Aux_puntos!$1:$1,0))),NA())</f>
        <v>#N/A</v>
      </c>
      <c r="AH896" t="e">
        <f>IFERROR(IF(INDEX(Aux_puntos!$A$2:$OJ$901,892,MATCH($B$2&amp;"|yI",Aux_puntos!$1:$1,0))="",NA(),INDEX(Aux_puntos!$A$2:$OJ$901,892,MATCH($B$2&amp;"|yI",Aux_puntos!$1:$1,0))),NA())</f>
        <v>#N/A</v>
      </c>
      <c r="AI896" t="e">
        <f>IFERROR(IF(INDEX(Aux_puntos!$A$2:$OJ$901,892,MATCH($B$2&amp;"|xN",Aux_puntos!$1:$1,0))="",NA(),INDEX(Aux_puntos!$A$2:$OJ$901,892,MATCH($B$2&amp;"|xN",Aux_puntos!$1:$1,0))),NA())</f>
        <v>#N/A</v>
      </c>
      <c r="AJ896" t="e">
        <f>IFERROR(IF(INDEX(Aux_puntos!$A$2:$OJ$901,892,MATCH($B$2&amp;"|yN",Aux_puntos!$1:$1,0))="",NA(),INDEX(Aux_puntos!$A$2:$OJ$901,892,MATCH($B$2&amp;"|yN",Aux_puntos!$1:$1,0))),NA())</f>
        <v>#N/A</v>
      </c>
    </row>
    <row r="897" spans="29:36" x14ac:dyDescent="0.3">
      <c r="AC897" t="e">
        <f>IFERROR(IF(INDEX(Aux_puntos!$A$2:$OJ$901,893,MATCH($B$2&amp;"|xK",Aux_puntos!$1:$1,0))="",NA(),INDEX(Aux_puntos!$A$2:$OJ$901,893,MATCH($B$2&amp;"|xK",Aux_puntos!$1:$1,0))),NA())</f>
        <v>#N/A</v>
      </c>
      <c r="AD897" t="e">
        <f>IFERROR(IF(INDEX(Aux_puntos!$A$2:$OJ$901,893,MATCH($B$2&amp;"|yK",Aux_puntos!$1:$1,0))="",NA(),INDEX(Aux_puntos!$A$2:$OJ$901,893,MATCH($B$2&amp;"|yK",Aux_puntos!$1:$1,0))),NA())</f>
        <v>#N/A</v>
      </c>
      <c r="AE897" t="e">
        <f>IFERROR(IF(INDEX(Aux_puntos!$A$2:$OJ$901,893,MATCH($B$2&amp;"|xC",Aux_puntos!$1:$1,0))="",NA(),INDEX(Aux_puntos!$A$2:$OJ$901,893,MATCH($B$2&amp;"|xC",Aux_puntos!$1:$1,0))),NA())</f>
        <v>#N/A</v>
      </c>
      <c r="AF897" t="e">
        <f>IFERROR(IF(INDEX(Aux_puntos!$A$2:$OJ$901,893,MATCH($B$2&amp;"|yC",Aux_puntos!$1:$1,0))="",NA(),INDEX(Aux_puntos!$A$2:$OJ$901,893,MATCH($B$2&amp;"|yC",Aux_puntos!$1:$1,0))),NA())</f>
        <v>#N/A</v>
      </c>
      <c r="AG897" t="e">
        <f>IFERROR(IF(INDEX(Aux_puntos!$A$2:$OJ$901,893,MATCH($B$2&amp;"|xI",Aux_puntos!$1:$1,0))="",NA(),INDEX(Aux_puntos!$A$2:$OJ$901,893,MATCH($B$2&amp;"|xI",Aux_puntos!$1:$1,0))),NA())</f>
        <v>#N/A</v>
      </c>
      <c r="AH897" t="e">
        <f>IFERROR(IF(INDEX(Aux_puntos!$A$2:$OJ$901,893,MATCH($B$2&amp;"|yI",Aux_puntos!$1:$1,0))="",NA(),INDEX(Aux_puntos!$A$2:$OJ$901,893,MATCH($B$2&amp;"|yI",Aux_puntos!$1:$1,0))),NA())</f>
        <v>#N/A</v>
      </c>
      <c r="AI897" t="e">
        <f>IFERROR(IF(INDEX(Aux_puntos!$A$2:$OJ$901,893,MATCH($B$2&amp;"|xN",Aux_puntos!$1:$1,0))="",NA(),INDEX(Aux_puntos!$A$2:$OJ$901,893,MATCH($B$2&amp;"|xN",Aux_puntos!$1:$1,0))),NA())</f>
        <v>#N/A</v>
      </c>
      <c r="AJ897" t="e">
        <f>IFERROR(IF(INDEX(Aux_puntos!$A$2:$OJ$901,893,MATCH($B$2&amp;"|yN",Aux_puntos!$1:$1,0))="",NA(),INDEX(Aux_puntos!$A$2:$OJ$901,893,MATCH($B$2&amp;"|yN",Aux_puntos!$1:$1,0))),NA())</f>
        <v>#N/A</v>
      </c>
    </row>
    <row r="898" spans="29:36" x14ac:dyDescent="0.3">
      <c r="AC898" t="e">
        <f>IFERROR(IF(INDEX(Aux_puntos!$A$2:$OJ$901,894,MATCH($B$2&amp;"|xK",Aux_puntos!$1:$1,0))="",NA(),INDEX(Aux_puntos!$A$2:$OJ$901,894,MATCH($B$2&amp;"|xK",Aux_puntos!$1:$1,0))),NA())</f>
        <v>#N/A</v>
      </c>
      <c r="AD898" t="e">
        <f>IFERROR(IF(INDEX(Aux_puntos!$A$2:$OJ$901,894,MATCH($B$2&amp;"|yK",Aux_puntos!$1:$1,0))="",NA(),INDEX(Aux_puntos!$A$2:$OJ$901,894,MATCH($B$2&amp;"|yK",Aux_puntos!$1:$1,0))),NA())</f>
        <v>#N/A</v>
      </c>
      <c r="AE898" t="e">
        <f>IFERROR(IF(INDEX(Aux_puntos!$A$2:$OJ$901,894,MATCH($B$2&amp;"|xC",Aux_puntos!$1:$1,0))="",NA(),INDEX(Aux_puntos!$A$2:$OJ$901,894,MATCH($B$2&amp;"|xC",Aux_puntos!$1:$1,0))),NA())</f>
        <v>#N/A</v>
      </c>
      <c r="AF898" t="e">
        <f>IFERROR(IF(INDEX(Aux_puntos!$A$2:$OJ$901,894,MATCH($B$2&amp;"|yC",Aux_puntos!$1:$1,0))="",NA(),INDEX(Aux_puntos!$A$2:$OJ$901,894,MATCH($B$2&amp;"|yC",Aux_puntos!$1:$1,0))),NA())</f>
        <v>#N/A</v>
      </c>
      <c r="AG898" t="e">
        <f>IFERROR(IF(INDEX(Aux_puntos!$A$2:$OJ$901,894,MATCH($B$2&amp;"|xI",Aux_puntos!$1:$1,0))="",NA(),INDEX(Aux_puntos!$A$2:$OJ$901,894,MATCH($B$2&amp;"|xI",Aux_puntos!$1:$1,0))),NA())</f>
        <v>#N/A</v>
      </c>
      <c r="AH898" t="e">
        <f>IFERROR(IF(INDEX(Aux_puntos!$A$2:$OJ$901,894,MATCH($B$2&amp;"|yI",Aux_puntos!$1:$1,0))="",NA(),INDEX(Aux_puntos!$A$2:$OJ$901,894,MATCH($B$2&amp;"|yI",Aux_puntos!$1:$1,0))),NA())</f>
        <v>#N/A</v>
      </c>
      <c r="AI898" t="e">
        <f>IFERROR(IF(INDEX(Aux_puntos!$A$2:$OJ$901,894,MATCH($B$2&amp;"|xN",Aux_puntos!$1:$1,0))="",NA(),INDEX(Aux_puntos!$A$2:$OJ$901,894,MATCH($B$2&amp;"|xN",Aux_puntos!$1:$1,0))),NA())</f>
        <v>#N/A</v>
      </c>
      <c r="AJ898" t="e">
        <f>IFERROR(IF(INDEX(Aux_puntos!$A$2:$OJ$901,894,MATCH($B$2&amp;"|yN",Aux_puntos!$1:$1,0))="",NA(),INDEX(Aux_puntos!$A$2:$OJ$901,894,MATCH($B$2&amp;"|yN",Aux_puntos!$1:$1,0))),NA())</f>
        <v>#N/A</v>
      </c>
    </row>
    <row r="899" spans="29:36" x14ac:dyDescent="0.3">
      <c r="AC899" t="e">
        <f>IFERROR(IF(INDEX(Aux_puntos!$A$2:$OJ$901,895,MATCH($B$2&amp;"|xK",Aux_puntos!$1:$1,0))="",NA(),INDEX(Aux_puntos!$A$2:$OJ$901,895,MATCH($B$2&amp;"|xK",Aux_puntos!$1:$1,0))),NA())</f>
        <v>#N/A</v>
      </c>
      <c r="AD899" t="e">
        <f>IFERROR(IF(INDEX(Aux_puntos!$A$2:$OJ$901,895,MATCH($B$2&amp;"|yK",Aux_puntos!$1:$1,0))="",NA(),INDEX(Aux_puntos!$A$2:$OJ$901,895,MATCH($B$2&amp;"|yK",Aux_puntos!$1:$1,0))),NA())</f>
        <v>#N/A</v>
      </c>
      <c r="AE899" t="e">
        <f>IFERROR(IF(INDEX(Aux_puntos!$A$2:$OJ$901,895,MATCH($B$2&amp;"|xC",Aux_puntos!$1:$1,0))="",NA(),INDEX(Aux_puntos!$A$2:$OJ$901,895,MATCH($B$2&amp;"|xC",Aux_puntos!$1:$1,0))),NA())</f>
        <v>#N/A</v>
      </c>
      <c r="AF899" t="e">
        <f>IFERROR(IF(INDEX(Aux_puntos!$A$2:$OJ$901,895,MATCH($B$2&amp;"|yC",Aux_puntos!$1:$1,0))="",NA(),INDEX(Aux_puntos!$A$2:$OJ$901,895,MATCH($B$2&amp;"|yC",Aux_puntos!$1:$1,0))),NA())</f>
        <v>#N/A</v>
      </c>
      <c r="AG899" t="e">
        <f>IFERROR(IF(INDEX(Aux_puntos!$A$2:$OJ$901,895,MATCH($B$2&amp;"|xI",Aux_puntos!$1:$1,0))="",NA(),INDEX(Aux_puntos!$A$2:$OJ$901,895,MATCH($B$2&amp;"|xI",Aux_puntos!$1:$1,0))),NA())</f>
        <v>#N/A</v>
      </c>
      <c r="AH899" t="e">
        <f>IFERROR(IF(INDEX(Aux_puntos!$A$2:$OJ$901,895,MATCH($B$2&amp;"|yI",Aux_puntos!$1:$1,0))="",NA(),INDEX(Aux_puntos!$A$2:$OJ$901,895,MATCH($B$2&amp;"|yI",Aux_puntos!$1:$1,0))),NA())</f>
        <v>#N/A</v>
      </c>
      <c r="AI899" t="e">
        <f>IFERROR(IF(INDEX(Aux_puntos!$A$2:$OJ$901,895,MATCH($B$2&amp;"|xN",Aux_puntos!$1:$1,0))="",NA(),INDEX(Aux_puntos!$A$2:$OJ$901,895,MATCH($B$2&amp;"|xN",Aux_puntos!$1:$1,0))),NA())</f>
        <v>#N/A</v>
      </c>
      <c r="AJ899" t="e">
        <f>IFERROR(IF(INDEX(Aux_puntos!$A$2:$OJ$901,895,MATCH($B$2&amp;"|yN",Aux_puntos!$1:$1,0))="",NA(),INDEX(Aux_puntos!$A$2:$OJ$901,895,MATCH($B$2&amp;"|yN",Aux_puntos!$1:$1,0))),NA())</f>
        <v>#N/A</v>
      </c>
    </row>
    <row r="900" spans="29:36" x14ac:dyDescent="0.3">
      <c r="AC900" t="e">
        <f>IFERROR(IF(INDEX(Aux_puntos!$A$2:$OJ$901,896,MATCH($B$2&amp;"|xK",Aux_puntos!$1:$1,0))="",NA(),INDEX(Aux_puntos!$A$2:$OJ$901,896,MATCH($B$2&amp;"|xK",Aux_puntos!$1:$1,0))),NA())</f>
        <v>#N/A</v>
      </c>
      <c r="AD900" t="e">
        <f>IFERROR(IF(INDEX(Aux_puntos!$A$2:$OJ$901,896,MATCH($B$2&amp;"|yK",Aux_puntos!$1:$1,0))="",NA(),INDEX(Aux_puntos!$A$2:$OJ$901,896,MATCH($B$2&amp;"|yK",Aux_puntos!$1:$1,0))),NA())</f>
        <v>#N/A</v>
      </c>
      <c r="AE900" t="e">
        <f>IFERROR(IF(INDEX(Aux_puntos!$A$2:$OJ$901,896,MATCH($B$2&amp;"|xC",Aux_puntos!$1:$1,0))="",NA(),INDEX(Aux_puntos!$A$2:$OJ$901,896,MATCH($B$2&amp;"|xC",Aux_puntos!$1:$1,0))),NA())</f>
        <v>#N/A</v>
      </c>
      <c r="AF900" t="e">
        <f>IFERROR(IF(INDEX(Aux_puntos!$A$2:$OJ$901,896,MATCH($B$2&amp;"|yC",Aux_puntos!$1:$1,0))="",NA(),INDEX(Aux_puntos!$A$2:$OJ$901,896,MATCH($B$2&amp;"|yC",Aux_puntos!$1:$1,0))),NA())</f>
        <v>#N/A</v>
      </c>
      <c r="AG900" t="e">
        <f>IFERROR(IF(INDEX(Aux_puntos!$A$2:$OJ$901,896,MATCH($B$2&amp;"|xI",Aux_puntos!$1:$1,0))="",NA(),INDEX(Aux_puntos!$A$2:$OJ$901,896,MATCH($B$2&amp;"|xI",Aux_puntos!$1:$1,0))),NA())</f>
        <v>#N/A</v>
      </c>
      <c r="AH900" t="e">
        <f>IFERROR(IF(INDEX(Aux_puntos!$A$2:$OJ$901,896,MATCH($B$2&amp;"|yI",Aux_puntos!$1:$1,0))="",NA(),INDEX(Aux_puntos!$A$2:$OJ$901,896,MATCH($B$2&amp;"|yI",Aux_puntos!$1:$1,0))),NA())</f>
        <v>#N/A</v>
      </c>
      <c r="AI900" t="e">
        <f>IFERROR(IF(INDEX(Aux_puntos!$A$2:$OJ$901,896,MATCH($B$2&amp;"|xN",Aux_puntos!$1:$1,0))="",NA(),INDEX(Aux_puntos!$A$2:$OJ$901,896,MATCH($B$2&amp;"|xN",Aux_puntos!$1:$1,0))),NA())</f>
        <v>#N/A</v>
      </c>
      <c r="AJ900" t="e">
        <f>IFERROR(IF(INDEX(Aux_puntos!$A$2:$OJ$901,896,MATCH($B$2&amp;"|yN",Aux_puntos!$1:$1,0))="",NA(),INDEX(Aux_puntos!$A$2:$OJ$901,896,MATCH($B$2&amp;"|yN",Aux_puntos!$1:$1,0))),NA())</f>
        <v>#N/A</v>
      </c>
    </row>
    <row r="901" spans="29:36" x14ac:dyDescent="0.3">
      <c r="AC901" t="e">
        <f>IFERROR(IF(INDEX(Aux_puntos!$A$2:$OJ$901,897,MATCH($B$2&amp;"|xK",Aux_puntos!$1:$1,0))="",NA(),INDEX(Aux_puntos!$A$2:$OJ$901,897,MATCH($B$2&amp;"|xK",Aux_puntos!$1:$1,0))),NA())</f>
        <v>#N/A</v>
      </c>
      <c r="AD901" t="e">
        <f>IFERROR(IF(INDEX(Aux_puntos!$A$2:$OJ$901,897,MATCH($B$2&amp;"|yK",Aux_puntos!$1:$1,0))="",NA(),INDEX(Aux_puntos!$A$2:$OJ$901,897,MATCH($B$2&amp;"|yK",Aux_puntos!$1:$1,0))),NA())</f>
        <v>#N/A</v>
      </c>
      <c r="AE901" t="e">
        <f>IFERROR(IF(INDEX(Aux_puntos!$A$2:$OJ$901,897,MATCH($B$2&amp;"|xC",Aux_puntos!$1:$1,0))="",NA(),INDEX(Aux_puntos!$A$2:$OJ$901,897,MATCH($B$2&amp;"|xC",Aux_puntos!$1:$1,0))),NA())</f>
        <v>#N/A</v>
      </c>
      <c r="AF901" t="e">
        <f>IFERROR(IF(INDEX(Aux_puntos!$A$2:$OJ$901,897,MATCH($B$2&amp;"|yC",Aux_puntos!$1:$1,0))="",NA(),INDEX(Aux_puntos!$A$2:$OJ$901,897,MATCH($B$2&amp;"|yC",Aux_puntos!$1:$1,0))),NA())</f>
        <v>#N/A</v>
      </c>
      <c r="AG901" t="e">
        <f>IFERROR(IF(INDEX(Aux_puntos!$A$2:$OJ$901,897,MATCH($B$2&amp;"|xI",Aux_puntos!$1:$1,0))="",NA(),INDEX(Aux_puntos!$A$2:$OJ$901,897,MATCH($B$2&amp;"|xI",Aux_puntos!$1:$1,0))),NA())</f>
        <v>#N/A</v>
      </c>
      <c r="AH901" t="e">
        <f>IFERROR(IF(INDEX(Aux_puntos!$A$2:$OJ$901,897,MATCH($B$2&amp;"|yI",Aux_puntos!$1:$1,0))="",NA(),INDEX(Aux_puntos!$A$2:$OJ$901,897,MATCH($B$2&amp;"|yI",Aux_puntos!$1:$1,0))),NA())</f>
        <v>#N/A</v>
      </c>
      <c r="AI901" t="e">
        <f>IFERROR(IF(INDEX(Aux_puntos!$A$2:$OJ$901,897,MATCH($B$2&amp;"|xN",Aux_puntos!$1:$1,0))="",NA(),INDEX(Aux_puntos!$A$2:$OJ$901,897,MATCH($B$2&amp;"|xN",Aux_puntos!$1:$1,0))),NA())</f>
        <v>#N/A</v>
      </c>
      <c r="AJ901" t="e">
        <f>IFERROR(IF(INDEX(Aux_puntos!$A$2:$OJ$901,897,MATCH($B$2&amp;"|yN",Aux_puntos!$1:$1,0))="",NA(),INDEX(Aux_puntos!$A$2:$OJ$901,897,MATCH($B$2&amp;"|yN",Aux_puntos!$1:$1,0))),NA())</f>
        <v>#N/A</v>
      </c>
    </row>
    <row r="902" spans="29:36" x14ac:dyDescent="0.3">
      <c r="AC902" t="e">
        <f>IFERROR(IF(INDEX(Aux_puntos!$A$2:$OJ$901,898,MATCH($B$2&amp;"|xK",Aux_puntos!$1:$1,0))="",NA(),INDEX(Aux_puntos!$A$2:$OJ$901,898,MATCH($B$2&amp;"|xK",Aux_puntos!$1:$1,0))),NA())</f>
        <v>#N/A</v>
      </c>
      <c r="AD902" t="e">
        <f>IFERROR(IF(INDEX(Aux_puntos!$A$2:$OJ$901,898,MATCH($B$2&amp;"|yK",Aux_puntos!$1:$1,0))="",NA(),INDEX(Aux_puntos!$A$2:$OJ$901,898,MATCH($B$2&amp;"|yK",Aux_puntos!$1:$1,0))),NA())</f>
        <v>#N/A</v>
      </c>
      <c r="AE902" t="e">
        <f>IFERROR(IF(INDEX(Aux_puntos!$A$2:$OJ$901,898,MATCH($B$2&amp;"|xC",Aux_puntos!$1:$1,0))="",NA(),INDEX(Aux_puntos!$A$2:$OJ$901,898,MATCH($B$2&amp;"|xC",Aux_puntos!$1:$1,0))),NA())</f>
        <v>#N/A</v>
      </c>
      <c r="AF902" t="e">
        <f>IFERROR(IF(INDEX(Aux_puntos!$A$2:$OJ$901,898,MATCH($B$2&amp;"|yC",Aux_puntos!$1:$1,0))="",NA(),INDEX(Aux_puntos!$A$2:$OJ$901,898,MATCH($B$2&amp;"|yC",Aux_puntos!$1:$1,0))),NA())</f>
        <v>#N/A</v>
      </c>
      <c r="AG902" t="e">
        <f>IFERROR(IF(INDEX(Aux_puntos!$A$2:$OJ$901,898,MATCH($B$2&amp;"|xI",Aux_puntos!$1:$1,0))="",NA(),INDEX(Aux_puntos!$A$2:$OJ$901,898,MATCH($B$2&amp;"|xI",Aux_puntos!$1:$1,0))),NA())</f>
        <v>#N/A</v>
      </c>
      <c r="AH902" t="e">
        <f>IFERROR(IF(INDEX(Aux_puntos!$A$2:$OJ$901,898,MATCH($B$2&amp;"|yI",Aux_puntos!$1:$1,0))="",NA(),INDEX(Aux_puntos!$A$2:$OJ$901,898,MATCH($B$2&amp;"|yI",Aux_puntos!$1:$1,0))),NA())</f>
        <v>#N/A</v>
      </c>
      <c r="AI902" t="e">
        <f>IFERROR(IF(INDEX(Aux_puntos!$A$2:$OJ$901,898,MATCH($B$2&amp;"|xN",Aux_puntos!$1:$1,0))="",NA(),INDEX(Aux_puntos!$A$2:$OJ$901,898,MATCH($B$2&amp;"|xN",Aux_puntos!$1:$1,0))),NA())</f>
        <v>#N/A</v>
      </c>
      <c r="AJ902" t="e">
        <f>IFERROR(IF(INDEX(Aux_puntos!$A$2:$OJ$901,898,MATCH($B$2&amp;"|yN",Aux_puntos!$1:$1,0))="",NA(),INDEX(Aux_puntos!$A$2:$OJ$901,898,MATCH($B$2&amp;"|yN",Aux_puntos!$1:$1,0))),NA())</f>
        <v>#N/A</v>
      </c>
    </row>
    <row r="903" spans="29:36" x14ac:dyDescent="0.3">
      <c r="AC903" t="e">
        <f>IFERROR(IF(INDEX(Aux_puntos!$A$2:$OJ$901,899,MATCH($B$2&amp;"|xK",Aux_puntos!$1:$1,0))="",NA(),INDEX(Aux_puntos!$A$2:$OJ$901,899,MATCH($B$2&amp;"|xK",Aux_puntos!$1:$1,0))),NA())</f>
        <v>#N/A</v>
      </c>
      <c r="AD903" t="e">
        <f>IFERROR(IF(INDEX(Aux_puntos!$A$2:$OJ$901,899,MATCH($B$2&amp;"|yK",Aux_puntos!$1:$1,0))="",NA(),INDEX(Aux_puntos!$A$2:$OJ$901,899,MATCH($B$2&amp;"|yK",Aux_puntos!$1:$1,0))),NA())</f>
        <v>#N/A</v>
      </c>
      <c r="AE903" t="e">
        <f>IFERROR(IF(INDEX(Aux_puntos!$A$2:$OJ$901,899,MATCH($B$2&amp;"|xC",Aux_puntos!$1:$1,0))="",NA(),INDEX(Aux_puntos!$A$2:$OJ$901,899,MATCH($B$2&amp;"|xC",Aux_puntos!$1:$1,0))),NA())</f>
        <v>#N/A</v>
      </c>
      <c r="AF903" t="e">
        <f>IFERROR(IF(INDEX(Aux_puntos!$A$2:$OJ$901,899,MATCH($B$2&amp;"|yC",Aux_puntos!$1:$1,0))="",NA(),INDEX(Aux_puntos!$A$2:$OJ$901,899,MATCH($B$2&amp;"|yC",Aux_puntos!$1:$1,0))),NA())</f>
        <v>#N/A</v>
      </c>
      <c r="AG903" t="e">
        <f>IFERROR(IF(INDEX(Aux_puntos!$A$2:$OJ$901,899,MATCH($B$2&amp;"|xI",Aux_puntos!$1:$1,0))="",NA(),INDEX(Aux_puntos!$A$2:$OJ$901,899,MATCH($B$2&amp;"|xI",Aux_puntos!$1:$1,0))),NA())</f>
        <v>#N/A</v>
      </c>
      <c r="AH903" t="e">
        <f>IFERROR(IF(INDEX(Aux_puntos!$A$2:$OJ$901,899,MATCH($B$2&amp;"|yI",Aux_puntos!$1:$1,0))="",NA(),INDEX(Aux_puntos!$A$2:$OJ$901,899,MATCH($B$2&amp;"|yI",Aux_puntos!$1:$1,0))),NA())</f>
        <v>#N/A</v>
      </c>
      <c r="AI903" t="e">
        <f>IFERROR(IF(INDEX(Aux_puntos!$A$2:$OJ$901,899,MATCH($B$2&amp;"|xN",Aux_puntos!$1:$1,0))="",NA(),INDEX(Aux_puntos!$A$2:$OJ$901,899,MATCH($B$2&amp;"|xN",Aux_puntos!$1:$1,0))),NA())</f>
        <v>#N/A</v>
      </c>
      <c r="AJ903" t="e">
        <f>IFERROR(IF(INDEX(Aux_puntos!$A$2:$OJ$901,899,MATCH($B$2&amp;"|yN",Aux_puntos!$1:$1,0))="",NA(),INDEX(Aux_puntos!$A$2:$OJ$901,899,MATCH($B$2&amp;"|yN",Aux_puntos!$1:$1,0))),NA())</f>
        <v>#N/A</v>
      </c>
    </row>
    <row r="904" spans="29:36" x14ac:dyDescent="0.3">
      <c r="AC904" t="e">
        <f>IFERROR(IF(INDEX(Aux_puntos!$A$2:$OJ$901,900,MATCH($B$2&amp;"|xK",Aux_puntos!$1:$1,0))="",NA(),INDEX(Aux_puntos!$A$2:$OJ$901,900,MATCH($B$2&amp;"|xK",Aux_puntos!$1:$1,0))),NA())</f>
        <v>#N/A</v>
      </c>
      <c r="AD904" t="e">
        <f>IFERROR(IF(INDEX(Aux_puntos!$A$2:$OJ$901,900,MATCH($B$2&amp;"|yK",Aux_puntos!$1:$1,0))="",NA(),INDEX(Aux_puntos!$A$2:$OJ$901,900,MATCH($B$2&amp;"|yK",Aux_puntos!$1:$1,0))),NA())</f>
        <v>#N/A</v>
      </c>
      <c r="AE904" t="e">
        <f>IFERROR(IF(INDEX(Aux_puntos!$A$2:$OJ$901,900,MATCH($B$2&amp;"|xC",Aux_puntos!$1:$1,0))="",NA(),INDEX(Aux_puntos!$A$2:$OJ$901,900,MATCH($B$2&amp;"|xC",Aux_puntos!$1:$1,0))),NA())</f>
        <v>#N/A</v>
      </c>
      <c r="AF904" t="e">
        <f>IFERROR(IF(INDEX(Aux_puntos!$A$2:$OJ$901,900,MATCH($B$2&amp;"|yC",Aux_puntos!$1:$1,0))="",NA(),INDEX(Aux_puntos!$A$2:$OJ$901,900,MATCH($B$2&amp;"|yC",Aux_puntos!$1:$1,0))),NA())</f>
        <v>#N/A</v>
      </c>
      <c r="AG904" t="e">
        <f>IFERROR(IF(INDEX(Aux_puntos!$A$2:$OJ$901,900,MATCH($B$2&amp;"|xI",Aux_puntos!$1:$1,0))="",NA(),INDEX(Aux_puntos!$A$2:$OJ$901,900,MATCH($B$2&amp;"|xI",Aux_puntos!$1:$1,0))),NA())</f>
        <v>#N/A</v>
      </c>
      <c r="AH904" t="e">
        <f>IFERROR(IF(INDEX(Aux_puntos!$A$2:$OJ$901,900,MATCH($B$2&amp;"|yI",Aux_puntos!$1:$1,0))="",NA(),INDEX(Aux_puntos!$A$2:$OJ$901,900,MATCH($B$2&amp;"|yI",Aux_puntos!$1:$1,0))),NA())</f>
        <v>#N/A</v>
      </c>
      <c r="AI904" t="e">
        <f>IFERROR(IF(INDEX(Aux_puntos!$A$2:$OJ$901,900,MATCH($B$2&amp;"|xN",Aux_puntos!$1:$1,0))="",NA(),INDEX(Aux_puntos!$A$2:$OJ$901,900,MATCH($B$2&amp;"|xN",Aux_puntos!$1:$1,0))),NA())</f>
        <v>#N/A</v>
      </c>
      <c r="AJ904" t="e">
        <f>IFERROR(IF(INDEX(Aux_puntos!$A$2:$OJ$901,900,MATCH($B$2&amp;"|yN",Aux_puntos!$1:$1,0))="",NA(),INDEX(Aux_puntos!$A$2:$OJ$901,900,MATCH($B$2&amp;"|yN",Aux_puntos!$1:$1,0))),NA())</f>
        <v>#N/A</v>
      </c>
    </row>
  </sheetData>
  <mergeCells count="1">
    <mergeCell ref="A23:B28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Aux_tablero!$B$1:$AY$1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5"/>
  <sheetViews>
    <sheetView workbookViewId="0"/>
  </sheetViews>
  <sheetFormatPr baseColWidth="10" defaultColWidth="8.88671875" defaultRowHeight="14.4" x14ac:dyDescent="0.3"/>
  <cols>
    <col min="1" max="1" width="34" customWidth="1"/>
    <col min="2" max="2" width="22" customWidth="1"/>
    <col min="3" max="3" width="40" customWidth="1"/>
    <col min="4" max="4" width="70" customWidth="1"/>
  </cols>
  <sheetData>
    <row r="1" spans="1:4" x14ac:dyDescent="0.3">
      <c r="A1" s="12" t="s">
        <v>69</v>
      </c>
      <c r="B1" s="12" t="s">
        <v>70</v>
      </c>
      <c r="C1" s="12" t="s">
        <v>71</v>
      </c>
      <c r="D1" s="12" t="s">
        <v>72</v>
      </c>
    </row>
    <row r="2" spans="1:4" ht="15.6" x14ac:dyDescent="0.3">
      <c r="A2" s="13" t="s">
        <v>73</v>
      </c>
      <c r="B2" s="12" t="s">
        <v>74</v>
      </c>
      <c r="C2" s="12" t="s">
        <v>74</v>
      </c>
      <c r="D2" s="12" t="s">
        <v>75</v>
      </c>
    </row>
    <row r="3" spans="1:4" ht="15.6" x14ac:dyDescent="0.3">
      <c r="A3" s="13" t="s">
        <v>76</v>
      </c>
      <c r="B3" s="12" t="s">
        <v>77</v>
      </c>
      <c r="C3" s="12" t="s">
        <v>78</v>
      </c>
      <c r="D3" s="12" t="s">
        <v>79</v>
      </c>
    </row>
    <row r="4" spans="1:4" ht="15.6" x14ac:dyDescent="0.3">
      <c r="A4" s="13" t="s">
        <v>80</v>
      </c>
      <c r="B4" s="12" t="s">
        <v>77</v>
      </c>
      <c r="C4" s="12" t="s">
        <v>78</v>
      </c>
      <c r="D4" s="12" t="s">
        <v>81</v>
      </c>
    </row>
    <row r="5" spans="1:4" ht="15.6" x14ac:dyDescent="0.3">
      <c r="A5" s="13" t="s">
        <v>82</v>
      </c>
      <c r="B5" s="12" t="s">
        <v>77</v>
      </c>
      <c r="C5" s="12" t="s">
        <v>78</v>
      </c>
      <c r="D5" s="12" t="s">
        <v>83</v>
      </c>
    </row>
    <row r="6" spans="1:4" ht="15.6" x14ac:dyDescent="0.3">
      <c r="A6" s="13" t="s">
        <v>84</v>
      </c>
      <c r="B6" s="12" t="s">
        <v>77</v>
      </c>
      <c r="C6" s="12" t="s">
        <v>78</v>
      </c>
      <c r="D6" s="12" t="s">
        <v>85</v>
      </c>
    </row>
    <row r="7" spans="1:4" ht="15.6" x14ac:dyDescent="0.3">
      <c r="A7" s="13" t="s">
        <v>86</v>
      </c>
      <c r="B7" s="12" t="s">
        <v>77</v>
      </c>
      <c r="C7" s="12" t="s">
        <v>78</v>
      </c>
      <c r="D7" s="12" t="s">
        <v>87</v>
      </c>
    </row>
    <row r="8" spans="1:4" ht="15.6" x14ac:dyDescent="0.3">
      <c r="A8" s="13" t="s">
        <v>88</v>
      </c>
      <c r="B8" s="12" t="s">
        <v>89</v>
      </c>
      <c r="C8" s="12" t="s">
        <v>29</v>
      </c>
      <c r="D8" s="12" t="s">
        <v>90</v>
      </c>
    </row>
    <row r="9" spans="1:4" ht="15.6" x14ac:dyDescent="0.3">
      <c r="A9" s="13" t="s">
        <v>91</v>
      </c>
      <c r="B9" s="12" t="s">
        <v>89</v>
      </c>
      <c r="C9" s="12" t="s">
        <v>29</v>
      </c>
      <c r="D9" s="12" t="s">
        <v>92</v>
      </c>
    </row>
    <row r="10" spans="1:4" ht="15.6" x14ac:dyDescent="0.3">
      <c r="A10" s="13" t="s">
        <v>93</v>
      </c>
      <c r="B10" s="12" t="s">
        <v>89</v>
      </c>
      <c r="C10" s="12" t="s">
        <v>29</v>
      </c>
      <c r="D10" s="12" t="s">
        <v>94</v>
      </c>
    </row>
    <row r="11" spans="1:4" ht="15.6" x14ac:dyDescent="0.3">
      <c r="A11" s="13" t="s">
        <v>95</v>
      </c>
      <c r="B11" s="12" t="s">
        <v>96</v>
      </c>
      <c r="C11" s="12" t="s">
        <v>97</v>
      </c>
      <c r="D11" s="12" t="s">
        <v>98</v>
      </c>
    </row>
    <row r="12" spans="1:4" ht="15.6" x14ac:dyDescent="0.3">
      <c r="A12" s="13" t="s">
        <v>99</v>
      </c>
      <c r="B12" s="12" t="s">
        <v>96</v>
      </c>
      <c r="C12" s="12" t="s">
        <v>97</v>
      </c>
      <c r="D12" s="12" t="s">
        <v>100</v>
      </c>
    </row>
    <row r="13" spans="1:4" ht="15.6" x14ac:dyDescent="0.3">
      <c r="A13" s="13" t="s">
        <v>101</v>
      </c>
      <c r="B13" s="12" t="s">
        <v>96</v>
      </c>
      <c r="C13" s="12" t="s">
        <v>97</v>
      </c>
      <c r="D13" s="12" t="s">
        <v>102</v>
      </c>
    </row>
    <row r="14" spans="1:4" ht="15.6" x14ac:dyDescent="0.3">
      <c r="A14" s="13" t="s">
        <v>103</v>
      </c>
      <c r="B14" s="12" t="s">
        <v>104</v>
      </c>
      <c r="C14" s="12" t="s">
        <v>105</v>
      </c>
      <c r="D14" s="12" t="s">
        <v>106</v>
      </c>
    </row>
    <row r="15" spans="1:4" ht="15.6" x14ac:dyDescent="0.3">
      <c r="A15" s="13" t="s">
        <v>107</v>
      </c>
      <c r="B15" s="12" t="s">
        <v>104</v>
      </c>
      <c r="C15" s="12" t="s">
        <v>105</v>
      </c>
      <c r="D15" s="12" t="s">
        <v>108</v>
      </c>
    </row>
    <row r="16" spans="1:4" ht="15.6" x14ac:dyDescent="0.3">
      <c r="A16" s="13" t="s">
        <v>109</v>
      </c>
      <c r="B16" s="12" t="s">
        <v>104</v>
      </c>
      <c r="C16" s="12" t="s">
        <v>105</v>
      </c>
      <c r="D16" s="12" t="s">
        <v>110</v>
      </c>
    </row>
    <row r="17" spans="1:4" ht="15.6" x14ac:dyDescent="0.3">
      <c r="A17" s="13" t="s">
        <v>111</v>
      </c>
      <c r="B17" s="12" t="s">
        <v>112</v>
      </c>
      <c r="C17" s="12" t="s">
        <v>113</v>
      </c>
      <c r="D17" s="12" t="s">
        <v>114</v>
      </c>
    </row>
    <row r="18" spans="1:4" ht="15.6" x14ac:dyDescent="0.3">
      <c r="A18" s="13" t="s">
        <v>115</v>
      </c>
      <c r="B18" s="12" t="s">
        <v>112</v>
      </c>
      <c r="C18" s="12" t="s">
        <v>113</v>
      </c>
      <c r="D18" s="12" t="s">
        <v>116</v>
      </c>
    </row>
    <row r="19" spans="1:4" ht="15.6" x14ac:dyDescent="0.3">
      <c r="A19" s="13" t="s">
        <v>117</v>
      </c>
      <c r="B19" s="12" t="s">
        <v>112</v>
      </c>
      <c r="C19" s="12" t="s">
        <v>113</v>
      </c>
      <c r="D19" s="12" t="s">
        <v>118</v>
      </c>
    </row>
    <row r="20" spans="1:4" ht="15.6" x14ac:dyDescent="0.3">
      <c r="A20" s="13" t="s">
        <v>119</v>
      </c>
      <c r="B20" s="12" t="s">
        <v>120</v>
      </c>
      <c r="C20" s="12" t="s">
        <v>121</v>
      </c>
      <c r="D20" s="12" t="s">
        <v>122</v>
      </c>
    </row>
    <row r="21" spans="1:4" ht="15.6" x14ac:dyDescent="0.3">
      <c r="A21" s="13" t="s">
        <v>123</v>
      </c>
      <c r="B21" s="12" t="s">
        <v>120</v>
      </c>
      <c r="C21" s="12" t="s">
        <v>121</v>
      </c>
      <c r="D21" s="12" t="s">
        <v>124</v>
      </c>
    </row>
    <row r="22" spans="1:4" ht="15.6" x14ac:dyDescent="0.3">
      <c r="A22" s="13" t="s">
        <v>125</v>
      </c>
      <c r="B22" s="12" t="s">
        <v>120</v>
      </c>
      <c r="C22" s="12" t="s">
        <v>121</v>
      </c>
      <c r="D22" s="12" t="s">
        <v>126</v>
      </c>
    </row>
    <row r="23" spans="1:4" ht="15.6" x14ac:dyDescent="0.3">
      <c r="A23" s="13" t="s">
        <v>127</v>
      </c>
      <c r="B23" s="12" t="s">
        <v>128</v>
      </c>
      <c r="C23" s="12" t="s">
        <v>129</v>
      </c>
      <c r="D23" s="12" t="s">
        <v>130</v>
      </c>
    </row>
    <row r="24" spans="1:4" ht="15.6" x14ac:dyDescent="0.3">
      <c r="A24" s="13" t="s">
        <v>131</v>
      </c>
      <c r="B24" s="12" t="s">
        <v>128</v>
      </c>
      <c r="C24" s="12" t="s">
        <v>129</v>
      </c>
      <c r="D24" s="12" t="s">
        <v>132</v>
      </c>
    </row>
    <row r="25" spans="1:4" ht="15.6" x14ac:dyDescent="0.3">
      <c r="A25" s="13" t="s">
        <v>133</v>
      </c>
      <c r="B25" s="12" t="s">
        <v>128</v>
      </c>
      <c r="C25" s="12" t="s">
        <v>129</v>
      </c>
      <c r="D25" s="12" t="s">
        <v>134</v>
      </c>
    </row>
    <row r="26" spans="1:4" ht="15.6" x14ac:dyDescent="0.3">
      <c r="A26" s="13" t="s">
        <v>135</v>
      </c>
      <c r="B26" s="12" t="s">
        <v>136</v>
      </c>
      <c r="C26" s="12" t="s">
        <v>137</v>
      </c>
      <c r="D26" s="12" t="s">
        <v>138</v>
      </c>
    </row>
    <row r="27" spans="1:4" ht="15.6" x14ac:dyDescent="0.3">
      <c r="A27" s="13" t="s">
        <v>139</v>
      </c>
      <c r="B27" s="12" t="s">
        <v>136</v>
      </c>
      <c r="C27" s="12" t="s">
        <v>137</v>
      </c>
      <c r="D27" s="12" t="s">
        <v>140</v>
      </c>
    </row>
    <row r="28" spans="1:4" ht="15.6" x14ac:dyDescent="0.3">
      <c r="A28" s="13" t="s">
        <v>141</v>
      </c>
      <c r="B28" s="12" t="s">
        <v>142</v>
      </c>
      <c r="C28" s="12" t="s">
        <v>137</v>
      </c>
      <c r="D28" s="12" t="s">
        <v>143</v>
      </c>
    </row>
    <row r="29" spans="1:4" ht="15.6" x14ac:dyDescent="0.3">
      <c r="A29" s="13" t="s">
        <v>144</v>
      </c>
      <c r="B29" s="12" t="s">
        <v>142</v>
      </c>
      <c r="C29" s="12" t="s">
        <v>137</v>
      </c>
      <c r="D29" s="12" t="s">
        <v>145</v>
      </c>
    </row>
    <row r="30" spans="1:4" ht="15.6" x14ac:dyDescent="0.3">
      <c r="A30" s="13" t="s">
        <v>146</v>
      </c>
      <c r="B30" s="12" t="s">
        <v>142</v>
      </c>
      <c r="C30" s="12" t="s">
        <v>137</v>
      </c>
      <c r="D30" s="12" t="s">
        <v>147</v>
      </c>
    </row>
    <row r="31" spans="1:4" ht="15.6" x14ac:dyDescent="0.3">
      <c r="A31" s="13" t="s">
        <v>148</v>
      </c>
      <c r="B31" s="12" t="s">
        <v>142</v>
      </c>
      <c r="C31" s="12" t="s">
        <v>137</v>
      </c>
      <c r="D31" s="12" t="s">
        <v>149</v>
      </c>
    </row>
    <row r="32" spans="1:4" ht="15.6" x14ac:dyDescent="0.3">
      <c r="A32" s="13" t="s">
        <v>150</v>
      </c>
      <c r="B32" s="12" t="s">
        <v>142</v>
      </c>
      <c r="C32" s="12" t="s">
        <v>137</v>
      </c>
      <c r="D32" s="12" t="s">
        <v>151</v>
      </c>
    </row>
    <row r="33" spans="1:4" ht="15.6" x14ac:dyDescent="0.3">
      <c r="A33" s="13" t="s">
        <v>152</v>
      </c>
      <c r="B33" s="12" t="s">
        <v>142</v>
      </c>
      <c r="C33" s="12" t="s">
        <v>137</v>
      </c>
      <c r="D33" s="12" t="s">
        <v>153</v>
      </c>
    </row>
    <row r="34" spans="1:4" ht="15.6" x14ac:dyDescent="0.3">
      <c r="A34" s="13" t="s">
        <v>154</v>
      </c>
      <c r="B34" s="12" t="s">
        <v>155</v>
      </c>
      <c r="C34" s="12" t="s">
        <v>137</v>
      </c>
      <c r="D34" s="12" t="s">
        <v>156</v>
      </c>
    </row>
    <row r="35" spans="1:4" ht="15.6" x14ac:dyDescent="0.3">
      <c r="A35" s="13" t="s">
        <v>157</v>
      </c>
      <c r="B35" s="12" t="s">
        <v>155</v>
      </c>
      <c r="C35" s="12" t="s">
        <v>137</v>
      </c>
      <c r="D35" s="12" t="s">
        <v>158</v>
      </c>
    </row>
    <row r="36" spans="1:4" ht="15.6" x14ac:dyDescent="0.3">
      <c r="A36" s="13" t="s">
        <v>159</v>
      </c>
      <c r="B36" s="12" t="s">
        <v>160</v>
      </c>
      <c r="C36" s="12" t="s">
        <v>161</v>
      </c>
      <c r="D36" s="12" t="s">
        <v>162</v>
      </c>
    </row>
    <row r="37" spans="1:4" ht="15.6" x14ac:dyDescent="0.3">
      <c r="A37" s="13" t="s">
        <v>163</v>
      </c>
      <c r="B37" s="12" t="s">
        <v>160</v>
      </c>
      <c r="C37" s="12" t="s">
        <v>161</v>
      </c>
      <c r="D37" s="12" t="s">
        <v>164</v>
      </c>
    </row>
    <row r="38" spans="1:4" ht="15.6" x14ac:dyDescent="0.3">
      <c r="A38" s="13" t="s">
        <v>165</v>
      </c>
      <c r="B38" s="12" t="s">
        <v>160</v>
      </c>
      <c r="C38" s="12" t="s">
        <v>161</v>
      </c>
      <c r="D38" s="12" t="s">
        <v>166</v>
      </c>
    </row>
    <row r="39" spans="1:4" ht="15.6" x14ac:dyDescent="0.3">
      <c r="A39" s="13" t="s">
        <v>167</v>
      </c>
      <c r="B39" s="12" t="s">
        <v>160</v>
      </c>
      <c r="C39" s="12" t="s">
        <v>161</v>
      </c>
      <c r="D39" s="12" t="s">
        <v>168</v>
      </c>
    </row>
    <row r="40" spans="1:4" ht="15.6" x14ac:dyDescent="0.3">
      <c r="A40" s="13" t="s">
        <v>169</v>
      </c>
      <c r="B40" s="12" t="s">
        <v>170</v>
      </c>
      <c r="C40" s="12" t="s">
        <v>171</v>
      </c>
      <c r="D40" s="12" t="s">
        <v>172</v>
      </c>
    </row>
    <row r="41" spans="1:4" ht="15.6" x14ac:dyDescent="0.3">
      <c r="A41" s="13" t="s">
        <v>173</v>
      </c>
      <c r="B41" s="12" t="s">
        <v>170</v>
      </c>
      <c r="C41" s="12" t="s">
        <v>171</v>
      </c>
      <c r="D41" s="12" t="s">
        <v>174</v>
      </c>
    </row>
    <row r="42" spans="1:4" ht="15.6" x14ac:dyDescent="0.3">
      <c r="A42" s="13" t="s">
        <v>175</v>
      </c>
      <c r="B42" s="12" t="s">
        <v>170</v>
      </c>
      <c r="C42" s="12" t="s">
        <v>171</v>
      </c>
      <c r="D42" s="12" t="s">
        <v>176</v>
      </c>
    </row>
    <row r="43" spans="1:4" ht="15.6" x14ac:dyDescent="0.3">
      <c r="A43" s="13" t="s">
        <v>177</v>
      </c>
      <c r="B43" s="12" t="s">
        <v>170</v>
      </c>
      <c r="C43" s="12" t="s">
        <v>171</v>
      </c>
      <c r="D43" s="12" t="s">
        <v>178</v>
      </c>
    </row>
    <row r="44" spans="1:4" ht="15.6" x14ac:dyDescent="0.3">
      <c r="A44" s="13" t="s">
        <v>179</v>
      </c>
      <c r="B44" s="12" t="s">
        <v>180</v>
      </c>
      <c r="C44" s="12" t="s">
        <v>181</v>
      </c>
      <c r="D44" s="12" t="s">
        <v>182</v>
      </c>
    </row>
    <row r="45" spans="1:4" ht="15.6" x14ac:dyDescent="0.3">
      <c r="A45" s="13" t="s">
        <v>183</v>
      </c>
      <c r="B45" s="12" t="s">
        <v>180</v>
      </c>
      <c r="C45" s="12" t="s">
        <v>181</v>
      </c>
      <c r="D45" s="12" t="s">
        <v>184</v>
      </c>
    </row>
    <row r="46" spans="1:4" ht="15.6" x14ac:dyDescent="0.3">
      <c r="A46" s="13" t="s">
        <v>185</v>
      </c>
      <c r="B46" s="12" t="s">
        <v>180</v>
      </c>
      <c r="C46" s="12" t="s">
        <v>181</v>
      </c>
      <c r="D46" s="12" t="s">
        <v>186</v>
      </c>
    </row>
    <row r="47" spans="1:4" ht="15.6" x14ac:dyDescent="0.3">
      <c r="A47" s="13" t="s">
        <v>187</v>
      </c>
      <c r="B47" s="12" t="s">
        <v>188</v>
      </c>
      <c r="C47" s="12" t="s">
        <v>189</v>
      </c>
      <c r="D47" s="12" t="s">
        <v>190</v>
      </c>
    </row>
    <row r="48" spans="1:4" ht="15.6" x14ac:dyDescent="0.3">
      <c r="A48" s="13" t="s">
        <v>191</v>
      </c>
      <c r="B48" s="12" t="s">
        <v>188</v>
      </c>
      <c r="C48" s="12" t="s">
        <v>189</v>
      </c>
      <c r="D48" s="12" t="s">
        <v>192</v>
      </c>
    </row>
    <row r="49" spans="1:4" ht="15.6" x14ac:dyDescent="0.3">
      <c r="A49" s="13" t="s">
        <v>193</v>
      </c>
      <c r="B49" s="12" t="s">
        <v>188</v>
      </c>
      <c r="C49" s="12" t="s">
        <v>189</v>
      </c>
      <c r="D49" s="12" t="s">
        <v>194</v>
      </c>
    </row>
    <row r="50" spans="1:4" ht="15.6" x14ac:dyDescent="0.3">
      <c r="A50" s="13" t="s">
        <v>195</v>
      </c>
      <c r="B50" s="12" t="s">
        <v>188</v>
      </c>
      <c r="C50" s="12" t="s">
        <v>189</v>
      </c>
      <c r="D50" s="12" t="s">
        <v>196</v>
      </c>
    </row>
    <row r="51" spans="1:4" ht="15.6" x14ac:dyDescent="0.3">
      <c r="A51" s="13" t="s">
        <v>197</v>
      </c>
      <c r="B51" s="12" t="s">
        <v>198</v>
      </c>
      <c r="C51" s="12" t="s">
        <v>199</v>
      </c>
      <c r="D51" s="12" t="s">
        <v>200</v>
      </c>
    </row>
    <row r="52" spans="1:4" ht="15.6" x14ac:dyDescent="0.3">
      <c r="A52" s="13" t="s">
        <v>201</v>
      </c>
      <c r="B52" s="12" t="s">
        <v>198</v>
      </c>
      <c r="C52" s="12" t="s">
        <v>199</v>
      </c>
      <c r="D52" s="12" t="s">
        <v>202</v>
      </c>
    </row>
    <row r="53" spans="1:4" ht="15.6" x14ac:dyDescent="0.3">
      <c r="A53" s="13" t="s">
        <v>203</v>
      </c>
      <c r="B53" s="12" t="s">
        <v>198</v>
      </c>
      <c r="C53" s="12" t="s">
        <v>199</v>
      </c>
      <c r="D53" s="12" t="s">
        <v>204</v>
      </c>
    </row>
    <row r="54" spans="1:4" ht="15.6" x14ac:dyDescent="0.3">
      <c r="A54" s="13" t="s">
        <v>205</v>
      </c>
      <c r="B54" s="12" t="s">
        <v>206</v>
      </c>
      <c r="C54" s="12" t="s">
        <v>207</v>
      </c>
      <c r="D54" s="12" t="s">
        <v>208</v>
      </c>
    </row>
    <row r="55" spans="1:4" ht="15.6" x14ac:dyDescent="0.3">
      <c r="A55" s="13" t="s">
        <v>209</v>
      </c>
      <c r="B55" s="12" t="s">
        <v>206</v>
      </c>
      <c r="C55" s="12" t="s">
        <v>207</v>
      </c>
      <c r="D55" s="12" t="s">
        <v>210</v>
      </c>
    </row>
    <row r="56" spans="1:4" ht="15.6" x14ac:dyDescent="0.3">
      <c r="A56" s="13" t="s">
        <v>211</v>
      </c>
      <c r="B56" s="12" t="s">
        <v>206</v>
      </c>
      <c r="C56" s="12" t="s">
        <v>212</v>
      </c>
      <c r="D56" s="12" t="s">
        <v>213</v>
      </c>
    </row>
    <row r="57" spans="1:4" ht="15.6" x14ac:dyDescent="0.3">
      <c r="A57" s="13" t="s">
        <v>214</v>
      </c>
      <c r="B57" s="12" t="s">
        <v>206</v>
      </c>
      <c r="C57" s="12" t="s">
        <v>189</v>
      </c>
      <c r="D57" s="12" t="s">
        <v>215</v>
      </c>
    </row>
    <row r="58" spans="1:4" ht="15.6" x14ac:dyDescent="0.3">
      <c r="A58" s="13" t="s">
        <v>216</v>
      </c>
      <c r="B58" s="12" t="s">
        <v>217</v>
      </c>
      <c r="C58" s="12" t="s">
        <v>218</v>
      </c>
      <c r="D58" s="12" t="s">
        <v>219</v>
      </c>
    </row>
    <row r="59" spans="1:4" ht="15.6" x14ac:dyDescent="0.3">
      <c r="A59" s="13" t="s">
        <v>220</v>
      </c>
      <c r="B59" s="12" t="s">
        <v>217</v>
      </c>
      <c r="C59" s="12" t="s">
        <v>218</v>
      </c>
      <c r="D59" s="12" t="s">
        <v>221</v>
      </c>
    </row>
    <row r="60" spans="1:4" ht="15.6" x14ac:dyDescent="0.3">
      <c r="A60" s="13" t="s">
        <v>222</v>
      </c>
      <c r="B60" s="12" t="s">
        <v>217</v>
      </c>
      <c r="C60" s="12" t="s">
        <v>223</v>
      </c>
      <c r="D60" s="12" t="s">
        <v>224</v>
      </c>
    </row>
    <row r="61" spans="1:4" ht="15.6" x14ac:dyDescent="0.3">
      <c r="A61" s="13" t="s">
        <v>225</v>
      </c>
      <c r="B61" s="12" t="s">
        <v>217</v>
      </c>
      <c r="C61" s="12" t="s">
        <v>226</v>
      </c>
      <c r="D61" s="12" t="s">
        <v>227</v>
      </c>
    </row>
    <row r="62" spans="1:4" ht="15.6" x14ac:dyDescent="0.3">
      <c r="A62" s="13" t="s">
        <v>228</v>
      </c>
      <c r="B62" s="12" t="s">
        <v>229</v>
      </c>
      <c r="C62" s="12" t="s">
        <v>230</v>
      </c>
      <c r="D62" s="12" t="s">
        <v>231</v>
      </c>
    </row>
    <row r="63" spans="1:4" ht="15.6" x14ac:dyDescent="0.3">
      <c r="A63" s="13" t="s">
        <v>232</v>
      </c>
      <c r="B63" s="12" t="s">
        <v>229</v>
      </c>
      <c r="C63" s="12" t="s">
        <v>230</v>
      </c>
      <c r="D63" s="12" t="s">
        <v>233</v>
      </c>
    </row>
    <row r="64" spans="1:4" ht="15.6" x14ac:dyDescent="0.3">
      <c r="A64" s="13" t="s">
        <v>234</v>
      </c>
      <c r="B64" s="12" t="s">
        <v>229</v>
      </c>
      <c r="C64" s="12" t="s">
        <v>235</v>
      </c>
      <c r="D64" s="12" t="s">
        <v>236</v>
      </c>
    </row>
    <row r="65" spans="1:4" ht="15.6" x14ac:dyDescent="0.3">
      <c r="A65" s="13" t="s">
        <v>237</v>
      </c>
      <c r="B65" s="12" t="s">
        <v>77</v>
      </c>
      <c r="C65" s="12" t="s">
        <v>238</v>
      </c>
      <c r="D65" s="12" t="s">
        <v>239</v>
      </c>
    </row>
    <row r="66" spans="1:4" ht="15.6" x14ac:dyDescent="0.3">
      <c r="A66" s="13" t="s">
        <v>240</v>
      </c>
      <c r="B66" s="12" t="s">
        <v>241</v>
      </c>
      <c r="C66" s="12" t="s">
        <v>238</v>
      </c>
      <c r="D66" s="12" t="s">
        <v>242</v>
      </c>
    </row>
    <row r="67" spans="1:4" ht="15.6" x14ac:dyDescent="0.3">
      <c r="A67" s="13" t="s">
        <v>243</v>
      </c>
      <c r="B67" s="12" t="s">
        <v>112</v>
      </c>
      <c r="C67" s="12" t="s">
        <v>238</v>
      </c>
      <c r="D67" s="12" t="s">
        <v>244</v>
      </c>
    </row>
    <row r="68" spans="1:4" ht="15.6" x14ac:dyDescent="0.3">
      <c r="A68" s="13" t="s">
        <v>245</v>
      </c>
      <c r="B68" s="12" t="s">
        <v>120</v>
      </c>
      <c r="C68" s="12" t="s">
        <v>238</v>
      </c>
      <c r="D68" s="12" t="s">
        <v>246</v>
      </c>
    </row>
    <row r="69" spans="1:4" ht="15.6" x14ac:dyDescent="0.3">
      <c r="A69" s="13" t="s">
        <v>247</v>
      </c>
      <c r="B69" s="12" t="s">
        <v>128</v>
      </c>
      <c r="C69" s="12" t="s">
        <v>238</v>
      </c>
      <c r="D69" s="12" t="s">
        <v>248</v>
      </c>
    </row>
    <row r="70" spans="1:4" ht="15.6" x14ac:dyDescent="0.3">
      <c r="A70" s="13" t="s">
        <v>249</v>
      </c>
      <c r="B70" s="12" t="s">
        <v>142</v>
      </c>
      <c r="C70" s="12" t="s">
        <v>238</v>
      </c>
      <c r="D70" s="12" t="s">
        <v>250</v>
      </c>
    </row>
    <row r="71" spans="1:4" ht="15.6" x14ac:dyDescent="0.3">
      <c r="A71" s="13" t="s">
        <v>251</v>
      </c>
      <c r="B71" s="12" t="s">
        <v>160</v>
      </c>
      <c r="C71" s="12" t="s">
        <v>238</v>
      </c>
      <c r="D71" s="12" t="s">
        <v>252</v>
      </c>
    </row>
    <row r="72" spans="1:4" ht="15.6" x14ac:dyDescent="0.3">
      <c r="A72" s="13" t="s">
        <v>253</v>
      </c>
      <c r="B72" s="12" t="s">
        <v>254</v>
      </c>
      <c r="C72" s="12" t="s">
        <v>238</v>
      </c>
      <c r="D72" s="12" t="s">
        <v>255</v>
      </c>
    </row>
    <row r="73" spans="1:4" ht="15.6" x14ac:dyDescent="0.3">
      <c r="A73" s="13" t="s">
        <v>256</v>
      </c>
      <c r="B73" s="12" t="s">
        <v>257</v>
      </c>
      <c r="C73" s="12" t="s">
        <v>238</v>
      </c>
      <c r="D73" s="12" t="s">
        <v>258</v>
      </c>
    </row>
    <row r="74" spans="1:4" ht="15.6" x14ac:dyDescent="0.3">
      <c r="A74" s="13" t="s">
        <v>259</v>
      </c>
      <c r="B74" s="12" t="s">
        <v>260</v>
      </c>
      <c r="C74" s="12" t="s">
        <v>238</v>
      </c>
      <c r="D74" s="12" t="s">
        <v>261</v>
      </c>
    </row>
    <row r="75" spans="1:4" ht="15.6" x14ac:dyDescent="0.3">
      <c r="A75" s="13" t="s">
        <v>262</v>
      </c>
      <c r="B75" s="12" t="s">
        <v>263</v>
      </c>
      <c r="C75" s="12" t="s">
        <v>74</v>
      </c>
      <c r="D75" s="12" t="s">
        <v>264</v>
      </c>
    </row>
  </sheetData>
  <hyperlinks>
    <hyperlink ref="A2" location="'Punto_profesor'!A1" display="Punto_profesor" xr:uid="{00000000-0004-0000-0200-000000000000}"/>
    <hyperlink ref="A3" location="'G01_resumen_casos'!A1" display="G01_resumen_casos" xr:uid="{00000000-0004-0000-0200-000001000000}"/>
    <hyperlink ref="A4" location="'G02_que_se_movio'!A1" display="G02_que_se_movio" xr:uid="{00000000-0004-0000-0200-000002000000}"/>
    <hyperlink ref="A5" location="'G03_rangos_KALINA'!A1" display="G03_rangos_KALINA" xr:uid="{00000000-0004-0000-0200-000003000000}"/>
    <hyperlink ref="A6" location="'G04_datos_profesor'!A1" display="G04_datos_profesor" xr:uid="{00000000-0004-0000-0200-000004000000}"/>
    <hyperlink ref="A7" location="'G05_bloqueos'!A1" display="G05_bloqueos" xr:uid="{00000000-0004-0000-0200-000005000000}"/>
    <hyperlink ref="A8" location="'M01_00_condiciones'!A1" display="M01_00_condiciones" xr:uid="{00000000-0004-0000-0200-000006000000}"/>
    <hyperlink ref="A9" location="'M01_01_conteo'!A1" display="M01_01_conteo" xr:uid="{00000000-0004-0000-0200-000007000000}"/>
    <hyperlink ref="A10" location="'M01_02_comparacion'!A1" display="M01_02_comparacion" xr:uid="{00000000-0004-0000-0200-000008000000}"/>
    <hyperlink ref="A11" location="'M02-N1_00_condiciones'!A1" display="M02-N1_00_condiciones" xr:uid="{00000000-0004-0000-0200-000009000000}"/>
    <hyperlink ref="A12" location="'M02-N1_01_conteo'!A1" display="M02-N1_01_conteo" xr:uid="{00000000-0004-0000-0200-00000A000000}"/>
    <hyperlink ref="A13" location="'M02-N1_02_resumen'!A1" display="M02-N1_02_resumen" xr:uid="{00000000-0004-0000-0200-00000B000000}"/>
    <hyperlink ref="A14" location="'M02-N2_00_condiciones'!A1" display="M02-N2_00_condiciones" xr:uid="{00000000-0004-0000-0200-00000C000000}"/>
    <hyperlink ref="A15" location="'M02-N2_01_conteo'!A1" display="M02-N2_01_conteo" xr:uid="{00000000-0004-0000-0200-00000D000000}"/>
    <hyperlink ref="A16" location="'M02-N2_02_resumen'!A1" display="M02-N2_02_resumen" xr:uid="{00000000-0004-0000-0200-00000E000000}"/>
    <hyperlink ref="A17" location="'M02R_00_condiciones'!A1" display="M02R_00_condiciones" xr:uid="{00000000-0004-0000-0200-00000F000000}"/>
    <hyperlink ref="A18" location="'M02R_01_conteo'!A1" display="M02R_01_conteo" xr:uid="{00000000-0004-0000-0200-000010000000}"/>
    <hyperlink ref="A19" location="'M02R_02_resumen'!A1" display="M02R_02_resumen" xr:uid="{00000000-0004-0000-0200-000011000000}"/>
    <hyperlink ref="A20" location="'M02S_00_condiciones'!A1" display="M02S_00_condiciones" xr:uid="{00000000-0004-0000-0200-000012000000}"/>
    <hyperlink ref="A21" location="'M02S_01_conteo'!A1" display="M02S_01_conteo" xr:uid="{00000000-0004-0000-0200-000013000000}"/>
    <hyperlink ref="A22" location="'M02S_02_resumen'!A1" display="M02S_02_resumen" xr:uid="{00000000-0004-0000-0200-000014000000}"/>
    <hyperlink ref="A23" location="'M03_00_condiciones'!A1" display="M03_00_condiciones" xr:uid="{00000000-0004-0000-0200-000015000000}"/>
    <hyperlink ref="A24" location="'M03_01_conteo'!A1" display="M03_01_conteo" xr:uid="{00000000-0004-0000-0200-000016000000}"/>
    <hyperlink ref="A25" location="'M03_02_ranking_delta'!A1" display="M03_02_ranking_delta" xr:uid="{00000000-0004-0000-0200-000017000000}"/>
    <hyperlink ref="A26" location="'M04_00_condiciones'!A1" display="M04_00_condiciones" xr:uid="{00000000-0004-0000-0200-000018000000}"/>
    <hyperlink ref="A27" location="'M04_01_conteo'!A1" display="M04_01_conteo" xr:uid="{00000000-0004-0000-0200-000019000000}"/>
    <hyperlink ref="A28" location="'M04_02_separacion'!A1" display="M04_02_separacion" xr:uid="{00000000-0004-0000-0200-00001A000000}"/>
    <hyperlink ref="A29" location="'M04_03_prcc'!A1" display="M04_03_prcc" xr:uid="{00000000-0004-0000-0200-00001B000000}"/>
    <hyperlink ref="A30" location="'M04_04_rangos_presion'!A1" display="M04_04_rangos_presion" xr:uid="{00000000-0004-0000-0200-00001C000000}"/>
    <hyperlink ref="A31" location="'M04_05_ventana_palta'!A1" display="M04_05_ventana_palta" xr:uid="{00000000-0004-0000-0200-00001D000000}"/>
    <hyperlink ref="A32" location="'M04_06_ventana_tf'!A1" display="M04_06_ventana_tf" xr:uid="{00000000-0004-0000-0200-00001E000000}"/>
    <hyperlink ref="A33" location="'M04_07_ventana_ts'!A1" display="M04_07_ventana_ts" xr:uid="{00000000-0004-0000-0200-00001F000000}"/>
    <hyperlink ref="A34" location="'M04b_00_condiciones'!A1" display="M04b_00_condiciones" xr:uid="{00000000-0004-0000-0200-000020000000}"/>
    <hyperlink ref="A35" location="'M04b_01_conteo'!A1" display="M04b_01_conteo" xr:uid="{00000000-0004-0000-0200-000021000000}"/>
    <hyperlink ref="A36" location="'M04c_00_condiciones'!A1" display="M04c_00_condiciones" xr:uid="{00000000-0004-0000-0200-000022000000}"/>
    <hyperlink ref="A37" location="'M04c_01_conteo'!A1" display="M04c_01_conteo" xr:uid="{00000000-0004-0000-0200-000023000000}"/>
    <hyperlink ref="A38" location="'M04c_02_techo'!A1" display="M04c_02_techo" xr:uid="{00000000-0004-0000-0200-000024000000}"/>
    <hyperlink ref="A39" location="'M04c_03_techo_palta'!A1" display="M04c_03_techo_palta" xr:uid="{00000000-0004-0000-0200-000025000000}"/>
    <hyperlink ref="A40" location="'M05_00_condiciones'!A1" display="M05_00_condiciones" xr:uid="{00000000-0004-0000-0200-000026000000}"/>
    <hyperlink ref="A41" location="'M05_01_conteo'!A1" display="M05_01_conteo" xr:uid="{00000000-0004-0000-0200-000027000000}"/>
    <hyperlink ref="A42" location="'M05_02_resumen'!A1" display="M05_02_resumen" xr:uid="{00000000-0004-0000-0200-000028000000}"/>
    <hyperlink ref="A43" location="'M05_03_rangos'!A1" display="M05_03_rangos" xr:uid="{00000000-0004-0000-0200-000029000000}"/>
    <hyperlink ref="A44" location="'M05c_00_condiciones'!A1" display="M05c_00_condiciones" xr:uid="{00000000-0004-0000-0200-00002A000000}"/>
    <hyperlink ref="A45" location="'M05c_01_conteo'!A1" display="M05c_01_conteo" xr:uid="{00000000-0004-0000-0200-00002B000000}"/>
    <hyperlink ref="A46" location="'M05c_02_frontera'!A1" display="M05c_02_frontera" xr:uid="{00000000-0004-0000-0200-00002C000000}"/>
    <hyperlink ref="A47" location="'M06_00_condiciones'!A1" display="M06_00_condiciones" xr:uid="{00000000-0004-0000-0200-00002D000000}"/>
    <hyperlink ref="A48" location="'M06_01_conteo'!A1" display="M06_01_conteo" xr:uid="{00000000-0004-0000-0200-00002E000000}"/>
    <hyperlink ref="A49" location="'M06_02_comparacion'!A1" display="M06_02_comparacion" xr:uid="{00000000-0004-0000-0200-00002F000000}"/>
    <hyperlink ref="A50" location="'M06_03_subenfriamiento'!A1" display="M06_03_subenfriamiento" xr:uid="{00000000-0004-0000-0200-000030000000}"/>
    <hyperlink ref="A51" location="'M07_00_condiciones'!A1" display="M07_00_condiciones" xr:uid="{00000000-0004-0000-0200-000031000000}"/>
    <hyperlink ref="A52" location="'M07_01_conteo'!A1" display="M07_01_conteo" xr:uid="{00000000-0004-0000-0200-000032000000}"/>
    <hyperlink ref="A53" location="'M07_02_optimos'!A1" display="M07_02_optimos" xr:uid="{00000000-0004-0000-0200-000033000000}"/>
    <hyperlink ref="A54" location="'M09_00_condiciones'!A1" display="M09_00_condiciones" xr:uid="{00000000-0004-0000-0200-000034000000}"/>
    <hyperlink ref="A55" location="'M09_01_conteo'!A1" display="M09_01_conteo" xr:uid="{00000000-0004-0000-0200-000035000000}"/>
    <hyperlink ref="A56" location="'M09_02_escalera'!A1" display="M09_02_escalera" xr:uid="{00000000-0004-0000-0200-000036000000}"/>
    <hyperlink ref="A57" location="'M09_03_motor_real'!A1" display="M09_03_motor_real" xr:uid="{00000000-0004-0000-0200-000037000000}"/>
    <hyperlink ref="A58" location="'M10_00_condiciones'!A1" display="M10_00_condiciones" xr:uid="{00000000-0004-0000-0200-000038000000}"/>
    <hyperlink ref="A59" location="'M10_01_conteo'!A1" display="M10_01_conteo" xr:uid="{00000000-0004-0000-0200-000039000000}"/>
    <hyperlink ref="A60" location="'M10_02_catalogo'!A1" display="M10_02_catalogo" xr:uid="{00000000-0004-0000-0200-00003A000000}"/>
    <hyperlink ref="A61" location="'M10_03_ofat'!A1" display="M10_03_ofat" xr:uid="{00000000-0004-0000-0200-00003B000000}"/>
    <hyperlink ref="A62" location="'M10b_00_condiciones'!A1" display="M10b_00_condiciones" xr:uid="{00000000-0004-0000-0200-00003C000000}"/>
    <hyperlink ref="A63" location="'M10b_01_conteo'!A1" display="M10b_01_conteo" xr:uid="{00000000-0004-0000-0200-00003D000000}"/>
    <hyperlink ref="A64" location="'M10b_02_xb_bajo'!A1" display="M10b_02_xb_bajo" xr:uid="{00000000-0004-0000-0200-00003E000000}"/>
    <hyperlink ref="A65" location="'G_graficos'!A1" display="G_graficos" xr:uid="{00000000-0004-0000-0200-00003F000000}"/>
    <hyperlink ref="A66" location="'M02_graficos'!A1" display="M02_graficos" xr:uid="{00000000-0004-0000-0200-000040000000}"/>
    <hyperlink ref="A67" location="'M02R_graficos'!A1" display="M02R_graficos" xr:uid="{00000000-0004-0000-0200-000041000000}"/>
    <hyperlink ref="A68" location="'M02S_graficos'!A1" display="M02S_graficos" xr:uid="{00000000-0004-0000-0200-000042000000}"/>
    <hyperlink ref="A69" location="'M03_graficos'!A1" display="M03_graficos" xr:uid="{00000000-0004-0000-0200-000043000000}"/>
    <hyperlink ref="A70" location="'M04_graficos'!A1" display="M04_graficos" xr:uid="{00000000-0004-0000-0200-000044000000}"/>
    <hyperlink ref="A71" location="'M04c_graficos'!A1" display="M04c_graficos" xr:uid="{00000000-0004-0000-0200-000045000000}"/>
    <hyperlink ref="A72" location="'M05_graficos'!A1" display="M05_graficos" xr:uid="{00000000-0004-0000-0200-000046000000}"/>
    <hyperlink ref="A73" location="'M06_M07_M09_graficos'!A1" display="M06_M07_M09_graficos" xr:uid="{00000000-0004-0000-0200-000047000000}"/>
    <hyperlink ref="A74" location="'M10_graficos'!A1" display="M10_graficos" xr:uid="{00000000-0004-0000-0200-000048000000}"/>
    <hyperlink ref="A75" location="'Figuras_matplotlib_ref'!A1" display="Figuras_matplotlib_ref" xr:uid="{00000000-0004-0000-0200-000049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workbookViewId="0"/>
  </sheetViews>
  <sheetFormatPr baseColWidth="10" defaultColWidth="8.88671875" defaultRowHeight="14.4" x14ac:dyDescent="0.3"/>
  <cols>
    <col min="1" max="1" width="12" customWidth="1"/>
    <col min="2" max="2" width="10" customWidth="1"/>
    <col min="3" max="3" width="25" customWidth="1"/>
    <col min="4" max="4" width="16" customWidth="1"/>
  </cols>
  <sheetData>
    <row r="1" spans="1:4" x14ac:dyDescent="0.3">
      <c r="A1" s="14" t="s">
        <v>265</v>
      </c>
      <c r="B1" s="14" t="s">
        <v>266</v>
      </c>
      <c r="C1" s="14" t="s">
        <v>267</v>
      </c>
      <c r="D1" s="14" t="s">
        <v>268</v>
      </c>
    </row>
    <row r="2" spans="1:4" x14ac:dyDescent="0.3">
      <c r="A2" s="12" t="s">
        <v>269</v>
      </c>
      <c r="B2" s="12" t="s">
        <v>270</v>
      </c>
      <c r="C2" s="12">
        <v>3000</v>
      </c>
      <c r="D2" s="12">
        <v>3000</v>
      </c>
    </row>
    <row r="3" spans="1:4" x14ac:dyDescent="0.3">
      <c r="A3" s="12" t="s">
        <v>271</v>
      </c>
      <c r="B3" s="12" t="s">
        <v>270</v>
      </c>
      <c r="C3" s="12">
        <v>400</v>
      </c>
      <c r="D3" s="12">
        <v>563.64</v>
      </c>
    </row>
    <row r="4" spans="1:4" x14ac:dyDescent="0.3">
      <c r="A4" s="12" t="s">
        <v>272</v>
      </c>
      <c r="B4" s="12" t="s">
        <v>273</v>
      </c>
      <c r="C4" s="12">
        <v>0.5</v>
      </c>
      <c r="D4" s="12">
        <v>0.5</v>
      </c>
    </row>
    <row r="5" spans="1:4" x14ac:dyDescent="0.3">
      <c r="A5" s="12" t="s">
        <v>274</v>
      </c>
      <c r="B5" s="12" t="s">
        <v>275</v>
      </c>
      <c r="C5" s="12">
        <v>623.15</v>
      </c>
      <c r="D5" s="12">
        <v>403</v>
      </c>
    </row>
    <row r="6" spans="1:4" x14ac:dyDescent="0.3">
      <c r="A6" s="12" t="s">
        <v>276</v>
      </c>
      <c r="B6" s="12" t="s">
        <v>275</v>
      </c>
      <c r="C6" s="12">
        <v>300.032917</v>
      </c>
      <c r="D6" s="12">
        <v>300.032917</v>
      </c>
    </row>
    <row r="7" spans="1:4" x14ac:dyDescent="0.3">
      <c r="A7" s="12" t="s">
        <v>277</v>
      </c>
      <c r="B7" s="12" t="s">
        <v>273</v>
      </c>
      <c r="C7" s="12">
        <v>0.85</v>
      </c>
      <c r="D7" s="12">
        <v>0.85</v>
      </c>
    </row>
    <row r="8" spans="1:4" x14ac:dyDescent="0.3">
      <c r="A8" s="12" t="s">
        <v>278</v>
      </c>
      <c r="B8" s="12" t="s">
        <v>273</v>
      </c>
      <c r="C8" s="12">
        <v>0.75</v>
      </c>
      <c r="D8" s="12">
        <v>0.75</v>
      </c>
    </row>
    <row r="9" spans="1:4" x14ac:dyDescent="0.3">
      <c r="A9" s="12" t="s">
        <v>279</v>
      </c>
      <c r="B9" s="12" t="s">
        <v>273</v>
      </c>
      <c r="C9" s="12">
        <v>0.85</v>
      </c>
      <c r="D9" s="12">
        <v>0.85</v>
      </c>
    </row>
    <row r="10" spans="1:4" x14ac:dyDescent="0.3">
      <c r="A10" s="12" t="s">
        <v>280</v>
      </c>
      <c r="B10" s="12" t="s">
        <v>273</v>
      </c>
      <c r="C10" s="12">
        <v>0.75</v>
      </c>
      <c r="D10" s="12">
        <v>0.75</v>
      </c>
    </row>
    <row r="11" spans="1:4" x14ac:dyDescent="0.3">
      <c r="A11" s="12" t="s">
        <v>281</v>
      </c>
      <c r="B11" s="12" t="s">
        <v>273</v>
      </c>
      <c r="C11" s="12">
        <v>0.8</v>
      </c>
      <c r="D11" s="12">
        <v>0.8</v>
      </c>
    </row>
    <row r="12" spans="1:4" x14ac:dyDescent="0.3">
      <c r="A12" s="12" t="s">
        <v>282</v>
      </c>
      <c r="B12" s="12" t="s">
        <v>283</v>
      </c>
      <c r="C12" s="12">
        <v>1</v>
      </c>
      <c r="D12" s="12">
        <v>1</v>
      </c>
    </row>
    <row r="14" spans="1:4" x14ac:dyDescent="0.3">
      <c r="A14" t="s">
        <v>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5"/>
  <sheetViews>
    <sheetView workbookViewId="0"/>
  </sheetViews>
  <sheetFormatPr baseColWidth="10" defaultColWidth="8.88671875" defaultRowHeight="14.4" x14ac:dyDescent="0.3"/>
  <cols>
    <col min="1" max="1" width="11" customWidth="1"/>
    <col min="2" max="2" width="46" customWidth="1"/>
    <col min="3" max="3" width="10" customWidth="1"/>
    <col min="4" max="4" width="40" customWidth="1"/>
    <col min="5" max="5" width="18" customWidth="1"/>
    <col min="6" max="6" width="32" customWidth="1"/>
    <col min="7" max="9" width="10" customWidth="1"/>
    <col min="10" max="10" width="19" customWidth="1"/>
    <col min="11" max="11" width="25" customWidth="1"/>
    <col min="12" max="12" width="26" customWidth="1"/>
  </cols>
  <sheetData>
    <row r="1" spans="1:12" ht="17.399999999999999" x14ac:dyDescent="0.35">
      <c r="A1" s="1" t="s">
        <v>285</v>
      </c>
    </row>
    <row r="2" spans="1:12" x14ac:dyDescent="0.3">
      <c r="A2" t="s">
        <v>286</v>
      </c>
    </row>
    <row r="3" spans="1:12" x14ac:dyDescent="0.3">
      <c r="A3" t="s">
        <v>287</v>
      </c>
    </row>
    <row r="4" spans="1:12" x14ac:dyDescent="0.3">
      <c r="A4" s="15" t="s">
        <v>288</v>
      </c>
    </row>
    <row r="5" spans="1:12" x14ac:dyDescent="0.3">
      <c r="A5" t="s">
        <v>289</v>
      </c>
    </row>
    <row r="7" spans="1:12" x14ac:dyDescent="0.3">
      <c r="A7" s="16" t="s">
        <v>290</v>
      </c>
      <c r="B7" s="16" t="s">
        <v>291</v>
      </c>
      <c r="C7" s="16" t="s">
        <v>292</v>
      </c>
      <c r="D7" s="16" t="s">
        <v>71</v>
      </c>
      <c r="E7" s="16" t="s">
        <v>293</v>
      </c>
      <c r="F7" s="16" t="s">
        <v>294</v>
      </c>
      <c r="G7" s="16" t="s">
        <v>30</v>
      </c>
      <c r="H7" s="16" t="s">
        <v>31</v>
      </c>
      <c r="I7" s="16" t="s">
        <v>32</v>
      </c>
      <c r="J7" s="16" t="s">
        <v>33</v>
      </c>
      <c r="K7" s="16" t="s">
        <v>295</v>
      </c>
      <c r="L7" s="16" t="s">
        <v>35</v>
      </c>
    </row>
    <row r="8" spans="1:12" x14ac:dyDescent="0.3">
      <c r="A8" s="12" t="s">
        <v>89</v>
      </c>
      <c r="B8" s="12" t="s">
        <v>296</v>
      </c>
      <c r="C8" s="12" t="s">
        <v>297</v>
      </c>
      <c r="D8" s="12" t="s">
        <v>29</v>
      </c>
      <c r="E8" s="12" t="s">
        <v>298</v>
      </c>
      <c r="F8" s="12" t="s">
        <v>299</v>
      </c>
      <c r="G8" s="12">
        <v>42</v>
      </c>
      <c r="H8" s="12">
        <v>0</v>
      </c>
      <c r="I8" s="12">
        <v>0</v>
      </c>
      <c r="J8" s="12">
        <v>0</v>
      </c>
      <c r="K8" s="12">
        <v>0</v>
      </c>
      <c r="L8" s="12" t="s">
        <v>74</v>
      </c>
    </row>
    <row r="9" spans="1:12" x14ac:dyDescent="0.3">
      <c r="A9" s="12" t="s">
        <v>96</v>
      </c>
      <c r="B9" s="12" t="s">
        <v>300</v>
      </c>
      <c r="C9" s="12" t="s">
        <v>301</v>
      </c>
      <c r="D9" s="12" t="s">
        <v>97</v>
      </c>
      <c r="E9" s="12" t="s">
        <v>298</v>
      </c>
      <c r="F9" s="12" t="s">
        <v>302</v>
      </c>
      <c r="G9" s="12">
        <v>132</v>
      </c>
      <c r="H9" s="12">
        <v>15</v>
      </c>
      <c r="I9" s="12">
        <v>0</v>
      </c>
      <c r="J9" s="12">
        <v>0</v>
      </c>
      <c r="K9" s="12">
        <v>21</v>
      </c>
      <c r="L9" s="12" t="s">
        <v>303</v>
      </c>
    </row>
    <row r="10" spans="1:12" x14ac:dyDescent="0.3">
      <c r="A10" s="12" t="s">
        <v>104</v>
      </c>
      <c r="B10" s="12" t="s">
        <v>304</v>
      </c>
      <c r="C10" s="12" t="s">
        <v>301</v>
      </c>
      <c r="D10" s="12" t="s">
        <v>105</v>
      </c>
      <c r="E10" s="12" t="s">
        <v>298</v>
      </c>
      <c r="F10" s="12" t="s">
        <v>305</v>
      </c>
      <c r="G10" s="12">
        <v>180</v>
      </c>
      <c r="H10" s="12">
        <v>165</v>
      </c>
      <c r="I10" s="12">
        <v>59</v>
      </c>
      <c r="J10" s="12">
        <v>48</v>
      </c>
      <c r="K10" s="12">
        <v>12</v>
      </c>
      <c r="L10" s="12" t="s">
        <v>306</v>
      </c>
    </row>
    <row r="11" spans="1:12" x14ac:dyDescent="0.3">
      <c r="A11" s="12" t="s">
        <v>112</v>
      </c>
      <c r="B11" s="12" t="s">
        <v>307</v>
      </c>
      <c r="C11" s="12" t="s">
        <v>301</v>
      </c>
      <c r="D11" s="12" t="s">
        <v>113</v>
      </c>
      <c r="E11" s="12" t="s">
        <v>298</v>
      </c>
      <c r="F11" s="12" t="s">
        <v>308</v>
      </c>
      <c r="G11" s="12">
        <v>225</v>
      </c>
      <c r="H11" s="12">
        <v>154</v>
      </c>
      <c r="I11" s="12">
        <v>20</v>
      </c>
      <c r="J11" s="12">
        <v>1</v>
      </c>
      <c r="K11" s="12">
        <v>4</v>
      </c>
      <c r="L11" s="12" t="s">
        <v>309</v>
      </c>
    </row>
    <row r="12" spans="1:12" x14ac:dyDescent="0.3">
      <c r="A12" s="12" t="s">
        <v>120</v>
      </c>
      <c r="B12" s="12" t="s">
        <v>310</v>
      </c>
      <c r="C12" s="12" t="s">
        <v>301</v>
      </c>
      <c r="D12" s="12" t="s">
        <v>121</v>
      </c>
      <c r="E12" s="12" t="s">
        <v>311</v>
      </c>
      <c r="F12" s="12" t="s">
        <v>305</v>
      </c>
      <c r="G12" s="12">
        <v>320</v>
      </c>
      <c r="H12" s="12">
        <v>269</v>
      </c>
      <c r="I12" s="12">
        <v>153</v>
      </c>
      <c r="J12" s="12">
        <v>119</v>
      </c>
      <c r="K12" s="12">
        <v>0</v>
      </c>
      <c r="L12" s="12" t="s">
        <v>312</v>
      </c>
    </row>
    <row r="13" spans="1:12" x14ac:dyDescent="0.3">
      <c r="A13" s="12" t="s">
        <v>128</v>
      </c>
      <c r="B13" s="12" t="s">
        <v>313</v>
      </c>
      <c r="C13" s="12" t="s">
        <v>314</v>
      </c>
      <c r="D13" s="12" t="s">
        <v>129</v>
      </c>
      <c r="E13" s="12" t="s">
        <v>315</v>
      </c>
      <c r="F13" s="12" t="s">
        <v>316</v>
      </c>
      <c r="G13" s="12">
        <v>171</v>
      </c>
      <c r="H13" s="12">
        <v>148</v>
      </c>
      <c r="I13" s="12">
        <v>86</v>
      </c>
      <c r="J13" s="12">
        <v>86</v>
      </c>
      <c r="K13" s="12">
        <v>6</v>
      </c>
      <c r="L13" s="12" t="s">
        <v>317</v>
      </c>
    </row>
    <row r="14" spans="1:12" x14ac:dyDescent="0.3">
      <c r="A14" s="12" t="s">
        <v>136</v>
      </c>
      <c r="B14" s="12" t="s">
        <v>318</v>
      </c>
      <c r="C14" s="12" t="s">
        <v>319</v>
      </c>
      <c r="D14" s="12" t="s">
        <v>137</v>
      </c>
      <c r="E14" s="12" t="s">
        <v>320</v>
      </c>
      <c r="F14" s="12" t="s">
        <v>321</v>
      </c>
      <c r="G14" s="12">
        <v>300</v>
      </c>
      <c r="H14" s="12">
        <v>266</v>
      </c>
      <c r="I14" s="12">
        <v>76</v>
      </c>
      <c r="J14" s="12">
        <v>57</v>
      </c>
      <c r="K14" s="12">
        <v>7</v>
      </c>
      <c r="L14" s="12" t="s">
        <v>322</v>
      </c>
    </row>
    <row r="15" spans="1:12" x14ac:dyDescent="0.3">
      <c r="A15" s="12" t="s">
        <v>155</v>
      </c>
      <c r="B15" s="12" t="s">
        <v>323</v>
      </c>
      <c r="C15" s="12" t="s">
        <v>319</v>
      </c>
      <c r="D15" s="12" t="s">
        <v>137</v>
      </c>
      <c r="E15" s="12" t="s">
        <v>320</v>
      </c>
      <c r="F15" s="12" t="s">
        <v>321</v>
      </c>
      <c r="G15" s="12">
        <v>200</v>
      </c>
      <c r="H15" s="12">
        <v>186</v>
      </c>
      <c r="I15" s="12">
        <v>45</v>
      </c>
      <c r="J15" s="12">
        <v>26</v>
      </c>
      <c r="K15" s="12">
        <v>6</v>
      </c>
      <c r="L15" s="12" t="s">
        <v>324</v>
      </c>
    </row>
    <row r="16" spans="1:12" x14ac:dyDescent="0.3">
      <c r="A16" s="12" t="s">
        <v>160</v>
      </c>
      <c r="B16" s="12" t="s">
        <v>325</v>
      </c>
      <c r="C16" s="12" t="s">
        <v>319</v>
      </c>
      <c r="D16" s="12" t="s">
        <v>161</v>
      </c>
      <c r="E16" s="12" t="s">
        <v>320</v>
      </c>
      <c r="F16" s="12" t="s">
        <v>321</v>
      </c>
      <c r="G16" s="12">
        <v>150</v>
      </c>
      <c r="H16" s="12">
        <v>120</v>
      </c>
      <c r="I16" s="12">
        <v>75</v>
      </c>
      <c r="J16" s="12">
        <v>45</v>
      </c>
      <c r="K16" s="12">
        <v>6</v>
      </c>
      <c r="L16" s="12" t="s">
        <v>326</v>
      </c>
    </row>
    <row r="17" spans="1:12" x14ac:dyDescent="0.3">
      <c r="A17" s="12" t="s">
        <v>170</v>
      </c>
      <c r="B17" s="12" t="s">
        <v>327</v>
      </c>
      <c r="C17" s="12" t="s">
        <v>328</v>
      </c>
      <c r="D17" s="12" t="s">
        <v>171</v>
      </c>
      <c r="E17" s="12" t="s">
        <v>329</v>
      </c>
      <c r="F17" s="12" t="s">
        <v>330</v>
      </c>
      <c r="G17" s="12">
        <v>600</v>
      </c>
      <c r="H17" s="12">
        <v>382</v>
      </c>
      <c r="I17" s="12">
        <v>20</v>
      </c>
      <c r="J17" s="12">
        <v>2</v>
      </c>
      <c r="K17" s="12">
        <v>12</v>
      </c>
      <c r="L17" s="12" t="s">
        <v>331</v>
      </c>
    </row>
    <row r="18" spans="1:12" x14ac:dyDescent="0.3">
      <c r="A18" s="12" t="s">
        <v>180</v>
      </c>
      <c r="B18" s="12" t="s">
        <v>332</v>
      </c>
      <c r="C18" s="12" t="s">
        <v>328</v>
      </c>
      <c r="D18" s="12" t="s">
        <v>181</v>
      </c>
      <c r="E18" s="12" t="s">
        <v>333</v>
      </c>
      <c r="F18" s="12" t="s">
        <v>334</v>
      </c>
      <c r="G18" s="12">
        <v>165</v>
      </c>
      <c r="H18" s="12">
        <v>149</v>
      </c>
      <c r="I18" s="12">
        <v>104</v>
      </c>
      <c r="J18" s="12">
        <v>104</v>
      </c>
      <c r="K18" s="12">
        <v>15</v>
      </c>
      <c r="L18" s="12" t="s">
        <v>335</v>
      </c>
    </row>
    <row r="19" spans="1:12" x14ac:dyDescent="0.3">
      <c r="A19" s="12" t="s">
        <v>188</v>
      </c>
      <c r="B19" s="12" t="s">
        <v>336</v>
      </c>
      <c r="C19" s="12" t="s">
        <v>337</v>
      </c>
      <c r="D19" s="12" t="s">
        <v>189</v>
      </c>
      <c r="E19" s="12" t="s">
        <v>338</v>
      </c>
      <c r="F19" s="12" t="s">
        <v>339</v>
      </c>
      <c r="G19" s="12">
        <v>167</v>
      </c>
      <c r="H19" s="12">
        <v>151</v>
      </c>
      <c r="I19" s="12">
        <v>142</v>
      </c>
      <c r="J19" s="12">
        <v>137</v>
      </c>
      <c r="K19" s="12">
        <v>0</v>
      </c>
      <c r="L19" s="12" t="s">
        <v>340</v>
      </c>
    </row>
    <row r="20" spans="1:12" x14ac:dyDescent="0.3">
      <c r="A20" s="12" t="s">
        <v>198</v>
      </c>
      <c r="B20" s="12" t="s">
        <v>341</v>
      </c>
      <c r="C20" s="12" t="s">
        <v>342</v>
      </c>
      <c r="D20" s="12" t="s">
        <v>199</v>
      </c>
      <c r="E20" s="12" t="s">
        <v>343</v>
      </c>
      <c r="F20" s="12" t="s">
        <v>344</v>
      </c>
      <c r="G20" s="12">
        <v>560</v>
      </c>
      <c r="H20" s="12">
        <v>549</v>
      </c>
      <c r="I20" s="12">
        <v>419</v>
      </c>
      <c r="J20" s="12">
        <v>331</v>
      </c>
      <c r="K20" s="12">
        <v>1</v>
      </c>
      <c r="L20" s="12" t="s">
        <v>345</v>
      </c>
    </row>
    <row r="21" spans="1:12" x14ac:dyDescent="0.3">
      <c r="A21" s="12" t="s">
        <v>206</v>
      </c>
      <c r="B21" s="12" t="s">
        <v>346</v>
      </c>
      <c r="C21" s="12" t="s">
        <v>328</v>
      </c>
      <c r="D21" s="12" t="s">
        <v>347</v>
      </c>
      <c r="E21" s="12" t="s">
        <v>329</v>
      </c>
      <c r="F21" s="12" t="s">
        <v>348</v>
      </c>
      <c r="G21" s="12">
        <v>987</v>
      </c>
      <c r="H21" s="12">
        <v>806</v>
      </c>
      <c r="I21" s="12">
        <v>181</v>
      </c>
      <c r="J21" s="12">
        <v>118</v>
      </c>
      <c r="K21" s="12">
        <v>29</v>
      </c>
      <c r="L21" s="12" t="s">
        <v>349</v>
      </c>
    </row>
    <row r="22" spans="1:12" x14ac:dyDescent="0.3">
      <c r="A22" s="12" t="s">
        <v>217</v>
      </c>
      <c r="B22" s="12" t="s">
        <v>350</v>
      </c>
      <c r="C22" s="12" t="s">
        <v>351</v>
      </c>
      <c r="D22" s="12" t="s">
        <v>218</v>
      </c>
      <c r="E22" s="12" t="s">
        <v>352</v>
      </c>
      <c r="F22" s="12" t="s">
        <v>353</v>
      </c>
      <c r="G22" s="12">
        <v>311</v>
      </c>
      <c r="H22" s="12">
        <v>309</v>
      </c>
      <c r="I22" s="12">
        <v>253</v>
      </c>
      <c r="J22" s="12">
        <v>239</v>
      </c>
      <c r="K22" s="12">
        <v>0</v>
      </c>
      <c r="L22" s="12" t="s">
        <v>354</v>
      </c>
    </row>
    <row r="23" spans="1:12" x14ac:dyDescent="0.3">
      <c r="A23" s="12" t="s">
        <v>229</v>
      </c>
      <c r="B23" s="12" t="s">
        <v>355</v>
      </c>
      <c r="C23" s="12" t="s">
        <v>351</v>
      </c>
      <c r="D23" s="12" t="s">
        <v>230</v>
      </c>
      <c r="E23" s="12" t="s">
        <v>352</v>
      </c>
      <c r="F23" s="12" t="s">
        <v>356</v>
      </c>
      <c r="G23" s="12">
        <v>71</v>
      </c>
      <c r="H23" s="12">
        <v>38</v>
      </c>
      <c r="I23" s="12">
        <v>29</v>
      </c>
      <c r="J23" s="12">
        <v>29</v>
      </c>
      <c r="K23" s="12">
        <v>16</v>
      </c>
      <c r="L23" s="12" t="s">
        <v>340</v>
      </c>
    </row>
    <row r="25" spans="1:12" x14ac:dyDescent="0.3">
      <c r="A25" s="17" t="s">
        <v>357</v>
      </c>
    </row>
  </sheetData>
  <autoFilter ref="A7:L2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67"/>
  <sheetViews>
    <sheetView workbookViewId="0"/>
  </sheetViews>
  <sheetFormatPr baseColWidth="10" defaultColWidth="8.88671875" defaultRowHeight="14.4" x14ac:dyDescent="0.3"/>
  <cols>
    <col min="1" max="1" width="23" customWidth="1"/>
    <col min="2" max="2" width="40" customWidth="1"/>
    <col min="3" max="3" width="42" customWidth="1"/>
    <col min="4" max="5" width="31" customWidth="1"/>
    <col min="6" max="6" width="48" customWidth="1"/>
    <col min="7" max="7" width="31" customWidth="1"/>
    <col min="8" max="8" width="47" customWidth="1"/>
    <col min="9" max="9" width="45" customWidth="1"/>
    <col min="10" max="10" width="48" customWidth="1"/>
    <col min="11" max="11" width="40" customWidth="1"/>
    <col min="12" max="12" width="41" customWidth="1"/>
    <col min="13" max="13" width="42" customWidth="1"/>
    <col min="14" max="14" width="20" customWidth="1"/>
  </cols>
  <sheetData>
    <row r="1" spans="1:14" ht="17.399999999999999" x14ac:dyDescent="0.35">
      <c r="A1" s="1" t="s">
        <v>358</v>
      </c>
    </row>
    <row r="2" spans="1:14" x14ac:dyDescent="0.3">
      <c r="A2" t="s">
        <v>286</v>
      </c>
    </row>
    <row r="3" spans="1:14" x14ac:dyDescent="0.3">
      <c r="A3" t="s">
        <v>287</v>
      </c>
    </row>
    <row r="4" spans="1:14" x14ac:dyDescent="0.3">
      <c r="A4" s="15" t="s">
        <v>288</v>
      </c>
    </row>
    <row r="5" spans="1:14" x14ac:dyDescent="0.3">
      <c r="A5" t="s">
        <v>359</v>
      </c>
    </row>
    <row r="7" spans="1:14" x14ac:dyDescent="0.3">
      <c r="A7" s="16" t="s">
        <v>360</v>
      </c>
      <c r="B7" s="16" t="s">
        <v>49</v>
      </c>
      <c r="C7" s="16" t="s">
        <v>51</v>
      </c>
      <c r="D7" s="16" t="s">
        <v>53</v>
      </c>
      <c r="E7" s="16" t="s">
        <v>54</v>
      </c>
      <c r="F7" s="16" t="s">
        <v>55</v>
      </c>
      <c r="G7" s="16" t="s">
        <v>57</v>
      </c>
      <c r="H7" s="16" t="s">
        <v>59</v>
      </c>
      <c r="I7" s="16" t="s">
        <v>61</v>
      </c>
      <c r="J7" s="16" t="s">
        <v>63</v>
      </c>
      <c r="K7" s="16" t="s">
        <v>64</v>
      </c>
      <c r="L7" s="16" t="s">
        <v>65</v>
      </c>
      <c r="M7" s="16" t="s">
        <v>66</v>
      </c>
      <c r="N7" s="16" t="s">
        <v>67</v>
      </c>
    </row>
    <row r="8" spans="1:14" x14ac:dyDescent="0.3">
      <c r="A8" s="12" t="s">
        <v>361</v>
      </c>
      <c r="B8" s="18" t="s">
        <v>362</v>
      </c>
      <c r="C8" s="18" t="s">
        <v>362</v>
      </c>
      <c r="D8" s="19" t="s">
        <v>363</v>
      </c>
      <c r="E8" s="18" t="s">
        <v>362</v>
      </c>
      <c r="F8" s="18" t="s">
        <v>362</v>
      </c>
      <c r="G8" s="18" t="s">
        <v>362</v>
      </c>
      <c r="H8" s="18" t="s">
        <v>362</v>
      </c>
      <c r="I8" s="18" t="s">
        <v>362</v>
      </c>
      <c r="J8" s="18" t="s">
        <v>362</v>
      </c>
      <c r="K8" s="18" t="s">
        <v>362</v>
      </c>
      <c r="L8" s="18" t="s">
        <v>362</v>
      </c>
      <c r="M8" s="12"/>
      <c r="N8" s="20" t="s">
        <v>364</v>
      </c>
    </row>
    <row r="9" spans="1:14" x14ac:dyDescent="0.3">
      <c r="A9" s="12" t="s">
        <v>365</v>
      </c>
      <c r="B9" s="18" t="s">
        <v>362</v>
      </c>
      <c r="C9" s="18" t="s">
        <v>362</v>
      </c>
      <c r="D9" s="18" t="s">
        <v>362</v>
      </c>
      <c r="E9" s="18" t="s">
        <v>362</v>
      </c>
      <c r="F9" s="18" t="s">
        <v>362</v>
      </c>
      <c r="G9" s="18" t="s">
        <v>362</v>
      </c>
      <c r="H9" s="18" t="s">
        <v>362</v>
      </c>
      <c r="I9" s="18" t="s">
        <v>362</v>
      </c>
      <c r="J9" s="18" t="s">
        <v>362</v>
      </c>
      <c r="K9" s="18" t="s">
        <v>362</v>
      </c>
      <c r="L9" s="18" t="s">
        <v>362</v>
      </c>
      <c r="M9" s="12"/>
      <c r="N9" s="19" t="s">
        <v>366</v>
      </c>
    </row>
    <row r="10" spans="1:14" x14ac:dyDescent="0.3">
      <c r="A10" s="12" t="s">
        <v>367</v>
      </c>
      <c r="B10" s="18" t="s">
        <v>362</v>
      </c>
      <c r="C10" s="18" t="s">
        <v>362</v>
      </c>
      <c r="D10" s="18" t="s">
        <v>362</v>
      </c>
      <c r="E10" s="18" t="s">
        <v>362</v>
      </c>
      <c r="F10" s="19" t="s">
        <v>368</v>
      </c>
      <c r="G10" s="18" t="s">
        <v>362</v>
      </c>
      <c r="H10" s="18" t="s">
        <v>362</v>
      </c>
      <c r="I10" s="18" t="s">
        <v>362</v>
      </c>
      <c r="J10" s="18" t="s">
        <v>362</v>
      </c>
      <c r="K10" s="18" t="s">
        <v>362</v>
      </c>
      <c r="L10" s="18" t="s">
        <v>362</v>
      </c>
      <c r="M10" s="12"/>
      <c r="N10" s="20" t="s">
        <v>364</v>
      </c>
    </row>
    <row r="11" spans="1:14" x14ac:dyDescent="0.3">
      <c r="A11" s="12" t="s">
        <v>369</v>
      </c>
      <c r="B11" s="18" t="s">
        <v>362</v>
      </c>
      <c r="C11" s="19" t="s">
        <v>370</v>
      </c>
      <c r="D11" s="18" t="s">
        <v>362</v>
      </c>
      <c r="E11" s="18" t="s">
        <v>362</v>
      </c>
      <c r="F11" s="18" t="s">
        <v>362</v>
      </c>
      <c r="G11" s="18" t="s">
        <v>362</v>
      </c>
      <c r="H11" s="18" t="s">
        <v>362</v>
      </c>
      <c r="I11" s="18" t="s">
        <v>362</v>
      </c>
      <c r="J11" s="18" t="s">
        <v>362</v>
      </c>
      <c r="K11" s="18" t="s">
        <v>362</v>
      </c>
      <c r="L11" s="18" t="s">
        <v>362</v>
      </c>
      <c r="M11" s="12"/>
      <c r="N11" s="20" t="s">
        <v>364</v>
      </c>
    </row>
    <row r="12" spans="1:14" x14ac:dyDescent="0.3">
      <c r="A12" s="12" t="s">
        <v>96</v>
      </c>
      <c r="B12" s="19" t="s">
        <v>371</v>
      </c>
      <c r="C12" s="19" t="s">
        <v>372</v>
      </c>
      <c r="D12" s="19" t="s">
        <v>373</v>
      </c>
      <c r="E12" s="19" t="s">
        <v>374</v>
      </c>
      <c r="F12" s="19" t="s">
        <v>375</v>
      </c>
      <c r="G12" s="18" t="s">
        <v>362</v>
      </c>
      <c r="H12" s="19" t="s">
        <v>376</v>
      </c>
      <c r="I12" s="19" t="s">
        <v>377</v>
      </c>
      <c r="J12" s="19" t="s">
        <v>378</v>
      </c>
      <c r="K12" s="19" t="s">
        <v>378</v>
      </c>
      <c r="L12" s="19" t="s">
        <v>378</v>
      </c>
      <c r="M12" s="12"/>
      <c r="N12" s="20" t="s">
        <v>364</v>
      </c>
    </row>
    <row r="13" spans="1:14" x14ac:dyDescent="0.3">
      <c r="A13" s="12" t="s">
        <v>379</v>
      </c>
      <c r="B13" s="18" t="s">
        <v>362</v>
      </c>
      <c r="C13" s="18" t="s">
        <v>362</v>
      </c>
      <c r="D13" s="18" t="s">
        <v>362</v>
      </c>
      <c r="E13" s="19" t="s">
        <v>380</v>
      </c>
      <c r="F13" s="18" t="s">
        <v>362</v>
      </c>
      <c r="G13" s="18" t="s">
        <v>362</v>
      </c>
      <c r="H13" s="18" t="s">
        <v>362</v>
      </c>
      <c r="I13" s="18" t="s">
        <v>362</v>
      </c>
      <c r="J13" s="19" t="s">
        <v>381</v>
      </c>
      <c r="K13" s="18" t="s">
        <v>362</v>
      </c>
      <c r="L13" s="18" t="s">
        <v>362</v>
      </c>
      <c r="M13" s="12"/>
      <c r="N13" s="20" t="s">
        <v>364</v>
      </c>
    </row>
    <row r="14" spans="1:14" x14ac:dyDescent="0.3">
      <c r="A14" s="12" t="s">
        <v>382</v>
      </c>
      <c r="B14" s="19" t="s">
        <v>383</v>
      </c>
      <c r="C14" s="18" t="s">
        <v>362</v>
      </c>
      <c r="D14" s="18" t="s">
        <v>362</v>
      </c>
      <c r="E14" s="19" t="s">
        <v>380</v>
      </c>
      <c r="F14" s="18" t="s">
        <v>362</v>
      </c>
      <c r="G14" s="18" t="s">
        <v>362</v>
      </c>
      <c r="H14" s="18" t="s">
        <v>362</v>
      </c>
      <c r="I14" s="18" t="s">
        <v>362</v>
      </c>
      <c r="J14" s="18" t="s">
        <v>362</v>
      </c>
      <c r="K14" s="18" t="s">
        <v>362</v>
      </c>
      <c r="L14" s="18" t="s">
        <v>362</v>
      </c>
      <c r="M14" s="12"/>
      <c r="N14" s="20" t="s">
        <v>364</v>
      </c>
    </row>
    <row r="15" spans="1:14" x14ac:dyDescent="0.3">
      <c r="A15" s="12" t="s">
        <v>384</v>
      </c>
      <c r="B15" s="18" t="s">
        <v>362</v>
      </c>
      <c r="C15" s="18" t="s">
        <v>362</v>
      </c>
      <c r="D15" s="18" t="s">
        <v>362</v>
      </c>
      <c r="E15" s="18" t="s">
        <v>362</v>
      </c>
      <c r="F15" s="18" t="s">
        <v>362</v>
      </c>
      <c r="G15" s="18" t="s">
        <v>362</v>
      </c>
      <c r="H15" s="19" t="s">
        <v>385</v>
      </c>
      <c r="I15" s="19" t="s">
        <v>385</v>
      </c>
      <c r="J15" s="19" t="s">
        <v>385</v>
      </c>
      <c r="K15" s="19" t="s">
        <v>385</v>
      </c>
      <c r="L15" s="19" t="s">
        <v>385</v>
      </c>
      <c r="M15" s="12"/>
      <c r="N15" s="20" t="s">
        <v>364</v>
      </c>
    </row>
    <row r="16" spans="1:14" x14ac:dyDescent="0.3">
      <c r="A16" s="12" t="s">
        <v>386</v>
      </c>
      <c r="B16" s="18" t="s">
        <v>362</v>
      </c>
      <c r="C16" s="18" t="s">
        <v>362</v>
      </c>
      <c r="D16" s="18" t="s">
        <v>362</v>
      </c>
      <c r="E16" s="18" t="s">
        <v>362</v>
      </c>
      <c r="F16" s="18" t="s">
        <v>362</v>
      </c>
      <c r="G16" s="18" t="s">
        <v>362</v>
      </c>
      <c r="H16" s="18" t="s">
        <v>362</v>
      </c>
      <c r="I16" s="18" t="s">
        <v>362</v>
      </c>
      <c r="J16" s="19" t="s">
        <v>387</v>
      </c>
      <c r="K16" s="18" t="s">
        <v>362</v>
      </c>
      <c r="L16" s="19" t="s">
        <v>385</v>
      </c>
      <c r="M16" s="12"/>
      <c r="N16" s="20" t="s">
        <v>364</v>
      </c>
    </row>
    <row r="17" spans="1:14" x14ac:dyDescent="0.3">
      <c r="A17" s="12" t="s">
        <v>388</v>
      </c>
      <c r="B17" s="18" t="s">
        <v>362</v>
      </c>
      <c r="C17" s="18" t="s">
        <v>362</v>
      </c>
      <c r="D17" s="18" t="s">
        <v>362</v>
      </c>
      <c r="E17" s="19" t="s">
        <v>380</v>
      </c>
      <c r="F17" s="18" t="s">
        <v>362</v>
      </c>
      <c r="G17" s="18" t="s">
        <v>362</v>
      </c>
      <c r="H17" s="18" t="s">
        <v>362</v>
      </c>
      <c r="I17" s="18" t="s">
        <v>362</v>
      </c>
      <c r="J17" s="19" t="s">
        <v>368</v>
      </c>
      <c r="K17" s="18" t="s">
        <v>362</v>
      </c>
      <c r="L17" s="18" t="s">
        <v>362</v>
      </c>
      <c r="M17" s="12"/>
      <c r="N17" s="20" t="s">
        <v>364</v>
      </c>
    </row>
    <row r="18" spans="1:14" x14ac:dyDescent="0.3">
      <c r="A18" s="12" t="s">
        <v>389</v>
      </c>
      <c r="B18" s="19" t="s">
        <v>390</v>
      </c>
      <c r="C18" s="18" t="s">
        <v>362</v>
      </c>
      <c r="D18" s="18" t="s">
        <v>362</v>
      </c>
      <c r="E18" s="18" t="s">
        <v>362</v>
      </c>
      <c r="F18" s="18" t="s">
        <v>362</v>
      </c>
      <c r="G18" s="18" t="s">
        <v>362</v>
      </c>
      <c r="H18" s="18" t="s">
        <v>362</v>
      </c>
      <c r="I18" s="18" t="s">
        <v>362</v>
      </c>
      <c r="J18" s="18" t="s">
        <v>362</v>
      </c>
      <c r="K18" s="18" t="s">
        <v>362</v>
      </c>
      <c r="L18" s="19" t="s">
        <v>391</v>
      </c>
      <c r="M18" s="12"/>
      <c r="N18" s="20" t="s">
        <v>364</v>
      </c>
    </row>
    <row r="19" spans="1:14" x14ac:dyDescent="0.3">
      <c r="A19" s="12" t="s">
        <v>392</v>
      </c>
      <c r="B19" s="20" t="s">
        <v>393</v>
      </c>
      <c r="C19" s="19" t="s">
        <v>394</v>
      </c>
      <c r="D19" s="18" t="s">
        <v>362</v>
      </c>
      <c r="E19" s="19" t="s">
        <v>374</v>
      </c>
      <c r="F19" s="18" t="s">
        <v>362</v>
      </c>
      <c r="G19" s="18" t="s">
        <v>362</v>
      </c>
      <c r="H19" s="18" t="s">
        <v>362</v>
      </c>
      <c r="I19" s="18" t="s">
        <v>362</v>
      </c>
      <c r="J19" s="18" t="s">
        <v>362</v>
      </c>
      <c r="K19" s="18" t="s">
        <v>362</v>
      </c>
      <c r="L19" s="18" t="s">
        <v>362</v>
      </c>
      <c r="M19" s="19" t="s">
        <v>394</v>
      </c>
      <c r="N19" s="20" t="s">
        <v>364</v>
      </c>
    </row>
    <row r="20" spans="1:14" x14ac:dyDescent="0.3">
      <c r="A20" s="12" t="s">
        <v>395</v>
      </c>
      <c r="B20" s="20" t="s">
        <v>396</v>
      </c>
      <c r="C20" s="19" t="s">
        <v>394</v>
      </c>
      <c r="D20" s="18" t="s">
        <v>362</v>
      </c>
      <c r="E20" s="19" t="s">
        <v>374</v>
      </c>
      <c r="F20" s="18" t="s">
        <v>362</v>
      </c>
      <c r="G20" s="18" t="s">
        <v>362</v>
      </c>
      <c r="H20" s="18" t="s">
        <v>362</v>
      </c>
      <c r="I20" s="18" t="s">
        <v>362</v>
      </c>
      <c r="J20" s="18" t="s">
        <v>362</v>
      </c>
      <c r="K20" s="18" t="s">
        <v>362</v>
      </c>
      <c r="L20" s="18" t="s">
        <v>362</v>
      </c>
      <c r="M20" s="19" t="s">
        <v>394</v>
      </c>
      <c r="N20" s="20" t="s">
        <v>364</v>
      </c>
    </row>
    <row r="21" spans="1:14" x14ac:dyDescent="0.3">
      <c r="A21" s="12" t="s">
        <v>397</v>
      </c>
      <c r="B21" s="18" t="s">
        <v>362</v>
      </c>
      <c r="C21" s="19" t="s">
        <v>394</v>
      </c>
      <c r="D21" s="18" t="s">
        <v>362</v>
      </c>
      <c r="E21" s="19" t="s">
        <v>374</v>
      </c>
      <c r="F21" s="18" t="s">
        <v>362</v>
      </c>
      <c r="G21" s="18" t="s">
        <v>362</v>
      </c>
      <c r="H21" s="18" t="s">
        <v>362</v>
      </c>
      <c r="I21" s="18" t="s">
        <v>362</v>
      </c>
      <c r="J21" s="20" t="s">
        <v>398</v>
      </c>
      <c r="K21" s="18" t="s">
        <v>362</v>
      </c>
      <c r="L21" s="18" t="s">
        <v>362</v>
      </c>
      <c r="M21" s="19" t="s">
        <v>394</v>
      </c>
      <c r="N21" s="20" t="s">
        <v>364</v>
      </c>
    </row>
    <row r="22" spans="1:14" x14ac:dyDescent="0.3">
      <c r="A22" s="12" t="s">
        <v>399</v>
      </c>
      <c r="B22" s="18" t="s">
        <v>362</v>
      </c>
      <c r="C22" s="19" t="s">
        <v>394</v>
      </c>
      <c r="D22" s="18" t="s">
        <v>362</v>
      </c>
      <c r="E22" s="19" t="s">
        <v>374</v>
      </c>
      <c r="F22" s="18" t="s">
        <v>362</v>
      </c>
      <c r="G22" s="18" t="s">
        <v>362</v>
      </c>
      <c r="H22" s="18" t="s">
        <v>362</v>
      </c>
      <c r="I22" s="18" t="s">
        <v>362</v>
      </c>
      <c r="J22" s="18" t="s">
        <v>362</v>
      </c>
      <c r="K22" s="18" t="s">
        <v>362</v>
      </c>
      <c r="L22" s="18" t="s">
        <v>362</v>
      </c>
      <c r="M22" s="19" t="s">
        <v>394</v>
      </c>
      <c r="N22" s="20" t="s">
        <v>364</v>
      </c>
    </row>
    <row r="23" spans="1:14" x14ac:dyDescent="0.3">
      <c r="A23" s="12" t="s">
        <v>128</v>
      </c>
      <c r="B23" s="19" t="s">
        <v>371</v>
      </c>
      <c r="C23" s="19" t="s">
        <v>372</v>
      </c>
      <c r="D23" s="19" t="s">
        <v>373</v>
      </c>
      <c r="E23" s="19" t="s">
        <v>374</v>
      </c>
      <c r="F23" s="19" t="s">
        <v>375</v>
      </c>
      <c r="G23" s="18" t="s">
        <v>362</v>
      </c>
      <c r="H23" s="19" t="s">
        <v>385</v>
      </c>
      <c r="I23" s="19" t="s">
        <v>385</v>
      </c>
      <c r="J23" s="19" t="s">
        <v>385</v>
      </c>
      <c r="K23" s="19" t="s">
        <v>385</v>
      </c>
      <c r="L23" s="19" t="s">
        <v>385</v>
      </c>
      <c r="M23" s="12"/>
      <c r="N23" s="20" t="s">
        <v>364</v>
      </c>
    </row>
    <row r="24" spans="1:14" x14ac:dyDescent="0.3">
      <c r="A24" s="12" t="s">
        <v>136</v>
      </c>
      <c r="B24" s="19" t="s">
        <v>400</v>
      </c>
      <c r="C24" s="19" t="s">
        <v>401</v>
      </c>
      <c r="D24" s="19" t="s">
        <v>402</v>
      </c>
      <c r="E24" s="19" t="s">
        <v>403</v>
      </c>
      <c r="F24" s="19" t="s">
        <v>404</v>
      </c>
      <c r="G24" s="18" t="s">
        <v>362</v>
      </c>
      <c r="H24" s="19" t="s">
        <v>405</v>
      </c>
      <c r="I24" s="19" t="s">
        <v>406</v>
      </c>
      <c r="J24" s="19" t="s">
        <v>407</v>
      </c>
      <c r="K24" s="19" t="s">
        <v>408</v>
      </c>
      <c r="L24" s="19" t="s">
        <v>409</v>
      </c>
      <c r="M24" s="19" t="s">
        <v>401</v>
      </c>
      <c r="N24" s="20" t="s">
        <v>364</v>
      </c>
    </row>
    <row r="25" spans="1:14" x14ac:dyDescent="0.3">
      <c r="A25" s="12" t="s">
        <v>155</v>
      </c>
      <c r="B25" s="19" t="s">
        <v>410</v>
      </c>
      <c r="C25" s="19" t="s">
        <v>411</v>
      </c>
      <c r="D25" s="19" t="s">
        <v>412</v>
      </c>
      <c r="E25" s="19" t="s">
        <v>413</v>
      </c>
      <c r="F25" s="19" t="s">
        <v>414</v>
      </c>
      <c r="G25" s="18" t="s">
        <v>362</v>
      </c>
      <c r="H25" s="19" t="s">
        <v>415</v>
      </c>
      <c r="I25" s="19" t="s">
        <v>416</v>
      </c>
      <c r="J25" s="19" t="s">
        <v>417</v>
      </c>
      <c r="K25" s="19" t="s">
        <v>418</v>
      </c>
      <c r="L25" s="19" t="s">
        <v>419</v>
      </c>
      <c r="M25" s="19" t="s">
        <v>411</v>
      </c>
      <c r="N25" s="20" t="s">
        <v>364</v>
      </c>
    </row>
    <row r="26" spans="1:14" x14ac:dyDescent="0.3">
      <c r="A26" s="12" t="s">
        <v>160</v>
      </c>
      <c r="B26" s="19" t="s">
        <v>420</v>
      </c>
      <c r="C26" s="19" t="s">
        <v>421</v>
      </c>
      <c r="D26" s="19" t="s">
        <v>422</v>
      </c>
      <c r="E26" s="19" t="s">
        <v>423</v>
      </c>
      <c r="F26" s="19" t="s">
        <v>424</v>
      </c>
      <c r="G26" s="18" t="s">
        <v>362</v>
      </c>
      <c r="H26" s="19" t="s">
        <v>425</v>
      </c>
      <c r="I26" s="19" t="s">
        <v>426</v>
      </c>
      <c r="J26" s="19" t="s">
        <v>427</v>
      </c>
      <c r="K26" s="19" t="s">
        <v>428</v>
      </c>
      <c r="L26" s="19" t="s">
        <v>429</v>
      </c>
      <c r="M26" s="19" t="s">
        <v>421</v>
      </c>
      <c r="N26" s="20" t="s">
        <v>364</v>
      </c>
    </row>
    <row r="27" spans="1:14" x14ac:dyDescent="0.3">
      <c r="A27" s="12" t="s">
        <v>430</v>
      </c>
      <c r="B27" s="18" t="s">
        <v>362</v>
      </c>
      <c r="C27" s="18" t="s">
        <v>362</v>
      </c>
      <c r="D27" s="19" t="s">
        <v>431</v>
      </c>
      <c r="E27" s="19" t="s">
        <v>432</v>
      </c>
      <c r="F27" s="19" t="s">
        <v>433</v>
      </c>
      <c r="G27" s="18" t="s">
        <v>362</v>
      </c>
      <c r="H27" s="19" t="s">
        <v>434</v>
      </c>
      <c r="I27" s="19" t="s">
        <v>435</v>
      </c>
      <c r="J27" s="19" t="s">
        <v>436</v>
      </c>
      <c r="K27" s="19" t="s">
        <v>437</v>
      </c>
      <c r="L27" s="19" t="s">
        <v>438</v>
      </c>
      <c r="M27" s="18" t="s">
        <v>362</v>
      </c>
      <c r="N27" s="20" t="s">
        <v>364</v>
      </c>
    </row>
    <row r="28" spans="1:14" x14ac:dyDescent="0.3">
      <c r="A28" s="12" t="s">
        <v>439</v>
      </c>
      <c r="B28" s="19" t="s">
        <v>440</v>
      </c>
      <c r="C28" s="19" t="s">
        <v>441</v>
      </c>
      <c r="D28" s="18" t="s">
        <v>362</v>
      </c>
      <c r="E28" s="18" t="s">
        <v>362</v>
      </c>
      <c r="F28" s="19" t="s">
        <v>442</v>
      </c>
      <c r="G28" s="18" t="s">
        <v>362</v>
      </c>
      <c r="H28" s="19" t="s">
        <v>443</v>
      </c>
      <c r="I28" s="19" t="s">
        <v>444</v>
      </c>
      <c r="J28" s="19" t="s">
        <v>445</v>
      </c>
      <c r="K28" s="19" t="s">
        <v>446</v>
      </c>
      <c r="L28" s="19" t="s">
        <v>447</v>
      </c>
      <c r="M28" s="19" t="s">
        <v>441</v>
      </c>
      <c r="N28" s="20" t="s">
        <v>364</v>
      </c>
    </row>
    <row r="29" spans="1:14" x14ac:dyDescent="0.3">
      <c r="A29" s="12" t="s">
        <v>448</v>
      </c>
      <c r="B29" s="19" t="s">
        <v>449</v>
      </c>
      <c r="C29" s="18" t="s">
        <v>362</v>
      </c>
      <c r="D29" s="18" t="s">
        <v>362</v>
      </c>
      <c r="E29" s="18" t="s">
        <v>362</v>
      </c>
      <c r="F29" s="19" t="s">
        <v>450</v>
      </c>
      <c r="G29" s="18" t="s">
        <v>362</v>
      </c>
      <c r="H29" s="19" t="s">
        <v>451</v>
      </c>
      <c r="I29" s="19" t="s">
        <v>452</v>
      </c>
      <c r="J29" s="19" t="s">
        <v>453</v>
      </c>
      <c r="K29" s="19" t="s">
        <v>454</v>
      </c>
      <c r="L29" s="19" t="s">
        <v>455</v>
      </c>
      <c r="M29" s="18" t="s">
        <v>362</v>
      </c>
      <c r="N29" s="20" t="s">
        <v>364</v>
      </c>
    </row>
    <row r="30" spans="1:14" x14ac:dyDescent="0.3">
      <c r="A30" s="12" t="s">
        <v>456</v>
      </c>
      <c r="B30" s="18" t="s">
        <v>362</v>
      </c>
      <c r="C30" s="18" t="s">
        <v>362</v>
      </c>
      <c r="D30" s="18" t="s">
        <v>362</v>
      </c>
      <c r="E30" s="19" t="s">
        <v>457</v>
      </c>
      <c r="F30" s="19" t="s">
        <v>458</v>
      </c>
      <c r="G30" s="18" t="s">
        <v>362</v>
      </c>
      <c r="H30" s="19" t="s">
        <v>459</v>
      </c>
      <c r="I30" s="19" t="s">
        <v>460</v>
      </c>
      <c r="J30" s="19" t="s">
        <v>461</v>
      </c>
      <c r="K30" s="19" t="s">
        <v>462</v>
      </c>
      <c r="L30" s="19" t="s">
        <v>463</v>
      </c>
      <c r="M30" s="18" t="s">
        <v>362</v>
      </c>
      <c r="N30" s="20" t="s">
        <v>364</v>
      </c>
    </row>
    <row r="31" spans="1:14" x14ac:dyDescent="0.3">
      <c r="A31" s="12" t="s">
        <v>464</v>
      </c>
      <c r="B31" s="18" t="s">
        <v>362</v>
      </c>
      <c r="C31" s="19" t="s">
        <v>465</v>
      </c>
      <c r="D31" s="19" t="s">
        <v>466</v>
      </c>
      <c r="E31" s="19" t="s">
        <v>467</v>
      </c>
      <c r="F31" s="18" t="s">
        <v>362</v>
      </c>
      <c r="G31" s="18" t="s">
        <v>362</v>
      </c>
      <c r="H31" s="19" t="s">
        <v>468</v>
      </c>
      <c r="I31" s="19" t="s">
        <v>469</v>
      </c>
      <c r="J31" s="19" t="s">
        <v>470</v>
      </c>
      <c r="K31" s="19" t="s">
        <v>471</v>
      </c>
      <c r="L31" s="19" t="s">
        <v>472</v>
      </c>
      <c r="M31" s="19" t="s">
        <v>465</v>
      </c>
      <c r="N31" s="20" t="s">
        <v>364</v>
      </c>
    </row>
    <row r="32" spans="1:14" x14ac:dyDescent="0.3">
      <c r="A32" s="12" t="s">
        <v>180</v>
      </c>
      <c r="B32" s="19" t="s">
        <v>473</v>
      </c>
      <c r="C32" s="19" t="s">
        <v>394</v>
      </c>
      <c r="D32" s="18" t="s">
        <v>362</v>
      </c>
      <c r="E32" s="18" t="s">
        <v>362</v>
      </c>
      <c r="F32" s="18" t="s">
        <v>362</v>
      </c>
      <c r="G32" s="18" t="s">
        <v>362</v>
      </c>
      <c r="H32" s="18" t="s">
        <v>362</v>
      </c>
      <c r="I32" s="18" t="s">
        <v>362</v>
      </c>
      <c r="J32" s="18" t="s">
        <v>362</v>
      </c>
      <c r="K32" s="18" t="s">
        <v>362</v>
      </c>
      <c r="L32" s="19" t="s">
        <v>391</v>
      </c>
      <c r="M32" s="19" t="s">
        <v>394</v>
      </c>
      <c r="N32" s="20" t="s">
        <v>364</v>
      </c>
    </row>
    <row r="33" spans="1:14" x14ac:dyDescent="0.3">
      <c r="A33" s="12" t="s">
        <v>474</v>
      </c>
      <c r="B33" s="19" t="s">
        <v>475</v>
      </c>
      <c r="C33" s="19" t="s">
        <v>476</v>
      </c>
      <c r="D33" s="19" t="s">
        <v>477</v>
      </c>
      <c r="E33" s="19" t="s">
        <v>478</v>
      </c>
      <c r="F33" s="19" t="s">
        <v>479</v>
      </c>
      <c r="G33" s="18" t="s">
        <v>362</v>
      </c>
      <c r="H33" s="19" t="s">
        <v>480</v>
      </c>
      <c r="I33" s="19" t="s">
        <v>481</v>
      </c>
      <c r="J33" s="19" t="s">
        <v>482</v>
      </c>
      <c r="K33" s="19" t="s">
        <v>483</v>
      </c>
      <c r="L33" s="19" t="s">
        <v>484</v>
      </c>
      <c r="M33" s="19" t="s">
        <v>476</v>
      </c>
      <c r="N33" s="20" t="s">
        <v>364</v>
      </c>
    </row>
    <row r="34" spans="1:14" x14ac:dyDescent="0.3">
      <c r="A34" s="12" t="s">
        <v>485</v>
      </c>
      <c r="B34" s="19" t="s">
        <v>486</v>
      </c>
      <c r="C34" s="19" t="s">
        <v>487</v>
      </c>
      <c r="D34" s="19" t="s">
        <v>488</v>
      </c>
      <c r="E34" s="19" t="s">
        <v>489</v>
      </c>
      <c r="F34" s="19" t="s">
        <v>490</v>
      </c>
      <c r="G34" s="18" t="s">
        <v>362</v>
      </c>
      <c r="H34" s="19" t="s">
        <v>491</v>
      </c>
      <c r="I34" s="19" t="s">
        <v>492</v>
      </c>
      <c r="J34" s="19" t="s">
        <v>493</v>
      </c>
      <c r="K34" s="19" t="s">
        <v>494</v>
      </c>
      <c r="L34" s="19" t="s">
        <v>495</v>
      </c>
      <c r="M34" s="19" t="s">
        <v>487</v>
      </c>
      <c r="N34" s="20" t="s">
        <v>364</v>
      </c>
    </row>
    <row r="35" spans="1:14" x14ac:dyDescent="0.3">
      <c r="A35" s="12" t="s">
        <v>496</v>
      </c>
      <c r="B35" s="18" t="s">
        <v>362</v>
      </c>
      <c r="C35" s="18" t="s">
        <v>362</v>
      </c>
      <c r="D35" s="19" t="s">
        <v>497</v>
      </c>
      <c r="E35" s="19" t="s">
        <v>498</v>
      </c>
      <c r="F35" s="19" t="s">
        <v>499</v>
      </c>
      <c r="G35" s="18" t="s">
        <v>362</v>
      </c>
      <c r="H35" s="19" t="s">
        <v>500</v>
      </c>
      <c r="I35" s="19" t="s">
        <v>501</v>
      </c>
      <c r="J35" s="19" t="s">
        <v>502</v>
      </c>
      <c r="K35" s="19" t="s">
        <v>503</v>
      </c>
      <c r="L35" s="19" t="s">
        <v>504</v>
      </c>
      <c r="M35" s="18" t="s">
        <v>362</v>
      </c>
      <c r="N35" s="20" t="s">
        <v>364</v>
      </c>
    </row>
    <row r="36" spans="1:14" x14ac:dyDescent="0.3">
      <c r="A36" s="12" t="s">
        <v>505</v>
      </c>
      <c r="B36" s="19" t="s">
        <v>506</v>
      </c>
      <c r="C36" s="18" t="s">
        <v>362</v>
      </c>
      <c r="D36" s="18" t="s">
        <v>362</v>
      </c>
      <c r="E36" s="18" t="s">
        <v>362</v>
      </c>
      <c r="F36" s="19" t="s">
        <v>490</v>
      </c>
      <c r="G36" s="18" t="s">
        <v>362</v>
      </c>
      <c r="H36" s="19" t="s">
        <v>491</v>
      </c>
      <c r="I36" s="19" t="s">
        <v>507</v>
      </c>
      <c r="J36" s="19" t="s">
        <v>491</v>
      </c>
      <c r="K36" s="19" t="s">
        <v>494</v>
      </c>
      <c r="L36" s="19" t="s">
        <v>508</v>
      </c>
      <c r="M36" s="18" t="s">
        <v>362</v>
      </c>
      <c r="N36" s="20" t="s">
        <v>364</v>
      </c>
    </row>
    <row r="37" spans="1:14" x14ac:dyDescent="0.3">
      <c r="A37" s="12" t="s">
        <v>509</v>
      </c>
      <c r="B37" s="18" t="s">
        <v>362</v>
      </c>
      <c r="C37" s="19" t="s">
        <v>510</v>
      </c>
      <c r="D37" s="19" t="s">
        <v>511</v>
      </c>
      <c r="E37" s="19" t="s">
        <v>512</v>
      </c>
      <c r="F37" s="18" t="s">
        <v>362</v>
      </c>
      <c r="G37" s="18" t="s">
        <v>362</v>
      </c>
      <c r="H37" s="19" t="s">
        <v>513</v>
      </c>
      <c r="I37" s="19" t="s">
        <v>514</v>
      </c>
      <c r="J37" s="19" t="s">
        <v>515</v>
      </c>
      <c r="K37" s="19" t="s">
        <v>516</v>
      </c>
      <c r="L37" s="19" t="s">
        <v>517</v>
      </c>
      <c r="M37" s="19" t="s">
        <v>510</v>
      </c>
      <c r="N37" s="20" t="s">
        <v>364</v>
      </c>
    </row>
    <row r="38" spans="1:14" x14ac:dyDescent="0.3">
      <c r="A38" s="12" t="s">
        <v>518</v>
      </c>
      <c r="B38" s="19" t="s">
        <v>519</v>
      </c>
      <c r="C38" s="19" t="s">
        <v>520</v>
      </c>
      <c r="D38" s="19" t="s">
        <v>521</v>
      </c>
      <c r="E38" s="19" t="s">
        <v>522</v>
      </c>
      <c r="F38" s="19" t="s">
        <v>523</v>
      </c>
      <c r="G38" s="18" t="s">
        <v>362</v>
      </c>
      <c r="H38" s="19" t="s">
        <v>524</v>
      </c>
      <c r="I38" s="19" t="s">
        <v>525</v>
      </c>
      <c r="J38" s="19" t="s">
        <v>385</v>
      </c>
      <c r="K38" s="19" t="s">
        <v>526</v>
      </c>
      <c r="L38" s="19" t="s">
        <v>527</v>
      </c>
      <c r="M38" s="19" t="s">
        <v>520</v>
      </c>
      <c r="N38" s="19" t="s">
        <v>366</v>
      </c>
    </row>
    <row r="39" spans="1:14" x14ac:dyDescent="0.3">
      <c r="A39" s="12" t="s">
        <v>528</v>
      </c>
      <c r="B39" s="19" t="s">
        <v>519</v>
      </c>
      <c r="C39" s="19" t="s">
        <v>520</v>
      </c>
      <c r="D39" s="19" t="s">
        <v>521</v>
      </c>
      <c r="E39" s="19" t="s">
        <v>522</v>
      </c>
      <c r="F39" s="19" t="s">
        <v>523</v>
      </c>
      <c r="G39" s="18" t="s">
        <v>362</v>
      </c>
      <c r="H39" s="19" t="s">
        <v>524</v>
      </c>
      <c r="I39" s="19" t="s">
        <v>525</v>
      </c>
      <c r="J39" s="19" t="s">
        <v>385</v>
      </c>
      <c r="K39" s="19" t="s">
        <v>526</v>
      </c>
      <c r="L39" s="19" t="s">
        <v>527</v>
      </c>
      <c r="M39" s="20" t="s">
        <v>529</v>
      </c>
      <c r="N39" s="20" t="s">
        <v>364</v>
      </c>
    </row>
    <row r="40" spans="1:14" x14ac:dyDescent="0.3">
      <c r="A40" s="12" t="s">
        <v>530</v>
      </c>
      <c r="B40" s="12"/>
      <c r="C40" s="12"/>
      <c r="D40" s="12"/>
      <c r="E40" s="19" t="s">
        <v>531</v>
      </c>
      <c r="F40" s="12"/>
      <c r="G40" s="12"/>
      <c r="H40" s="12"/>
      <c r="I40" s="12"/>
      <c r="J40" s="12"/>
      <c r="K40" s="12"/>
      <c r="L40" s="12"/>
      <c r="M40" s="12"/>
      <c r="N40" s="12"/>
    </row>
    <row r="41" spans="1:14" x14ac:dyDescent="0.3">
      <c r="A41" s="12" t="s">
        <v>532</v>
      </c>
      <c r="B41" s="18" t="s">
        <v>362</v>
      </c>
      <c r="C41" s="19" t="s">
        <v>533</v>
      </c>
      <c r="D41" s="19" t="s">
        <v>534</v>
      </c>
      <c r="E41" s="19" t="s">
        <v>535</v>
      </c>
      <c r="F41" s="19" t="s">
        <v>536</v>
      </c>
      <c r="G41" s="18" t="s">
        <v>362</v>
      </c>
      <c r="H41" s="19" t="s">
        <v>537</v>
      </c>
      <c r="I41" s="19" t="s">
        <v>538</v>
      </c>
      <c r="J41" s="19" t="s">
        <v>539</v>
      </c>
      <c r="K41" s="19" t="s">
        <v>540</v>
      </c>
      <c r="L41" s="19" t="s">
        <v>541</v>
      </c>
      <c r="M41" s="19" t="s">
        <v>533</v>
      </c>
      <c r="N41" s="20" t="s">
        <v>364</v>
      </c>
    </row>
    <row r="42" spans="1:14" x14ac:dyDescent="0.3">
      <c r="A42" s="12" t="s">
        <v>542</v>
      </c>
      <c r="B42" s="19" t="s">
        <v>543</v>
      </c>
      <c r="C42" s="19" t="s">
        <v>544</v>
      </c>
      <c r="D42" s="19" t="s">
        <v>545</v>
      </c>
      <c r="E42" s="19" t="s">
        <v>546</v>
      </c>
      <c r="F42" s="19" t="s">
        <v>547</v>
      </c>
      <c r="G42" s="18" t="s">
        <v>362</v>
      </c>
      <c r="H42" s="18" t="s">
        <v>362</v>
      </c>
      <c r="I42" s="18" t="s">
        <v>362</v>
      </c>
      <c r="J42" s="18" t="s">
        <v>362</v>
      </c>
      <c r="K42" s="18" t="s">
        <v>362</v>
      </c>
      <c r="L42" s="18" t="s">
        <v>362</v>
      </c>
      <c r="M42" s="19" t="s">
        <v>544</v>
      </c>
      <c r="N42" s="20" t="s">
        <v>364</v>
      </c>
    </row>
    <row r="43" spans="1:14" x14ac:dyDescent="0.3">
      <c r="A43" s="12" t="s">
        <v>548</v>
      </c>
      <c r="B43" s="19" t="s">
        <v>549</v>
      </c>
      <c r="C43" s="19" t="s">
        <v>550</v>
      </c>
      <c r="D43" s="18" t="s">
        <v>362</v>
      </c>
      <c r="E43" s="19" t="s">
        <v>551</v>
      </c>
      <c r="F43" s="19" t="s">
        <v>552</v>
      </c>
      <c r="G43" s="18" t="s">
        <v>362</v>
      </c>
      <c r="H43" s="19" t="s">
        <v>553</v>
      </c>
      <c r="I43" s="19" t="s">
        <v>554</v>
      </c>
      <c r="J43" s="19" t="s">
        <v>555</v>
      </c>
      <c r="K43" s="19" t="s">
        <v>556</v>
      </c>
      <c r="L43" s="19" t="s">
        <v>557</v>
      </c>
      <c r="M43" s="19" t="s">
        <v>550</v>
      </c>
      <c r="N43" s="20" t="s">
        <v>364</v>
      </c>
    </row>
    <row r="44" spans="1:14" x14ac:dyDescent="0.3">
      <c r="A44" s="12" t="s">
        <v>558</v>
      </c>
      <c r="B44" s="19" t="s">
        <v>559</v>
      </c>
      <c r="C44" s="19" t="s">
        <v>560</v>
      </c>
      <c r="D44" s="19" t="s">
        <v>561</v>
      </c>
      <c r="E44" s="18" t="s">
        <v>362</v>
      </c>
      <c r="F44" s="19" t="s">
        <v>562</v>
      </c>
      <c r="G44" s="18" t="s">
        <v>362</v>
      </c>
      <c r="H44" s="19" t="s">
        <v>563</v>
      </c>
      <c r="I44" s="19" t="s">
        <v>564</v>
      </c>
      <c r="J44" s="19" t="s">
        <v>565</v>
      </c>
      <c r="K44" s="19" t="s">
        <v>566</v>
      </c>
      <c r="L44" s="19" t="s">
        <v>567</v>
      </c>
      <c r="M44" s="19" t="s">
        <v>560</v>
      </c>
      <c r="N44" s="20" t="s">
        <v>364</v>
      </c>
    </row>
    <row r="45" spans="1:14" x14ac:dyDescent="0.3">
      <c r="A45" s="12" t="s">
        <v>568</v>
      </c>
      <c r="B45" s="19" t="s">
        <v>569</v>
      </c>
      <c r="C45" s="18" t="s">
        <v>362</v>
      </c>
      <c r="D45" s="19" t="s">
        <v>570</v>
      </c>
      <c r="E45" s="19" t="s">
        <v>571</v>
      </c>
      <c r="F45" s="19" t="s">
        <v>572</v>
      </c>
      <c r="G45" s="18" t="s">
        <v>362</v>
      </c>
      <c r="H45" s="19" t="s">
        <v>573</v>
      </c>
      <c r="I45" s="19" t="s">
        <v>574</v>
      </c>
      <c r="J45" s="19" t="s">
        <v>575</v>
      </c>
      <c r="K45" s="19" t="s">
        <v>576</v>
      </c>
      <c r="L45" s="19" t="s">
        <v>577</v>
      </c>
      <c r="M45" s="18" t="s">
        <v>362</v>
      </c>
      <c r="N45" s="20" t="s">
        <v>364</v>
      </c>
    </row>
    <row r="46" spans="1:14" x14ac:dyDescent="0.3">
      <c r="A46" s="12" t="s">
        <v>578</v>
      </c>
      <c r="B46" s="19" t="s">
        <v>579</v>
      </c>
      <c r="C46" s="19" t="s">
        <v>580</v>
      </c>
      <c r="D46" s="19" t="s">
        <v>581</v>
      </c>
      <c r="E46" s="19" t="s">
        <v>582</v>
      </c>
      <c r="F46" s="18" t="s">
        <v>362</v>
      </c>
      <c r="G46" s="18" t="s">
        <v>362</v>
      </c>
      <c r="H46" s="19" t="s">
        <v>583</v>
      </c>
      <c r="I46" s="19" t="s">
        <v>584</v>
      </c>
      <c r="J46" s="19" t="s">
        <v>585</v>
      </c>
      <c r="K46" s="19" t="s">
        <v>586</v>
      </c>
      <c r="L46" s="19" t="s">
        <v>587</v>
      </c>
      <c r="M46" s="19" t="s">
        <v>580</v>
      </c>
      <c r="N46" s="20" t="s">
        <v>364</v>
      </c>
    </row>
    <row r="47" spans="1:14" x14ac:dyDescent="0.3">
      <c r="A47" s="12" t="s">
        <v>588</v>
      </c>
      <c r="B47" s="18" t="s">
        <v>362</v>
      </c>
      <c r="C47" s="19" t="s">
        <v>589</v>
      </c>
      <c r="D47" s="19" t="s">
        <v>590</v>
      </c>
      <c r="E47" s="19" t="s">
        <v>591</v>
      </c>
      <c r="F47" s="18" t="s">
        <v>362</v>
      </c>
      <c r="G47" s="18" t="s">
        <v>362</v>
      </c>
      <c r="H47" s="19" t="s">
        <v>592</v>
      </c>
      <c r="I47" s="19" t="s">
        <v>593</v>
      </c>
      <c r="J47" s="19" t="s">
        <v>594</v>
      </c>
      <c r="K47" s="19" t="s">
        <v>595</v>
      </c>
      <c r="L47" s="19" t="s">
        <v>596</v>
      </c>
      <c r="M47" s="19" t="s">
        <v>589</v>
      </c>
      <c r="N47" s="20" t="s">
        <v>364</v>
      </c>
    </row>
    <row r="48" spans="1:14" x14ac:dyDescent="0.3">
      <c r="A48" s="12" t="s">
        <v>597</v>
      </c>
      <c r="B48" s="19" t="s">
        <v>598</v>
      </c>
      <c r="C48" s="19" t="s">
        <v>599</v>
      </c>
      <c r="D48" s="19" t="s">
        <v>600</v>
      </c>
      <c r="E48" s="19" t="s">
        <v>601</v>
      </c>
      <c r="F48" s="18" t="s">
        <v>362</v>
      </c>
      <c r="G48" s="18" t="s">
        <v>362</v>
      </c>
      <c r="H48" s="18" t="s">
        <v>362</v>
      </c>
      <c r="I48" s="18" t="s">
        <v>362</v>
      </c>
      <c r="J48" s="18" t="s">
        <v>362</v>
      </c>
      <c r="K48" s="18" t="s">
        <v>362</v>
      </c>
      <c r="L48" s="18" t="s">
        <v>362</v>
      </c>
      <c r="M48" s="19" t="s">
        <v>599</v>
      </c>
      <c r="N48" s="20" t="s">
        <v>364</v>
      </c>
    </row>
    <row r="49" spans="1:14" x14ac:dyDescent="0.3">
      <c r="A49" s="12" t="s">
        <v>602</v>
      </c>
      <c r="B49" s="19" t="s">
        <v>603</v>
      </c>
      <c r="C49" s="19" t="s">
        <v>604</v>
      </c>
      <c r="D49" s="18" t="s">
        <v>362</v>
      </c>
      <c r="E49" s="19" t="s">
        <v>605</v>
      </c>
      <c r="F49" s="18" t="s">
        <v>362</v>
      </c>
      <c r="G49" s="18" t="s">
        <v>362</v>
      </c>
      <c r="H49" s="19" t="s">
        <v>606</v>
      </c>
      <c r="I49" s="19" t="s">
        <v>607</v>
      </c>
      <c r="J49" s="19" t="s">
        <v>608</v>
      </c>
      <c r="K49" s="19" t="s">
        <v>609</v>
      </c>
      <c r="L49" s="19" t="s">
        <v>610</v>
      </c>
      <c r="M49" s="19" t="s">
        <v>604</v>
      </c>
      <c r="N49" s="20" t="s">
        <v>364</v>
      </c>
    </row>
    <row r="50" spans="1:14" x14ac:dyDescent="0.3">
      <c r="A50" s="12" t="s">
        <v>611</v>
      </c>
      <c r="B50" s="19" t="s">
        <v>612</v>
      </c>
      <c r="C50" s="19" t="s">
        <v>613</v>
      </c>
      <c r="D50" s="19" t="s">
        <v>614</v>
      </c>
      <c r="E50" s="18" t="s">
        <v>362</v>
      </c>
      <c r="F50" s="18" t="s">
        <v>362</v>
      </c>
      <c r="G50" s="18" t="s">
        <v>362</v>
      </c>
      <c r="H50" s="19" t="s">
        <v>615</v>
      </c>
      <c r="I50" s="19" t="s">
        <v>616</v>
      </c>
      <c r="J50" s="19" t="s">
        <v>617</v>
      </c>
      <c r="K50" s="19" t="s">
        <v>618</v>
      </c>
      <c r="L50" s="19" t="s">
        <v>619</v>
      </c>
      <c r="M50" s="19" t="s">
        <v>613</v>
      </c>
      <c r="N50" s="20" t="s">
        <v>364</v>
      </c>
    </row>
    <row r="51" spans="1:14" x14ac:dyDescent="0.3">
      <c r="A51" s="12" t="s">
        <v>620</v>
      </c>
      <c r="B51" s="19" t="s">
        <v>621</v>
      </c>
      <c r="C51" s="18" t="s">
        <v>362</v>
      </c>
      <c r="D51" s="19" t="s">
        <v>622</v>
      </c>
      <c r="E51" s="19" t="s">
        <v>623</v>
      </c>
      <c r="F51" s="18" t="s">
        <v>362</v>
      </c>
      <c r="G51" s="18" t="s">
        <v>362</v>
      </c>
      <c r="H51" s="19" t="s">
        <v>624</v>
      </c>
      <c r="I51" s="19" t="s">
        <v>625</v>
      </c>
      <c r="J51" s="19" t="s">
        <v>626</v>
      </c>
      <c r="K51" s="19" t="s">
        <v>627</v>
      </c>
      <c r="L51" s="19" t="s">
        <v>628</v>
      </c>
      <c r="M51" s="18" t="s">
        <v>362</v>
      </c>
      <c r="N51" s="20" t="s">
        <v>364</v>
      </c>
    </row>
    <row r="52" spans="1:14" x14ac:dyDescent="0.3">
      <c r="A52" s="12" t="s">
        <v>629</v>
      </c>
      <c r="B52" s="18" t="s">
        <v>362</v>
      </c>
      <c r="C52" s="19" t="s">
        <v>630</v>
      </c>
      <c r="D52" s="18" t="s">
        <v>362</v>
      </c>
      <c r="E52" s="19" t="s">
        <v>631</v>
      </c>
      <c r="F52" s="18" t="s">
        <v>362</v>
      </c>
      <c r="G52" s="18" t="s">
        <v>362</v>
      </c>
      <c r="H52" s="19" t="s">
        <v>632</v>
      </c>
      <c r="I52" s="19" t="s">
        <v>633</v>
      </c>
      <c r="J52" s="19" t="s">
        <v>634</v>
      </c>
      <c r="K52" s="19" t="s">
        <v>635</v>
      </c>
      <c r="L52" s="19" t="s">
        <v>636</v>
      </c>
      <c r="M52" s="19" t="s">
        <v>630</v>
      </c>
      <c r="N52" s="20" t="s">
        <v>364</v>
      </c>
    </row>
    <row r="53" spans="1:14" x14ac:dyDescent="0.3">
      <c r="A53" s="12" t="s">
        <v>637</v>
      </c>
      <c r="B53" s="19" t="s">
        <v>638</v>
      </c>
      <c r="C53" s="19" t="s">
        <v>639</v>
      </c>
      <c r="D53" s="18" t="s">
        <v>362</v>
      </c>
      <c r="E53" s="19" t="s">
        <v>640</v>
      </c>
      <c r="F53" s="18" t="s">
        <v>362</v>
      </c>
      <c r="G53" s="18" t="s">
        <v>362</v>
      </c>
      <c r="H53" s="18" t="s">
        <v>362</v>
      </c>
      <c r="I53" s="18" t="s">
        <v>362</v>
      </c>
      <c r="J53" s="18" t="s">
        <v>362</v>
      </c>
      <c r="K53" s="18" t="s">
        <v>362</v>
      </c>
      <c r="L53" s="18" t="s">
        <v>362</v>
      </c>
      <c r="M53" s="19" t="s">
        <v>639</v>
      </c>
      <c r="N53" s="20" t="s">
        <v>364</v>
      </c>
    </row>
    <row r="54" spans="1:14" x14ac:dyDescent="0.3">
      <c r="A54" s="12" t="s">
        <v>641</v>
      </c>
      <c r="B54" s="19" t="s">
        <v>642</v>
      </c>
      <c r="C54" s="19" t="s">
        <v>643</v>
      </c>
      <c r="D54" s="18" t="s">
        <v>362</v>
      </c>
      <c r="E54" s="18" t="s">
        <v>362</v>
      </c>
      <c r="F54" s="18" t="s">
        <v>362</v>
      </c>
      <c r="G54" s="18" t="s">
        <v>362</v>
      </c>
      <c r="H54" s="19" t="s">
        <v>644</v>
      </c>
      <c r="I54" s="19" t="s">
        <v>645</v>
      </c>
      <c r="J54" s="19" t="s">
        <v>646</v>
      </c>
      <c r="K54" s="19" t="s">
        <v>647</v>
      </c>
      <c r="L54" s="19" t="s">
        <v>648</v>
      </c>
      <c r="M54" s="19" t="s">
        <v>643</v>
      </c>
      <c r="N54" s="20" t="s">
        <v>364</v>
      </c>
    </row>
    <row r="55" spans="1:14" x14ac:dyDescent="0.3">
      <c r="A55" s="12" t="s">
        <v>649</v>
      </c>
      <c r="B55" s="19" t="s">
        <v>650</v>
      </c>
      <c r="C55" s="18" t="s">
        <v>362</v>
      </c>
      <c r="D55" s="18" t="s">
        <v>362</v>
      </c>
      <c r="E55" s="19" t="s">
        <v>651</v>
      </c>
      <c r="F55" s="18" t="s">
        <v>362</v>
      </c>
      <c r="G55" s="18" t="s">
        <v>362</v>
      </c>
      <c r="H55" s="19" t="s">
        <v>652</v>
      </c>
      <c r="I55" s="19" t="s">
        <v>653</v>
      </c>
      <c r="J55" s="19" t="s">
        <v>654</v>
      </c>
      <c r="K55" s="19" t="s">
        <v>655</v>
      </c>
      <c r="L55" s="19" t="s">
        <v>656</v>
      </c>
      <c r="M55" s="18" t="s">
        <v>362</v>
      </c>
      <c r="N55" s="20" t="s">
        <v>364</v>
      </c>
    </row>
    <row r="56" spans="1:14" x14ac:dyDescent="0.3">
      <c r="A56" s="12" t="s">
        <v>657</v>
      </c>
      <c r="B56" s="18" t="s">
        <v>362</v>
      </c>
      <c r="C56" s="19" t="s">
        <v>658</v>
      </c>
      <c r="D56" s="18" t="s">
        <v>362</v>
      </c>
      <c r="E56" s="19" t="s">
        <v>659</v>
      </c>
      <c r="F56" s="18" t="s">
        <v>362</v>
      </c>
      <c r="G56" s="18" t="s">
        <v>362</v>
      </c>
      <c r="H56" s="18" t="s">
        <v>362</v>
      </c>
      <c r="I56" s="18" t="s">
        <v>362</v>
      </c>
      <c r="J56" s="18" t="s">
        <v>362</v>
      </c>
      <c r="K56" s="18" t="s">
        <v>362</v>
      </c>
      <c r="L56" s="18" t="s">
        <v>362</v>
      </c>
      <c r="M56" s="19" t="s">
        <v>658</v>
      </c>
      <c r="N56" s="20" t="s">
        <v>364</v>
      </c>
    </row>
    <row r="57" spans="1:14" x14ac:dyDescent="0.3">
      <c r="A57" s="12" t="s">
        <v>660</v>
      </c>
      <c r="B57" s="19" t="s">
        <v>661</v>
      </c>
      <c r="C57" s="19" t="s">
        <v>662</v>
      </c>
      <c r="D57" s="18" t="s">
        <v>362</v>
      </c>
      <c r="E57" s="18" t="s">
        <v>362</v>
      </c>
      <c r="F57" s="18" t="s">
        <v>362</v>
      </c>
      <c r="G57" s="18" t="s">
        <v>362</v>
      </c>
      <c r="H57" s="18" t="s">
        <v>362</v>
      </c>
      <c r="I57" s="18" t="s">
        <v>362</v>
      </c>
      <c r="J57" s="18" t="s">
        <v>362</v>
      </c>
      <c r="K57" s="18" t="s">
        <v>362</v>
      </c>
      <c r="L57" s="18" t="s">
        <v>362</v>
      </c>
      <c r="M57" s="19" t="s">
        <v>662</v>
      </c>
      <c r="N57" s="20" t="s">
        <v>364</v>
      </c>
    </row>
    <row r="58" spans="1:14" x14ac:dyDescent="0.3">
      <c r="A58" s="12" t="s">
        <v>663</v>
      </c>
      <c r="B58" s="19" t="s">
        <v>664</v>
      </c>
      <c r="C58" s="18" t="s">
        <v>362</v>
      </c>
      <c r="D58" s="18" t="s">
        <v>362</v>
      </c>
      <c r="E58" s="19" t="s">
        <v>665</v>
      </c>
      <c r="F58" s="18" t="s">
        <v>362</v>
      </c>
      <c r="G58" s="18" t="s">
        <v>362</v>
      </c>
      <c r="H58" s="18" t="s">
        <v>362</v>
      </c>
      <c r="I58" s="18" t="s">
        <v>362</v>
      </c>
      <c r="J58" s="18" t="s">
        <v>362</v>
      </c>
      <c r="K58" s="18" t="s">
        <v>362</v>
      </c>
      <c r="L58" s="18" t="s">
        <v>362</v>
      </c>
      <c r="M58" s="18" t="s">
        <v>362</v>
      </c>
      <c r="N58" s="20" t="s">
        <v>364</v>
      </c>
    </row>
    <row r="59" spans="1:14" x14ac:dyDescent="0.3">
      <c r="A59" s="12" t="s">
        <v>666</v>
      </c>
      <c r="B59" s="20" t="s">
        <v>667</v>
      </c>
      <c r="C59" s="20" t="s">
        <v>668</v>
      </c>
      <c r="D59" s="20" t="s">
        <v>669</v>
      </c>
      <c r="E59" s="19" t="s">
        <v>670</v>
      </c>
      <c r="F59" s="20" t="s">
        <v>671</v>
      </c>
      <c r="G59" s="18" t="s">
        <v>362</v>
      </c>
      <c r="H59" s="20" t="s">
        <v>672</v>
      </c>
      <c r="I59" s="20" t="s">
        <v>673</v>
      </c>
      <c r="J59" s="18" t="s">
        <v>362</v>
      </c>
      <c r="K59" s="18" t="s">
        <v>362</v>
      </c>
      <c r="L59" s="20" t="s">
        <v>674</v>
      </c>
      <c r="M59" s="19" t="s">
        <v>675</v>
      </c>
      <c r="N59" s="20" t="s">
        <v>364</v>
      </c>
    </row>
    <row r="60" spans="1:14" x14ac:dyDescent="0.3">
      <c r="A60" s="12" t="s">
        <v>676</v>
      </c>
      <c r="B60" s="19" t="s">
        <v>677</v>
      </c>
      <c r="C60" s="19" t="s">
        <v>394</v>
      </c>
      <c r="D60" s="19" t="s">
        <v>678</v>
      </c>
      <c r="E60" s="19" t="s">
        <v>679</v>
      </c>
      <c r="F60" s="19" t="s">
        <v>680</v>
      </c>
      <c r="G60" s="18" t="s">
        <v>362</v>
      </c>
      <c r="H60" s="19" t="s">
        <v>391</v>
      </c>
      <c r="I60" s="19" t="s">
        <v>681</v>
      </c>
      <c r="J60" s="19" t="s">
        <v>391</v>
      </c>
      <c r="K60" s="19" t="s">
        <v>682</v>
      </c>
      <c r="L60" s="19" t="s">
        <v>527</v>
      </c>
      <c r="M60" s="19" t="s">
        <v>683</v>
      </c>
      <c r="N60" s="20" t="s">
        <v>684</v>
      </c>
    </row>
    <row r="61" spans="1:14" x14ac:dyDescent="0.3">
      <c r="A61" s="12" t="s">
        <v>685</v>
      </c>
      <c r="B61" s="20" t="s">
        <v>667</v>
      </c>
      <c r="C61" s="20" t="s">
        <v>668</v>
      </c>
      <c r="D61" s="19" t="s">
        <v>686</v>
      </c>
      <c r="E61" s="19" t="s">
        <v>687</v>
      </c>
      <c r="F61" s="19" t="s">
        <v>688</v>
      </c>
      <c r="G61" s="18" t="s">
        <v>362</v>
      </c>
      <c r="H61" s="19" t="s">
        <v>689</v>
      </c>
      <c r="I61" s="20" t="s">
        <v>673</v>
      </c>
      <c r="J61" s="18" t="s">
        <v>362</v>
      </c>
      <c r="K61" s="19" t="s">
        <v>682</v>
      </c>
      <c r="L61" s="19" t="s">
        <v>690</v>
      </c>
      <c r="M61" s="19" t="s">
        <v>372</v>
      </c>
      <c r="N61" s="20" t="s">
        <v>364</v>
      </c>
    </row>
    <row r="62" spans="1:14" x14ac:dyDescent="0.3">
      <c r="A62" s="12" t="s">
        <v>691</v>
      </c>
      <c r="B62" s="19" t="s">
        <v>692</v>
      </c>
      <c r="C62" s="19" t="s">
        <v>693</v>
      </c>
      <c r="D62" s="19" t="s">
        <v>694</v>
      </c>
      <c r="E62" s="19" t="s">
        <v>695</v>
      </c>
      <c r="F62" s="19" t="s">
        <v>696</v>
      </c>
      <c r="G62" s="18" t="s">
        <v>362</v>
      </c>
      <c r="H62" s="19" t="s">
        <v>682</v>
      </c>
      <c r="I62" s="19" t="s">
        <v>697</v>
      </c>
      <c r="J62" s="19" t="s">
        <v>696</v>
      </c>
      <c r="K62" s="19" t="s">
        <v>385</v>
      </c>
      <c r="L62" s="19" t="s">
        <v>698</v>
      </c>
      <c r="M62" s="20" t="s">
        <v>699</v>
      </c>
      <c r="N62" s="20" t="s">
        <v>364</v>
      </c>
    </row>
    <row r="63" spans="1:14" x14ac:dyDescent="0.3">
      <c r="A63" s="12" t="s">
        <v>700</v>
      </c>
      <c r="B63" s="20" t="s">
        <v>667</v>
      </c>
      <c r="C63" s="20" t="s">
        <v>668</v>
      </c>
      <c r="D63" s="20" t="s">
        <v>669</v>
      </c>
      <c r="E63" s="19" t="s">
        <v>695</v>
      </c>
      <c r="F63" s="19" t="s">
        <v>701</v>
      </c>
      <c r="G63" s="18" t="s">
        <v>362</v>
      </c>
      <c r="H63" s="20" t="s">
        <v>672</v>
      </c>
      <c r="I63" s="20" t="s">
        <v>673</v>
      </c>
      <c r="J63" s="18" t="s">
        <v>362</v>
      </c>
      <c r="K63" s="18" t="s">
        <v>362</v>
      </c>
      <c r="L63" s="20" t="s">
        <v>674</v>
      </c>
      <c r="M63" s="20" t="s">
        <v>699</v>
      </c>
      <c r="N63" s="20" t="s">
        <v>364</v>
      </c>
    </row>
    <row r="64" spans="1:14" x14ac:dyDescent="0.3">
      <c r="A64" s="12" t="s">
        <v>702</v>
      </c>
      <c r="B64" s="20" t="s">
        <v>667</v>
      </c>
      <c r="C64" s="20" t="s">
        <v>668</v>
      </c>
      <c r="D64" s="20" t="s">
        <v>669</v>
      </c>
      <c r="E64" s="20" t="s">
        <v>703</v>
      </c>
      <c r="F64" s="19" t="s">
        <v>704</v>
      </c>
      <c r="G64" s="18" t="s">
        <v>362</v>
      </c>
      <c r="H64" s="20" t="s">
        <v>672</v>
      </c>
      <c r="I64" s="20" t="s">
        <v>673</v>
      </c>
      <c r="J64" s="18" t="s">
        <v>362</v>
      </c>
      <c r="K64" s="18" t="s">
        <v>362</v>
      </c>
      <c r="L64" s="20" t="s">
        <v>674</v>
      </c>
      <c r="M64" s="20" t="s">
        <v>699</v>
      </c>
      <c r="N64" s="20" t="s">
        <v>364</v>
      </c>
    </row>
    <row r="65" spans="1:14" x14ac:dyDescent="0.3">
      <c r="A65" s="12" t="s">
        <v>705</v>
      </c>
      <c r="B65" s="20" t="s">
        <v>667</v>
      </c>
      <c r="C65" s="20" t="s">
        <v>668</v>
      </c>
      <c r="D65" s="20" t="s">
        <v>669</v>
      </c>
      <c r="E65" s="19" t="s">
        <v>706</v>
      </c>
      <c r="F65" s="19" t="s">
        <v>704</v>
      </c>
      <c r="G65" s="18" t="s">
        <v>362</v>
      </c>
      <c r="H65" s="20" t="s">
        <v>672</v>
      </c>
      <c r="I65" s="20" t="s">
        <v>673</v>
      </c>
      <c r="J65" s="18" t="s">
        <v>362</v>
      </c>
      <c r="K65" s="18" t="s">
        <v>362</v>
      </c>
      <c r="L65" s="20" t="s">
        <v>674</v>
      </c>
      <c r="M65" s="20" t="s">
        <v>699</v>
      </c>
      <c r="N65" s="20" t="s">
        <v>364</v>
      </c>
    </row>
    <row r="67" spans="1:14" x14ac:dyDescent="0.3">
      <c r="A67" s="17" t="s">
        <v>707</v>
      </c>
    </row>
  </sheetData>
  <autoFilter ref="A7:N65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3"/>
  <sheetViews>
    <sheetView topLeftCell="A21" workbookViewId="0"/>
  </sheetViews>
  <sheetFormatPr baseColWidth="10" defaultColWidth="8.88671875" defaultRowHeight="14.4" x14ac:dyDescent="0.3"/>
  <cols>
    <col min="1" max="1" width="35" customWidth="1"/>
    <col min="2" max="2" width="17" customWidth="1"/>
    <col min="3" max="4" width="48" customWidth="1"/>
    <col min="5" max="5" width="21" customWidth="1"/>
    <col min="6" max="8" width="10" customWidth="1"/>
  </cols>
  <sheetData>
    <row r="1" spans="1:8" ht="17.399999999999999" x14ac:dyDescent="0.35">
      <c r="A1" s="1" t="s">
        <v>708</v>
      </c>
    </row>
    <row r="2" spans="1:8" x14ac:dyDescent="0.3">
      <c r="A2" t="s">
        <v>286</v>
      </c>
    </row>
    <row r="3" spans="1:8" x14ac:dyDescent="0.3">
      <c r="A3" t="s">
        <v>287</v>
      </c>
    </row>
    <row r="4" spans="1:8" x14ac:dyDescent="0.3">
      <c r="A4" s="15" t="s">
        <v>288</v>
      </c>
    </row>
    <row r="5" spans="1:8" x14ac:dyDescent="0.3">
      <c r="A5" t="s">
        <v>709</v>
      </c>
    </row>
    <row r="7" spans="1:8" x14ac:dyDescent="0.3">
      <c r="A7" s="16" t="s">
        <v>70</v>
      </c>
      <c r="B7" s="16" t="s">
        <v>710</v>
      </c>
      <c r="C7" s="16" t="s">
        <v>711</v>
      </c>
      <c r="D7" s="16" t="s">
        <v>712</v>
      </c>
      <c r="E7" s="16" t="s">
        <v>713</v>
      </c>
      <c r="F7" s="16" t="s">
        <v>714</v>
      </c>
      <c r="G7" s="16" t="s">
        <v>715</v>
      </c>
      <c r="H7" s="16" t="s">
        <v>716</v>
      </c>
    </row>
    <row r="8" spans="1:8" x14ac:dyDescent="0.3">
      <c r="A8" s="12" t="s">
        <v>142</v>
      </c>
      <c r="B8" s="12" t="s">
        <v>137</v>
      </c>
      <c r="C8" s="12" t="s">
        <v>717</v>
      </c>
      <c r="D8" s="12" t="s">
        <v>53</v>
      </c>
      <c r="E8" s="12">
        <v>83</v>
      </c>
      <c r="F8" s="12">
        <v>2161.5</v>
      </c>
      <c r="G8" s="12">
        <v>3558.4</v>
      </c>
      <c r="H8" s="12">
        <v>4906.7</v>
      </c>
    </row>
    <row r="9" spans="1:8" x14ac:dyDescent="0.3">
      <c r="A9" s="12" t="s">
        <v>142</v>
      </c>
      <c r="B9" s="12" t="s">
        <v>137</v>
      </c>
      <c r="C9" s="12" t="s">
        <v>717</v>
      </c>
      <c r="D9" s="12" t="s">
        <v>54</v>
      </c>
      <c r="E9" s="12">
        <v>83</v>
      </c>
      <c r="F9" s="12">
        <v>681.28</v>
      </c>
      <c r="G9" s="12">
        <v>1152.8</v>
      </c>
      <c r="H9" s="12">
        <v>1464.5</v>
      </c>
    </row>
    <row r="10" spans="1:8" x14ac:dyDescent="0.3">
      <c r="A10" s="12" t="s">
        <v>142</v>
      </c>
      <c r="B10" s="12" t="s">
        <v>137</v>
      </c>
      <c r="C10" s="12" t="s">
        <v>717</v>
      </c>
      <c r="D10" s="12" t="s">
        <v>718</v>
      </c>
      <c r="E10" s="12">
        <v>83</v>
      </c>
      <c r="F10" s="12">
        <v>972.66</v>
      </c>
      <c r="G10" s="12">
        <v>2529</v>
      </c>
      <c r="H10" s="12">
        <v>3761.5</v>
      </c>
    </row>
    <row r="11" spans="1:8" x14ac:dyDescent="0.3">
      <c r="A11" s="12" t="s">
        <v>142</v>
      </c>
      <c r="B11" s="12" t="s">
        <v>137</v>
      </c>
      <c r="C11" s="12" t="s">
        <v>717</v>
      </c>
      <c r="D11" s="12" t="s">
        <v>719</v>
      </c>
      <c r="E11" s="12">
        <v>83</v>
      </c>
      <c r="F11" s="12">
        <v>1.7115</v>
      </c>
      <c r="G11" s="12">
        <v>3.2107999999999999</v>
      </c>
      <c r="H11" s="12">
        <v>6.1966000000000001</v>
      </c>
    </row>
    <row r="12" spans="1:8" x14ac:dyDescent="0.3">
      <c r="A12" s="12" t="s">
        <v>142</v>
      </c>
      <c r="B12" s="12" t="s">
        <v>137</v>
      </c>
      <c r="C12" s="12" t="s">
        <v>717</v>
      </c>
      <c r="D12" s="12" t="s">
        <v>49</v>
      </c>
      <c r="E12" s="12">
        <v>83</v>
      </c>
      <c r="F12" s="12">
        <v>382.47</v>
      </c>
      <c r="G12" s="12">
        <v>409.35</v>
      </c>
      <c r="H12" s="12">
        <v>455.28</v>
      </c>
    </row>
    <row r="13" spans="1:8" x14ac:dyDescent="0.3">
      <c r="A13" s="12" t="s">
        <v>142</v>
      </c>
      <c r="B13" s="12" t="s">
        <v>137</v>
      </c>
      <c r="C13" s="12" t="s">
        <v>717</v>
      </c>
      <c r="D13" s="12" t="s">
        <v>55</v>
      </c>
      <c r="E13" s="12">
        <v>83</v>
      </c>
      <c r="F13" s="12">
        <v>0.51458000000000004</v>
      </c>
      <c r="G13" s="12">
        <v>0.66017000000000003</v>
      </c>
      <c r="H13" s="12">
        <v>0.80791000000000002</v>
      </c>
    </row>
    <row r="14" spans="1:8" x14ac:dyDescent="0.3">
      <c r="A14" s="12" t="s">
        <v>720</v>
      </c>
      <c r="B14" s="12" t="s">
        <v>721</v>
      </c>
      <c r="C14" s="12" t="s">
        <v>722</v>
      </c>
      <c r="D14" s="12" t="s">
        <v>53</v>
      </c>
      <c r="E14" s="12">
        <v>2</v>
      </c>
      <c r="F14" s="12">
        <v>3242.4</v>
      </c>
      <c r="G14" s="12">
        <v>3556.7</v>
      </c>
      <c r="H14" s="12">
        <v>3871</v>
      </c>
    </row>
    <row r="15" spans="1:8" x14ac:dyDescent="0.3">
      <c r="A15" s="12" t="s">
        <v>720</v>
      </c>
      <c r="B15" s="12" t="s">
        <v>721</v>
      </c>
      <c r="C15" s="12" t="s">
        <v>722</v>
      </c>
      <c r="D15" s="12" t="s">
        <v>54</v>
      </c>
      <c r="E15" s="12">
        <v>2</v>
      </c>
      <c r="F15" s="12">
        <v>1389.9</v>
      </c>
      <c r="G15" s="12">
        <v>1662.6</v>
      </c>
      <c r="H15" s="12">
        <v>1935.3</v>
      </c>
    </row>
    <row r="16" spans="1:8" x14ac:dyDescent="0.3">
      <c r="A16" s="12" t="s">
        <v>720</v>
      </c>
      <c r="B16" s="12" t="s">
        <v>721</v>
      </c>
      <c r="C16" s="12" t="s">
        <v>722</v>
      </c>
      <c r="D16" s="12" t="s">
        <v>718</v>
      </c>
      <c r="E16" s="12">
        <v>2</v>
      </c>
      <c r="F16" s="12">
        <v>1307.0999999999999</v>
      </c>
      <c r="G16" s="12">
        <v>1894.1</v>
      </c>
      <c r="H16" s="12">
        <v>2481.1999999999998</v>
      </c>
    </row>
    <row r="17" spans="1:8" x14ac:dyDescent="0.3">
      <c r="A17" s="12" t="s">
        <v>720</v>
      </c>
      <c r="B17" s="12" t="s">
        <v>721</v>
      </c>
      <c r="C17" s="12" t="s">
        <v>722</v>
      </c>
      <c r="D17" s="12" t="s">
        <v>719</v>
      </c>
      <c r="E17" s="12">
        <v>2</v>
      </c>
      <c r="F17" s="12">
        <v>1.6939</v>
      </c>
      <c r="G17" s="12">
        <v>2.2524000000000002</v>
      </c>
      <c r="H17" s="12">
        <v>2.8109000000000002</v>
      </c>
    </row>
    <row r="18" spans="1:8" x14ac:dyDescent="0.3">
      <c r="A18" s="12" t="s">
        <v>720</v>
      </c>
      <c r="B18" s="12" t="s">
        <v>721</v>
      </c>
      <c r="C18" s="12" t="s">
        <v>722</v>
      </c>
      <c r="D18" s="12" t="s">
        <v>49</v>
      </c>
      <c r="E18" s="12">
        <v>2</v>
      </c>
      <c r="F18" s="12">
        <v>623.15</v>
      </c>
      <c r="G18" s="12">
        <v>623.15</v>
      </c>
      <c r="H18" s="12">
        <v>623.15</v>
      </c>
    </row>
    <row r="19" spans="1:8" x14ac:dyDescent="0.3">
      <c r="A19" s="12" t="s">
        <v>720</v>
      </c>
      <c r="B19" s="12" t="s">
        <v>721</v>
      </c>
      <c r="C19" s="12" t="s">
        <v>722</v>
      </c>
      <c r="D19" s="12" t="s">
        <v>55</v>
      </c>
      <c r="E19" s="12">
        <v>2</v>
      </c>
      <c r="F19" s="12">
        <v>0.71921999999999997</v>
      </c>
      <c r="G19" s="12">
        <v>0.77144999999999997</v>
      </c>
      <c r="H19" s="12">
        <v>0.82367999999999997</v>
      </c>
    </row>
    <row r="20" spans="1:8" x14ac:dyDescent="0.3">
      <c r="A20" s="12" t="s">
        <v>723</v>
      </c>
      <c r="B20" s="12" t="s">
        <v>724</v>
      </c>
      <c r="C20" s="12" t="s">
        <v>725</v>
      </c>
      <c r="D20" s="12" t="s">
        <v>726</v>
      </c>
      <c r="E20" s="12">
        <v>0</v>
      </c>
      <c r="F20" s="12"/>
      <c r="G20" s="12"/>
      <c r="H20" s="12"/>
    </row>
    <row r="21" spans="1:8" x14ac:dyDescent="0.3">
      <c r="A21" s="12" t="s">
        <v>727</v>
      </c>
      <c r="B21" s="12" t="s">
        <v>728</v>
      </c>
      <c r="C21" s="12" t="s">
        <v>729</v>
      </c>
      <c r="D21" s="12" t="s">
        <v>726</v>
      </c>
      <c r="E21" s="12">
        <v>0</v>
      </c>
      <c r="F21" s="12"/>
      <c r="G21" s="12"/>
      <c r="H21" s="12"/>
    </row>
    <row r="22" spans="1:8" x14ac:dyDescent="0.3">
      <c r="A22" s="12" t="s">
        <v>730</v>
      </c>
      <c r="B22" s="12" t="s">
        <v>731</v>
      </c>
      <c r="C22" s="12" t="s">
        <v>732</v>
      </c>
      <c r="D22" s="12" t="s">
        <v>726</v>
      </c>
      <c r="E22" s="12">
        <v>0</v>
      </c>
      <c r="F22" s="12"/>
      <c r="G22" s="12"/>
      <c r="H22" s="12"/>
    </row>
    <row r="23" spans="1:8" x14ac:dyDescent="0.3">
      <c r="A23" s="12" t="s">
        <v>733</v>
      </c>
      <c r="B23" s="12" t="s">
        <v>734</v>
      </c>
      <c r="C23" s="12" t="s">
        <v>735</v>
      </c>
      <c r="D23" s="12" t="s">
        <v>726</v>
      </c>
      <c r="E23" s="12">
        <v>0</v>
      </c>
      <c r="F23" s="12"/>
      <c r="G23" s="12"/>
      <c r="H23" s="12"/>
    </row>
    <row r="24" spans="1:8" x14ac:dyDescent="0.3">
      <c r="A24" s="12" t="s">
        <v>180</v>
      </c>
      <c r="B24" s="12" t="s">
        <v>181</v>
      </c>
      <c r="C24" s="12" t="s">
        <v>736</v>
      </c>
      <c r="D24" s="12" t="s">
        <v>53</v>
      </c>
      <c r="E24" s="12">
        <v>104</v>
      </c>
      <c r="F24" s="12">
        <v>3000</v>
      </c>
      <c r="G24" s="12">
        <v>3000</v>
      </c>
      <c r="H24" s="12">
        <v>3000</v>
      </c>
    </row>
    <row r="25" spans="1:8" x14ac:dyDescent="0.3">
      <c r="A25" s="12" t="s">
        <v>180</v>
      </c>
      <c r="B25" s="12" t="s">
        <v>181</v>
      </c>
      <c r="C25" s="12" t="s">
        <v>736</v>
      </c>
      <c r="D25" s="12" t="s">
        <v>54</v>
      </c>
      <c r="E25" s="12">
        <v>104</v>
      </c>
      <c r="F25" s="12">
        <v>400</v>
      </c>
      <c r="G25" s="12">
        <v>400</v>
      </c>
      <c r="H25" s="12">
        <v>400</v>
      </c>
    </row>
    <row r="26" spans="1:8" x14ac:dyDescent="0.3">
      <c r="A26" s="12" t="s">
        <v>180</v>
      </c>
      <c r="B26" s="12" t="s">
        <v>181</v>
      </c>
      <c r="C26" s="12" t="s">
        <v>736</v>
      </c>
      <c r="D26" s="12" t="s">
        <v>718</v>
      </c>
      <c r="E26" s="12">
        <v>104</v>
      </c>
      <c r="F26" s="12">
        <v>2600</v>
      </c>
      <c r="G26" s="12">
        <v>2600</v>
      </c>
      <c r="H26" s="12">
        <v>2600</v>
      </c>
    </row>
    <row r="27" spans="1:8" x14ac:dyDescent="0.3">
      <c r="A27" s="12" t="s">
        <v>180</v>
      </c>
      <c r="B27" s="12" t="s">
        <v>181</v>
      </c>
      <c r="C27" s="12" t="s">
        <v>736</v>
      </c>
      <c r="D27" s="12" t="s">
        <v>719</v>
      </c>
      <c r="E27" s="12">
        <v>104</v>
      </c>
      <c r="F27" s="12">
        <v>7.5</v>
      </c>
      <c r="G27" s="12">
        <v>7.5</v>
      </c>
      <c r="H27" s="12">
        <v>7.5</v>
      </c>
    </row>
    <row r="28" spans="1:8" x14ac:dyDescent="0.3">
      <c r="A28" s="12" t="s">
        <v>180</v>
      </c>
      <c r="B28" s="12" t="s">
        <v>181</v>
      </c>
      <c r="C28" s="12" t="s">
        <v>736</v>
      </c>
      <c r="D28" s="12" t="s">
        <v>49</v>
      </c>
      <c r="E28" s="12">
        <v>104</v>
      </c>
      <c r="F28" s="12">
        <v>390</v>
      </c>
      <c r="G28" s="12">
        <v>400</v>
      </c>
      <c r="H28" s="12">
        <v>410</v>
      </c>
    </row>
    <row r="29" spans="1:8" x14ac:dyDescent="0.3">
      <c r="A29" s="12" t="s">
        <v>180</v>
      </c>
      <c r="B29" s="12" t="s">
        <v>181</v>
      </c>
      <c r="C29" s="12" t="s">
        <v>736</v>
      </c>
      <c r="D29" s="12" t="s">
        <v>55</v>
      </c>
      <c r="E29" s="12">
        <v>104</v>
      </c>
      <c r="F29" s="12">
        <v>0.5</v>
      </c>
      <c r="G29" s="12">
        <v>0.5</v>
      </c>
      <c r="H29" s="12">
        <v>0.5</v>
      </c>
    </row>
    <row r="30" spans="1:8" x14ac:dyDescent="0.3">
      <c r="A30" s="12" t="s">
        <v>737</v>
      </c>
      <c r="B30" s="12" t="s">
        <v>738</v>
      </c>
      <c r="C30" s="12" t="s">
        <v>739</v>
      </c>
      <c r="D30" s="12" t="s">
        <v>53</v>
      </c>
      <c r="E30" s="12">
        <v>5</v>
      </c>
      <c r="F30" s="12">
        <v>3000</v>
      </c>
      <c r="G30" s="12">
        <v>3000</v>
      </c>
      <c r="H30" s="12">
        <v>3000</v>
      </c>
    </row>
    <row r="31" spans="1:8" x14ac:dyDescent="0.3">
      <c r="A31" s="12" t="s">
        <v>737</v>
      </c>
      <c r="B31" s="12" t="s">
        <v>738</v>
      </c>
      <c r="C31" s="12" t="s">
        <v>739</v>
      </c>
      <c r="D31" s="12" t="s">
        <v>54</v>
      </c>
      <c r="E31" s="12">
        <v>5</v>
      </c>
      <c r="F31" s="12">
        <v>400</v>
      </c>
      <c r="G31" s="12">
        <v>400</v>
      </c>
      <c r="H31" s="12">
        <v>400</v>
      </c>
    </row>
    <row r="32" spans="1:8" x14ac:dyDescent="0.3">
      <c r="A32" s="12" t="s">
        <v>737</v>
      </c>
      <c r="B32" s="12" t="s">
        <v>738</v>
      </c>
      <c r="C32" s="12" t="s">
        <v>739</v>
      </c>
      <c r="D32" s="12" t="s">
        <v>718</v>
      </c>
      <c r="E32" s="12">
        <v>5</v>
      </c>
      <c r="F32" s="12">
        <v>2600</v>
      </c>
      <c r="G32" s="12">
        <v>2600</v>
      </c>
      <c r="H32" s="12">
        <v>2600</v>
      </c>
    </row>
    <row r="33" spans="1:8" x14ac:dyDescent="0.3">
      <c r="A33" s="12" t="s">
        <v>737</v>
      </c>
      <c r="B33" s="12" t="s">
        <v>738</v>
      </c>
      <c r="C33" s="12" t="s">
        <v>739</v>
      </c>
      <c r="D33" s="12" t="s">
        <v>719</v>
      </c>
      <c r="E33" s="12">
        <v>5</v>
      </c>
      <c r="F33" s="12">
        <v>7.5</v>
      </c>
      <c r="G33" s="12">
        <v>7.5</v>
      </c>
      <c r="H33" s="12">
        <v>7.5</v>
      </c>
    </row>
    <row r="34" spans="1:8" x14ac:dyDescent="0.3">
      <c r="A34" s="12" t="s">
        <v>737</v>
      </c>
      <c r="B34" s="12" t="s">
        <v>738</v>
      </c>
      <c r="C34" s="12" t="s">
        <v>739</v>
      </c>
      <c r="D34" s="12" t="s">
        <v>49</v>
      </c>
      <c r="E34" s="12">
        <v>5</v>
      </c>
      <c r="F34" s="12">
        <v>392.17</v>
      </c>
      <c r="G34" s="12">
        <v>399.37</v>
      </c>
      <c r="H34" s="12">
        <v>408.78</v>
      </c>
    </row>
    <row r="35" spans="1:8" x14ac:dyDescent="0.3">
      <c r="A35" s="12" t="s">
        <v>737</v>
      </c>
      <c r="B35" s="12" t="s">
        <v>738</v>
      </c>
      <c r="C35" s="12" t="s">
        <v>739</v>
      </c>
      <c r="D35" s="12" t="s">
        <v>55</v>
      </c>
      <c r="E35" s="12">
        <v>5</v>
      </c>
      <c r="F35" s="12">
        <v>0.5</v>
      </c>
      <c r="G35" s="12">
        <v>0.5</v>
      </c>
      <c r="H35" s="12">
        <v>0.5</v>
      </c>
    </row>
    <row r="36" spans="1:8" x14ac:dyDescent="0.3">
      <c r="A36" s="12" t="s">
        <v>740</v>
      </c>
      <c r="B36" s="12" t="s">
        <v>235</v>
      </c>
      <c r="C36" s="12" t="s">
        <v>741</v>
      </c>
      <c r="D36" s="12" t="s">
        <v>53</v>
      </c>
      <c r="E36" s="12">
        <v>70</v>
      </c>
      <c r="F36" s="12">
        <v>3300</v>
      </c>
      <c r="G36" s="12">
        <v>3300</v>
      </c>
      <c r="H36" s="12">
        <v>3300</v>
      </c>
    </row>
    <row r="37" spans="1:8" x14ac:dyDescent="0.3">
      <c r="A37" s="12" t="s">
        <v>740</v>
      </c>
      <c r="B37" s="12" t="s">
        <v>235</v>
      </c>
      <c r="C37" s="12" t="s">
        <v>741</v>
      </c>
      <c r="D37" s="12" t="s">
        <v>54</v>
      </c>
      <c r="E37" s="12">
        <v>70</v>
      </c>
      <c r="F37" s="12">
        <v>400</v>
      </c>
      <c r="G37" s="12">
        <v>800</v>
      </c>
      <c r="H37" s="12">
        <v>1200</v>
      </c>
    </row>
    <row r="38" spans="1:8" x14ac:dyDescent="0.3">
      <c r="A38" s="12" t="s">
        <v>740</v>
      </c>
      <c r="B38" s="12" t="s">
        <v>235</v>
      </c>
      <c r="C38" s="12" t="s">
        <v>741</v>
      </c>
      <c r="D38" s="12" t="s">
        <v>718</v>
      </c>
      <c r="E38" s="12">
        <v>70</v>
      </c>
      <c r="F38" s="12">
        <v>2100</v>
      </c>
      <c r="G38" s="12">
        <v>2500</v>
      </c>
      <c r="H38" s="12">
        <v>2900</v>
      </c>
    </row>
    <row r="39" spans="1:8" x14ac:dyDescent="0.3">
      <c r="A39" s="12" t="s">
        <v>740</v>
      </c>
      <c r="B39" s="12" t="s">
        <v>235</v>
      </c>
      <c r="C39" s="12" t="s">
        <v>741</v>
      </c>
      <c r="D39" s="12" t="s">
        <v>719</v>
      </c>
      <c r="E39" s="12">
        <v>70</v>
      </c>
      <c r="F39" s="12">
        <v>2.75</v>
      </c>
      <c r="G39" s="12">
        <v>4.125</v>
      </c>
      <c r="H39" s="12">
        <v>8.25</v>
      </c>
    </row>
    <row r="40" spans="1:8" x14ac:dyDescent="0.3">
      <c r="A40" s="12" t="s">
        <v>740</v>
      </c>
      <c r="B40" s="12" t="s">
        <v>235</v>
      </c>
      <c r="C40" s="12" t="s">
        <v>741</v>
      </c>
      <c r="D40" s="12" t="s">
        <v>49</v>
      </c>
      <c r="E40" s="12">
        <v>70</v>
      </c>
      <c r="F40" s="12">
        <v>394.15</v>
      </c>
      <c r="G40" s="12">
        <v>394.15</v>
      </c>
      <c r="H40" s="12">
        <v>394.15</v>
      </c>
    </row>
    <row r="41" spans="1:8" x14ac:dyDescent="0.3">
      <c r="A41" s="12" t="s">
        <v>740</v>
      </c>
      <c r="B41" s="12" t="s">
        <v>235</v>
      </c>
      <c r="C41" s="12" t="s">
        <v>741</v>
      </c>
      <c r="D41" s="12" t="s">
        <v>55</v>
      </c>
      <c r="E41" s="12">
        <v>70</v>
      </c>
      <c r="F41" s="12">
        <v>0.5</v>
      </c>
      <c r="G41" s="12">
        <v>0.73</v>
      </c>
      <c r="H41" s="12">
        <v>0.91</v>
      </c>
    </row>
    <row r="43" spans="1:8" x14ac:dyDescent="0.3">
      <c r="A43" s="17" t="s">
        <v>742</v>
      </c>
    </row>
  </sheetData>
  <autoFilter ref="A7:H4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"/>
  <sheetViews>
    <sheetView workbookViewId="0"/>
  </sheetViews>
  <sheetFormatPr baseColWidth="10" defaultColWidth="8.88671875" defaultRowHeight="14.4" x14ac:dyDescent="0.3"/>
  <cols>
    <col min="1" max="1" width="12" customWidth="1"/>
    <col min="2" max="2" width="20" customWidth="1"/>
    <col min="3" max="3" width="48" customWidth="1"/>
    <col min="4" max="4" width="66.109375" customWidth="1"/>
  </cols>
  <sheetData>
    <row r="1" spans="1:4" ht="17.399999999999999" x14ac:dyDescent="0.35">
      <c r="A1" s="1" t="s">
        <v>743</v>
      </c>
    </row>
    <row r="2" spans="1:4" x14ac:dyDescent="0.3">
      <c r="A2" t="s">
        <v>286</v>
      </c>
    </row>
    <row r="3" spans="1:4" x14ac:dyDescent="0.3">
      <c r="A3" t="s">
        <v>287</v>
      </c>
    </row>
    <row r="4" spans="1:4" x14ac:dyDescent="0.3">
      <c r="A4" s="15" t="s">
        <v>288</v>
      </c>
    </row>
    <row r="5" spans="1:4" x14ac:dyDescent="0.3">
      <c r="A5" t="s">
        <v>744</v>
      </c>
    </row>
    <row r="7" spans="1:4" x14ac:dyDescent="0.3">
      <c r="A7" s="16" t="s">
        <v>265</v>
      </c>
      <c r="B7" s="16" t="s">
        <v>745</v>
      </c>
      <c r="C7" s="16" t="s">
        <v>746</v>
      </c>
      <c r="D7" s="16" t="s">
        <v>747</v>
      </c>
    </row>
    <row r="8" spans="1:4" x14ac:dyDescent="0.3">
      <c r="A8" s="12" t="s">
        <v>269</v>
      </c>
      <c r="B8" s="12" t="s">
        <v>748</v>
      </c>
      <c r="C8" s="12" t="s">
        <v>749</v>
      </c>
      <c r="D8" s="12" t="s">
        <v>750</v>
      </c>
    </row>
    <row r="9" spans="1:4" x14ac:dyDescent="0.3">
      <c r="A9" s="12" t="s">
        <v>271</v>
      </c>
      <c r="B9" s="12" t="s">
        <v>751</v>
      </c>
      <c r="C9" s="12" t="s">
        <v>749</v>
      </c>
      <c r="D9" s="12" t="s">
        <v>752</v>
      </c>
    </row>
    <row r="10" spans="1:4" x14ac:dyDescent="0.3">
      <c r="A10" s="12" t="s">
        <v>272</v>
      </c>
      <c r="B10" s="12" t="s">
        <v>753</v>
      </c>
      <c r="C10" s="12" t="s">
        <v>749</v>
      </c>
      <c r="D10" s="12" t="s">
        <v>754</v>
      </c>
    </row>
    <row r="11" spans="1:4" x14ac:dyDescent="0.3">
      <c r="A11" s="12" t="s">
        <v>277</v>
      </c>
      <c r="B11" s="12" t="s">
        <v>755</v>
      </c>
      <c r="C11" s="12" t="s">
        <v>749</v>
      </c>
      <c r="D11" s="12" t="s">
        <v>756</v>
      </c>
    </row>
    <row r="12" spans="1:4" x14ac:dyDescent="0.3">
      <c r="A12" s="12" t="s">
        <v>278</v>
      </c>
      <c r="B12" s="12" t="s">
        <v>757</v>
      </c>
      <c r="C12" s="12" t="s">
        <v>749</v>
      </c>
      <c r="D12" s="12" t="s">
        <v>756</v>
      </c>
    </row>
    <row r="13" spans="1:4" x14ac:dyDescent="0.3">
      <c r="A13" s="12" t="s">
        <v>279</v>
      </c>
      <c r="B13" s="12" t="s">
        <v>755</v>
      </c>
      <c r="C13" s="12" t="s">
        <v>749</v>
      </c>
      <c r="D13" s="12" t="s">
        <v>756</v>
      </c>
    </row>
    <row r="14" spans="1:4" x14ac:dyDescent="0.3">
      <c r="A14" s="12" t="s">
        <v>280</v>
      </c>
      <c r="B14" s="12" t="s">
        <v>757</v>
      </c>
      <c r="C14" s="12" t="s">
        <v>749</v>
      </c>
      <c r="D14" s="12" t="s">
        <v>756</v>
      </c>
    </row>
    <row r="15" spans="1:4" x14ac:dyDescent="0.3">
      <c r="A15" s="12" t="s">
        <v>281</v>
      </c>
      <c r="B15" s="12" t="s">
        <v>758</v>
      </c>
      <c r="C15" s="12" t="s">
        <v>759</v>
      </c>
      <c r="D15" s="12" t="s">
        <v>760</v>
      </c>
    </row>
    <row r="16" spans="1:4" x14ac:dyDescent="0.3">
      <c r="A16" s="12" t="s">
        <v>276</v>
      </c>
      <c r="B16" s="12" t="s">
        <v>761</v>
      </c>
      <c r="C16" s="12" t="s">
        <v>762</v>
      </c>
      <c r="D16" s="12" t="s">
        <v>763</v>
      </c>
    </row>
    <row r="17" spans="1:4" x14ac:dyDescent="0.3">
      <c r="A17" s="12" t="s">
        <v>274</v>
      </c>
      <c r="B17" s="12" t="s">
        <v>764</v>
      </c>
      <c r="C17" s="12" t="s">
        <v>765</v>
      </c>
      <c r="D17" s="12" t="s">
        <v>766</v>
      </c>
    </row>
    <row r="18" spans="1:4" x14ac:dyDescent="0.3">
      <c r="A18" s="12" t="s">
        <v>282</v>
      </c>
      <c r="B18" s="12" t="s">
        <v>767</v>
      </c>
      <c r="C18" s="12" t="s">
        <v>768</v>
      </c>
      <c r="D18" s="12" t="s">
        <v>769</v>
      </c>
    </row>
    <row r="20" spans="1:4" x14ac:dyDescent="0.3">
      <c r="A20" s="17" t="s">
        <v>770</v>
      </c>
    </row>
  </sheetData>
  <autoFilter ref="A7:D18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topLeftCell="A18" workbookViewId="0"/>
  </sheetViews>
  <sheetFormatPr baseColWidth="10" defaultColWidth="8.88671875" defaultRowHeight="14.4" x14ac:dyDescent="0.3"/>
  <cols>
    <col min="1" max="1" width="11" customWidth="1"/>
    <col min="2" max="2" width="20" customWidth="1"/>
    <col min="3" max="10" width="10" customWidth="1"/>
  </cols>
  <sheetData>
    <row r="1" spans="1:10" ht="17.399999999999999" x14ac:dyDescent="0.35">
      <c r="A1" s="1" t="s">
        <v>771</v>
      </c>
    </row>
    <row r="2" spans="1:10" x14ac:dyDescent="0.3">
      <c r="A2" t="s">
        <v>286</v>
      </c>
    </row>
    <row r="3" spans="1:10" x14ac:dyDescent="0.3">
      <c r="A3" t="s">
        <v>287</v>
      </c>
    </row>
    <row r="4" spans="1:10" x14ac:dyDescent="0.3">
      <c r="A4" s="15" t="s">
        <v>288</v>
      </c>
    </row>
    <row r="5" spans="1:10" x14ac:dyDescent="0.3">
      <c r="A5" t="s">
        <v>772</v>
      </c>
    </row>
    <row r="7" spans="1:10" x14ac:dyDescent="0.3">
      <c r="A7" s="16" t="s">
        <v>290</v>
      </c>
      <c r="B7" s="16" t="s">
        <v>773</v>
      </c>
      <c r="C7" s="16" t="s">
        <v>774</v>
      </c>
      <c r="D7" s="16" t="s">
        <v>775</v>
      </c>
      <c r="E7" s="16" t="s">
        <v>776</v>
      </c>
      <c r="F7" s="16" t="s">
        <v>777</v>
      </c>
      <c r="G7" s="16" t="s">
        <v>778</v>
      </c>
      <c r="H7" s="16" t="s">
        <v>779</v>
      </c>
      <c r="I7" s="16" t="s">
        <v>780</v>
      </c>
      <c r="J7" s="16" t="s">
        <v>781</v>
      </c>
    </row>
    <row r="8" spans="1:10" x14ac:dyDescent="0.3">
      <c r="A8" s="12" t="s">
        <v>89</v>
      </c>
      <c r="B8" s="12">
        <v>0</v>
      </c>
      <c r="C8" s="12">
        <v>0</v>
      </c>
      <c r="D8" s="12"/>
      <c r="E8" s="12">
        <v>0</v>
      </c>
      <c r="F8" s="12"/>
      <c r="G8" s="12">
        <v>0</v>
      </c>
      <c r="H8" s="12"/>
      <c r="I8" s="12">
        <v>0</v>
      </c>
      <c r="J8" s="12"/>
    </row>
    <row r="9" spans="1:10" x14ac:dyDescent="0.3">
      <c r="A9" s="12" t="s">
        <v>96</v>
      </c>
      <c r="B9" s="12">
        <v>15</v>
      </c>
      <c r="C9" s="12">
        <v>11</v>
      </c>
      <c r="D9" s="21">
        <v>73.332999999999998</v>
      </c>
      <c r="E9" s="12">
        <v>15</v>
      </c>
      <c r="F9" s="21">
        <v>100</v>
      </c>
      <c r="G9" s="12">
        <v>0</v>
      </c>
      <c r="H9" s="21">
        <v>0</v>
      </c>
      <c r="I9" s="12">
        <v>2</v>
      </c>
      <c r="J9" s="21">
        <v>13.333</v>
      </c>
    </row>
    <row r="10" spans="1:10" x14ac:dyDescent="0.3">
      <c r="A10" s="12" t="s">
        <v>104</v>
      </c>
      <c r="B10" s="12">
        <v>106</v>
      </c>
      <c r="C10" s="12">
        <v>5</v>
      </c>
      <c r="D10" s="21">
        <v>4.7169999999999996</v>
      </c>
      <c r="E10" s="12">
        <v>106</v>
      </c>
      <c r="F10" s="21">
        <v>100</v>
      </c>
      <c r="G10" s="12">
        <v>0</v>
      </c>
      <c r="H10" s="21">
        <v>0</v>
      </c>
      <c r="I10" s="12">
        <v>0</v>
      </c>
      <c r="J10" s="21">
        <v>0</v>
      </c>
    </row>
    <row r="11" spans="1:10" x14ac:dyDescent="0.3">
      <c r="A11" s="12" t="s">
        <v>112</v>
      </c>
      <c r="B11" s="12">
        <v>134</v>
      </c>
      <c r="C11" s="12">
        <v>17</v>
      </c>
      <c r="D11" s="21">
        <v>12.686999999999999</v>
      </c>
      <c r="E11" s="12">
        <v>134</v>
      </c>
      <c r="F11" s="21">
        <v>100</v>
      </c>
      <c r="G11" s="12">
        <v>0</v>
      </c>
      <c r="H11" s="21">
        <v>0</v>
      </c>
      <c r="I11" s="12">
        <v>0</v>
      </c>
      <c r="J11" s="21">
        <v>0</v>
      </c>
    </row>
    <row r="12" spans="1:10" x14ac:dyDescent="0.3">
      <c r="A12" s="12" t="s">
        <v>120</v>
      </c>
      <c r="B12" s="12">
        <v>116</v>
      </c>
      <c r="C12" s="12">
        <v>14</v>
      </c>
      <c r="D12" s="21">
        <v>12.069000000000001</v>
      </c>
      <c r="E12" s="12">
        <v>116</v>
      </c>
      <c r="F12" s="21">
        <v>100</v>
      </c>
      <c r="G12" s="12">
        <v>3</v>
      </c>
      <c r="H12" s="21">
        <v>2.5861999999999998</v>
      </c>
      <c r="I12" s="12">
        <v>0</v>
      </c>
      <c r="J12" s="21">
        <v>0</v>
      </c>
    </row>
    <row r="13" spans="1:10" x14ac:dyDescent="0.3">
      <c r="A13" s="12" t="s">
        <v>128</v>
      </c>
      <c r="B13" s="12">
        <v>62</v>
      </c>
      <c r="C13" s="12">
        <v>0</v>
      </c>
      <c r="D13" s="21">
        <v>0</v>
      </c>
      <c r="E13" s="12">
        <v>61</v>
      </c>
      <c r="F13" s="21">
        <v>98.387</v>
      </c>
      <c r="G13" s="12">
        <v>4</v>
      </c>
      <c r="H13" s="21">
        <v>6.4516</v>
      </c>
      <c r="I13" s="12">
        <v>0</v>
      </c>
      <c r="J13" s="21">
        <v>0</v>
      </c>
    </row>
    <row r="14" spans="1:10" x14ac:dyDescent="0.3">
      <c r="A14" s="12" t="s">
        <v>136</v>
      </c>
      <c r="B14" s="12">
        <v>190</v>
      </c>
      <c r="C14" s="12">
        <v>12</v>
      </c>
      <c r="D14" s="21">
        <v>6.3158000000000003</v>
      </c>
      <c r="E14" s="12">
        <v>187</v>
      </c>
      <c r="F14" s="21">
        <v>98.421000000000006</v>
      </c>
      <c r="G14" s="12">
        <v>8</v>
      </c>
      <c r="H14" s="21">
        <v>4.2104999999999997</v>
      </c>
      <c r="I14" s="12">
        <v>0</v>
      </c>
      <c r="J14" s="21">
        <v>0</v>
      </c>
    </row>
    <row r="15" spans="1:10" x14ac:dyDescent="0.3">
      <c r="A15" s="12" t="s">
        <v>155</v>
      </c>
      <c r="B15" s="12">
        <v>141</v>
      </c>
      <c r="C15" s="12">
        <v>9</v>
      </c>
      <c r="D15" s="21">
        <v>6.383</v>
      </c>
      <c r="E15" s="12">
        <v>137</v>
      </c>
      <c r="F15" s="21">
        <v>97.162999999999997</v>
      </c>
      <c r="G15" s="12">
        <v>14</v>
      </c>
      <c r="H15" s="21">
        <v>9.9291</v>
      </c>
      <c r="I15" s="12">
        <v>0</v>
      </c>
      <c r="J15" s="21">
        <v>0</v>
      </c>
    </row>
    <row r="16" spans="1:10" x14ac:dyDescent="0.3">
      <c r="A16" s="12" t="s">
        <v>160</v>
      </c>
      <c r="B16" s="12">
        <v>45</v>
      </c>
      <c r="C16" s="12">
        <v>0</v>
      </c>
      <c r="D16" s="21">
        <v>0</v>
      </c>
      <c r="E16" s="12">
        <v>44</v>
      </c>
      <c r="F16" s="21">
        <v>97.778000000000006</v>
      </c>
      <c r="G16" s="12">
        <v>1</v>
      </c>
      <c r="H16" s="21">
        <v>2.2222</v>
      </c>
      <c r="I16" s="12">
        <v>1</v>
      </c>
      <c r="J16" s="21">
        <v>2.2222</v>
      </c>
    </row>
    <row r="17" spans="1:10" x14ac:dyDescent="0.3">
      <c r="A17" s="12" t="s">
        <v>170</v>
      </c>
      <c r="B17" s="12">
        <v>362</v>
      </c>
      <c r="C17" s="12">
        <v>20</v>
      </c>
      <c r="D17" s="21">
        <v>5.5248999999999997</v>
      </c>
      <c r="E17" s="12">
        <v>362</v>
      </c>
      <c r="F17" s="21">
        <v>100</v>
      </c>
      <c r="G17" s="12">
        <v>142</v>
      </c>
      <c r="H17" s="21">
        <v>39.226999999999997</v>
      </c>
      <c r="I17" s="12">
        <v>1</v>
      </c>
      <c r="J17" s="21">
        <v>0.27623999999999999</v>
      </c>
    </row>
    <row r="18" spans="1:10" x14ac:dyDescent="0.3">
      <c r="A18" s="12" t="s">
        <v>180</v>
      </c>
      <c r="B18" s="12">
        <v>45</v>
      </c>
      <c r="C18" s="12">
        <v>0</v>
      </c>
      <c r="D18" s="21">
        <v>0</v>
      </c>
      <c r="E18" s="12">
        <v>30</v>
      </c>
      <c r="F18" s="21">
        <v>66.667000000000002</v>
      </c>
      <c r="G18" s="12">
        <v>15</v>
      </c>
      <c r="H18" s="21">
        <v>33.332999999999998</v>
      </c>
      <c r="I18" s="12">
        <v>0</v>
      </c>
      <c r="J18" s="21">
        <v>0</v>
      </c>
    </row>
    <row r="19" spans="1:10" x14ac:dyDescent="0.3">
      <c r="A19" s="12" t="s">
        <v>188</v>
      </c>
      <c r="B19" s="12">
        <v>9</v>
      </c>
      <c r="C19" s="12">
        <v>0</v>
      </c>
      <c r="D19" s="21">
        <v>0</v>
      </c>
      <c r="E19" s="12">
        <v>9</v>
      </c>
      <c r="F19" s="21">
        <v>100</v>
      </c>
      <c r="G19" s="12">
        <v>0</v>
      </c>
      <c r="H19" s="21">
        <v>0</v>
      </c>
      <c r="I19" s="12">
        <v>0</v>
      </c>
      <c r="J19" s="21">
        <v>0</v>
      </c>
    </row>
    <row r="20" spans="1:10" x14ac:dyDescent="0.3">
      <c r="A20" s="12" t="s">
        <v>198</v>
      </c>
      <c r="B20" s="12">
        <v>130</v>
      </c>
      <c r="C20" s="12">
        <v>29</v>
      </c>
      <c r="D20" s="21">
        <v>22.308</v>
      </c>
      <c r="E20" s="12">
        <v>114</v>
      </c>
      <c r="F20" s="21">
        <v>87.691999999999993</v>
      </c>
      <c r="G20" s="12">
        <v>0</v>
      </c>
      <c r="H20" s="21">
        <v>0</v>
      </c>
      <c r="I20" s="12">
        <v>0</v>
      </c>
      <c r="J20" s="21">
        <v>0</v>
      </c>
    </row>
    <row r="21" spans="1:10" x14ac:dyDescent="0.3">
      <c r="A21" s="12" t="s">
        <v>206</v>
      </c>
      <c r="B21" s="12">
        <v>625</v>
      </c>
      <c r="C21" s="12">
        <v>30</v>
      </c>
      <c r="D21" s="21">
        <v>4.8</v>
      </c>
      <c r="E21" s="12">
        <v>613</v>
      </c>
      <c r="F21" s="21">
        <v>98.08</v>
      </c>
      <c r="G21" s="12">
        <v>149</v>
      </c>
      <c r="H21" s="21">
        <v>23.84</v>
      </c>
      <c r="I21" s="12">
        <v>0</v>
      </c>
      <c r="J21" s="21">
        <v>0</v>
      </c>
    </row>
    <row r="22" spans="1:10" x14ac:dyDescent="0.3">
      <c r="A22" s="12" t="s">
        <v>217</v>
      </c>
      <c r="B22" s="12">
        <v>56</v>
      </c>
      <c r="C22" s="12">
        <v>0</v>
      </c>
      <c r="D22" s="21">
        <v>0</v>
      </c>
      <c r="E22" s="12">
        <v>56</v>
      </c>
      <c r="F22" s="21">
        <v>100</v>
      </c>
      <c r="G22" s="12">
        <v>0</v>
      </c>
      <c r="H22" s="21">
        <v>0</v>
      </c>
      <c r="I22" s="12">
        <v>0</v>
      </c>
      <c r="J22" s="21">
        <v>0</v>
      </c>
    </row>
    <row r="23" spans="1:10" x14ac:dyDescent="0.3">
      <c r="A23" s="12" t="s">
        <v>229</v>
      </c>
      <c r="B23" s="12">
        <v>9</v>
      </c>
      <c r="C23" s="12">
        <v>0</v>
      </c>
      <c r="D23" s="21">
        <v>0</v>
      </c>
      <c r="E23" s="12">
        <v>9</v>
      </c>
      <c r="F23" s="21">
        <v>100</v>
      </c>
      <c r="G23" s="12">
        <v>0</v>
      </c>
      <c r="H23" s="21">
        <v>0</v>
      </c>
      <c r="I23" s="12">
        <v>0</v>
      </c>
      <c r="J23" s="21">
        <v>0</v>
      </c>
    </row>
    <row r="25" spans="1:10" x14ac:dyDescent="0.3">
      <c r="A25" s="17" t="s">
        <v>782</v>
      </c>
    </row>
  </sheetData>
  <autoFilter ref="A7:J23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2"/>
  <sheetViews>
    <sheetView tabSelected="1" workbookViewId="0">
      <selection activeCell="A10" sqref="A10"/>
    </sheetView>
  </sheetViews>
  <sheetFormatPr baseColWidth="10" defaultColWidth="8.88671875" defaultRowHeight="14.4" x14ac:dyDescent="0.3"/>
  <cols>
    <col min="1" max="1" width="15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7" ht="17.399999999999999" x14ac:dyDescent="0.35">
      <c r="A1" s="1" t="s">
        <v>783</v>
      </c>
    </row>
    <row r="2" spans="1:7" x14ac:dyDescent="0.3">
      <c r="A2" t="s">
        <v>784</v>
      </c>
    </row>
    <row r="3" spans="1:7" x14ac:dyDescent="0.3">
      <c r="A3" t="s">
        <v>785</v>
      </c>
    </row>
    <row r="4" spans="1:7" x14ac:dyDescent="0.3">
      <c r="A4" s="15" t="s">
        <v>786</v>
      </c>
    </row>
    <row r="5" spans="1:7" x14ac:dyDescent="0.3">
      <c r="A5" s="15" t="s">
        <v>787</v>
      </c>
    </row>
    <row r="6" spans="1:7" x14ac:dyDescent="0.3">
      <c r="A6" t="s">
        <v>788</v>
      </c>
    </row>
    <row r="8" spans="1:7" x14ac:dyDescent="0.3">
      <c r="A8" s="16" t="s">
        <v>360</v>
      </c>
      <c r="B8" s="16" t="s">
        <v>712</v>
      </c>
      <c r="C8" s="16" t="s">
        <v>789</v>
      </c>
      <c r="D8" s="16" t="s">
        <v>790</v>
      </c>
      <c r="E8" s="16" t="s">
        <v>791</v>
      </c>
      <c r="F8" s="16" t="s">
        <v>792</v>
      </c>
      <c r="G8" s="16" t="s">
        <v>266</v>
      </c>
    </row>
    <row r="9" spans="1:7" x14ac:dyDescent="0.3">
      <c r="A9" s="12" t="s">
        <v>361</v>
      </c>
      <c r="B9" s="12" t="s">
        <v>49</v>
      </c>
      <c r="C9" s="12" t="s">
        <v>793</v>
      </c>
      <c r="D9" s="12" t="s">
        <v>794</v>
      </c>
      <c r="E9" s="12"/>
      <c r="F9" s="12" t="s">
        <v>749</v>
      </c>
      <c r="G9" s="12" t="s">
        <v>275</v>
      </c>
    </row>
    <row r="10" spans="1:7" x14ac:dyDescent="0.3">
      <c r="A10" s="12" t="s">
        <v>361</v>
      </c>
      <c r="B10" s="12" t="s">
        <v>51</v>
      </c>
      <c r="C10" s="12" t="s">
        <v>793</v>
      </c>
      <c r="D10" s="12" t="s">
        <v>795</v>
      </c>
      <c r="E10" s="12"/>
      <c r="F10" s="12" t="s">
        <v>749</v>
      </c>
      <c r="G10" s="12" t="s">
        <v>275</v>
      </c>
    </row>
    <row r="11" spans="1:7" x14ac:dyDescent="0.3">
      <c r="A11" s="12" t="s">
        <v>361</v>
      </c>
      <c r="B11" s="12" t="s">
        <v>53</v>
      </c>
      <c r="C11" s="12" t="s">
        <v>796</v>
      </c>
      <c r="D11" s="12" t="s">
        <v>797</v>
      </c>
      <c r="E11" s="12">
        <v>9</v>
      </c>
      <c r="F11" s="12"/>
      <c r="G11" s="12" t="s">
        <v>270</v>
      </c>
    </row>
    <row r="12" spans="1:7" x14ac:dyDescent="0.3">
      <c r="A12" s="12" t="s">
        <v>361</v>
      </c>
      <c r="B12" s="12" t="s">
        <v>54</v>
      </c>
      <c r="C12" s="12" t="s">
        <v>793</v>
      </c>
      <c r="D12" s="12" t="s">
        <v>798</v>
      </c>
      <c r="E12" s="12"/>
      <c r="F12" s="12" t="s">
        <v>749</v>
      </c>
      <c r="G12" s="12" t="s">
        <v>270</v>
      </c>
    </row>
    <row r="13" spans="1:7" x14ac:dyDescent="0.3">
      <c r="A13" s="12" t="s">
        <v>361</v>
      </c>
      <c r="B13" s="12" t="s">
        <v>55</v>
      </c>
      <c r="C13" s="12" t="s">
        <v>793</v>
      </c>
      <c r="D13" s="12" t="s">
        <v>799</v>
      </c>
      <c r="E13" s="12"/>
      <c r="F13" s="12" t="s">
        <v>749</v>
      </c>
      <c r="G13" s="12" t="s">
        <v>273</v>
      </c>
    </row>
    <row r="14" spans="1:7" x14ac:dyDescent="0.3">
      <c r="A14" s="12" t="s">
        <v>361</v>
      </c>
      <c r="B14" s="12" t="s">
        <v>57</v>
      </c>
      <c r="C14" s="12" t="s">
        <v>793</v>
      </c>
      <c r="D14" s="12" t="s">
        <v>800</v>
      </c>
      <c r="E14" s="12"/>
      <c r="F14" s="12" t="s">
        <v>749</v>
      </c>
      <c r="G14" s="12" t="s">
        <v>283</v>
      </c>
    </row>
    <row r="15" spans="1:7" x14ac:dyDescent="0.3">
      <c r="A15" s="12" t="s">
        <v>361</v>
      </c>
      <c r="B15" s="12" t="s">
        <v>59</v>
      </c>
      <c r="C15" s="12" t="s">
        <v>793</v>
      </c>
      <c r="D15" s="12" t="s">
        <v>755</v>
      </c>
      <c r="E15" s="12"/>
      <c r="F15" s="12" t="s">
        <v>749</v>
      </c>
      <c r="G15" s="12" t="s">
        <v>273</v>
      </c>
    </row>
    <row r="16" spans="1:7" x14ac:dyDescent="0.3">
      <c r="A16" s="12" t="s">
        <v>361</v>
      </c>
      <c r="B16" s="12" t="s">
        <v>61</v>
      </c>
      <c r="C16" s="12" t="s">
        <v>793</v>
      </c>
      <c r="D16" s="12" t="s">
        <v>757</v>
      </c>
      <c r="E16" s="12"/>
      <c r="F16" s="12" t="s">
        <v>749</v>
      </c>
      <c r="G16" s="12" t="s">
        <v>273</v>
      </c>
    </row>
    <row r="17" spans="1:7" x14ac:dyDescent="0.3">
      <c r="A17" s="12" t="s">
        <v>361</v>
      </c>
      <c r="B17" s="12" t="s">
        <v>63</v>
      </c>
      <c r="C17" s="12" t="s">
        <v>793</v>
      </c>
      <c r="D17" s="12" t="s">
        <v>755</v>
      </c>
      <c r="E17" s="12"/>
      <c r="F17" s="12" t="s">
        <v>749</v>
      </c>
      <c r="G17" s="12" t="s">
        <v>273</v>
      </c>
    </row>
    <row r="18" spans="1:7" x14ac:dyDescent="0.3">
      <c r="A18" s="12" t="s">
        <v>361</v>
      </c>
      <c r="B18" s="12" t="s">
        <v>64</v>
      </c>
      <c r="C18" s="12" t="s">
        <v>793</v>
      </c>
      <c r="D18" s="12" t="s">
        <v>757</v>
      </c>
      <c r="E18" s="12"/>
      <c r="F18" s="12" t="s">
        <v>749</v>
      </c>
      <c r="G18" s="12" t="s">
        <v>273</v>
      </c>
    </row>
    <row r="19" spans="1:7" x14ac:dyDescent="0.3">
      <c r="A19" s="12" t="s">
        <v>361</v>
      </c>
      <c r="B19" s="12" t="s">
        <v>65</v>
      </c>
      <c r="C19" s="12" t="s">
        <v>793</v>
      </c>
      <c r="D19" s="12" t="s">
        <v>801</v>
      </c>
      <c r="E19" s="12"/>
      <c r="F19" s="12" t="s">
        <v>749</v>
      </c>
      <c r="G19" s="12" t="s">
        <v>273</v>
      </c>
    </row>
    <row r="20" spans="1:7" x14ac:dyDescent="0.3">
      <c r="A20" s="12" t="s">
        <v>361</v>
      </c>
      <c r="B20" s="12" t="s">
        <v>66</v>
      </c>
      <c r="C20" s="12" t="s">
        <v>802</v>
      </c>
      <c r="D20" s="12"/>
      <c r="E20" s="12"/>
      <c r="F20" s="12"/>
      <c r="G20" s="12" t="s">
        <v>275</v>
      </c>
    </row>
    <row r="21" spans="1:7" x14ac:dyDescent="0.3">
      <c r="A21" s="12" t="s">
        <v>361</v>
      </c>
      <c r="B21" s="12" t="s">
        <v>803</v>
      </c>
      <c r="C21" s="12" t="s">
        <v>793</v>
      </c>
      <c r="D21" s="12" t="s">
        <v>804</v>
      </c>
      <c r="E21" s="12"/>
      <c r="F21" s="12"/>
      <c r="G21" s="12" t="s">
        <v>273</v>
      </c>
    </row>
    <row r="22" spans="1:7" x14ac:dyDescent="0.3">
      <c r="A22" s="12" t="s">
        <v>365</v>
      </c>
      <c r="B22" s="12" t="s">
        <v>49</v>
      </c>
      <c r="C22" s="12" t="s">
        <v>793</v>
      </c>
      <c r="D22" s="12" t="s">
        <v>794</v>
      </c>
      <c r="E22" s="12"/>
      <c r="F22" s="12" t="s">
        <v>749</v>
      </c>
      <c r="G22" s="12" t="s">
        <v>275</v>
      </c>
    </row>
    <row r="23" spans="1:7" x14ac:dyDescent="0.3">
      <c r="A23" s="12" t="s">
        <v>365</v>
      </c>
      <c r="B23" s="12" t="s">
        <v>51</v>
      </c>
      <c r="C23" s="12" t="s">
        <v>793</v>
      </c>
      <c r="D23" s="12" t="s">
        <v>795</v>
      </c>
      <c r="E23" s="12"/>
      <c r="F23" s="12" t="s">
        <v>749</v>
      </c>
      <c r="G23" s="12" t="s">
        <v>275</v>
      </c>
    </row>
    <row r="24" spans="1:7" x14ac:dyDescent="0.3">
      <c r="A24" s="12" t="s">
        <v>365</v>
      </c>
      <c r="B24" s="12" t="s">
        <v>53</v>
      </c>
      <c r="C24" s="12" t="s">
        <v>793</v>
      </c>
      <c r="D24" s="12" t="s">
        <v>805</v>
      </c>
      <c r="E24" s="12"/>
      <c r="F24" s="12" t="s">
        <v>749</v>
      </c>
      <c r="G24" s="12" t="s">
        <v>270</v>
      </c>
    </row>
    <row r="25" spans="1:7" x14ac:dyDescent="0.3">
      <c r="A25" s="12" t="s">
        <v>365</v>
      </c>
      <c r="B25" s="12" t="s">
        <v>54</v>
      </c>
      <c r="C25" s="12" t="s">
        <v>793</v>
      </c>
      <c r="D25" s="12" t="s">
        <v>798</v>
      </c>
      <c r="E25" s="12"/>
      <c r="F25" s="12" t="s">
        <v>749</v>
      </c>
      <c r="G25" s="12" t="s">
        <v>270</v>
      </c>
    </row>
    <row r="26" spans="1:7" x14ac:dyDescent="0.3">
      <c r="A26" s="12" t="s">
        <v>365</v>
      </c>
      <c r="B26" s="12" t="s">
        <v>55</v>
      </c>
      <c r="C26" s="12" t="s">
        <v>793</v>
      </c>
      <c r="D26" s="12" t="s">
        <v>799</v>
      </c>
      <c r="E26" s="12"/>
      <c r="F26" s="12" t="s">
        <v>749</v>
      </c>
      <c r="G26" s="12" t="s">
        <v>273</v>
      </c>
    </row>
    <row r="27" spans="1:7" x14ac:dyDescent="0.3">
      <c r="A27" s="12" t="s">
        <v>365</v>
      </c>
      <c r="B27" s="12" t="s">
        <v>57</v>
      </c>
      <c r="C27" s="12" t="s">
        <v>793</v>
      </c>
      <c r="D27" s="12" t="s">
        <v>800</v>
      </c>
      <c r="E27" s="12"/>
      <c r="F27" s="12" t="s">
        <v>749</v>
      </c>
      <c r="G27" s="12" t="s">
        <v>283</v>
      </c>
    </row>
    <row r="28" spans="1:7" x14ac:dyDescent="0.3">
      <c r="A28" s="12" t="s">
        <v>365</v>
      </c>
      <c r="B28" s="12" t="s">
        <v>59</v>
      </c>
      <c r="C28" s="12" t="s">
        <v>793</v>
      </c>
      <c r="D28" s="12" t="s">
        <v>755</v>
      </c>
      <c r="E28" s="12"/>
      <c r="F28" s="12" t="s">
        <v>749</v>
      </c>
      <c r="G28" s="12" t="s">
        <v>273</v>
      </c>
    </row>
    <row r="29" spans="1:7" x14ac:dyDescent="0.3">
      <c r="A29" s="12" t="s">
        <v>365</v>
      </c>
      <c r="B29" s="12" t="s">
        <v>61</v>
      </c>
      <c r="C29" s="12" t="s">
        <v>793</v>
      </c>
      <c r="D29" s="12" t="s">
        <v>757</v>
      </c>
      <c r="E29" s="12"/>
      <c r="F29" s="12" t="s">
        <v>749</v>
      </c>
      <c r="G29" s="12" t="s">
        <v>273</v>
      </c>
    </row>
    <row r="30" spans="1:7" x14ac:dyDescent="0.3">
      <c r="A30" s="12" t="s">
        <v>365</v>
      </c>
      <c r="B30" s="12" t="s">
        <v>63</v>
      </c>
      <c r="C30" s="12" t="s">
        <v>793</v>
      </c>
      <c r="D30" s="12" t="s">
        <v>755</v>
      </c>
      <c r="E30" s="12"/>
      <c r="F30" s="12" t="s">
        <v>749</v>
      </c>
      <c r="G30" s="12" t="s">
        <v>273</v>
      </c>
    </row>
    <row r="31" spans="1:7" x14ac:dyDescent="0.3">
      <c r="A31" s="12" t="s">
        <v>365</v>
      </c>
      <c r="B31" s="12" t="s">
        <v>64</v>
      </c>
      <c r="C31" s="12" t="s">
        <v>793</v>
      </c>
      <c r="D31" s="12" t="s">
        <v>757</v>
      </c>
      <c r="E31" s="12"/>
      <c r="F31" s="12" t="s">
        <v>749</v>
      </c>
      <c r="G31" s="12" t="s">
        <v>273</v>
      </c>
    </row>
    <row r="32" spans="1:7" x14ac:dyDescent="0.3">
      <c r="A32" s="12" t="s">
        <v>365</v>
      </c>
      <c r="B32" s="12" t="s">
        <v>65</v>
      </c>
      <c r="C32" s="12" t="s">
        <v>793</v>
      </c>
      <c r="D32" s="12" t="s">
        <v>801</v>
      </c>
      <c r="E32" s="12"/>
      <c r="F32" s="12" t="s">
        <v>749</v>
      </c>
      <c r="G32" s="12" t="s">
        <v>273</v>
      </c>
    </row>
    <row r="33" spans="1:7" x14ac:dyDescent="0.3">
      <c r="A33" s="12" t="s">
        <v>365</v>
      </c>
      <c r="B33" s="12" t="s">
        <v>66</v>
      </c>
      <c r="C33" s="12" t="s">
        <v>802</v>
      </c>
      <c r="D33" s="12"/>
      <c r="E33" s="12"/>
      <c r="F33" s="12"/>
      <c r="G33" s="12" t="s">
        <v>275</v>
      </c>
    </row>
    <row r="34" spans="1:7" x14ac:dyDescent="0.3">
      <c r="A34" s="12" t="s">
        <v>365</v>
      </c>
      <c r="B34" s="12" t="s">
        <v>803</v>
      </c>
      <c r="C34" s="12" t="s">
        <v>796</v>
      </c>
      <c r="D34" s="12" t="s">
        <v>806</v>
      </c>
      <c r="E34" s="12">
        <v>2</v>
      </c>
      <c r="F34" s="12"/>
      <c r="G34" s="12" t="s">
        <v>273</v>
      </c>
    </row>
    <row r="35" spans="1:7" x14ac:dyDescent="0.3">
      <c r="A35" s="12" t="s">
        <v>367</v>
      </c>
      <c r="B35" s="12" t="s">
        <v>49</v>
      </c>
      <c r="C35" s="12" t="s">
        <v>793</v>
      </c>
      <c r="D35" s="12" t="s">
        <v>794</v>
      </c>
      <c r="E35" s="12"/>
      <c r="F35" s="12" t="s">
        <v>749</v>
      </c>
      <c r="G35" s="12" t="s">
        <v>275</v>
      </c>
    </row>
    <row r="36" spans="1:7" x14ac:dyDescent="0.3">
      <c r="A36" s="12" t="s">
        <v>367</v>
      </c>
      <c r="B36" s="12" t="s">
        <v>51</v>
      </c>
      <c r="C36" s="12" t="s">
        <v>793</v>
      </c>
      <c r="D36" s="12" t="s">
        <v>795</v>
      </c>
      <c r="E36" s="12"/>
      <c r="F36" s="12" t="s">
        <v>749</v>
      </c>
      <c r="G36" s="12" t="s">
        <v>275</v>
      </c>
    </row>
    <row r="37" spans="1:7" x14ac:dyDescent="0.3">
      <c r="A37" s="12" t="s">
        <v>367</v>
      </c>
      <c r="B37" s="12" t="s">
        <v>53</v>
      </c>
      <c r="C37" s="12" t="s">
        <v>793</v>
      </c>
      <c r="D37" s="12" t="s">
        <v>805</v>
      </c>
      <c r="E37" s="12"/>
      <c r="F37" s="12" t="s">
        <v>749</v>
      </c>
      <c r="G37" s="12" t="s">
        <v>270</v>
      </c>
    </row>
    <row r="38" spans="1:7" x14ac:dyDescent="0.3">
      <c r="A38" s="12" t="s">
        <v>367</v>
      </c>
      <c r="B38" s="12" t="s">
        <v>54</v>
      </c>
      <c r="C38" s="12" t="s">
        <v>793</v>
      </c>
      <c r="D38" s="12" t="s">
        <v>798</v>
      </c>
      <c r="E38" s="12"/>
      <c r="F38" s="12" t="s">
        <v>749</v>
      </c>
      <c r="G38" s="12" t="s">
        <v>270</v>
      </c>
    </row>
    <row r="39" spans="1:7" x14ac:dyDescent="0.3">
      <c r="A39" s="12" t="s">
        <v>367</v>
      </c>
      <c r="B39" s="12" t="s">
        <v>55</v>
      </c>
      <c r="C39" s="12" t="s">
        <v>796</v>
      </c>
      <c r="D39" s="12" t="s">
        <v>807</v>
      </c>
      <c r="E39" s="12">
        <v>7</v>
      </c>
      <c r="F39" s="12"/>
      <c r="G39" s="12" t="s">
        <v>273</v>
      </c>
    </row>
    <row r="40" spans="1:7" x14ac:dyDescent="0.3">
      <c r="A40" s="12" t="s">
        <v>367</v>
      </c>
      <c r="B40" s="12" t="s">
        <v>57</v>
      </c>
      <c r="C40" s="12" t="s">
        <v>793</v>
      </c>
      <c r="D40" s="12" t="s">
        <v>800</v>
      </c>
      <c r="E40" s="12"/>
      <c r="F40" s="12" t="s">
        <v>749</v>
      </c>
      <c r="G40" s="12" t="s">
        <v>283</v>
      </c>
    </row>
    <row r="41" spans="1:7" x14ac:dyDescent="0.3">
      <c r="A41" s="12" t="s">
        <v>367</v>
      </c>
      <c r="B41" s="12" t="s">
        <v>59</v>
      </c>
      <c r="C41" s="12" t="s">
        <v>793</v>
      </c>
      <c r="D41" s="12" t="s">
        <v>755</v>
      </c>
      <c r="E41" s="12"/>
      <c r="F41" s="12" t="s">
        <v>749</v>
      </c>
      <c r="G41" s="12" t="s">
        <v>273</v>
      </c>
    </row>
    <row r="42" spans="1:7" x14ac:dyDescent="0.3">
      <c r="A42" s="12" t="s">
        <v>367</v>
      </c>
      <c r="B42" s="12" t="s">
        <v>61</v>
      </c>
      <c r="C42" s="12" t="s">
        <v>793</v>
      </c>
      <c r="D42" s="12" t="s">
        <v>757</v>
      </c>
      <c r="E42" s="12"/>
      <c r="F42" s="12" t="s">
        <v>749</v>
      </c>
      <c r="G42" s="12" t="s">
        <v>273</v>
      </c>
    </row>
    <row r="43" spans="1:7" x14ac:dyDescent="0.3">
      <c r="A43" s="12" t="s">
        <v>367</v>
      </c>
      <c r="B43" s="12" t="s">
        <v>63</v>
      </c>
      <c r="C43" s="12" t="s">
        <v>793</v>
      </c>
      <c r="D43" s="12" t="s">
        <v>755</v>
      </c>
      <c r="E43" s="12"/>
      <c r="F43" s="12" t="s">
        <v>749</v>
      </c>
      <c r="G43" s="12" t="s">
        <v>273</v>
      </c>
    </row>
    <row r="44" spans="1:7" x14ac:dyDescent="0.3">
      <c r="A44" s="12" t="s">
        <v>367</v>
      </c>
      <c r="B44" s="12" t="s">
        <v>64</v>
      </c>
      <c r="C44" s="12" t="s">
        <v>793</v>
      </c>
      <c r="D44" s="12" t="s">
        <v>757</v>
      </c>
      <c r="E44" s="12"/>
      <c r="F44" s="12" t="s">
        <v>749</v>
      </c>
      <c r="G44" s="12" t="s">
        <v>273</v>
      </c>
    </row>
    <row r="45" spans="1:7" x14ac:dyDescent="0.3">
      <c r="A45" s="12" t="s">
        <v>367</v>
      </c>
      <c r="B45" s="12" t="s">
        <v>65</v>
      </c>
      <c r="C45" s="12" t="s">
        <v>793</v>
      </c>
      <c r="D45" s="12" t="s">
        <v>801</v>
      </c>
      <c r="E45" s="12"/>
      <c r="F45" s="12" t="s">
        <v>749</v>
      </c>
      <c r="G45" s="12" t="s">
        <v>273</v>
      </c>
    </row>
    <row r="46" spans="1:7" x14ac:dyDescent="0.3">
      <c r="A46" s="12" t="s">
        <v>367</v>
      </c>
      <c r="B46" s="12" t="s">
        <v>66</v>
      </c>
      <c r="C46" s="12" t="s">
        <v>802</v>
      </c>
      <c r="D46" s="12"/>
      <c r="E46" s="12"/>
      <c r="F46" s="12"/>
      <c r="G46" s="12" t="s">
        <v>275</v>
      </c>
    </row>
    <row r="47" spans="1:7" x14ac:dyDescent="0.3">
      <c r="A47" s="12" t="s">
        <v>367</v>
      </c>
      <c r="B47" s="12" t="s">
        <v>803</v>
      </c>
      <c r="C47" s="12" t="s">
        <v>793</v>
      </c>
      <c r="D47" s="12" t="s">
        <v>804</v>
      </c>
      <c r="E47" s="12"/>
      <c r="F47" s="12"/>
      <c r="G47" s="12" t="s">
        <v>273</v>
      </c>
    </row>
    <row r="48" spans="1:7" x14ac:dyDescent="0.3">
      <c r="A48" s="12" t="s">
        <v>369</v>
      </c>
      <c r="B48" s="12" t="s">
        <v>49</v>
      </c>
      <c r="C48" s="12" t="s">
        <v>793</v>
      </c>
      <c r="D48" s="12" t="s">
        <v>794</v>
      </c>
      <c r="E48" s="12"/>
      <c r="F48" s="12" t="s">
        <v>749</v>
      </c>
      <c r="G48" s="12" t="s">
        <v>275</v>
      </c>
    </row>
    <row r="49" spans="1:7" x14ac:dyDescent="0.3">
      <c r="A49" s="12" t="s">
        <v>369</v>
      </c>
      <c r="B49" s="12" t="s">
        <v>51</v>
      </c>
      <c r="C49" s="12" t="s">
        <v>796</v>
      </c>
      <c r="D49" s="12" t="s">
        <v>808</v>
      </c>
      <c r="E49" s="12">
        <v>23</v>
      </c>
      <c r="F49" s="12"/>
      <c r="G49" s="12" t="s">
        <v>275</v>
      </c>
    </row>
    <row r="50" spans="1:7" x14ac:dyDescent="0.3">
      <c r="A50" s="12" t="s">
        <v>369</v>
      </c>
      <c r="B50" s="12" t="s">
        <v>53</v>
      </c>
      <c r="C50" s="12" t="s">
        <v>793</v>
      </c>
      <c r="D50" s="12" t="s">
        <v>805</v>
      </c>
      <c r="E50" s="12"/>
      <c r="F50" s="12" t="s">
        <v>749</v>
      </c>
      <c r="G50" s="12" t="s">
        <v>270</v>
      </c>
    </row>
    <row r="51" spans="1:7" x14ac:dyDescent="0.3">
      <c r="A51" s="12" t="s">
        <v>369</v>
      </c>
      <c r="B51" s="12" t="s">
        <v>54</v>
      </c>
      <c r="C51" s="12" t="s">
        <v>793</v>
      </c>
      <c r="D51" s="12" t="s">
        <v>798</v>
      </c>
      <c r="E51" s="12"/>
      <c r="F51" s="12" t="s">
        <v>749</v>
      </c>
      <c r="G51" s="12" t="s">
        <v>270</v>
      </c>
    </row>
    <row r="52" spans="1:7" x14ac:dyDescent="0.3">
      <c r="A52" s="12" t="s">
        <v>369</v>
      </c>
      <c r="B52" s="12" t="s">
        <v>55</v>
      </c>
      <c r="C52" s="12" t="s">
        <v>793</v>
      </c>
      <c r="D52" s="12" t="s">
        <v>799</v>
      </c>
      <c r="E52" s="12"/>
      <c r="F52" s="12" t="s">
        <v>749</v>
      </c>
      <c r="G52" s="12" t="s">
        <v>273</v>
      </c>
    </row>
    <row r="53" spans="1:7" x14ac:dyDescent="0.3">
      <c r="A53" s="12" t="s">
        <v>369</v>
      </c>
      <c r="B53" s="12" t="s">
        <v>57</v>
      </c>
      <c r="C53" s="12" t="s">
        <v>793</v>
      </c>
      <c r="D53" s="12" t="s">
        <v>800</v>
      </c>
      <c r="E53" s="12"/>
      <c r="F53" s="12" t="s">
        <v>749</v>
      </c>
      <c r="G53" s="12" t="s">
        <v>283</v>
      </c>
    </row>
    <row r="54" spans="1:7" x14ac:dyDescent="0.3">
      <c r="A54" s="12" t="s">
        <v>369</v>
      </c>
      <c r="B54" s="12" t="s">
        <v>59</v>
      </c>
      <c r="C54" s="12" t="s">
        <v>793</v>
      </c>
      <c r="D54" s="12" t="s">
        <v>755</v>
      </c>
      <c r="E54" s="12"/>
      <c r="F54" s="12" t="s">
        <v>749</v>
      </c>
      <c r="G54" s="12" t="s">
        <v>273</v>
      </c>
    </row>
    <row r="55" spans="1:7" x14ac:dyDescent="0.3">
      <c r="A55" s="12" t="s">
        <v>369</v>
      </c>
      <c r="B55" s="12" t="s">
        <v>61</v>
      </c>
      <c r="C55" s="12" t="s">
        <v>793</v>
      </c>
      <c r="D55" s="12" t="s">
        <v>757</v>
      </c>
      <c r="E55" s="12"/>
      <c r="F55" s="12" t="s">
        <v>749</v>
      </c>
      <c r="G55" s="12" t="s">
        <v>273</v>
      </c>
    </row>
    <row r="56" spans="1:7" x14ac:dyDescent="0.3">
      <c r="A56" s="12" t="s">
        <v>369</v>
      </c>
      <c r="B56" s="12" t="s">
        <v>63</v>
      </c>
      <c r="C56" s="12" t="s">
        <v>793</v>
      </c>
      <c r="D56" s="12" t="s">
        <v>755</v>
      </c>
      <c r="E56" s="12"/>
      <c r="F56" s="12" t="s">
        <v>749</v>
      </c>
      <c r="G56" s="12" t="s">
        <v>273</v>
      </c>
    </row>
    <row r="57" spans="1:7" x14ac:dyDescent="0.3">
      <c r="A57" s="12" t="s">
        <v>369</v>
      </c>
      <c r="B57" s="12" t="s">
        <v>64</v>
      </c>
      <c r="C57" s="12" t="s">
        <v>793</v>
      </c>
      <c r="D57" s="12" t="s">
        <v>757</v>
      </c>
      <c r="E57" s="12"/>
      <c r="F57" s="12" t="s">
        <v>749</v>
      </c>
      <c r="G57" s="12" t="s">
        <v>273</v>
      </c>
    </row>
    <row r="58" spans="1:7" x14ac:dyDescent="0.3">
      <c r="A58" s="12" t="s">
        <v>369</v>
      </c>
      <c r="B58" s="12" t="s">
        <v>65</v>
      </c>
      <c r="C58" s="12" t="s">
        <v>793</v>
      </c>
      <c r="D58" s="12" t="s">
        <v>801</v>
      </c>
      <c r="E58" s="12"/>
      <c r="F58" s="12" t="s">
        <v>749</v>
      </c>
      <c r="G58" s="12" t="s">
        <v>273</v>
      </c>
    </row>
    <row r="59" spans="1:7" x14ac:dyDescent="0.3">
      <c r="A59" s="12" t="s">
        <v>369</v>
      </c>
      <c r="B59" s="12" t="s">
        <v>66</v>
      </c>
      <c r="C59" s="12" t="s">
        <v>802</v>
      </c>
      <c r="D59" s="12"/>
      <c r="E59" s="12"/>
      <c r="F59" s="12"/>
      <c r="G59" s="12" t="s">
        <v>275</v>
      </c>
    </row>
    <row r="60" spans="1:7" x14ac:dyDescent="0.3">
      <c r="A60" s="12" t="s">
        <v>369</v>
      </c>
      <c r="B60" s="12" t="s">
        <v>803</v>
      </c>
      <c r="C60" s="12" t="s">
        <v>793</v>
      </c>
      <c r="D60" s="12" t="s">
        <v>804</v>
      </c>
      <c r="E60" s="12"/>
      <c r="F60" s="12"/>
      <c r="G60" s="12" t="s">
        <v>273</v>
      </c>
    </row>
    <row r="62" spans="1:7" x14ac:dyDescent="0.3">
      <c r="A62" s="17" t="s">
        <v>809</v>
      </c>
    </row>
  </sheetData>
  <autoFilter ref="A8:G60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4"/>
  <sheetViews>
    <sheetView workbookViewId="0"/>
  </sheetViews>
  <sheetFormatPr baseColWidth="10" defaultColWidth="8.88671875" defaultRowHeight="14.4" x14ac:dyDescent="0.3"/>
  <cols>
    <col min="1" max="1" width="15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810</v>
      </c>
    </row>
    <row r="2" spans="1:11" x14ac:dyDescent="0.3">
      <c r="A2" t="s">
        <v>784</v>
      </c>
    </row>
    <row r="3" spans="1:11" x14ac:dyDescent="0.3">
      <c r="A3" t="s">
        <v>785</v>
      </c>
    </row>
    <row r="4" spans="1:11" x14ac:dyDescent="0.3">
      <c r="A4" s="15" t="s">
        <v>786</v>
      </c>
    </row>
    <row r="5" spans="1:11" x14ac:dyDescent="0.3">
      <c r="A5" s="15" t="s">
        <v>787</v>
      </c>
    </row>
    <row r="6" spans="1:11" x14ac:dyDescent="0.3">
      <c r="A6" t="s">
        <v>811</v>
      </c>
    </row>
    <row r="8" spans="1:11" x14ac:dyDescent="0.3">
      <c r="A8" s="16" t="s">
        <v>360</v>
      </c>
      <c r="B8" s="16" t="s">
        <v>30</v>
      </c>
      <c r="C8" s="16" t="s">
        <v>812</v>
      </c>
      <c r="D8" s="16" t="s">
        <v>813</v>
      </c>
      <c r="E8" s="16" t="s">
        <v>32</v>
      </c>
      <c r="F8" s="16" t="s">
        <v>33</v>
      </c>
      <c r="G8" s="16" t="s">
        <v>814</v>
      </c>
      <c r="H8" s="16" t="s">
        <v>815</v>
      </c>
      <c r="I8" s="16" t="s">
        <v>816</v>
      </c>
      <c r="J8" s="16" t="s">
        <v>295</v>
      </c>
      <c r="K8" s="16" t="s">
        <v>817</v>
      </c>
    </row>
    <row r="9" spans="1:11" x14ac:dyDescent="0.3">
      <c r="A9" s="12" t="s">
        <v>361</v>
      </c>
      <c r="B9" s="12">
        <v>9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9</v>
      </c>
      <c r="J9" s="12">
        <v>0</v>
      </c>
      <c r="K9" s="12">
        <v>0</v>
      </c>
    </row>
    <row r="10" spans="1:11" x14ac:dyDescent="0.3">
      <c r="A10" s="12" t="s">
        <v>365</v>
      </c>
      <c r="B10" s="12">
        <v>2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2</v>
      </c>
      <c r="J10" s="12">
        <v>0</v>
      </c>
      <c r="K10" s="12">
        <v>0</v>
      </c>
    </row>
    <row r="11" spans="1:11" x14ac:dyDescent="0.3">
      <c r="A11" s="12" t="s">
        <v>367</v>
      </c>
      <c r="B11" s="12">
        <v>7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7</v>
      </c>
      <c r="J11" s="12">
        <v>0</v>
      </c>
      <c r="K11" s="12">
        <v>0</v>
      </c>
    </row>
    <row r="12" spans="1:11" x14ac:dyDescent="0.3">
      <c r="A12" s="12" t="s">
        <v>369</v>
      </c>
      <c r="B12" s="12">
        <v>24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24</v>
      </c>
      <c r="J12" s="12">
        <v>0</v>
      </c>
      <c r="K12" s="12">
        <v>0</v>
      </c>
    </row>
    <row r="14" spans="1:11" x14ac:dyDescent="0.3">
      <c r="A14" s="17" t="s">
        <v>818</v>
      </c>
    </row>
  </sheetData>
  <autoFilter ref="A8:K12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1"/>
  <sheetViews>
    <sheetView workbookViewId="0"/>
  </sheetViews>
  <sheetFormatPr baseColWidth="10" defaultColWidth="8.88671875" defaultRowHeight="14.4" x14ac:dyDescent="0.3"/>
  <cols>
    <col min="1" max="2" width="10" customWidth="1"/>
    <col min="3" max="4" width="15" customWidth="1"/>
    <col min="5" max="5" width="13" customWidth="1"/>
    <col min="6" max="7" width="15" customWidth="1"/>
    <col min="8" max="8" width="10" customWidth="1"/>
    <col min="9" max="10" width="48" customWidth="1"/>
  </cols>
  <sheetData>
    <row r="1" spans="1:10" ht="17.399999999999999" x14ac:dyDescent="0.35">
      <c r="A1" s="1" t="s">
        <v>819</v>
      </c>
    </row>
    <row r="2" spans="1:10" x14ac:dyDescent="0.3">
      <c r="A2" t="s">
        <v>784</v>
      </c>
    </row>
    <row r="3" spans="1:10" x14ac:dyDescent="0.3">
      <c r="A3" t="s">
        <v>785</v>
      </c>
    </row>
    <row r="4" spans="1:10" x14ac:dyDescent="0.3">
      <c r="A4" s="15" t="s">
        <v>786</v>
      </c>
    </row>
    <row r="5" spans="1:10" x14ac:dyDescent="0.3">
      <c r="A5" s="15" t="s">
        <v>787</v>
      </c>
    </row>
    <row r="6" spans="1:10" x14ac:dyDescent="0.3">
      <c r="A6" t="s">
        <v>820</v>
      </c>
    </row>
    <row r="8" spans="1:10" x14ac:dyDescent="0.3">
      <c r="A8" s="16" t="s">
        <v>821</v>
      </c>
      <c r="B8" s="16" t="s">
        <v>822</v>
      </c>
      <c r="C8" s="16" t="s">
        <v>823</v>
      </c>
      <c r="D8" s="16" t="s">
        <v>824</v>
      </c>
      <c r="E8" s="16" t="s">
        <v>825</v>
      </c>
      <c r="F8" s="16" t="s">
        <v>826</v>
      </c>
      <c r="G8" s="16" t="s">
        <v>827</v>
      </c>
      <c r="H8" s="16" t="s">
        <v>828</v>
      </c>
      <c r="I8" s="16" t="s">
        <v>829</v>
      </c>
      <c r="J8" s="16" t="s">
        <v>830</v>
      </c>
    </row>
    <row r="9" spans="1:10" x14ac:dyDescent="0.3">
      <c r="A9" s="12" t="s">
        <v>831</v>
      </c>
      <c r="B9" s="12"/>
      <c r="C9" s="22" t="s">
        <v>832</v>
      </c>
      <c r="D9" s="22" t="s">
        <v>832</v>
      </c>
      <c r="E9" s="12" t="s">
        <v>749</v>
      </c>
      <c r="F9" s="12"/>
      <c r="G9" s="12"/>
      <c r="H9" s="12"/>
      <c r="I9" s="12"/>
      <c r="J9" s="12" t="s">
        <v>833</v>
      </c>
    </row>
    <row r="10" spans="1:10" x14ac:dyDescent="0.3">
      <c r="A10" s="12" t="s">
        <v>269</v>
      </c>
      <c r="B10" s="12">
        <v>2000</v>
      </c>
      <c r="C10" s="22" t="s">
        <v>832</v>
      </c>
      <c r="D10" s="22" t="s">
        <v>832</v>
      </c>
      <c r="E10" s="12" t="s">
        <v>749</v>
      </c>
      <c r="F10" s="12"/>
      <c r="G10" s="12"/>
      <c r="H10" s="12"/>
      <c r="I10" s="12" t="s">
        <v>834</v>
      </c>
      <c r="J10" s="12" t="s">
        <v>835</v>
      </c>
    </row>
    <row r="11" spans="1:10" x14ac:dyDescent="0.3">
      <c r="A11" s="12" t="s">
        <v>269</v>
      </c>
      <c r="B11" s="12">
        <v>2250</v>
      </c>
      <c r="C11" s="22" t="s">
        <v>832</v>
      </c>
      <c r="D11" s="22" t="s">
        <v>832</v>
      </c>
      <c r="E11" s="12" t="s">
        <v>749</v>
      </c>
      <c r="F11" s="12"/>
      <c r="G11" s="12"/>
      <c r="H11" s="12"/>
      <c r="I11" s="12" t="s">
        <v>836</v>
      </c>
      <c r="J11" s="12" t="s">
        <v>837</v>
      </c>
    </row>
    <row r="12" spans="1:10" x14ac:dyDescent="0.3">
      <c r="A12" s="12" t="s">
        <v>269</v>
      </c>
      <c r="B12" s="12">
        <v>2500</v>
      </c>
      <c r="C12" s="22" t="s">
        <v>832</v>
      </c>
      <c r="D12" s="22" t="s">
        <v>832</v>
      </c>
      <c r="E12" s="12" t="s">
        <v>749</v>
      </c>
      <c r="F12" s="12"/>
      <c r="G12" s="12"/>
      <c r="H12" s="12"/>
      <c r="I12" s="12" t="s">
        <v>838</v>
      </c>
      <c r="J12" s="12" t="s">
        <v>839</v>
      </c>
    </row>
    <row r="13" spans="1:10" x14ac:dyDescent="0.3">
      <c r="A13" s="12" t="s">
        <v>269</v>
      </c>
      <c r="B13" s="12">
        <v>2750</v>
      </c>
      <c r="C13" s="22" t="s">
        <v>832</v>
      </c>
      <c r="D13" s="22" t="s">
        <v>832</v>
      </c>
      <c r="E13" s="12" t="s">
        <v>749</v>
      </c>
      <c r="F13" s="12"/>
      <c r="G13" s="12"/>
      <c r="H13" s="12"/>
      <c r="I13" s="12" t="s">
        <v>840</v>
      </c>
      <c r="J13" s="12" t="s">
        <v>841</v>
      </c>
    </row>
    <row r="14" spans="1:10" x14ac:dyDescent="0.3">
      <c r="A14" s="12" t="s">
        <v>269</v>
      </c>
      <c r="B14" s="12">
        <v>3000</v>
      </c>
      <c r="C14" s="22" t="s">
        <v>832</v>
      </c>
      <c r="D14" s="22" t="s">
        <v>832</v>
      </c>
      <c r="E14" s="12" t="s">
        <v>749</v>
      </c>
      <c r="F14" s="12"/>
      <c r="G14" s="12"/>
      <c r="H14" s="12"/>
      <c r="I14" s="12" t="s">
        <v>842</v>
      </c>
      <c r="J14" s="12" t="s">
        <v>843</v>
      </c>
    </row>
    <row r="15" spans="1:10" x14ac:dyDescent="0.3">
      <c r="A15" s="12" t="s">
        <v>269</v>
      </c>
      <c r="B15" s="12">
        <v>3250</v>
      </c>
      <c r="C15" s="22" t="s">
        <v>832</v>
      </c>
      <c r="D15" s="22" t="s">
        <v>832</v>
      </c>
      <c r="E15" s="12" t="s">
        <v>749</v>
      </c>
      <c r="F15" s="12"/>
      <c r="G15" s="12"/>
      <c r="H15" s="12"/>
      <c r="I15" s="12" t="s">
        <v>844</v>
      </c>
      <c r="J15" s="12" t="s">
        <v>845</v>
      </c>
    </row>
    <row r="16" spans="1:10" x14ac:dyDescent="0.3">
      <c r="A16" s="12" t="s">
        <v>269</v>
      </c>
      <c r="B16" s="12">
        <v>3500</v>
      </c>
      <c r="C16" s="22" t="s">
        <v>832</v>
      </c>
      <c r="D16" s="22" t="s">
        <v>832</v>
      </c>
      <c r="E16" s="12" t="s">
        <v>749</v>
      </c>
      <c r="F16" s="12"/>
      <c r="G16" s="12"/>
      <c r="H16" s="12"/>
      <c r="I16" s="12" t="s">
        <v>846</v>
      </c>
      <c r="J16" s="12" t="s">
        <v>847</v>
      </c>
    </row>
    <row r="17" spans="1:10" x14ac:dyDescent="0.3">
      <c r="A17" s="12" t="s">
        <v>269</v>
      </c>
      <c r="B17" s="12">
        <v>3750</v>
      </c>
      <c r="C17" s="22" t="s">
        <v>832</v>
      </c>
      <c r="D17" s="22" t="s">
        <v>832</v>
      </c>
      <c r="E17" s="12" t="s">
        <v>749</v>
      </c>
      <c r="F17" s="12"/>
      <c r="G17" s="12"/>
      <c r="H17" s="12"/>
      <c r="I17" s="12" t="s">
        <v>848</v>
      </c>
      <c r="J17" s="12" t="s">
        <v>849</v>
      </c>
    </row>
    <row r="18" spans="1:10" x14ac:dyDescent="0.3">
      <c r="A18" s="12" t="s">
        <v>269</v>
      </c>
      <c r="B18" s="12">
        <v>4000</v>
      </c>
      <c r="C18" s="22" t="s">
        <v>832</v>
      </c>
      <c r="D18" s="22" t="s">
        <v>832</v>
      </c>
      <c r="E18" s="12" t="s">
        <v>749</v>
      </c>
      <c r="F18" s="12"/>
      <c r="G18" s="12"/>
      <c r="H18" s="12"/>
      <c r="I18" s="12" t="s">
        <v>850</v>
      </c>
      <c r="J18" s="12" t="s">
        <v>851</v>
      </c>
    </row>
    <row r="19" spans="1:10" x14ac:dyDescent="0.3">
      <c r="A19" s="12" t="s">
        <v>272</v>
      </c>
      <c r="B19" s="12">
        <v>0.4</v>
      </c>
      <c r="C19" s="22" t="s">
        <v>832</v>
      </c>
      <c r="D19" s="22" t="s">
        <v>832</v>
      </c>
      <c r="E19" s="12" t="s">
        <v>749</v>
      </c>
      <c r="F19" s="12"/>
      <c r="G19" s="12"/>
      <c r="H19" s="12"/>
      <c r="I19" s="12" t="s">
        <v>852</v>
      </c>
      <c r="J19" s="12" t="s">
        <v>853</v>
      </c>
    </row>
    <row r="20" spans="1:10" x14ac:dyDescent="0.3">
      <c r="A20" s="12" t="s">
        <v>272</v>
      </c>
      <c r="B20" s="12">
        <v>0.45</v>
      </c>
      <c r="C20" s="22" t="s">
        <v>832</v>
      </c>
      <c r="D20" s="22" t="s">
        <v>832</v>
      </c>
      <c r="E20" s="12" t="s">
        <v>749</v>
      </c>
      <c r="F20" s="12"/>
      <c r="G20" s="12"/>
      <c r="H20" s="12"/>
      <c r="I20" s="12" t="s">
        <v>854</v>
      </c>
      <c r="J20" s="12" t="s">
        <v>855</v>
      </c>
    </row>
    <row r="21" spans="1:10" x14ac:dyDescent="0.3">
      <c r="A21" s="12" t="s">
        <v>272</v>
      </c>
      <c r="B21" s="12">
        <v>0.5</v>
      </c>
      <c r="C21" s="22" t="s">
        <v>832</v>
      </c>
      <c r="D21" s="22" t="s">
        <v>832</v>
      </c>
      <c r="E21" s="12" t="s">
        <v>749</v>
      </c>
      <c r="F21" s="12"/>
      <c r="G21" s="12"/>
      <c r="H21" s="12"/>
      <c r="I21" s="12" t="s">
        <v>842</v>
      </c>
      <c r="J21" s="12" t="s">
        <v>843</v>
      </c>
    </row>
    <row r="22" spans="1:10" x14ac:dyDescent="0.3">
      <c r="A22" s="12" t="s">
        <v>272</v>
      </c>
      <c r="B22" s="12">
        <v>0.55000000000000004</v>
      </c>
      <c r="C22" s="22" t="s">
        <v>832</v>
      </c>
      <c r="D22" s="22" t="s">
        <v>832</v>
      </c>
      <c r="E22" s="12" t="s">
        <v>749</v>
      </c>
      <c r="F22" s="12"/>
      <c r="G22" s="12"/>
      <c r="H22" s="12"/>
      <c r="I22" s="12" t="s">
        <v>856</v>
      </c>
      <c r="J22" s="12" t="s">
        <v>857</v>
      </c>
    </row>
    <row r="23" spans="1:10" x14ac:dyDescent="0.3">
      <c r="A23" s="12" t="s">
        <v>272</v>
      </c>
      <c r="B23" s="12">
        <v>0.6</v>
      </c>
      <c r="C23" s="22" t="s">
        <v>832</v>
      </c>
      <c r="D23" s="22" t="s">
        <v>832</v>
      </c>
      <c r="E23" s="12" t="s">
        <v>749</v>
      </c>
      <c r="F23" s="12"/>
      <c r="G23" s="12"/>
      <c r="H23" s="12"/>
      <c r="I23" s="12" t="s">
        <v>858</v>
      </c>
      <c r="J23" s="12" t="s">
        <v>859</v>
      </c>
    </row>
    <row r="24" spans="1:10" x14ac:dyDescent="0.3">
      <c r="A24" s="12" t="s">
        <v>272</v>
      </c>
      <c r="B24" s="12">
        <v>0.65</v>
      </c>
      <c r="C24" s="22" t="s">
        <v>832</v>
      </c>
      <c r="D24" s="22" t="s">
        <v>832</v>
      </c>
      <c r="E24" s="12" t="s">
        <v>749</v>
      </c>
      <c r="F24" s="12"/>
      <c r="G24" s="12"/>
      <c r="H24" s="12"/>
      <c r="I24" s="12" t="s">
        <v>858</v>
      </c>
      <c r="J24" s="12" t="s">
        <v>859</v>
      </c>
    </row>
    <row r="25" spans="1:10" x14ac:dyDescent="0.3">
      <c r="A25" s="12" t="s">
        <v>272</v>
      </c>
      <c r="B25" s="12">
        <v>0.7</v>
      </c>
      <c r="C25" s="22" t="s">
        <v>832</v>
      </c>
      <c r="D25" s="22" t="s">
        <v>832</v>
      </c>
      <c r="E25" s="12" t="s">
        <v>749</v>
      </c>
      <c r="F25" s="12"/>
      <c r="G25" s="12"/>
      <c r="H25" s="12"/>
      <c r="I25" s="12" t="s">
        <v>858</v>
      </c>
      <c r="J25" s="12" t="s">
        <v>859</v>
      </c>
    </row>
    <row r="26" spans="1:10" x14ac:dyDescent="0.3">
      <c r="A26" s="12" t="s">
        <v>860</v>
      </c>
      <c r="B26" s="12">
        <v>299.39999999999998</v>
      </c>
      <c r="C26" s="22" t="s">
        <v>832</v>
      </c>
      <c r="D26" s="22" t="s">
        <v>832</v>
      </c>
      <c r="E26" s="12" t="s">
        <v>749</v>
      </c>
      <c r="F26" s="12"/>
      <c r="G26" s="12"/>
      <c r="H26" s="12"/>
      <c r="I26" s="12" t="s">
        <v>842</v>
      </c>
      <c r="J26" s="12" t="s">
        <v>861</v>
      </c>
    </row>
    <row r="27" spans="1:10" x14ac:dyDescent="0.3">
      <c r="A27" s="12" t="s">
        <v>860</v>
      </c>
      <c r="B27" s="12">
        <v>299.2</v>
      </c>
      <c r="C27" s="22" t="s">
        <v>832</v>
      </c>
      <c r="D27" s="22" t="s">
        <v>832</v>
      </c>
      <c r="E27" s="12" t="s">
        <v>749</v>
      </c>
      <c r="F27" s="12"/>
      <c r="G27" s="12"/>
      <c r="H27" s="12"/>
      <c r="I27" s="12" t="s">
        <v>842</v>
      </c>
      <c r="J27" s="12" t="s">
        <v>862</v>
      </c>
    </row>
    <row r="28" spans="1:10" x14ac:dyDescent="0.3">
      <c r="A28" s="12" t="s">
        <v>860</v>
      </c>
      <c r="B28" s="12">
        <v>299.10000000000002</v>
      </c>
      <c r="C28" s="22" t="s">
        <v>832</v>
      </c>
      <c r="D28" s="22" t="s">
        <v>832</v>
      </c>
      <c r="E28" s="12" t="s">
        <v>749</v>
      </c>
      <c r="F28" s="12"/>
      <c r="G28" s="12"/>
      <c r="H28" s="12"/>
      <c r="I28" s="12" t="s">
        <v>842</v>
      </c>
      <c r="J28" s="12" t="s">
        <v>863</v>
      </c>
    </row>
    <row r="29" spans="1:10" x14ac:dyDescent="0.3">
      <c r="A29" s="12" t="s">
        <v>860</v>
      </c>
      <c r="B29" s="12">
        <v>298.95</v>
      </c>
      <c r="C29" s="22" t="s">
        <v>832</v>
      </c>
      <c r="D29" s="22" t="s">
        <v>832</v>
      </c>
      <c r="E29" s="12" t="s">
        <v>749</v>
      </c>
      <c r="F29" s="12"/>
      <c r="G29" s="12"/>
      <c r="H29" s="12"/>
      <c r="I29" s="12" t="s">
        <v>842</v>
      </c>
      <c r="J29" s="12" t="s">
        <v>864</v>
      </c>
    </row>
    <row r="30" spans="1:10" x14ac:dyDescent="0.3">
      <c r="A30" s="12" t="s">
        <v>860</v>
      </c>
      <c r="B30" s="12">
        <v>298.89999999999998</v>
      </c>
      <c r="C30" s="22" t="s">
        <v>832</v>
      </c>
      <c r="D30" s="22" t="s">
        <v>832</v>
      </c>
      <c r="E30" s="12" t="s">
        <v>749</v>
      </c>
      <c r="F30" s="12"/>
      <c r="G30" s="12"/>
      <c r="H30" s="12"/>
      <c r="I30" s="12" t="s">
        <v>842</v>
      </c>
      <c r="J30" s="12" t="s">
        <v>865</v>
      </c>
    </row>
    <row r="31" spans="1:10" x14ac:dyDescent="0.3">
      <c r="A31" s="12" t="s">
        <v>860</v>
      </c>
      <c r="B31" s="12">
        <v>298.7</v>
      </c>
      <c r="C31" s="22" t="s">
        <v>832</v>
      </c>
      <c r="D31" s="22" t="s">
        <v>832</v>
      </c>
      <c r="E31" s="12" t="s">
        <v>749</v>
      </c>
      <c r="F31" s="12"/>
      <c r="G31" s="12"/>
      <c r="H31" s="12"/>
      <c r="I31" s="12" t="s">
        <v>842</v>
      </c>
      <c r="J31" s="12" t="s">
        <v>866</v>
      </c>
    </row>
    <row r="32" spans="1:10" x14ac:dyDescent="0.3">
      <c r="A32" s="12" t="s">
        <v>860</v>
      </c>
      <c r="B32" s="12">
        <v>298.5</v>
      </c>
      <c r="C32" s="22" t="s">
        <v>832</v>
      </c>
      <c r="D32" s="22" t="s">
        <v>832</v>
      </c>
      <c r="E32" s="12" t="s">
        <v>749</v>
      </c>
      <c r="F32" s="12"/>
      <c r="G32" s="12"/>
      <c r="H32" s="12"/>
      <c r="I32" s="12" t="s">
        <v>842</v>
      </c>
      <c r="J32" s="12" t="s">
        <v>867</v>
      </c>
    </row>
    <row r="33" spans="1:10" x14ac:dyDescent="0.3">
      <c r="A33" s="12" t="s">
        <v>860</v>
      </c>
      <c r="B33" s="12">
        <v>298.3</v>
      </c>
      <c r="C33" s="22" t="s">
        <v>832</v>
      </c>
      <c r="D33" s="22" t="s">
        <v>832</v>
      </c>
      <c r="E33" s="12" t="s">
        <v>749</v>
      </c>
      <c r="F33" s="12"/>
      <c r="G33" s="12"/>
      <c r="H33" s="12"/>
      <c r="I33" s="12" t="s">
        <v>842</v>
      </c>
      <c r="J33" s="12" t="s">
        <v>868</v>
      </c>
    </row>
    <row r="34" spans="1:10" x14ac:dyDescent="0.3">
      <c r="A34" s="12" t="s">
        <v>860</v>
      </c>
      <c r="B34" s="12">
        <v>298.2</v>
      </c>
      <c r="C34" s="22" t="s">
        <v>832</v>
      </c>
      <c r="D34" s="22" t="s">
        <v>832</v>
      </c>
      <c r="E34" s="12" t="s">
        <v>749</v>
      </c>
      <c r="F34" s="12"/>
      <c r="G34" s="12"/>
      <c r="H34" s="12"/>
      <c r="I34" s="12" t="s">
        <v>842</v>
      </c>
      <c r="J34" s="12" t="s">
        <v>869</v>
      </c>
    </row>
    <row r="35" spans="1:10" x14ac:dyDescent="0.3">
      <c r="A35" s="12" t="s">
        <v>860</v>
      </c>
      <c r="B35" s="12">
        <v>298</v>
      </c>
      <c r="C35" s="22" t="s">
        <v>832</v>
      </c>
      <c r="D35" s="22" t="s">
        <v>832</v>
      </c>
      <c r="E35" s="12" t="s">
        <v>749</v>
      </c>
      <c r="F35" s="12"/>
      <c r="G35" s="12"/>
      <c r="H35" s="12"/>
      <c r="I35" s="12" t="s">
        <v>842</v>
      </c>
      <c r="J35" s="12" t="s">
        <v>870</v>
      </c>
    </row>
    <row r="36" spans="1:10" x14ac:dyDescent="0.3">
      <c r="A36" s="12" t="s">
        <v>860</v>
      </c>
      <c r="B36" s="12">
        <v>297.95</v>
      </c>
      <c r="C36" s="22" t="s">
        <v>832</v>
      </c>
      <c r="D36" s="22" t="s">
        <v>832</v>
      </c>
      <c r="E36" s="12" t="s">
        <v>749</v>
      </c>
      <c r="F36" s="12"/>
      <c r="G36" s="12"/>
      <c r="H36" s="12"/>
      <c r="I36" s="12" t="s">
        <v>842</v>
      </c>
      <c r="J36" s="12" t="s">
        <v>871</v>
      </c>
    </row>
    <row r="37" spans="1:10" x14ac:dyDescent="0.3">
      <c r="A37" s="12" t="s">
        <v>860</v>
      </c>
      <c r="B37" s="12">
        <v>298.64999999999998</v>
      </c>
      <c r="C37" s="22" t="s">
        <v>832</v>
      </c>
      <c r="D37" s="22" t="s">
        <v>832</v>
      </c>
      <c r="E37" s="12" t="s">
        <v>749</v>
      </c>
      <c r="F37" s="12"/>
      <c r="G37" s="12"/>
      <c r="H37" s="12"/>
      <c r="I37" s="12" t="s">
        <v>842</v>
      </c>
      <c r="J37" s="12" t="s">
        <v>872</v>
      </c>
    </row>
    <row r="38" spans="1:10" x14ac:dyDescent="0.3">
      <c r="A38" s="12" t="s">
        <v>860</v>
      </c>
      <c r="B38" s="12">
        <v>300.49</v>
      </c>
      <c r="C38" s="22" t="s">
        <v>832</v>
      </c>
      <c r="D38" s="22" t="s">
        <v>832</v>
      </c>
      <c r="E38" s="12" t="s">
        <v>749</v>
      </c>
      <c r="F38" s="12"/>
      <c r="G38" s="12"/>
      <c r="H38" s="12"/>
      <c r="I38" s="12" t="s">
        <v>842</v>
      </c>
      <c r="J38" s="12" t="s">
        <v>873</v>
      </c>
    </row>
    <row r="39" spans="1:10" x14ac:dyDescent="0.3">
      <c r="A39" s="12" t="s">
        <v>860</v>
      </c>
      <c r="B39" s="12">
        <v>301.55</v>
      </c>
      <c r="C39" s="22" t="s">
        <v>832</v>
      </c>
      <c r="D39" s="22" t="s">
        <v>832</v>
      </c>
      <c r="E39" s="12" t="s">
        <v>749</v>
      </c>
      <c r="F39" s="12"/>
      <c r="G39" s="12"/>
      <c r="H39" s="12"/>
      <c r="I39" s="12" t="s">
        <v>842</v>
      </c>
      <c r="J39" s="12" t="s">
        <v>874</v>
      </c>
    </row>
    <row r="40" spans="1:10" x14ac:dyDescent="0.3">
      <c r="A40" s="12" t="s">
        <v>860</v>
      </c>
      <c r="B40" s="12">
        <v>302.39999999999998</v>
      </c>
      <c r="C40" s="22" t="s">
        <v>832</v>
      </c>
      <c r="D40" s="22" t="s">
        <v>832</v>
      </c>
      <c r="E40" s="12" t="s">
        <v>749</v>
      </c>
      <c r="F40" s="12"/>
      <c r="G40" s="12"/>
      <c r="H40" s="12"/>
      <c r="I40" s="12" t="s">
        <v>842</v>
      </c>
      <c r="J40" s="12" t="s">
        <v>875</v>
      </c>
    </row>
    <row r="41" spans="1:10" x14ac:dyDescent="0.3">
      <c r="A41" s="12" t="s">
        <v>860</v>
      </c>
      <c r="B41" s="12">
        <v>303.10000000000002</v>
      </c>
      <c r="C41" s="22" t="s">
        <v>832</v>
      </c>
      <c r="D41" s="22" t="s">
        <v>832</v>
      </c>
      <c r="E41" s="12" t="s">
        <v>749</v>
      </c>
      <c r="F41" s="12"/>
      <c r="G41" s="12"/>
      <c r="H41" s="12"/>
      <c r="I41" s="12" t="s">
        <v>842</v>
      </c>
      <c r="J41" s="12" t="s">
        <v>876</v>
      </c>
    </row>
    <row r="42" spans="1:10" x14ac:dyDescent="0.3">
      <c r="A42" s="12" t="s">
        <v>860</v>
      </c>
      <c r="B42" s="12">
        <v>303.55</v>
      </c>
      <c r="C42" s="22" t="s">
        <v>832</v>
      </c>
      <c r="D42" s="22" t="s">
        <v>832</v>
      </c>
      <c r="E42" s="12" t="s">
        <v>749</v>
      </c>
      <c r="F42" s="12"/>
      <c r="G42" s="12"/>
      <c r="H42" s="12"/>
      <c r="I42" s="12" t="s">
        <v>842</v>
      </c>
      <c r="J42" s="12" t="s">
        <v>877</v>
      </c>
    </row>
    <row r="43" spans="1:10" x14ac:dyDescent="0.3">
      <c r="A43" s="12" t="s">
        <v>860</v>
      </c>
      <c r="B43" s="12">
        <v>302.89999999999998</v>
      </c>
      <c r="C43" s="22" t="s">
        <v>832</v>
      </c>
      <c r="D43" s="22" t="s">
        <v>832</v>
      </c>
      <c r="E43" s="12" t="s">
        <v>749</v>
      </c>
      <c r="F43" s="12"/>
      <c r="G43" s="12"/>
      <c r="H43" s="12"/>
      <c r="I43" s="12" t="s">
        <v>842</v>
      </c>
      <c r="J43" s="12" t="s">
        <v>878</v>
      </c>
    </row>
    <row r="44" spans="1:10" x14ac:dyDescent="0.3">
      <c r="A44" s="12" t="s">
        <v>860</v>
      </c>
      <c r="B44" s="12">
        <v>302.25</v>
      </c>
      <c r="C44" s="22" t="s">
        <v>832</v>
      </c>
      <c r="D44" s="22" t="s">
        <v>832</v>
      </c>
      <c r="E44" s="12" t="s">
        <v>749</v>
      </c>
      <c r="F44" s="12"/>
      <c r="G44" s="12"/>
      <c r="H44" s="12"/>
      <c r="I44" s="12" t="s">
        <v>842</v>
      </c>
      <c r="J44" s="12" t="s">
        <v>879</v>
      </c>
    </row>
    <row r="45" spans="1:10" x14ac:dyDescent="0.3">
      <c r="A45" s="12" t="s">
        <v>860</v>
      </c>
      <c r="B45" s="12">
        <v>301.64999999999998</v>
      </c>
      <c r="C45" s="22" t="s">
        <v>832</v>
      </c>
      <c r="D45" s="22" t="s">
        <v>832</v>
      </c>
      <c r="E45" s="12" t="s">
        <v>749</v>
      </c>
      <c r="F45" s="12"/>
      <c r="G45" s="12"/>
      <c r="H45" s="12"/>
      <c r="I45" s="12" t="s">
        <v>842</v>
      </c>
      <c r="J45" s="12" t="s">
        <v>880</v>
      </c>
    </row>
    <row r="46" spans="1:10" x14ac:dyDescent="0.3">
      <c r="A46" s="12" t="s">
        <v>860</v>
      </c>
      <c r="B46" s="12">
        <v>300.89999999999998</v>
      </c>
      <c r="C46" s="22" t="s">
        <v>832</v>
      </c>
      <c r="D46" s="22" t="s">
        <v>832</v>
      </c>
      <c r="E46" s="12" t="s">
        <v>749</v>
      </c>
      <c r="F46" s="12"/>
      <c r="G46" s="12"/>
      <c r="H46" s="12"/>
      <c r="I46" s="12" t="s">
        <v>842</v>
      </c>
      <c r="J46" s="12" t="s">
        <v>881</v>
      </c>
    </row>
    <row r="47" spans="1:10" x14ac:dyDescent="0.3">
      <c r="A47" s="12" t="s">
        <v>860</v>
      </c>
      <c r="B47" s="12">
        <v>299.8</v>
      </c>
      <c r="C47" s="22" t="s">
        <v>832</v>
      </c>
      <c r="D47" s="22" t="s">
        <v>832</v>
      </c>
      <c r="E47" s="12" t="s">
        <v>749</v>
      </c>
      <c r="F47" s="12"/>
      <c r="G47" s="12"/>
      <c r="H47" s="12"/>
      <c r="I47" s="12" t="s">
        <v>842</v>
      </c>
      <c r="J47" s="12" t="s">
        <v>882</v>
      </c>
    </row>
    <row r="48" spans="1:10" x14ac:dyDescent="0.3">
      <c r="A48" s="12" t="s">
        <v>860</v>
      </c>
      <c r="B48" s="12">
        <v>299.2</v>
      </c>
      <c r="C48" s="22" t="s">
        <v>832</v>
      </c>
      <c r="D48" s="22" t="s">
        <v>832</v>
      </c>
      <c r="E48" s="12" t="s">
        <v>749</v>
      </c>
      <c r="F48" s="12"/>
      <c r="G48" s="12"/>
      <c r="H48" s="12"/>
      <c r="I48" s="12" t="s">
        <v>842</v>
      </c>
      <c r="J48" s="12" t="s">
        <v>862</v>
      </c>
    </row>
    <row r="49" spans="1:10" x14ac:dyDescent="0.3">
      <c r="A49" s="12" t="s">
        <v>860</v>
      </c>
      <c r="B49" s="12">
        <v>299.14999999999998</v>
      </c>
      <c r="C49" s="22" t="s">
        <v>832</v>
      </c>
      <c r="D49" s="22" t="s">
        <v>832</v>
      </c>
      <c r="E49" s="12" t="s">
        <v>749</v>
      </c>
      <c r="F49" s="12"/>
      <c r="G49" s="12"/>
      <c r="H49" s="12"/>
      <c r="I49" s="12" t="s">
        <v>842</v>
      </c>
      <c r="J49" s="12" t="s">
        <v>883</v>
      </c>
    </row>
    <row r="51" spans="1:10" x14ac:dyDescent="0.3">
      <c r="A51" s="17" t="s">
        <v>884</v>
      </c>
    </row>
  </sheetData>
  <autoFilter ref="A8:J49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3"/>
  <sheetViews>
    <sheetView workbookViewId="0"/>
  </sheetViews>
  <sheetFormatPr baseColWidth="10" defaultColWidth="8.88671875" defaultRowHeight="14.4" x14ac:dyDescent="0.3"/>
  <cols>
    <col min="1" max="1" width="11" customWidth="1"/>
    <col min="2" max="2" width="48" customWidth="1"/>
    <col min="3" max="3" width="14" customWidth="1"/>
    <col min="4" max="4" width="24" customWidth="1"/>
    <col min="5" max="5" width="15" customWidth="1"/>
    <col min="6" max="6" width="11" customWidth="1"/>
    <col min="7" max="7" width="21" customWidth="1"/>
    <col min="8" max="8" width="10" customWidth="1"/>
  </cols>
  <sheetData>
    <row r="1" spans="1:8" ht="17.399999999999999" x14ac:dyDescent="0.35">
      <c r="A1" s="1" t="s">
        <v>885</v>
      </c>
    </row>
    <row r="2" spans="1:8" x14ac:dyDescent="0.3">
      <c r="A2" t="s">
        <v>886</v>
      </c>
    </row>
    <row r="3" spans="1:8" x14ac:dyDescent="0.3">
      <c r="A3" t="s">
        <v>887</v>
      </c>
    </row>
    <row r="4" spans="1:8" x14ac:dyDescent="0.3">
      <c r="A4" s="15" t="s">
        <v>888</v>
      </c>
    </row>
    <row r="5" spans="1:8" x14ac:dyDescent="0.3">
      <c r="A5" s="15" t="s">
        <v>889</v>
      </c>
    </row>
    <row r="6" spans="1:8" x14ac:dyDescent="0.3">
      <c r="A6" t="s">
        <v>788</v>
      </c>
    </row>
    <row r="8" spans="1:8" x14ac:dyDescent="0.3">
      <c r="A8" s="16" t="s">
        <v>360</v>
      </c>
      <c r="B8" s="16" t="s">
        <v>712</v>
      </c>
      <c r="C8" s="16" t="s">
        <v>789</v>
      </c>
      <c r="D8" s="16" t="s">
        <v>890</v>
      </c>
      <c r="E8" s="16" t="s">
        <v>790</v>
      </c>
      <c r="F8" s="16" t="s">
        <v>791</v>
      </c>
      <c r="G8" s="16" t="s">
        <v>792</v>
      </c>
      <c r="H8" s="16" t="s">
        <v>266</v>
      </c>
    </row>
    <row r="9" spans="1:8" x14ac:dyDescent="0.3">
      <c r="A9" s="12" t="s">
        <v>96</v>
      </c>
      <c r="B9" s="12" t="s">
        <v>49</v>
      </c>
      <c r="C9" s="12" t="s">
        <v>891</v>
      </c>
      <c r="D9" s="12">
        <v>623.1</v>
      </c>
      <c r="E9" s="12" t="s">
        <v>892</v>
      </c>
      <c r="F9" s="12">
        <v>22</v>
      </c>
      <c r="G9" s="12"/>
      <c r="H9" s="12" t="s">
        <v>275</v>
      </c>
    </row>
    <row r="10" spans="1:8" x14ac:dyDescent="0.3">
      <c r="A10" s="12" t="s">
        <v>96</v>
      </c>
      <c r="B10" s="12" t="s">
        <v>51</v>
      </c>
      <c r="C10" s="12" t="s">
        <v>891</v>
      </c>
      <c r="D10" s="12">
        <v>300</v>
      </c>
      <c r="E10" s="12" t="s">
        <v>893</v>
      </c>
      <c r="F10" s="12">
        <v>11</v>
      </c>
      <c r="G10" s="12"/>
      <c r="H10" s="12" t="s">
        <v>275</v>
      </c>
    </row>
    <row r="11" spans="1:8" x14ac:dyDescent="0.3">
      <c r="A11" s="12" t="s">
        <v>96</v>
      </c>
      <c r="B11" s="12" t="s">
        <v>53</v>
      </c>
      <c r="C11" s="12" t="s">
        <v>891</v>
      </c>
      <c r="D11" s="12">
        <v>3000</v>
      </c>
      <c r="E11" s="12" t="s">
        <v>894</v>
      </c>
      <c r="F11" s="12">
        <v>24</v>
      </c>
      <c r="G11" s="12"/>
      <c r="H11" s="12" t="s">
        <v>270</v>
      </c>
    </row>
    <row r="12" spans="1:8" x14ac:dyDescent="0.3">
      <c r="A12" s="12" t="s">
        <v>96</v>
      </c>
      <c r="B12" s="12" t="s">
        <v>54</v>
      </c>
      <c r="C12" s="12" t="s">
        <v>891</v>
      </c>
      <c r="D12" s="12">
        <v>400</v>
      </c>
      <c r="E12" s="12" t="s">
        <v>895</v>
      </c>
      <c r="F12" s="12">
        <v>11</v>
      </c>
      <c r="G12" s="12"/>
      <c r="H12" s="12" t="s">
        <v>270</v>
      </c>
    </row>
    <row r="13" spans="1:8" x14ac:dyDescent="0.3">
      <c r="A13" s="12" t="s">
        <v>96</v>
      </c>
      <c r="B13" s="12" t="s">
        <v>55</v>
      </c>
      <c r="C13" s="12" t="s">
        <v>891</v>
      </c>
      <c r="D13" s="12">
        <v>0.5</v>
      </c>
      <c r="E13" s="12" t="s">
        <v>896</v>
      </c>
      <c r="F13" s="12">
        <v>14</v>
      </c>
      <c r="G13" s="12"/>
      <c r="H13" s="12" t="s">
        <v>273</v>
      </c>
    </row>
    <row r="14" spans="1:8" x14ac:dyDescent="0.3">
      <c r="A14" s="12" t="s">
        <v>96</v>
      </c>
      <c r="B14" s="12" t="s">
        <v>57</v>
      </c>
      <c r="C14" s="12" t="s">
        <v>793</v>
      </c>
      <c r="D14" s="12">
        <v>1</v>
      </c>
      <c r="E14" s="12" t="s">
        <v>800</v>
      </c>
      <c r="F14" s="12"/>
      <c r="G14" s="12" t="s">
        <v>749</v>
      </c>
      <c r="H14" s="12" t="s">
        <v>283</v>
      </c>
    </row>
    <row r="15" spans="1:8" x14ac:dyDescent="0.3">
      <c r="A15" s="12" t="s">
        <v>96</v>
      </c>
      <c r="B15" s="12" t="s">
        <v>59</v>
      </c>
      <c r="C15" s="12" t="s">
        <v>891</v>
      </c>
      <c r="D15" s="12">
        <v>0.85</v>
      </c>
      <c r="E15" s="12" t="s">
        <v>897</v>
      </c>
      <c r="F15" s="12">
        <v>10</v>
      </c>
      <c r="G15" s="12"/>
      <c r="H15" s="12" t="s">
        <v>273</v>
      </c>
    </row>
    <row r="16" spans="1:8" x14ac:dyDescent="0.3">
      <c r="A16" s="12" t="s">
        <v>96</v>
      </c>
      <c r="B16" s="12" t="s">
        <v>61</v>
      </c>
      <c r="C16" s="12" t="s">
        <v>891</v>
      </c>
      <c r="D16" s="12">
        <v>0.75</v>
      </c>
      <c r="E16" s="12" t="s">
        <v>898</v>
      </c>
      <c r="F16" s="12">
        <v>11</v>
      </c>
      <c r="G16" s="12"/>
      <c r="H16" s="12" t="s">
        <v>273</v>
      </c>
    </row>
    <row r="17" spans="1:8" x14ac:dyDescent="0.3">
      <c r="A17" s="12" t="s">
        <v>96</v>
      </c>
      <c r="B17" s="12" t="s">
        <v>63</v>
      </c>
      <c r="C17" s="12" t="s">
        <v>891</v>
      </c>
      <c r="D17" s="12">
        <v>0.85</v>
      </c>
      <c r="E17" s="12" t="s">
        <v>899</v>
      </c>
      <c r="F17" s="12">
        <v>12</v>
      </c>
      <c r="G17" s="12"/>
      <c r="H17" s="12" t="s">
        <v>273</v>
      </c>
    </row>
    <row r="18" spans="1:8" x14ac:dyDescent="0.3">
      <c r="A18" s="12" t="s">
        <v>96</v>
      </c>
      <c r="B18" s="12" t="s">
        <v>64</v>
      </c>
      <c r="C18" s="12" t="s">
        <v>891</v>
      </c>
      <c r="D18" s="12">
        <v>0.75</v>
      </c>
      <c r="E18" s="12" t="s">
        <v>899</v>
      </c>
      <c r="F18" s="12">
        <v>10</v>
      </c>
      <c r="G18" s="12"/>
      <c r="H18" s="12" t="s">
        <v>273</v>
      </c>
    </row>
    <row r="19" spans="1:8" x14ac:dyDescent="0.3">
      <c r="A19" s="12" t="s">
        <v>96</v>
      </c>
      <c r="B19" s="12" t="s">
        <v>65</v>
      </c>
      <c r="C19" s="12" t="s">
        <v>891</v>
      </c>
      <c r="D19" s="12">
        <v>0.8</v>
      </c>
      <c r="E19" s="12" t="s">
        <v>899</v>
      </c>
      <c r="F19" s="12">
        <v>11</v>
      </c>
      <c r="G19" s="12"/>
      <c r="H19" s="12" t="s">
        <v>273</v>
      </c>
    </row>
    <row r="20" spans="1:8" x14ac:dyDescent="0.3">
      <c r="A20" s="12" t="s">
        <v>96</v>
      </c>
      <c r="B20" s="12" t="s">
        <v>66</v>
      </c>
      <c r="C20" s="12" t="s">
        <v>802</v>
      </c>
      <c r="D20" s="12"/>
      <c r="E20" s="12"/>
      <c r="F20" s="12"/>
      <c r="G20" s="12"/>
      <c r="H20" s="12" t="s">
        <v>275</v>
      </c>
    </row>
    <row r="21" spans="1:8" x14ac:dyDescent="0.3">
      <c r="A21" s="12" t="s">
        <v>96</v>
      </c>
      <c r="B21" s="12" t="s">
        <v>803</v>
      </c>
      <c r="C21" s="12" t="s">
        <v>793</v>
      </c>
      <c r="D21" s="12"/>
      <c r="E21" s="12" t="s">
        <v>804</v>
      </c>
      <c r="F21" s="12"/>
      <c r="G21" s="12"/>
      <c r="H21" s="12" t="s">
        <v>273</v>
      </c>
    </row>
    <row r="23" spans="1:8" x14ac:dyDescent="0.3">
      <c r="A23" s="17" t="s">
        <v>900</v>
      </c>
    </row>
  </sheetData>
  <autoFilter ref="A8:H21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1"/>
  <sheetViews>
    <sheetView workbookViewId="0"/>
  </sheetViews>
  <sheetFormatPr baseColWidth="10" defaultColWidth="8.88671875" defaultRowHeight="14.4" x14ac:dyDescent="0.3"/>
  <cols>
    <col min="1" max="1" width="11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901</v>
      </c>
    </row>
    <row r="2" spans="1:11" x14ac:dyDescent="0.3">
      <c r="A2" t="s">
        <v>886</v>
      </c>
    </row>
    <row r="3" spans="1:11" x14ac:dyDescent="0.3">
      <c r="A3" t="s">
        <v>887</v>
      </c>
    </row>
    <row r="4" spans="1:11" x14ac:dyDescent="0.3">
      <c r="A4" s="15" t="s">
        <v>888</v>
      </c>
    </row>
    <row r="5" spans="1:11" x14ac:dyDescent="0.3">
      <c r="A5" s="15" t="s">
        <v>889</v>
      </c>
    </row>
    <row r="6" spans="1:11" x14ac:dyDescent="0.3">
      <c r="A6" t="s">
        <v>811</v>
      </c>
    </row>
    <row r="8" spans="1:11" x14ac:dyDescent="0.3">
      <c r="A8" s="16" t="s">
        <v>360</v>
      </c>
      <c r="B8" s="16" t="s">
        <v>30</v>
      </c>
      <c r="C8" s="16" t="s">
        <v>812</v>
      </c>
      <c r="D8" s="16" t="s">
        <v>813</v>
      </c>
      <c r="E8" s="16" t="s">
        <v>32</v>
      </c>
      <c r="F8" s="16" t="s">
        <v>33</v>
      </c>
      <c r="G8" s="16" t="s">
        <v>814</v>
      </c>
      <c r="H8" s="16" t="s">
        <v>815</v>
      </c>
      <c r="I8" s="16" t="s">
        <v>816</v>
      </c>
      <c r="J8" s="16" t="s">
        <v>295</v>
      </c>
      <c r="K8" s="16" t="s">
        <v>817</v>
      </c>
    </row>
    <row r="9" spans="1:11" x14ac:dyDescent="0.3">
      <c r="A9" s="12" t="s">
        <v>96</v>
      </c>
      <c r="B9" s="12">
        <v>132</v>
      </c>
      <c r="C9" s="12">
        <v>0</v>
      </c>
      <c r="D9" s="12">
        <v>15</v>
      </c>
      <c r="E9" s="12">
        <v>0</v>
      </c>
      <c r="F9" s="12">
        <v>0</v>
      </c>
      <c r="G9" s="12">
        <v>13</v>
      </c>
      <c r="H9" s="12">
        <v>2</v>
      </c>
      <c r="I9" s="12">
        <v>96</v>
      </c>
      <c r="J9" s="12">
        <v>21</v>
      </c>
      <c r="K9" s="12">
        <v>32</v>
      </c>
    </row>
    <row r="11" spans="1:11" x14ac:dyDescent="0.3">
      <c r="A11" s="17" t="s">
        <v>902</v>
      </c>
    </row>
  </sheetData>
  <autoFilter ref="A8:K9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0"/>
  <sheetViews>
    <sheetView workbookViewId="0"/>
  </sheetViews>
  <sheetFormatPr baseColWidth="10" defaultColWidth="8.88671875" defaultRowHeight="14.4" x14ac:dyDescent="0.3"/>
  <cols>
    <col min="1" max="1" width="12" customWidth="1"/>
    <col min="2" max="2" width="10" customWidth="1"/>
    <col min="3" max="3" width="11" customWidth="1"/>
    <col min="4" max="4" width="10" customWidth="1"/>
    <col min="5" max="5" width="13" customWidth="1"/>
    <col min="6" max="6" width="11" customWidth="1"/>
    <col min="7" max="7" width="16" customWidth="1"/>
    <col min="8" max="8" width="36" customWidth="1"/>
    <col min="9" max="9" width="32" customWidth="1"/>
    <col min="10" max="10" width="15" customWidth="1"/>
    <col min="11" max="11" width="10" customWidth="1"/>
    <col min="12" max="12" width="19" customWidth="1"/>
    <col min="13" max="13" width="48" customWidth="1"/>
  </cols>
  <sheetData>
    <row r="1" spans="1:13" ht="17.399999999999999" x14ac:dyDescent="0.35">
      <c r="A1" s="1" t="s">
        <v>903</v>
      </c>
    </row>
    <row r="2" spans="1:13" x14ac:dyDescent="0.3">
      <c r="A2" t="s">
        <v>886</v>
      </c>
    </row>
    <row r="3" spans="1:13" x14ac:dyDescent="0.3">
      <c r="A3" t="s">
        <v>887</v>
      </c>
    </row>
    <row r="4" spans="1:13" x14ac:dyDescent="0.3">
      <c r="A4" s="15" t="s">
        <v>888</v>
      </c>
    </row>
    <row r="5" spans="1:13" x14ac:dyDescent="0.3">
      <c r="A5" s="15" t="s">
        <v>889</v>
      </c>
    </row>
    <row r="6" spans="1:13" x14ac:dyDescent="0.3">
      <c r="A6" t="s">
        <v>904</v>
      </c>
    </row>
    <row r="8" spans="1:13" x14ac:dyDescent="0.3">
      <c r="A8" s="16" t="s">
        <v>712</v>
      </c>
      <c r="B8" s="16" t="s">
        <v>905</v>
      </c>
      <c r="C8" s="16" t="s">
        <v>906</v>
      </c>
      <c r="D8" s="16" t="s">
        <v>32</v>
      </c>
      <c r="E8" s="16" t="s">
        <v>814</v>
      </c>
      <c r="F8" s="16" t="s">
        <v>815</v>
      </c>
      <c r="G8" s="16" t="s">
        <v>816</v>
      </c>
      <c r="H8" s="16" t="s">
        <v>907</v>
      </c>
      <c r="I8" s="16" t="s">
        <v>908</v>
      </c>
      <c r="J8" s="16" t="s">
        <v>909</v>
      </c>
      <c r="K8" s="16" t="s">
        <v>910</v>
      </c>
      <c r="L8" s="16" t="s">
        <v>911</v>
      </c>
      <c r="M8" s="16" t="s">
        <v>912</v>
      </c>
    </row>
    <row r="9" spans="1:13" x14ac:dyDescent="0.3">
      <c r="A9" s="12" t="s">
        <v>269</v>
      </c>
      <c r="B9" s="12" t="s">
        <v>913</v>
      </c>
      <c r="C9" s="12">
        <v>13</v>
      </c>
      <c r="D9" s="12">
        <v>0</v>
      </c>
      <c r="E9" s="12">
        <v>0</v>
      </c>
      <c r="F9" s="12">
        <v>0</v>
      </c>
      <c r="G9" s="12">
        <v>24</v>
      </c>
      <c r="H9" s="12">
        <v>5414.1</v>
      </c>
      <c r="I9" s="12"/>
      <c r="J9" s="12"/>
      <c r="K9" s="12">
        <v>28.588000000000001</v>
      </c>
      <c r="L9" s="12">
        <v>8000</v>
      </c>
      <c r="M9" s="12" t="s">
        <v>914</v>
      </c>
    </row>
    <row r="10" spans="1:13" x14ac:dyDescent="0.3">
      <c r="A10" s="12" t="s">
        <v>271</v>
      </c>
      <c r="B10" s="12" t="s">
        <v>913</v>
      </c>
      <c r="C10" s="12">
        <v>0</v>
      </c>
      <c r="D10" s="12">
        <v>0</v>
      </c>
      <c r="E10" s="12">
        <v>0</v>
      </c>
      <c r="F10" s="12">
        <v>0</v>
      </c>
      <c r="G10" s="12">
        <v>10</v>
      </c>
      <c r="H10" s="12"/>
      <c r="I10" s="12"/>
      <c r="J10" s="12"/>
      <c r="K10" s="12"/>
      <c r="L10" s="12"/>
      <c r="M10" s="12"/>
    </row>
    <row r="11" spans="1:13" x14ac:dyDescent="0.3">
      <c r="A11" s="12" t="s">
        <v>272</v>
      </c>
      <c r="B11" s="12" t="s">
        <v>913</v>
      </c>
      <c r="C11" s="12">
        <v>2</v>
      </c>
      <c r="D11" s="12">
        <v>0</v>
      </c>
      <c r="E11" s="12">
        <v>0</v>
      </c>
      <c r="F11" s="12">
        <v>1</v>
      </c>
      <c r="G11" s="12">
        <v>13</v>
      </c>
      <c r="H11" s="12">
        <v>0.31667000000000001</v>
      </c>
      <c r="I11" s="12"/>
      <c r="J11" s="12"/>
      <c r="K11" s="12">
        <v>17.193999999999999</v>
      </c>
      <c r="L11" s="12">
        <v>0.3</v>
      </c>
      <c r="M11" s="12" t="s">
        <v>915</v>
      </c>
    </row>
    <row r="12" spans="1:13" x14ac:dyDescent="0.3">
      <c r="A12" s="12" t="s">
        <v>277</v>
      </c>
      <c r="B12" s="12" t="s">
        <v>913</v>
      </c>
      <c r="C12" s="12">
        <v>0</v>
      </c>
      <c r="D12" s="12">
        <v>0</v>
      </c>
      <c r="E12" s="12">
        <v>0</v>
      </c>
      <c r="F12" s="12">
        <v>0</v>
      </c>
      <c r="G12" s="12">
        <v>10</v>
      </c>
      <c r="H12" s="12"/>
      <c r="I12" s="12"/>
      <c r="J12" s="12"/>
      <c r="K12" s="12"/>
      <c r="L12" s="12"/>
      <c r="M12" s="12"/>
    </row>
    <row r="13" spans="1:13" x14ac:dyDescent="0.3">
      <c r="A13" s="12" t="s">
        <v>278</v>
      </c>
      <c r="B13" s="12" t="s">
        <v>913</v>
      </c>
      <c r="C13" s="12">
        <v>0</v>
      </c>
      <c r="D13" s="12">
        <v>0</v>
      </c>
      <c r="E13" s="12">
        <v>0</v>
      </c>
      <c r="F13" s="12">
        <v>0</v>
      </c>
      <c r="G13" s="12">
        <v>10</v>
      </c>
      <c r="H13" s="12"/>
      <c r="I13" s="12"/>
      <c r="J13" s="12"/>
      <c r="K13" s="12"/>
      <c r="L13" s="12"/>
      <c r="M13" s="12"/>
    </row>
    <row r="14" spans="1:13" x14ac:dyDescent="0.3">
      <c r="A14" s="12" t="s">
        <v>279</v>
      </c>
      <c r="B14" s="12" t="s">
        <v>913</v>
      </c>
      <c r="C14" s="12">
        <v>9</v>
      </c>
      <c r="D14" s="12">
        <v>0</v>
      </c>
      <c r="E14" s="12">
        <v>7</v>
      </c>
      <c r="F14" s="12">
        <v>0</v>
      </c>
      <c r="G14" s="12">
        <v>5</v>
      </c>
      <c r="H14" s="12">
        <v>0.82499999999999996</v>
      </c>
      <c r="I14" s="12"/>
      <c r="J14" s="12"/>
      <c r="K14" s="12">
        <v>18.076000000000001</v>
      </c>
      <c r="L14" s="12">
        <v>0.75</v>
      </c>
      <c r="M14" s="12" t="s">
        <v>916</v>
      </c>
    </row>
    <row r="15" spans="1:13" x14ac:dyDescent="0.3">
      <c r="A15" s="12" t="s">
        <v>280</v>
      </c>
      <c r="B15" s="12" t="s">
        <v>913</v>
      </c>
      <c r="C15" s="12">
        <v>0</v>
      </c>
      <c r="D15" s="12">
        <v>0</v>
      </c>
      <c r="E15" s="12">
        <v>0</v>
      </c>
      <c r="F15" s="12">
        <v>0</v>
      </c>
      <c r="G15" s="12">
        <v>10</v>
      </c>
      <c r="H15" s="12"/>
      <c r="I15" s="12"/>
      <c r="J15" s="12"/>
      <c r="K15" s="12"/>
      <c r="L15" s="12"/>
      <c r="M15" s="12"/>
    </row>
    <row r="16" spans="1:13" x14ac:dyDescent="0.3">
      <c r="A16" s="12" t="s">
        <v>281</v>
      </c>
      <c r="B16" s="12" t="s">
        <v>913</v>
      </c>
      <c r="C16" s="12">
        <v>0</v>
      </c>
      <c r="D16" s="12">
        <v>0</v>
      </c>
      <c r="E16" s="12">
        <v>0</v>
      </c>
      <c r="F16" s="12">
        <v>0</v>
      </c>
      <c r="G16" s="12">
        <v>10</v>
      </c>
      <c r="H16" s="12"/>
      <c r="I16" s="12"/>
      <c r="J16" s="12"/>
      <c r="K16" s="12"/>
      <c r="L16" s="12"/>
      <c r="M16" s="12"/>
    </row>
    <row r="17" spans="1:13" x14ac:dyDescent="0.3">
      <c r="A17" s="12" t="s">
        <v>274</v>
      </c>
      <c r="B17" s="12" t="s">
        <v>917</v>
      </c>
      <c r="C17" s="12">
        <v>12</v>
      </c>
      <c r="D17" s="12">
        <v>0</v>
      </c>
      <c r="E17" s="12">
        <v>6</v>
      </c>
      <c r="F17" s="12">
        <v>1</v>
      </c>
      <c r="G17" s="12">
        <v>15</v>
      </c>
      <c r="H17" s="12">
        <v>600.04999999999995</v>
      </c>
      <c r="I17" s="12"/>
      <c r="J17" s="12"/>
      <c r="K17" s="12">
        <v>2.0175000000000001</v>
      </c>
      <c r="L17" s="12">
        <v>402.92</v>
      </c>
      <c r="M17" s="12" t="s">
        <v>918</v>
      </c>
    </row>
    <row r="18" spans="1:13" x14ac:dyDescent="0.3">
      <c r="A18" s="12" t="s">
        <v>276</v>
      </c>
      <c r="B18" s="12" t="s">
        <v>917</v>
      </c>
      <c r="C18" s="12">
        <v>0</v>
      </c>
      <c r="D18" s="12">
        <v>0</v>
      </c>
      <c r="E18" s="12">
        <v>0</v>
      </c>
      <c r="F18" s="12">
        <v>0</v>
      </c>
      <c r="G18" s="12">
        <v>10</v>
      </c>
      <c r="H18" s="12"/>
      <c r="I18" s="12"/>
      <c r="J18" s="12"/>
      <c r="K18" s="12"/>
      <c r="L18" s="12"/>
      <c r="M18" s="12"/>
    </row>
    <row r="20" spans="1:13" x14ac:dyDescent="0.3">
      <c r="A20" s="17" t="s">
        <v>919</v>
      </c>
    </row>
  </sheetData>
  <autoFilter ref="A8:M18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0"/>
  <sheetViews>
    <sheetView workbookViewId="0"/>
  </sheetViews>
  <sheetFormatPr baseColWidth="10" defaultColWidth="8.88671875" defaultRowHeight="14.4" x14ac:dyDescent="0.3"/>
  <cols>
    <col min="1" max="1" width="13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7" ht="17.399999999999999" x14ac:dyDescent="0.35">
      <c r="A1" s="1" t="s">
        <v>920</v>
      </c>
    </row>
    <row r="2" spans="1:7" x14ac:dyDescent="0.3">
      <c r="A2" t="s">
        <v>921</v>
      </c>
    </row>
    <row r="3" spans="1:7" x14ac:dyDescent="0.3">
      <c r="A3" t="s">
        <v>922</v>
      </c>
    </row>
    <row r="4" spans="1:7" x14ac:dyDescent="0.3">
      <c r="A4" s="8" t="s">
        <v>923</v>
      </c>
    </row>
    <row r="5" spans="1:7" x14ac:dyDescent="0.3">
      <c r="A5" s="15" t="s">
        <v>924</v>
      </c>
    </row>
    <row r="6" spans="1:7" x14ac:dyDescent="0.3">
      <c r="A6" s="15" t="s">
        <v>925</v>
      </c>
    </row>
    <row r="7" spans="1:7" x14ac:dyDescent="0.3">
      <c r="A7" s="8" t="s">
        <v>926</v>
      </c>
    </row>
    <row r="8" spans="1:7" x14ac:dyDescent="0.3">
      <c r="A8" s="15" t="s">
        <v>927</v>
      </c>
    </row>
    <row r="9" spans="1:7" x14ac:dyDescent="0.3">
      <c r="A9" s="15" t="s">
        <v>928</v>
      </c>
    </row>
    <row r="10" spans="1:7" x14ac:dyDescent="0.3">
      <c r="A10" t="s">
        <v>788</v>
      </c>
    </row>
    <row r="12" spans="1:7" x14ac:dyDescent="0.3">
      <c r="A12" s="16" t="s">
        <v>360</v>
      </c>
      <c r="B12" s="16" t="s">
        <v>712</v>
      </c>
      <c r="C12" s="16" t="s">
        <v>789</v>
      </c>
      <c r="D12" s="16" t="s">
        <v>790</v>
      </c>
      <c r="E12" s="16" t="s">
        <v>791</v>
      </c>
      <c r="F12" s="16" t="s">
        <v>792</v>
      </c>
      <c r="G12" s="16" t="s">
        <v>266</v>
      </c>
    </row>
    <row r="13" spans="1:7" x14ac:dyDescent="0.3">
      <c r="A13" s="12" t="s">
        <v>379</v>
      </c>
      <c r="B13" s="12" t="s">
        <v>49</v>
      </c>
      <c r="C13" s="12" t="s">
        <v>793</v>
      </c>
      <c r="D13" s="12" t="s">
        <v>794</v>
      </c>
      <c r="E13" s="12"/>
      <c r="F13" s="12" t="s">
        <v>749</v>
      </c>
      <c r="G13" s="12" t="s">
        <v>275</v>
      </c>
    </row>
    <row r="14" spans="1:7" x14ac:dyDescent="0.3">
      <c r="A14" s="12" t="s">
        <v>379</v>
      </c>
      <c r="B14" s="12" t="s">
        <v>51</v>
      </c>
      <c r="C14" s="12" t="s">
        <v>793</v>
      </c>
      <c r="D14" s="12" t="s">
        <v>795</v>
      </c>
      <c r="E14" s="12"/>
      <c r="F14" s="12" t="s">
        <v>749</v>
      </c>
      <c r="G14" s="12" t="s">
        <v>275</v>
      </c>
    </row>
    <row r="15" spans="1:7" x14ac:dyDescent="0.3">
      <c r="A15" s="12" t="s">
        <v>379</v>
      </c>
      <c r="B15" s="12" t="s">
        <v>53</v>
      </c>
      <c r="C15" s="12" t="s">
        <v>793</v>
      </c>
      <c r="D15" s="12" t="s">
        <v>805</v>
      </c>
      <c r="E15" s="12"/>
      <c r="F15" s="12" t="s">
        <v>749</v>
      </c>
      <c r="G15" s="12" t="s">
        <v>270</v>
      </c>
    </row>
    <row r="16" spans="1:7" x14ac:dyDescent="0.3">
      <c r="A16" s="12" t="s">
        <v>379</v>
      </c>
      <c r="B16" s="12" t="s">
        <v>54</v>
      </c>
      <c r="C16" s="12" t="s">
        <v>796</v>
      </c>
      <c r="D16" s="12" t="s">
        <v>929</v>
      </c>
      <c r="E16" s="12">
        <v>12</v>
      </c>
      <c r="F16" s="12"/>
      <c r="G16" s="12" t="s">
        <v>270</v>
      </c>
    </row>
    <row r="17" spans="1:7" x14ac:dyDescent="0.3">
      <c r="A17" s="12" t="s">
        <v>379</v>
      </c>
      <c r="B17" s="12" t="s">
        <v>55</v>
      </c>
      <c r="C17" s="12" t="s">
        <v>793</v>
      </c>
      <c r="D17" s="12" t="s">
        <v>799</v>
      </c>
      <c r="E17" s="12"/>
      <c r="F17" s="12" t="s">
        <v>749</v>
      </c>
      <c r="G17" s="12" t="s">
        <v>273</v>
      </c>
    </row>
    <row r="18" spans="1:7" x14ac:dyDescent="0.3">
      <c r="A18" s="12" t="s">
        <v>379</v>
      </c>
      <c r="B18" s="12" t="s">
        <v>57</v>
      </c>
      <c r="C18" s="12" t="s">
        <v>793</v>
      </c>
      <c r="D18" s="12" t="s">
        <v>800</v>
      </c>
      <c r="E18" s="12"/>
      <c r="F18" s="12" t="s">
        <v>749</v>
      </c>
      <c r="G18" s="12" t="s">
        <v>283</v>
      </c>
    </row>
    <row r="19" spans="1:7" x14ac:dyDescent="0.3">
      <c r="A19" s="12" t="s">
        <v>379</v>
      </c>
      <c r="B19" s="12" t="s">
        <v>59</v>
      </c>
      <c r="C19" s="12" t="s">
        <v>793</v>
      </c>
      <c r="D19" s="12" t="s">
        <v>755</v>
      </c>
      <c r="E19" s="12"/>
      <c r="F19" s="12" t="s">
        <v>749</v>
      </c>
      <c r="G19" s="12" t="s">
        <v>273</v>
      </c>
    </row>
    <row r="20" spans="1:7" x14ac:dyDescent="0.3">
      <c r="A20" s="12" t="s">
        <v>379</v>
      </c>
      <c r="B20" s="12" t="s">
        <v>61</v>
      </c>
      <c r="C20" s="12" t="s">
        <v>793</v>
      </c>
      <c r="D20" s="12" t="s">
        <v>757</v>
      </c>
      <c r="E20" s="12"/>
      <c r="F20" s="12" t="s">
        <v>749</v>
      </c>
      <c r="G20" s="12" t="s">
        <v>273</v>
      </c>
    </row>
    <row r="21" spans="1:7" x14ac:dyDescent="0.3">
      <c r="A21" s="12" t="s">
        <v>379</v>
      </c>
      <c r="B21" s="12" t="s">
        <v>63</v>
      </c>
      <c r="C21" s="12" t="s">
        <v>796</v>
      </c>
      <c r="D21" s="12" t="s">
        <v>930</v>
      </c>
      <c r="E21" s="12">
        <v>3</v>
      </c>
      <c r="F21" s="12"/>
      <c r="G21" s="12" t="s">
        <v>273</v>
      </c>
    </row>
    <row r="22" spans="1:7" x14ac:dyDescent="0.3">
      <c r="A22" s="12" t="s">
        <v>379</v>
      </c>
      <c r="B22" s="12" t="s">
        <v>64</v>
      </c>
      <c r="C22" s="12" t="s">
        <v>793</v>
      </c>
      <c r="D22" s="12" t="s">
        <v>757</v>
      </c>
      <c r="E22" s="12"/>
      <c r="F22" s="12" t="s">
        <v>749</v>
      </c>
      <c r="G22" s="12" t="s">
        <v>273</v>
      </c>
    </row>
    <row r="23" spans="1:7" x14ac:dyDescent="0.3">
      <c r="A23" s="12" t="s">
        <v>379</v>
      </c>
      <c r="B23" s="12" t="s">
        <v>65</v>
      </c>
      <c r="C23" s="12" t="s">
        <v>793</v>
      </c>
      <c r="D23" s="12" t="s">
        <v>801</v>
      </c>
      <c r="E23" s="12"/>
      <c r="F23" s="12" t="s">
        <v>749</v>
      </c>
      <c r="G23" s="12" t="s">
        <v>273</v>
      </c>
    </row>
    <row r="24" spans="1:7" x14ac:dyDescent="0.3">
      <c r="A24" s="12" t="s">
        <v>379</v>
      </c>
      <c r="B24" s="12" t="s">
        <v>66</v>
      </c>
      <c r="C24" s="12" t="s">
        <v>802</v>
      </c>
      <c r="D24" s="12"/>
      <c r="E24" s="12"/>
      <c r="F24" s="12"/>
      <c r="G24" s="12" t="s">
        <v>275</v>
      </c>
    </row>
    <row r="25" spans="1:7" x14ac:dyDescent="0.3">
      <c r="A25" s="12" t="s">
        <v>379</v>
      </c>
      <c r="B25" s="12" t="s">
        <v>803</v>
      </c>
      <c r="C25" s="12" t="s">
        <v>793</v>
      </c>
      <c r="D25" s="12" t="s">
        <v>804</v>
      </c>
      <c r="E25" s="12"/>
      <c r="F25" s="12"/>
      <c r="G25" s="12" t="s">
        <v>273</v>
      </c>
    </row>
    <row r="26" spans="1:7" x14ac:dyDescent="0.3">
      <c r="A26" s="12" t="s">
        <v>382</v>
      </c>
      <c r="B26" s="12" t="s">
        <v>49</v>
      </c>
      <c r="C26" s="12" t="s">
        <v>796</v>
      </c>
      <c r="D26" s="12" t="s">
        <v>931</v>
      </c>
      <c r="E26" s="12">
        <v>9</v>
      </c>
      <c r="F26" s="12"/>
      <c r="G26" s="12" t="s">
        <v>275</v>
      </c>
    </row>
    <row r="27" spans="1:7" x14ac:dyDescent="0.3">
      <c r="A27" s="12" t="s">
        <v>382</v>
      </c>
      <c r="B27" s="12" t="s">
        <v>51</v>
      </c>
      <c r="C27" s="12" t="s">
        <v>793</v>
      </c>
      <c r="D27" s="12" t="s">
        <v>795</v>
      </c>
      <c r="E27" s="12"/>
      <c r="F27" s="12" t="s">
        <v>749</v>
      </c>
      <c r="G27" s="12" t="s">
        <v>275</v>
      </c>
    </row>
    <row r="28" spans="1:7" x14ac:dyDescent="0.3">
      <c r="A28" s="12" t="s">
        <v>382</v>
      </c>
      <c r="B28" s="12" t="s">
        <v>53</v>
      </c>
      <c r="C28" s="12" t="s">
        <v>793</v>
      </c>
      <c r="D28" s="12" t="s">
        <v>805</v>
      </c>
      <c r="E28" s="12"/>
      <c r="F28" s="12" t="s">
        <v>749</v>
      </c>
      <c r="G28" s="12" t="s">
        <v>270</v>
      </c>
    </row>
    <row r="29" spans="1:7" x14ac:dyDescent="0.3">
      <c r="A29" s="12" t="s">
        <v>382</v>
      </c>
      <c r="B29" s="12" t="s">
        <v>54</v>
      </c>
      <c r="C29" s="12" t="s">
        <v>796</v>
      </c>
      <c r="D29" s="12" t="s">
        <v>929</v>
      </c>
      <c r="E29" s="12">
        <v>32</v>
      </c>
      <c r="F29" s="12"/>
      <c r="G29" s="12" t="s">
        <v>270</v>
      </c>
    </row>
    <row r="30" spans="1:7" x14ac:dyDescent="0.3">
      <c r="A30" s="12" t="s">
        <v>382</v>
      </c>
      <c r="B30" s="12" t="s">
        <v>55</v>
      </c>
      <c r="C30" s="12" t="s">
        <v>793</v>
      </c>
      <c r="D30" s="12" t="s">
        <v>799</v>
      </c>
      <c r="E30" s="12"/>
      <c r="F30" s="12" t="s">
        <v>749</v>
      </c>
      <c r="G30" s="12" t="s">
        <v>273</v>
      </c>
    </row>
    <row r="31" spans="1:7" x14ac:dyDescent="0.3">
      <c r="A31" s="12" t="s">
        <v>382</v>
      </c>
      <c r="B31" s="12" t="s">
        <v>57</v>
      </c>
      <c r="C31" s="12" t="s">
        <v>793</v>
      </c>
      <c r="D31" s="12" t="s">
        <v>800</v>
      </c>
      <c r="E31" s="12"/>
      <c r="F31" s="12" t="s">
        <v>749</v>
      </c>
      <c r="G31" s="12" t="s">
        <v>283</v>
      </c>
    </row>
    <row r="32" spans="1:7" x14ac:dyDescent="0.3">
      <c r="A32" s="12" t="s">
        <v>382</v>
      </c>
      <c r="B32" s="12" t="s">
        <v>59</v>
      </c>
      <c r="C32" s="12" t="s">
        <v>793</v>
      </c>
      <c r="D32" s="12" t="s">
        <v>755</v>
      </c>
      <c r="E32" s="12"/>
      <c r="F32" s="12" t="s">
        <v>749</v>
      </c>
      <c r="G32" s="12" t="s">
        <v>273</v>
      </c>
    </row>
    <row r="33" spans="1:7" x14ac:dyDescent="0.3">
      <c r="A33" s="12" t="s">
        <v>382</v>
      </c>
      <c r="B33" s="12" t="s">
        <v>61</v>
      </c>
      <c r="C33" s="12" t="s">
        <v>793</v>
      </c>
      <c r="D33" s="12" t="s">
        <v>757</v>
      </c>
      <c r="E33" s="12"/>
      <c r="F33" s="12" t="s">
        <v>749</v>
      </c>
      <c r="G33" s="12" t="s">
        <v>273</v>
      </c>
    </row>
    <row r="34" spans="1:7" x14ac:dyDescent="0.3">
      <c r="A34" s="12" t="s">
        <v>382</v>
      </c>
      <c r="B34" s="12" t="s">
        <v>63</v>
      </c>
      <c r="C34" s="12" t="s">
        <v>793</v>
      </c>
      <c r="D34" s="12" t="s">
        <v>755</v>
      </c>
      <c r="E34" s="12"/>
      <c r="F34" s="12" t="s">
        <v>749</v>
      </c>
      <c r="G34" s="12" t="s">
        <v>273</v>
      </c>
    </row>
    <row r="35" spans="1:7" x14ac:dyDescent="0.3">
      <c r="A35" s="12" t="s">
        <v>382</v>
      </c>
      <c r="B35" s="12" t="s">
        <v>64</v>
      </c>
      <c r="C35" s="12" t="s">
        <v>793</v>
      </c>
      <c r="D35" s="12" t="s">
        <v>757</v>
      </c>
      <c r="E35" s="12"/>
      <c r="F35" s="12" t="s">
        <v>749</v>
      </c>
      <c r="G35" s="12" t="s">
        <v>273</v>
      </c>
    </row>
    <row r="36" spans="1:7" x14ac:dyDescent="0.3">
      <c r="A36" s="12" t="s">
        <v>382</v>
      </c>
      <c r="B36" s="12" t="s">
        <v>65</v>
      </c>
      <c r="C36" s="12" t="s">
        <v>793</v>
      </c>
      <c r="D36" s="12" t="s">
        <v>801</v>
      </c>
      <c r="E36" s="12"/>
      <c r="F36" s="12" t="s">
        <v>749</v>
      </c>
      <c r="G36" s="12" t="s">
        <v>273</v>
      </c>
    </row>
    <row r="37" spans="1:7" x14ac:dyDescent="0.3">
      <c r="A37" s="12" t="s">
        <v>382</v>
      </c>
      <c r="B37" s="12" t="s">
        <v>66</v>
      </c>
      <c r="C37" s="12" t="s">
        <v>802</v>
      </c>
      <c r="D37" s="12"/>
      <c r="E37" s="12"/>
      <c r="F37" s="12"/>
      <c r="G37" s="12" t="s">
        <v>275</v>
      </c>
    </row>
    <row r="38" spans="1:7" x14ac:dyDescent="0.3">
      <c r="A38" s="12" t="s">
        <v>382</v>
      </c>
      <c r="B38" s="12" t="s">
        <v>803</v>
      </c>
      <c r="C38" s="12" t="s">
        <v>793</v>
      </c>
      <c r="D38" s="12" t="s">
        <v>804</v>
      </c>
      <c r="E38" s="12"/>
      <c r="F38" s="12"/>
      <c r="G38" s="12" t="s">
        <v>273</v>
      </c>
    </row>
    <row r="40" spans="1:7" x14ac:dyDescent="0.3">
      <c r="A40" s="17" t="s">
        <v>932</v>
      </c>
    </row>
  </sheetData>
  <autoFilter ref="A12:G38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16"/>
  <sheetViews>
    <sheetView workbookViewId="0"/>
  </sheetViews>
  <sheetFormatPr baseColWidth="10" defaultColWidth="8.88671875" defaultRowHeight="14.4" x14ac:dyDescent="0.3"/>
  <cols>
    <col min="1" max="1" width="13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933</v>
      </c>
    </row>
    <row r="2" spans="1:11" x14ac:dyDescent="0.3">
      <c r="A2" t="s">
        <v>921</v>
      </c>
    </row>
    <row r="3" spans="1:11" x14ac:dyDescent="0.3">
      <c r="A3" t="s">
        <v>922</v>
      </c>
    </row>
    <row r="4" spans="1:11" x14ac:dyDescent="0.3">
      <c r="A4" s="8" t="s">
        <v>923</v>
      </c>
    </row>
    <row r="5" spans="1:11" x14ac:dyDescent="0.3">
      <c r="A5" s="15" t="s">
        <v>924</v>
      </c>
    </row>
    <row r="6" spans="1:11" x14ac:dyDescent="0.3">
      <c r="A6" s="15" t="s">
        <v>925</v>
      </c>
    </row>
    <row r="7" spans="1:11" x14ac:dyDescent="0.3">
      <c r="A7" s="8" t="s">
        <v>926</v>
      </c>
    </row>
    <row r="8" spans="1:11" x14ac:dyDescent="0.3">
      <c r="A8" s="15" t="s">
        <v>927</v>
      </c>
    </row>
    <row r="9" spans="1:11" x14ac:dyDescent="0.3">
      <c r="A9" s="15" t="s">
        <v>928</v>
      </c>
    </row>
    <row r="10" spans="1:11" x14ac:dyDescent="0.3">
      <c r="A10" t="s">
        <v>811</v>
      </c>
    </row>
    <row r="12" spans="1:11" x14ac:dyDescent="0.3">
      <c r="A12" s="16" t="s">
        <v>360</v>
      </c>
      <c r="B12" s="16" t="s">
        <v>30</v>
      </c>
      <c r="C12" s="16" t="s">
        <v>812</v>
      </c>
      <c r="D12" s="16" t="s">
        <v>813</v>
      </c>
      <c r="E12" s="16" t="s">
        <v>32</v>
      </c>
      <c r="F12" s="16" t="s">
        <v>33</v>
      </c>
      <c r="G12" s="16" t="s">
        <v>814</v>
      </c>
      <c r="H12" s="16" t="s">
        <v>815</v>
      </c>
      <c r="I12" s="16" t="s">
        <v>816</v>
      </c>
      <c r="J12" s="16" t="s">
        <v>295</v>
      </c>
      <c r="K12" s="16" t="s">
        <v>817</v>
      </c>
    </row>
    <row r="13" spans="1:11" x14ac:dyDescent="0.3">
      <c r="A13" s="12" t="s">
        <v>379</v>
      </c>
      <c r="B13" s="12">
        <v>36</v>
      </c>
      <c r="C13" s="12">
        <v>0</v>
      </c>
      <c r="D13" s="12">
        <v>36</v>
      </c>
      <c r="E13" s="12">
        <v>0</v>
      </c>
      <c r="F13" s="12">
        <v>0</v>
      </c>
      <c r="G13" s="12">
        <v>36</v>
      </c>
      <c r="H13" s="12">
        <v>0</v>
      </c>
      <c r="I13" s="12">
        <v>0</v>
      </c>
      <c r="J13" s="12">
        <v>0</v>
      </c>
      <c r="K13" s="12">
        <v>36</v>
      </c>
    </row>
    <row r="14" spans="1:11" x14ac:dyDescent="0.3">
      <c r="A14" s="12" t="s">
        <v>382</v>
      </c>
      <c r="B14" s="12">
        <v>144</v>
      </c>
      <c r="C14" s="12">
        <v>0</v>
      </c>
      <c r="D14" s="12">
        <v>129</v>
      </c>
      <c r="E14" s="12">
        <v>59</v>
      </c>
      <c r="F14" s="12">
        <v>48</v>
      </c>
      <c r="G14" s="12">
        <v>70</v>
      </c>
      <c r="H14" s="12">
        <v>0</v>
      </c>
      <c r="I14" s="12">
        <v>3</v>
      </c>
      <c r="J14" s="12">
        <v>12</v>
      </c>
      <c r="K14" s="12">
        <v>69</v>
      </c>
    </row>
    <row r="16" spans="1:11" x14ac:dyDescent="0.3">
      <c r="A16" s="17" t="s">
        <v>934</v>
      </c>
    </row>
  </sheetData>
  <autoFilter ref="A12:K14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6"/>
  <sheetViews>
    <sheetView workbookViewId="0"/>
  </sheetViews>
  <sheetFormatPr baseColWidth="10" defaultColWidth="8.88671875" defaultRowHeight="14.4" x14ac:dyDescent="0.3"/>
  <cols>
    <col min="1" max="1" width="10" customWidth="1"/>
    <col min="2" max="2" width="12" customWidth="1"/>
    <col min="3" max="5" width="10" customWidth="1"/>
    <col min="6" max="6" width="25" customWidth="1"/>
    <col min="7" max="7" width="28" customWidth="1"/>
    <col min="8" max="8" width="21" customWidth="1"/>
    <col min="9" max="9" width="36" customWidth="1"/>
    <col min="10" max="10" width="28" customWidth="1"/>
    <col min="11" max="11" width="10" customWidth="1"/>
    <col min="12" max="12" width="26" customWidth="1"/>
    <col min="13" max="13" width="34" customWidth="1"/>
  </cols>
  <sheetData>
    <row r="1" spans="1:13" ht="17.399999999999999" x14ac:dyDescent="0.35">
      <c r="A1" s="1" t="s">
        <v>935</v>
      </c>
    </row>
    <row r="2" spans="1:13" x14ac:dyDescent="0.3">
      <c r="A2" t="s">
        <v>921</v>
      </c>
    </row>
    <row r="3" spans="1:13" x14ac:dyDescent="0.3">
      <c r="A3" t="s">
        <v>922</v>
      </c>
    </row>
    <row r="4" spans="1:13" x14ac:dyDescent="0.3">
      <c r="A4" s="8" t="s">
        <v>923</v>
      </c>
    </row>
    <row r="5" spans="1:13" x14ac:dyDescent="0.3">
      <c r="A5" s="15" t="s">
        <v>924</v>
      </c>
    </row>
    <row r="6" spans="1:13" x14ac:dyDescent="0.3">
      <c r="A6" s="15" t="s">
        <v>925</v>
      </c>
    </row>
    <row r="7" spans="1:13" x14ac:dyDescent="0.3">
      <c r="A7" s="8" t="s">
        <v>926</v>
      </c>
    </row>
    <row r="8" spans="1:13" x14ac:dyDescent="0.3">
      <c r="A8" s="15" t="s">
        <v>927</v>
      </c>
    </row>
    <row r="9" spans="1:13" x14ac:dyDescent="0.3">
      <c r="A9" s="15" t="s">
        <v>928</v>
      </c>
    </row>
    <row r="10" spans="1:13" x14ac:dyDescent="0.3">
      <c r="A10" t="s">
        <v>936</v>
      </c>
    </row>
    <row r="12" spans="1:13" x14ac:dyDescent="0.3">
      <c r="A12" s="16" t="s">
        <v>937</v>
      </c>
      <c r="B12" s="16" t="s">
        <v>938</v>
      </c>
      <c r="C12" s="16" t="s">
        <v>939</v>
      </c>
      <c r="D12" s="16" t="s">
        <v>813</v>
      </c>
      <c r="E12" s="16" t="s">
        <v>32</v>
      </c>
      <c r="F12" s="16" t="s">
        <v>295</v>
      </c>
      <c r="G12" s="16" t="s">
        <v>940</v>
      </c>
      <c r="H12" s="16" t="s">
        <v>941</v>
      </c>
      <c r="I12" s="16" t="s">
        <v>942</v>
      </c>
      <c r="J12" s="16" t="s">
        <v>943</v>
      </c>
      <c r="K12" s="16" t="s">
        <v>910</v>
      </c>
      <c r="L12" s="16" t="s">
        <v>944</v>
      </c>
      <c r="M12" s="16" t="s">
        <v>912</v>
      </c>
    </row>
    <row r="13" spans="1:13" x14ac:dyDescent="0.3">
      <c r="A13" s="12" t="s">
        <v>945</v>
      </c>
      <c r="B13" s="12" t="s">
        <v>279</v>
      </c>
      <c r="C13" s="12">
        <v>0.75</v>
      </c>
      <c r="D13" s="12">
        <v>12</v>
      </c>
      <c r="E13" s="12">
        <v>0</v>
      </c>
      <c r="F13" s="12">
        <v>0</v>
      </c>
      <c r="G13" s="12"/>
      <c r="H13" s="12"/>
      <c r="I13" s="12"/>
      <c r="J13" s="12"/>
      <c r="K13" s="12">
        <v>5.7735000000000003</v>
      </c>
      <c r="L13" s="23">
        <v>2000</v>
      </c>
      <c r="M13" s="12" t="s">
        <v>946</v>
      </c>
    </row>
    <row r="14" spans="1:13" x14ac:dyDescent="0.3">
      <c r="A14" s="12" t="s">
        <v>945</v>
      </c>
      <c r="B14" s="12" t="s">
        <v>279</v>
      </c>
      <c r="C14" s="12">
        <v>0.78</v>
      </c>
      <c r="D14" s="12">
        <v>12</v>
      </c>
      <c r="E14" s="12">
        <v>0</v>
      </c>
      <c r="F14" s="12">
        <v>0</v>
      </c>
      <c r="G14" s="12"/>
      <c r="H14" s="12"/>
      <c r="I14" s="12"/>
      <c r="J14" s="12"/>
      <c r="K14" s="12">
        <v>6.6862000000000004</v>
      </c>
      <c r="L14" s="23">
        <v>2000</v>
      </c>
      <c r="M14" s="12" t="s">
        <v>946</v>
      </c>
    </row>
    <row r="15" spans="1:13" x14ac:dyDescent="0.3">
      <c r="A15" s="12" t="s">
        <v>945</v>
      </c>
      <c r="B15" s="12" t="s">
        <v>279</v>
      </c>
      <c r="C15" s="12">
        <v>0.81</v>
      </c>
      <c r="D15" s="12">
        <v>12</v>
      </c>
      <c r="E15" s="12">
        <v>0</v>
      </c>
      <c r="F15" s="12">
        <v>0</v>
      </c>
      <c r="G15" s="12"/>
      <c r="H15" s="12"/>
      <c r="I15" s="12"/>
      <c r="J15" s="12"/>
      <c r="K15" s="12">
        <v>7.6087999999999996</v>
      </c>
      <c r="L15" s="23">
        <v>2000</v>
      </c>
      <c r="M15" s="12" t="s">
        <v>946</v>
      </c>
    </row>
    <row r="16" spans="1:13" x14ac:dyDescent="0.3">
      <c r="A16" s="12" t="s">
        <v>947</v>
      </c>
      <c r="B16" s="12" t="s">
        <v>274</v>
      </c>
      <c r="C16" s="12">
        <v>380</v>
      </c>
      <c r="D16" s="12">
        <v>0</v>
      </c>
      <c r="E16" s="12">
        <v>0</v>
      </c>
      <c r="F16" s="12">
        <v>12</v>
      </c>
      <c r="G16" s="12"/>
      <c r="H16" s="12"/>
      <c r="I16" s="12"/>
      <c r="J16" s="12"/>
      <c r="K16" s="12">
        <v>7.1723999999999997</v>
      </c>
      <c r="L16" s="23">
        <v>2000</v>
      </c>
      <c r="M16" s="12"/>
    </row>
    <row r="17" spans="1:13" x14ac:dyDescent="0.3">
      <c r="A17" s="12" t="s">
        <v>947</v>
      </c>
      <c r="B17" s="12" t="s">
        <v>274</v>
      </c>
      <c r="C17" s="12">
        <v>390</v>
      </c>
      <c r="D17" s="12">
        <v>20</v>
      </c>
      <c r="E17" s="12">
        <v>17</v>
      </c>
      <c r="F17" s="12">
        <v>0</v>
      </c>
      <c r="G17" s="24">
        <v>445.45</v>
      </c>
      <c r="H17" s="21">
        <v>2.4464000000000001</v>
      </c>
      <c r="I17" s="12" t="s">
        <v>948</v>
      </c>
      <c r="J17" s="24">
        <v>445.45</v>
      </c>
      <c r="K17" s="12">
        <v>0</v>
      </c>
      <c r="L17" s="24">
        <v>445.45</v>
      </c>
      <c r="M17" s="12" t="s">
        <v>949</v>
      </c>
    </row>
    <row r="18" spans="1:13" x14ac:dyDescent="0.3">
      <c r="A18" s="12" t="s">
        <v>947</v>
      </c>
      <c r="B18" s="12" t="s">
        <v>274</v>
      </c>
      <c r="C18" s="12">
        <v>403</v>
      </c>
      <c r="D18" s="12">
        <v>20</v>
      </c>
      <c r="E18" s="12">
        <v>16</v>
      </c>
      <c r="F18" s="12">
        <v>0</v>
      </c>
      <c r="G18" s="24">
        <v>563.64</v>
      </c>
      <c r="H18" s="21">
        <v>8.4818999999999996</v>
      </c>
      <c r="I18" s="12" t="s">
        <v>948</v>
      </c>
      <c r="J18" s="24">
        <v>563.64</v>
      </c>
      <c r="K18" s="12">
        <v>0</v>
      </c>
      <c r="L18" s="24">
        <v>563.64</v>
      </c>
      <c r="M18" s="12" t="s">
        <v>950</v>
      </c>
    </row>
    <row r="19" spans="1:13" x14ac:dyDescent="0.3">
      <c r="A19" s="12" t="s">
        <v>947</v>
      </c>
      <c r="B19" s="12" t="s">
        <v>274</v>
      </c>
      <c r="C19" s="12">
        <v>420</v>
      </c>
      <c r="D19" s="12">
        <v>20</v>
      </c>
      <c r="E19" s="12">
        <v>15</v>
      </c>
      <c r="F19" s="12">
        <v>0</v>
      </c>
      <c r="G19" s="24">
        <v>736.36</v>
      </c>
      <c r="H19" s="21">
        <v>9.1503999999999994</v>
      </c>
      <c r="I19" s="12" t="s">
        <v>948</v>
      </c>
      <c r="J19" s="24">
        <v>736.36</v>
      </c>
      <c r="K19" s="12">
        <v>0</v>
      </c>
      <c r="L19" s="24">
        <v>736.36</v>
      </c>
      <c r="M19" s="12" t="s">
        <v>951</v>
      </c>
    </row>
    <row r="20" spans="1:13" x14ac:dyDescent="0.3">
      <c r="A20" s="12" t="s">
        <v>947</v>
      </c>
      <c r="B20" s="12" t="s">
        <v>274</v>
      </c>
      <c r="C20" s="12">
        <v>434</v>
      </c>
      <c r="D20" s="12">
        <v>21</v>
      </c>
      <c r="E20" s="12">
        <v>11</v>
      </c>
      <c r="F20" s="12">
        <v>0</v>
      </c>
      <c r="G20" s="24">
        <v>945.45</v>
      </c>
      <c r="H20" s="21">
        <v>8.2344000000000008</v>
      </c>
      <c r="I20" s="12" t="s">
        <v>749</v>
      </c>
      <c r="J20" s="24">
        <v>945.45</v>
      </c>
      <c r="K20" s="12">
        <v>0</v>
      </c>
      <c r="L20" s="24">
        <v>945.45</v>
      </c>
      <c r="M20" s="12" t="s">
        <v>952</v>
      </c>
    </row>
    <row r="21" spans="1:13" x14ac:dyDescent="0.3">
      <c r="A21" s="12" t="s">
        <v>947</v>
      </c>
      <c r="B21" s="12" t="s">
        <v>274</v>
      </c>
      <c r="C21" s="12">
        <v>466</v>
      </c>
      <c r="D21" s="12">
        <v>12</v>
      </c>
      <c r="E21" s="12">
        <v>0</v>
      </c>
      <c r="F21" s="12">
        <v>0</v>
      </c>
      <c r="G21" s="12"/>
      <c r="H21" s="12"/>
      <c r="I21" s="12"/>
      <c r="J21" s="12"/>
      <c r="K21" s="12">
        <v>1.1721999999999999</v>
      </c>
      <c r="L21" s="23">
        <v>2000</v>
      </c>
      <c r="M21" s="12" t="s">
        <v>953</v>
      </c>
    </row>
    <row r="22" spans="1:13" x14ac:dyDescent="0.3">
      <c r="A22" s="12" t="s">
        <v>947</v>
      </c>
      <c r="B22" s="12" t="s">
        <v>274</v>
      </c>
      <c r="C22" s="12">
        <v>497</v>
      </c>
      <c r="D22" s="12">
        <v>12</v>
      </c>
      <c r="E22" s="12">
        <v>0</v>
      </c>
      <c r="F22" s="12">
        <v>0</v>
      </c>
      <c r="G22" s="12"/>
      <c r="H22" s="12"/>
      <c r="I22" s="12"/>
      <c r="J22" s="12"/>
      <c r="K22" s="12">
        <v>5.0683999999999996</v>
      </c>
      <c r="L22" s="23">
        <v>2000</v>
      </c>
      <c r="M22" s="12" t="s">
        <v>953</v>
      </c>
    </row>
    <row r="23" spans="1:13" x14ac:dyDescent="0.3">
      <c r="A23" s="12" t="s">
        <v>947</v>
      </c>
      <c r="B23" s="12" t="s">
        <v>274</v>
      </c>
      <c r="C23" s="12">
        <v>529</v>
      </c>
      <c r="D23" s="12">
        <v>12</v>
      </c>
      <c r="E23" s="12">
        <v>0</v>
      </c>
      <c r="F23" s="12">
        <v>0</v>
      </c>
      <c r="G23" s="12"/>
      <c r="H23" s="12"/>
      <c r="I23" s="12"/>
      <c r="J23" s="12"/>
      <c r="K23" s="12">
        <v>6.0506000000000002</v>
      </c>
      <c r="L23" s="23">
        <v>2000</v>
      </c>
      <c r="M23" s="12" t="s">
        <v>946</v>
      </c>
    </row>
    <row r="24" spans="1:13" x14ac:dyDescent="0.3">
      <c r="A24" s="12" t="s">
        <v>947</v>
      </c>
      <c r="B24" s="12" t="s">
        <v>274</v>
      </c>
      <c r="C24" s="12">
        <v>560</v>
      </c>
      <c r="D24" s="12">
        <v>12</v>
      </c>
      <c r="E24" s="12">
        <v>0</v>
      </c>
      <c r="F24" s="12">
        <v>0</v>
      </c>
      <c r="G24" s="12"/>
      <c r="H24" s="12"/>
      <c r="I24" s="12"/>
      <c r="J24" s="12"/>
      <c r="K24" s="12">
        <v>6.9755000000000003</v>
      </c>
      <c r="L24" s="23">
        <v>2000</v>
      </c>
      <c r="M24" s="12" t="s">
        <v>946</v>
      </c>
    </row>
    <row r="26" spans="1:13" x14ac:dyDescent="0.3">
      <c r="A26" s="17" t="s">
        <v>954</v>
      </c>
    </row>
  </sheetData>
  <autoFilter ref="A12:M24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72"/>
  <sheetViews>
    <sheetView workbookViewId="0"/>
  </sheetViews>
  <sheetFormatPr baseColWidth="10" defaultColWidth="8.88671875" defaultRowHeight="14.4" x14ac:dyDescent="0.3"/>
  <cols>
    <col min="1" max="1" width="13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1" ht="17.399999999999999" x14ac:dyDescent="0.35">
      <c r="A1" s="1" t="s">
        <v>955</v>
      </c>
    </row>
    <row r="2" spans="1:1" x14ac:dyDescent="0.3">
      <c r="A2" t="s">
        <v>956</v>
      </c>
    </row>
    <row r="3" spans="1:1" x14ac:dyDescent="0.3">
      <c r="A3" t="s">
        <v>957</v>
      </c>
    </row>
    <row r="4" spans="1:1" x14ac:dyDescent="0.3">
      <c r="A4" s="8" t="s">
        <v>958</v>
      </c>
    </row>
    <row r="5" spans="1:1" x14ac:dyDescent="0.3">
      <c r="A5" s="15" t="s">
        <v>959</v>
      </c>
    </row>
    <row r="6" spans="1:1" x14ac:dyDescent="0.3">
      <c r="A6" s="15" t="s">
        <v>960</v>
      </c>
    </row>
    <row r="7" spans="1:1" x14ac:dyDescent="0.3">
      <c r="A7" s="8" t="s">
        <v>961</v>
      </c>
    </row>
    <row r="8" spans="1:1" x14ac:dyDescent="0.3">
      <c r="A8" s="15" t="s">
        <v>962</v>
      </c>
    </row>
    <row r="9" spans="1:1" x14ac:dyDescent="0.3">
      <c r="A9" s="15" t="s">
        <v>963</v>
      </c>
    </row>
    <row r="10" spans="1:1" x14ac:dyDescent="0.3">
      <c r="A10" s="8" t="s">
        <v>964</v>
      </c>
    </row>
    <row r="11" spans="1:1" x14ac:dyDescent="0.3">
      <c r="A11" s="15" t="s">
        <v>924</v>
      </c>
    </row>
    <row r="12" spans="1:1" x14ac:dyDescent="0.3">
      <c r="A12" s="15" t="s">
        <v>965</v>
      </c>
    </row>
    <row r="13" spans="1:1" x14ac:dyDescent="0.3">
      <c r="A13" s="8" t="s">
        <v>966</v>
      </c>
    </row>
    <row r="14" spans="1:1" x14ac:dyDescent="0.3">
      <c r="A14" s="15" t="s">
        <v>967</v>
      </c>
    </row>
    <row r="15" spans="1:1" x14ac:dyDescent="0.3">
      <c r="A15" s="15" t="s">
        <v>968</v>
      </c>
    </row>
    <row r="16" spans="1:1" x14ac:dyDescent="0.3">
      <c r="A16" t="s">
        <v>788</v>
      </c>
    </row>
    <row r="18" spans="1:7" x14ac:dyDescent="0.3">
      <c r="A18" s="16" t="s">
        <v>360</v>
      </c>
      <c r="B18" s="16" t="s">
        <v>712</v>
      </c>
      <c r="C18" s="16" t="s">
        <v>789</v>
      </c>
      <c r="D18" s="16" t="s">
        <v>790</v>
      </c>
      <c r="E18" s="16" t="s">
        <v>791</v>
      </c>
      <c r="F18" s="16" t="s">
        <v>792</v>
      </c>
      <c r="G18" s="16" t="s">
        <v>266</v>
      </c>
    </row>
    <row r="19" spans="1:7" x14ac:dyDescent="0.3">
      <c r="A19" s="12" t="s">
        <v>384</v>
      </c>
      <c r="B19" s="12" t="s">
        <v>49</v>
      </c>
      <c r="C19" s="12" t="s">
        <v>793</v>
      </c>
      <c r="D19" s="12" t="s">
        <v>794</v>
      </c>
      <c r="E19" s="12"/>
      <c r="F19" s="12" t="s">
        <v>749</v>
      </c>
      <c r="G19" s="12" t="s">
        <v>275</v>
      </c>
    </row>
    <row r="20" spans="1:7" x14ac:dyDescent="0.3">
      <c r="A20" s="12" t="s">
        <v>384</v>
      </c>
      <c r="B20" s="12" t="s">
        <v>51</v>
      </c>
      <c r="C20" s="12" t="s">
        <v>793</v>
      </c>
      <c r="D20" s="12" t="s">
        <v>795</v>
      </c>
      <c r="E20" s="12"/>
      <c r="F20" s="12" t="s">
        <v>749</v>
      </c>
      <c r="G20" s="12" t="s">
        <v>275</v>
      </c>
    </row>
    <row r="21" spans="1:7" x14ac:dyDescent="0.3">
      <c r="A21" s="12" t="s">
        <v>384</v>
      </c>
      <c r="B21" s="12" t="s">
        <v>53</v>
      </c>
      <c r="C21" s="12" t="s">
        <v>793</v>
      </c>
      <c r="D21" s="12" t="s">
        <v>805</v>
      </c>
      <c r="E21" s="12"/>
      <c r="F21" s="12" t="s">
        <v>749</v>
      </c>
      <c r="G21" s="12" t="s">
        <v>270</v>
      </c>
    </row>
    <row r="22" spans="1:7" x14ac:dyDescent="0.3">
      <c r="A22" s="12" t="s">
        <v>384</v>
      </c>
      <c r="B22" s="12" t="s">
        <v>54</v>
      </c>
      <c r="C22" s="12" t="s">
        <v>793</v>
      </c>
      <c r="D22" s="12" t="s">
        <v>798</v>
      </c>
      <c r="E22" s="12"/>
      <c r="F22" s="12" t="s">
        <v>749</v>
      </c>
      <c r="G22" s="12" t="s">
        <v>270</v>
      </c>
    </row>
    <row r="23" spans="1:7" x14ac:dyDescent="0.3">
      <c r="A23" s="12" t="s">
        <v>384</v>
      </c>
      <c r="B23" s="12" t="s">
        <v>55</v>
      </c>
      <c r="C23" s="12" t="s">
        <v>793</v>
      </c>
      <c r="D23" s="12" t="s">
        <v>799</v>
      </c>
      <c r="E23" s="12"/>
      <c r="F23" s="12" t="s">
        <v>749</v>
      </c>
      <c r="G23" s="12" t="s">
        <v>273</v>
      </c>
    </row>
    <row r="24" spans="1:7" x14ac:dyDescent="0.3">
      <c r="A24" s="12" t="s">
        <v>384</v>
      </c>
      <c r="B24" s="12" t="s">
        <v>57</v>
      </c>
      <c r="C24" s="12" t="s">
        <v>793</v>
      </c>
      <c r="D24" s="12" t="s">
        <v>800</v>
      </c>
      <c r="E24" s="12"/>
      <c r="F24" s="12" t="s">
        <v>749</v>
      </c>
      <c r="G24" s="12" t="s">
        <v>283</v>
      </c>
    </row>
    <row r="25" spans="1:7" x14ac:dyDescent="0.3">
      <c r="A25" s="12" t="s">
        <v>384</v>
      </c>
      <c r="B25" s="12" t="s">
        <v>59</v>
      </c>
      <c r="C25" s="12" t="s">
        <v>796</v>
      </c>
      <c r="D25" s="12" t="s">
        <v>969</v>
      </c>
      <c r="E25" s="12">
        <v>12</v>
      </c>
      <c r="F25" s="12"/>
      <c r="G25" s="12" t="s">
        <v>273</v>
      </c>
    </row>
    <row r="26" spans="1:7" x14ac:dyDescent="0.3">
      <c r="A26" s="12" t="s">
        <v>384</v>
      </c>
      <c r="B26" s="12" t="s">
        <v>61</v>
      </c>
      <c r="C26" s="12" t="s">
        <v>796</v>
      </c>
      <c r="D26" s="12" t="s">
        <v>969</v>
      </c>
      <c r="E26" s="12">
        <v>12</v>
      </c>
      <c r="F26" s="12"/>
      <c r="G26" s="12" t="s">
        <v>273</v>
      </c>
    </row>
    <row r="27" spans="1:7" x14ac:dyDescent="0.3">
      <c r="A27" s="12" t="s">
        <v>384</v>
      </c>
      <c r="B27" s="12" t="s">
        <v>63</v>
      </c>
      <c r="C27" s="12" t="s">
        <v>796</v>
      </c>
      <c r="D27" s="12" t="s">
        <v>969</v>
      </c>
      <c r="E27" s="12">
        <v>32</v>
      </c>
      <c r="F27" s="12"/>
      <c r="G27" s="12" t="s">
        <v>273</v>
      </c>
    </row>
    <row r="28" spans="1:7" x14ac:dyDescent="0.3">
      <c r="A28" s="12" t="s">
        <v>384</v>
      </c>
      <c r="B28" s="12" t="s">
        <v>64</v>
      </c>
      <c r="C28" s="12" t="s">
        <v>796</v>
      </c>
      <c r="D28" s="12" t="s">
        <v>969</v>
      </c>
      <c r="E28" s="12">
        <v>12</v>
      </c>
      <c r="F28" s="12"/>
      <c r="G28" s="12" t="s">
        <v>273</v>
      </c>
    </row>
    <row r="29" spans="1:7" x14ac:dyDescent="0.3">
      <c r="A29" s="12" t="s">
        <v>384</v>
      </c>
      <c r="B29" s="12" t="s">
        <v>65</v>
      </c>
      <c r="C29" s="12" t="s">
        <v>796</v>
      </c>
      <c r="D29" s="12" t="s">
        <v>969</v>
      </c>
      <c r="E29" s="12">
        <v>12</v>
      </c>
      <c r="F29" s="12"/>
      <c r="G29" s="12" t="s">
        <v>273</v>
      </c>
    </row>
    <row r="30" spans="1:7" x14ac:dyDescent="0.3">
      <c r="A30" s="12" t="s">
        <v>384</v>
      </c>
      <c r="B30" s="12" t="s">
        <v>66</v>
      </c>
      <c r="C30" s="12" t="s">
        <v>802</v>
      </c>
      <c r="D30" s="12"/>
      <c r="E30" s="12"/>
      <c r="F30" s="12"/>
      <c r="G30" s="12" t="s">
        <v>275</v>
      </c>
    </row>
    <row r="31" spans="1:7" x14ac:dyDescent="0.3">
      <c r="A31" s="12" t="s">
        <v>384</v>
      </c>
      <c r="B31" s="12" t="s">
        <v>803</v>
      </c>
      <c r="C31" s="12" t="s">
        <v>793</v>
      </c>
      <c r="D31" s="12" t="s">
        <v>804</v>
      </c>
      <c r="E31" s="12"/>
      <c r="F31" s="12"/>
      <c r="G31" s="12" t="s">
        <v>273</v>
      </c>
    </row>
    <row r="32" spans="1:7" x14ac:dyDescent="0.3">
      <c r="A32" s="12" t="s">
        <v>386</v>
      </c>
      <c r="B32" s="12" t="s">
        <v>49</v>
      </c>
      <c r="C32" s="12" t="s">
        <v>793</v>
      </c>
      <c r="D32" s="12" t="s">
        <v>794</v>
      </c>
      <c r="E32" s="12"/>
      <c r="F32" s="12" t="s">
        <v>749</v>
      </c>
      <c r="G32" s="12" t="s">
        <v>275</v>
      </c>
    </row>
    <row r="33" spans="1:7" x14ac:dyDescent="0.3">
      <c r="A33" s="12" t="s">
        <v>386</v>
      </c>
      <c r="B33" s="12" t="s">
        <v>51</v>
      </c>
      <c r="C33" s="12" t="s">
        <v>793</v>
      </c>
      <c r="D33" s="12" t="s">
        <v>795</v>
      </c>
      <c r="E33" s="12"/>
      <c r="F33" s="12" t="s">
        <v>749</v>
      </c>
      <c r="G33" s="12" t="s">
        <v>275</v>
      </c>
    </row>
    <row r="34" spans="1:7" x14ac:dyDescent="0.3">
      <c r="A34" s="12" t="s">
        <v>386</v>
      </c>
      <c r="B34" s="12" t="s">
        <v>53</v>
      </c>
      <c r="C34" s="12" t="s">
        <v>793</v>
      </c>
      <c r="D34" s="12" t="s">
        <v>805</v>
      </c>
      <c r="E34" s="12"/>
      <c r="F34" s="12" t="s">
        <v>749</v>
      </c>
      <c r="G34" s="12" t="s">
        <v>270</v>
      </c>
    </row>
    <row r="35" spans="1:7" x14ac:dyDescent="0.3">
      <c r="A35" s="12" t="s">
        <v>386</v>
      </c>
      <c r="B35" s="12" t="s">
        <v>54</v>
      </c>
      <c r="C35" s="12" t="s">
        <v>793</v>
      </c>
      <c r="D35" s="12" t="s">
        <v>798</v>
      </c>
      <c r="E35" s="12"/>
      <c r="F35" s="12" t="s">
        <v>749</v>
      </c>
      <c r="G35" s="12" t="s">
        <v>270</v>
      </c>
    </row>
    <row r="36" spans="1:7" x14ac:dyDescent="0.3">
      <c r="A36" s="12" t="s">
        <v>386</v>
      </c>
      <c r="B36" s="12" t="s">
        <v>55</v>
      </c>
      <c r="C36" s="12" t="s">
        <v>793</v>
      </c>
      <c r="D36" s="12" t="s">
        <v>799</v>
      </c>
      <c r="E36" s="12"/>
      <c r="F36" s="12" t="s">
        <v>749</v>
      </c>
      <c r="G36" s="12" t="s">
        <v>273</v>
      </c>
    </row>
    <row r="37" spans="1:7" x14ac:dyDescent="0.3">
      <c r="A37" s="12" t="s">
        <v>386</v>
      </c>
      <c r="B37" s="12" t="s">
        <v>57</v>
      </c>
      <c r="C37" s="12" t="s">
        <v>793</v>
      </c>
      <c r="D37" s="12" t="s">
        <v>800</v>
      </c>
      <c r="E37" s="12"/>
      <c r="F37" s="12" t="s">
        <v>749</v>
      </c>
      <c r="G37" s="12" t="s">
        <v>283</v>
      </c>
    </row>
    <row r="38" spans="1:7" x14ac:dyDescent="0.3">
      <c r="A38" s="12" t="s">
        <v>386</v>
      </c>
      <c r="B38" s="12" t="s">
        <v>59</v>
      </c>
      <c r="C38" s="12" t="s">
        <v>793</v>
      </c>
      <c r="D38" s="12" t="s">
        <v>755</v>
      </c>
      <c r="E38" s="12"/>
      <c r="F38" s="12" t="s">
        <v>749</v>
      </c>
      <c r="G38" s="12" t="s">
        <v>273</v>
      </c>
    </row>
    <row r="39" spans="1:7" x14ac:dyDescent="0.3">
      <c r="A39" s="12" t="s">
        <v>386</v>
      </c>
      <c r="B39" s="12" t="s">
        <v>61</v>
      </c>
      <c r="C39" s="12" t="s">
        <v>793</v>
      </c>
      <c r="D39" s="12" t="s">
        <v>757</v>
      </c>
      <c r="E39" s="12"/>
      <c r="F39" s="12" t="s">
        <v>749</v>
      </c>
      <c r="G39" s="12" t="s">
        <v>273</v>
      </c>
    </row>
    <row r="40" spans="1:7" x14ac:dyDescent="0.3">
      <c r="A40" s="12" t="s">
        <v>386</v>
      </c>
      <c r="B40" s="12" t="s">
        <v>63</v>
      </c>
      <c r="C40" s="12" t="s">
        <v>796</v>
      </c>
      <c r="D40" s="12" t="s">
        <v>970</v>
      </c>
      <c r="E40" s="12">
        <v>5</v>
      </c>
      <c r="F40" s="12"/>
      <c r="G40" s="12" t="s">
        <v>273</v>
      </c>
    </row>
    <row r="41" spans="1:7" x14ac:dyDescent="0.3">
      <c r="A41" s="12" t="s">
        <v>386</v>
      </c>
      <c r="B41" s="12" t="s">
        <v>64</v>
      </c>
      <c r="C41" s="12" t="s">
        <v>793</v>
      </c>
      <c r="D41" s="12" t="s">
        <v>757</v>
      </c>
      <c r="E41" s="12"/>
      <c r="F41" s="12" t="s">
        <v>749</v>
      </c>
      <c r="G41" s="12" t="s">
        <v>273</v>
      </c>
    </row>
    <row r="42" spans="1:7" x14ac:dyDescent="0.3">
      <c r="A42" s="12" t="s">
        <v>386</v>
      </c>
      <c r="B42" s="12" t="s">
        <v>65</v>
      </c>
      <c r="C42" s="12" t="s">
        <v>796</v>
      </c>
      <c r="D42" s="12" t="s">
        <v>969</v>
      </c>
      <c r="E42" s="12">
        <v>12</v>
      </c>
      <c r="F42" s="12"/>
      <c r="G42" s="12" t="s">
        <v>273</v>
      </c>
    </row>
    <row r="43" spans="1:7" x14ac:dyDescent="0.3">
      <c r="A43" s="12" t="s">
        <v>386</v>
      </c>
      <c r="B43" s="12" t="s">
        <v>66</v>
      </c>
      <c r="C43" s="12" t="s">
        <v>802</v>
      </c>
      <c r="D43" s="12"/>
      <c r="E43" s="12"/>
      <c r="F43" s="12"/>
      <c r="G43" s="12" t="s">
        <v>275</v>
      </c>
    </row>
    <row r="44" spans="1:7" x14ac:dyDescent="0.3">
      <c r="A44" s="12" t="s">
        <v>386</v>
      </c>
      <c r="B44" s="12" t="s">
        <v>803</v>
      </c>
      <c r="C44" s="12" t="s">
        <v>793</v>
      </c>
      <c r="D44" s="12" t="s">
        <v>804</v>
      </c>
      <c r="E44" s="12"/>
      <c r="F44" s="12"/>
      <c r="G44" s="12" t="s">
        <v>273</v>
      </c>
    </row>
    <row r="45" spans="1:7" x14ac:dyDescent="0.3">
      <c r="A45" s="12" t="s">
        <v>388</v>
      </c>
      <c r="B45" s="12" t="s">
        <v>49</v>
      </c>
      <c r="C45" s="12" t="s">
        <v>793</v>
      </c>
      <c r="D45" s="12" t="s">
        <v>794</v>
      </c>
      <c r="E45" s="12"/>
      <c r="F45" s="12" t="s">
        <v>749</v>
      </c>
      <c r="G45" s="12" t="s">
        <v>275</v>
      </c>
    </row>
    <row r="46" spans="1:7" x14ac:dyDescent="0.3">
      <c r="A46" s="12" t="s">
        <v>388</v>
      </c>
      <c r="B46" s="12" t="s">
        <v>51</v>
      </c>
      <c r="C46" s="12" t="s">
        <v>793</v>
      </c>
      <c r="D46" s="12" t="s">
        <v>795</v>
      </c>
      <c r="E46" s="12"/>
      <c r="F46" s="12" t="s">
        <v>749</v>
      </c>
      <c r="G46" s="12" t="s">
        <v>275</v>
      </c>
    </row>
    <row r="47" spans="1:7" x14ac:dyDescent="0.3">
      <c r="A47" s="12" t="s">
        <v>388</v>
      </c>
      <c r="B47" s="12" t="s">
        <v>53</v>
      </c>
      <c r="C47" s="12" t="s">
        <v>793</v>
      </c>
      <c r="D47" s="12" t="s">
        <v>805</v>
      </c>
      <c r="E47" s="12"/>
      <c r="F47" s="12" t="s">
        <v>749</v>
      </c>
      <c r="G47" s="12" t="s">
        <v>270</v>
      </c>
    </row>
    <row r="48" spans="1:7" x14ac:dyDescent="0.3">
      <c r="A48" s="12" t="s">
        <v>388</v>
      </c>
      <c r="B48" s="12" t="s">
        <v>54</v>
      </c>
      <c r="C48" s="12" t="s">
        <v>796</v>
      </c>
      <c r="D48" s="12" t="s">
        <v>929</v>
      </c>
      <c r="E48" s="12">
        <v>20</v>
      </c>
      <c r="F48" s="12"/>
      <c r="G48" s="12" t="s">
        <v>270</v>
      </c>
    </row>
    <row r="49" spans="1:7" x14ac:dyDescent="0.3">
      <c r="A49" s="12" t="s">
        <v>388</v>
      </c>
      <c r="B49" s="12" t="s">
        <v>55</v>
      </c>
      <c r="C49" s="12" t="s">
        <v>793</v>
      </c>
      <c r="D49" s="12" t="s">
        <v>799</v>
      </c>
      <c r="E49" s="12"/>
      <c r="F49" s="12" t="s">
        <v>749</v>
      </c>
      <c r="G49" s="12" t="s">
        <v>273</v>
      </c>
    </row>
    <row r="50" spans="1:7" x14ac:dyDescent="0.3">
      <c r="A50" s="12" t="s">
        <v>388</v>
      </c>
      <c r="B50" s="12" t="s">
        <v>57</v>
      </c>
      <c r="C50" s="12" t="s">
        <v>793</v>
      </c>
      <c r="D50" s="12" t="s">
        <v>800</v>
      </c>
      <c r="E50" s="12"/>
      <c r="F50" s="12" t="s">
        <v>749</v>
      </c>
      <c r="G50" s="12" t="s">
        <v>283</v>
      </c>
    </row>
    <row r="51" spans="1:7" x14ac:dyDescent="0.3">
      <c r="A51" s="12" t="s">
        <v>388</v>
      </c>
      <c r="B51" s="12" t="s">
        <v>59</v>
      </c>
      <c r="C51" s="12" t="s">
        <v>793</v>
      </c>
      <c r="D51" s="12" t="s">
        <v>755</v>
      </c>
      <c r="E51" s="12"/>
      <c r="F51" s="12" t="s">
        <v>749</v>
      </c>
      <c r="G51" s="12" t="s">
        <v>273</v>
      </c>
    </row>
    <row r="52" spans="1:7" x14ac:dyDescent="0.3">
      <c r="A52" s="12" t="s">
        <v>388</v>
      </c>
      <c r="B52" s="12" t="s">
        <v>61</v>
      </c>
      <c r="C52" s="12" t="s">
        <v>793</v>
      </c>
      <c r="D52" s="12" t="s">
        <v>757</v>
      </c>
      <c r="E52" s="12"/>
      <c r="F52" s="12" t="s">
        <v>749</v>
      </c>
      <c r="G52" s="12" t="s">
        <v>273</v>
      </c>
    </row>
    <row r="53" spans="1:7" x14ac:dyDescent="0.3">
      <c r="A53" s="12" t="s">
        <v>388</v>
      </c>
      <c r="B53" s="12" t="s">
        <v>63</v>
      </c>
      <c r="C53" s="12" t="s">
        <v>796</v>
      </c>
      <c r="D53" s="12" t="s">
        <v>807</v>
      </c>
      <c r="E53" s="12">
        <v>4</v>
      </c>
      <c r="F53" s="12"/>
      <c r="G53" s="12" t="s">
        <v>273</v>
      </c>
    </row>
    <row r="54" spans="1:7" x14ac:dyDescent="0.3">
      <c r="A54" s="12" t="s">
        <v>388</v>
      </c>
      <c r="B54" s="12" t="s">
        <v>64</v>
      </c>
      <c r="C54" s="12" t="s">
        <v>793</v>
      </c>
      <c r="D54" s="12" t="s">
        <v>757</v>
      </c>
      <c r="E54" s="12"/>
      <c r="F54" s="12" t="s">
        <v>749</v>
      </c>
      <c r="G54" s="12" t="s">
        <v>273</v>
      </c>
    </row>
    <row r="55" spans="1:7" x14ac:dyDescent="0.3">
      <c r="A55" s="12" t="s">
        <v>388</v>
      </c>
      <c r="B55" s="12" t="s">
        <v>65</v>
      </c>
      <c r="C55" s="12" t="s">
        <v>793</v>
      </c>
      <c r="D55" s="12" t="s">
        <v>801</v>
      </c>
      <c r="E55" s="12"/>
      <c r="F55" s="12" t="s">
        <v>749</v>
      </c>
      <c r="G55" s="12" t="s">
        <v>273</v>
      </c>
    </row>
    <row r="56" spans="1:7" x14ac:dyDescent="0.3">
      <c r="A56" s="12" t="s">
        <v>388</v>
      </c>
      <c r="B56" s="12" t="s">
        <v>66</v>
      </c>
      <c r="C56" s="12" t="s">
        <v>802</v>
      </c>
      <c r="D56" s="12"/>
      <c r="E56" s="12"/>
      <c r="F56" s="12"/>
      <c r="G56" s="12" t="s">
        <v>275</v>
      </c>
    </row>
    <row r="57" spans="1:7" x14ac:dyDescent="0.3">
      <c r="A57" s="12" t="s">
        <v>388</v>
      </c>
      <c r="B57" s="12" t="s">
        <v>803</v>
      </c>
      <c r="C57" s="12" t="s">
        <v>793</v>
      </c>
      <c r="D57" s="12" t="s">
        <v>804</v>
      </c>
      <c r="E57" s="12"/>
      <c r="F57" s="12"/>
      <c r="G57" s="12" t="s">
        <v>273</v>
      </c>
    </row>
    <row r="58" spans="1:7" x14ac:dyDescent="0.3">
      <c r="A58" s="12" t="s">
        <v>389</v>
      </c>
      <c r="B58" s="12" t="s">
        <v>49</v>
      </c>
      <c r="C58" s="12" t="s">
        <v>796</v>
      </c>
      <c r="D58" s="12" t="s">
        <v>971</v>
      </c>
      <c r="E58" s="12">
        <v>7</v>
      </c>
      <c r="F58" s="12"/>
      <c r="G58" s="12" t="s">
        <v>275</v>
      </c>
    </row>
    <row r="59" spans="1:7" x14ac:dyDescent="0.3">
      <c r="A59" s="12" t="s">
        <v>389</v>
      </c>
      <c r="B59" s="12" t="s">
        <v>51</v>
      </c>
      <c r="C59" s="12" t="s">
        <v>793</v>
      </c>
      <c r="D59" s="12" t="s">
        <v>795</v>
      </c>
      <c r="E59" s="12"/>
      <c r="F59" s="12" t="s">
        <v>749</v>
      </c>
      <c r="G59" s="12" t="s">
        <v>275</v>
      </c>
    </row>
    <row r="60" spans="1:7" x14ac:dyDescent="0.3">
      <c r="A60" s="12" t="s">
        <v>389</v>
      </c>
      <c r="B60" s="12" t="s">
        <v>53</v>
      </c>
      <c r="C60" s="12" t="s">
        <v>793</v>
      </c>
      <c r="D60" s="12" t="s">
        <v>805</v>
      </c>
      <c r="E60" s="12"/>
      <c r="F60" s="12" t="s">
        <v>749</v>
      </c>
      <c r="G60" s="12" t="s">
        <v>270</v>
      </c>
    </row>
    <row r="61" spans="1:7" x14ac:dyDescent="0.3">
      <c r="A61" s="12" t="s">
        <v>389</v>
      </c>
      <c r="B61" s="12" t="s">
        <v>54</v>
      </c>
      <c r="C61" s="12" t="s">
        <v>793</v>
      </c>
      <c r="D61" s="12" t="s">
        <v>798</v>
      </c>
      <c r="E61" s="12"/>
      <c r="F61" s="12" t="s">
        <v>749</v>
      </c>
      <c r="G61" s="12" t="s">
        <v>270</v>
      </c>
    </row>
    <row r="62" spans="1:7" x14ac:dyDescent="0.3">
      <c r="A62" s="12" t="s">
        <v>389</v>
      </c>
      <c r="B62" s="12" t="s">
        <v>55</v>
      </c>
      <c r="C62" s="12" t="s">
        <v>793</v>
      </c>
      <c r="D62" s="12" t="s">
        <v>799</v>
      </c>
      <c r="E62" s="12"/>
      <c r="F62" s="12" t="s">
        <v>749</v>
      </c>
      <c r="G62" s="12" t="s">
        <v>273</v>
      </c>
    </row>
    <row r="63" spans="1:7" x14ac:dyDescent="0.3">
      <c r="A63" s="12" t="s">
        <v>389</v>
      </c>
      <c r="B63" s="12" t="s">
        <v>57</v>
      </c>
      <c r="C63" s="12" t="s">
        <v>793</v>
      </c>
      <c r="D63" s="12" t="s">
        <v>800</v>
      </c>
      <c r="E63" s="12"/>
      <c r="F63" s="12" t="s">
        <v>749</v>
      </c>
      <c r="G63" s="12" t="s">
        <v>283</v>
      </c>
    </row>
    <row r="64" spans="1:7" x14ac:dyDescent="0.3">
      <c r="A64" s="12" t="s">
        <v>389</v>
      </c>
      <c r="B64" s="12" t="s">
        <v>59</v>
      </c>
      <c r="C64" s="12" t="s">
        <v>793</v>
      </c>
      <c r="D64" s="12" t="s">
        <v>755</v>
      </c>
      <c r="E64" s="12"/>
      <c r="F64" s="12" t="s">
        <v>749</v>
      </c>
      <c r="G64" s="12" t="s">
        <v>273</v>
      </c>
    </row>
    <row r="65" spans="1:7" x14ac:dyDescent="0.3">
      <c r="A65" s="12" t="s">
        <v>389</v>
      </c>
      <c r="B65" s="12" t="s">
        <v>61</v>
      </c>
      <c r="C65" s="12" t="s">
        <v>793</v>
      </c>
      <c r="D65" s="12" t="s">
        <v>757</v>
      </c>
      <c r="E65" s="12"/>
      <c r="F65" s="12" t="s">
        <v>749</v>
      </c>
      <c r="G65" s="12" t="s">
        <v>273</v>
      </c>
    </row>
    <row r="66" spans="1:7" x14ac:dyDescent="0.3">
      <c r="A66" s="12" t="s">
        <v>389</v>
      </c>
      <c r="B66" s="12" t="s">
        <v>63</v>
      </c>
      <c r="C66" s="12" t="s">
        <v>793</v>
      </c>
      <c r="D66" s="12" t="s">
        <v>755</v>
      </c>
      <c r="E66" s="12"/>
      <c r="F66" s="12" t="s">
        <v>749</v>
      </c>
      <c r="G66" s="12" t="s">
        <v>273</v>
      </c>
    </row>
    <row r="67" spans="1:7" x14ac:dyDescent="0.3">
      <c r="A67" s="12" t="s">
        <v>389</v>
      </c>
      <c r="B67" s="12" t="s">
        <v>64</v>
      </c>
      <c r="C67" s="12" t="s">
        <v>793</v>
      </c>
      <c r="D67" s="12" t="s">
        <v>757</v>
      </c>
      <c r="E67" s="12"/>
      <c r="F67" s="12" t="s">
        <v>749</v>
      </c>
      <c r="G67" s="12" t="s">
        <v>273</v>
      </c>
    </row>
    <row r="68" spans="1:7" x14ac:dyDescent="0.3">
      <c r="A68" s="12" t="s">
        <v>389</v>
      </c>
      <c r="B68" s="12" t="s">
        <v>65</v>
      </c>
      <c r="C68" s="12" t="s">
        <v>796</v>
      </c>
      <c r="D68" s="12" t="s">
        <v>972</v>
      </c>
      <c r="E68" s="12">
        <v>3</v>
      </c>
      <c r="F68" s="12"/>
      <c r="G68" s="12" t="s">
        <v>273</v>
      </c>
    </row>
    <row r="69" spans="1:7" x14ac:dyDescent="0.3">
      <c r="A69" s="12" t="s">
        <v>389</v>
      </c>
      <c r="B69" s="12" t="s">
        <v>66</v>
      </c>
      <c r="C69" s="12" t="s">
        <v>802</v>
      </c>
      <c r="D69" s="12"/>
      <c r="E69" s="12"/>
      <c r="F69" s="12"/>
      <c r="G69" s="12" t="s">
        <v>275</v>
      </c>
    </row>
    <row r="70" spans="1:7" x14ac:dyDescent="0.3">
      <c r="A70" s="12" t="s">
        <v>389</v>
      </c>
      <c r="B70" s="12" t="s">
        <v>803</v>
      </c>
      <c r="C70" s="12" t="s">
        <v>793</v>
      </c>
      <c r="D70" s="12" t="s">
        <v>804</v>
      </c>
      <c r="E70" s="12"/>
      <c r="F70" s="12"/>
      <c r="G70" s="12" t="s">
        <v>273</v>
      </c>
    </row>
    <row r="72" spans="1:7" x14ac:dyDescent="0.3">
      <c r="A72" s="17" t="s">
        <v>809</v>
      </c>
    </row>
  </sheetData>
  <autoFilter ref="A18:G70" xr:uid="{00000000-0009-0000-0000-00001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24"/>
  <sheetViews>
    <sheetView workbookViewId="0"/>
  </sheetViews>
  <sheetFormatPr baseColWidth="10" defaultColWidth="8.88671875" defaultRowHeight="14.4" x14ac:dyDescent="0.3"/>
  <cols>
    <col min="1" max="1" width="13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" ht="17.399999999999999" x14ac:dyDescent="0.35">
      <c r="A1" s="1" t="s">
        <v>973</v>
      </c>
    </row>
    <row r="2" spans="1:1" x14ac:dyDescent="0.3">
      <c r="A2" t="s">
        <v>956</v>
      </c>
    </row>
    <row r="3" spans="1:1" x14ac:dyDescent="0.3">
      <c r="A3" t="s">
        <v>957</v>
      </c>
    </row>
    <row r="4" spans="1:1" x14ac:dyDescent="0.3">
      <c r="A4" s="8" t="s">
        <v>958</v>
      </c>
    </row>
    <row r="5" spans="1:1" x14ac:dyDescent="0.3">
      <c r="A5" s="15" t="s">
        <v>959</v>
      </c>
    </row>
    <row r="6" spans="1:1" x14ac:dyDescent="0.3">
      <c r="A6" s="15" t="s">
        <v>960</v>
      </c>
    </row>
    <row r="7" spans="1:1" x14ac:dyDescent="0.3">
      <c r="A7" s="8" t="s">
        <v>961</v>
      </c>
    </row>
    <row r="8" spans="1:1" x14ac:dyDescent="0.3">
      <c r="A8" s="15" t="s">
        <v>962</v>
      </c>
    </row>
    <row r="9" spans="1:1" x14ac:dyDescent="0.3">
      <c r="A9" s="15" t="s">
        <v>963</v>
      </c>
    </row>
    <row r="10" spans="1:1" x14ac:dyDescent="0.3">
      <c r="A10" s="8" t="s">
        <v>964</v>
      </c>
    </row>
    <row r="11" spans="1:1" x14ac:dyDescent="0.3">
      <c r="A11" s="15" t="s">
        <v>924</v>
      </c>
    </row>
    <row r="12" spans="1:1" x14ac:dyDescent="0.3">
      <c r="A12" s="15" t="s">
        <v>965</v>
      </c>
    </row>
    <row r="13" spans="1:1" x14ac:dyDescent="0.3">
      <c r="A13" s="8" t="s">
        <v>966</v>
      </c>
    </row>
    <row r="14" spans="1:1" x14ac:dyDescent="0.3">
      <c r="A14" s="15" t="s">
        <v>967</v>
      </c>
    </row>
    <row r="15" spans="1:1" x14ac:dyDescent="0.3">
      <c r="A15" s="15" t="s">
        <v>968</v>
      </c>
    </row>
    <row r="16" spans="1:1" x14ac:dyDescent="0.3">
      <c r="A16" t="s">
        <v>811</v>
      </c>
    </row>
    <row r="18" spans="1:11" x14ac:dyDescent="0.3">
      <c r="A18" s="16" t="s">
        <v>360</v>
      </c>
      <c r="B18" s="16" t="s">
        <v>30</v>
      </c>
      <c r="C18" s="16" t="s">
        <v>812</v>
      </c>
      <c r="D18" s="16" t="s">
        <v>813</v>
      </c>
      <c r="E18" s="16" t="s">
        <v>32</v>
      </c>
      <c r="F18" s="16" t="s">
        <v>33</v>
      </c>
      <c r="G18" s="16" t="s">
        <v>814</v>
      </c>
      <c r="H18" s="16" t="s">
        <v>815</v>
      </c>
      <c r="I18" s="16" t="s">
        <v>816</v>
      </c>
      <c r="J18" s="16" t="s">
        <v>295</v>
      </c>
      <c r="K18" s="16" t="s">
        <v>817</v>
      </c>
    </row>
    <row r="19" spans="1:11" x14ac:dyDescent="0.3">
      <c r="A19" s="12" t="s">
        <v>384</v>
      </c>
      <c r="B19" s="12">
        <v>80</v>
      </c>
      <c r="C19" s="12">
        <v>0</v>
      </c>
      <c r="D19" s="12">
        <v>24</v>
      </c>
      <c r="E19" s="12">
        <v>0</v>
      </c>
      <c r="F19" s="12">
        <v>0</v>
      </c>
      <c r="G19" s="12">
        <v>24</v>
      </c>
      <c r="H19" s="12">
        <v>0</v>
      </c>
      <c r="I19" s="12">
        <v>52</v>
      </c>
      <c r="J19" s="12">
        <v>4</v>
      </c>
      <c r="K19" s="12">
        <v>28</v>
      </c>
    </row>
    <row r="20" spans="1:11" x14ac:dyDescent="0.3">
      <c r="A20" s="12" t="s">
        <v>386</v>
      </c>
      <c r="B20" s="12">
        <v>60</v>
      </c>
      <c r="C20" s="12">
        <v>0</v>
      </c>
      <c r="D20" s="12">
        <v>48</v>
      </c>
      <c r="E20" s="12">
        <v>0</v>
      </c>
      <c r="F20" s="12">
        <v>0</v>
      </c>
      <c r="G20" s="12">
        <v>48</v>
      </c>
      <c r="H20" s="12">
        <v>0</v>
      </c>
      <c r="I20" s="12">
        <v>12</v>
      </c>
      <c r="J20" s="12">
        <v>0</v>
      </c>
      <c r="K20" s="12">
        <v>48</v>
      </c>
    </row>
    <row r="21" spans="1:11" x14ac:dyDescent="0.3">
      <c r="A21" s="12" t="s">
        <v>388</v>
      </c>
      <c r="B21" s="12">
        <v>64</v>
      </c>
      <c r="C21" s="12">
        <v>0</v>
      </c>
      <c r="D21" s="12">
        <v>62</v>
      </c>
      <c r="E21" s="12">
        <v>19</v>
      </c>
      <c r="F21" s="12">
        <v>0</v>
      </c>
      <c r="G21" s="12">
        <v>43</v>
      </c>
      <c r="H21" s="12">
        <v>0</v>
      </c>
      <c r="I21" s="12">
        <v>2</v>
      </c>
      <c r="J21" s="12">
        <v>0</v>
      </c>
      <c r="K21" s="12">
        <v>62</v>
      </c>
    </row>
    <row r="22" spans="1:11" x14ac:dyDescent="0.3">
      <c r="A22" s="12" t="s">
        <v>389</v>
      </c>
      <c r="B22" s="12">
        <v>21</v>
      </c>
      <c r="C22" s="12">
        <v>0</v>
      </c>
      <c r="D22" s="12">
        <v>20</v>
      </c>
      <c r="E22" s="12">
        <v>1</v>
      </c>
      <c r="F22" s="12">
        <v>1</v>
      </c>
      <c r="G22" s="12">
        <v>18</v>
      </c>
      <c r="H22" s="12">
        <v>1</v>
      </c>
      <c r="I22" s="12">
        <v>1</v>
      </c>
      <c r="J22" s="12">
        <v>0</v>
      </c>
      <c r="K22" s="12">
        <v>14</v>
      </c>
    </row>
    <row r="24" spans="1:11" x14ac:dyDescent="0.3">
      <c r="A24" s="17" t="s">
        <v>818</v>
      </c>
    </row>
  </sheetData>
  <autoFilter ref="A18:K22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41"/>
  <sheetViews>
    <sheetView workbookViewId="0"/>
  </sheetViews>
  <sheetFormatPr baseColWidth="10" defaultColWidth="8.88671875" defaultRowHeight="14.4" x14ac:dyDescent="0.3"/>
  <cols>
    <col min="1" max="1" width="10" customWidth="1"/>
    <col min="2" max="2" width="12" customWidth="1"/>
    <col min="3" max="3" width="10" customWidth="1"/>
    <col min="4" max="4" width="12" customWidth="1"/>
    <col min="5" max="6" width="10" customWidth="1"/>
    <col min="7" max="7" width="25" customWidth="1"/>
    <col min="8" max="8" width="10" customWidth="1"/>
    <col min="9" max="11" width="21" customWidth="1"/>
    <col min="12" max="12" width="13" customWidth="1"/>
    <col min="13" max="14" width="23" customWidth="1"/>
    <col min="15" max="15" width="16" customWidth="1"/>
  </cols>
  <sheetData>
    <row r="1" spans="1:1" ht="17.399999999999999" x14ac:dyDescent="0.35">
      <c r="A1" s="1" t="s">
        <v>974</v>
      </c>
    </row>
    <row r="2" spans="1:1" x14ac:dyDescent="0.3">
      <c r="A2" t="s">
        <v>956</v>
      </c>
    </row>
    <row r="3" spans="1:1" x14ac:dyDescent="0.3">
      <c r="A3" t="s">
        <v>957</v>
      </c>
    </row>
    <row r="4" spans="1:1" x14ac:dyDescent="0.3">
      <c r="A4" s="8" t="s">
        <v>958</v>
      </c>
    </row>
    <row r="5" spans="1:1" x14ac:dyDescent="0.3">
      <c r="A5" s="15" t="s">
        <v>959</v>
      </c>
    </row>
    <row r="6" spans="1:1" x14ac:dyDescent="0.3">
      <c r="A6" s="15" t="s">
        <v>960</v>
      </c>
    </row>
    <row r="7" spans="1:1" x14ac:dyDescent="0.3">
      <c r="A7" s="8" t="s">
        <v>961</v>
      </c>
    </row>
    <row r="8" spans="1:1" x14ac:dyDescent="0.3">
      <c r="A8" s="15" t="s">
        <v>962</v>
      </c>
    </row>
    <row r="9" spans="1:1" x14ac:dyDescent="0.3">
      <c r="A9" s="15" t="s">
        <v>963</v>
      </c>
    </row>
    <row r="10" spans="1:1" x14ac:dyDescent="0.3">
      <c r="A10" s="8" t="s">
        <v>964</v>
      </c>
    </row>
    <row r="11" spans="1:1" x14ac:dyDescent="0.3">
      <c r="A11" s="15" t="s">
        <v>924</v>
      </c>
    </row>
    <row r="12" spans="1:1" x14ac:dyDescent="0.3">
      <c r="A12" s="15" t="s">
        <v>965</v>
      </c>
    </row>
    <row r="13" spans="1:1" x14ac:dyDescent="0.3">
      <c r="A13" s="8" t="s">
        <v>966</v>
      </c>
    </row>
    <row r="14" spans="1:1" x14ac:dyDescent="0.3">
      <c r="A14" s="15" t="s">
        <v>967</v>
      </c>
    </row>
    <row r="15" spans="1:1" x14ac:dyDescent="0.3">
      <c r="A15" s="15" t="s">
        <v>968</v>
      </c>
    </row>
    <row r="16" spans="1:1" x14ac:dyDescent="0.3">
      <c r="A16" t="s">
        <v>975</v>
      </c>
    </row>
    <row r="18" spans="1:15" x14ac:dyDescent="0.3">
      <c r="A18" s="16" t="s">
        <v>976</v>
      </c>
      <c r="B18" s="16" t="s">
        <v>938</v>
      </c>
      <c r="C18" s="16" t="s">
        <v>939</v>
      </c>
      <c r="D18" s="16" t="s">
        <v>977</v>
      </c>
      <c r="E18" s="16" t="s">
        <v>813</v>
      </c>
      <c r="F18" s="16" t="s">
        <v>32</v>
      </c>
      <c r="G18" s="16" t="s">
        <v>295</v>
      </c>
      <c r="H18" s="16" t="s">
        <v>978</v>
      </c>
      <c r="I18" s="16" t="s">
        <v>979</v>
      </c>
      <c r="J18" s="16" t="s">
        <v>980</v>
      </c>
      <c r="K18" s="16" t="s">
        <v>981</v>
      </c>
      <c r="L18" s="16" t="s">
        <v>982</v>
      </c>
      <c r="M18" s="16" t="s">
        <v>983</v>
      </c>
      <c r="N18" s="16" t="s">
        <v>984</v>
      </c>
      <c r="O18" s="16" t="s">
        <v>985</v>
      </c>
    </row>
    <row r="19" spans="1:15" x14ac:dyDescent="0.3">
      <c r="A19" s="12" t="s">
        <v>986</v>
      </c>
      <c r="B19" s="12" t="s">
        <v>279</v>
      </c>
      <c r="C19" s="12"/>
      <c r="D19" s="12"/>
      <c r="E19" s="12">
        <v>24</v>
      </c>
      <c r="F19" s="12">
        <v>0</v>
      </c>
      <c r="G19" s="12">
        <v>2</v>
      </c>
      <c r="H19" s="12"/>
      <c r="I19" s="12"/>
      <c r="J19" s="12"/>
      <c r="K19" s="12"/>
      <c r="L19" s="12"/>
      <c r="M19" s="12"/>
      <c r="N19" s="12"/>
      <c r="O19" s="12" t="s">
        <v>987</v>
      </c>
    </row>
    <row r="20" spans="1:15" x14ac:dyDescent="0.3">
      <c r="A20" s="12" t="s">
        <v>986</v>
      </c>
      <c r="B20" s="12" t="s">
        <v>280</v>
      </c>
      <c r="C20" s="12"/>
      <c r="D20" s="12"/>
      <c r="E20" s="12">
        <v>0</v>
      </c>
      <c r="F20" s="12">
        <v>0</v>
      </c>
      <c r="G20" s="12">
        <v>0</v>
      </c>
      <c r="H20" s="12"/>
      <c r="I20" s="12"/>
      <c r="J20" s="12"/>
      <c r="K20" s="12"/>
      <c r="L20" s="12"/>
      <c r="M20" s="12"/>
      <c r="N20" s="12"/>
      <c r="O20" s="12"/>
    </row>
    <row r="21" spans="1:15" x14ac:dyDescent="0.3">
      <c r="A21" s="12" t="s">
        <v>986</v>
      </c>
      <c r="B21" s="12" t="s">
        <v>281</v>
      </c>
      <c r="C21" s="12"/>
      <c r="D21" s="12"/>
      <c r="E21" s="12">
        <v>0</v>
      </c>
      <c r="F21" s="12">
        <v>0</v>
      </c>
      <c r="G21" s="12">
        <v>2</v>
      </c>
      <c r="H21" s="12"/>
      <c r="I21" s="12"/>
      <c r="J21" s="12"/>
      <c r="K21" s="12"/>
      <c r="L21" s="12"/>
      <c r="M21" s="12"/>
      <c r="N21" s="12"/>
      <c r="O21" s="12"/>
    </row>
    <row r="22" spans="1:15" x14ac:dyDescent="0.3">
      <c r="A22" s="12" t="s">
        <v>986</v>
      </c>
      <c r="B22" s="12" t="s">
        <v>277</v>
      </c>
      <c r="C22" s="12"/>
      <c r="D22" s="12"/>
      <c r="E22" s="12">
        <v>0</v>
      </c>
      <c r="F22" s="12">
        <v>0</v>
      </c>
      <c r="G22" s="12">
        <v>0</v>
      </c>
      <c r="H22" s="12"/>
      <c r="I22" s="12"/>
      <c r="J22" s="12"/>
      <c r="K22" s="12"/>
      <c r="L22" s="12"/>
      <c r="M22" s="12"/>
      <c r="N22" s="12"/>
      <c r="O22" s="12"/>
    </row>
    <row r="23" spans="1:15" x14ac:dyDescent="0.3">
      <c r="A23" s="12" t="s">
        <v>986</v>
      </c>
      <c r="B23" s="12" t="s">
        <v>278</v>
      </c>
      <c r="C23" s="12"/>
      <c r="D23" s="12"/>
      <c r="E23" s="12">
        <v>0</v>
      </c>
      <c r="F23" s="12">
        <v>0</v>
      </c>
      <c r="G23" s="12">
        <v>0</v>
      </c>
      <c r="H23" s="12"/>
      <c r="I23" s="12"/>
      <c r="J23" s="12"/>
      <c r="K23" s="12"/>
      <c r="L23" s="12"/>
      <c r="M23" s="12"/>
      <c r="N23" s="12"/>
      <c r="O23" s="12"/>
    </row>
    <row r="24" spans="1:15" x14ac:dyDescent="0.3">
      <c r="A24" s="12" t="s">
        <v>988</v>
      </c>
      <c r="B24" s="12" t="s">
        <v>279</v>
      </c>
      <c r="C24" s="12">
        <v>0.4</v>
      </c>
      <c r="D24" s="12" t="s">
        <v>281</v>
      </c>
      <c r="E24" s="12">
        <v>12</v>
      </c>
      <c r="F24" s="12">
        <v>0</v>
      </c>
      <c r="G24" s="12">
        <v>0</v>
      </c>
      <c r="H24" s="12"/>
      <c r="I24" s="12"/>
      <c r="J24" s="12"/>
      <c r="K24" s="12"/>
      <c r="L24" s="12"/>
      <c r="M24" s="12"/>
      <c r="N24" s="12"/>
      <c r="O24" s="12" t="s">
        <v>953</v>
      </c>
    </row>
    <row r="25" spans="1:15" x14ac:dyDescent="0.3">
      <c r="A25" s="12" t="s">
        <v>988</v>
      </c>
      <c r="B25" s="12" t="s">
        <v>279</v>
      </c>
      <c r="C25" s="12">
        <v>0.5</v>
      </c>
      <c r="D25" s="12" t="s">
        <v>281</v>
      </c>
      <c r="E25" s="12">
        <v>11</v>
      </c>
      <c r="F25" s="12">
        <v>0</v>
      </c>
      <c r="G25" s="12">
        <v>0</v>
      </c>
      <c r="H25" s="12"/>
      <c r="I25" s="12"/>
      <c r="J25" s="12"/>
      <c r="K25" s="12"/>
      <c r="L25" s="12"/>
      <c r="M25" s="12"/>
      <c r="N25" s="12"/>
      <c r="O25" s="12" t="s">
        <v>989</v>
      </c>
    </row>
    <row r="26" spans="1:15" x14ac:dyDescent="0.3">
      <c r="A26" s="12" t="s">
        <v>988</v>
      </c>
      <c r="B26" s="12" t="s">
        <v>279</v>
      </c>
      <c r="C26" s="12">
        <v>0.6</v>
      </c>
      <c r="D26" s="12" t="s">
        <v>281</v>
      </c>
      <c r="E26" s="12">
        <v>12</v>
      </c>
      <c r="F26" s="12">
        <v>0</v>
      </c>
      <c r="G26" s="12">
        <v>0</v>
      </c>
      <c r="H26" s="12"/>
      <c r="I26" s="12"/>
      <c r="J26" s="12"/>
      <c r="K26" s="12"/>
      <c r="L26" s="12"/>
      <c r="M26" s="12"/>
      <c r="N26" s="12"/>
      <c r="O26" s="12" t="s">
        <v>946</v>
      </c>
    </row>
    <row r="27" spans="1:15" x14ac:dyDescent="0.3">
      <c r="A27" s="12" t="s">
        <v>988</v>
      </c>
      <c r="B27" s="12" t="s">
        <v>279</v>
      </c>
      <c r="C27" s="12">
        <v>0.7</v>
      </c>
      <c r="D27" s="12" t="s">
        <v>281</v>
      </c>
      <c r="E27" s="12">
        <v>9</v>
      </c>
      <c r="F27" s="12">
        <v>0</v>
      </c>
      <c r="G27" s="12">
        <v>0</v>
      </c>
      <c r="H27" s="12"/>
      <c r="I27" s="12"/>
      <c r="J27" s="12"/>
      <c r="K27" s="12"/>
      <c r="L27" s="12"/>
      <c r="M27" s="12"/>
      <c r="N27" s="12"/>
      <c r="O27" s="12" t="s">
        <v>990</v>
      </c>
    </row>
    <row r="28" spans="1:15" x14ac:dyDescent="0.3">
      <c r="A28" s="12" t="s">
        <v>988</v>
      </c>
      <c r="B28" s="12" t="s">
        <v>279</v>
      </c>
      <c r="C28" s="12">
        <v>0.8</v>
      </c>
      <c r="D28" s="12" t="s">
        <v>281</v>
      </c>
      <c r="E28" s="12">
        <v>4</v>
      </c>
      <c r="F28" s="12">
        <v>0</v>
      </c>
      <c r="G28" s="12">
        <v>0</v>
      </c>
      <c r="H28" s="12"/>
      <c r="I28" s="12"/>
      <c r="J28" s="12"/>
      <c r="K28" s="12"/>
      <c r="L28" s="12"/>
      <c r="M28" s="12"/>
      <c r="N28" s="12"/>
      <c r="O28" s="12" t="s">
        <v>991</v>
      </c>
    </row>
    <row r="29" spans="1:15" x14ac:dyDescent="0.3">
      <c r="A29" s="12" t="s">
        <v>992</v>
      </c>
      <c r="B29" s="12" t="s">
        <v>279</v>
      </c>
      <c r="C29" s="12">
        <v>0.4</v>
      </c>
      <c r="D29" s="12" t="s">
        <v>271</v>
      </c>
      <c r="E29" s="12">
        <v>16</v>
      </c>
      <c r="F29" s="12">
        <v>8</v>
      </c>
      <c r="G29" s="12">
        <v>0</v>
      </c>
      <c r="H29" s="12">
        <v>1.4983</v>
      </c>
      <c r="I29" s="12">
        <v>0.4</v>
      </c>
      <c r="J29" s="12">
        <v>1318.2</v>
      </c>
      <c r="K29" s="21">
        <v>6.2705000000000002</v>
      </c>
      <c r="L29" s="21">
        <v>6.2705000000000002</v>
      </c>
      <c r="M29" s="12">
        <v>0.4</v>
      </c>
      <c r="N29" s="12">
        <v>1318.2</v>
      </c>
      <c r="O29" s="12" t="s">
        <v>993</v>
      </c>
    </row>
    <row r="30" spans="1:15" x14ac:dyDescent="0.3">
      <c r="A30" s="12" t="s">
        <v>992</v>
      </c>
      <c r="B30" s="12" t="s">
        <v>279</v>
      </c>
      <c r="C30" s="12">
        <v>0.5</v>
      </c>
      <c r="D30" s="12" t="s">
        <v>271</v>
      </c>
      <c r="E30" s="12">
        <v>14</v>
      </c>
      <c r="F30" s="12">
        <v>5</v>
      </c>
      <c r="G30" s="12">
        <v>0</v>
      </c>
      <c r="H30" s="12">
        <v>1.6263000000000001</v>
      </c>
      <c r="I30" s="12">
        <v>0.5</v>
      </c>
      <c r="J30" s="12">
        <v>1736.4</v>
      </c>
      <c r="K30" s="21">
        <v>4.3365999999999998</v>
      </c>
      <c r="L30" s="21">
        <v>4.3365999999999998</v>
      </c>
      <c r="M30" s="12">
        <v>0.5</v>
      </c>
      <c r="N30" s="12">
        <v>1736.4</v>
      </c>
      <c r="O30" s="12" t="s">
        <v>994</v>
      </c>
    </row>
    <row r="31" spans="1:15" x14ac:dyDescent="0.3">
      <c r="A31" s="12" t="s">
        <v>992</v>
      </c>
      <c r="B31" s="12" t="s">
        <v>279</v>
      </c>
      <c r="C31" s="12">
        <v>0.6</v>
      </c>
      <c r="D31" s="12" t="s">
        <v>271</v>
      </c>
      <c r="E31" s="12">
        <v>12</v>
      </c>
      <c r="F31" s="12">
        <v>0</v>
      </c>
      <c r="G31" s="12">
        <v>0</v>
      </c>
      <c r="H31" s="12"/>
      <c r="I31" s="12"/>
      <c r="J31" s="12"/>
      <c r="K31" s="12"/>
      <c r="L31" s="12"/>
      <c r="M31" s="12"/>
      <c r="N31" s="12"/>
      <c r="O31" s="12" t="s">
        <v>953</v>
      </c>
    </row>
    <row r="32" spans="1:15" x14ac:dyDescent="0.3">
      <c r="A32" s="12" t="s">
        <v>992</v>
      </c>
      <c r="B32" s="12" t="s">
        <v>279</v>
      </c>
      <c r="C32" s="12">
        <v>0.7</v>
      </c>
      <c r="D32" s="12" t="s">
        <v>271</v>
      </c>
      <c r="E32" s="12">
        <v>12</v>
      </c>
      <c r="F32" s="12">
        <v>0</v>
      </c>
      <c r="G32" s="12">
        <v>0</v>
      </c>
      <c r="H32" s="12"/>
      <c r="I32" s="12"/>
      <c r="J32" s="12"/>
      <c r="K32" s="12"/>
      <c r="L32" s="12"/>
      <c r="M32" s="12"/>
      <c r="N32" s="12"/>
      <c r="O32" s="12" t="s">
        <v>953</v>
      </c>
    </row>
    <row r="33" spans="1:15" x14ac:dyDescent="0.3">
      <c r="A33" s="12" t="s">
        <v>995</v>
      </c>
      <c r="B33" s="12" t="s">
        <v>274</v>
      </c>
      <c r="C33" s="12">
        <v>403</v>
      </c>
      <c r="D33" s="12" t="s">
        <v>281</v>
      </c>
      <c r="E33" s="12">
        <v>3</v>
      </c>
      <c r="F33" s="12">
        <v>1</v>
      </c>
      <c r="G33" s="12">
        <v>0</v>
      </c>
      <c r="H33" s="12">
        <v>1.0502</v>
      </c>
      <c r="I33" s="12">
        <v>403</v>
      </c>
      <c r="J33" s="12">
        <v>0.95</v>
      </c>
      <c r="K33" s="21">
        <v>9.5046999999999997</v>
      </c>
      <c r="L33" s="21">
        <v>9.5046999999999997</v>
      </c>
      <c r="M33" s="12">
        <v>403</v>
      </c>
      <c r="N33" s="12">
        <v>0.95</v>
      </c>
      <c r="O33" s="12" t="s">
        <v>996</v>
      </c>
    </row>
    <row r="34" spans="1:15" x14ac:dyDescent="0.3">
      <c r="A34" s="12" t="s">
        <v>995</v>
      </c>
      <c r="B34" s="12" t="s">
        <v>274</v>
      </c>
      <c r="C34" s="12">
        <v>420</v>
      </c>
      <c r="D34" s="12" t="s">
        <v>281</v>
      </c>
      <c r="E34" s="12">
        <v>3</v>
      </c>
      <c r="F34" s="12">
        <v>0</v>
      </c>
      <c r="G34" s="12">
        <v>0</v>
      </c>
      <c r="H34" s="12"/>
      <c r="I34" s="12"/>
      <c r="J34" s="12"/>
      <c r="K34" s="12"/>
      <c r="L34" s="12"/>
      <c r="M34" s="12"/>
      <c r="N34" s="12"/>
      <c r="O34" s="12" t="s">
        <v>997</v>
      </c>
    </row>
    <row r="35" spans="1:15" x14ac:dyDescent="0.3">
      <c r="A35" s="12" t="s">
        <v>995</v>
      </c>
      <c r="B35" s="12" t="s">
        <v>274</v>
      </c>
      <c r="C35" s="12">
        <v>434</v>
      </c>
      <c r="D35" s="12" t="s">
        <v>281</v>
      </c>
      <c r="E35" s="12">
        <v>3</v>
      </c>
      <c r="F35" s="12">
        <v>0</v>
      </c>
      <c r="G35" s="12">
        <v>0</v>
      </c>
      <c r="H35" s="12"/>
      <c r="I35" s="12"/>
      <c r="J35" s="12"/>
      <c r="K35" s="12"/>
      <c r="L35" s="12"/>
      <c r="M35" s="12"/>
      <c r="N35" s="12"/>
      <c r="O35" s="12" t="s">
        <v>949</v>
      </c>
    </row>
    <row r="36" spans="1:15" x14ac:dyDescent="0.3">
      <c r="A36" s="12" t="s">
        <v>995</v>
      </c>
      <c r="B36" s="12" t="s">
        <v>274</v>
      </c>
      <c r="C36" s="12">
        <v>466</v>
      </c>
      <c r="D36" s="12" t="s">
        <v>281</v>
      </c>
      <c r="E36" s="12">
        <v>3</v>
      </c>
      <c r="F36" s="12">
        <v>0</v>
      </c>
      <c r="G36" s="12">
        <v>0</v>
      </c>
      <c r="H36" s="12"/>
      <c r="I36" s="12"/>
      <c r="J36" s="12"/>
      <c r="K36" s="12"/>
      <c r="L36" s="12"/>
      <c r="M36" s="12"/>
      <c r="N36" s="12"/>
      <c r="O36" s="12" t="s">
        <v>949</v>
      </c>
    </row>
    <row r="37" spans="1:15" x14ac:dyDescent="0.3">
      <c r="A37" s="12" t="s">
        <v>995</v>
      </c>
      <c r="B37" s="12" t="s">
        <v>274</v>
      </c>
      <c r="C37" s="12">
        <v>497</v>
      </c>
      <c r="D37" s="12" t="s">
        <v>281</v>
      </c>
      <c r="E37" s="12">
        <v>2</v>
      </c>
      <c r="F37" s="12">
        <v>0</v>
      </c>
      <c r="G37" s="12">
        <v>0</v>
      </c>
      <c r="H37" s="12"/>
      <c r="I37" s="12"/>
      <c r="J37" s="12"/>
      <c r="K37" s="12"/>
      <c r="L37" s="12"/>
      <c r="M37" s="12"/>
      <c r="N37" s="12"/>
      <c r="O37" s="12" t="s">
        <v>996</v>
      </c>
    </row>
    <row r="38" spans="1:15" x14ac:dyDescent="0.3">
      <c r="A38" s="12" t="s">
        <v>995</v>
      </c>
      <c r="B38" s="12" t="s">
        <v>274</v>
      </c>
      <c r="C38" s="12">
        <v>529</v>
      </c>
      <c r="D38" s="12" t="s">
        <v>281</v>
      </c>
      <c r="E38" s="12">
        <v>3</v>
      </c>
      <c r="F38" s="12">
        <v>0</v>
      </c>
      <c r="G38" s="12">
        <v>0</v>
      </c>
      <c r="H38" s="12"/>
      <c r="I38" s="12"/>
      <c r="J38" s="12"/>
      <c r="K38" s="12"/>
      <c r="L38" s="12"/>
      <c r="M38" s="12"/>
      <c r="N38" s="12"/>
      <c r="O38" s="12" t="s">
        <v>998</v>
      </c>
    </row>
    <row r="39" spans="1:15" x14ac:dyDescent="0.3">
      <c r="A39" s="12" t="s">
        <v>995</v>
      </c>
      <c r="B39" s="12" t="s">
        <v>274</v>
      </c>
      <c r="C39" s="12">
        <v>560</v>
      </c>
      <c r="D39" s="12" t="s">
        <v>281</v>
      </c>
      <c r="E39" s="12">
        <v>3</v>
      </c>
      <c r="F39" s="12">
        <v>0</v>
      </c>
      <c r="G39" s="12">
        <v>0</v>
      </c>
      <c r="H39" s="12"/>
      <c r="I39" s="12"/>
      <c r="J39" s="12"/>
      <c r="K39" s="12"/>
      <c r="L39" s="12"/>
      <c r="M39" s="12"/>
      <c r="N39" s="12"/>
      <c r="O39" s="12" t="s">
        <v>999</v>
      </c>
    </row>
    <row r="41" spans="1:15" x14ac:dyDescent="0.3">
      <c r="A41" s="17" t="s">
        <v>1000</v>
      </c>
    </row>
  </sheetData>
  <autoFilter ref="A18:O39" xr:uid="{00000000-0009-0000-0000-000014000000}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72"/>
  <sheetViews>
    <sheetView workbookViewId="0"/>
  </sheetViews>
  <sheetFormatPr baseColWidth="10" defaultColWidth="8.88671875" defaultRowHeight="14.4" x14ac:dyDescent="0.3"/>
  <cols>
    <col min="1" max="1" width="12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1" ht="17.399999999999999" x14ac:dyDescent="0.35">
      <c r="A1" s="1" t="s">
        <v>1001</v>
      </c>
    </row>
    <row r="2" spans="1:1" x14ac:dyDescent="0.3">
      <c r="A2" t="s">
        <v>1002</v>
      </c>
    </row>
    <row r="3" spans="1:1" x14ac:dyDescent="0.3">
      <c r="A3" t="s">
        <v>1003</v>
      </c>
    </row>
    <row r="4" spans="1:1" x14ac:dyDescent="0.3">
      <c r="A4" s="8" t="s">
        <v>1004</v>
      </c>
    </row>
    <row r="5" spans="1:1" x14ac:dyDescent="0.3">
      <c r="A5" s="15" t="s">
        <v>1005</v>
      </c>
    </row>
    <row r="6" spans="1:1" x14ac:dyDescent="0.3">
      <c r="A6" s="15" t="s">
        <v>1006</v>
      </c>
    </row>
    <row r="7" spans="1:1" x14ac:dyDescent="0.3">
      <c r="A7" s="8" t="s">
        <v>1007</v>
      </c>
    </row>
    <row r="8" spans="1:1" x14ac:dyDescent="0.3">
      <c r="A8" s="15" t="s">
        <v>1008</v>
      </c>
    </row>
    <row r="9" spans="1:1" x14ac:dyDescent="0.3">
      <c r="A9" s="15" t="s">
        <v>1006</v>
      </c>
    </row>
    <row r="10" spans="1:1" x14ac:dyDescent="0.3">
      <c r="A10" s="8" t="s">
        <v>1009</v>
      </c>
    </row>
    <row r="11" spans="1:1" x14ac:dyDescent="0.3">
      <c r="A11" s="15" t="s">
        <v>1010</v>
      </c>
    </row>
    <row r="12" spans="1:1" x14ac:dyDescent="0.3">
      <c r="A12" s="15" t="s">
        <v>1011</v>
      </c>
    </row>
    <row r="13" spans="1:1" x14ac:dyDescent="0.3">
      <c r="A13" s="8" t="s">
        <v>1012</v>
      </c>
    </row>
    <row r="14" spans="1:1" x14ac:dyDescent="0.3">
      <c r="A14" s="15" t="s">
        <v>1013</v>
      </c>
    </row>
    <row r="15" spans="1:1" x14ac:dyDescent="0.3">
      <c r="A15" s="15" t="s">
        <v>1014</v>
      </c>
    </row>
    <row r="16" spans="1:1" x14ac:dyDescent="0.3">
      <c r="A16" t="s">
        <v>788</v>
      </c>
    </row>
    <row r="18" spans="1:7" x14ac:dyDescent="0.3">
      <c r="A18" s="16" t="s">
        <v>360</v>
      </c>
      <c r="B18" s="16" t="s">
        <v>712</v>
      </c>
      <c r="C18" s="16" t="s">
        <v>789</v>
      </c>
      <c r="D18" s="16" t="s">
        <v>790</v>
      </c>
      <c r="E18" s="16" t="s">
        <v>791</v>
      </c>
      <c r="F18" s="16" t="s">
        <v>792</v>
      </c>
      <c r="G18" s="16" t="s">
        <v>266</v>
      </c>
    </row>
    <row r="19" spans="1:7" x14ac:dyDescent="0.3">
      <c r="A19" s="12" t="s">
        <v>392</v>
      </c>
      <c r="B19" s="12" t="s">
        <v>49</v>
      </c>
      <c r="C19" s="12" t="s">
        <v>793</v>
      </c>
      <c r="D19" s="12" t="s">
        <v>1015</v>
      </c>
      <c r="E19" s="12"/>
      <c r="F19" s="12" t="s">
        <v>948</v>
      </c>
      <c r="G19" s="12" t="s">
        <v>275</v>
      </c>
    </row>
    <row r="20" spans="1:7" x14ac:dyDescent="0.3">
      <c r="A20" s="12" t="s">
        <v>392</v>
      </c>
      <c r="B20" s="12" t="s">
        <v>51</v>
      </c>
      <c r="C20" s="12" t="s">
        <v>796</v>
      </c>
      <c r="D20" s="12" t="s">
        <v>1016</v>
      </c>
      <c r="E20" s="12">
        <v>5</v>
      </c>
      <c r="F20" s="12"/>
      <c r="G20" s="12" t="s">
        <v>275</v>
      </c>
    </row>
    <row r="21" spans="1:7" x14ac:dyDescent="0.3">
      <c r="A21" s="12" t="s">
        <v>392</v>
      </c>
      <c r="B21" s="12" t="s">
        <v>53</v>
      </c>
      <c r="C21" s="12" t="s">
        <v>793</v>
      </c>
      <c r="D21" s="12" t="s">
        <v>805</v>
      </c>
      <c r="E21" s="12"/>
      <c r="F21" s="12" t="s">
        <v>749</v>
      </c>
      <c r="G21" s="12" t="s">
        <v>270</v>
      </c>
    </row>
    <row r="22" spans="1:7" x14ac:dyDescent="0.3">
      <c r="A22" s="12" t="s">
        <v>392</v>
      </c>
      <c r="B22" s="12" t="s">
        <v>54</v>
      </c>
      <c r="C22" s="12" t="s">
        <v>796</v>
      </c>
      <c r="D22" s="12" t="s">
        <v>895</v>
      </c>
      <c r="E22" s="12">
        <v>28</v>
      </c>
      <c r="F22" s="12"/>
      <c r="G22" s="12" t="s">
        <v>270</v>
      </c>
    </row>
    <row r="23" spans="1:7" x14ac:dyDescent="0.3">
      <c r="A23" s="12" t="s">
        <v>392</v>
      </c>
      <c r="B23" s="12" t="s">
        <v>55</v>
      </c>
      <c r="C23" s="12" t="s">
        <v>793</v>
      </c>
      <c r="D23" s="12" t="s">
        <v>799</v>
      </c>
      <c r="E23" s="12"/>
      <c r="F23" s="12" t="s">
        <v>749</v>
      </c>
      <c r="G23" s="12" t="s">
        <v>273</v>
      </c>
    </row>
    <row r="24" spans="1:7" x14ac:dyDescent="0.3">
      <c r="A24" s="12" t="s">
        <v>392</v>
      </c>
      <c r="B24" s="12" t="s">
        <v>57</v>
      </c>
      <c r="C24" s="12" t="s">
        <v>793</v>
      </c>
      <c r="D24" s="12" t="s">
        <v>800</v>
      </c>
      <c r="E24" s="12"/>
      <c r="F24" s="12" t="s">
        <v>749</v>
      </c>
      <c r="G24" s="12" t="s">
        <v>283</v>
      </c>
    </row>
    <row r="25" spans="1:7" x14ac:dyDescent="0.3">
      <c r="A25" s="12" t="s">
        <v>392</v>
      </c>
      <c r="B25" s="12" t="s">
        <v>59</v>
      </c>
      <c r="C25" s="12" t="s">
        <v>793</v>
      </c>
      <c r="D25" s="12" t="s">
        <v>755</v>
      </c>
      <c r="E25" s="12"/>
      <c r="F25" s="12" t="s">
        <v>749</v>
      </c>
      <c r="G25" s="12" t="s">
        <v>273</v>
      </c>
    </row>
    <row r="26" spans="1:7" x14ac:dyDescent="0.3">
      <c r="A26" s="12" t="s">
        <v>392</v>
      </c>
      <c r="B26" s="12" t="s">
        <v>61</v>
      </c>
      <c r="C26" s="12" t="s">
        <v>793</v>
      </c>
      <c r="D26" s="12" t="s">
        <v>757</v>
      </c>
      <c r="E26" s="12"/>
      <c r="F26" s="12" t="s">
        <v>749</v>
      </c>
      <c r="G26" s="12" t="s">
        <v>273</v>
      </c>
    </row>
    <row r="27" spans="1:7" x14ac:dyDescent="0.3">
      <c r="A27" s="12" t="s">
        <v>392</v>
      </c>
      <c r="B27" s="12" t="s">
        <v>63</v>
      </c>
      <c r="C27" s="12" t="s">
        <v>793</v>
      </c>
      <c r="D27" s="12" t="s">
        <v>755</v>
      </c>
      <c r="E27" s="12"/>
      <c r="F27" s="12" t="s">
        <v>749</v>
      </c>
      <c r="G27" s="12" t="s">
        <v>273</v>
      </c>
    </row>
    <row r="28" spans="1:7" x14ac:dyDescent="0.3">
      <c r="A28" s="12" t="s">
        <v>392</v>
      </c>
      <c r="B28" s="12" t="s">
        <v>64</v>
      </c>
      <c r="C28" s="12" t="s">
        <v>793</v>
      </c>
      <c r="D28" s="12" t="s">
        <v>757</v>
      </c>
      <c r="E28" s="12"/>
      <c r="F28" s="12" t="s">
        <v>749</v>
      </c>
      <c r="G28" s="12" t="s">
        <v>273</v>
      </c>
    </row>
    <row r="29" spans="1:7" x14ac:dyDescent="0.3">
      <c r="A29" s="12" t="s">
        <v>392</v>
      </c>
      <c r="B29" s="12" t="s">
        <v>65</v>
      </c>
      <c r="C29" s="12" t="s">
        <v>793</v>
      </c>
      <c r="D29" s="12" t="s">
        <v>801</v>
      </c>
      <c r="E29" s="12"/>
      <c r="F29" s="12" t="s">
        <v>749</v>
      </c>
      <c r="G29" s="12" t="s">
        <v>273</v>
      </c>
    </row>
    <row r="30" spans="1:7" x14ac:dyDescent="0.3">
      <c r="A30" s="12" t="s">
        <v>392</v>
      </c>
      <c r="B30" s="12" t="s">
        <v>66</v>
      </c>
      <c r="C30" s="12" t="s">
        <v>796</v>
      </c>
      <c r="D30" s="12" t="s">
        <v>1016</v>
      </c>
      <c r="E30" s="12">
        <v>5</v>
      </c>
      <c r="F30" s="12"/>
      <c r="G30" s="12" t="s">
        <v>275</v>
      </c>
    </row>
    <row r="31" spans="1:7" x14ac:dyDescent="0.3">
      <c r="A31" s="12" t="s">
        <v>392</v>
      </c>
      <c r="B31" s="12" t="s">
        <v>803</v>
      </c>
      <c r="C31" s="12" t="s">
        <v>793</v>
      </c>
      <c r="D31" s="12" t="s">
        <v>804</v>
      </c>
      <c r="E31" s="12"/>
      <c r="F31" s="12"/>
      <c r="G31" s="12" t="s">
        <v>273</v>
      </c>
    </row>
    <row r="32" spans="1:7" x14ac:dyDescent="0.3">
      <c r="A32" s="12" t="s">
        <v>395</v>
      </c>
      <c r="B32" s="12" t="s">
        <v>49</v>
      </c>
      <c r="C32" s="12" t="s">
        <v>793</v>
      </c>
      <c r="D32" s="12" t="s">
        <v>1017</v>
      </c>
      <c r="E32" s="12"/>
      <c r="F32" s="12" t="s">
        <v>948</v>
      </c>
      <c r="G32" s="12" t="s">
        <v>275</v>
      </c>
    </row>
    <row r="33" spans="1:7" x14ac:dyDescent="0.3">
      <c r="A33" s="12" t="s">
        <v>395</v>
      </c>
      <c r="B33" s="12" t="s">
        <v>51</v>
      </c>
      <c r="C33" s="12" t="s">
        <v>796</v>
      </c>
      <c r="D33" s="12" t="s">
        <v>1016</v>
      </c>
      <c r="E33" s="12">
        <v>5</v>
      </c>
      <c r="F33" s="12"/>
      <c r="G33" s="12" t="s">
        <v>275</v>
      </c>
    </row>
    <row r="34" spans="1:7" x14ac:dyDescent="0.3">
      <c r="A34" s="12" t="s">
        <v>395</v>
      </c>
      <c r="B34" s="12" t="s">
        <v>53</v>
      </c>
      <c r="C34" s="12" t="s">
        <v>793</v>
      </c>
      <c r="D34" s="12" t="s">
        <v>805</v>
      </c>
      <c r="E34" s="12"/>
      <c r="F34" s="12" t="s">
        <v>749</v>
      </c>
      <c r="G34" s="12" t="s">
        <v>270</v>
      </c>
    </row>
    <row r="35" spans="1:7" x14ac:dyDescent="0.3">
      <c r="A35" s="12" t="s">
        <v>395</v>
      </c>
      <c r="B35" s="12" t="s">
        <v>54</v>
      </c>
      <c r="C35" s="12" t="s">
        <v>796</v>
      </c>
      <c r="D35" s="12" t="s">
        <v>895</v>
      </c>
      <c r="E35" s="12">
        <v>28</v>
      </c>
      <c r="F35" s="12"/>
      <c r="G35" s="12" t="s">
        <v>270</v>
      </c>
    </row>
    <row r="36" spans="1:7" x14ac:dyDescent="0.3">
      <c r="A36" s="12" t="s">
        <v>395</v>
      </c>
      <c r="B36" s="12" t="s">
        <v>55</v>
      </c>
      <c r="C36" s="12" t="s">
        <v>793</v>
      </c>
      <c r="D36" s="12" t="s">
        <v>799</v>
      </c>
      <c r="E36" s="12"/>
      <c r="F36" s="12" t="s">
        <v>749</v>
      </c>
      <c r="G36" s="12" t="s">
        <v>273</v>
      </c>
    </row>
    <row r="37" spans="1:7" x14ac:dyDescent="0.3">
      <c r="A37" s="12" t="s">
        <v>395</v>
      </c>
      <c r="B37" s="12" t="s">
        <v>57</v>
      </c>
      <c r="C37" s="12" t="s">
        <v>793</v>
      </c>
      <c r="D37" s="12" t="s">
        <v>800</v>
      </c>
      <c r="E37" s="12"/>
      <c r="F37" s="12" t="s">
        <v>749</v>
      </c>
      <c r="G37" s="12" t="s">
        <v>283</v>
      </c>
    </row>
    <row r="38" spans="1:7" x14ac:dyDescent="0.3">
      <c r="A38" s="12" t="s">
        <v>395</v>
      </c>
      <c r="B38" s="12" t="s">
        <v>59</v>
      </c>
      <c r="C38" s="12" t="s">
        <v>793</v>
      </c>
      <c r="D38" s="12" t="s">
        <v>755</v>
      </c>
      <c r="E38" s="12"/>
      <c r="F38" s="12" t="s">
        <v>749</v>
      </c>
      <c r="G38" s="12" t="s">
        <v>273</v>
      </c>
    </row>
    <row r="39" spans="1:7" x14ac:dyDescent="0.3">
      <c r="A39" s="12" t="s">
        <v>395</v>
      </c>
      <c r="B39" s="12" t="s">
        <v>61</v>
      </c>
      <c r="C39" s="12" t="s">
        <v>793</v>
      </c>
      <c r="D39" s="12" t="s">
        <v>757</v>
      </c>
      <c r="E39" s="12"/>
      <c r="F39" s="12" t="s">
        <v>749</v>
      </c>
      <c r="G39" s="12" t="s">
        <v>273</v>
      </c>
    </row>
    <row r="40" spans="1:7" x14ac:dyDescent="0.3">
      <c r="A40" s="12" t="s">
        <v>395</v>
      </c>
      <c r="B40" s="12" t="s">
        <v>63</v>
      </c>
      <c r="C40" s="12" t="s">
        <v>793</v>
      </c>
      <c r="D40" s="12" t="s">
        <v>755</v>
      </c>
      <c r="E40" s="12"/>
      <c r="F40" s="12" t="s">
        <v>749</v>
      </c>
      <c r="G40" s="12" t="s">
        <v>273</v>
      </c>
    </row>
    <row r="41" spans="1:7" x14ac:dyDescent="0.3">
      <c r="A41" s="12" t="s">
        <v>395</v>
      </c>
      <c r="B41" s="12" t="s">
        <v>64</v>
      </c>
      <c r="C41" s="12" t="s">
        <v>793</v>
      </c>
      <c r="D41" s="12" t="s">
        <v>757</v>
      </c>
      <c r="E41" s="12"/>
      <c r="F41" s="12" t="s">
        <v>749</v>
      </c>
      <c r="G41" s="12" t="s">
        <v>273</v>
      </c>
    </row>
    <row r="42" spans="1:7" x14ac:dyDescent="0.3">
      <c r="A42" s="12" t="s">
        <v>395</v>
      </c>
      <c r="B42" s="12" t="s">
        <v>65</v>
      </c>
      <c r="C42" s="12" t="s">
        <v>793</v>
      </c>
      <c r="D42" s="12" t="s">
        <v>801</v>
      </c>
      <c r="E42" s="12"/>
      <c r="F42" s="12" t="s">
        <v>749</v>
      </c>
      <c r="G42" s="12" t="s">
        <v>273</v>
      </c>
    </row>
    <row r="43" spans="1:7" x14ac:dyDescent="0.3">
      <c r="A43" s="12" t="s">
        <v>395</v>
      </c>
      <c r="B43" s="12" t="s">
        <v>66</v>
      </c>
      <c r="C43" s="12" t="s">
        <v>796</v>
      </c>
      <c r="D43" s="12" t="s">
        <v>1016</v>
      </c>
      <c r="E43" s="12">
        <v>5</v>
      </c>
      <c r="F43" s="12"/>
      <c r="G43" s="12" t="s">
        <v>275</v>
      </c>
    </row>
    <row r="44" spans="1:7" x14ac:dyDescent="0.3">
      <c r="A44" s="12" t="s">
        <v>395</v>
      </c>
      <c r="B44" s="12" t="s">
        <v>803</v>
      </c>
      <c r="C44" s="12" t="s">
        <v>793</v>
      </c>
      <c r="D44" s="12" t="s">
        <v>804</v>
      </c>
      <c r="E44" s="12"/>
      <c r="F44" s="12"/>
      <c r="G44" s="12" t="s">
        <v>273</v>
      </c>
    </row>
    <row r="45" spans="1:7" x14ac:dyDescent="0.3">
      <c r="A45" s="12" t="s">
        <v>397</v>
      </c>
      <c r="B45" s="12" t="s">
        <v>49</v>
      </c>
      <c r="C45" s="12" t="s">
        <v>793</v>
      </c>
      <c r="D45" s="12" t="s">
        <v>794</v>
      </c>
      <c r="E45" s="12"/>
      <c r="F45" s="12" t="s">
        <v>749</v>
      </c>
      <c r="G45" s="12" t="s">
        <v>275</v>
      </c>
    </row>
    <row r="46" spans="1:7" x14ac:dyDescent="0.3">
      <c r="A46" s="12" t="s">
        <v>397</v>
      </c>
      <c r="B46" s="12" t="s">
        <v>51</v>
      </c>
      <c r="C46" s="12" t="s">
        <v>796</v>
      </c>
      <c r="D46" s="12" t="s">
        <v>1016</v>
      </c>
      <c r="E46" s="12">
        <v>5</v>
      </c>
      <c r="F46" s="12"/>
      <c r="G46" s="12" t="s">
        <v>275</v>
      </c>
    </row>
    <row r="47" spans="1:7" x14ac:dyDescent="0.3">
      <c r="A47" s="12" t="s">
        <v>397</v>
      </c>
      <c r="B47" s="12" t="s">
        <v>53</v>
      </c>
      <c r="C47" s="12" t="s">
        <v>793</v>
      </c>
      <c r="D47" s="12" t="s">
        <v>805</v>
      </c>
      <c r="E47" s="12"/>
      <c r="F47" s="12" t="s">
        <v>749</v>
      </c>
      <c r="G47" s="12" t="s">
        <v>270</v>
      </c>
    </row>
    <row r="48" spans="1:7" x14ac:dyDescent="0.3">
      <c r="A48" s="12" t="s">
        <v>397</v>
      </c>
      <c r="B48" s="12" t="s">
        <v>54</v>
      </c>
      <c r="C48" s="12" t="s">
        <v>796</v>
      </c>
      <c r="D48" s="12" t="s">
        <v>895</v>
      </c>
      <c r="E48" s="12">
        <v>30</v>
      </c>
      <c r="F48" s="12"/>
      <c r="G48" s="12" t="s">
        <v>270</v>
      </c>
    </row>
    <row r="49" spans="1:7" x14ac:dyDescent="0.3">
      <c r="A49" s="12" t="s">
        <v>397</v>
      </c>
      <c r="B49" s="12" t="s">
        <v>55</v>
      </c>
      <c r="C49" s="12" t="s">
        <v>793</v>
      </c>
      <c r="D49" s="12" t="s">
        <v>799</v>
      </c>
      <c r="E49" s="12"/>
      <c r="F49" s="12" t="s">
        <v>749</v>
      </c>
      <c r="G49" s="12" t="s">
        <v>273</v>
      </c>
    </row>
    <row r="50" spans="1:7" x14ac:dyDescent="0.3">
      <c r="A50" s="12" t="s">
        <v>397</v>
      </c>
      <c r="B50" s="12" t="s">
        <v>57</v>
      </c>
      <c r="C50" s="12" t="s">
        <v>793</v>
      </c>
      <c r="D50" s="12" t="s">
        <v>800</v>
      </c>
      <c r="E50" s="12"/>
      <c r="F50" s="12" t="s">
        <v>749</v>
      </c>
      <c r="G50" s="12" t="s">
        <v>283</v>
      </c>
    </row>
    <row r="51" spans="1:7" x14ac:dyDescent="0.3">
      <c r="A51" s="12" t="s">
        <v>397</v>
      </c>
      <c r="B51" s="12" t="s">
        <v>59</v>
      </c>
      <c r="C51" s="12" t="s">
        <v>793</v>
      </c>
      <c r="D51" s="12" t="s">
        <v>755</v>
      </c>
      <c r="E51" s="12"/>
      <c r="F51" s="12" t="s">
        <v>749</v>
      </c>
      <c r="G51" s="12" t="s">
        <v>273</v>
      </c>
    </row>
    <row r="52" spans="1:7" x14ac:dyDescent="0.3">
      <c r="A52" s="12" t="s">
        <v>397</v>
      </c>
      <c r="B52" s="12" t="s">
        <v>61</v>
      </c>
      <c r="C52" s="12" t="s">
        <v>793</v>
      </c>
      <c r="D52" s="12" t="s">
        <v>757</v>
      </c>
      <c r="E52" s="12"/>
      <c r="F52" s="12" t="s">
        <v>749</v>
      </c>
      <c r="G52" s="12" t="s">
        <v>273</v>
      </c>
    </row>
    <row r="53" spans="1:7" x14ac:dyDescent="0.3">
      <c r="A53" s="12" t="s">
        <v>397</v>
      </c>
      <c r="B53" s="12" t="s">
        <v>63</v>
      </c>
      <c r="C53" s="12" t="s">
        <v>793</v>
      </c>
      <c r="D53" s="12" t="s">
        <v>1018</v>
      </c>
      <c r="E53" s="12"/>
      <c r="F53" s="12" t="s">
        <v>948</v>
      </c>
      <c r="G53" s="12" t="s">
        <v>273</v>
      </c>
    </row>
    <row r="54" spans="1:7" x14ac:dyDescent="0.3">
      <c r="A54" s="12" t="s">
        <v>397</v>
      </c>
      <c r="B54" s="12" t="s">
        <v>64</v>
      </c>
      <c r="C54" s="12" t="s">
        <v>793</v>
      </c>
      <c r="D54" s="12" t="s">
        <v>757</v>
      </c>
      <c r="E54" s="12"/>
      <c r="F54" s="12" t="s">
        <v>749</v>
      </c>
      <c r="G54" s="12" t="s">
        <v>273</v>
      </c>
    </row>
    <row r="55" spans="1:7" x14ac:dyDescent="0.3">
      <c r="A55" s="12" t="s">
        <v>397</v>
      </c>
      <c r="B55" s="12" t="s">
        <v>65</v>
      </c>
      <c r="C55" s="12" t="s">
        <v>793</v>
      </c>
      <c r="D55" s="12" t="s">
        <v>801</v>
      </c>
      <c r="E55" s="12"/>
      <c r="F55" s="12" t="s">
        <v>749</v>
      </c>
      <c r="G55" s="12" t="s">
        <v>273</v>
      </c>
    </row>
    <row r="56" spans="1:7" x14ac:dyDescent="0.3">
      <c r="A56" s="12" t="s">
        <v>397</v>
      </c>
      <c r="B56" s="12" t="s">
        <v>66</v>
      </c>
      <c r="C56" s="12" t="s">
        <v>796</v>
      </c>
      <c r="D56" s="12" t="s">
        <v>1016</v>
      </c>
      <c r="E56" s="12">
        <v>5</v>
      </c>
      <c r="F56" s="12"/>
      <c r="G56" s="12" t="s">
        <v>275</v>
      </c>
    </row>
    <row r="57" spans="1:7" x14ac:dyDescent="0.3">
      <c r="A57" s="12" t="s">
        <v>397</v>
      </c>
      <c r="B57" s="12" t="s">
        <v>803</v>
      </c>
      <c r="C57" s="12" t="s">
        <v>793</v>
      </c>
      <c r="D57" s="12" t="s">
        <v>804</v>
      </c>
      <c r="E57" s="12"/>
      <c r="F57" s="12"/>
      <c r="G57" s="12" t="s">
        <v>273</v>
      </c>
    </row>
    <row r="58" spans="1:7" x14ac:dyDescent="0.3">
      <c r="A58" s="12" t="s">
        <v>399</v>
      </c>
      <c r="B58" s="12" t="s">
        <v>49</v>
      </c>
      <c r="C58" s="12" t="s">
        <v>793</v>
      </c>
      <c r="D58" s="12" t="s">
        <v>794</v>
      </c>
      <c r="E58" s="12"/>
      <c r="F58" s="12" t="s">
        <v>749</v>
      </c>
      <c r="G58" s="12" t="s">
        <v>275</v>
      </c>
    </row>
    <row r="59" spans="1:7" x14ac:dyDescent="0.3">
      <c r="A59" s="12" t="s">
        <v>399</v>
      </c>
      <c r="B59" s="12" t="s">
        <v>51</v>
      </c>
      <c r="C59" s="12" t="s">
        <v>796</v>
      </c>
      <c r="D59" s="12" t="s">
        <v>1016</v>
      </c>
      <c r="E59" s="12">
        <v>5</v>
      </c>
      <c r="F59" s="12"/>
      <c r="G59" s="12" t="s">
        <v>275</v>
      </c>
    </row>
    <row r="60" spans="1:7" x14ac:dyDescent="0.3">
      <c r="A60" s="12" t="s">
        <v>399</v>
      </c>
      <c r="B60" s="12" t="s">
        <v>53</v>
      </c>
      <c r="C60" s="12" t="s">
        <v>793</v>
      </c>
      <c r="D60" s="12" t="s">
        <v>805</v>
      </c>
      <c r="E60" s="12"/>
      <c r="F60" s="12" t="s">
        <v>749</v>
      </c>
      <c r="G60" s="12" t="s">
        <v>270</v>
      </c>
    </row>
    <row r="61" spans="1:7" x14ac:dyDescent="0.3">
      <c r="A61" s="12" t="s">
        <v>399</v>
      </c>
      <c r="B61" s="12" t="s">
        <v>54</v>
      </c>
      <c r="C61" s="12" t="s">
        <v>796</v>
      </c>
      <c r="D61" s="12" t="s">
        <v>895</v>
      </c>
      <c r="E61" s="12">
        <v>10</v>
      </c>
      <c r="F61" s="12"/>
      <c r="G61" s="12" t="s">
        <v>270</v>
      </c>
    </row>
    <row r="62" spans="1:7" x14ac:dyDescent="0.3">
      <c r="A62" s="12" t="s">
        <v>399</v>
      </c>
      <c r="B62" s="12" t="s">
        <v>55</v>
      </c>
      <c r="C62" s="12" t="s">
        <v>793</v>
      </c>
      <c r="D62" s="12" t="s">
        <v>799</v>
      </c>
      <c r="E62" s="12"/>
      <c r="F62" s="12" t="s">
        <v>749</v>
      </c>
      <c r="G62" s="12" t="s">
        <v>273</v>
      </c>
    </row>
    <row r="63" spans="1:7" x14ac:dyDescent="0.3">
      <c r="A63" s="12" t="s">
        <v>399</v>
      </c>
      <c r="B63" s="12" t="s">
        <v>57</v>
      </c>
      <c r="C63" s="12" t="s">
        <v>793</v>
      </c>
      <c r="D63" s="12" t="s">
        <v>800</v>
      </c>
      <c r="E63" s="12"/>
      <c r="F63" s="12" t="s">
        <v>749</v>
      </c>
      <c r="G63" s="12" t="s">
        <v>283</v>
      </c>
    </row>
    <row r="64" spans="1:7" x14ac:dyDescent="0.3">
      <c r="A64" s="12" t="s">
        <v>399</v>
      </c>
      <c r="B64" s="12" t="s">
        <v>59</v>
      </c>
      <c r="C64" s="12" t="s">
        <v>793</v>
      </c>
      <c r="D64" s="12" t="s">
        <v>755</v>
      </c>
      <c r="E64" s="12"/>
      <c r="F64" s="12" t="s">
        <v>749</v>
      </c>
      <c r="G64" s="12" t="s">
        <v>273</v>
      </c>
    </row>
    <row r="65" spans="1:7" x14ac:dyDescent="0.3">
      <c r="A65" s="12" t="s">
        <v>399</v>
      </c>
      <c r="B65" s="12" t="s">
        <v>61</v>
      </c>
      <c r="C65" s="12" t="s">
        <v>793</v>
      </c>
      <c r="D65" s="12" t="s">
        <v>757</v>
      </c>
      <c r="E65" s="12"/>
      <c r="F65" s="12" t="s">
        <v>749</v>
      </c>
      <c r="G65" s="12" t="s">
        <v>273</v>
      </c>
    </row>
    <row r="66" spans="1:7" x14ac:dyDescent="0.3">
      <c r="A66" s="12" t="s">
        <v>399</v>
      </c>
      <c r="B66" s="12" t="s">
        <v>63</v>
      </c>
      <c r="C66" s="12" t="s">
        <v>793</v>
      </c>
      <c r="D66" s="12" t="s">
        <v>755</v>
      </c>
      <c r="E66" s="12"/>
      <c r="F66" s="12" t="s">
        <v>749</v>
      </c>
      <c r="G66" s="12" t="s">
        <v>273</v>
      </c>
    </row>
    <row r="67" spans="1:7" x14ac:dyDescent="0.3">
      <c r="A67" s="12" t="s">
        <v>399</v>
      </c>
      <c r="B67" s="12" t="s">
        <v>64</v>
      </c>
      <c r="C67" s="12" t="s">
        <v>793</v>
      </c>
      <c r="D67" s="12" t="s">
        <v>757</v>
      </c>
      <c r="E67" s="12"/>
      <c r="F67" s="12" t="s">
        <v>749</v>
      </c>
      <c r="G67" s="12" t="s">
        <v>273</v>
      </c>
    </row>
    <row r="68" spans="1:7" x14ac:dyDescent="0.3">
      <c r="A68" s="12" t="s">
        <v>399</v>
      </c>
      <c r="B68" s="12" t="s">
        <v>65</v>
      </c>
      <c r="C68" s="12" t="s">
        <v>793</v>
      </c>
      <c r="D68" s="12" t="s">
        <v>801</v>
      </c>
      <c r="E68" s="12"/>
      <c r="F68" s="12" t="s">
        <v>749</v>
      </c>
      <c r="G68" s="12" t="s">
        <v>273</v>
      </c>
    </row>
    <row r="69" spans="1:7" x14ac:dyDescent="0.3">
      <c r="A69" s="12" t="s">
        <v>399</v>
      </c>
      <c r="B69" s="12" t="s">
        <v>66</v>
      </c>
      <c r="C69" s="12" t="s">
        <v>796</v>
      </c>
      <c r="D69" s="12" t="s">
        <v>1016</v>
      </c>
      <c r="E69" s="12">
        <v>5</v>
      </c>
      <c r="F69" s="12"/>
      <c r="G69" s="12" t="s">
        <v>275</v>
      </c>
    </row>
    <row r="70" spans="1:7" x14ac:dyDescent="0.3">
      <c r="A70" s="12" t="s">
        <v>399</v>
      </c>
      <c r="B70" s="12" t="s">
        <v>803</v>
      </c>
      <c r="C70" s="12" t="s">
        <v>793</v>
      </c>
      <c r="D70" s="12" t="s">
        <v>804</v>
      </c>
      <c r="E70" s="12"/>
      <c r="F70" s="12"/>
      <c r="G70" s="12" t="s">
        <v>273</v>
      </c>
    </row>
    <row r="72" spans="1:7" x14ac:dyDescent="0.3">
      <c r="A72" s="17" t="s">
        <v>809</v>
      </c>
    </row>
  </sheetData>
  <autoFilter ref="A18:G70" xr:uid="{00000000-0009-0000-0000-000015000000}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24"/>
  <sheetViews>
    <sheetView workbookViewId="0"/>
  </sheetViews>
  <sheetFormatPr baseColWidth="10" defaultColWidth="8.88671875" defaultRowHeight="14.4" x14ac:dyDescent="0.3"/>
  <cols>
    <col min="1" max="1" width="12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" ht="17.399999999999999" x14ac:dyDescent="0.35">
      <c r="A1" s="1" t="s">
        <v>1019</v>
      </c>
    </row>
    <row r="2" spans="1:1" x14ac:dyDescent="0.3">
      <c r="A2" t="s">
        <v>1002</v>
      </c>
    </row>
    <row r="3" spans="1:1" x14ac:dyDescent="0.3">
      <c r="A3" t="s">
        <v>1003</v>
      </c>
    </row>
    <row r="4" spans="1:1" x14ac:dyDescent="0.3">
      <c r="A4" s="8" t="s">
        <v>1004</v>
      </c>
    </row>
    <row r="5" spans="1:1" x14ac:dyDescent="0.3">
      <c r="A5" s="15" t="s">
        <v>1005</v>
      </c>
    </row>
    <row r="6" spans="1:1" x14ac:dyDescent="0.3">
      <c r="A6" s="15" t="s">
        <v>1006</v>
      </c>
    </row>
    <row r="7" spans="1:1" x14ac:dyDescent="0.3">
      <c r="A7" s="8" t="s">
        <v>1007</v>
      </c>
    </row>
    <row r="8" spans="1:1" x14ac:dyDescent="0.3">
      <c r="A8" s="15" t="s">
        <v>1008</v>
      </c>
    </row>
    <row r="9" spans="1:1" x14ac:dyDescent="0.3">
      <c r="A9" s="15" t="s">
        <v>1006</v>
      </c>
    </row>
    <row r="10" spans="1:1" x14ac:dyDescent="0.3">
      <c r="A10" s="8" t="s">
        <v>1009</v>
      </c>
    </row>
    <row r="11" spans="1:1" x14ac:dyDescent="0.3">
      <c r="A11" s="15" t="s">
        <v>1010</v>
      </c>
    </row>
    <row r="12" spans="1:1" x14ac:dyDescent="0.3">
      <c r="A12" s="15" t="s">
        <v>1011</v>
      </c>
    </row>
    <row r="13" spans="1:1" x14ac:dyDescent="0.3">
      <c r="A13" s="8" t="s">
        <v>1012</v>
      </c>
    </row>
    <row r="14" spans="1:1" x14ac:dyDescent="0.3">
      <c r="A14" s="15" t="s">
        <v>1013</v>
      </c>
    </row>
    <row r="15" spans="1:1" x14ac:dyDescent="0.3">
      <c r="A15" s="15" t="s">
        <v>1014</v>
      </c>
    </row>
    <row r="16" spans="1:1" x14ac:dyDescent="0.3">
      <c r="A16" t="s">
        <v>811</v>
      </c>
    </row>
    <row r="18" spans="1:11" x14ac:dyDescent="0.3">
      <c r="A18" s="16" t="s">
        <v>360</v>
      </c>
      <c r="B18" s="16" t="s">
        <v>30</v>
      </c>
      <c r="C18" s="16" t="s">
        <v>812</v>
      </c>
      <c r="D18" s="16" t="s">
        <v>813</v>
      </c>
      <c r="E18" s="16" t="s">
        <v>32</v>
      </c>
      <c r="F18" s="16" t="s">
        <v>33</v>
      </c>
      <c r="G18" s="16" t="s">
        <v>814</v>
      </c>
      <c r="H18" s="16" t="s">
        <v>815</v>
      </c>
      <c r="I18" s="16" t="s">
        <v>816</v>
      </c>
      <c r="J18" s="16" t="s">
        <v>295</v>
      </c>
      <c r="K18" s="16" t="s">
        <v>817</v>
      </c>
    </row>
    <row r="19" spans="1:11" x14ac:dyDescent="0.3">
      <c r="A19" s="12" t="s">
        <v>392</v>
      </c>
      <c r="B19" s="12">
        <v>90</v>
      </c>
      <c r="C19" s="12">
        <v>0</v>
      </c>
      <c r="D19" s="12">
        <v>90</v>
      </c>
      <c r="E19" s="12">
        <v>59</v>
      </c>
      <c r="F19" s="12">
        <v>59</v>
      </c>
      <c r="G19" s="12">
        <v>29</v>
      </c>
      <c r="H19" s="12">
        <v>2</v>
      </c>
      <c r="I19" s="12">
        <v>0</v>
      </c>
      <c r="J19" s="12">
        <v>0</v>
      </c>
      <c r="K19" s="12">
        <v>0</v>
      </c>
    </row>
    <row r="20" spans="1:11" x14ac:dyDescent="0.3">
      <c r="A20" s="12" t="s">
        <v>395</v>
      </c>
      <c r="B20" s="12">
        <v>90</v>
      </c>
      <c r="C20" s="12">
        <v>0</v>
      </c>
      <c r="D20" s="12">
        <v>90</v>
      </c>
      <c r="E20" s="12">
        <v>60</v>
      </c>
      <c r="F20" s="12">
        <v>60</v>
      </c>
      <c r="G20" s="12">
        <v>29</v>
      </c>
      <c r="H20" s="12">
        <v>1</v>
      </c>
      <c r="I20" s="12">
        <v>0</v>
      </c>
      <c r="J20" s="12">
        <v>0</v>
      </c>
      <c r="K20" s="12">
        <v>0</v>
      </c>
    </row>
    <row r="21" spans="1:11" x14ac:dyDescent="0.3">
      <c r="A21" s="12" t="s">
        <v>397</v>
      </c>
      <c r="B21" s="12">
        <v>90</v>
      </c>
      <c r="C21" s="12">
        <v>0</v>
      </c>
      <c r="D21" s="12">
        <v>89</v>
      </c>
      <c r="E21" s="12">
        <v>34</v>
      </c>
      <c r="F21" s="12">
        <v>0</v>
      </c>
      <c r="G21" s="12">
        <v>55</v>
      </c>
      <c r="H21" s="12">
        <v>0</v>
      </c>
      <c r="I21" s="12">
        <v>1</v>
      </c>
      <c r="J21" s="12">
        <v>0</v>
      </c>
      <c r="K21" s="12">
        <v>89</v>
      </c>
    </row>
    <row r="22" spans="1:11" x14ac:dyDescent="0.3">
      <c r="A22" s="12" t="s">
        <v>399</v>
      </c>
      <c r="B22" s="12">
        <v>50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50</v>
      </c>
      <c r="J22" s="12">
        <v>0</v>
      </c>
      <c r="K22" s="12">
        <v>0</v>
      </c>
    </row>
    <row r="24" spans="1:11" x14ac:dyDescent="0.3">
      <c r="A24" s="17" t="s">
        <v>818</v>
      </c>
    </row>
  </sheetData>
  <autoFilter ref="A18:K22" xr:uid="{00000000-0009-0000-0000-000016000000}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40"/>
  <sheetViews>
    <sheetView workbookViewId="0"/>
  </sheetViews>
  <sheetFormatPr baseColWidth="10" defaultColWidth="8.88671875" defaultRowHeight="14.4" x14ac:dyDescent="0.3"/>
  <cols>
    <col min="1" max="1" width="10" customWidth="1"/>
    <col min="2" max="2" width="42" customWidth="1"/>
    <col min="3" max="4" width="10" customWidth="1"/>
    <col min="5" max="5" width="25" customWidth="1"/>
    <col min="6" max="6" width="28" customWidth="1"/>
    <col min="7" max="7" width="21" customWidth="1"/>
    <col min="8" max="8" width="34" customWidth="1"/>
    <col min="9" max="9" width="36" customWidth="1"/>
    <col min="10" max="10" width="21" customWidth="1"/>
    <col min="11" max="11" width="36" customWidth="1"/>
    <col min="12" max="12" width="29" customWidth="1"/>
    <col min="13" max="13" width="24" customWidth="1"/>
  </cols>
  <sheetData>
    <row r="1" spans="1:1" ht="17.399999999999999" x14ac:dyDescent="0.35">
      <c r="A1" s="1" t="s">
        <v>1020</v>
      </c>
    </row>
    <row r="2" spans="1:1" x14ac:dyDescent="0.3">
      <c r="A2" t="s">
        <v>1002</v>
      </c>
    </row>
    <row r="3" spans="1:1" x14ac:dyDescent="0.3">
      <c r="A3" t="s">
        <v>1003</v>
      </c>
    </row>
    <row r="4" spans="1:1" x14ac:dyDescent="0.3">
      <c r="A4" s="8" t="s">
        <v>1004</v>
      </c>
    </row>
    <row r="5" spans="1:1" x14ac:dyDescent="0.3">
      <c r="A5" s="15" t="s">
        <v>1005</v>
      </c>
    </row>
    <row r="6" spans="1:1" x14ac:dyDescent="0.3">
      <c r="A6" s="15" t="s">
        <v>1006</v>
      </c>
    </row>
    <row r="7" spans="1:1" x14ac:dyDescent="0.3">
      <c r="A7" s="8" t="s">
        <v>1007</v>
      </c>
    </row>
    <row r="8" spans="1:1" x14ac:dyDescent="0.3">
      <c r="A8" s="15" t="s">
        <v>1008</v>
      </c>
    </row>
    <row r="9" spans="1:1" x14ac:dyDescent="0.3">
      <c r="A9" s="15" t="s">
        <v>1006</v>
      </c>
    </row>
    <row r="10" spans="1:1" x14ac:dyDescent="0.3">
      <c r="A10" s="8" t="s">
        <v>1009</v>
      </c>
    </row>
    <row r="11" spans="1:1" x14ac:dyDescent="0.3">
      <c r="A11" s="15" t="s">
        <v>1010</v>
      </c>
    </row>
    <row r="12" spans="1:1" x14ac:dyDescent="0.3">
      <c r="A12" s="15" t="s">
        <v>1011</v>
      </c>
    </row>
    <row r="13" spans="1:1" x14ac:dyDescent="0.3">
      <c r="A13" s="8" t="s">
        <v>1012</v>
      </c>
    </row>
    <row r="14" spans="1:1" x14ac:dyDescent="0.3">
      <c r="A14" s="15" t="s">
        <v>1013</v>
      </c>
    </row>
    <row r="15" spans="1:1" x14ac:dyDescent="0.3">
      <c r="A15" s="15" t="s">
        <v>1014</v>
      </c>
    </row>
    <row r="16" spans="1:1" x14ac:dyDescent="0.3">
      <c r="A16" t="s">
        <v>1021</v>
      </c>
    </row>
    <row r="18" spans="1:13" x14ac:dyDescent="0.3">
      <c r="A18" s="16" t="s">
        <v>1022</v>
      </c>
      <c r="B18" s="16" t="s">
        <v>51</v>
      </c>
      <c r="C18" s="16" t="s">
        <v>813</v>
      </c>
      <c r="D18" s="16" t="s">
        <v>32</v>
      </c>
      <c r="E18" s="16" t="s">
        <v>295</v>
      </c>
      <c r="F18" s="16" t="s">
        <v>940</v>
      </c>
      <c r="G18" s="16" t="s">
        <v>941</v>
      </c>
      <c r="H18" s="16" t="s">
        <v>1023</v>
      </c>
      <c r="I18" s="16" t="s">
        <v>942</v>
      </c>
      <c r="J18" s="16" t="s">
        <v>1024</v>
      </c>
      <c r="K18" s="16" t="s">
        <v>1025</v>
      </c>
      <c r="L18" s="16" t="s">
        <v>1026</v>
      </c>
      <c r="M18" s="16" t="s">
        <v>1027</v>
      </c>
    </row>
    <row r="19" spans="1:13" x14ac:dyDescent="0.3">
      <c r="A19" s="12" t="s">
        <v>1028</v>
      </c>
      <c r="B19" s="24">
        <v>278.14999999999998</v>
      </c>
      <c r="C19" s="12">
        <v>18</v>
      </c>
      <c r="D19" s="12">
        <v>11</v>
      </c>
      <c r="E19" s="12">
        <v>0</v>
      </c>
      <c r="F19" s="24">
        <v>290.62</v>
      </c>
      <c r="G19" s="21">
        <v>10.409000000000001</v>
      </c>
      <c r="H19" s="12" t="s">
        <v>749</v>
      </c>
      <c r="I19" s="12" t="s">
        <v>948</v>
      </c>
      <c r="J19" s="21">
        <v>10.409000000000001</v>
      </c>
      <c r="K19" s="24">
        <v>290.62</v>
      </c>
      <c r="L19" s="12" t="s">
        <v>1029</v>
      </c>
      <c r="M19" s="12" t="s">
        <v>1030</v>
      </c>
    </row>
    <row r="20" spans="1:13" x14ac:dyDescent="0.3">
      <c r="A20" s="12" t="s">
        <v>1028</v>
      </c>
      <c r="B20" s="24">
        <v>283.14999999999998</v>
      </c>
      <c r="C20" s="12">
        <v>18</v>
      </c>
      <c r="D20" s="12">
        <v>12</v>
      </c>
      <c r="E20" s="12">
        <v>0</v>
      </c>
      <c r="F20" s="24">
        <v>337.5</v>
      </c>
      <c r="G20" s="21">
        <v>10.034000000000001</v>
      </c>
      <c r="H20" s="12" t="s">
        <v>749</v>
      </c>
      <c r="I20" s="12" t="s">
        <v>948</v>
      </c>
      <c r="J20" s="21">
        <v>10.034000000000001</v>
      </c>
      <c r="K20" s="24">
        <v>337.5</v>
      </c>
      <c r="L20" s="12" t="s">
        <v>1031</v>
      </c>
      <c r="M20" s="12" t="s">
        <v>1032</v>
      </c>
    </row>
    <row r="21" spans="1:13" x14ac:dyDescent="0.3">
      <c r="A21" s="12" t="s">
        <v>1028</v>
      </c>
      <c r="B21" s="24">
        <v>288.14999999999998</v>
      </c>
      <c r="C21" s="12">
        <v>18</v>
      </c>
      <c r="D21" s="12">
        <v>12</v>
      </c>
      <c r="E21" s="12">
        <v>0</v>
      </c>
      <c r="F21" s="24">
        <v>393.75</v>
      </c>
      <c r="G21" s="21">
        <v>9.6059999999999999</v>
      </c>
      <c r="H21" s="12" t="s">
        <v>749</v>
      </c>
      <c r="I21" s="12" t="s">
        <v>948</v>
      </c>
      <c r="J21" s="21">
        <v>9.6059999999999999</v>
      </c>
      <c r="K21" s="24">
        <v>393.75</v>
      </c>
      <c r="L21" s="12" t="s">
        <v>1031</v>
      </c>
      <c r="M21" s="12" t="s">
        <v>1032</v>
      </c>
    </row>
    <row r="22" spans="1:13" x14ac:dyDescent="0.3">
      <c r="A22" s="12" t="s">
        <v>1028</v>
      </c>
      <c r="B22" s="24">
        <v>293.14999999999998</v>
      </c>
      <c r="C22" s="12">
        <v>18</v>
      </c>
      <c r="D22" s="12">
        <v>15</v>
      </c>
      <c r="E22" s="12">
        <v>0</v>
      </c>
      <c r="F22" s="24">
        <v>459.38</v>
      </c>
      <c r="G22" s="21">
        <v>9.1431000000000004</v>
      </c>
      <c r="H22" s="12" t="s">
        <v>749</v>
      </c>
      <c r="I22" s="12" t="s">
        <v>948</v>
      </c>
      <c r="J22" s="21">
        <v>9.1431000000000004</v>
      </c>
      <c r="K22" s="24">
        <v>459.38</v>
      </c>
      <c r="L22" s="12" t="s">
        <v>1033</v>
      </c>
      <c r="M22" s="12" t="s">
        <v>1034</v>
      </c>
    </row>
    <row r="23" spans="1:13" x14ac:dyDescent="0.3">
      <c r="A23" s="12" t="s">
        <v>1028</v>
      </c>
      <c r="B23" s="24">
        <v>300.02999999999997</v>
      </c>
      <c r="C23" s="12">
        <v>18</v>
      </c>
      <c r="D23" s="12">
        <v>9</v>
      </c>
      <c r="E23" s="12">
        <v>0</v>
      </c>
      <c r="F23" s="24">
        <v>562.5</v>
      </c>
      <c r="G23" s="21">
        <v>8.4918999999999993</v>
      </c>
      <c r="H23" s="12" t="s">
        <v>749</v>
      </c>
      <c r="I23" s="12" t="s">
        <v>948</v>
      </c>
      <c r="J23" s="21">
        <v>8.4918999999999993</v>
      </c>
      <c r="K23" s="24">
        <v>562.5</v>
      </c>
      <c r="L23" s="12" t="s">
        <v>1035</v>
      </c>
      <c r="M23" s="12" t="s">
        <v>1036</v>
      </c>
    </row>
    <row r="24" spans="1:13" x14ac:dyDescent="0.3">
      <c r="A24" s="12" t="s">
        <v>1037</v>
      </c>
      <c r="B24" s="24">
        <v>278.14999999999998</v>
      </c>
      <c r="C24" s="12">
        <v>18</v>
      </c>
      <c r="D24" s="12">
        <v>12</v>
      </c>
      <c r="E24" s="12">
        <v>0</v>
      </c>
      <c r="F24" s="24">
        <v>393.75</v>
      </c>
      <c r="G24" s="21">
        <v>11.907999999999999</v>
      </c>
      <c r="H24" s="12" t="s">
        <v>749</v>
      </c>
      <c r="I24" s="12" t="s">
        <v>948</v>
      </c>
      <c r="J24" s="21">
        <v>11.907999999999999</v>
      </c>
      <c r="K24" s="24">
        <v>393.75</v>
      </c>
      <c r="L24" s="12" t="s">
        <v>1031</v>
      </c>
      <c r="M24" s="12" t="s">
        <v>1038</v>
      </c>
    </row>
    <row r="25" spans="1:13" x14ac:dyDescent="0.3">
      <c r="A25" s="12" t="s">
        <v>1037</v>
      </c>
      <c r="B25" s="24">
        <v>283.14999999999998</v>
      </c>
      <c r="C25" s="12">
        <v>18</v>
      </c>
      <c r="D25" s="12">
        <v>15</v>
      </c>
      <c r="E25" s="12">
        <v>0</v>
      </c>
      <c r="F25" s="24">
        <v>459.38</v>
      </c>
      <c r="G25" s="21">
        <v>11.276</v>
      </c>
      <c r="H25" s="12" t="s">
        <v>749</v>
      </c>
      <c r="I25" s="12" t="s">
        <v>948</v>
      </c>
      <c r="J25" s="21">
        <v>11.276</v>
      </c>
      <c r="K25" s="24">
        <v>459.38</v>
      </c>
      <c r="L25" s="12" t="s">
        <v>1039</v>
      </c>
      <c r="M25" s="12" t="s">
        <v>1040</v>
      </c>
    </row>
    <row r="26" spans="1:13" x14ac:dyDescent="0.3">
      <c r="A26" s="12" t="s">
        <v>1037</v>
      </c>
      <c r="B26" s="24">
        <v>288.14999999999998</v>
      </c>
      <c r="C26" s="12">
        <v>18</v>
      </c>
      <c r="D26" s="12">
        <v>13</v>
      </c>
      <c r="E26" s="12">
        <v>0</v>
      </c>
      <c r="F26" s="24">
        <v>534.38</v>
      </c>
      <c r="G26" s="21">
        <v>10.622</v>
      </c>
      <c r="H26" s="12" t="s">
        <v>749</v>
      </c>
      <c r="I26" s="12" t="s">
        <v>948</v>
      </c>
      <c r="J26" s="21">
        <v>10.622</v>
      </c>
      <c r="K26" s="24">
        <v>534.38</v>
      </c>
      <c r="L26" s="12" t="s">
        <v>1041</v>
      </c>
      <c r="M26" s="12" t="s">
        <v>1042</v>
      </c>
    </row>
    <row r="27" spans="1:13" x14ac:dyDescent="0.3">
      <c r="A27" s="12" t="s">
        <v>1037</v>
      </c>
      <c r="B27" s="24">
        <v>293.14999999999998</v>
      </c>
      <c r="C27" s="12">
        <v>18</v>
      </c>
      <c r="D27" s="12">
        <v>12</v>
      </c>
      <c r="E27" s="12">
        <v>0</v>
      </c>
      <c r="F27" s="24">
        <v>618.75</v>
      </c>
      <c r="G27" s="21">
        <v>9.9567999999999994</v>
      </c>
      <c r="H27" s="12" t="s">
        <v>749</v>
      </c>
      <c r="I27" s="12" t="s">
        <v>948</v>
      </c>
      <c r="J27" s="21">
        <v>9.9567999999999994</v>
      </c>
      <c r="K27" s="24">
        <v>618.75</v>
      </c>
      <c r="L27" s="12" t="s">
        <v>1031</v>
      </c>
      <c r="M27" s="12" t="s">
        <v>1038</v>
      </c>
    </row>
    <row r="28" spans="1:13" x14ac:dyDescent="0.3">
      <c r="A28" s="12" t="s">
        <v>1037</v>
      </c>
      <c r="B28" s="24">
        <v>300.02999999999997</v>
      </c>
      <c r="C28" s="12">
        <v>18</v>
      </c>
      <c r="D28" s="12">
        <v>8</v>
      </c>
      <c r="E28" s="12">
        <v>0</v>
      </c>
      <c r="F28" s="24">
        <v>740.62</v>
      </c>
      <c r="G28" s="21">
        <v>9.1144999999999996</v>
      </c>
      <c r="H28" s="12" t="s">
        <v>749</v>
      </c>
      <c r="I28" s="12" t="s">
        <v>948</v>
      </c>
      <c r="J28" s="21">
        <v>9.1144999999999996</v>
      </c>
      <c r="K28" s="24">
        <v>740.62</v>
      </c>
      <c r="L28" s="12" t="s">
        <v>1043</v>
      </c>
      <c r="M28" s="12" t="s">
        <v>1044</v>
      </c>
    </row>
    <row r="29" spans="1:13" x14ac:dyDescent="0.3">
      <c r="A29" s="12" t="s">
        <v>1045</v>
      </c>
      <c r="B29" s="24">
        <v>278.14999999999998</v>
      </c>
      <c r="C29" s="12">
        <v>17</v>
      </c>
      <c r="D29" s="12">
        <v>6</v>
      </c>
      <c r="E29" s="12">
        <v>0</v>
      </c>
      <c r="F29" s="24">
        <v>750</v>
      </c>
      <c r="G29" s="21">
        <v>9.6867999999999999</v>
      </c>
      <c r="H29" s="12" t="s">
        <v>749</v>
      </c>
      <c r="I29" s="12" t="s">
        <v>749</v>
      </c>
      <c r="J29" s="21">
        <v>9.6867999999999999</v>
      </c>
      <c r="K29" s="24">
        <v>750</v>
      </c>
      <c r="L29" s="12" t="s">
        <v>1046</v>
      </c>
      <c r="M29" s="12" t="s">
        <v>1047</v>
      </c>
    </row>
    <row r="30" spans="1:13" x14ac:dyDescent="0.3">
      <c r="A30" s="12" t="s">
        <v>1045</v>
      </c>
      <c r="B30" s="24">
        <v>283.14999999999998</v>
      </c>
      <c r="C30" s="12">
        <v>18</v>
      </c>
      <c r="D30" s="12">
        <v>7</v>
      </c>
      <c r="E30" s="12">
        <v>0</v>
      </c>
      <c r="F30" s="24">
        <v>862.5</v>
      </c>
      <c r="G30" s="21">
        <v>8.8902999999999999</v>
      </c>
      <c r="H30" s="12" t="s">
        <v>749</v>
      </c>
      <c r="I30" s="12" t="s">
        <v>749</v>
      </c>
      <c r="J30" s="21">
        <v>8.8902999999999999</v>
      </c>
      <c r="K30" s="24">
        <v>862.5</v>
      </c>
      <c r="L30" s="12" t="s">
        <v>1046</v>
      </c>
      <c r="M30" s="12" t="s">
        <v>1048</v>
      </c>
    </row>
    <row r="31" spans="1:13" x14ac:dyDescent="0.3">
      <c r="A31" s="12" t="s">
        <v>1045</v>
      </c>
      <c r="B31" s="24">
        <v>288.14999999999998</v>
      </c>
      <c r="C31" s="12">
        <v>18</v>
      </c>
      <c r="D31" s="12">
        <v>10</v>
      </c>
      <c r="E31" s="12">
        <v>0</v>
      </c>
      <c r="F31" s="24">
        <v>984.38</v>
      </c>
      <c r="G31" s="21">
        <v>8.1090999999999998</v>
      </c>
      <c r="H31" s="12" t="s">
        <v>749</v>
      </c>
      <c r="I31" s="12" t="s">
        <v>749</v>
      </c>
      <c r="J31" s="21">
        <v>8.1090999999999998</v>
      </c>
      <c r="K31" s="24">
        <v>984.38</v>
      </c>
      <c r="L31" s="12" t="s">
        <v>1049</v>
      </c>
      <c r="M31" s="12" t="s">
        <v>1050</v>
      </c>
    </row>
    <row r="32" spans="1:13" x14ac:dyDescent="0.3">
      <c r="A32" s="12" t="s">
        <v>1045</v>
      </c>
      <c r="B32" s="24">
        <v>293.14999999999998</v>
      </c>
      <c r="C32" s="12">
        <v>18</v>
      </c>
      <c r="D32" s="12">
        <v>7</v>
      </c>
      <c r="E32" s="12">
        <v>0</v>
      </c>
      <c r="F32" s="23">
        <v>1115.5999999999999</v>
      </c>
      <c r="G32" s="21">
        <v>7.3421000000000003</v>
      </c>
      <c r="H32" s="12" t="s">
        <v>749</v>
      </c>
      <c r="I32" s="12" t="s">
        <v>749</v>
      </c>
      <c r="J32" s="21">
        <v>7.3421000000000003</v>
      </c>
      <c r="K32" s="23">
        <v>1115.5999999999999</v>
      </c>
      <c r="L32" s="12" t="s">
        <v>1046</v>
      </c>
      <c r="M32" s="12" t="s">
        <v>1048</v>
      </c>
    </row>
    <row r="33" spans="1:13" x14ac:dyDescent="0.3">
      <c r="A33" s="12" t="s">
        <v>1045</v>
      </c>
      <c r="B33" s="24">
        <v>300.02999999999997</v>
      </c>
      <c r="C33" s="12">
        <v>18</v>
      </c>
      <c r="D33" s="12">
        <v>4</v>
      </c>
      <c r="E33" s="12">
        <v>0</v>
      </c>
      <c r="F33" s="23">
        <v>1312.5</v>
      </c>
      <c r="G33" s="21">
        <v>6.3022999999999998</v>
      </c>
      <c r="H33" s="12" t="s">
        <v>749</v>
      </c>
      <c r="I33" s="12" t="s">
        <v>749</v>
      </c>
      <c r="J33" s="21">
        <v>6.3022999999999998</v>
      </c>
      <c r="K33" s="23">
        <v>1312.5</v>
      </c>
      <c r="L33" s="12" t="s">
        <v>1051</v>
      </c>
      <c r="M33" s="12" t="s">
        <v>1052</v>
      </c>
    </row>
    <row r="34" spans="1:13" x14ac:dyDescent="0.3">
      <c r="A34" s="12" t="s">
        <v>1053</v>
      </c>
      <c r="B34" s="24">
        <v>278.14999999999998</v>
      </c>
      <c r="C34" s="12">
        <v>0</v>
      </c>
      <c r="D34" s="12">
        <v>0</v>
      </c>
      <c r="E34" s="12">
        <v>0</v>
      </c>
      <c r="F34" s="12"/>
      <c r="G34" s="12"/>
      <c r="H34" s="12"/>
      <c r="I34" s="12"/>
      <c r="J34" s="12"/>
      <c r="K34" s="12"/>
      <c r="L34" s="12"/>
      <c r="M34" s="12"/>
    </row>
    <row r="35" spans="1:13" x14ac:dyDescent="0.3">
      <c r="A35" s="12" t="s">
        <v>1053</v>
      </c>
      <c r="B35" s="24">
        <v>283.14999999999998</v>
      </c>
      <c r="C35" s="12">
        <v>0</v>
      </c>
      <c r="D35" s="12">
        <v>0</v>
      </c>
      <c r="E35" s="12">
        <v>0</v>
      </c>
      <c r="F35" s="12"/>
      <c r="G35" s="12"/>
      <c r="H35" s="12"/>
      <c r="I35" s="12"/>
      <c r="J35" s="12"/>
      <c r="K35" s="12"/>
      <c r="L35" s="12"/>
      <c r="M35" s="12"/>
    </row>
    <row r="36" spans="1:13" x14ac:dyDescent="0.3">
      <c r="A36" s="12" t="s">
        <v>1053</v>
      </c>
      <c r="B36" s="24">
        <v>288.14999999999998</v>
      </c>
      <c r="C36" s="12">
        <v>0</v>
      </c>
      <c r="D36" s="12">
        <v>0</v>
      </c>
      <c r="E36" s="12">
        <v>0</v>
      </c>
      <c r="F36" s="12"/>
      <c r="G36" s="12"/>
      <c r="H36" s="12"/>
      <c r="I36" s="12"/>
      <c r="J36" s="12"/>
      <c r="K36" s="12"/>
      <c r="L36" s="12"/>
      <c r="M36" s="12"/>
    </row>
    <row r="37" spans="1:13" x14ac:dyDescent="0.3">
      <c r="A37" s="12" t="s">
        <v>1053</v>
      </c>
      <c r="B37" s="24">
        <v>293.14999999999998</v>
      </c>
      <c r="C37" s="12">
        <v>0</v>
      </c>
      <c r="D37" s="12">
        <v>0</v>
      </c>
      <c r="E37" s="12">
        <v>0</v>
      </c>
      <c r="F37" s="12"/>
      <c r="G37" s="12"/>
      <c r="H37" s="12"/>
      <c r="I37" s="12"/>
      <c r="J37" s="12"/>
      <c r="K37" s="12"/>
      <c r="L37" s="12"/>
      <c r="M37" s="12"/>
    </row>
    <row r="38" spans="1:13" x14ac:dyDescent="0.3">
      <c r="A38" s="12" t="s">
        <v>1053</v>
      </c>
      <c r="B38" s="24">
        <v>300.02999999999997</v>
      </c>
      <c r="C38" s="12">
        <v>0</v>
      </c>
      <c r="D38" s="12">
        <v>0</v>
      </c>
      <c r="E38" s="12">
        <v>0</v>
      </c>
      <c r="F38" s="12"/>
      <c r="G38" s="12"/>
      <c r="H38" s="12"/>
      <c r="I38" s="12"/>
      <c r="J38" s="12"/>
      <c r="K38" s="12"/>
      <c r="L38" s="12"/>
      <c r="M38" s="12"/>
    </row>
    <row r="40" spans="1:13" x14ac:dyDescent="0.3">
      <c r="A40" s="17" t="s">
        <v>1054</v>
      </c>
    </row>
  </sheetData>
  <autoFilter ref="A18:M38" xr:uid="{00000000-0009-0000-0000-000017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3"/>
  <sheetViews>
    <sheetView workbookViewId="0"/>
  </sheetViews>
  <sheetFormatPr baseColWidth="10" defaultColWidth="8.88671875" defaultRowHeight="14.4" x14ac:dyDescent="0.3"/>
  <cols>
    <col min="1" max="1" width="10" customWidth="1"/>
    <col min="2" max="2" width="48" customWidth="1"/>
    <col min="3" max="3" width="14" customWidth="1"/>
    <col min="4" max="4" width="24" customWidth="1"/>
    <col min="5" max="5" width="15" customWidth="1"/>
    <col min="6" max="6" width="11" customWidth="1"/>
    <col min="7" max="7" width="21" customWidth="1"/>
    <col min="8" max="8" width="10" customWidth="1"/>
  </cols>
  <sheetData>
    <row r="1" spans="1:8" ht="17.399999999999999" x14ac:dyDescent="0.35">
      <c r="A1" s="1" t="s">
        <v>1055</v>
      </c>
    </row>
    <row r="2" spans="1:8" x14ac:dyDescent="0.3">
      <c r="A2" t="s">
        <v>1056</v>
      </c>
    </row>
    <row r="3" spans="1:8" x14ac:dyDescent="0.3">
      <c r="A3" t="s">
        <v>1057</v>
      </c>
    </row>
    <row r="4" spans="1:8" x14ac:dyDescent="0.3">
      <c r="A4" s="15" t="s">
        <v>1058</v>
      </c>
    </row>
    <row r="5" spans="1:8" x14ac:dyDescent="0.3">
      <c r="A5" s="15" t="s">
        <v>1059</v>
      </c>
    </row>
    <row r="6" spans="1:8" x14ac:dyDescent="0.3">
      <c r="A6" t="s">
        <v>788</v>
      </c>
    </row>
    <row r="8" spans="1:8" x14ac:dyDescent="0.3">
      <c r="A8" s="16" t="s">
        <v>360</v>
      </c>
      <c r="B8" s="16" t="s">
        <v>712</v>
      </c>
      <c r="C8" s="16" t="s">
        <v>789</v>
      </c>
      <c r="D8" s="16" t="s">
        <v>890</v>
      </c>
      <c r="E8" s="16" t="s">
        <v>790</v>
      </c>
      <c r="F8" s="16" t="s">
        <v>791</v>
      </c>
      <c r="G8" s="16" t="s">
        <v>792</v>
      </c>
      <c r="H8" s="16" t="s">
        <v>266</v>
      </c>
    </row>
    <row r="9" spans="1:8" x14ac:dyDescent="0.3">
      <c r="A9" s="12" t="s">
        <v>128</v>
      </c>
      <c r="B9" s="12" t="s">
        <v>49</v>
      </c>
      <c r="C9" s="12" t="s">
        <v>891</v>
      </c>
      <c r="D9" s="12">
        <v>403</v>
      </c>
      <c r="E9" s="12" t="s">
        <v>892</v>
      </c>
      <c r="F9" s="12">
        <v>18</v>
      </c>
      <c r="G9" s="12"/>
      <c r="H9" s="12" t="s">
        <v>275</v>
      </c>
    </row>
    <row r="10" spans="1:8" x14ac:dyDescent="0.3">
      <c r="A10" s="12" t="s">
        <v>128</v>
      </c>
      <c r="B10" s="12" t="s">
        <v>51</v>
      </c>
      <c r="C10" s="12" t="s">
        <v>891</v>
      </c>
      <c r="D10" s="12">
        <v>300</v>
      </c>
      <c r="E10" s="12" t="s">
        <v>893</v>
      </c>
      <c r="F10" s="12">
        <v>18</v>
      </c>
      <c r="G10" s="12"/>
      <c r="H10" s="12" t="s">
        <v>275</v>
      </c>
    </row>
    <row r="11" spans="1:8" x14ac:dyDescent="0.3">
      <c r="A11" s="12" t="s">
        <v>128</v>
      </c>
      <c r="B11" s="12" t="s">
        <v>53</v>
      </c>
      <c r="C11" s="12" t="s">
        <v>891</v>
      </c>
      <c r="D11" s="12">
        <v>3000</v>
      </c>
      <c r="E11" s="12" t="s">
        <v>894</v>
      </c>
      <c r="F11" s="12">
        <v>18</v>
      </c>
      <c r="G11" s="12"/>
      <c r="H11" s="12" t="s">
        <v>270</v>
      </c>
    </row>
    <row r="12" spans="1:8" x14ac:dyDescent="0.3">
      <c r="A12" s="12" t="s">
        <v>128</v>
      </c>
      <c r="B12" s="12" t="s">
        <v>54</v>
      </c>
      <c r="C12" s="12" t="s">
        <v>891</v>
      </c>
      <c r="D12" s="12">
        <v>563.6</v>
      </c>
      <c r="E12" s="12" t="s">
        <v>895</v>
      </c>
      <c r="F12" s="12">
        <v>18</v>
      </c>
      <c r="G12" s="12"/>
      <c r="H12" s="12" t="s">
        <v>270</v>
      </c>
    </row>
    <row r="13" spans="1:8" x14ac:dyDescent="0.3">
      <c r="A13" s="12" t="s">
        <v>128</v>
      </c>
      <c r="B13" s="12" t="s">
        <v>55</v>
      </c>
      <c r="C13" s="12" t="s">
        <v>891</v>
      </c>
      <c r="D13" s="12">
        <v>0.5</v>
      </c>
      <c r="E13" s="12" t="s">
        <v>896</v>
      </c>
      <c r="F13" s="12">
        <v>18</v>
      </c>
      <c r="G13" s="12"/>
      <c r="H13" s="12" t="s">
        <v>273</v>
      </c>
    </row>
    <row r="14" spans="1:8" x14ac:dyDescent="0.3">
      <c r="A14" s="12" t="s">
        <v>128</v>
      </c>
      <c r="B14" s="12" t="s">
        <v>57</v>
      </c>
      <c r="C14" s="12" t="s">
        <v>793</v>
      </c>
      <c r="D14" s="12">
        <v>1</v>
      </c>
      <c r="E14" s="12" t="s">
        <v>800</v>
      </c>
      <c r="F14" s="12"/>
      <c r="G14" s="12" t="s">
        <v>749</v>
      </c>
      <c r="H14" s="12" t="s">
        <v>283</v>
      </c>
    </row>
    <row r="15" spans="1:8" x14ac:dyDescent="0.3">
      <c r="A15" s="12" t="s">
        <v>128</v>
      </c>
      <c r="B15" s="12" t="s">
        <v>59</v>
      </c>
      <c r="C15" s="12" t="s">
        <v>891</v>
      </c>
      <c r="D15" s="12">
        <v>0.85</v>
      </c>
      <c r="E15" s="12" t="s">
        <v>969</v>
      </c>
      <c r="F15" s="12">
        <v>18</v>
      </c>
      <c r="G15" s="12"/>
      <c r="H15" s="12" t="s">
        <v>273</v>
      </c>
    </row>
    <row r="16" spans="1:8" x14ac:dyDescent="0.3">
      <c r="A16" s="12" t="s">
        <v>128</v>
      </c>
      <c r="B16" s="12" t="s">
        <v>61</v>
      </c>
      <c r="C16" s="12" t="s">
        <v>891</v>
      </c>
      <c r="D16" s="12">
        <v>0.75</v>
      </c>
      <c r="E16" s="12" t="s">
        <v>969</v>
      </c>
      <c r="F16" s="12">
        <v>18</v>
      </c>
      <c r="G16" s="12"/>
      <c r="H16" s="12" t="s">
        <v>273</v>
      </c>
    </row>
    <row r="17" spans="1:8" x14ac:dyDescent="0.3">
      <c r="A17" s="12" t="s">
        <v>128</v>
      </c>
      <c r="B17" s="12" t="s">
        <v>63</v>
      </c>
      <c r="C17" s="12" t="s">
        <v>891</v>
      </c>
      <c r="D17" s="12">
        <v>0.85</v>
      </c>
      <c r="E17" s="12" t="s">
        <v>969</v>
      </c>
      <c r="F17" s="12">
        <v>18</v>
      </c>
      <c r="G17" s="12"/>
      <c r="H17" s="12" t="s">
        <v>273</v>
      </c>
    </row>
    <row r="18" spans="1:8" x14ac:dyDescent="0.3">
      <c r="A18" s="12" t="s">
        <v>128</v>
      </c>
      <c r="B18" s="12" t="s">
        <v>64</v>
      </c>
      <c r="C18" s="12" t="s">
        <v>891</v>
      </c>
      <c r="D18" s="12">
        <v>0.75</v>
      </c>
      <c r="E18" s="12" t="s">
        <v>969</v>
      </c>
      <c r="F18" s="12">
        <v>18</v>
      </c>
      <c r="G18" s="12"/>
      <c r="H18" s="12" t="s">
        <v>273</v>
      </c>
    </row>
    <row r="19" spans="1:8" x14ac:dyDescent="0.3">
      <c r="A19" s="12" t="s">
        <v>128</v>
      </c>
      <c r="B19" s="12" t="s">
        <v>65</v>
      </c>
      <c r="C19" s="12" t="s">
        <v>891</v>
      </c>
      <c r="D19" s="12">
        <v>0.8</v>
      </c>
      <c r="E19" s="12" t="s">
        <v>969</v>
      </c>
      <c r="F19" s="12">
        <v>18</v>
      </c>
      <c r="G19" s="12"/>
      <c r="H19" s="12" t="s">
        <v>273</v>
      </c>
    </row>
    <row r="20" spans="1:8" x14ac:dyDescent="0.3">
      <c r="A20" s="12" t="s">
        <v>128</v>
      </c>
      <c r="B20" s="12" t="s">
        <v>66</v>
      </c>
      <c r="C20" s="12" t="s">
        <v>802</v>
      </c>
      <c r="D20" s="12"/>
      <c r="E20" s="12"/>
      <c r="F20" s="12"/>
      <c r="G20" s="12"/>
      <c r="H20" s="12" t="s">
        <v>275</v>
      </c>
    </row>
    <row r="21" spans="1:8" x14ac:dyDescent="0.3">
      <c r="A21" s="12" t="s">
        <v>128</v>
      </c>
      <c r="B21" s="12" t="s">
        <v>803</v>
      </c>
      <c r="C21" s="12" t="s">
        <v>793</v>
      </c>
      <c r="D21" s="12"/>
      <c r="E21" s="12" t="s">
        <v>804</v>
      </c>
      <c r="F21" s="12"/>
      <c r="G21" s="12"/>
      <c r="H21" s="12" t="s">
        <v>273</v>
      </c>
    </row>
    <row r="23" spans="1:8" x14ac:dyDescent="0.3">
      <c r="A23" s="17" t="s">
        <v>900</v>
      </c>
    </row>
  </sheetData>
  <autoFilter ref="A8:H21" xr:uid="{00000000-0009-0000-0000-000018000000}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K11"/>
  <sheetViews>
    <sheetView workbookViewId="0"/>
  </sheetViews>
  <sheetFormatPr baseColWidth="10" defaultColWidth="8.88671875" defaultRowHeight="14.4" x14ac:dyDescent="0.3"/>
  <cols>
    <col min="1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1060</v>
      </c>
    </row>
    <row r="2" spans="1:11" x14ac:dyDescent="0.3">
      <c r="A2" t="s">
        <v>1056</v>
      </c>
    </row>
    <row r="3" spans="1:11" x14ac:dyDescent="0.3">
      <c r="A3" t="s">
        <v>1057</v>
      </c>
    </row>
    <row r="4" spans="1:11" x14ac:dyDescent="0.3">
      <c r="A4" s="15" t="s">
        <v>1058</v>
      </c>
    </row>
    <row r="5" spans="1:11" x14ac:dyDescent="0.3">
      <c r="A5" s="15" t="s">
        <v>1059</v>
      </c>
    </row>
    <row r="6" spans="1:11" x14ac:dyDescent="0.3">
      <c r="A6" t="s">
        <v>811</v>
      </c>
    </row>
    <row r="8" spans="1:11" x14ac:dyDescent="0.3">
      <c r="A8" s="16" t="s">
        <v>360</v>
      </c>
      <c r="B8" s="16" t="s">
        <v>30</v>
      </c>
      <c r="C8" s="16" t="s">
        <v>812</v>
      </c>
      <c r="D8" s="16" t="s">
        <v>813</v>
      </c>
      <c r="E8" s="16" t="s">
        <v>32</v>
      </c>
      <c r="F8" s="16" t="s">
        <v>33</v>
      </c>
      <c r="G8" s="16" t="s">
        <v>814</v>
      </c>
      <c r="H8" s="16" t="s">
        <v>815</v>
      </c>
      <c r="I8" s="16" t="s">
        <v>816</v>
      </c>
      <c r="J8" s="16" t="s">
        <v>295</v>
      </c>
      <c r="K8" s="16" t="s">
        <v>817</v>
      </c>
    </row>
    <row r="9" spans="1:11" x14ac:dyDescent="0.3">
      <c r="A9" s="12" t="s">
        <v>128</v>
      </c>
      <c r="B9" s="12">
        <v>171</v>
      </c>
      <c r="C9" s="12">
        <v>0</v>
      </c>
      <c r="D9" s="12">
        <v>148</v>
      </c>
      <c r="E9" s="12">
        <v>86</v>
      </c>
      <c r="F9" s="12">
        <v>86</v>
      </c>
      <c r="G9" s="12">
        <v>57</v>
      </c>
      <c r="H9" s="12">
        <v>5</v>
      </c>
      <c r="I9" s="12">
        <v>17</v>
      </c>
      <c r="J9" s="12">
        <v>6</v>
      </c>
      <c r="K9" s="12">
        <v>8</v>
      </c>
    </row>
    <row r="11" spans="1:11" x14ac:dyDescent="0.3">
      <c r="A11" s="17" t="s">
        <v>902</v>
      </c>
    </row>
  </sheetData>
  <autoFilter ref="A8:K9" xr:uid="{00000000-0009-0000-0000-000019000000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J20"/>
  <sheetViews>
    <sheetView workbookViewId="0"/>
  </sheetViews>
  <sheetFormatPr baseColWidth="10" defaultColWidth="8.88671875" defaultRowHeight="14.4" x14ac:dyDescent="0.3"/>
  <cols>
    <col min="1" max="1" width="48" customWidth="1"/>
    <col min="2" max="2" width="17" customWidth="1"/>
    <col min="3" max="3" width="13" customWidth="1"/>
    <col min="4" max="4" width="21" customWidth="1"/>
    <col min="5" max="5" width="20" customWidth="1"/>
    <col min="6" max="6" width="31" customWidth="1"/>
    <col min="7" max="7" width="21" customWidth="1"/>
    <col min="8" max="8" width="15" customWidth="1"/>
    <col min="9" max="9" width="24" customWidth="1"/>
    <col min="10" max="10" width="35" customWidth="1"/>
  </cols>
  <sheetData>
    <row r="1" spans="1:10" ht="17.399999999999999" x14ac:dyDescent="0.35">
      <c r="A1" s="1" t="s">
        <v>1061</v>
      </c>
    </row>
    <row r="2" spans="1:10" x14ac:dyDescent="0.3">
      <c r="A2" t="s">
        <v>1056</v>
      </c>
    </row>
    <row r="3" spans="1:10" x14ac:dyDescent="0.3">
      <c r="A3" t="s">
        <v>1057</v>
      </c>
    </row>
    <row r="4" spans="1:10" x14ac:dyDescent="0.3">
      <c r="A4" s="15" t="s">
        <v>1058</v>
      </c>
    </row>
    <row r="5" spans="1:10" x14ac:dyDescent="0.3">
      <c r="A5" s="15" t="s">
        <v>1059</v>
      </c>
    </row>
    <row r="6" spans="1:10" x14ac:dyDescent="0.3">
      <c r="A6" t="s">
        <v>1062</v>
      </c>
    </row>
    <row r="8" spans="1:10" x14ac:dyDescent="0.3">
      <c r="A8" s="16" t="s">
        <v>712</v>
      </c>
      <c r="B8" s="16" t="s">
        <v>1063</v>
      </c>
      <c r="C8" s="16" t="s">
        <v>1064</v>
      </c>
      <c r="D8" s="16" t="s">
        <v>1065</v>
      </c>
      <c r="E8" s="16" t="s">
        <v>1066</v>
      </c>
      <c r="F8" s="16" t="s">
        <v>1067</v>
      </c>
      <c r="G8" s="16" t="s">
        <v>1068</v>
      </c>
      <c r="H8" s="16" t="s">
        <v>1069</v>
      </c>
      <c r="I8" s="16" t="s">
        <v>1070</v>
      </c>
      <c r="J8" s="16" t="s">
        <v>1071</v>
      </c>
    </row>
    <row r="9" spans="1:10" x14ac:dyDescent="0.3">
      <c r="A9" s="12" t="s">
        <v>49</v>
      </c>
      <c r="B9" s="12" t="s">
        <v>892</v>
      </c>
      <c r="C9" s="12">
        <v>403</v>
      </c>
      <c r="D9" s="12">
        <v>10.871</v>
      </c>
      <c r="E9" s="12">
        <v>3.6674000000000002</v>
      </c>
      <c r="F9" s="21">
        <v>7.9012000000000002</v>
      </c>
      <c r="G9" s="12">
        <v>400.68</v>
      </c>
      <c r="H9" s="12" t="s">
        <v>1072</v>
      </c>
      <c r="I9" s="12" t="s">
        <v>994</v>
      </c>
      <c r="J9" s="25">
        <v>2.3942000000000001E-2</v>
      </c>
    </row>
    <row r="10" spans="1:10" x14ac:dyDescent="0.3">
      <c r="A10" s="12" t="s">
        <v>55</v>
      </c>
      <c r="B10" s="12" t="s">
        <v>896</v>
      </c>
      <c r="C10" s="12">
        <v>0.5</v>
      </c>
      <c r="D10" s="12">
        <v>3.4018000000000002</v>
      </c>
      <c r="E10" s="12">
        <v>10.775</v>
      </c>
      <c r="F10" s="21">
        <v>6.4244000000000003</v>
      </c>
      <c r="G10" s="12">
        <v>0.47143000000000002</v>
      </c>
      <c r="H10" s="12" t="s">
        <v>1073</v>
      </c>
      <c r="I10" s="12" t="s">
        <v>1074</v>
      </c>
      <c r="J10" s="25">
        <v>1.8495999999999999E-2</v>
      </c>
    </row>
    <row r="11" spans="1:10" x14ac:dyDescent="0.3">
      <c r="A11" s="12" t="s">
        <v>51</v>
      </c>
      <c r="B11" s="12" t="s">
        <v>893</v>
      </c>
      <c r="C11" s="12">
        <v>300</v>
      </c>
      <c r="D11" s="12">
        <v>1.6142000000000001</v>
      </c>
      <c r="E11" s="12">
        <v>0.85253000000000001</v>
      </c>
      <c r="F11" s="21">
        <v>8.4430999999999994</v>
      </c>
      <c r="G11" s="12">
        <v>299.18</v>
      </c>
      <c r="H11" s="12" t="s">
        <v>1075</v>
      </c>
      <c r="I11" s="12" t="s">
        <v>949</v>
      </c>
      <c r="J11" s="25">
        <v>2.2161E-2</v>
      </c>
    </row>
    <row r="12" spans="1:10" x14ac:dyDescent="0.3">
      <c r="A12" s="12" t="s">
        <v>53</v>
      </c>
      <c r="B12" s="12" t="s">
        <v>894</v>
      </c>
      <c r="C12" s="12">
        <v>3000</v>
      </c>
      <c r="D12" s="12">
        <v>-1.1645000000000001</v>
      </c>
      <c r="E12" s="12">
        <v>5.1447000000000003</v>
      </c>
      <c r="F12" s="21">
        <v>4.6550000000000002</v>
      </c>
      <c r="G12" s="12">
        <v>3571.4</v>
      </c>
      <c r="H12" s="12" t="s">
        <v>1076</v>
      </c>
      <c r="I12" s="12" t="s">
        <v>950</v>
      </c>
      <c r="J12" s="25">
        <v>7.0718999999999999E-3</v>
      </c>
    </row>
    <row r="13" spans="1:10" x14ac:dyDescent="0.3">
      <c r="A13" s="12" t="s">
        <v>59</v>
      </c>
      <c r="B13" s="12" t="s">
        <v>969</v>
      </c>
      <c r="C13" s="12">
        <v>0.85</v>
      </c>
      <c r="D13" s="12">
        <v>1.1464000000000001</v>
      </c>
      <c r="E13" s="12">
        <v>6.3151999999999999</v>
      </c>
      <c r="F13" s="21">
        <v>9.6247000000000007</v>
      </c>
      <c r="G13" s="12">
        <v>0.95</v>
      </c>
      <c r="H13" s="12" t="s">
        <v>1077</v>
      </c>
      <c r="I13" s="12" t="s">
        <v>1030</v>
      </c>
      <c r="J13" s="25">
        <v>0.34256999999999999</v>
      </c>
    </row>
    <row r="14" spans="1:10" x14ac:dyDescent="0.3">
      <c r="A14" s="12" t="s">
        <v>64</v>
      </c>
      <c r="B14" s="12" t="s">
        <v>969</v>
      </c>
      <c r="C14" s="12">
        <v>0.75</v>
      </c>
      <c r="D14" s="12">
        <v>0.86024</v>
      </c>
      <c r="E14" s="12">
        <v>4.9909999999999997</v>
      </c>
      <c r="F14" s="21">
        <v>10.956</v>
      </c>
      <c r="G14" s="12">
        <v>0.95</v>
      </c>
      <c r="H14" s="12" t="s">
        <v>1078</v>
      </c>
      <c r="I14" s="12" t="s">
        <v>994</v>
      </c>
      <c r="J14" s="25">
        <v>5.7195999999999997E-2</v>
      </c>
    </row>
    <row r="15" spans="1:10" x14ac:dyDescent="0.3">
      <c r="A15" s="12" t="s">
        <v>63</v>
      </c>
      <c r="B15" s="12" t="s">
        <v>969</v>
      </c>
      <c r="C15" s="12">
        <v>0.85</v>
      </c>
      <c r="D15" s="12">
        <v>0.64385000000000003</v>
      </c>
      <c r="E15" s="12">
        <v>6.6910999999999996</v>
      </c>
      <c r="F15" s="21">
        <v>8.3646999999999991</v>
      </c>
      <c r="G15" s="12">
        <v>0.83213999999999999</v>
      </c>
      <c r="H15" s="12" t="s">
        <v>1079</v>
      </c>
      <c r="I15" s="12" t="s">
        <v>997</v>
      </c>
      <c r="J15" s="25">
        <v>3.8668000000000001E-2</v>
      </c>
    </row>
    <row r="16" spans="1:10" x14ac:dyDescent="0.3">
      <c r="A16" s="12" t="s">
        <v>54</v>
      </c>
      <c r="B16" s="12" t="s">
        <v>895</v>
      </c>
      <c r="C16" s="12">
        <v>563.6</v>
      </c>
      <c r="D16" s="12">
        <v>-0.58115000000000006</v>
      </c>
      <c r="E16" s="12">
        <v>6.8007999999999997</v>
      </c>
      <c r="F16" s="21">
        <v>7.9123999999999999</v>
      </c>
      <c r="G16" s="12">
        <v>632.14</v>
      </c>
      <c r="H16" s="12" t="s">
        <v>1080</v>
      </c>
      <c r="I16" s="12" t="s">
        <v>1081</v>
      </c>
      <c r="J16" s="25">
        <v>1.6347E-2</v>
      </c>
    </row>
    <row r="17" spans="1:10" x14ac:dyDescent="0.3">
      <c r="A17" s="12" t="s">
        <v>65</v>
      </c>
      <c r="B17" s="12" t="s">
        <v>969</v>
      </c>
      <c r="C17" s="12">
        <v>0.8</v>
      </c>
      <c r="D17" s="12">
        <v>-0.40581</v>
      </c>
      <c r="E17" s="12">
        <v>0.82116999999999996</v>
      </c>
      <c r="F17" s="21">
        <v>8.3485999999999994</v>
      </c>
      <c r="G17" s="12">
        <v>0.83213999999999999</v>
      </c>
      <c r="H17" s="12" t="s">
        <v>1082</v>
      </c>
      <c r="I17" s="12" t="s">
        <v>1030</v>
      </c>
      <c r="J17" s="25">
        <v>1.155E-2</v>
      </c>
    </row>
    <row r="18" spans="1:10" x14ac:dyDescent="0.3">
      <c r="A18" s="12" t="s">
        <v>61</v>
      </c>
      <c r="B18" s="12" t="s">
        <v>969</v>
      </c>
      <c r="C18" s="12">
        <v>0.75</v>
      </c>
      <c r="D18" s="12">
        <v>0.14913999999999999</v>
      </c>
      <c r="E18" s="12">
        <v>1.3775999999999999</v>
      </c>
      <c r="F18" s="21">
        <v>8.7478999999999996</v>
      </c>
      <c r="G18" s="12">
        <v>0.95</v>
      </c>
      <c r="H18" s="12" t="s">
        <v>969</v>
      </c>
      <c r="I18" s="12" t="s">
        <v>1083</v>
      </c>
      <c r="J18" s="12"/>
    </row>
    <row r="20" spans="1:10" x14ac:dyDescent="0.3">
      <c r="A20" s="17" t="s">
        <v>1084</v>
      </c>
    </row>
  </sheetData>
  <autoFilter ref="A8:J18" xr:uid="{00000000-0009-0000-0000-00001A000000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23"/>
  <sheetViews>
    <sheetView workbookViewId="0"/>
  </sheetViews>
  <sheetFormatPr baseColWidth="10" defaultColWidth="8.88671875" defaultRowHeight="14.4" x14ac:dyDescent="0.3"/>
  <cols>
    <col min="1" max="1" width="10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7" ht="17.399999999999999" x14ac:dyDescent="0.35">
      <c r="A1" s="1" t="s">
        <v>1085</v>
      </c>
    </row>
    <row r="2" spans="1:7" x14ac:dyDescent="0.3">
      <c r="A2" t="s">
        <v>1086</v>
      </c>
    </row>
    <row r="3" spans="1:7" x14ac:dyDescent="0.3">
      <c r="A3" t="s">
        <v>1087</v>
      </c>
    </row>
    <row r="4" spans="1:7" x14ac:dyDescent="0.3">
      <c r="A4" s="15" t="s">
        <v>717</v>
      </c>
    </row>
    <row r="5" spans="1:7" x14ac:dyDescent="0.3">
      <c r="A5" s="15" t="s">
        <v>1088</v>
      </c>
    </row>
    <row r="6" spans="1:7" x14ac:dyDescent="0.3">
      <c r="A6" t="s">
        <v>788</v>
      </c>
    </row>
    <row r="8" spans="1:7" x14ac:dyDescent="0.3">
      <c r="A8" s="16" t="s">
        <v>360</v>
      </c>
      <c r="B8" s="16" t="s">
        <v>712</v>
      </c>
      <c r="C8" s="16" t="s">
        <v>789</v>
      </c>
      <c r="D8" s="16" t="s">
        <v>790</v>
      </c>
      <c r="E8" s="16" t="s">
        <v>791</v>
      </c>
      <c r="F8" s="16" t="s">
        <v>792</v>
      </c>
      <c r="G8" s="16" t="s">
        <v>266</v>
      </c>
    </row>
    <row r="9" spans="1:7" x14ac:dyDescent="0.3">
      <c r="A9" s="12" t="s">
        <v>136</v>
      </c>
      <c r="B9" s="12" t="s">
        <v>49</v>
      </c>
      <c r="C9" s="12" t="s">
        <v>796</v>
      </c>
      <c r="D9" s="12" t="s">
        <v>1089</v>
      </c>
      <c r="E9" s="12">
        <v>300</v>
      </c>
      <c r="F9" s="12"/>
      <c r="G9" s="12" t="s">
        <v>275</v>
      </c>
    </row>
    <row r="10" spans="1:7" x14ac:dyDescent="0.3">
      <c r="A10" s="12" t="s">
        <v>136</v>
      </c>
      <c r="B10" s="12" t="s">
        <v>51</v>
      </c>
      <c r="C10" s="12" t="s">
        <v>796</v>
      </c>
      <c r="D10" s="12" t="s">
        <v>1090</v>
      </c>
      <c r="E10" s="12">
        <v>300</v>
      </c>
      <c r="F10" s="12"/>
      <c r="G10" s="12" t="s">
        <v>275</v>
      </c>
    </row>
    <row r="11" spans="1:7" x14ac:dyDescent="0.3">
      <c r="A11" s="12" t="s">
        <v>136</v>
      </c>
      <c r="B11" s="12" t="s">
        <v>53</v>
      </c>
      <c r="C11" s="12" t="s">
        <v>796</v>
      </c>
      <c r="D11" s="12" t="s">
        <v>1091</v>
      </c>
      <c r="E11" s="12">
        <v>300</v>
      </c>
      <c r="F11" s="12"/>
      <c r="G11" s="12" t="s">
        <v>270</v>
      </c>
    </row>
    <row r="12" spans="1:7" x14ac:dyDescent="0.3">
      <c r="A12" s="12" t="s">
        <v>136</v>
      </c>
      <c r="B12" s="12" t="s">
        <v>54</v>
      </c>
      <c r="C12" s="12" t="s">
        <v>796</v>
      </c>
      <c r="D12" s="12" t="s">
        <v>1092</v>
      </c>
      <c r="E12" s="12">
        <v>300</v>
      </c>
      <c r="F12" s="12"/>
      <c r="G12" s="12" t="s">
        <v>270</v>
      </c>
    </row>
    <row r="13" spans="1:7" x14ac:dyDescent="0.3">
      <c r="A13" s="12" t="s">
        <v>136</v>
      </c>
      <c r="B13" s="12" t="s">
        <v>55</v>
      </c>
      <c r="C13" s="12" t="s">
        <v>796</v>
      </c>
      <c r="D13" s="12" t="s">
        <v>1093</v>
      </c>
      <c r="E13" s="12">
        <v>300</v>
      </c>
      <c r="F13" s="12"/>
      <c r="G13" s="12" t="s">
        <v>273</v>
      </c>
    </row>
    <row r="14" spans="1:7" x14ac:dyDescent="0.3">
      <c r="A14" s="12" t="s">
        <v>136</v>
      </c>
      <c r="B14" s="12" t="s">
        <v>57</v>
      </c>
      <c r="C14" s="12" t="s">
        <v>793</v>
      </c>
      <c r="D14" s="12" t="s">
        <v>800</v>
      </c>
      <c r="E14" s="12"/>
      <c r="F14" s="12" t="s">
        <v>749</v>
      </c>
      <c r="G14" s="12" t="s">
        <v>283</v>
      </c>
    </row>
    <row r="15" spans="1:7" x14ac:dyDescent="0.3">
      <c r="A15" s="12" t="s">
        <v>136</v>
      </c>
      <c r="B15" s="12" t="s">
        <v>59</v>
      </c>
      <c r="C15" s="12" t="s">
        <v>796</v>
      </c>
      <c r="D15" s="12" t="s">
        <v>1094</v>
      </c>
      <c r="E15" s="12">
        <v>300</v>
      </c>
      <c r="F15" s="12"/>
      <c r="G15" s="12" t="s">
        <v>273</v>
      </c>
    </row>
    <row r="16" spans="1:7" x14ac:dyDescent="0.3">
      <c r="A16" s="12" t="s">
        <v>136</v>
      </c>
      <c r="B16" s="12" t="s">
        <v>61</v>
      </c>
      <c r="C16" s="12" t="s">
        <v>796</v>
      </c>
      <c r="D16" s="12" t="s">
        <v>1095</v>
      </c>
      <c r="E16" s="12">
        <v>300</v>
      </c>
      <c r="F16" s="12"/>
      <c r="G16" s="12" t="s">
        <v>273</v>
      </c>
    </row>
    <row r="17" spans="1:7" x14ac:dyDescent="0.3">
      <c r="A17" s="12" t="s">
        <v>136</v>
      </c>
      <c r="B17" s="12" t="s">
        <v>63</v>
      </c>
      <c r="C17" s="12" t="s">
        <v>796</v>
      </c>
      <c r="D17" s="12" t="s">
        <v>1096</v>
      </c>
      <c r="E17" s="12">
        <v>300</v>
      </c>
      <c r="F17" s="12"/>
      <c r="G17" s="12" t="s">
        <v>273</v>
      </c>
    </row>
    <row r="18" spans="1:7" x14ac:dyDescent="0.3">
      <c r="A18" s="12" t="s">
        <v>136</v>
      </c>
      <c r="B18" s="12" t="s">
        <v>64</v>
      </c>
      <c r="C18" s="12" t="s">
        <v>796</v>
      </c>
      <c r="D18" s="12" t="s">
        <v>1097</v>
      </c>
      <c r="E18" s="12">
        <v>300</v>
      </c>
      <c r="F18" s="12"/>
      <c r="G18" s="12" t="s">
        <v>273</v>
      </c>
    </row>
    <row r="19" spans="1:7" x14ac:dyDescent="0.3">
      <c r="A19" s="12" t="s">
        <v>136</v>
      </c>
      <c r="B19" s="12" t="s">
        <v>65</v>
      </c>
      <c r="C19" s="12" t="s">
        <v>796</v>
      </c>
      <c r="D19" s="12" t="s">
        <v>1098</v>
      </c>
      <c r="E19" s="12">
        <v>300</v>
      </c>
      <c r="F19" s="12"/>
      <c r="G19" s="12" t="s">
        <v>273</v>
      </c>
    </row>
    <row r="20" spans="1:7" x14ac:dyDescent="0.3">
      <c r="A20" s="12" t="s">
        <v>136</v>
      </c>
      <c r="B20" s="12" t="s">
        <v>66</v>
      </c>
      <c r="C20" s="12" t="s">
        <v>796</v>
      </c>
      <c r="D20" s="12" t="s">
        <v>1090</v>
      </c>
      <c r="E20" s="12">
        <v>300</v>
      </c>
      <c r="F20" s="12"/>
      <c r="G20" s="12" t="s">
        <v>275</v>
      </c>
    </row>
    <row r="21" spans="1:7" x14ac:dyDescent="0.3">
      <c r="A21" s="12" t="s">
        <v>136</v>
      </c>
      <c r="B21" s="12" t="s">
        <v>803</v>
      </c>
      <c r="C21" s="12" t="s">
        <v>793</v>
      </c>
      <c r="D21" s="12" t="s">
        <v>804</v>
      </c>
      <c r="E21" s="12"/>
      <c r="F21" s="12"/>
      <c r="G21" s="12" t="s">
        <v>273</v>
      </c>
    </row>
    <row r="23" spans="1:7" x14ac:dyDescent="0.3">
      <c r="A23" s="17" t="s">
        <v>900</v>
      </c>
    </row>
  </sheetData>
  <autoFilter ref="A8:G21" xr:uid="{00000000-0009-0000-0000-00001B000000}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11"/>
  <sheetViews>
    <sheetView workbookViewId="0"/>
  </sheetViews>
  <sheetFormatPr baseColWidth="10" defaultColWidth="8.88671875" defaultRowHeight="14.4" x14ac:dyDescent="0.3"/>
  <cols>
    <col min="1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1099</v>
      </c>
    </row>
    <row r="2" spans="1:11" x14ac:dyDescent="0.3">
      <c r="A2" t="s">
        <v>1086</v>
      </c>
    </row>
    <row r="3" spans="1:11" x14ac:dyDescent="0.3">
      <c r="A3" t="s">
        <v>1087</v>
      </c>
    </row>
    <row r="4" spans="1:11" x14ac:dyDescent="0.3">
      <c r="A4" s="15" t="s">
        <v>717</v>
      </c>
    </row>
    <row r="5" spans="1:11" x14ac:dyDescent="0.3">
      <c r="A5" s="15" t="s">
        <v>1088</v>
      </c>
    </row>
    <row r="6" spans="1:11" x14ac:dyDescent="0.3">
      <c r="A6" t="s">
        <v>811</v>
      </c>
    </row>
    <row r="8" spans="1:11" x14ac:dyDescent="0.3">
      <c r="A8" s="16" t="s">
        <v>360</v>
      </c>
      <c r="B8" s="16" t="s">
        <v>30</v>
      </c>
      <c r="C8" s="16" t="s">
        <v>812</v>
      </c>
      <c r="D8" s="16" t="s">
        <v>813</v>
      </c>
      <c r="E8" s="16" t="s">
        <v>32</v>
      </c>
      <c r="F8" s="16" t="s">
        <v>33</v>
      </c>
      <c r="G8" s="16" t="s">
        <v>814</v>
      </c>
      <c r="H8" s="16" t="s">
        <v>815</v>
      </c>
      <c r="I8" s="16" t="s">
        <v>816</v>
      </c>
      <c r="J8" s="16" t="s">
        <v>295</v>
      </c>
      <c r="K8" s="16" t="s">
        <v>817</v>
      </c>
    </row>
    <row r="9" spans="1:11" x14ac:dyDescent="0.3">
      <c r="A9" s="12" t="s">
        <v>136</v>
      </c>
      <c r="B9" s="12">
        <v>300</v>
      </c>
      <c r="C9" s="12">
        <v>0</v>
      </c>
      <c r="D9" s="12">
        <v>266</v>
      </c>
      <c r="E9" s="12">
        <v>76</v>
      </c>
      <c r="F9" s="12">
        <v>57</v>
      </c>
      <c r="G9" s="12">
        <v>181</v>
      </c>
      <c r="H9" s="12">
        <v>9</v>
      </c>
      <c r="I9" s="12">
        <v>27</v>
      </c>
      <c r="J9" s="12">
        <v>7</v>
      </c>
      <c r="K9" s="12">
        <v>128</v>
      </c>
    </row>
    <row r="11" spans="1:11" x14ac:dyDescent="0.3">
      <c r="A11" s="17" t="s">
        <v>902</v>
      </c>
    </row>
  </sheetData>
  <autoFilter ref="A8:K9" xr:uid="{00000000-0009-0000-0000-00001C000000}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K62"/>
  <sheetViews>
    <sheetView workbookViewId="0"/>
  </sheetViews>
  <sheetFormatPr baseColWidth="10" defaultColWidth="8.88671875" defaultRowHeight="14.4" x14ac:dyDescent="0.3"/>
  <cols>
    <col min="1" max="2" width="12" customWidth="1"/>
    <col min="3" max="3" width="17" customWidth="1"/>
    <col min="4" max="4" width="21" customWidth="1"/>
    <col min="5" max="5" width="13" customWidth="1"/>
    <col min="6" max="6" width="10" customWidth="1"/>
    <col min="7" max="7" width="12" customWidth="1"/>
    <col min="8" max="9" width="13" customWidth="1"/>
    <col min="10" max="11" width="22" customWidth="1"/>
  </cols>
  <sheetData>
    <row r="1" spans="1:11" ht="17.399999999999999" x14ac:dyDescent="0.35">
      <c r="A1" s="1" t="s">
        <v>1100</v>
      </c>
    </row>
    <row r="2" spans="1:11" x14ac:dyDescent="0.3">
      <c r="A2" t="s">
        <v>1101</v>
      </c>
    </row>
    <row r="3" spans="1:11" x14ac:dyDescent="0.3">
      <c r="A3" t="s">
        <v>1087</v>
      </c>
    </row>
    <row r="4" spans="1:11" x14ac:dyDescent="0.3">
      <c r="A4" s="15" t="s">
        <v>717</v>
      </c>
    </row>
    <row r="5" spans="1:11" x14ac:dyDescent="0.3">
      <c r="A5" s="15" t="s">
        <v>1102</v>
      </c>
    </row>
    <row r="6" spans="1:11" x14ac:dyDescent="0.3">
      <c r="A6" t="s">
        <v>1103</v>
      </c>
    </row>
    <row r="8" spans="1:11" x14ac:dyDescent="0.3">
      <c r="A8" s="16" t="s">
        <v>1104</v>
      </c>
      <c r="B8" s="16" t="s">
        <v>712</v>
      </c>
      <c r="C8" s="16" t="s">
        <v>1105</v>
      </c>
      <c r="D8" s="16" t="s">
        <v>1106</v>
      </c>
      <c r="E8" s="16" t="s">
        <v>1107</v>
      </c>
      <c r="F8" s="16" t="s">
        <v>1108</v>
      </c>
      <c r="G8" s="16" t="s">
        <v>1109</v>
      </c>
      <c r="H8" s="16" t="s">
        <v>1110</v>
      </c>
      <c r="I8" s="16" t="s">
        <v>1111</v>
      </c>
      <c r="J8" s="16" t="s">
        <v>1112</v>
      </c>
      <c r="K8" s="16" t="s">
        <v>1113</v>
      </c>
    </row>
    <row r="9" spans="1:11" x14ac:dyDescent="0.3">
      <c r="A9" s="26" t="s">
        <v>32</v>
      </c>
      <c r="B9" s="12" t="s">
        <v>274</v>
      </c>
      <c r="C9" s="12">
        <v>121</v>
      </c>
      <c r="D9" s="12">
        <v>379</v>
      </c>
      <c r="E9" s="12">
        <v>0</v>
      </c>
      <c r="F9" s="12">
        <v>0.28733999999999998</v>
      </c>
      <c r="G9" s="12">
        <v>3.4592999999999997E-7</v>
      </c>
      <c r="H9" s="12">
        <v>0.20710999999999999</v>
      </c>
      <c r="I9" s="12">
        <v>0.38829000000000002</v>
      </c>
      <c r="J9" s="12">
        <v>383.66</v>
      </c>
      <c r="K9" s="12">
        <v>486.22</v>
      </c>
    </row>
    <row r="10" spans="1:11" x14ac:dyDescent="0.3">
      <c r="A10" s="26" t="s">
        <v>32</v>
      </c>
      <c r="B10" s="12" t="s">
        <v>276</v>
      </c>
      <c r="C10" s="12">
        <v>121</v>
      </c>
      <c r="D10" s="12">
        <v>379</v>
      </c>
      <c r="E10" s="12">
        <v>0</v>
      </c>
      <c r="F10" s="12">
        <v>0.19950000000000001</v>
      </c>
      <c r="G10" s="12">
        <v>1.1084000000000001E-3</v>
      </c>
      <c r="H10" s="12">
        <v>0.13619000000000001</v>
      </c>
      <c r="I10" s="12">
        <v>0.31239</v>
      </c>
      <c r="J10" s="12">
        <v>278.97000000000003</v>
      </c>
      <c r="K10" s="12">
        <v>301.68</v>
      </c>
    </row>
    <row r="11" spans="1:11" x14ac:dyDescent="0.3">
      <c r="A11" s="26" t="s">
        <v>32</v>
      </c>
      <c r="B11" s="12" t="s">
        <v>269</v>
      </c>
      <c r="C11" s="12">
        <v>121</v>
      </c>
      <c r="D11" s="12">
        <v>379</v>
      </c>
      <c r="E11" s="12">
        <v>0</v>
      </c>
      <c r="F11" s="12">
        <v>0.13027</v>
      </c>
      <c r="G11" s="12">
        <v>7.9939999999999997E-2</v>
      </c>
      <c r="H11" s="12">
        <v>8.0302999999999999E-2</v>
      </c>
      <c r="I11" s="12">
        <v>0.23072999999999999</v>
      </c>
      <c r="J11" s="12">
        <v>2155.6999999999998</v>
      </c>
      <c r="K11" s="12">
        <v>4841.8</v>
      </c>
    </row>
    <row r="12" spans="1:11" x14ac:dyDescent="0.3">
      <c r="A12" s="26" t="s">
        <v>32</v>
      </c>
      <c r="B12" s="12" t="s">
        <v>271</v>
      </c>
      <c r="C12" s="12">
        <v>121</v>
      </c>
      <c r="D12" s="12">
        <v>379</v>
      </c>
      <c r="E12" s="12">
        <v>0</v>
      </c>
      <c r="F12" s="12">
        <v>0.42679</v>
      </c>
      <c r="G12" s="12">
        <v>1.4334E-15</v>
      </c>
      <c r="H12" s="12">
        <v>0.36485000000000001</v>
      </c>
      <c r="I12" s="12">
        <v>0.51914000000000005</v>
      </c>
      <c r="J12" s="12">
        <v>683.17</v>
      </c>
      <c r="K12" s="12">
        <v>1460.7</v>
      </c>
    </row>
    <row r="13" spans="1:11" x14ac:dyDescent="0.3">
      <c r="A13" s="26" t="s">
        <v>32</v>
      </c>
      <c r="B13" s="12" t="s">
        <v>272</v>
      </c>
      <c r="C13" s="12">
        <v>121</v>
      </c>
      <c r="D13" s="12">
        <v>379</v>
      </c>
      <c r="E13" s="12">
        <v>0</v>
      </c>
      <c r="F13" s="12">
        <v>0.19284999999999999</v>
      </c>
      <c r="G13" s="12">
        <v>1.8105E-3</v>
      </c>
      <c r="H13" s="12">
        <v>0.14166999999999999</v>
      </c>
      <c r="I13" s="12">
        <v>0.30084</v>
      </c>
      <c r="J13" s="12">
        <v>0.51415</v>
      </c>
      <c r="K13" s="12">
        <v>0.81747000000000003</v>
      </c>
    </row>
    <row r="14" spans="1:11" x14ac:dyDescent="0.3">
      <c r="A14" s="26" t="s">
        <v>32</v>
      </c>
      <c r="B14" s="12" t="s">
        <v>277</v>
      </c>
      <c r="C14" s="12">
        <v>121</v>
      </c>
      <c r="D14" s="12">
        <v>379</v>
      </c>
      <c r="E14" s="12">
        <v>0</v>
      </c>
      <c r="F14" s="12">
        <v>8.5305000000000006E-2</v>
      </c>
      <c r="G14" s="12">
        <v>0.48501</v>
      </c>
      <c r="H14" s="12">
        <v>6.0051E-2</v>
      </c>
      <c r="I14" s="12">
        <v>0.19739000000000001</v>
      </c>
      <c r="J14" s="12">
        <v>0.75838000000000005</v>
      </c>
      <c r="K14" s="12">
        <v>0.90995999999999999</v>
      </c>
    </row>
    <row r="15" spans="1:11" x14ac:dyDescent="0.3">
      <c r="A15" s="26" t="s">
        <v>32</v>
      </c>
      <c r="B15" s="12" t="s">
        <v>278</v>
      </c>
      <c r="C15" s="12">
        <v>121</v>
      </c>
      <c r="D15" s="12">
        <v>379</v>
      </c>
      <c r="E15" s="12">
        <v>0</v>
      </c>
      <c r="F15" s="12">
        <v>9.5269999999999994E-2</v>
      </c>
      <c r="G15" s="12">
        <v>0.34897</v>
      </c>
      <c r="H15" s="12">
        <v>6.9166000000000005E-2</v>
      </c>
      <c r="I15" s="12">
        <v>0.20579</v>
      </c>
      <c r="J15" s="12">
        <v>0.66310000000000002</v>
      </c>
      <c r="K15" s="12">
        <v>0.88690000000000002</v>
      </c>
    </row>
    <row r="16" spans="1:11" x14ac:dyDescent="0.3">
      <c r="A16" s="26" t="s">
        <v>32</v>
      </c>
      <c r="B16" s="12" t="s">
        <v>279</v>
      </c>
      <c r="C16" s="12">
        <v>121</v>
      </c>
      <c r="D16" s="12">
        <v>379</v>
      </c>
      <c r="E16" s="12">
        <v>0</v>
      </c>
      <c r="F16" s="12">
        <v>7.3857000000000006E-2</v>
      </c>
      <c r="G16" s="12">
        <v>0.66517000000000004</v>
      </c>
      <c r="H16" s="12">
        <v>6.1317999999999998E-2</v>
      </c>
      <c r="I16" s="12">
        <v>0.18468999999999999</v>
      </c>
      <c r="J16" s="12">
        <v>0.61722999999999995</v>
      </c>
      <c r="K16" s="12">
        <v>0.92993000000000003</v>
      </c>
    </row>
    <row r="17" spans="1:11" x14ac:dyDescent="0.3">
      <c r="A17" s="26" t="s">
        <v>32</v>
      </c>
      <c r="B17" s="12" t="s">
        <v>280</v>
      </c>
      <c r="C17" s="12">
        <v>121</v>
      </c>
      <c r="D17" s="12">
        <v>379</v>
      </c>
      <c r="E17" s="12">
        <v>0</v>
      </c>
      <c r="F17" s="12">
        <v>0.12159</v>
      </c>
      <c r="G17" s="12">
        <v>0.12037</v>
      </c>
      <c r="H17" s="12">
        <v>7.3591000000000004E-2</v>
      </c>
      <c r="I17" s="12">
        <v>0.22467000000000001</v>
      </c>
      <c r="J17" s="12">
        <v>0.62404000000000004</v>
      </c>
      <c r="K17" s="12">
        <v>0.93310000000000004</v>
      </c>
    </row>
    <row r="18" spans="1:11" x14ac:dyDescent="0.3">
      <c r="A18" s="26" t="s">
        <v>32</v>
      </c>
      <c r="B18" s="12" t="s">
        <v>281</v>
      </c>
      <c r="C18" s="12">
        <v>121</v>
      </c>
      <c r="D18" s="12">
        <v>379</v>
      </c>
      <c r="E18" s="12">
        <v>0</v>
      </c>
      <c r="F18" s="12">
        <v>0.42627999999999999</v>
      </c>
      <c r="G18" s="12">
        <v>1.5659000000000001E-15</v>
      </c>
      <c r="H18" s="12">
        <v>0.35276000000000002</v>
      </c>
      <c r="I18" s="12">
        <v>0.52407000000000004</v>
      </c>
      <c r="J18" s="12">
        <v>0.73973</v>
      </c>
      <c r="K18" s="12">
        <v>0.94577999999999995</v>
      </c>
    </row>
    <row r="19" spans="1:11" x14ac:dyDescent="0.3">
      <c r="A19" s="26" t="s">
        <v>32</v>
      </c>
      <c r="B19" s="12" t="s">
        <v>1114</v>
      </c>
      <c r="C19" s="12">
        <v>121</v>
      </c>
      <c r="D19" s="12">
        <v>379</v>
      </c>
      <c r="E19" s="12">
        <v>0</v>
      </c>
      <c r="F19" s="12">
        <v>0.13833999999999999</v>
      </c>
      <c r="G19" s="12">
        <v>5.3275000000000003E-2</v>
      </c>
      <c r="H19" s="12">
        <v>0.10678</v>
      </c>
      <c r="I19" s="12">
        <v>0.24243999999999999</v>
      </c>
      <c r="J19" s="12">
        <v>968.03</v>
      </c>
      <c r="K19" s="12">
        <v>3717.6</v>
      </c>
    </row>
    <row r="20" spans="1:11" x14ac:dyDescent="0.3">
      <c r="A20" s="26" t="s">
        <v>32</v>
      </c>
      <c r="B20" s="12" t="s">
        <v>1115</v>
      </c>
      <c r="C20" s="12">
        <v>121</v>
      </c>
      <c r="D20" s="12">
        <v>379</v>
      </c>
      <c r="E20" s="12">
        <v>0</v>
      </c>
      <c r="F20" s="12">
        <v>0.35291</v>
      </c>
      <c r="G20" s="12">
        <v>1.1057E-10</v>
      </c>
      <c r="H20" s="12">
        <v>0.29913000000000001</v>
      </c>
      <c r="I20" s="12">
        <v>0.44614999999999999</v>
      </c>
      <c r="J20" s="12">
        <v>1.6860999999999999</v>
      </c>
      <c r="K20" s="12">
        <v>5.3394000000000004</v>
      </c>
    </row>
    <row r="21" spans="1:11" x14ac:dyDescent="0.3">
      <c r="A21" s="26" t="s">
        <v>32</v>
      </c>
      <c r="B21" s="12" t="s">
        <v>1116</v>
      </c>
      <c r="C21" s="12">
        <v>121</v>
      </c>
      <c r="D21" s="12">
        <v>379</v>
      </c>
      <c r="E21" s="12">
        <v>0</v>
      </c>
      <c r="F21" s="12">
        <v>0.24845999999999999</v>
      </c>
      <c r="G21" s="12">
        <v>1.7909000000000001E-5</v>
      </c>
      <c r="H21" s="12">
        <v>0.17318</v>
      </c>
      <c r="I21" s="12">
        <v>0.34293000000000001</v>
      </c>
      <c r="J21" s="12">
        <v>91.385000000000005</v>
      </c>
      <c r="K21" s="12">
        <v>199.35</v>
      </c>
    </row>
    <row r="22" spans="1:11" x14ac:dyDescent="0.3">
      <c r="A22" s="12" t="s">
        <v>1117</v>
      </c>
      <c r="B22" s="12" t="s">
        <v>274</v>
      </c>
      <c r="C22" s="12">
        <v>452</v>
      </c>
      <c r="D22" s="12">
        <v>48</v>
      </c>
      <c r="E22" s="12">
        <v>0</v>
      </c>
      <c r="F22" s="12">
        <v>0.27340999999999999</v>
      </c>
      <c r="G22" s="12">
        <v>2.336E-3</v>
      </c>
      <c r="H22" s="12">
        <v>0.21607999999999999</v>
      </c>
      <c r="I22" s="12">
        <v>0.41911999999999999</v>
      </c>
      <c r="J22" s="12">
        <v>387.26</v>
      </c>
      <c r="K22" s="12">
        <v>493.3</v>
      </c>
    </row>
    <row r="23" spans="1:11" x14ac:dyDescent="0.3">
      <c r="A23" s="12" t="s">
        <v>1117</v>
      </c>
      <c r="B23" s="12" t="s">
        <v>276</v>
      </c>
      <c r="C23" s="12">
        <v>452</v>
      </c>
      <c r="D23" s="12">
        <v>48</v>
      </c>
      <c r="E23" s="12">
        <v>0</v>
      </c>
      <c r="F23" s="12">
        <v>0.11136</v>
      </c>
      <c r="G23" s="12">
        <v>0.61224999999999996</v>
      </c>
      <c r="H23" s="12">
        <v>8.7924000000000002E-2</v>
      </c>
      <c r="I23" s="12">
        <v>0.27455000000000002</v>
      </c>
      <c r="J23" s="12">
        <v>279.49</v>
      </c>
      <c r="K23" s="12">
        <v>302.27999999999997</v>
      </c>
    </row>
    <row r="24" spans="1:11" x14ac:dyDescent="0.3">
      <c r="A24" s="12" t="s">
        <v>1117</v>
      </c>
      <c r="B24" s="12" t="s">
        <v>269</v>
      </c>
      <c r="C24" s="12">
        <v>452</v>
      </c>
      <c r="D24" s="12">
        <v>48</v>
      </c>
      <c r="E24" s="12">
        <v>0</v>
      </c>
      <c r="F24" s="12">
        <v>0.37445000000000001</v>
      </c>
      <c r="G24" s="12">
        <v>5.8178999999999998E-6</v>
      </c>
      <c r="H24" s="12">
        <v>0.24268999999999999</v>
      </c>
      <c r="I24" s="12">
        <v>0.51936000000000004</v>
      </c>
      <c r="J24" s="12">
        <v>2145.1</v>
      </c>
      <c r="K24" s="12">
        <v>4829.6000000000004</v>
      </c>
    </row>
    <row r="25" spans="1:11" x14ac:dyDescent="0.3">
      <c r="A25" s="12" t="s">
        <v>1117</v>
      </c>
      <c r="B25" s="12" t="s">
        <v>271</v>
      </c>
      <c r="C25" s="12">
        <v>452</v>
      </c>
      <c r="D25" s="12">
        <v>48</v>
      </c>
      <c r="E25" s="12">
        <v>0</v>
      </c>
      <c r="F25" s="12">
        <v>0.12887000000000001</v>
      </c>
      <c r="G25" s="12">
        <v>0.42854999999999999</v>
      </c>
      <c r="H25" s="12">
        <v>9.9926000000000001E-2</v>
      </c>
      <c r="I25" s="12">
        <v>0.28044000000000002</v>
      </c>
      <c r="J25" s="12">
        <v>361.88</v>
      </c>
      <c r="K25" s="12">
        <v>1444.8</v>
      </c>
    </row>
    <row r="26" spans="1:11" x14ac:dyDescent="0.3">
      <c r="A26" s="12" t="s">
        <v>1117</v>
      </c>
      <c r="B26" s="12" t="s">
        <v>272</v>
      </c>
      <c r="C26" s="12">
        <v>452</v>
      </c>
      <c r="D26" s="12">
        <v>48</v>
      </c>
      <c r="E26" s="12">
        <v>0</v>
      </c>
      <c r="F26" s="12">
        <v>0.17238000000000001</v>
      </c>
      <c r="G26" s="12">
        <v>0.13378000000000001</v>
      </c>
      <c r="H26" s="12">
        <v>0.13439999999999999</v>
      </c>
      <c r="I26" s="12">
        <v>0.33742</v>
      </c>
      <c r="J26" s="12">
        <v>0.51978999999999997</v>
      </c>
      <c r="K26" s="12">
        <v>0.82896999999999998</v>
      </c>
    </row>
    <row r="27" spans="1:11" x14ac:dyDescent="0.3">
      <c r="A27" s="12" t="s">
        <v>1117</v>
      </c>
      <c r="B27" s="12" t="s">
        <v>277</v>
      </c>
      <c r="C27" s="12">
        <v>452</v>
      </c>
      <c r="D27" s="12">
        <v>48</v>
      </c>
      <c r="E27" s="12">
        <v>0</v>
      </c>
      <c r="F27" s="12">
        <v>0.17846999999999999</v>
      </c>
      <c r="G27" s="12">
        <v>0.11054</v>
      </c>
      <c r="H27" s="12">
        <v>0.11282</v>
      </c>
      <c r="I27" s="12">
        <v>0.35271999999999998</v>
      </c>
      <c r="J27" s="12">
        <v>0.75875000000000004</v>
      </c>
      <c r="K27" s="12">
        <v>0.91049000000000002</v>
      </c>
    </row>
    <row r="28" spans="1:11" x14ac:dyDescent="0.3">
      <c r="A28" s="12" t="s">
        <v>1117</v>
      </c>
      <c r="B28" s="12" t="s">
        <v>278</v>
      </c>
      <c r="C28" s="12">
        <v>452</v>
      </c>
      <c r="D28" s="12">
        <v>48</v>
      </c>
      <c r="E28" s="12">
        <v>0</v>
      </c>
      <c r="F28" s="12">
        <v>0.1226</v>
      </c>
      <c r="G28" s="12">
        <v>0.49106</v>
      </c>
      <c r="H28" s="12">
        <v>9.6408999999999995E-2</v>
      </c>
      <c r="I28" s="12">
        <v>0.30076999999999998</v>
      </c>
      <c r="J28" s="12">
        <v>0.66273000000000004</v>
      </c>
      <c r="K28" s="12">
        <v>0.88727999999999996</v>
      </c>
    </row>
    <row r="29" spans="1:11" x14ac:dyDescent="0.3">
      <c r="A29" s="12" t="s">
        <v>1117</v>
      </c>
      <c r="B29" s="12" t="s">
        <v>279</v>
      </c>
      <c r="C29" s="12">
        <v>452</v>
      </c>
      <c r="D29" s="12">
        <v>48</v>
      </c>
      <c r="E29" s="12">
        <v>0</v>
      </c>
      <c r="F29" s="12">
        <v>0.15523999999999999</v>
      </c>
      <c r="G29" s="12">
        <v>0.22092000000000001</v>
      </c>
      <c r="H29" s="12">
        <v>9.4197000000000003E-2</v>
      </c>
      <c r="I29" s="12">
        <v>0.30554999999999999</v>
      </c>
      <c r="J29" s="12">
        <v>0.61846000000000001</v>
      </c>
      <c r="K29" s="12">
        <v>0.93137999999999999</v>
      </c>
    </row>
    <row r="30" spans="1:11" x14ac:dyDescent="0.3">
      <c r="A30" s="12" t="s">
        <v>1117</v>
      </c>
      <c r="B30" s="12" t="s">
        <v>280</v>
      </c>
      <c r="C30" s="12">
        <v>452</v>
      </c>
      <c r="D30" s="12">
        <v>48</v>
      </c>
      <c r="E30" s="12">
        <v>0</v>
      </c>
      <c r="F30" s="12">
        <v>0.15559999999999999</v>
      </c>
      <c r="G30" s="12">
        <v>0.21869</v>
      </c>
      <c r="H30" s="12">
        <v>0.11829000000000001</v>
      </c>
      <c r="I30" s="12">
        <v>0.26806999999999997</v>
      </c>
      <c r="J30" s="12">
        <v>0.61677000000000004</v>
      </c>
      <c r="K30" s="12">
        <v>0.93072999999999995</v>
      </c>
    </row>
    <row r="31" spans="1:11" x14ac:dyDescent="0.3">
      <c r="A31" s="12" t="s">
        <v>1117</v>
      </c>
      <c r="B31" s="12" t="s">
        <v>281</v>
      </c>
      <c r="C31" s="12">
        <v>452</v>
      </c>
      <c r="D31" s="12">
        <v>48</v>
      </c>
      <c r="E31" s="12">
        <v>0</v>
      </c>
      <c r="F31" s="12">
        <v>0.12887000000000001</v>
      </c>
      <c r="G31" s="12">
        <v>0.42854999999999999</v>
      </c>
      <c r="H31" s="12">
        <v>9.7340999999999997E-2</v>
      </c>
      <c r="I31" s="12">
        <v>0.26308999999999999</v>
      </c>
      <c r="J31" s="12">
        <v>0.71218000000000004</v>
      </c>
      <c r="K31" s="12">
        <v>0.93796999999999997</v>
      </c>
    </row>
    <row r="32" spans="1:11" x14ac:dyDescent="0.3">
      <c r="A32" s="12" t="s">
        <v>1117</v>
      </c>
      <c r="B32" s="12" t="s">
        <v>1114</v>
      </c>
      <c r="C32" s="12">
        <v>452</v>
      </c>
      <c r="D32" s="12">
        <v>48</v>
      </c>
      <c r="E32" s="12">
        <v>0</v>
      </c>
      <c r="F32" s="12">
        <v>0.375</v>
      </c>
      <c r="G32" s="12">
        <v>5.5965999999999999E-6</v>
      </c>
      <c r="H32" s="12">
        <v>0.23909</v>
      </c>
      <c r="I32" s="12">
        <v>0.52639999999999998</v>
      </c>
      <c r="J32" s="12">
        <v>1042.5999999999999</v>
      </c>
      <c r="K32" s="12">
        <v>4048.4</v>
      </c>
    </row>
    <row r="33" spans="1:11" x14ac:dyDescent="0.3">
      <c r="A33" s="12" t="s">
        <v>1117</v>
      </c>
      <c r="B33" s="12" t="s">
        <v>1115</v>
      </c>
      <c r="C33" s="12">
        <v>452</v>
      </c>
      <c r="D33" s="12">
        <v>48</v>
      </c>
      <c r="E33" s="12">
        <v>0</v>
      </c>
      <c r="F33" s="12">
        <v>0.22622</v>
      </c>
      <c r="G33" s="12">
        <v>1.9560000000000001E-2</v>
      </c>
      <c r="H33" s="12">
        <v>0.13420000000000001</v>
      </c>
      <c r="I33" s="12">
        <v>0.38532</v>
      </c>
      <c r="J33" s="12">
        <v>1.8352999999999999</v>
      </c>
      <c r="K33" s="12">
        <v>9.4451000000000001</v>
      </c>
    </row>
    <row r="34" spans="1:11" x14ac:dyDescent="0.3">
      <c r="A34" s="12" t="s">
        <v>1117</v>
      </c>
      <c r="B34" s="12" t="s">
        <v>1116</v>
      </c>
      <c r="C34" s="12">
        <v>452</v>
      </c>
      <c r="D34" s="12">
        <v>48</v>
      </c>
      <c r="E34" s="12">
        <v>0</v>
      </c>
      <c r="F34" s="12">
        <v>0.25202999999999998</v>
      </c>
      <c r="G34" s="12">
        <v>6.4422000000000004E-3</v>
      </c>
      <c r="H34" s="12">
        <v>0.19688</v>
      </c>
      <c r="I34" s="12">
        <v>0.40139999999999998</v>
      </c>
      <c r="J34" s="12">
        <v>95.087999999999994</v>
      </c>
      <c r="K34" s="12">
        <v>203.92</v>
      </c>
    </row>
    <row r="35" spans="1:11" x14ac:dyDescent="0.3">
      <c r="A35" s="12" t="s">
        <v>1118</v>
      </c>
      <c r="B35" s="12" t="s">
        <v>274</v>
      </c>
      <c r="C35" s="12">
        <v>128</v>
      </c>
      <c r="D35" s="12">
        <v>324</v>
      </c>
      <c r="E35" s="12">
        <v>48</v>
      </c>
      <c r="F35" s="12">
        <v>0.30392000000000002</v>
      </c>
      <c r="G35" s="12">
        <v>5.3255000000000003E-8</v>
      </c>
      <c r="H35" s="12">
        <v>0.22839000000000001</v>
      </c>
      <c r="I35" s="12">
        <v>0.39876</v>
      </c>
      <c r="J35" s="12">
        <v>383.92</v>
      </c>
      <c r="K35" s="12">
        <v>488.45</v>
      </c>
    </row>
    <row r="36" spans="1:11" x14ac:dyDescent="0.3">
      <c r="A36" s="12" t="s">
        <v>1118</v>
      </c>
      <c r="B36" s="12" t="s">
        <v>276</v>
      </c>
      <c r="C36" s="12">
        <v>128</v>
      </c>
      <c r="D36" s="12">
        <v>324</v>
      </c>
      <c r="E36" s="12">
        <v>48</v>
      </c>
      <c r="F36" s="12">
        <v>0.18547</v>
      </c>
      <c r="G36" s="12">
        <v>3.0509999999999999E-3</v>
      </c>
      <c r="H36" s="12">
        <v>0.13222999999999999</v>
      </c>
      <c r="I36" s="12">
        <v>0.28926000000000002</v>
      </c>
      <c r="J36" s="12">
        <v>279.01</v>
      </c>
      <c r="K36" s="12">
        <v>301.58999999999997</v>
      </c>
    </row>
    <row r="37" spans="1:11" x14ac:dyDescent="0.3">
      <c r="A37" s="12" t="s">
        <v>1118</v>
      </c>
      <c r="B37" s="12" t="s">
        <v>269</v>
      </c>
      <c r="C37" s="12">
        <v>128</v>
      </c>
      <c r="D37" s="12">
        <v>324</v>
      </c>
      <c r="E37" s="12">
        <v>48</v>
      </c>
      <c r="F37" s="12">
        <v>0.16319</v>
      </c>
      <c r="G37" s="12">
        <v>1.3082E-2</v>
      </c>
      <c r="H37" s="12">
        <v>8.8730000000000003E-2</v>
      </c>
      <c r="I37" s="12">
        <v>0.26096000000000003</v>
      </c>
      <c r="J37" s="12">
        <v>2177.9</v>
      </c>
      <c r="K37" s="12">
        <v>4873.6000000000004</v>
      </c>
    </row>
    <row r="38" spans="1:11" x14ac:dyDescent="0.3">
      <c r="A38" s="12" t="s">
        <v>1118</v>
      </c>
      <c r="B38" s="12" t="s">
        <v>271</v>
      </c>
      <c r="C38" s="12">
        <v>128</v>
      </c>
      <c r="D38" s="12">
        <v>324</v>
      </c>
      <c r="E38" s="12">
        <v>48</v>
      </c>
      <c r="F38" s="12">
        <v>0.42649999999999999</v>
      </c>
      <c r="G38" s="12">
        <v>1.5244000000000001E-15</v>
      </c>
      <c r="H38" s="12">
        <v>0.36937999999999999</v>
      </c>
      <c r="I38" s="12">
        <v>0.52005999999999997</v>
      </c>
      <c r="J38" s="12">
        <v>681.8</v>
      </c>
      <c r="K38" s="12">
        <v>1460.2</v>
      </c>
    </row>
    <row r="39" spans="1:11" x14ac:dyDescent="0.3">
      <c r="A39" s="12" t="s">
        <v>1118</v>
      </c>
      <c r="B39" s="12" t="s">
        <v>272</v>
      </c>
      <c r="C39" s="12">
        <v>128</v>
      </c>
      <c r="D39" s="12">
        <v>324</v>
      </c>
      <c r="E39" s="12">
        <v>48</v>
      </c>
      <c r="F39" s="12">
        <v>0.22772000000000001</v>
      </c>
      <c r="G39" s="12">
        <v>1.1485E-4</v>
      </c>
      <c r="H39" s="12">
        <v>0.16850000000000001</v>
      </c>
      <c r="I39" s="12">
        <v>0.33285999999999999</v>
      </c>
      <c r="J39" s="12">
        <v>0.51292000000000004</v>
      </c>
      <c r="K39" s="12">
        <v>0.81432000000000004</v>
      </c>
    </row>
    <row r="40" spans="1:11" x14ac:dyDescent="0.3">
      <c r="A40" s="12" t="s">
        <v>1118</v>
      </c>
      <c r="B40" s="12" t="s">
        <v>277</v>
      </c>
      <c r="C40" s="12">
        <v>128</v>
      </c>
      <c r="D40" s="12">
        <v>324</v>
      </c>
      <c r="E40" s="12">
        <v>48</v>
      </c>
      <c r="F40" s="12">
        <v>6.5007999999999996E-2</v>
      </c>
      <c r="G40" s="12">
        <v>0.80320999999999998</v>
      </c>
      <c r="H40" s="12">
        <v>5.9795000000000001E-2</v>
      </c>
      <c r="I40" s="12">
        <v>0.18185000000000001</v>
      </c>
      <c r="J40" s="12">
        <v>0.75897000000000003</v>
      </c>
      <c r="K40" s="12">
        <v>0.91012999999999999</v>
      </c>
    </row>
    <row r="41" spans="1:11" x14ac:dyDescent="0.3">
      <c r="A41" s="12" t="s">
        <v>1118</v>
      </c>
      <c r="B41" s="12" t="s">
        <v>278</v>
      </c>
      <c r="C41" s="12">
        <v>128</v>
      </c>
      <c r="D41" s="12">
        <v>324</v>
      </c>
      <c r="E41" s="12">
        <v>48</v>
      </c>
      <c r="F41" s="12">
        <v>0.10108</v>
      </c>
      <c r="G41" s="12">
        <v>0.28227999999999998</v>
      </c>
      <c r="H41" s="12">
        <v>7.1266999999999997E-2</v>
      </c>
      <c r="I41" s="12">
        <v>0.21915000000000001</v>
      </c>
      <c r="J41" s="12">
        <v>0.66332999999999998</v>
      </c>
      <c r="K41" s="12">
        <v>0.88734000000000002</v>
      </c>
    </row>
    <row r="42" spans="1:11" x14ac:dyDescent="0.3">
      <c r="A42" s="12" t="s">
        <v>1118</v>
      </c>
      <c r="B42" s="12" t="s">
        <v>279</v>
      </c>
      <c r="C42" s="12">
        <v>128</v>
      </c>
      <c r="D42" s="12">
        <v>324</v>
      </c>
      <c r="E42" s="12">
        <v>48</v>
      </c>
      <c r="F42" s="12">
        <v>9.0856000000000006E-2</v>
      </c>
      <c r="G42" s="12">
        <v>0.40577999999999997</v>
      </c>
      <c r="H42" s="12">
        <v>6.3367999999999994E-2</v>
      </c>
      <c r="I42" s="12">
        <v>0.20574000000000001</v>
      </c>
      <c r="J42" s="12">
        <v>0.61738999999999999</v>
      </c>
      <c r="K42" s="12">
        <v>0.92862999999999996</v>
      </c>
    </row>
    <row r="43" spans="1:11" x14ac:dyDescent="0.3">
      <c r="A43" s="12" t="s">
        <v>1118</v>
      </c>
      <c r="B43" s="12" t="s">
        <v>280</v>
      </c>
      <c r="C43" s="12">
        <v>128</v>
      </c>
      <c r="D43" s="12">
        <v>324</v>
      </c>
      <c r="E43" s="12">
        <v>48</v>
      </c>
      <c r="F43" s="12">
        <v>0.10648000000000001</v>
      </c>
      <c r="G43" s="12">
        <v>0.22905</v>
      </c>
      <c r="H43" s="12">
        <v>7.6096999999999998E-2</v>
      </c>
      <c r="I43" s="12">
        <v>0.20913999999999999</v>
      </c>
      <c r="J43" s="12">
        <v>0.62307000000000001</v>
      </c>
      <c r="K43" s="12">
        <v>0.93232000000000004</v>
      </c>
    </row>
    <row r="44" spans="1:11" x14ac:dyDescent="0.3">
      <c r="A44" s="12" t="s">
        <v>1118</v>
      </c>
      <c r="B44" s="12" t="s">
        <v>281</v>
      </c>
      <c r="C44" s="12">
        <v>128</v>
      </c>
      <c r="D44" s="12">
        <v>324</v>
      </c>
      <c r="E44" s="12">
        <v>48</v>
      </c>
      <c r="F44" s="12">
        <v>0.44338</v>
      </c>
      <c r="G44" s="12">
        <v>8.3389000000000005E-17</v>
      </c>
      <c r="H44" s="12">
        <v>0.36457000000000001</v>
      </c>
      <c r="I44" s="12">
        <v>0.54110999999999998</v>
      </c>
      <c r="J44" s="12">
        <v>0.74033000000000004</v>
      </c>
      <c r="K44" s="12">
        <v>0.94591000000000003</v>
      </c>
    </row>
    <row r="45" spans="1:11" x14ac:dyDescent="0.3">
      <c r="A45" s="12" t="s">
        <v>1118</v>
      </c>
      <c r="B45" s="12" t="s">
        <v>1114</v>
      </c>
      <c r="C45" s="12">
        <v>128</v>
      </c>
      <c r="D45" s="12">
        <v>324</v>
      </c>
      <c r="E45" s="12">
        <v>48</v>
      </c>
      <c r="F45" s="12">
        <v>7.9861000000000001E-2</v>
      </c>
      <c r="G45" s="12">
        <v>0.56843999999999995</v>
      </c>
      <c r="H45" s="12">
        <v>7.4843000000000007E-2</v>
      </c>
      <c r="I45" s="12">
        <v>0.18740000000000001</v>
      </c>
      <c r="J45" s="12">
        <v>969.39</v>
      </c>
      <c r="K45" s="12">
        <v>3754.2</v>
      </c>
    </row>
    <row r="46" spans="1:11" x14ac:dyDescent="0.3">
      <c r="A46" s="12" t="s">
        <v>1118</v>
      </c>
      <c r="B46" s="12" t="s">
        <v>1115</v>
      </c>
      <c r="C46" s="12">
        <v>128</v>
      </c>
      <c r="D46" s="12">
        <v>324</v>
      </c>
      <c r="E46" s="12">
        <v>48</v>
      </c>
      <c r="F46" s="12">
        <v>0.33246999999999999</v>
      </c>
      <c r="G46" s="12">
        <v>1.6418000000000001E-9</v>
      </c>
      <c r="H46" s="12">
        <v>0.27234999999999998</v>
      </c>
      <c r="I46" s="12">
        <v>0.43345</v>
      </c>
      <c r="J46" s="12">
        <v>1.6923999999999999</v>
      </c>
      <c r="K46" s="12">
        <v>6.1040000000000001</v>
      </c>
    </row>
    <row r="47" spans="1:11" x14ac:dyDescent="0.3">
      <c r="A47" s="12" t="s">
        <v>1118</v>
      </c>
      <c r="B47" s="12" t="s">
        <v>1116</v>
      </c>
      <c r="C47" s="12">
        <v>128</v>
      </c>
      <c r="D47" s="12">
        <v>324</v>
      </c>
      <c r="E47" s="12">
        <v>48</v>
      </c>
      <c r="F47" s="12">
        <v>0.26871</v>
      </c>
      <c r="G47" s="12">
        <v>2.4586000000000001E-6</v>
      </c>
      <c r="H47" s="12">
        <v>0.19345999999999999</v>
      </c>
      <c r="I47" s="12">
        <v>0.36519000000000001</v>
      </c>
      <c r="J47" s="12">
        <v>91.67</v>
      </c>
      <c r="K47" s="12">
        <v>199.33</v>
      </c>
    </row>
    <row r="48" spans="1:11" x14ac:dyDescent="0.3">
      <c r="A48" s="12" t="s">
        <v>1119</v>
      </c>
      <c r="B48" s="12" t="s">
        <v>274</v>
      </c>
      <c r="C48" s="12">
        <v>431</v>
      </c>
      <c r="D48" s="12">
        <v>21</v>
      </c>
      <c r="E48" s="12">
        <v>48</v>
      </c>
      <c r="F48" s="12">
        <v>0.46625</v>
      </c>
      <c r="G48" s="12">
        <v>1.6561000000000001E-4</v>
      </c>
      <c r="H48" s="12">
        <v>0.32802999999999999</v>
      </c>
      <c r="I48" s="12">
        <v>0.59499999999999997</v>
      </c>
      <c r="J48" s="12">
        <v>387.26</v>
      </c>
      <c r="K48" s="12">
        <v>493.49</v>
      </c>
    </row>
    <row r="49" spans="1:11" x14ac:dyDescent="0.3">
      <c r="A49" s="12" t="s">
        <v>1119</v>
      </c>
      <c r="B49" s="12" t="s">
        <v>276</v>
      </c>
      <c r="C49" s="12">
        <v>431</v>
      </c>
      <c r="D49" s="12">
        <v>21</v>
      </c>
      <c r="E49" s="12">
        <v>48</v>
      </c>
      <c r="F49" s="12">
        <v>0.34205999999999998</v>
      </c>
      <c r="G49" s="12">
        <v>1.3446E-2</v>
      </c>
      <c r="H49" s="12">
        <v>0.21665999999999999</v>
      </c>
      <c r="I49" s="12">
        <v>0.51622000000000001</v>
      </c>
      <c r="J49" s="12">
        <v>279.49</v>
      </c>
      <c r="K49" s="12">
        <v>302.32</v>
      </c>
    </row>
    <row r="50" spans="1:11" x14ac:dyDescent="0.3">
      <c r="A50" s="12" t="s">
        <v>1119</v>
      </c>
      <c r="B50" s="12" t="s">
        <v>269</v>
      </c>
      <c r="C50" s="12">
        <v>431</v>
      </c>
      <c r="D50" s="12">
        <v>21</v>
      </c>
      <c r="E50" s="12">
        <v>48</v>
      </c>
      <c r="F50" s="12">
        <v>0.48448000000000002</v>
      </c>
      <c r="G50" s="12">
        <v>7.7441000000000006E-5</v>
      </c>
      <c r="H50" s="12">
        <v>0.37197000000000002</v>
      </c>
      <c r="I50" s="12">
        <v>0.68557999999999997</v>
      </c>
      <c r="J50" s="12">
        <v>2141.8000000000002</v>
      </c>
      <c r="K50" s="12">
        <v>4806.7</v>
      </c>
    </row>
    <row r="51" spans="1:11" x14ac:dyDescent="0.3">
      <c r="A51" s="12" t="s">
        <v>1119</v>
      </c>
      <c r="B51" s="12" t="s">
        <v>271</v>
      </c>
      <c r="C51" s="12">
        <v>431</v>
      </c>
      <c r="D51" s="12">
        <v>21</v>
      </c>
      <c r="E51" s="12">
        <v>48</v>
      </c>
      <c r="F51" s="12">
        <v>0.69484000000000001</v>
      </c>
      <c r="G51" s="12">
        <v>4.1442E-10</v>
      </c>
      <c r="H51" s="12">
        <v>0.64268999999999998</v>
      </c>
      <c r="I51" s="12">
        <v>0.80513000000000001</v>
      </c>
      <c r="J51" s="12">
        <v>364.49</v>
      </c>
      <c r="K51" s="12">
        <v>1447.3</v>
      </c>
    </row>
    <row r="52" spans="1:11" x14ac:dyDescent="0.3">
      <c r="A52" s="12" t="s">
        <v>1119</v>
      </c>
      <c r="B52" s="12" t="s">
        <v>272</v>
      </c>
      <c r="C52" s="12">
        <v>431</v>
      </c>
      <c r="D52" s="12">
        <v>21</v>
      </c>
      <c r="E52" s="12">
        <v>48</v>
      </c>
      <c r="F52" s="12">
        <v>0.34538000000000002</v>
      </c>
      <c r="G52" s="12">
        <v>1.2295E-2</v>
      </c>
      <c r="H52" s="12">
        <v>0.19886999999999999</v>
      </c>
      <c r="I52" s="12">
        <v>0.56369000000000002</v>
      </c>
      <c r="J52" s="12">
        <v>0.52564999999999995</v>
      </c>
      <c r="K52" s="12">
        <v>0.82986000000000004</v>
      </c>
    </row>
    <row r="53" spans="1:11" x14ac:dyDescent="0.3">
      <c r="A53" s="12" t="s">
        <v>1119</v>
      </c>
      <c r="B53" s="12" t="s">
        <v>277</v>
      </c>
      <c r="C53" s="12">
        <v>431</v>
      </c>
      <c r="D53" s="12">
        <v>21</v>
      </c>
      <c r="E53" s="12">
        <v>48</v>
      </c>
      <c r="F53" s="12">
        <v>0.37796999999999997</v>
      </c>
      <c r="G53" s="12">
        <v>4.4336999999999996E-3</v>
      </c>
      <c r="H53" s="12">
        <v>0.24129</v>
      </c>
      <c r="I53" s="12">
        <v>0.56479999999999997</v>
      </c>
      <c r="J53" s="12">
        <v>0.75853999999999999</v>
      </c>
      <c r="K53" s="12">
        <v>0.90927999999999998</v>
      </c>
    </row>
    <row r="54" spans="1:11" x14ac:dyDescent="0.3">
      <c r="A54" s="12" t="s">
        <v>1119</v>
      </c>
      <c r="B54" s="12" t="s">
        <v>278</v>
      </c>
      <c r="C54" s="12">
        <v>431</v>
      </c>
      <c r="D54" s="12">
        <v>21</v>
      </c>
      <c r="E54" s="12">
        <v>48</v>
      </c>
      <c r="F54" s="12">
        <v>0.14241999999999999</v>
      </c>
      <c r="G54" s="12">
        <v>0.75738000000000005</v>
      </c>
      <c r="H54" s="12">
        <v>0.13729</v>
      </c>
      <c r="I54" s="12">
        <v>0.36725000000000002</v>
      </c>
      <c r="J54" s="12">
        <v>0.66352</v>
      </c>
      <c r="K54" s="12">
        <v>0.88731000000000004</v>
      </c>
    </row>
    <row r="55" spans="1:11" x14ac:dyDescent="0.3">
      <c r="A55" s="12" t="s">
        <v>1119</v>
      </c>
      <c r="B55" s="12" t="s">
        <v>279</v>
      </c>
      <c r="C55" s="12">
        <v>431</v>
      </c>
      <c r="D55" s="12">
        <v>21</v>
      </c>
      <c r="E55" s="12">
        <v>48</v>
      </c>
      <c r="F55" s="12">
        <v>0.13203000000000001</v>
      </c>
      <c r="G55" s="12">
        <v>0.82969999999999999</v>
      </c>
      <c r="H55" s="12">
        <v>0.13034000000000001</v>
      </c>
      <c r="I55" s="12">
        <v>0.34883999999999998</v>
      </c>
      <c r="J55" s="12">
        <v>0.61839</v>
      </c>
      <c r="K55" s="12">
        <v>0.93139000000000005</v>
      </c>
    </row>
    <row r="56" spans="1:11" x14ac:dyDescent="0.3">
      <c r="A56" s="12" t="s">
        <v>1119</v>
      </c>
      <c r="B56" s="12" t="s">
        <v>280</v>
      </c>
      <c r="C56" s="12">
        <v>431</v>
      </c>
      <c r="D56" s="12">
        <v>21</v>
      </c>
      <c r="E56" s="12">
        <v>48</v>
      </c>
      <c r="F56" s="12">
        <v>0.14827000000000001</v>
      </c>
      <c r="G56" s="12">
        <v>0.71423000000000003</v>
      </c>
      <c r="H56" s="12">
        <v>0.12892999999999999</v>
      </c>
      <c r="I56" s="12">
        <v>0.34183999999999998</v>
      </c>
      <c r="J56" s="12">
        <v>0.61600999999999995</v>
      </c>
      <c r="K56" s="12">
        <v>0.93074000000000001</v>
      </c>
    </row>
    <row r="57" spans="1:11" x14ac:dyDescent="0.3">
      <c r="A57" s="12" t="s">
        <v>1119</v>
      </c>
      <c r="B57" s="12" t="s">
        <v>281</v>
      </c>
      <c r="C57" s="12">
        <v>431</v>
      </c>
      <c r="D57" s="12">
        <v>21</v>
      </c>
      <c r="E57" s="12">
        <v>48</v>
      </c>
      <c r="F57" s="12">
        <v>0.11557000000000001</v>
      </c>
      <c r="G57" s="12">
        <v>0.92264000000000002</v>
      </c>
      <c r="H57" s="12">
        <v>0.12958</v>
      </c>
      <c r="I57" s="12">
        <v>0.36153000000000002</v>
      </c>
      <c r="J57" s="12">
        <v>0.71157000000000004</v>
      </c>
      <c r="K57" s="12">
        <v>0.93761000000000005</v>
      </c>
    </row>
    <row r="58" spans="1:11" x14ac:dyDescent="0.3">
      <c r="A58" s="12" t="s">
        <v>1119</v>
      </c>
      <c r="B58" s="12" t="s">
        <v>1114</v>
      </c>
      <c r="C58" s="12">
        <v>431</v>
      </c>
      <c r="D58" s="12">
        <v>21</v>
      </c>
      <c r="E58" s="12">
        <v>48</v>
      </c>
      <c r="F58" s="12">
        <v>0.63097999999999999</v>
      </c>
      <c r="G58" s="12">
        <v>3.3180999999999998E-8</v>
      </c>
      <c r="H58" s="12">
        <v>0.53441000000000005</v>
      </c>
      <c r="I58" s="12">
        <v>0.79927999999999999</v>
      </c>
      <c r="J58" s="12">
        <v>1021.8</v>
      </c>
      <c r="K58" s="12">
        <v>3842.7</v>
      </c>
    </row>
    <row r="59" spans="1:11" x14ac:dyDescent="0.3">
      <c r="A59" s="12" t="s">
        <v>1119</v>
      </c>
      <c r="B59" s="12" t="s">
        <v>1115</v>
      </c>
      <c r="C59" s="12">
        <v>431</v>
      </c>
      <c r="D59" s="12">
        <v>21</v>
      </c>
      <c r="E59" s="12">
        <v>48</v>
      </c>
      <c r="F59" s="12">
        <v>0.84687000000000001</v>
      </c>
      <c r="G59" s="12">
        <v>2.4650999999999999E-16</v>
      </c>
      <c r="H59" s="12">
        <v>0.81438999999999995</v>
      </c>
      <c r="I59" s="12">
        <v>0.88863000000000003</v>
      </c>
      <c r="J59" s="12">
        <v>1.8312999999999999</v>
      </c>
      <c r="K59" s="12">
        <v>8.7874999999999996</v>
      </c>
    </row>
    <row r="60" spans="1:11" x14ac:dyDescent="0.3">
      <c r="A60" s="12" t="s">
        <v>1119</v>
      </c>
      <c r="B60" s="12" t="s">
        <v>1116</v>
      </c>
      <c r="C60" s="12">
        <v>431</v>
      </c>
      <c r="D60" s="12">
        <v>21</v>
      </c>
      <c r="E60" s="12">
        <v>48</v>
      </c>
      <c r="F60" s="12">
        <v>0.41520000000000001</v>
      </c>
      <c r="G60" s="12">
        <v>1.2160999999999999E-3</v>
      </c>
      <c r="H60" s="12">
        <v>0.28275</v>
      </c>
      <c r="I60" s="12">
        <v>0.55554999999999999</v>
      </c>
      <c r="J60" s="12">
        <v>95.039000000000001</v>
      </c>
      <c r="K60" s="12">
        <v>204.88</v>
      </c>
    </row>
    <row r="62" spans="1:11" x14ac:dyDescent="0.3">
      <c r="A62" s="17" t="s">
        <v>809</v>
      </c>
    </row>
  </sheetData>
  <autoFilter ref="A8:K60" xr:uid="{00000000-0009-0000-0000-00001D000000}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50"/>
  <sheetViews>
    <sheetView workbookViewId="0"/>
  </sheetViews>
  <sheetFormatPr baseColWidth="10" defaultColWidth="8.88671875" defaultRowHeight="14.4" x14ac:dyDescent="0.3"/>
  <cols>
    <col min="1" max="1" width="10" customWidth="1"/>
    <col min="2" max="2" width="12" customWidth="1"/>
    <col min="3" max="3" width="10" customWidth="1"/>
    <col min="4" max="4" width="12" customWidth="1"/>
    <col min="5" max="5" width="14" customWidth="1"/>
    <col min="6" max="8" width="13" customWidth="1"/>
  </cols>
  <sheetData>
    <row r="1" spans="1:8" ht="17.399999999999999" x14ac:dyDescent="0.35">
      <c r="A1" s="1" t="s">
        <v>1120</v>
      </c>
    </row>
    <row r="2" spans="1:8" x14ac:dyDescent="0.3">
      <c r="A2" t="s">
        <v>1101</v>
      </c>
    </row>
    <row r="3" spans="1:8" x14ac:dyDescent="0.3">
      <c r="A3" t="s">
        <v>1087</v>
      </c>
    </row>
    <row r="4" spans="1:8" x14ac:dyDescent="0.3">
      <c r="A4" s="15" t="s">
        <v>717</v>
      </c>
    </row>
    <row r="5" spans="1:8" x14ac:dyDescent="0.3">
      <c r="A5" s="15" t="s">
        <v>1102</v>
      </c>
    </row>
    <row r="6" spans="1:8" x14ac:dyDescent="0.3">
      <c r="A6" t="s">
        <v>1121</v>
      </c>
    </row>
    <row r="8" spans="1:8" x14ac:dyDescent="0.3">
      <c r="A8" s="16" t="s">
        <v>1122</v>
      </c>
      <c r="B8" s="16" t="s">
        <v>712</v>
      </c>
      <c r="C8" s="16" t="s">
        <v>1123</v>
      </c>
      <c r="D8" s="16" t="s">
        <v>1124</v>
      </c>
      <c r="E8" s="16" t="s">
        <v>1125</v>
      </c>
      <c r="F8" s="16" t="s">
        <v>1109</v>
      </c>
      <c r="G8" s="16" t="s">
        <v>1110</v>
      </c>
      <c r="H8" s="16" t="s">
        <v>1111</v>
      </c>
    </row>
    <row r="9" spans="1:8" x14ac:dyDescent="0.3">
      <c r="A9" s="12" t="s">
        <v>1126</v>
      </c>
      <c r="B9" s="12" t="s">
        <v>274</v>
      </c>
      <c r="C9" s="12">
        <v>430</v>
      </c>
      <c r="D9" s="12">
        <v>0.29135</v>
      </c>
      <c r="E9" s="12">
        <v>6.2343000000000002</v>
      </c>
      <c r="F9" s="12">
        <v>1.1082E-9</v>
      </c>
      <c r="G9" s="12">
        <v>0.19949</v>
      </c>
      <c r="H9" s="12">
        <v>0.38322000000000001</v>
      </c>
    </row>
    <row r="10" spans="1:8" x14ac:dyDescent="0.3">
      <c r="A10" s="12" t="s">
        <v>1126</v>
      </c>
      <c r="B10" s="12" t="s">
        <v>276</v>
      </c>
      <c r="C10" s="12">
        <v>430</v>
      </c>
      <c r="D10" s="12">
        <v>-4.1382000000000002E-2</v>
      </c>
      <c r="E10" s="12">
        <v>-0.84779000000000004</v>
      </c>
      <c r="F10" s="12">
        <v>0.39704</v>
      </c>
      <c r="G10" s="12">
        <v>-0.13733000000000001</v>
      </c>
      <c r="H10" s="12">
        <v>5.4564000000000001E-2</v>
      </c>
    </row>
    <row r="11" spans="1:8" x14ac:dyDescent="0.3">
      <c r="A11" s="12" t="s">
        <v>1126</v>
      </c>
      <c r="B11" s="12" t="s">
        <v>269</v>
      </c>
      <c r="C11" s="12">
        <v>430</v>
      </c>
      <c r="D11" s="12">
        <v>0.58316000000000001</v>
      </c>
      <c r="E11" s="12">
        <v>14.694000000000001</v>
      </c>
      <c r="F11" s="12">
        <v>1.0176999999999999E-39</v>
      </c>
      <c r="G11" s="12">
        <v>0.50514999999999999</v>
      </c>
      <c r="H11" s="12">
        <v>0.66115999999999997</v>
      </c>
    </row>
    <row r="12" spans="1:8" x14ac:dyDescent="0.3">
      <c r="A12" s="12" t="s">
        <v>1126</v>
      </c>
      <c r="B12" s="12" t="s">
        <v>271</v>
      </c>
      <c r="C12" s="12">
        <v>430</v>
      </c>
      <c r="D12" s="12">
        <v>-0.68066000000000004</v>
      </c>
      <c r="E12" s="12">
        <v>-19.018000000000001</v>
      </c>
      <c r="F12" s="12">
        <v>1.3638E-58</v>
      </c>
      <c r="G12" s="12">
        <v>-0.75100999999999996</v>
      </c>
      <c r="H12" s="12">
        <v>-0.61031000000000002</v>
      </c>
    </row>
    <row r="13" spans="1:8" x14ac:dyDescent="0.3">
      <c r="A13" s="12" t="s">
        <v>1126</v>
      </c>
      <c r="B13" s="12" t="s">
        <v>272</v>
      </c>
      <c r="C13" s="12">
        <v>430</v>
      </c>
      <c r="D13" s="12">
        <v>0.23598</v>
      </c>
      <c r="E13" s="12">
        <v>4.9706999999999999</v>
      </c>
      <c r="F13" s="12">
        <v>9.7430999999999999E-7</v>
      </c>
      <c r="G13" s="12">
        <v>0.14266000000000001</v>
      </c>
      <c r="H13" s="12">
        <v>0.32929000000000003</v>
      </c>
    </row>
    <row r="14" spans="1:8" x14ac:dyDescent="0.3">
      <c r="A14" s="12" t="s">
        <v>1126</v>
      </c>
      <c r="B14" s="12" t="s">
        <v>277</v>
      </c>
      <c r="C14" s="12">
        <v>430</v>
      </c>
      <c r="D14" s="12">
        <v>0.37515999999999999</v>
      </c>
      <c r="E14" s="12">
        <v>8.2843999999999998</v>
      </c>
      <c r="F14" s="12">
        <v>1.6174E-15</v>
      </c>
      <c r="G14" s="12">
        <v>0.28615000000000002</v>
      </c>
      <c r="H14" s="12">
        <v>0.46417000000000003</v>
      </c>
    </row>
    <row r="15" spans="1:8" x14ac:dyDescent="0.3">
      <c r="A15" s="12" t="s">
        <v>1126</v>
      </c>
      <c r="B15" s="12" t="s">
        <v>278</v>
      </c>
      <c r="C15" s="12">
        <v>430</v>
      </c>
      <c r="D15" s="12">
        <v>9.5668999999999997E-3</v>
      </c>
      <c r="E15" s="12">
        <v>0.19583999999999999</v>
      </c>
      <c r="F15" s="12">
        <v>0.84482999999999997</v>
      </c>
      <c r="G15" s="12">
        <v>-8.6457000000000006E-2</v>
      </c>
      <c r="H15" s="12">
        <v>0.10559</v>
      </c>
    </row>
    <row r="16" spans="1:8" x14ac:dyDescent="0.3">
      <c r="A16" s="12" t="s">
        <v>1126</v>
      </c>
      <c r="B16" s="12" t="s">
        <v>279</v>
      </c>
      <c r="C16" s="12">
        <v>430</v>
      </c>
      <c r="D16" s="12">
        <v>8.2153E-3</v>
      </c>
      <c r="E16" s="12">
        <v>0.16816999999999999</v>
      </c>
      <c r="F16" s="12">
        <v>0.86653000000000002</v>
      </c>
      <c r="G16" s="12">
        <v>-8.7808999999999998E-2</v>
      </c>
      <c r="H16" s="12">
        <v>0.10424</v>
      </c>
    </row>
    <row r="17" spans="1:8" x14ac:dyDescent="0.3">
      <c r="A17" s="12" t="s">
        <v>1126</v>
      </c>
      <c r="B17" s="12" t="s">
        <v>280</v>
      </c>
      <c r="C17" s="12">
        <v>430</v>
      </c>
      <c r="D17" s="12">
        <v>0.26656000000000002</v>
      </c>
      <c r="E17" s="12">
        <v>5.6612</v>
      </c>
      <c r="F17" s="12">
        <v>2.7926999999999999E-8</v>
      </c>
      <c r="G17" s="12">
        <v>0.17401</v>
      </c>
      <c r="H17" s="12">
        <v>0.35911999999999999</v>
      </c>
    </row>
    <row r="18" spans="1:8" x14ac:dyDescent="0.3">
      <c r="A18" s="12" t="s">
        <v>1126</v>
      </c>
      <c r="B18" s="12" t="s">
        <v>281</v>
      </c>
      <c r="C18" s="12">
        <v>430</v>
      </c>
      <c r="D18" s="12">
        <v>8.3141999999999994E-2</v>
      </c>
      <c r="E18" s="12">
        <v>1.7078</v>
      </c>
      <c r="F18" s="12">
        <v>8.8417999999999997E-2</v>
      </c>
      <c r="G18" s="12">
        <v>-1.2553999999999999E-2</v>
      </c>
      <c r="H18" s="12">
        <v>0.17884</v>
      </c>
    </row>
    <row r="19" spans="1:8" x14ac:dyDescent="0.3">
      <c r="A19" s="12" t="s">
        <v>1127</v>
      </c>
      <c r="B19" s="12" t="s">
        <v>274</v>
      </c>
      <c r="C19" s="12">
        <v>452</v>
      </c>
      <c r="D19" s="12">
        <v>-0.77968999999999999</v>
      </c>
      <c r="E19" s="12">
        <v>-26.148</v>
      </c>
      <c r="F19" s="12">
        <v>1.0685000000000001E-91</v>
      </c>
      <c r="G19" s="12">
        <v>-0.83828999999999998</v>
      </c>
      <c r="H19" s="12">
        <v>-0.72108000000000005</v>
      </c>
    </row>
    <row r="20" spans="1:8" x14ac:dyDescent="0.3">
      <c r="A20" s="12" t="s">
        <v>1127</v>
      </c>
      <c r="B20" s="12" t="s">
        <v>276</v>
      </c>
      <c r="C20" s="12">
        <v>452</v>
      </c>
      <c r="D20" s="12">
        <v>-0.12953000000000001</v>
      </c>
      <c r="E20" s="12">
        <v>-2.7433000000000001</v>
      </c>
      <c r="F20" s="12">
        <v>6.3309000000000004E-3</v>
      </c>
      <c r="G20" s="12">
        <v>-0.22233</v>
      </c>
      <c r="H20" s="12">
        <v>-3.6732000000000001E-2</v>
      </c>
    </row>
    <row r="21" spans="1:8" x14ac:dyDescent="0.3">
      <c r="A21" s="12" t="s">
        <v>1127</v>
      </c>
      <c r="B21" s="12" t="s">
        <v>269</v>
      </c>
      <c r="C21" s="12">
        <v>452</v>
      </c>
      <c r="D21" s="12">
        <v>-0.89656000000000002</v>
      </c>
      <c r="E21" s="12">
        <v>-42.509</v>
      </c>
      <c r="F21" s="12">
        <v>4.5101999999999997E-158</v>
      </c>
      <c r="G21" s="12">
        <v>-0.93801999999999996</v>
      </c>
      <c r="H21" s="12">
        <v>-0.85511000000000004</v>
      </c>
    </row>
    <row r="22" spans="1:8" x14ac:dyDescent="0.3">
      <c r="A22" s="12" t="s">
        <v>1127</v>
      </c>
      <c r="B22" s="12" t="s">
        <v>271</v>
      </c>
      <c r="C22" s="12">
        <v>452</v>
      </c>
      <c r="D22" s="12">
        <v>0.92147000000000001</v>
      </c>
      <c r="E22" s="12">
        <v>49.814999999999998</v>
      </c>
      <c r="F22" s="12">
        <v>3.2667000000000001E-183</v>
      </c>
      <c r="G22" s="12">
        <v>0.88510999999999995</v>
      </c>
      <c r="H22" s="12">
        <v>0.95782</v>
      </c>
    </row>
    <row r="23" spans="1:8" x14ac:dyDescent="0.3">
      <c r="A23" s="12" t="s">
        <v>1127</v>
      </c>
      <c r="B23" s="12" t="s">
        <v>272</v>
      </c>
      <c r="C23" s="12">
        <v>452</v>
      </c>
      <c r="D23" s="12">
        <v>0.17116999999999999</v>
      </c>
      <c r="E23" s="12">
        <v>3.6482999999999999</v>
      </c>
      <c r="F23" s="12">
        <v>2.9551000000000002E-4</v>
      </c>
      <c r="G23" s="12">
        <v>7.8959000000000001E-2</v>
      </c>
      <c r="H23" s="12">
        <v>0.26336999999999999</v>
      </c>
    </row>
    <row r="24" spans="1:8" x14ac:dyDescent="0.3">
      <c r="A24" s="12" t="s">
        <v>1127</v>
      </c>
      <c r="B24" s="12" t="s">
        <v>277</v>
      </c>
      <c r="C24" s="12">
        <v>452</v>
      </c>
      <c r="D24" s="12">
        <v>-0.58206999999999998</v>
      </c>
      <c r="E24" s="12">
        <v>-15.032</v>
      </c>
      <c r="F24" s="12">
        <v>1.5681E-41</v>
      </c>
      <c r="G24" s="12">
        <v>-0.65817000000000003</v>
      </c>
      <c r="H24" s="12">
        <v>-0.50597000000000003</v>
      </c>
    </row>
    <row r="25" spans="1:8" x14ac:dyDescent="0.3">
      <c r="A25" s="12" t="s">
        <v>1127</v>
      </c>
      <c r="B25" s="12" t="s">
        <v>278</v>
      </c>
      <c r="C25" s="12">
        <v>452</v>
      </c>
      <c r="D25" s="12">
        <v>-3.0379999999999999E-3</v>
      </c>
      <c r="E25" s="12">
        <v>-6.3797999999999994E-2</v>
      </c>
      <c r="F25" s="12">
        <v>0.94916</v>
      </c>
      <c r="G25" s="12">
        <v>-9.6626000000000004E-2</v>
      </c>
      <c r="H25" s="12">
        <v>9.0550000000000005E-2</v>
      </c>
    </row>
    <row r="26" spans="1:8" x14ac:dyDescent="0.3">
      <c r="A26" s="12" t="s">
        <v>1127</v>
      </c>
      <c r="B26" s="12" t="s">
        <v>279</v>
      </c>
      <c r="C26" s="12">
        <v>452</v>
      </c>
      <c r="D26" s="12">
        <v>-0.32645000000000002</v>
      </c>
      <c r="E26" s="12">
        <v>-7.2527999999999997</v>
      </c>
      <c r="F26" s="12">
        <v>1.8475E-12</v>
      </c>
      <c r="G26" s="12">
        <v>-0.41491</v>
      </c>
      <c r="H26" s="12">
        <v>-0.23799000000000001</v>
      </c>
    </row>
    <row r="27" spans="1:8" x14ac:dyDescent="0.3">
      <c r="A27" s="12" t="s">
        <v>1127</v>
      </c>
      <c r="B27" s="12" t="s">
        <v>280</v>
      </c>
      <c r="C27" s="12">
        <v>452</v>
      </c>
      <c r="D27" s="12">
        <v>-0.17151</v>
      </c>
      <c r="E27" s="12">
        <v>-3.6558000000000002</v>
      </c>
      <c r="F27" s="12">
        <v>2.8727000000000001E-4</v>
      </c>
      <c r="G27" s="12">
        <v>-0.26371</v>
      </c>
      <c r="H27" s="12">
        <v>-7.9305E-2</v>
      </c>
    </row>
    <row r="28" spans="1:8" x14ac:dyDescent="0.3">
      <c r="A28" s="12" t="s">
        <v>1127</v>
      </c>
      <c r="B28" s="12" t="s">
        <v>281</v>
      </c>
      <c r="C28" s="12">
        <v>452</v>
      </c>
      <c r="D28" s="12">
        <v>6.0384E-2</v>
      </c>
      <c r="E28" s="12">
        <v>1.2704</v>
      </c>
      <c r="F28" s="12">
        <v>0.20462</v>
      </c>
      <c r="G28" s="12">
        <v>-3.3033E-2</v>
      </c>
      <c r="H28" s="12">
        <v>0.15379999999999999</v>
      </c>
    </row>
    <row r="29" spans="1:8" x14ac:dyDescent="0.3">
      <c r="A29" s="12" t="s">
        <v>1128</v>
      </c>
      <c r="B29" s="12" t="s">
        <v>274</v>
      </c>
      <c r="C29" s="12">
        <v>452</v>
      </c>
      <c r="D29" s="12">
        <v>-0.67959999999999998</v>
      </c>
      <c r="E29" s="12">
        <v>-19.454999999999998</v>
      </c>
      <c r="F29" s="12">
        <v>2.5605E-61</v>
      </c>
      <c r="G29" s="12">
        <v>-0.74826000000000004</v>
      </c>
      <c r="H29" s="12">
        <v>-0.61094999999999999</v>
      </c>
    </row>
    <row r="30" spans="1:8" x14ac:dyDescent="0.3">
      <c r="A30" s="12" t="s">
        <v>1128</v>
      </c>
      <c r="B30" s="12" t="s">
        <v>276</v>
      </c>
      <c r="C30" s="12">
        <v>452</v>
      </c>
      <c r="D30" s="12">
        <v>-0.53676000000000001</v>
      </c>
      <c r="E30" s="12">
        <v>-13.36</v>
      </c>
      <c r="F30" s="12">
        <v>2.0116E-34</v>
      </c>
      <c r="G30" s="12">
        <v>-0.61573</v>
      </c>
      <c r="H30" s="12">
        <v>-0.45779999999999998</v>
      </c>
    </row>
    <row r="31" spans="1:8" x14ac:dyDescent="0.3">
      <c r="A31" s="12" t="s">
        <v>1128</v>
      </c>
      <c r="B31" s="12" t="s">
        <v>269</v>
      </c>
      <c r="C31" s="12">
        <v>452</v>
      </c>
      <c r="D31" s="12">
        <v>0.26307999999999998</v>
      </c>
      <c r="E31" s="12">
        <v>5.7263999999999999</v>
      </c>
      <c r="F31" s="12">
        <v>1.9005E-8</v>
      </c>
      <c r="G31" s="12">
        <v>0.17279</v>
      </c>
      <c r="H31" s="12">
        <v>0.35337000000000002</v>
      </c>
    </row>
    <row r="32" spans="1:8" x14ac:dyDescent="0.3">
      <c r="A32" s="12" t="s">
        <v>1128</v>
      </c>
      <c r="B32" s="12" t="s">
        <v>271</v>
      </c>
      <c r="C32" s="12">
        <v>452</v>
      </c>
      <c r="D32" s="12">
        <v>0.75722999999999996</v>
      </c>
      <c r="E32" s="12">
        <v>24.347000000000001</v>
      </c>
      <c r="F32" s="12">
        <v>1.3129E-83</v>
      </c>
      <c r="G32" s="12">
        <v>0.69611000000000001</v>
      </c>
      <c r="H32" s="12">
        <v>0.81835999999999998</v>
      </c>
    </row>
    <row r="33" spans="1:8" x14ac:dyDescent="0.3">
      <c r="A33" s="12" t="s">
        <v>1128</v>
      </c>
      <c r="B33" s="12" t="s">
        <v>272</v>
      </c>
      <c r="C33" s="12">
        <v>452</v>
      </c>
      <c r="D33" s="12">
        <v>-0.47033999999999998</v>
      </c>
      <c r="E33" s="12">
        <v>-11.192</v>
      </c>
      <c r="F33" s="12">
        <v>9.1387000000000004E-26</v>
      </c>
      <c r="G33" s="12">
        <v>-0.55293000000000003</v>
      </c>
      <c r="H33" s="12">
        <v>-0.38774999999999998</v>
      </c>
    </row>
    <row r="34" spans="1:8" x14ac:dyDescent="0.3">
      <c r="A34" s="12" t="s">
        <v>1128</v>
      </c>
      <c r="B34" s="12" t="s">
        <v>277</v>
      </c>
      <c r="C34" s="12">
        <v>452</v>
      </c>
      <c r="D34" s="12">
        <v>-9.5978000000000001E-3</v>
      </c>
      <c r="E34" s="12">
        <v>-0.20155999999999999</v>
      </c>
      <c r="F34" s="12">
        <v>0.84035000000000004</v>
      </c>
      <c r="G34" s="12">
        <v>-0.10317999999999999</v>
      </c>
      <c r="H34" s="12">
        <v>8.3986000000000005E-2</v>
      </c>
    </row>
    <row r="35" spans="1:8" x14ac:dyDescent="0.3">
      <c r="A35" s="12" t="s">
        <v>1128</v>
      </c>
      <c r="B35" s="12" t="s">
        <v>278</v>
      </c>
      <c r="C35" s="12">
        <v>452</v>
      </c>
      <c r="D35" s="12">
        <v>3.9823999999999998E-2</v>
      </c>
      <c r="E35" s="12">
        <v>0.83696999999999999</v>
      </c>
      <c r="F35" s="12">
        <v>0.40305999999999997</v>
      </c>
      <c r="G35" s="12">
        <v>-5.3690000000000002E-2</v>
      </c>
      <c r="H35" s="12">
        <v>0.13333999999999999</v>
      </c>
    </row>
    <row r="36" spans="1:8" x14ac:dyDescent="0.3">
      <c r="A36" s="12" t="s">
        <v>1128</v>
      </c>
      <c r="B36" s="12" t="s">
        <v>279</v>
      </c>
      <c r="C36" s="12">
        <v>452</v>
      </c>
      <c r="D36" s="12">
        <v>-0.26751999999999998</v>
      </c>
      <c r="E36" s="12">
        <v>-5.8304999999999998</v>
      </c>
      <c r="F36" s="12">
        <v>1.0694E-8</v>
      </c>
      <c r="G36" s="12">
        <v>-0.35770000000000002</v>
      </c>
      <c r="H36" s="12">
        <v>-0.17734</v>
      </c>
    </row>
    <row r="37" spans="1:8" x14ac:dyDescent="0.3">
      <c r="A37" s="12" t="s">
        <v>1128</v>
      </c>
      <c r="B37" s="12" t="s">
        <v>280</v>
      </c>
      <c r="C37" s="12">
        <v>452</v>
      </c>
      <c r="D37" s="12">
        <v>-4.0590000000000001E-2</v>
      </c>
      <c r="E37" s="12">
        <v>-0.85309999999999997</v>
      </c>
      <c r="F37" s="12">
        <v>0.39406999999999998</v>
      </c>
      <c r="G37" s="12">
        <v>-0.1341</v>
      </c>
      <c r="H37" s="12">
        <v>5.2921000000000003E-2</v>
      </c>
    </row>
    <row r="38" spans="1:8" x14ac:dyDescent="0.3">
      <c r="A38" s="12" t="s">
        <v>1128</v>
      </c>
      <c r="B38" s="12" t="s">
        <v>281</v>
      </c>
      <c r="C38" s="12">
        <v>452</v>
      </c>
      <c r="D38" s="12">
        <v>0.73216999999999999</v>
      </c>
      <c r="E38" s="12">
        <v>22.574000000000002</v>
      </c>
      <c r="F38" s="12">
        <v>1.4639999999999999E-75</v>
      </c>
      <c r="G38" s="12">
        <v>0.66842999999999997</v>
      </c>
      <c r="H38" s="12">
        <v>0.79591999999999996</v>
      </c>
    </row>
    <row r="39" spans="1:8" x14ac:dyDescent="0.3">
      <c r="A39" s="12" t="s">
        <v>1129</v>
      </c>
      <c r="B39" s="12" t="s">
        <v>274</v>
      </c>
      <c r="C39" s="12">
        <v>452</v>
      </c>
      <c r="D39" s="12">
        <v>-0.37245</v>
      </c>
      <c r="E39" s="12">
        <v>-8.4277999999999995</v>
      </c>
      <c r="F39" s="12">
        <v>5.0348000000000005E-16</v>
      </c>
      <c r="G39" s="12">
        <v>-0.45929999999999999</v>
      </c>
      <c r="H39" s="12">
        <v>-0.28559000000000001</v>
      </c>
    </row>
    <row r="40" spans="1:8" x14ac:dyDescent="0.3">
      <c r="A40" s="12" t="s">
        <v>1129</v>
      </c>
      <c r="B40" s="12" t="s">
        <v>276</v>
      </c>
      <c r="C40" s="12">
        <v>452</v>
      </c>
      <c r="D40" s="12">
        <v>2.6904000000000001E-2</v>
      </c>
      <c r="E40" s="12">
        <v>0.56518999999999997</v>
      </c>
      <c r="F40" s="12">
        <v>0.57223000000000002</v>
      </c>
      <c r="G40" s="12">
        <v>-6.6651000000000002E-2</v>
      </c>
      <c r="H40" s="12">
        <v>0.12046</v>
      </c>
    </row>
    <row r="41" spans="1:8" x14ac:dyDescent="0.3">
      <c r="A41" s="12" t="s">
        <v>1129</v>
      </c>
      <c r="B41" s="12" t="s">
        <v>269</v>
      </c>
      <c r="C41" s="12">
        <v>452</v>
      </c>
      <c r="D41" s="12">
        <v>0.11056000000000001</v>
      </c>
      <c r="E41" s="12">
        <v>2.3361000000000001</v>
      </c>
      <c r="F41" s="12">
        <v>1.9931999999999998E-2</v>
      </c>
      <c r="G41" s="12">
        <v>1.7547E-2</v>
      </c>
      <c r="H41" s="12">
        <v>0.20358000000000001</v>
      </c>
    </row>
    <row r="42" spans="1:8" x14ac:dyDescent="0.3">
      <c r="A42" s="12" t="s">
        <v>1129</v>
      </c>
      <c r="B42" s="12" t="s">
        <v>271</v>
      </c>
      <c r="C42" s="12">
        <v>452</v>
      </c>
      <c r="D42" s="12">
        <v>5.5412000000000003E-2</v>
      </c>
      <c r="E42" s="12">
        <v>1.1654</v>
      </c>
      <c r="F42" s="12">
        <v>0.24446999999999999</v>
      </c>
      <c r="G42" s="12">
        <v>-3.8032999999999997E-2</v>
      </c>
      <c r="H42" s="12">
        <v>0.14885999999999999</v>
      </c>
    </row>
    <row r="43" spans="1:8" x14ac:dyDescent="0.3">
      <c r="A43" s="12" t="s">
        <v>1129</v>
      </c>
      <c r="B43" s="12" t="s">
        <v>272</v>
      </c>
      <c r="C43" s="12">
        <v>452</v>
      </c>
      <c r="D43" s="12">
        <v>-9.0199000000000001E-2</v>
      </c>
      <c r="E43" s="12">
        <v>-1.9018999999999999</v>
      </c>
      <c r="F43" s="12">
        <v>5.7832000000000001E-2</v>
      </c>
      <c r="G43" s="12">
        <v>-0.18340999999999999</v>
      </c>
      <c r="H43" s="12">
        <v>3.0081999999999999E-3</v>
      </c>
    </row>
    <row r="44" spans="1:8" x14ac:dyDescent="0.3">
      <c r="A44" s="12" t="s">
        <v>1129</v>
      </c>
      <c r="B44" s="12" t="s">
        <v>277</v>
      </c>
      <c r="C44" s="12">
        <v>452</v>
      </c>
      <c r="D44" s="12">
        <v>2.6195E-2</v>
      </c>
      <c r="E44" s="12">
        <v>0.55027999999999999</v>
      </c>
      <c r="F44" s="12">
        <v>0.58240999999999998</v>
      </c>
      <c r="G44" s="12">
        <v>-6.7361000000000004E-2</v>
      </c>
      <c r="H44" s="12">
        <v>0.11975</v>
      </c>
    </row>
    <row r="45" spans="1:8" x14ac:dyDescent="0.3">
      <c r="A45" s="12" t="s">
        <v>1129</v>
      </c>
      <c r="B45" s="12" t="s">
        <v>278</v>
      </c>
      <c r="C45" s="12">
        <v>452</v>
      </c>
      <c r="D45" s="12">
        <v>-9.5653000000000002E-2</v>
      </c>
      <c r="E45" s="12">
        <v>-2.0179999999999998</v>
      </c>
      <c r="F45" s="12">
        <v>4.4199000000000002E-2</v>
      </c>
      <c r="G45" s="12">
        <v>-0.18881000000000001</v>
      </c>
      <c r="H45" s="12">
        <v>-2.4940000000000001E-3</v>
      </c>
    </row>
    <row r="46" spans="1:8" x14ac:dyDescent="0.3">
      <c r="A46" s="12" t="s">
        <v>1129</v>
      </c>
      <c r="B46" s="12" t="s">
        <v>279</v>
      </c>
      <c r="C46" s="12">
        <v>452</v>
      </c>
      <c r="D46" s="12">
        <v>-0.30967</v>
      </c>
      <c r="E46" s="12">
        <v>-6.8392999999999997</v>
      </c>
      <c r="F46" s="12">
        <v>2.6660000000000002E-11</v>
      </c>
      <c r="G46" s="12">
        <v>-0.39866000000000001</v>
      </c>
      <c r="H46" s="12">
        <v>-0.22067999999999999</v>
      </c>
    </row>
    <row r="47" spans="1:8" x14ac:dyDescent="0.3">
      <c r="A47" s="12" t="s">
        <v>1129</v>
      </c>
      <c r="B47" s="12" t="s">
        <v>280</v>
      </c>
      <c r="C47" s="12">
        <v>452</v>
      </c>
      <c r="D47" s="12">
        <v>0.12565000000000001</v>
      </c>
      <c r="E47" s="12">
        <v>2.6598000000000002</v>
      </c>
      <c r="F47" s="12">
        <v>8.1031999999999996E-3</v>
      </c>
      <c r="G47" s="12">
        <v>3.2807000000000003E-2</v>
      </c>
      <c r="H47" s="12">
        <v>0.2185</v>
      </c>
    </row>
    <row r="48" spans="1:8" x14ac:dyDescent="0.3">
      <c r="A48" s="12" t="s">
        <v>1129</v>
      </c>
      <c r="B48" s="12" t="s">
        <v>281</v>
      </c>
      <c r="C48" s="12">
        <v>452</v>
      </c>
      <c r="D48" s="12">
        <v>3.0436000000000001E-2</v>
      </c>
      <c r="E48" s="12">
        <v>0.63946000000000003</v>
      </c>
      <c r="F48" s="12">
        <v>0.52285999999999999</v>
      </c>
      <c r="G48" s="12">
        <v>-6.3108999999999998E-2</v>
      </c>
      <c r="H48" s="12">
        <v>0.12398000000000001</v>
      </c>
    </row>
    <row r="50" spans="1:1" x14ac:dyDescent="0.3">
      <c r="A50" s="17" t="s">
        <v>1130</v>
      </c>
    </row>
  </sheetData>
  <autoFilter ref="A8:H48" xr:uid="{00000000-0009-0000-0000-00001E000000}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18"/>
  <sheetViews>
    <sheetView workbookViewId="0"/>
  </sheetViews>
  <sheetFormatPr baseColWidth="10" defaultColWidth="8.88671875" defaultRowHeight="14.4" x14ac:dyDescent="0.3"/>
  <cols>
    <col min="1" max="1" width="10" customWidth="1"/>
    <col min="2" max="2" width="19" customWidth="1"/>
    <col min="3" max="4" width="10" customWidth="1"/>
    <col min="5" max="5" width="13" customWidth="1"/>
    <col min="6" max="6" width="10" customWidth="1"/>
    <col min="7" max="7" width="14" customWidth="1"/>
    <col min="8" max="9" width="10" customWidth="1"/>
    <col min="10" max="10" width="12" customWidth="1"/>
  </cols>
  <sheetData>
    <row r="1" spans="1:10" ht="17.399999999999999" x14ac:dyDescent="0.35">
      <c r="A1" s="1" t="s">
        <v>1131</v>
      </c>
    </row>
    <row r="2" spans="1:10" x14ac:dyDescent="0.3">
      <c r="A2" t="s">
        <v>1101</v>
      </c>
    </row>
    <row r="3" spans="1:10" x14ac:dyDescent="0.3">
      <c r="A3" t="s">
        <v>1087</v>
      </c>
    </row>
    <row r="4" spans="1:10" x14ac:dyDescent="0.3">
      <c r="A4" s="15" t="s">
        <v>717</v>
      </c>
    </row>
    <row r="5" spans="1:10" x14ac:dyDescent="0.3">
      <c r="A5" s="15" t="s">
        <v>1102</v>
      </c>
    </row>
    <row r="6" spans="1:10" x14ac:dyDescent="0.3">
      <c r="A6" t="s">
        <v>1132</v>
      </c>
    </row>
    <row r="8" spans="1:10" x14ac:dyDescent="0.3">
      <c r="A8" s="16" t="s">
        <v>712</v>
      </c>
      <c r="B8" s="16" t="s">
        <v>821</v>
      </c>
      <c r="C8" s="16" t="s">
        <v>1123</v>
      </c>
      <c r="D8" s="16" t="s">
        <v>1133</v>
      </c>
      <c r="E8" s="16" t="s">
        <v>1134</v>
      </c>
      <c r="F8" s="16" t="s">
        <v>715</v>
      </c>
      <c r="G8" s="16" t="s">
        <v>1135</v>
      </c>
      <c r="H8" s="16" t="s">
        <v>1136</v>
      </c>
      <c r="I8" s="16" t="s">
        <v>1108</v>
      </c>
      <c r="J8" s="16" t="s">
        <v>1109</v>
      </c>
    </row>
    <row r="9" spans="1:10" x14ac:dyDescent="0.3">
      <c r="A9" s="12" t="s">
        <v>269</v>
      </c>
      <c r="B9" s="26" t="s">
        <v>32</v>
      </c>
      <c r="C9" s="12">
        <v>121</v>
      </c>
      <c r="D9" s="12">
        <v>2005.4</v>
      </c>
      <c r="E9" s="12">
        <v>2155.6999999999998</v>
      </c>
      <c r="F9" s="12">
        <v>3571.4</v>
      </c>
      <c r="G9" s="12">
        <v>4841.8</v>
      </c>
      <c r="H9" s="12">
        <v>4960.8999999999996</v>
      </c>
      <c r="I9" s="12">
        <v>0.14881</v>
      </c>
      <c r="J9" s="12">
        <v>3.4817000000000001E-2</v>
      </c>
    </row>
    <row r="10" spans="1:10" x14ac:dyDescent="0.3">
      <c r="A10" s="12" t="s">
        <v>269</v>
      </c>
      <c r="B10" s="12" t="s">
        <v>1137</v>
      </c>
      <c r="C10" s="12">
        <v>331</v>
      </c>
      <c r="D10" s="12">
        <v>2009.9</v>
      </c>
      <c r="E10" s="12">
        <v>2135.1999999999998</v>
      </c>
      <c r="F10" s="12">
        <v>3365.2</v>
      </c>
      <c r="G10" s="12">
        <v>4819</v>
      </c>
      <c r="H10" s="12">
        <v>4991.2</v>
      </c>
      <c r="I10" s="12">
        <v>0.14881</v>
      </c>
      <c r="J10" s="12">
        <v>3.4817000000000001E-2</v>
      </c>
    </row>
    <row r="11" spans="1:10" x14ac:dyDescent="0.3">
      <c r="A11" s="12" t="s">
        <v>271</v>
      </c>
      <c r="B11" s="26" t="s">
        <v>32</v>
      </c>
      <c r="C11" s="12">
        <v>121</v>
      </c>
      <c r="D11" s="12">
        <v>546.97</v>
      </c>
      <c r="E11" s="12">
        <v>683.17</v>
      </c>
      <c r="F11" s="12">
        <v>1182.5999999999999</v>
      </c>
      <c r="G11" s="12">
        <v>1460.7</v>
      </c>
      <c r="H11" s="12">
        <v>1493.2</v>
      </c>
      <c r="I11" s="12">
        <v>0.43653999999999998</v>
      </c>
      <c r="J11" s="12">
        <v>9.3466000000000008E-16</v>
      </c>
    </row>
    <row r="12" spans="1:10" x14ac:dyDescent="0.3">
      <c r="A12" s="12" t="s">
        <v>271</v>
      </c>
      <c r="B12" s="12" t="s">
        <v>1137</v>
      </c>
      <c r="C12" s="12">
        <v>331</v>
      </c>
      <c r="D12" s="12">
        <v>302.95</v>
      </c>
      <c r="E12" s="12">
        <v>349.33</v>
      </c>
      <c r="F12" s="12">
        <v>767.04</v>
      </c>
      <c r="G12" s="12">
        <v>1416.7</v>
      </c>
      <c r="H12" s="12">
        <v>1498</v>
      </c>
      <c r="I12" s="12">
        <v>0.43653999999999998</v>
      </c>
      <c r="J12" s="12">
        <v>9.3466000000000008E-16</v>
      </c>
    </row>
    <row r="13" spans="1:10" x14ac:dyDescent="0.3">
      <c r="A13" s="12" t="s">
        <v>1114</v>
      </c>
      <c r="B13" s="26" t="s">
        <v>32</v>
      </c>
      <c r="C13" s="12">
        <v>121</v>
      </c>
      <c r="D13" s="12">
        <v>710.24</v>
      </c>
      <c r="E13" s="12">
        <v>968.03</v>
      </c>
      <c r="F13" s="12">
        <v>2463.6999999999998</v>
      </c>
      <c r="G13" s="12">
        <v>3717.6</v>
      </c>
      <c r="H13" s="12">
        <v>4117.1000000000004</v>
      </c>
      <c r="I13" s="12">
        <v>0.10012</v>
      </c>
      <c r="J13" s="12">
        <v>0.31119999999999998</v>
      </c>
    </row>
    <row r="14" spans="1:10" x14ac:dyDescent="0.3">
      <c r="A14" s="12" t="s">
        <v>1114</v>
      </c>
      <c r="B14" s="12" t="s">
        <v>1137</v>
      </c>
      <c r="C14" s="12">
        <v>331</v>
      </c>
      <c r="D14" s="12">
        <v>654.76</v>
      </c>
      <c r="E14" s="12">
        <v>1142.7</v>
      </c>
      <c r="F14" s="12">
        <v>2575.1999999999998</v>
      </c>
      <c r="G14" s="12">
        <v>4089.5</v>
      </c>
      <c r="H14" s="12">
        <v>4589.5</v>
      </c>
      <c r="I14" s="12">
        <v>0.10012</v>
      </c>
      <c r="J14" s="12">
        <v>0.31119999999999998</v>
      </c>
    </row>
    <row r="15" spans="1:10" x14ac:dyDescent="0.3">
      <c r="A15" s="12" t="s">
        <v>1115</v>
      </c>
      <c r="B15" s="26" t="s">
        <v>32</v>
      </c>
      <c r="C15" s="12">
        <v>121</v>
      </c>
      <c r="D15" s="12">
        <v>1.5484</v>
      </c>
      <c r="E15" s="12">
        <v>1.6860999999999999</v>
      </c>
      <c r="F15" s="12">
        <v>3.1105</v>
      </c>
      <c r="G15" s="12">
        <v>5.3394000000000004</v>
      </c>
      <c r="H15" s="12">
        <v>8.3762000000000008</v>
      </c>
      <c r="I15" s="12">
        <v>0.34722999999999998</v>
      </c>
      <c r="J15" s="12">
        <v>5.1709000000000002E-10</v>
      </c>
    </row>
    <row r="16" spans="1:10" x14ac:dyDescent="0.3">
      <c r="A16" s="12" t="s">
        <v>1115</v>
      </c>
      <c r="B16" s="12" t="s">
        <v>1137</v>
      </c>
      <c r="C16" s="12">
        <v>331</v>
      </c>
      <c r="D16" s="12">
        <v>1.4832000000000001</v>
      </c>
      <c r="E16" s="12">
        <v>1.9576</v>
      </c>
      <c r="F16" s="12">
        <v>4.3102999999999998</v>
      </c>
      <c r="G16" s="12">
        <v>10.08</v>
      </c>
      <c r="H16" s="12">
        <v>14.433</v>
      </c>
      <c r="I16" s="12">
        <v>0.34722999999999998</v>
      </c>
      <c r="J16" s="12">
        <v>5.1709000000000002E-10</v>
      </c>
    </row>
    <row r="18" spans="1:1" x14ac:dyDescent="0.3">
      <c r="A18" s="17" t="s">
        <v>1138</v>
      </c>
    </row>
  </sheetData>
  <autoFilter ref="A8:J16" xr:uid="{00000000-0009-0000-0000-00001F000000}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M16"/>
  <sheetViews>
    <sheetView workbookViewId="0"/>
  </sheetViews>
  <sheetFormatPr baseColWidth="10" defaultColWidth="8.88671875" defaultRowHeight="14.4" x14ac:dyDescent="0.3"/>
  <cols>
    <col min="1" max="2" width="10" customWidth="1"/>
    <col min="3" max="4" width="17" customWidth="1"/>
    <col min="5" max="6" width="10" customWidth="1"/>
    <col min="7" max="7" width="12" customWidth="1"/>
    <col min="8" max="9" width="21" customWidth="1"/>
    <col min="10" max="11" width="17" customWidth="1"/>
    <col min="12" max="13" width="16" customWidth="1"/>
  </cols>
  <sheetData>
    <row r="1" spans="1:13" ht="17.399999999999999" x14ac:dyDescent="0.35">
      <c r="A1" s="1" t="s">
        <v>1139</v>
      </c>
    </row>
    <row r="2" spans="1:13" x14ac:dyDescent="0.3">
      <c r="A2" t="s">
        <v>1101</v>
      </c>
    </row>
    <row r="3" spans="1:13" x14ac:dyDescent="0.3">
      <c r="A3" t="s">
        <v>1087</v>
      </c>
    </row>
    <row r="4" spans="1:13" x14ac:dyDescent="0.3">
      <c r="A4" s="15" t="s">
        <v>717</v>
      </c>
    </row>
    <row r="5" spans="1:13" x14ac:dyDescent="0.3">
      <c r="A5" s="15" t="s">
        <v>1102</v>
      </c>
    </row>
    <row r="6" spans="1:13" x14ac:dyDescent="0.3">
      <c r="A6" t="s">
        <v>1140</v>
      </c>
    </row>
    <row r="8" spans="1:13" x14ac:dyDescent="0.3">
      <c r="A8" s="16" t="s">
        <v>712</v>
      </c>
      <c r="B8" s="16" t="s">
        <v>1141</v>
      </c>
      <c r="C8" s="16" t="s">
        <v>1142</v>
      </c>
      <c r="D8" s="16" t="s">
        <v>1143</v>
      </c>
      <c r="E8" s="16" t="s">
        <v>1123</v>
      </c>
      <c r="F8" s="16" t="s">
        <v>32</v>
      </c>
      <c r="G8" s="16" t="s">
        <v>1144</v>
      </c>
      <c r="H8" s="16" t="s">
        <v>1145</v>
      </c>
      <c r="I8" s="16" t="s">
        <v>1146</v>
      </c>
      <c r="J8" s="16" t="s">
        <v>1147</v>
      </c>
      <c r="K8" s="16" t="s">
        <v>1148</v>
      </c>
      <c r="L8" s="16" t="s">
        <v>1149</v>
      </c>
      <c r="M8" s="16" t="s">
        <v>1150</v>
      </c>
    </row>
    <row r="9" spans="1:13" x14ac:dyDescent="0.3">
      <c r="A9" s="12" t="s">
        <v>269</v>
      </c>
      <c r="B9" s="12">
        <v>1</v>
      </c>
      <c r="C9" s="12">
        <v>2000</v>
      </c>
      <c r="D9" s="12">
        <v>2500</v>
      </c>
      <c r="E9" s="12">
        <v>83</v>
      </c>
      <c r="F9" s="12">
        <v>18</v>
      </c>
      <c r="G9" s="21">
        <v>21.7</v>
      </c>
      <c r="H9" s="24">
        <v>912.81</v>
      </c>
      <c r="I9" s="23">
        <v>1459.4</v>
      </c>
      <c r="J9" s="24">
        <v>710.24</v>
      </c>
      <c r="K9" s="23">
        <v>1413.9</v>
      </c>
      <c r="L9" s="25">
        <v>1.5484</v>
      </c>
      <c r="M9" s="25">
        <v>2.3481000000000001</v>
      </c>
    </row>
    <row r="10" spans="1:13" x14ac:dyDescent="0.3">
      <c r="A10" s="12" t="s">
        <v>269</v>
      </c>
      <c r="B10" s="12">
        <v>2</v>
      </c>
      <c r="C10" s="12">
        <v>2500</v>
      </c>
      <c r="D10" s="12">
        <v>3000</v>
      </c>
      <c r="E10" s="12">
        <v>83</v>
      </c>
      <c r="F10" s="12">
        <v>16</v>
      </c>
      <c r="G10" s="21">
        <v>19.3</v>
      </c>
      <c r="H10" s="24">
        <v>683.17</v>
      </c>
      <c r="I10" s="23">
        <v>1440.7</v>
      </c>
      <c r="J10" s="23">
        <v>1122.5999999999999</v>
      </c>
      <c r="K10" s="23">
        <v>2184.1</v>
      </c>
      <c r="L10" s="25">
        <v>1.7791999999999999</v>
      </c>
      <c r="M10" s="25">
        <v>4.1970999999999998</v>
      </c>
    </row>
    <row r="11" spans="1:13" x14ac:dyDescent="0.3">
      <c r="A11" s="12" t="s">
        <v>269</v>
      </c>
      <c r="B11" s="12">
        <v>3</v>
      </c>
      <c r="C11" s="12">
        <v>3000</v>
      </c>
      <c r="D11" s="12">
        <v>3500</v>
      </c>
      <c r="E11" s="12">
        <v>84</v>
      </c>
      <c r="F11" s="12">
        <v>21</v>
      </c>
      <c r="G11" s="21">
        <v>25</v>
      </c>
      <c r="H11" s="24">
        <v>607.33000000000004</v>
      </c>
      <c r="I11" s="23">
        <v>1416.6</v>
      </c>
      <c r="J11" s="23">
        <v>1868.6</v>
      </c>
      <c r="K11" s="23">
        <v>2673.5</v>
      </c>
      <c r="L11" s="25">
        <v>2.3191000000000002</v>
      </c>
      <c r="M11" s="25">
        <v>5.2911000000000001</v>
      </c>
    </row>
    <row r="12" spans="1:13" x14ac:dyDescent="0.3">
      <c r="A12" s="12" t="s">
        <v>269</v>
      </c>
      <c r="B12" s="12">
        <v>4</v>
      </c>
      <c r="C12" s="12">
        <v>3500</v>
      </c>
      <c r="D12" s="12">
        <v>4000</v>
      </c>
      <c r="E12" s="12">
        <v>83</v>
      </c>
      <c r="F12" s="12">
        <v>29</v>
      </c>
      <c r="G12" s="21">
        <v>34.9</v>
      </c>
      <c r="H12" s="24">
        <v>546.97</v>
      </c>
      <c r="I12" s="23">
        <v>1479.8</v>
      </c>
      <c r="J12" s="23">
        <v>2218</v>
      </c>
      <c r="K12" s="23">
        <v>3071.4</v>
      </c>
      <c r="L12" s="25">
        <v>2.5076999999999998</v>
      </c>
      <c r="M12" s="25">
        <v>6.4851000000000001</v>
      </c>
    </row>
    <row r="13" spans="1:13" x14ac:dyDescent="0.3">
      <c r="A13" s="12" t="s">
        <v>269</v>
      </c>
      <c r="B13" s="12">
        <v>5</v>
      </c>
      <c r="C13" s="12">
        <v>4000</v>
      </c>
      <c r="D13" s="12">
        <v>4500</v>
      </c>
      <c r="E13" s="12">
        <v>84</v>
      </c>
      <c r="F13" s="12">
        <v>18</v>
      </c>
      <c r="G13" s="21">
        <v>21.4</v>
      </c>
      <c r="H13" s="24">
        <v>634.29999999999995</v>
      </c>
      <c r="I13" s="23">
        <v>1493.2</v>
      </c>
      <c r="J13" s="23">
        <v>2550.3000000000002</v>
      </c>
      <c r="K13" s="23">
        <v>3764.4</v>
      </c>
      <c r="L13" s="25">
        <v>2.7458999999999998</v>
      </c>
      <c r="M13" s="25">
        <v>6.9348000000000001</v>
      </c>
    </row>
    <row r="14" spans="1:13" x14ac:dyDescent="0.3">
      <c r="A14" s="12" t="s">
        <v>269</v>
      </c>
      <c r="B14" s="12">
        <v>6</v>
      </c>
      <c r="C14" s="12">
        <v>4500</v>
      </c>
      <c r="D14" s="12">
        <v>5000</v>
      </c>
      <c r="E14" s="12">
        <v>83</v>
      </c>
      <c r="F14" s="12">
        <v>19</v>
      </c>
      <c r="G14" s="21">
        <v>22.9</v>
      </c>
      <c r="H14" s="24">
        <v>558.16</v>
      </c>
      <c r="I14" s="23">
        <v>1464.9</v>
      </c>
      <c r="J14" s="23">
        <v>3208.4</v>
      </c>
      <c r="K14" s="23">
        <v>4117.1000000000004</v>
      </c>
      <c r="L14" s="25">
        <v>3.21</v>
      </c>
      <c r="M14" s="25">
        <v>8.3762000000000008</v>
      </c>
    </row>
    <row r="16" spans="1:13" x14ac:dyDescent="0.3">
      <c r="A16" s="17" t="s">
        <v>1151</v>
      </c>
    </row>
  </sheetData>
  <autoFilter ref="A8:M14" xr:uid="{00000000-0009-0000-0000-000020000000}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M16"/>
  <sheetViews>
    <sheetView workbookViewId="0"/>
  </sheetViews>
  <sheetFormatPr baseColWidth="10" defaultColWidth="8.88671875" defaultRowHeight="14.4" x14ac:dyDescent="0.3"/>
  <cols>
    <col min="1" max="2" width="10" customWidth="1"/>
    <col min="3" max="4" width="17" customWidth="1"/>
    <col min="5" max="6" width="10" customWidth="1"/>
    <col min="7" max="7" width="12" customWidth="1"/>
    <col min="8" max="9" width="21" customWidth="1"/>
    <col min="10" max="11" width="17" customWidth="1"/>
    <col min="12" max="13" width="16" customWidth="1"/>
  </cols>
  <sheetData>
    <row r="1" spans="1:13" ht="17.399999999999999" x14ac:dyDescent="0.35">
      <c r="A1" s="1" t="s">
        <v>1152</v>
      </c>
    </row>
    <row r="2" spans="1:13" x14ac:dyDescent="0.3">
      <c r="A2" t="s">
        <v>1101</v>
      </c>
    </row>
    <row r="3" spans="1:13" x14ac:dyDescent="0.3">
      <c r="A3" t="s">
        <v>1087</v>
      </c>
    </row>
    <row r="4" spans="1:13" x14ac:dyDescent="0.3">
      <c r="A4" s="15" t="s">
        <v>717</v>
      </c>
    </row>
    <row r="5" spans="1:13" x14ac:dyDescent="0.3">
      <c r="A5" s="15" t="s">
        <v>1102</v>
      </c>
    </row>
    <row r="6" spans="1:13" x14ac:dyDescent="0.3">
      <c r="A6" t="s">
        <v>1153</v>
      </c>
    </row>
    <row r="8" spans="1:13" x14ac:dyDescent="0.3">
      <c r="A8" s="16" t="s">
        <v>712</v>
      </c>
      <c r="B8" s="16" t="s">
        <v>1141</v>
      </c>
      <c r="C8" s="16" t="s">
        <v>1142</v>
      </c>
      <c r="D8" s="16" t="s">
        <v>1143</v>
      </c>
      <c r="E8" s="16" t="s">
        <v>1123</v>
      </c>
      <c r="F8" s="16" t="s">
        <v>32</v>
      </c>
      <c r="G8" s="16" t="s">
        <v>1144</v>
      </c>
      <c r="H8" s="16" t="s">
        <v>1145</v>
      </c>
      <c r="I8" s="16" t="s">
        <v>1146</v>
      </c>
      <c r="J8" s="16" t="s">
        <v>1147</v>
      </c>
      <c r="K8" s="16" t="s">
        <v>1148</v>
      </c>
      <c r="L8" s="16" t="s">
        <v>1149</v>
      </c>
      <c r="M8" s="16" t="s">
        <v>1150</v>
      </c>
    </row>
    <row r="9" spans="1:13" x14ac:dyDescent="0.3">
      <c r="A9" s="12" t="s">
        <v>274</v>
      </c>
      <c r="B9" s="12">
        <v>1</v>
      </c>
      <c r="C9" s="12">
        <v>380</v>
      </c>
      <c r="D9" s="12">
        <v>400</v>
      </c>
      <c r="E9" s="12">
        <v>83</v>
      </c>
      <c r="F9" s="12">
        <v>26</v>
      </c>
      <c r="G9" s="21">
        <v>31.3</v>
      </c>
      <c r="H9" s="24">
        <v>668.35</v>
      </c>
      <c r="I9" s="23">
        <v>1471.1</v>
      </c>
      <c r="J9" s="24">
        <v>903</v>
      </c>
      <c r="K9" s="23">
        <v>3539.8</v>
      </c>
      <c r="L9" s="25">
        <v>1.6860999999999999</v>
      </c>
      <c r="M9" s="25">
        <v>5.3242000000000003</v>
      </c>
    </row>
    <row r="10" spans="1:13" x14ac:dyDescent="0.3">
      <c r="A10" s="12" t="s">
        <v>274</v>
      </c>
      <c r="B10" s="12">
        <v>2</v>
      </c>
      <c r="C10" s="12">
        <v>400</v>
      </c>
      <c r="D10" s="12">
        <v>420</v>
      </c>
      <c r="E10" s="12">
        <v>84</v>
      </c>
      <c r="F10" s="12">
        <v>31</v>
      </c>
      <c r="G10" s="21">
        <v>36.9</v>
      </c>
      <c r="H10" s="24">
        <v>546.97</v>
      </c>
      <c r="I10" s="23">
        <v>1460.7</v>
      </c>
      <c r="J10" s="24">
        <v>710.24</v>
      </c>
      <c r="K10" s="23">
        <v>4117.1000000000004</v>
      </c>
      <c r="L10" s="25">
        <v>1.5484</v>
      </c>
      <c r="M10" s="25">
        <v>8.3762000000000008</v>
      </c>
    </row>
    <row r="11" spans="1:13" x14ac:dyDescent="0.3">
      <c r="A11" s="12" t="s">
        <v>274</v>
      </c>
      <c r="B11" s="12">
        <v>3</v>
      </c>
      <c r="C11" s="12">
        <v>420</v>
      </c>
      <c r="D11" s="12">
        <v>440</v>
      </c>
      <c r="E11" s="12">
        <v>83</v>
      </c>
      <c r="F11" s="12">
        <v>26</v>
      </c>
      <c r="G11" s="21">
        <v>31.3</v>
      </c>
      <c r="H11" s="24">
        <v>634.29999999999995</v>
      </c>
      <c r="I11" s="23">
        <v>1493.2</v>
      </c>
      <c r="J11" s="23">
        <v>1203.9000000000001</v>
      </c>
      <c r="K11" s="23">
        <v>3764.4</v>
      </c>
      <c r="L11" s="25">
        <v>1.9878</v>
      </c>
      <c r="M11" s="25">
        <v>6.9348000000000001</v>
      </c>
    </row>
    <row r="12" spans="1:13" x14ac:dyDescent="0.3">
      <c r="A12" s="12" t="s">
        <v>274</v>
      </c>
      <c r="B12" s="12">
        <v>4</v>
      </c>
      <c r="C12" s="12">
        <v>440</v>
      </c>
      <c r="D12" s="12">
        <v>460</v>
      </c>
      <c r="E12" s="12">
        <v>84</v>
      </c>
      <c r="F12" s="12">
        <v>19</v>
      </c>
      <c r="G12" s="21">
        <v>22.6</v>
      </c>
      <c r="H12" s="24">
        <v>607.33000000000004</v>
      </c>
      <c r="I12" s="23">
        <v>1490.2</v>
      </c>
      <c r="J12" s="24">
        <v>766.29</v>
      </c>
      <c r="K12" s="23">
        <v>3576.6</v>
      </c>
      <c r="L12" s="25">
        <v>1.5550999999999999</v>
      </c>
      <c r="M12" s="25">
        <v>5.2911000000000001</v>
      </c>
    </row>
    <row r="13" spans="1:13" x14ac:dyDescent="0.3">
      <c r="A13" s="12" t="s">
        <v>274</v>
      </c>
      <c r="B13" s="12">
        <v>5</v>
      </c>
      <c r="C13" s="12">
        <v>460</v>
      </c>
      <c r="D13" s="12">
        <v>480</v>
      </c>
      <c r="E13" s="12">
        <v>82</v>
      </c>
      <c r="F13" s="12">
        <v>8</v>
      </c>
      <c r="G13" s="21">
        <v>9.8000000000000007</v>
      </c>
      <c r="H13" s="24">
        <v>688.24</v>
      </c>
      <c r="I13" s="23">
        <v>1459.4</v>
      </c>
      <c r="J13" s="24">
        <v>816.69</v>
      </c>
      <c r="K13" s="23">
        <v>2883.2</v>
      </c>
      <c r="L13" s="25">
        <v>1.6174999999999999</v>
      </c>
      <c r="M13" s="25">
        <v>5.1891999999999996</v>
      </c>
    </row>
    <row r="14" spans="1:13" x14ac:dyDescent="0.3">
      <c r="A14" s="12" t="s">
        <v>274</v>
      </c>
      <c r="B14" s="12">
        <v>6</v>
      </c>
      <c r="C14" s="12">
        <v>480</v>
      </c>
      <c r="D14" s="12">
        <v>500</v>
      </c>
      <c r="E14" s="12">
        <v>84</v>
      </c>
      <c r="F14" s="12">
        <v>11</v>
      </c>
      <c r="G14" s="21">
        <v>13.1</v>
      </c>
      <c r="H14" s="24">
        <v>769.12</v>
      </c>
      <c r="I14" s="23">
        <v>1451.6</v>
      </c>
      <c r="J14" s="24">
        <v>904.75</v>
      </c>
      <c r="K14" s="23">
        <v>3326.4</v>
      </c>
      <c r="L14" s="25">
        <v>1.6825000000000001</v>
      </c>
      <c r="M14" s="25">
        <v>4.1601999999999997</v>
      </c>
    </row>
    <row r="16" spans="1:13" x14ac:dyDescent="0.3">
      <c r="A16" s="17" t="s">
        <v>1151</v>
      </c>
    </row>
  </sheetData>
  <autoFilter ref="A8:M14" xr:uid="{00000000-0009-0000-0000-000021000000}"/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M14"/>
  <sheetViews>
    <sheetView workbookViewId="0"/>
  </sheetViews>
  <sheetFormatPr baseColWidth="10" defaultColWidth="8.88671875" defaultRowHeight="14.4" x14ac:dyDescent="0.3"/>
  <cols>
    <col min="1" max="1" width="12" customWidth="1"/>
    <col min="2" max="2" width="10" customWidth="1"/>
    <col min="3" max="4" width="17" customWidth="1"/>
    <col min="5" max="6" width="10" customWidth="1"/>
    <col min="7" max="7" width="12" customWidth="1"/>
    <col min="8" max="9" width="21" customWidth="1"/>
    <col min="10" max="11" width="17" customWidth="1"/>
    <col min="12" max="13" width="16" customWidth="1"/>
  </cols>
  <sheetData>
    <row r="1" spans="1:13" ht="17.399999999999999" x14ac:dyDescent="0.35">
      <c r="A1" s="1" t="s">
        <v>1154</v>
      </c>
    </row>
    <row r="2" spans="1:13" x14ac:dyDescent="0.3">
      <c r="A2" t="s">
        <v>1101</v>
      </c>
    </row>
    <row r="3" spans="1:13" x14ac:dyDescent="0.3">
      <c r="A3" t="s">
        <v>1087</v>
      </c>
    </row>
    <row r="4" spans="1:13" x14ac:dyDescent="0.3">
      <c r="A4" s="15" t="s">
        <v>717</v>
      </c>
    </row>
    <row r="5" spans="1:13" x14ac:dyDescent="0.3">
      <c r="A5" s="15" t="s">
        <v>1102</v>
      </c>
    </row>
    <row r="6" spans="1:13" x14ac:dyDescent="0.3">
      <c r="A6" t="s">
        <v>1155</v>
      </c>
    </row>
    <row r="8" spans="1:13" x14ac:dyDescent="0.3">
      <c r="A8" s="16" t="s">
        <v>712</v>
      </c>
      <c r="B8" s="16" t="s">
        <v>1141</v>
      </c>
      <c r="C8" s="16" t="s">
        <v>1142</v>
      </c>
      <c r="D8" s="16" t="s">
        <v>1143</v>
      </c>
      <c r="E8" s="16" t="s">
        <v>1123</v>
      </c>
      <c r="F8" s="16" t="s">
        <v>32</v>
      </c>
      <c r="G8" s="16" t="s">
        <v>1144</v>
      </c>
      <c r="H8" s="16" t="s">
        <v>1145</v>
      </c>
      <c r="I8" s="16" t="s">
        <v>1146</v>
      </c>
      <c r="J8" s="16" t="s">
        <v>1147</v>
      </c>
      <c r="K8" s="16" t="s">
        <v>1148</v>
      </c>
      <c r="L8" s="16" t="s">
        <v>1149</v>
      </c>
      <c r="M8" s="16" t="s">
        <v>1150</v>
      </c>
    </row>
    <row r="9" spans="1:13" x14ac:dyDescent="0.3">
      <c r="A9" s="12" t="s">
        <v>276</v>
      </c>
      <c r="B9" s="12">
        <v>1</v>
      </c>
      <c r="C9" s="12">
        <v>278.14999999999998</v>
      </c>
      <c r="D9" s="12">
        <v>284.5</v>
      </c>
      <c r="E9" s="12">
        <v>125</v>
      </c>
      <c r="F9" s="12">
        <v>47</v>
      </c>
      <c r="G9" s="21">
        <v>37.6</v>
      </c>
      <c r="H9" s="24">
        <v>558.16</v>
      </c>
      <c r="I9" s="23">
        <v>1493.2</v>
      </c>
      <c r="J9" s="24">
        <v>766.29</v>
      </c>
      <c r="K9" s="23">
        <v>4117.1000000000004</v>
      </c>
      <c r="L9" s="25">
        <v>1.5550999999999999</v>
      </c>
      <c r="M9" s="25">
        <v>8.3762000000000008</v>
      </c>
    </row>
    <row r="10" spans="1:13" x14ac:dyDescent="0.3">
      <c r="A10" s="12" t="s">
        <v>276</v>
      </c>
      <c r="B10" s="12">
        <v>2</v>
      </c>
      <c r="C10" s="12">
        <v>284.5</v>
      </c>
      <c r="D10" s="12">
        <v>290.85000000000002</v>
      </c>
      <c r="E10" s="12">
        <v>125</v>
      </c>
      <c r="F10" s="12">
        <v>27</v>
      </c>
      <c r="G10" s="21">
        <v>21.6</v>
      </c>
      <c r="H10" s="24">
        <v>546.97</v>
      </c>
      <c r="I10" s="23">
        <v>1467.2</v>
      </c>
      <c r="J10" s="24">
        <v>904.75</v>
      </c>
      <c r="K10" s="23">
        <v>3785.7</v>
      </c>
      <c r="L10" s="25">
        <v>1.6825000000000001</v>
      </c>
      <c r="M10" s="25">
        <v>6.4851000000000001</v>
      </c>
    </row>
    <row r="11" spans="1:13" x14ac:dyDescent="0.3">
      <c r="A11" s="12" t="s">
        <v>276</v>
      </c>
      <c r="B11" s="12">
        <v>3</v>
      </c>
      <c r="C11" s="12">
        <v>290.85000000000002</v>
      </c>
      <c r="D11" s="12">
        <v>297.2</v>
      </c>
      <c r="E11" s="12">
        <v>125</v>
      </c>
      <c r="F11" s="12">
        <v>28</v>
      </c>
      <c r="G11" s="21">
        <v>22.4</v>
      </c>
      <c r="H11" s="24">
        <v>607.33000000000004</v>
      </c>
      <c r="I11" s="23">
        <v>1490.2</v>
      </c>
      <c r="J11" s="24">
        <v>710.24</v>
      </c>
      <c r="K11" s="23">
        <v>3717.6</v>
      </c>
      <c r="L11" s="25">
        <v>1.5484</v>
      </c>
      <c r="M11" s="25">
        <v>5.3242000000000003</v>
      </c>
    </row>
    <row r="12" spans="1:13" x14ac:dyDescent="0.3">
      <c r="A12" s="12" t="s">
        <v>276</v>
      </c>
      <c r="B12" s="12">
        <v>4</v>
      </c>
      <c r="C12" s="12">
        <v>297.2</v>
      </c>
      <c r="D12" s="12">
        <v>303.55</v>
      </c>
      <c r="E12" s="12">
        <v>125</v>
      </c>
      <c r="F12" s="12">
        <v>19</v>
      </c>
      <c r="G12" s="21">
        <v>15.2</v>
      </c>
      <c r="H12" s="24">
        <v>634.29999999999995</v>
      </c>
      <c r="I12" s="23">
        <v>1471.1</v>
      </c>
      <c r="J12" s="24">
        <v>903</v>
      </c>
      <c r="K12" s="23">
        <v>3770.3</v>
      </c>
      <c r="L12" s="25">
        <v>1.6860999999999999</v>
      </c>
      <c r="M12" s="25">
        <v>6.9348000000000001</v>
      </c>
    </row>
    <row r="14" spans="1:13" x14ac:dyDescent="0.3">
      <c r="A14" s="17" t="s">
        <v>818</v>
      </c>
    </row>
  </sheetData>
  <autoFilter ref="A8:M12" xr:uid="{00000000-0009-0000-0000-000022000000}"/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23"/>
  <sheetViews>
    <sheetView workbookViewId="0"/>
  </sheetViews>
  <sheetFormatPr baseColWidth="10" defaultColWidth="8.88671875" defaultRowHeight="14.4" x14ac:dyDescent="0.3"/>
  <cols>
    <col min="1" max="1" width="10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7" ht="17.399999999999999" x14ac:dyDescent="0.35">
      <c r="A1" s="1" t="s">
        <v>1156</v>
      </c>
    </row>
    <row r="2" spans="1:7" x14ac:dyDescent="0.3">
      <c r="A2" t="s">
        <v>1157</v>
      </c>
    </row>
    <row r="3" spans="1:7" x14ac:dyDescent="0.3">
      <c r="A3" t="s">
        <v>1087</v>
      </c>
    </row>
    <row r="4" spans="1:7" x14ac:dyDescent="0.3">
      <c r="A4" s="15" t="s">
        <v>717</v>
      </c>
    </row>
    <row r="5" spans="1:7" x14ac:dyDescent="0.3">
      <c r="A5" s="15" t="s">
        <v>1158</v>
      </c>
    </row>
    <row r="6" spans="1:7" x14ac:dyDescent="0.3">
      <c r="A6" t="s">
        <v>788</v>
      </c>
    </row>
    <row r="8" spans="1:7" x14ac:dyDescent="0.3">
      <c r="A8" s="16" t="s">
        <v>360</v>
      </c>
      <c r="B8" s="16" t="s">
        <v>712</v>
      </c>
      <c r="C8" s="16" t="s">
        <v>789</v>
      </c>
      <c r="D8" s="16" t="s">
        <v>790</v>
      </c>
      <c r="E8" s="16" t="s">
        <v>791</v>
      </c>
      <c r="F8" s="16" t="s">
        <v>792</v>
      </c>
      <c r="G8" s="16" t="s">
        <v>266</v>
      </c>
    </row>
    <row r="9" spans="1:7" x14ac:dyDescent="0.3">
      <c r="A9" s="12" t="s">
        <v>155</v>
      </c>
      <c r="B9" s="12" t="s">
        <v>49</v>
      </c>
      <c r="C9" s="12" t="s">
        <v>796</v>
      </c>
      <c r="D9" s="12" t="s">
        <v>1159</v>
      </c>
      <c r="E9" s="12">
        <v>200</v>
      </c>
      <c r="F9" s="12"/>
      <c r="G9" s="12" t="s">
        <v>275</v>
      </c>
    </row>
    <row r="10" spans="1:7" x14ac:dyDescent="0.3">
      <c r="A10" s="12" t="s">
        <v>155</v>
      </c>
      <c r="B10" s="12" t="s">
        <v>51</v>
      </c>
      <c r="C10" s="12" t="s">
        <v>796</v>
      </c>
      <c r="D10" s="12" t="s">
        <v>1090</v>
      </c>
      <c r="E10" s="12">
        <v>200</v>
      </c>
      <c r="F10" s="12"/>
      <c r="G10" s="12" t="s">
        <v>275</v>
      </c>
    </row>
    <row r="11" spans="1:7" x14ac:dyDescent="0.3">
      <c r="A11" s="12" t="s">
        <v>155</v>
      </c>
      <c r="B11" s="12" t="s">
        <v>53</v>
      </c>
      <c r="C11" s="12" t="s">
        <v>796</v>
      </c>
      <c r="D11" s="12" t="s">
        <v>1160</v>
      </c>
      <c r="E11" s="12">
        <v>200</v>
      </c>
      <c r="F11" s="12"/>
      <c r="G11" s="12" t="s">
        <v>270</v>
      </c>
    </row>
    <row r="12" spans="1:7" x14ac:dyDescent="0.3">
      <c r="A12" s="12" t="s">
        <v>155</v>
      </c>
      <c r="B12" s="12" t="s">
        <v>54</v>
      </c>
      <c r="C12" s="12" t="s">
        <v>796</v>
      </c>
      <c r="D12" s="12" t="s">
        <v>1161</v>
      </c>
      <c r="E12" s="12">
        <v>200</v>
      </c>
      <c r="F12" s="12"/>
      <c r="G12" s="12" t="s">
        <v>270</v>
      </c>
    </row>
    <row r="13" spans="1:7" x14ac:dyDescent="0.3">
      <c r="A13" s="12" t="s">
        <v>155</v>
      </c>
      <c r="B13" s="12" t="s">
        <v>55</v>
      </c>
      <c r="C13" s="12" t="s">
        <v>796</v>
      </c>
      <c r="D13" s="12" t="s">
        <v>1162</v>
      </c>
      <c r="E13" s="12">
        <v>200</v>
      </c>
      <c r="F13" s="12"/>
      <c r="G13" s="12" t="s">
        <v>273</v>
      </c>
    </row>
    <row r="14" spans="1:7" x14ac:dyDescent="0.3">
      <c r="A14" s="12" t="s">
        <v>155</v>
      </c>
      <c r="B14" s="12" t="s">
        <v>57</v>
      </c>
      <c r="C14" s="12" t="s">
        <v>793</v>
      </c>
      <c r="D14" s="12" t="s">
        <v>800</v>
      </c>
      <c r="E14" s="12"/>
      <c r="F14" s="12" t="s">
        <v>749</v>
      </c>
      <c r="G14" s="12" t="s">
        <v>283</v>
      </c>
    </row>
    <row r="15" spans="1:7" x14ac:dyDescent="0.3">
      <c r="A15" s="12" t="s">
        <v>155</v>
      </c>
      <c r="B15" s="12" t="s">
        <v>59</v>
      </c>
      <c r="C15" s="12" t="s">
        <v>796</v>
      </c>
      <c r="D15" s="12" t="s">
        <v>1094</v>
      </c>
      <c r="E15" s="12">
        <v>200</v>
      </c>
      <c r="F15" s="12"/>
      <c r="G15" s="12" t="s">
        <v>273</v>
      </c>
    </row>
    <row r="16" spans="1:7" x14ac:dyDescent="0.3">
      <c r="A16" s="12" t="s">
        <v>155</v>
      </c>
      <c r="B16" s="12" t="s">
        <v>61</v>
      </c>
      <c r="C16" s="12" t="s">
        <v>796</v>
      </c>
      <c r="D16" s="12" t="s">
        <v>1163</v>
      </c>
      <c r="E16" s="12">
        <v>200</v>
      </c>
      <c r="F16" s="12"/>
      <c r="G16" s="12" t="s">
        <v>273</v>
      </c>
    </row>
    <row r="17" spans="1:7" x14ac:dyDescent="0.3">
      <c r="A17" s="12" t="s">
        <v>155</v>
      </c>
      <c r="B17" s="12" t="s">
        <v>63</v>
      </c>
      <c r="C17" s="12" t="s">
        <v>796</v>
      </c>
      <c r="D17" s="12" t="s">
        <v>1164</v>
      </c>
      <c r="E17" s="12">
        <v>200</v>
      </c>
      <c r="F17" s="12"/>
      <c r="G17" s="12" t="s">
        <v>273</v>
      </c>
    </row>
    <row r="18" spans="1:7" x14ac:dyDescent="0.3">
      <c r="A18" s="12" t="s">
        <v>155</v>
      </c>
      <c r="B18" s="12" t="s">
        <v>64</v>
      </c>
      <c r="C18" s="12" t="s">
        <v>796</v>
      </c>
      <c r="D18" s="12" t="s">
        <v>1165</v>
      </c>
      <c r="E18" s="12">
        <v>200</v>
      </c>
      <c r="F18" s="12"/>
      <c r="G18" s="12" t="s">
        <v>273</v>
      </c>
    </row>
    <row r="19" spans="1:7" x14ac:dyDescent="0.3">
      <c r="A19" s="12" t="s">
        <v>155</v>
      </c>
      <c r="B19" s="12" t="s">
        <v>65</v>
      </c>
      <c r="C19" s="12" t="s">
        <v>796</v>
      </c>
      <c r="D19" s="12" t="s">
        <v>1166</v>
      </c>
      <c r="E19" s="12">
        <v>200</v>
      </c>
      <c r="F19" s="12"/>
      <c r="G19" s="12" t="s">
        <v>273</v>
      </c>
    </row>
    <row r="20" spans="1:7" x14ac:dyDescent="0.3">
      <c r="A20" s="12" t="s">
        <v>155</v>
      </c>
      <c r="B20" s="12" t="s">
        <v>66</v>
      </c>
      <c r="C20" s="12" t="s">
        <v>796</v>
      </c>
      <c r="D20" s="12" t="s">
        <v>1090</v>
      </c>
      <c r="E20" s="12">
        <v>200</v>
      </c>
      <c r="F20" s="12"/>
      <c r="G20" s="12" t="s">
        <v>275</v>
      </c>
    </row>
    <row r="21" spans="1:7" x14ac:dyDescent="0.3">
      <c r="A21" s="12" t="s">
        <v>155</v>
      </c>
      <c r="B21" s="12" t="s">
        <v>803</v>
      </c>
      <c r="C21" s="12" t="s">
        <v>793</v>
      </c>
      <c r="D21" s="12" t="s">
        <v>804</v>
      </c>
      <c r="E21" s="12"/>
      <c r="F21" s="12"/>
      <c r="G21" s="12" t="s">
        <v>273</v>
      </c>
    </row>
    <row r="23" spans="1:7" x14ac:dyDescent="0.3">
      <c r="A23" s="17" t="s">
        <v>900</v>
      </c>
    </row>
  </sheetData>
  <autoFilter ref="A8:G21" xr:uid="{00000000-0009-0000-0000-000023000000}"/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K11"/>
  <sheetViews>
    <sheetView workbookViewId="0"/>
  </sheetViews>
  <sheetFormatPr baseColWidth="10" defaultColWidth="8.88671875" defaultRowHeight="14.4" x14ac:dyDescent="0.3"/>
  <cols>
    <col min="1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1167</v>
      </c>
    </row>
    <row r="2" spans="1:11" x14ac:dyDescent="0.3">
      <c r="A2" t="s">
        <v>1157</v>
      </c>
    </row>
    <row r="3" spans="1:11" x14ac:dyDescent="0.3">
      <c r="A3" t="s">
        <v>1087</v>
      </c>
    </row>
    <row r="4" spans="1:11" x14ac:dyDescent="0.3">
      <c r="A4" s="15" t="s">
        <v>717</v>
      </c>
    </row>
    <row r="5" spans="1:11" x14ac:dyDescent="0.3">
      <c r="A5" s="15" t="s">
        <v>1158</v>
      </c>
    </row>
    <row r="6" spans="1:11" x14ac:dyDescent="0.3">
      <c r="A6" t="s">
        <v>811</v>
      </c>
    </row>
    <row r="8" spans="1:11" x14ac:dyDescent="0.3">
      <c r="A8" s="16" t="s">
        <v>360</v>
      </c>
      <c r="B8" s="16" t="s">
        <v>30</v>
      </c>
      <c r="C8" s="16" t="s">
        <v>812</v>
      </c>
      <c r="D8" s="16" t="s">
        <v>813</v>
      </c>
      <c r="E8" s="16" t="s">
        <v>32</v>
      </c>
      <c r="F8" s="16" t="s">
        <v>33</v>
      </c>
      <c r="G8" s="16" t="s">
        <v>814</v>
      </c>
      <c r="H8" s="16" t="s">
        <v>815</v>
      </c>
      <c r="I8" s="16" t="s">
        <v>816</v>
      </c>
      <c r="J8" s="16" t="s">
        <v>295</v>
      </c>
      <c r="K8" s="16" t="s">
        <v>817</v>
      </c>
    </row>
    <row r="9" spans="1:11" x14ac:dyDescent="0.3">
      <c r="A9" s="12" t="s">
        <v>155</v>
      </c>
      <c r="B9" s="12">
        <v>200</v>
      </c>
      <c r="C9" s="12">
        <v>0</v>
      </c>
      <c r="D9" s="12">
        <v>186</v>
      </c>
      <c r="E9" s="12">
        <v>45</v>
      </c>
      <c r="F9" s="12">
        <v>26</v>
      </c>
      <c r="G9" s="12">
        <v>127</v>
      </c>
      <c r="H9" s="12">
        <v>14</v>
      </c>
      <c r="I9" s="12">
        <v>8</v>
      </c>
      <c r="J9" s="12">
        <v>6</v>
      </c>
      <c r="K9" s="12">
        <v>94</v>
      </c>
    </row>
    <row r="11" spans="1:11" x14ac:dyDescent="0.3">
      <c r="A11" s="17" t="s">
        <v>902</v>
      </c>
    </row>
  </sheetData>
  <autoFilter ref="A8:K9" xr:uid="{00000000-0009-0000-0000-000024000000}"/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23"/>
  <sheetViews>
    <sheetView workbookViewId="0"/>
  </sheetViews>
  <sheetFormatPr baseColWidth="10" defaultColWidth="8.88671875" defaultRowHeight="14.4" x14ac:dyDescent="0.3"/>
  <cols>
    <col min="1" max="1" width="10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7" ht="17.399999999999999" x14ac:dyDescent="0.35">
      <c r="A1" s="1" t="s">
        <v>1168</v>
      </c>
    </row>
    <row r="2" spans="1:7" x14ac:dyDescent="0.3">
      <c r="A2" t="s">
        <v>1169</v>
      </c>
    </row>
    <row r="3" spans="1:7" x14ac:dyDescent="0.3">
      <c r="A3" t="s">
        <v>1170</v>
      </c>
    </row>
    <row r="4" spans="1:7" x14ac:dyDescent="0.3">
      <c r="A4" s="15" t="s">
        <v>717</v>
      </c>
    </row>
    <row r="5" spans="1:7" x14ac:dyDescent="0.3">
      <c r="A5" s="15" t="s">
        <v>1171</v>
      </c>
    </row>
    <row r="6" spans="1:7" x14ac:dyDescent="0.3">
      <c r="A6" t="s">
        <v>788</v>
      </c>
    </row>
    <row r="8" spans="1:7" x14ac:dyDescent="0.3">
      <c r="A8" s="16" t="s">
        <v>360</v>
      </c>
      <c r="B8" s="16" t="s">
        <v>712</v>
      </c>
      <c r="C8" s="16" t="s">
        <v>789</v>
      </c>
      <c r="D8" s="16" t="s">
        <v>790</v>
      </c>
      <c r="E8" s="16" t="s">
        <v>791</v>
      </c>
      <c r="F8" s="16" t="s">
        <v>792</v>
      </c>
      <c r="G8" s="16" t="s">
        <v>266</v>
      </c>
    </row>
    <row r="9" spans="1:7" x14ac:dyDescent="0.3">
      <c r="A9" s="12" t="s">
        <v>160</v>
      </c>
      <c r="B9" s="12" t="s">
        <v>49</v>
      </c>
      <c r="C9" s="12" t="s">
        <v>796</v>
      </c>
      <c r="D9" s="12" t="s">
        <v>1172</v>
      </c>
      <c r="E9" s="12">
        <v>150</v>
      </c>
      <c r="F9" s="12"/>
      <c r="G9" s="12" t="s">
        <v>275</v>
      </c>
    </row>
    <row r="10" spans="1:7" x14ac:dyDescent="0.3">
      <c r="A10" s="12" t="s">
        <v>160</v>
      </c>
      <c r="B10" s="12" t="s">
        <v>51</v>
      </c>
      <c r="C10" s="12" t="s">
        <v>796</v>
      </c>
      <c r="D10" s="12" t="s">
        <v>1173</v>
      </c>
      <c r="E10" s="12">
        <v>150</v>
      </c>
      <c r="F10" s="12"/>
      <c r="G10" s="12" t="s">
        <v>275</v>
      </c>
    </row>
    <row r="11" spans="1:7" x14ac:dyDescent="0.3">
      <c r="A11" s="12" t="s">
        <v>160</v>
      </c>
      <c r="B11" s="12" t="s">
        <v>53</v>
      </c>
      <c r="C11" s="12" t="s">
        <v>796</v>
      </c>
      <c r="D11" s="12" t="s">
        <v>1174</v>
      </c>
      <c r="E11" s="12">
        <v>150</v>
      </c>
      <c r="F11" s="12"/>
      <c r="G11" s="12" t="s">
        <v>270</v>
      </c>
    </row>
    <row r="12" spans="1:7" x14ac:dyDescent="0.3">
      <c r="A12" s="12" t="s">
        <v>160</v>
      </c>
      <c r="B12" s="12" t="s">
        <v>54</v>
      </c>
      <c r="C12" s="12" t="s">
        <v>796</v>
      </c>
      <c r="D12" s="12" t="s">
        <v>1175</v>
      </c>
      <c r="E12" s="12">
        <v>150</v>
      </c>
      <c r="F12" s="12"/>
      <c r="G12" s="12" t="s">
        <v>270</v>
      </c>
    </row>
    <row r="13" spans="1:7" x14ac:dyDescent="0.3">
      <c r="A13" s="12" t="s">
        <v>160</v>
      </c>
      <c r="B13" s="12" t="s">
        <v>55</v>
      </c>
      <c r="C13" s="12" t="s">
        <v>796</v>
      </c>
      <c r="D13" s="12" t="s">
        <v>1176</v>
      </c>
      <c r="E13" s="12">
        <v>150</v>
      </c>
      <c r="F13" s="12"/>
      <c r="G13" s="12" t="s">
        <v>273</v>
      </c>
    </row>
    <row r="14" spans="1:7" x14ac:dyDescent="0.3">
      <c r="A14" s="12" t="s">
        <v>160</v>
      </c>
      <c r="B14" s="12" t="s">
        <v>57</v>
      </c>
      <c r="C14" s="12" t="s">
        <v>793</v>
      </c>
      <c r="D14" s="12" t="s">
        <v>800</v>
      </c>
      <c r="E14" s="12"/>
      <c r="F14" s="12" t="s">
        <v>749</v>
      </c>
      <c r="G14" s="12" t="s">
        <v>283</v>
      </c>
    </row>
    <row r="15" spans="1:7" x14ac:dyDescent="0.3">
      <c r="A15" s="12" t="s">
        <v>160</v>
      </c>
      <c r="B15" s="12" t="s">
        <v>59</v>
      </c>
      <c r="C15" s="12" t="s">
        <v>796</v>
      </c>
      <c r="D15" s="12" t="s">
        <v>1177</v>
      </c>
      <c r="E15" s="12">
        <v>150</v>
      </c>
      <c r="F15" s="12"/>
      <c r="G15" s="12" t="s">
        <v>273</v>
      </c>
    </row>
    <row r="16" spans="1:7" x14ac:dyDescent="0.3">
      <c r="A16" s="12" t="s">
        <v>160</v>
      </c>
      <c r="B16" s="12" t="s">
        <v>61</v>
      </c>
      <c r="C16" s="12" t="s">
        <v>796</v>
      </c>
      <c r="D16" s="12" t="s">
        <v>1178</v>
      </c>
      <c r="E16" s="12">
        <v>150</v>
      </c>
      <c r="F16" s="12"/>
      <c r="G16" s="12" t="s">
        <v>273</v>
      </c>
    </row>
    <row r="17" spans="1:7" x14ac:dyDescent="0.3">
      <c r="A17" s="12" t="s">
        <v>160</v>
      </c>
      <c r="B17" s="12" t="s">
        <v>63</v>
      </c>
      <c r="C17" s="12" t="s">
        <v>796</v>
      </c>
      <c r="D17" s="12" t="s">
        <v>1164</v>
      </c>
      <c r="E17" s="12">
        <v>150</v>
      </c>
      <c r="F17" s="12"/>
      <c r="G17" s="12" t="s">
        <v>273</v>
      </c>
    </row>
    <row r="18" spans="1:7" x14ac:dyDescent="0.3">
      <c r="A18" s="12" t="s">
        <v>160</v>
      </c>
      <c r="B18" s="12" t="s">
        <v>64</v>
      </c>
      <c r="C18" s="12" t="s">
        <v>796</v>
      </c>
      <c r="D18" s="12" t="s">
        <v>1179</v>
      </c>
      <c r="E18" s="12">
        <v>150</v>
      </c>
      <c r="F18" s="12"/>
      <c r="G18" s="12" t="s">
        <v>273</v>
      </c>
    </row>
    <row r="19" spans="1:7" x14ac:dyDescent="0.3">
      <c r="A19" s="12" t="s">
        <v>160</v>
      </c>
      <c r="B19" s="12" t="s">
        <v>65</v>
      </c>
      <c r="C19" s="12" t="s">
        <v>796</v>
      </c>
      <c r="D19" s="12" t="s">
        <v>1180</v>
      </c>
      <c r="E19" s="12">
        <v>150</v>
      </c>
      <c r="F19" s="12"/>
      <c r="G19" s="12" t="s">
        <v>273</v>
      </c>
    </row>
    <row r="20" spans="1:7" x14ac:dyDescent="0.3">
      <c r="A20" s="12" t="s">
        <v>160</v>
      </c>
      <c r="B20" s="12" t="s">
        <v>66</v>
      </c>
      <c r="C20" s="12" t="s">
        <v>796</v>
      </c>
      <c r="D20" s="12" t="s">
        <v>1173</v>
      </c>
      <c r="E20" s="12">
        <v>135</v>
      </c>
      <c r="F20" s="12"/>
      <c r="G20" s="12" t="s">
        <v>275</v>
      </c>
    </row>
    <row r="21" spans="1:7" x14ac:dyDescent="0.3">
      <c r="A21" s="12" t="s">
        <v>160</v>
      </c>
      <c r="B21" s="12" t="s">
        <v>803</v>
      </c>
      <c r="C21" s="12" t="s">
        <v>793</v>
      </c>
      <c r="D21" s="12" t="s">
        <v>804</v>
      </c>
      <c r="E21" s="12"/>
      <c r="F21" s="12"/>
      <c r="G21" s="12" t="s">
        <v>273</v>
      </c>
    </row>
    <row r="23" spans="1:7" x14ac:dyDescent="0.3">
      <c r="A23" s="17" t="s">
        <v>900</v>
      </c>
    </row>
  </sheetData>
  <autoFilter ref="A8:G21" xr:uid="{00000000-0009-0000-0000-000025000000}"/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1"/>
  <sheetViews>
    <sheetView workbookViewId="0"/>
  </sheetViews>
  <sheetFormatPr baseColWidth="10" defaultColWidth="8.88671875" defaultRowHeight="14.4" x14ac:dyDescent="0.3"/>
  <cols>
    <col min="1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1181</v>
      </c>
    </row>
    <row r="2" spans="1:11" x14ac:dyDescent="0.3">
      <c r="A2" t="s">
        <v>1169</v>
      </c>
    </row>
    <row r="3" spans="1:11" x14ac:dyDescent="0.3">
      <c r="A3" t="s">
        <v>1170</v>
      </c>
    </row>
    <row r="4" spans="1:11" x14ac:dyDescent="0.3">
      <c r="A4" s="15" t="s">
        <v>717</v>
      </c>
    </row>
    <row r="5" spans="1:11" x14ac:dyDescent="0.3">
      <c r="A5" s="15" t="s">
        <v>1171</v>
      </c>
    </row>
    <row r="6" spans="1:11" x14ac:dyDescent="0.3">
      <c r="A6" t="s">
        <v>811</v>
      </c>
    </row>
    <row r="8" spans="1:11" x14ac:dyDescent="0.3">
      <c r="A8" s="16" t="s">
        <v>360</v>
      </c>
      <c r="B8" s="16" t="s">
        <v>30</v>
      </c>
      <c r="C8" s="16" t="s">
        <v>812</v>
      </c>
      <c r="D8" s="16" t="s">
        <v>813</v>
      </c>
      <c r="E8" s="16" t="s">
        <v>32</v>
      </c>
      <c r="F8" s="16" t="s">
        <v>33</v>
      </c>
      <c r="G8" s="16" t="s">
        <v>814</v>
      </c>
      <c r="H8" s="16" t="s">
        <v>815</v>
      </c>
      <c r="I8" s="16" t="s">
        <v>816</v>
      </c>
      <c r="J8" s="16" t="s">
        <v>295</v>
      </c>
      <c r="K8" s="16" t="s">
        <v>817</v>
      </c>
    </row>
    <row r="9" spans="1:11" x14ac:dyDescent="0.3">
      <c r="A9" s="12" t="s">
        <v>160</v>
      </c>
      <c r="B9" s="12">
        <v>150</v>
      </c>
      <c r="C9" s="12">
        <v>15</v>
      </c>
      <c r="D9" s="12">
        <v>120</v>
      </c>
      <c r="E9" s="12">
        <v>75</v>
      </c>
      <c r="F9" s="12">
        <v>45</v>
      </c>
      <c r="G9" s="12">
        <v>43</v>
      </c>
      <c r="H9" s="12">
        <v>2</v>
      </c>
      <c r="I9" s="12">
        <v>9</v>
      </c>
      <c r="J9" s="12">
        <v>6</v>
      </c>
      <c r="K9" s="12">
        <v>58</v>
      </c>
    </row>
    <row r="11" spans="1:11" x14ac:dyDescent="0.3">
      <c r="A11" s="17" t="s">
        <v>902</v>
      </c>
    </row>
  </sheetData>
  <autoFilter ref="A8:K9" xr:uid="{00000000-0009-0000-0000-000026000000}"/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22"/>
  <sheetViews>
    <sheetView workbookViewId="0"/>
  </sheetViews>
  <sheetFormatPr baseColWidth="10" defaultColWidth="8.88671875" defaultRowHeight="14.4" x14ac:dyDescent="0.3"/>
  <cols>
    <col min="1" max="1" width="10" customWidth="1"/>
    <col min="2" max="2" width="11" customWidth="1"/>
    <col min="3" max="4" width="17" customWidth="1"/>
    <col min="5" max="6" width="10" customWidth="1"/>
    <col min="7" max="7" width="12" customWidth="1"/>
    <col min="8" max="8" width="28" customWidth="1"/>
  </cols>
  <sheetData>
    <row r="1" spans="1:8" ht="17.399999999999999" x14ac:dyDescent="0.35">
      <c r="A1" s="1" t="s">
        <v>1182</v>
      </c>
    </row>
    <row r="2" spans="1:8" x14ac:dyDescent="0.3">
      <c r="A2" t="s">
        <v>1169</v>
      </c>
    </row>
    <row r="3" spans="1:8" x14ac:dyDescent="0.3">
      <c r="A3" t="s">
        <v>1170</v>
      </c>
    </row>
    <row r="4" spans="1:8" x14ac:dyDescent="0.3">
      <c r="A4" s="15" t="s">
        <v>717</v>
      </c>
    </row>
    <row r="5" spans="1:8" x14ac:dyDescent="0.3">
      <c r="A5" s="15" t="s">
        <v>1171</v>
      </c>
    </row>
    <row r="6" spans="1:8" x14ac:dyDescent="0.3">
      <c r="A6" t="s">
        <v>1183</v>
      </c>
    </row>
    <row r="8" spans="1:8" x14ac:dyDescent="0.3">
      <c r="A8" s="16" t="s">
        <v>1184</v>
      </c>
      <c r="B8" s="16" t="s">
        <v>1141</v>
      </c>
      <c r="C8" s="16" t="s">
        <v>1142</v>
      </c>
      <c r="D8" s="16" t="s">
        <v>1143</v>
      </c>
      <c r="E8" s="16" t="s">
        <v>1123</v>
      </c>
      <c r="F8" s="16" t="s">
        <v>32</v>
      </c>
      <c r="G8" s="16" t="s">
        <v>1144</v>
      </c>
      <c r="H8" s="16" t="s">
        <v>1185</v>
      </c>
    </row>
    <row r="9" spans="1:8" x14ac:dyDescent="0.3">
      <c r="A9" s="12" t="s">
        <v>1186</v>
      </c>
      <c r="B9" s="12" t="s">
        <v>1187</v>
      </c>
      <c r="C9" s="12">
        <v>1300</v>
      </c>
      <c r="D9" s="12">
        <v>1400</v>
      </c>
      <c r="E9" s="12">
        <v>42</v>
      </c>
      <c r="F9" s="12">
        <v>15</v>
      </c>
      <c r="G9" s="21">
        <v>35.700000000000003</v>
      </c>
      <c r="H9" s="23">
        <v>1384.3</v>
      </c>
    </row>
    <row r="10" spans="1:8" x14ac:dyDescent="0.3">
      <c r="A10" s="12" t="s">
        <v>1186</v>
      </c>
      <c r="B10" s="12" t="s">
        <v>1188</v>
      </c>
      <c r="C10" s="12">
        <v>1400</v>
      </c>
      <c r="D10" s="12">
        <v>1500</v>
      </c>
      <c r="E10" s="12">
        <v>42</v>
      </c>
      <c r="F10" s="12">
        <v>21</v>
      </c>
      <c r="G10" s="21">
        <v>50</v>
      </c>
      <c r="H10" s="23">
        <v>1493.2</v>
      </c>
    </row>
    <row r="11" spans="1:8" x14ac:dyDescent="0.3">
      <c r="A11" s="12" t="s">
        <v>1189</v>
      </c>
      <c r="B11" s="12" t="s">
        <v>1190</v>
      </c>
      <c r="C11" s="12">
        <v>1500</v>
      </c>
      <c r="D11" s="12">
        <v>1600</v>
      </c>
      <c r="E11" s="12">
        <v>15</v>
      </c>
      <c r="F11" s="12">
        <v>5</v>
      </c>
      <c r="G11" s="21">
        <v>33.299999999999997</v>
      </c>
      <c r="H11" s="23">
        <v>1593</v>
      </c>
    </row>
    <row r="12" spans="1:8" x14ac:dyDescent="0.3">
      <c r="A12" s="12" t="s">
        <v>1189</v>
      </c>
      <c r="B12" s="12" t="s">
        <v>1191</v>
      </c>
      <c r="C12" s="12">
        <v>1600</v>
      </c>
      <c r="D12" s="12">
        <v>1700</v>
      </c>
      <c r="E12" s="12">
        <v>15</v>
      </c>
      <c r="F12" s="12">
        <v>8</v>
      </c>
      <c r="G12" s="21">
        <v>53.3</v>
      </c>
      <c r="H12" s="23">
        <v>1655.5</v>
      </c>
    </row>
    <row r="13" spans="1:8" x14ac:dyDescent="0.3">
      <c r="A13" s="12" t="s">
        <v>1189</v>
      </c>
      <c r="B13" s="12" t="s">
        <v>1192</v>
      </c>
      <c r="C13" s="12">
        <v>1700</v>
      </c>
      <c r="D13" s="12">
        <v>1800</v>
      </c>
      <c r="E13" s="12">
        <v>14</v>
      </c>
      <c r="F13" s="12">
        <v>7</v>
      </c>
      <c r="G13" s="21">
        <v>50</v>
      </c>
      <c r="H13" s="23">
        <v>1759.8</v>
      </c>
    </row>
    <row r="14" spans="1:8" x14ac:dyDescent="0.3">
      <c r="A14" s="12" t="s">
        <v>1189</v>
      </c>
      <c r="B14" s="12" t="s">
        <v>1193</v>
      </c>
      <c r="C14" s="12">
        <v>1800</v>
      </c>
      <c r="D14" s="12">
        <v>1900</v>
      </c>
      <c r="E14" s="12">
        <v>15</v>
      </c>
      <c r="F14" s="12">
        <v>10</v>
      </c>
      <c r="G14" s="21">
        <v>66.7</v>
      </c>
      <c r="H14" s="23">
        <v>1896.9</v>
      </c>
    </row>
    <row r="15" spans="1:8" x14ac:dyDescent="0.3">
      <c r="A15" s="12" t="s">
        <v>1189</v>
      </c>
      <c r="B15" s="12" t="s">
        <v>1194</v>
      </c>
      <c r="C15" s="12">
        <v>1900</v>
      </c>
      <c r="D15" s="12">
        <v>2000</v>
      </c>
      <c r="E15" s="12">
        <v>13</v>
      </c>
      <c r="F15" s="12">
        <v>9</v>
      </c>
      <c r="G15" s="21">
        <v>69.2</v>
      </c>
      <c r="H15" s="23">
        <v>1981.4</v>
      </c>
    </row>
    <row r="16" spans="1:8" x14ac:dyDescent="0.3">
      <c r="A16" s="12" t="s">
        <v>1189</v>
      </c>
      <c r="B16" s="12" t="s">
        <v>1195</v>
      </c>
      <c r="C16" s="12">
        <v>2000</v>
      </c>
      <c r="D16" s="12">
        <v>2100</v>
      </c>
      <c r="E16" s="12">
        <v>13</v>
      </c>
      <c r="F16" s="12">
        <v>8</v>
      </c>
      <c r="G16" s="21">
        <v>61.5</v>
      </c>
      <c r="H16" s="23">
        <v>2096.1999999999998</v>
      </c>
    </row>
    <row r="17" spans="1:8" x14ac:dyDescent="0.3">
      <c r="A17" s="12" t="s">
        <v>1189</v>
      </c>
      <c r="B17" s="12" t="s">
        <v>1196</v>
      </c>
      <c r="C17" s="12">
        <v>2100</v>
      </c>
      <c r="D17" s="12">
        <v>2200</v>
      </c>
      <c r="E17" s="12">
        <v>14</v>
      </c>
      <c r="F17" s="12">
        <v>7</v>
      </c>
      <c r="G17" s="21">
        <v>50</v>
      </c>
      <c r="H17" s="23">
        <v>2198.6999999999998</v>
      </c>
    </row>
    <row r="18" spans="1:8" x14ac:dyDescent="0.3">
      <c r="A18" s="12" t="s">
        <v>1189</v>
      </c>
      <c r="B18" s="12" t="s">
        <v>1197</v>
      </c>
      <c r="C18" s="12">
        <v>2200</v>
      </c>
      <c r="D18" s="12">
        <v>2300</v>
      </c>
      <c r="E18" s="12">
        <v>14</v>
      </c>
      <c r="F18" s="12">
        <v>5</v>
      </c>
      <c r="G18" s="21">
        <v>35.700000000000003</v>
      </c>
      <c r="H18" s="23">
        <v>2292.6</v>
      </c>
    </row>
    <row r="19" spans="1:8" x14ac:dyDescent="0.3">
      <c r="A19" s="12" t="s">
        <v>1189</v>
      </c>
      <c r="B19" s="12" t="s">
        <v>1198</v>
      </c>
      <c r="C19" s="12">
        <v>2300</v>
      </c>
      <c r="D19" s="12">
        <v>2400</v>
      </c>
      <c r="E19" s="12">
        <v>10</v>
      </c>
      <c r="F19" s="12">
        <v>7</v>
      </c>
      <c r="G19" s="21">
        <v>70</v>
      </c>
      <c r="H19" s="23">
        <v>2388.1999999999998</v>
      </c>
    </row>
    <row r="20" spans="1:8" x14ac:dyDescent="0.3">
      <c r="A20" s="12" t="s">
        <v>1189</v>
      </c>
      <c r="B20" s="12" t="s">
        <v>1199</v>
      </c>
      <c r="C20" s="12">
        <v>2400</v>
      </c>
      <c r="D20" s="12">
        <v>2500</v>
      </c>
      <c r="E20" s="12">
        <v>12</v>
      </c>
      <c r="F20" s="12">
        <v>9</v>
      </c>
      <c r="G20" s="21">
        <v>75</v>
      </c>
      <c r="H20" s="23">
        <v>2494.5</v>
      </c>
    </row>
    <row r="22" spans="1:8" x14ac:dyDescent="0.3">
      <c r="A22" s="17" t="s">
        <v>954</v>
      </c>
    </row>
  </sheetData>
  <autoFilter ref="A8:H20" xr:uid="{00000000-0009-0000-0000-000027000000}"/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16"/>
  <sheetViews>
    <sheetView workbookViewId="0"/>
  </sheetViews>
  <sheetFormatPr baseColWidth="10" defaultColWidth="8.88671875" defaultRowHeight="14.4" x14ac:dyDescent="0.3"/>
  <cols>
    <col min="1" max="1" width="11" customWidth="1"/>
    <col min="2" max="3" width="17" customWidth="1"/>
    <col min="4" max="5" width="10" customWidth="1"/>
    <col min="6" max="6" width="12" customWidth="1"/>
    <col min="7" max="7" width="28" customWidth="1"/>
  </cols>
  <sheetData>
    <row r="1" spans="1:7" ht="17.399999999999999" x14ac:dyDescent="0.35">
      <c r="A1" s="1" t="s">
        <v>1200</v>
      </c>
    </row>
    <row r="2" spans="1:7" x14ac:dyDescent="0.3">
      <c r="A2" t="s">
        <v>1169</v>
      </c>
    </row>
    <row r="3" spans="1:7" x14ac:dyDescent="0.3">
      <c r="A3" t="s">
        <v>1170</v>
      </c>
    </row>
    <row r="4" spans="1:7" x14ac:dyDescent="0.3">
      <c r="A4" s="15" t="s">
        <v>717</v>
      </c>
    </row>
    <row r="5" spans="1:7" x14ac:dyDescent="0.3">
      <c r="A5" s="15" t="s">
        <v>1171</v>
      </c>
    </row>
    <row r="6" spans="1:7" x14ac:dyDescent="0.3">
      <c r="A6" t="s">
        <v>1201</v>
      </c>
    </row>
    <row r="8" spans="1:7" x14ac:dyDescent="0.3">
      <c r="A8" s="16" t="s">
        <v>1141</v>
      </c>
      <c r="B8" s="16" t="s">
        <v>1142</v>
      </c>
      <c r="C8" s="16" t="s">
        <v>1143</v>
      </c>
      <c r="D8" s="16" t="s">
        <v>1123</v>
      </c>
      <c r="E8" s="16" t="s">
        <v>32</v>
      </c>
      <c r="F8" s="16" t="s">
        <v>1144</v>
      </c>
      <c r="G8" s="16" t="s">
        <v>1185</v>
      </c>
    </row>
    <row r="9" spans="1:7" x14ac:dyDescent="0.3">
      <c r="A9" s="12" t="s">
        <v>1202</v>
      </c>
      <c r="B9" s="12">
        <v>2000</v>
      </c>
      <c r="C9" s="12">
        <v>2500</v>
      </c>
      <c r="D9" s="12">
        <v>94</v>
      </c>
      <c r="E9" s="12">
        <v>23</v>
      </c>
      <c r="F9" s="21">
        <v>24.5</v>
      </c>
      <c r="G9" s="23">
        <v>1921.4</v>
      </c>
    </row>
    <row r="10" spans="1:7" x14ac:dyDescent="0.3">
      <c r="A10" s="12" t="s">
        <v>1203</v>
      </c>
      <c r="B10" s="12">
        <v>2500</v>
      </c>
      <c r="C10" s="12">
        <v>3000</v>
      </c>
      <c r="D10" s="12">
        <v>107</v>
      </c>
      <c r="E10" s="12">
        <v>29</v>
      </c>
      <c r="F10" s="21">
        <v>27.1</v>
      </c>
      <c r="G10" s="23">
        <v>2423</v>
      </c>
    </row>
    <row r="11" spans="1:7" x14ac:dyDescent="0.3">
      <c r="A11" s="12" t="s">
        <v>1204</v>
      </c>
      <c r="B11" s="12">
        <v>3000</v>
      </c>
      <c r="C11" s="12">
        <v>3500</v>
      </c>
      <c r="D11" s="12">
        <v>109</v>
      </c>
      <c r="E11" s="12">
        <v>34</v>
      </c>
      <c r="F11" s="21">
        <v>31.2</v>
      </c>
      <c r="G11" s="23">
        <v>2479.4</v>
      </c>
    </row>
    <row r="12" spans="1:7" x14ac:dyDescent="0.3">
      <c r="A12" s="12" t="s">
        <v>1205</v>
      </c>
      <c r="B12" s="12">
        <v>3500</v>
      </c>
      <c r="C12" s="12">
        <v>4000</v>
      </c>
      <c r="D12" s="12">
        <v>108</v>
      </c>
      <c r="E12" s="12">
        <v>43</v>
      </c>
      <c r="F12" s="21">
        <v>39.799999999999997</v>
      </c>
      <c r="G12" s="23">
        <v>2494.5</v>
      </c>
    </row>
    <row r="13" spans="1:7" x14ac:dyDescent="0.3">
      <c r="A13" s="12" t="s">
        <v>1206</v>
      </c>
      <c r="B13" s="12">
        <v>4000</v>
      </c>
      <c r="C13" s="12">
        <v>4500</v>
      </c>
      <c r="D13" s="12">
        <v>109</v>
      </c>
      <c r="E13" s="12">
        <v>32</v>
      </c>
      <c r="F13" s="21">
        <v>29.4</v>
      </c>
      <c r="G13" s="23">
        <v>2418.8000000000002</v>
      </c>
    </row>
    <row r="14" spans="1:7" x14ac:dyDescent="0.3">
      <c r="A14" s="12" t="s">
        <v>1207</v>
      </c>
      <c r="B14" s="12">
        <v>4500</v>
      </c>
      <c r="C14" s="12">
        <v>5000</v>
      </c>
      <c r="D14" s="12">
        <v>108</v>
      </c>
      <c r="E14" s="12">
        <v>35</v>
      </c>
      <c r="F14" s="21">
        <v>32.4</v>
      </c>
      <c r="G14" s="23">
        <v>2482.4</v>
      </c>
    </row>
    <row r="16" spans="1:7" x14ac:dyDescent="0.3">
      <c r="A16" s="17" t="s">
        <v>1151</v>
      </c>
    </row>
  </sheetData>
  <autoFilter ref="A8:G14" xr:uid="{00000000-0009-0000-0000-000028000000}"/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88"/>
  <sheetViews>
    <sheetView workbookViewId="0"/>
  </sheetViews>
  <sheetFormatPr baseColWidth="10" defaultColWidth="8.88671875" defaultRowHeight="14.4" x14ac:dyDescent="0.3"/>
  <cols>
    <col min="1" max="1" width="10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1" ht="17.399999999999999" x14ac:dyDescent="0.35">
      <c r="A1" s="1" t="s">
        <v>1208</v>
      </c>
    </row>
    <row r="2" spans="1:1" x14ac:dyDescent="0.3">
      <c r="A2" t="s">
        <v>1209</v>
      </c>
    </row>
    <row r="3" spans="1:1" x14ac:dyDescent="0.3">
      <c r="A3" t="s">
        <v>1210</v>
      </c>
    </row>
    <row r="4" spans="1:1" x14ac:dyDescent="0.3">
      <c r="A4" s="8" t="s">
        <v>1211</v>
      </c>
    </row>
    <row r="5" spans="1:1" x14ac:dyDescent="0.3">
      <c r="A5" s="15" t="s">
        <v>722</v>
      </c>
    </row>
    <row r="6" spans="1:1" x14ac:dyDescent="0.3">
      <c r="A6" s="15" t="s">
        <v>1212</v>
      </c>
    </row>
    <row r="7" spans="1:1" x14ac:dyDescent="0.3">
      <c r="A7" s="8" t="s">
        <v>1213</v>
      </c>
    </row>
    <row r="8" spans="1:1" x14ac:dyDescent="0.3">
      <c r="A8" s="15" t="s">
        <v>725</v>
      </c>
    </row>
    <row r="9" spans="1:1" x14ac:dyDescent="0.3">
      <c r="A9" s="15" t="s">
        <v>1214</v>
      </c>
    </row>
    <row r="10" spans="1:1" x14ac:dyDescent="0.3">
      <c r="A10" s="8" t="s">
        <v>1215</v>
      </c>
    </row>
    <row r="11" spans="1:1" x14ac:dyDescent="0.3">
      <c r="A11" s="15" t="s">
        <v>729</v>
      </c>
    </row>
    <row r="12" spans="1:1" x14ac:dyDescent="0.3">
      <c r="A12" s="15" t="s">
        <v>1216</v>
      </c>
    </row>
    <row r="13" spans="1:1" x14ac:dyDescent="0.3">
      <c r="A13" s="8" t="s">
        <v>1217</v>
      </c>
    </row>
    <row r="14" spans="1:1" x14ac:dyDescent="0.3">
      <c r="A14" s="15" t="s">
        <v>732</v>
      </c>
    </row>
    <row r="15" spans="1:1" x14ac:dyDescent="0.3">
      <c r="A15" s="15" t="s">
        <v>1218</v>
      </c>
    </row>
    <row r="16" spans="1:1" x14ac:dyDescent="0.3">
      <c r="A16" s="8" t="s">
        <v>1219</v>
      </c>
    </row>
    <row r="17" spans="1:7" x14ac:dyDescent="0.3">
      <c r="A17" s="15" t="s">
        <v>735</v>
      </c>
    </row>
    <row r="18" spans="1:7" x14ac:dyDescent="0.3">
      <c r="A18" s="15" t="s">
        <v>1220</v>
      </c>
    </row>
    <row r="19" spans="1:7" x14ac:dyDescent="0.3">
      <c r="A19" t="s">
        <v>788</v>
      </c>
    </row>
    <row r="21" spans="1:7" x14ac:dyDescent="0.3">
      <c r="A21" s="16" t="s">
        <v>360</v>
      </c>
      <c r="B21" s="16" t="s">
        <v>712</v>
      </c>
      <c r="C21" s="16" t="s">
        <v>789</v>
      </c>
      <c r="D21" s="16" t="s">
        <v>790</v>
      </c>
      <c r="E21" s="16" t="s">
        <v>791</v>
      </c>
      <c r="F21" s="16" t="s">
        <v>792</v>
      </c>
      <c r="G21" s="16" t="s">
        <v>266</v>
      </c>
    </row>
    <row r="22" spans="1:7" x14ac:dyDescent="0.3">
      <c r="A22" s="12" t="s">
        <v>430</v>
      </c>
      <c r="B22" s="12" t="s">
        <v>49</v>
      </c>
      <c r="C22" s="12" t="s">
        <v>793</v>
      </c>
      <c r="D22" s="12" t="s">
        <v>794</v>
      </c>
      <c r="E22" s="12"/>
      <c r="F22" s="12" t="s">
        <v>749</v>
      </c>
      <c r="G22" s="12" t="s">
        <v>275</v>
      </c>
    </row>
    <row r="23" spans="1:7" x14ac:dyDescent="0.3">
      <c r="A23" s="12" t="s">
        <v>430</v>
      </c>
      <c r="B23" s="12" t="s">
        <v>51</v>
      </c>
      <c r="C23" s="12" t="s">
        <v>793</v>
      </c>
      <c r="D23" s="12" t="s">
        <v>795</v>
      </c>
      <c r="E23" s="12"/>
      <c r="F23" s="12" t="s">
        <v>749</v>
      </c>
      <c r="G23" s="12" t="s">
        <v>275</v>
      </c>
    </row>
    <row r="24" spans="1:7" x14ac:dyDescent="0.3">
      <c r="A24" s="12" t="s">
        <v>430</v>
      </c>
      <c r="B24" s="12" t="s">
        <v>53</v>
      </c>
      <c r="C24" s="12" t="s">
        <v>796</v>
      </c>
      <c r="D24" s="12" t="s">
        <v>1221</v>
      </c>
      <c r="E24" s="12">
        <v>120</v>
      </c>
      <c r="F24" s="12"/>
      <c r="G24" s="12" t="s">
        <v>270</v>
      </c>
    </row>
    <row r="25" spans="1:7" x14ac:dyDescent="0.3">
      <c r="A25" s="12" t="s">
        <v>430</v>
      </c>
      <c r="B25" s="12" t="s">
        <v>54</v>
      </c>
      <c r="C25" s="12" t="s">
        <v>796</v>
      </c>
      <c r="D25" s="12" t="s">
        <v>1222</v>
      </c>
      <c r="E25" s="12">
        <v>120</v>
      </c>
      <c r="F25" s="12"/>
      <c r="G25" s="12" t="s">
        <v>270</v>
      </c>
    </row>
    <row r="26" spans="1:7" x14ac:dyDescent="0.3">
      <c r="A26" s="12" t="s">
        <v>430</v>
      </c>
      <c r="B26" s="12" t="s">
        <v>55</v>
      </c>
      <c r="C26" s="12" t="s">
        <v>796</v>
      </c>
      <c r="D26" s="12" t="s">
        <v>1223</v>
      </c>
      <c r="E26" s="12">
        <v>120</v>
      </c>
      <c r="F26" s="12"/>
      <c r="G26" s="12" t="s">
        <v>273</v>
      </c>
    </row>
    <row r="27" spans="1:7" x14ac:dyDescent="0.3">
      <c r="A27" s="12" t="s">
        <v>430</v>
      </c>
      <c r="B27" s="12" t="s">
        <v>57</v>
      </c>
      <c r="C27" s="12" t="s">
        <v>793</v>
      </c>
      <c r="D27" s="12" t="s">
        <v>800</v>
      </c>
      <c r="E27" s="12"/>
      <c r="F27" s="12" t="s">
        <v>749</v>
      </c>
      <c r="G27" s="12" t="s">
        <v>283</v>
      </c>
    </row>
    <row r="28" spans="1:7" x14ac:dyDescent="0.3">
      <c r="A28" s="12" t="s">
        <v>430</v>
      </c>
      <c r="B28" s="12" t="s">
        <v>59</v>
      </c>
      <c r="C28" s="12" t="s">
        <v>796</v>
      </c>
      <c r="D28" s="12" t="s">
        <v>1224</v>
      </c>
      <c r="E28" s="12">
        <v>120</v>
      </c>
      <c r="F28" s="12"/>
      <c r="G28" s="12" t="s">
        <v>273</v>
      </c>
    </row>
    <row r="29" spans="1:7" x14ac:dyDescent="0.3">
      <c r="A29" s="12" t="s">
        <v>430</v>
      </c>
      <c r="B29" s="12" t="s">
        <v>61</v>
      </c>
      <c r="C29" s="12" t="s">
        <v>796</v>
      </c>
      <c r="D29" s="12" t="s">
        <v>1225</v>
      </c>
      <c r="E29" s="12">
        <v>120</v>
      </c>
      <c r="F29" s="12"/>
      <c r="G29" s="12" t="s">
        <v>273</v>
      </c>
    </row>
    <row r="30" spans="1:7" x14ac:dyDescent="0.3">
      <c r="A30" s="12" t="s">
        <v>430</v>
      </c>
      <c r="B30" s="12" t="s">
        <v>63</v>
      </c>
      <c r="C30" s="12" t="s">
        <v>796</v>
      </c>
      <c r="D30" s="12" t="s">
        <v>1225</v>
      </c>
      <c r="E30" s="12">
        <v>120</v>
      </c>
      <c r="F30" s="12"/>
      <c r="G30" s="12" t="s">
        <v>273</v>
      </c>
    </row>
    <row r="31" spans="1:7" x14ac:dyDescent="0.3">
      <c r="A31" s="12" t="s">
        <v>430</v>
      </c>
      <c r="B31" s="12" t="s">
        <v>64</v>
      </c>
      <c r="C31" s="12" t="s">
        <v>796</v>
      </c>
      <c r="D31" s="12" t="s">
        <v>1226</v>
      </c>
      <c r="E31" s="12">
        <v>120</v>
      </c>
      <c r="F31" s="12"/>
      <c r="G31" s="12" t="s">
        <v>273</v>
      </c>
    </row>
    <row r="32" spans="1:7" x14ac:dyDescent="0.3">
      <c r="A32" s="12" t="s">
        <v>430</v>
      </c>
      <c r="B32" s="12" t="s">
        <v>65</v>
      </c>
      <c r="C32" s="12" t="s">
        <v>796</v>
      </c>
      <c r="D32" s="12" t="s">
        <v>1227</v>
      </c>
      <c r="E32" s="12">
        <v>120</v>
      </c>
      <c r="F32" s="12"/>
      <c r="G32" s="12" t="s">
        <v>273</v>
      </c>
    </row>
    <row r="33" spans="1:7" x14ac:dyDescent="0.3">
      <c r="A33" s="12" t="s">
        <v>430</v>
      </c>
      <c r="B33" s="12" t="s">
        <v>66</v>
      </c>
      <c r="C33" s="12" t="s">
        <v>793</v>
      </c>
      <c r="D33" s="12" t="s">
        <v>795</v>
      </c>
      <c r="E33" s="12"/>
      <c r="F33" s="12" t="s">
        <v>749</v>
      </c>
      <c r="G33" s="12" t="s">
        <v>275</v>
      </c>
    </row>
    <row r="34" spans="1:7" x14ac:dyDescent="0.3">
      <c r="A34" s="12" t="s">
        <v>430</v>
      </c>
      <c r="B34" s="12" t="s">
        <v>803</v>
      </c>
      <c r="C34" s="12" t="s">
        <v>793</v>
      </c>
      <c r="D34" s="12" t="s">
        <v>804</v>
      </c>
      <c r="E34" s="12"/>
      <c r="F34" s="12"/>
      <c r="G34" s="12" t="s">
        <v>273</v>
      </c>
    </row>
    <row r="35" spans="1:7" x14ac:dyDescent="0.3">
      <c r="A35" s="12" t="s">
        <v>439</v>
      </c>
      <c r="B35" s="12" t="s">
        <v>49</v>
      </c>
      <c r="C35" s="12" t="s">
        <v>796</v>
      </c>
      <c r="D35" s="12" t="s">
        <v>1228</v>
      </c>
      <c r="E35" s="12">
        <v>120</v>
      </c>
      <c r="F35" s="12"/>
      <c r="G35" s="12" t="s">
        <v>275</v>
      </c>
    </row>
    <row r="36" spans="1:7" x14ac:dyDescent="0.3">
      <c r="A36" s="12" t="s">
        <v>439</v>
      </c>
      <c r="B36" s="12" t="s">
        <v>51</v>
      </c>
      <c r="C36" s="12" t="s">
        <v>796</v>
      </c>
      <c r="D36" s="12" t="s">
        <v>1229</v>
      </c>
      <c r="E36" s="12">
        <v>120</v>
      </c>
      <c r="F36" s="12"/>
      <c r="G36" s="12" t="s">
        <v>275</v>
      </c>
    </row>
    <row r="37" spans="1:7" x14ac:dyDescent="0.3">
      <c r="A37" s="12" t="s">
        <v>439</v>
      </c>
      <c r="B37" s="12" t="s">
        <v>53</v>
      </c>
      <c r="C37" s="12" t="s">
        <v>793</v>
      </c>
      <c r="D37" s="12" t="s">
        <v>805</v>
      </c>
      <c r="E37" s="12"/>
      <c r="F37" s="12" t="s">
        <v>749</v>
      </c>
      <c r="G37" s="12" t="s">
        <v>270</v>
      </c>
    </row>
    <row r="38" spans="1:7" x14ac:dyDescent="0.3">
      <c r="A38" s="12" t="s">
        <v>439</v>
      </c>
      <c r="B38" s="12" t="s">
        <v>54</v>
      </c>
      <c r="C38" s="12" t="s">
        <v>793</v>
      </c>
      <c r="D38" s="12" t="s">
        <v>798</v>
      </c>
      <c r="E38" s="12"/>
      <c r="F38" s="12" t="s">
        <v>749</v>
      </c>
      <c r="G38" s="12" t="s">
        <v>270</v>
      </c>
    </row>
    <row r="39" spans="1:7" x14ac:dyDescent="0.3">
      <c r="A39" s="12" t="s">
        <v>439</v>
      </c>
      <c r="B39" s="12" t="s">
        <v>55</v>
      </c>
      <c r="C39" s="12" t="s">
        <v>796</v>
      </c>
      <c r="D39" s="12" t="s">
        <v>1230</v>
      </c>
      <c r="E39" s="12">
        <v>120</v>
      </c>
      <c r="F39" s="12"/>
      <c r="G39" s="12" t="s">
        <v>273</v>
      </c>
    </row>
    <row r="40" spans="1:7" x14ac:dyDescent="0.3">
      <c r="A40" s="12" t="s">
        <v>439</v>
      </c>
      <c r="B40" s="12" t="s">
        <v>57</v>
      </c>
      <c r="C40" s="12" t="s">
        <v>793</v>
      </c>
      <c r="D40" s="12" t="s">
        <v>800</v>
      </c>
      <c r="E40" s="12"/>
      <c r="F40" s="12" t="s">
        <v>749</v>
      </c>
      <c r="G40" s="12" t="s">
        <v>283</v>
      </c>
    </row>
    <row r="41" spans="1:7" x14ac:dyDescent="0.3">
      <c r="A41" s="12" t="s">
        <v>439</v>
      </c>
      <c r="B41" s="12" t="s">
        <v>59</v>
      </c>
      <c r="C41" s="12" t="s">
        <v>796</v>
      </c>
      <c r="D41" s="12" t="s">
        <v>1231</v>
      </c>
      <c r="E41" s="12">
        <v>120</v>
      </c>
      <c r="F41" s="12"/>
      <c r="G41" s="12" t="s">
        <v>273</v>
      </c>
    </row>
    <row r="42" spans="1:7" x14ac:dyDescent="0.3">
      <c r="A42" s="12" t="s">
        <v>439</v>
      </c>
      <c r="B42" s="12" t="s">
        <v>61</v>
      </c>
      <c r="C42" s="12" t="s">
        <v>796</v>
      </c>
      <c r="D42" s="12" t="s">
        <v>1224</v>
      </c>
      <c r="E42" s="12">
        <v>120</v>
      </c>
      <c r="F42" s="12"/>
      <c r="G42" s="12" t="s">
        <v>273</v>
      </c>
    </row>
    <row r="43" spans="1:7" x14ac:dyDescent="0.3">
      <c r="A43" s="12" t="s">
        <v>439</v>
      </c>
      <c r="B43" s="12" t="s">
        <v>63</v>
      </c>
      <c r="C43" s="12" t="s">
        <v>796</v>
      </c>
      <c r="D43" s="12" t="s">
        <v>1232</v>
      </c>
      <c r="E43" s="12">
        <v>120</v>
      </c>
      <c r="F43" s="12"/>
      <c r="G43" s="12" t="s">
        <v>273</v>
      </c>
    </row>
    <row r="44" spans="1:7" x14ac:dyDescent="0.3">
      <c r="A44" s="12" t="s">
        <v>439</v>
      </c>
      <c r="B44" s="12" t="s">
        <v>64</v>
      </c>
      <c r="C44" s="12" t="s">
        <v>796</v>
      </c>
      <c r="D44" s="12" t="s">
        <v>1233</v>
      </c>
      <c r="E44" s="12">
        <v>120</v>
      </c>
      <c r="F44" s="12"/>
      <c r="G44" s="12" t="s">
        <v>273</v>
      </c>
    </row>
    <row r="45" spans="1:7" x14ac:dyDescent="0.3">
      <c r="A45" s="12" t="s">
        <v>439</v>
      </c>
      <c r="B45" s="12" t="s">
        <v>65</v>
      </c>
      <c r="C45" s="12" t="s">
        <v>796</v>
      </c>
      <c r="D45" s="12" t="s">
        <v>1233</v>
      </c>
      <c r="E45" s="12">
        <v>120</v>
      </c>
      <c r="F45" s="12"/>
      <c r="G45" s="12" t="s">
        <v>273</v>
      </c>
    </row>
    <row r="46" spans="1:7" x14ac:dyDescent="0.3">
      <c r="A46" s="12" t="s">
        <v>439</v>
      </c>
      <c r="B46" s="12" t="s">
        <v>66</v>
      </c>
      <c r="C46" s="12" t="s">
        <v>796</v>
      </c>
      <c r="D46" s="12" t="s">
        <v>1229</v>
      </c>
      <c r="E46" s="12">
        <v>120</v>
      </c>
      <c r="F46" s="12"/>
      <c r="G46" s="12" t="s">
        <v>275</v>
      </c>
    </row>
    <row r="47" spans="1:7" x14ac:dyDescent="0.3">
      <c r="A47" s="12" t="s">
        <v>439</v>
      </c>
      <c r="B47" s="12" t="s">
        <v>803</v>
      </c>
      <c r="C47" s="12" t="s">
        <v>793</v>
      </c>
      <c r="D47" s="12" t="s">
        <v>804</v>
      </c>
      <c r="E47" s="12"/>
      <c r="F47" s="12"/>
      <c r="G47" s="12" t="s">
        <v>273</v>
      </c>
    </row>
    <row r="48" spans="1:7" x14ac:dyDescent="0.3">
      <c r="A48" s="12" t="s">
        <v>448</v>
      </c>
      <c r="B48" s="12" t="s">
        <v>49</v>
      </c>
      <c r="C48" s="12" t="s">
        <v>796</v>
      </c>
      <c r="D48" s="12" t="s">
        <v>1234</v>
      </c>
      <c r="E48" s="12">
        <v>120</v>
      </c>
      <c r="F48" s="12"/>
      <c r="G48" s="12" t="s">
        <v>275</v>
      </c>
    </row>
    <row r="49" spans="1:7" x14ac:dyDescent="0.3">
      <c r="A49" s="12" t="s">
        <v>448</v>
      </c>
      <c r="B49" s="12" t="s">
        <v>51</v>
      </c>
      <c r="C49" s="12" t="s">
        <v>793</v>
      </c>
      <c r="D49" s="12" t="s">
        <v>795</v>
      </c>
      <c r="E49" s="12"/>
      <c r="F49" s="12" t="s">
        <v>749</v>
      </c>
      <c r="G49" s="12" t="s">
        <v>275</v>
      </c>
    </row>
    <row r="50" spans="1:7" x14ac:dyDescent="0.3">
      <c r="A50" s="12" t="s">
        <v>448</v>
      </c>
      <c r="B50" s="12" t="s">
        <v>53</v>
      </c>
      <c r="C50" s="12" t="s">
        <v>793</v>
      </c>
      <c r="D50" s="12" t="s">
        <v>805</v>
      </c>
      <c r="E50" s="12"/>
      <c r="F50" s="12" t="s">
        <v>749</v>
      </c>
      <c r="G50" s="12" t="s">
        <v>270</v>
      </c>
    </row>
    <row r="51" spans="1:7" x14ac:dyDescent="0.3">
      <c r="A51" s="12" t="s">
        <v>448</v>
      </c>
      <c r="B51" s="12" t="s">
        <v>54</v>
      </c>
      <c r="C51" s="12" t="s">
        <v>793</v>
      </c>
      <c r="D51" s="12" t="s">
        <v>798</v>
      </c>
      <c r="E51" s="12"/>
      <c r="F51" s="12" t="s">
        <v>749</v>
      </c>
      <c r="G51" s="12" t="s">
        <v>270</v>
      </c>
    </row>
    <row r="52" spans="1:7" x14ac:dyDescent="0.3">
      <c r="A52" s="12" t="s">
        <v>448</v>
      </c>
      <c r="B52" s="12" t="s">
        <v>55</v>
      </c>
      <c r="C52" s="12" t="s">
        <v>796</v>
      </c>
      <c r="D52" s="12" t="s">
        <v>1162</v>
      </c>
      <c r="E52" s="12">
        <v>120</v>
      </c>
      <c r="F52" s="12"/>
      <c r="G52" s="12" t="s">
        <v>273</v>
      </c>
    </row>
    <row r="53" spans="1:7" x14ac:dyDescent="0.3">
      <c r="A53" s="12" t="s">
        <v>448</v>
      </c>
      <c r="B53" s="12" t="s">
        <v>57</v>
      </c>
      <c r="C53" s="12" t="s">
        <v>793</v>
      </c>
      <c r="D53" s="12" t="s">
        <v>800</v>
      </c>
      <c r="E53" s="12"/>
      <c r="F53" s="12" t="s">
        <v>749</v>
      </c>
      <c r="G53" s="12" t="s">
        <v>283</v>
      </c>
    </row>
    <row r="54" spans="1:7" x14ac:dyDescent="0.3">
      <c r="A54" s="12" t="s">
        <v>448</v>
      </c>
      <c r="B54" s="12" t="s">
        <v>59</v>
      </c>
      <c r="C54" s="12" t="s">
        <v>796</v>
      </c>
      <c r="D54" s="12" t="s">
        <v>1235</v>
      </c>
      <c r="E54" s="12">
        <v>120</v>
      </c>
      <c r="F54" s="12"/>
      <c r="G54" s="12" t="s">
        <v>273</v>
      </c>
    </row>
    <row r="55" spans="1:7" x14ac:dyDescent="0.3">
      <c r="A55" s="12" t="s">
        <v>448</v>
      </c>
      <c r="B55" s="12" t="s">
        <v>61</v>
      </c>
      <c r="C55" s="12" t="s">
        <v>796</v>
      </c>
      <c r="D55" s="12" t="s">
        <v>1236</v>
      </c>
      <c r="E55" s="12">
        <v>120</v>
      </c>
      <c r="F55" s="12"/>
      <c r="G55" s="12" t="s">
        <v>273</v>
      </c>
    </row>
    <row r="56" spans="1:7" x14ac:dyDescent="0.3">
      <c r="A56" s="12" t="s">
        <v>448</v>
      </c>
      <c r="B56" s="12" t="s">
        <v>63</v>
      </c>
      <c r="C56" s="12" t="s">
        <v>796</v>
      </c>
      <c r="D56" s="12" t="s">
        <v>1237</v>
      </c>
      <c r="E56" s="12">
        <v>120</v>
      </c>
      <c r="F56" s="12"/>
      <c r="G56" s="12" t="s">
        <v>273</v>
      </c>
    </row>
    <row r="57" spans="1:7" x14ac:dyDescent="0.3">
      <c r="A57" s="12" t="s">
        <v>448</v>
      </c>
      <c r="B57" s="12" t="s">
        <v>64</v>
      </c>
      <c r="C57" s="12" t="s">
        <v>796</v>
      </c>
      <c r="D57" s="12" t="s">
        <v>1238</v>
      </c>
      <c r="E57" s="12">
        <v>120</v>
      </c>
      <c r="F57" s="12"/>
      <c r="G57" s="12" t="s">
        <v>273</v>
      </c>
    </row>
    <row r="58" spans="1:7" x14ac:dyDescent="0.3">
      <c r="A58" s="12" t="s">
        <v>448</v>
      </c>
      <c r="B58" s="12" t="s">
        <v>65</v>
      </c>
      <c r="C58" s="12" t="s">
        <v>796</v>
      </c>
      <c r="D58" s="12" t="s">
        <v>1239</v>
      </c>
      <c r="E58" s="12">
        <v>120</v>
      </c>
      <c r="F58" s="12"/>
      <c r="G58" s="12" t="s">
        <v>273</v>
      </c>
    </row>
    <row r="59" spans="1:7" x14ac:dyDescent="0.3">
      <c r="A59" s="12" t="s">
        <v>448</v>
      </c>
      <c r="B59" s="12" t="s">
        <v>66</v>
      </c>
      <c r="C59" s="12" t="s">
        <v>793</v>
      </c>
      <c r="D59" s="12" t="s">
        <v>795</v>
      </c>
      <c r="E59" s="12"/>
      <c r="F59" s="12" t="s">
        <v>749</v>
      </c>
      <c r="G59" s="12" t="s">
        <v>275</v>
      </c>
    </row>
    <row r="60" spans="1:7" x14ac:dyDescent="0.3">
      <c r="A60" s="12" t="s">
        <v>448</v>
      </c>
      <c r="B60" s="12" t="s">
        <v>803</v>
      </c>
      <c r="C60" s="12" t="s">
        <v>793</v>
      </c>
      <c r="D60" s="12" t="s">
        <v>804</v>
      </c>
      <c r="E60" s="12"/>
      <c r="F60" s="12"/>
      <c r="G60" s="12" t="s">
        <v>273</v>
      </c>
    </row>
    <row r="61" spans="1:7" x14ac:dyDescent="0.3">
      <c r="A61" s="12" t="s">
        <v>456</v>
      </c>
      <c r="B61" s="12" t="s">
        <v>49</v>
      </c>
      <c r="C61" s="12" t="s">
        <v>793</v>
      </c>
      <c r="D61" s="12" t="s">
        <v>794</v>
      </c>
      <c r="E61" s="12"/>
      <c r="F61" s="12" t="s">
        <v>749</v>
      </c>
      <c r="G61" s="12" t="s">
        <v>275</v>
      </c>
    </row>
    <row r="62" spans="1:7" x14ac:dyDescent="0.3">
      <c r="A62" s="12" t="s">
        <v>456</v>
      </c>
      <c r="B62" s="12" t="s">
        <v>51</v>
      </c>
      <c r="C62" s="12" t="s">
        <v>793</v>
      </c>
      <c r="D62" s="12" t="s">
        <v>795</v>
      </c>
      <c r="E62" s="12"/>
      <c r="F62" s="12" t="s">
        <v>749</v>
      </c>
      <c r="G62" s="12" t="s">
        <v>275</v>
      </c>
    </row>
    <row r="63" spans="1:7" x14ac:dyDescent="0.3">
      <c r="A63" s="12" t="s">
        <v>456</v>
      </c>
      <c r="B63" s="12" t="s">
        <v>53</v>
      </c>
      <c r="C63" s="12" t="s">
        <v>793</v>
      </c>
      <c r="D63" s="12" t="s">
        <v>805</v>
      </c>
      <c r="E63" s="12"/>
      <c r="F63" s="12" t="s">
        <v>749</v>
      </c>
      <c r="G63" s="12" t="s">
        <v>270</v>
      </c>
    </row>
    <row r="64" spans="1:7" x14ac:dyDescent="0.3">
      <c r="A64" s="12" t="s">
        <v>456</v>
      </c>
      <c r="B64" s="12" t="s">
        <v>54</v>
      </c>
      <c r="C64" s="12" t="s">
        <v>796</v>
      </c>
      <c r="D64" s="12" t="s">
        <v>1240</v>
      </c>
      <c r="E64" s="12">
        <v>120</v>
      </c>
      <c r="F64" s="12"/>
      <c r="G64" s="12" t="s">
        <v>270</v>
      </c>
    </row>
    <row r="65" spans="1:7" x14ac:dyDescent="0.3">
      <c r="A65" s="12" t="s">
        <v>456</v>
      </c>
      <c r="B65" s="12" t="s">
        <v>55</v>
      </c>
      <c r="C65" s="12" t="s">
        <v>796</v>
      </c>
      <c r="D65" s="12" t="s">
        <v>1241</v>
      </c>
      <c r="E65" s="12">
        <v>120</v>
      </c>
      <c r="F65" s="12"/>
      <c r="G65" s="12" t="s">
        <v>273</v>
      </c>
    </row>
    <row r="66" spans="1:7" x14ac:dyDescent="0.3">
      <c r="A66" s="12" t="s">
        <v>456</v>
      </c>
      <c r="B66" s="12" t="s">
        <v>57</v>
      </c>
      <c r="C66" s="12" t="s">
        <v>793</v>
      </c>
      <c r="D66" s="12" t="s">
        <v>800</v>
      </c>
      <c r="E66" s="12"/>
      <c r="F66" s="12" t="s">
        <v>749</v>
      </c>
      <c r="G66" s="12" t="s">
        <v>283</v>
      </c>
    </row>
    <row r="67" spans="1:7" x14ac:dyDescent="0.3">
      <c r="A67" s="12" t="s">
        <v>456</v>
      </c>
      <c r="B67" s="12" t="s">
        <v>59</v>
      </c>
      <c r="C67" s="12" t="s">
        <v>796</v>
      </c>
      <c r="D67" s="12" t="s">
        <v>1242</v>
      </c>
      <c r="E67" s="12">
        <v>120</v>
      </c>
      <c r="F67" s="12"/>
      <c r="G67" s="12" t="s">
        <v>273</v>
      </c>
    </row>
    <row r="68" spans="1:7" x14ac:dyDescent="0.3">
      <c r="A68" s="12" t="s">
        <v>456</v>
      </c>
      <c r="B68" s="12" t="s">
        <v>61</v>
      </c>
      <c r="C68" s="12" t="s">
        <v>796</v>
      </c>
      <c r="D68" s="12" t="s">
        <v>1243</v>
      </c>
      <c r="E68" s="12">
        <v>120</v>
      </c>
      <c r="F68" s="12"/>
      <c r="G68" s="12" t="s">
        <v>273</v>
      </c>
    </row>
    <row r="69" spans="1:7" x14ac:dyDescent="0.3">
      <c r="A69" s="12" t="s">
        <v>456</v>
      </c>
      <c r="B69" s="12" t="s">
        <v>63</v>
      </c>
      <c r="C69" s="12" t="s">
        <v>796</v>
      </c>
      <c r="D69" s="12" t="s">
        <v>1244</v>
      </c>
      <c r="E69" s="12">
        <v>120</v>
      </c>
      <c r="F69" s="12"/>
      <c r="G69" s="12" t="s">
        <v>273</v>
      </c>
    </row>
    <row r="70" spans="1:7" x14ac:dyDescent="0.3">
      <c r="A70" s="12" t="s">
        <v>456</v>
      </c>
      <c r="B70" s="12" t="s">
        <v>64</v>
      </c>
      <c r="C70" s="12" t="s">
        <v>796</v>
      </c>
      <c r="D70" s="12" t="s">
        <v>1224</v>
      </c>
      <c r="E70" s="12">
        <v>120</v>
      </c>
      <c r="F70" s="12"/>
      <c r="G70" s="12" t="s">
        <v>273</v>
      </c>
    </row>
    <row r="71" spans="1:7" x14ac:dyDescent="0.3">
      <c r="A71" s="12" t="s">
        <v>456</v>
      </c>
      <c r="B71" s="12" t="s">
        <v>65</v>
      </c>
      <c r="C71" s="12" t="s">
        <v>796</v>
      </c>
      <c r="D71" s="12" t="s">
        <v>1233</v>
      </c>
      <c r="E71" s="12">
        <v>120</v>
      </c>
      <c r="F71" s="12"/>
      <c r="G71" s="12" t="s">
        <v>273</v>
      </c>
    </row>
    <row r="72" spans="1:7" x14ac:dyDescent="0.3">
      <c r="A72" s="12" t="s">
        <v>456</v>
      </c>
      <c r="B72" s="12" t="s">
        <v>66</v>
      </c>
      <c r="C72" s="12" t="s">
        <v>793</v>
      </c>
      <c r="D72" s="12" t="s">
        <v>795</v>
      </c>
      <c r="E72" s="12"/>
      <c r="F72" s="12" t="s">
        <v>749</v>
      </c>
      <c r="G72" s="12" t="s">
        <v>275</v>
      </c>
    </row>
    <row r="73" spans="1:7" x14ac:dyDescent="0.3">
      <c r="A73" s="12" t="s">
        <v>456</v>
      </c>
      <c r="B73" s="12" t="s">
        <v>803</v>
      </c>
      <c r="C73" s="12" t="s">
        <v>793</v>
      </c>
      <c r="D73" s="12" t="s">
        <v>804</v>
      </c>
      <c r="E73" s="12"/>
      <c r="F73" s="12"/>
      <c r="G73" s="12" t="s">
        <v>273</v>
      </c>
    </row>
    <row r="74" spans="1:7" x14ac:dyDescent="0.3">
      <c r="A74" s="12" t="s">
        <v>464</v>
      </c>
      <c r="B74" s="12" t="s">
        <v>49</v>
      </c>
      <c r="C74" s="12" t="s">
        <v>793</v>
      </c>
      <c r="D74" s="12" t="s">
        <v>794</v>
      </c>
      <c r="E74" s="12"/>
      <c r="F74" s="12" t="s">
        <v>749</v>
      </c>
      <c r="G74" s="12" t="s">
        <v>275</v>
      </c>
    </row>
    <row r="75" spans="1:7" x14ac:dyDescent="0.3">
      <c r="A75" s="12" t="s">
        <v>464</v>
      </c>
      <c r="B75" s="12" t="s">
        <v>51</v>
      </c>
      <c r="C75" s="12" t="s">
        <v>796</v>
      </c>
      <c r="D75" s="12" t="s">
        <v>1173</v>
      </c>
      <c r="E75" s="12">
        <v>120</v>
      </c>
      <c r="F75" s="12"/>
      <c r="G75" s="12" t="s">
        <v>275</v>
      </c>
    </row>
    <row r="76" spans="1:7" x14ac:dyDescent="0.3">
      <c r="A76" s="12" t="s">
        <v>464</v>
      </c>
      <c r="B76" s="12" t="s">
        <v>53</v>
      </c>
      <c r="C76" s="12" t="s">
        <v>796</v>
      </c>
      <c r="D76" s="12" t="s">
        <v>1245</v>
      </c>
      <c r="E76" s="12">
        <v>120</v>
      </c>
      <c r="F76" s="12"/>
      <c r="G76" s="12" t="s">
        <v>270</v>
      </c>
    </row>
    <row r="77" spans="1:7" x14ac:dyDescent="0.3">
      <c r="A77" s="12" t="s">
        <v>464</v>
      </c>
      <c r="B77" s="12" t="s">
        <v>54</v>
      </c>
      <c r="C77" s="12" t="s">
        <v>796</v>
      </c>
      <c r="D77" s="12" t="s">
        <v>1246</v>
      </c>
      <c r="E77" s="12">
        <v>120</v>
      </c>
      <c r="F77" s="12"/>
      <c r="G77" s="12" t="s">
        <v>270</v>
      </c>
    </row>
    <row r="78" spans="1:7" x14ac:dyDescent="0.3">
      <c r="A78" s="12" t="s">
        <v>464</v>
      </c>
      <c r="B78" s="12" t="s">
        <v>55</v>
      </c>
      <c r="C78" s="12" t="s">
        <v>793</v>
      </c>
      <c r="D78" s="12" t="s">
        <v>799</v>
      </c>
      <c r="E78" s="12"/>
      <c r="F78" s="12" t="s">
        <v>749</v>
      </c>
      <c r="G78" s="12" t="s">
        <v>273</v>
      </c>
    </row>
    <row r="79" spans="1:7" x14ac:dyDescent="0.3">
      <c r="A79" s="12" t="s">
        <v>464</v>
      </c>
      <c r="B79" s="12" t="s">
        <v>57</v>
      </c>
      <c r="C79" s="12" t="s">
        <v>793</v>
      </c>
      <c r="D79" s="12" t="s">
        <v>800</v>
      </c>
      <c r="E79" s="12"/>
      <c r="F79" s="12" t="s">
        <v>749</v>
      </c>
      <c r="G79" s="12" t="s">
        <v>283</v>
      </c>
    </row>
    <row r="80" spans="1:7" x14ac:dyDescent="0.3">
      <c r="A80" s="12" t="s">
        <v>464</v>
      </c>
      <c r="B80" s="12" t="s">
        <v>59</v>
      </c>
      <c r="C80" s="12" t="s">
        <v>796</v>
      </c>
      <c r="D80" s="12" t="s">
        <v>1247</v>
      </c>
      <c r="E80" s="12">
        <v>120</v>
      </c>
      <c r="F80" s="12"/>
      <c r="G80" s="12" t="s">
        <v>273</v>
      </c>
    </row>
    <row r="81" spans="1:7" x14ac:dyDescent="0.3">
      <c r="A81" s="12" t="s">
        <v>464</v>
      </c>
      <c r="B81" s="12" t="s">
        <v>61</v>
      </c>
      <c r="C81" s="12" t="s">
        <v>796</v>
      </c>
      <c r="D81" s="12" t="s">
        <v>1248</v>
      </c>
      <c r="E81" s="12">
        <v>120</v>
      </c>
      <c r="F81" s="12"/>
      <c r="G81" s="12" t="s">
        <v>273</v>
      </c>
    </row>
    <row r="82" spans="1:7" x14ac:dyDescent="0.3">
      <c r="A82" s="12" t="s">
        <v>464</v>
      </c>
      <c r="B82" s="12" t="s">
        <v>63</v>
      </c>
      <c r="C82" s="12" t="s">
        <v>796</v>
      </c>
      <c r="D82" s="12" t="s">
        <v>1225</v>
      </c>
      <c r="E82" s="12">
        <v>120</v>
      </c>
      <c r="F82" s="12"/>
      <c r="G82" s="12" t="s">
        <v>273</v>
      </c>
    </row>
    <row r="83" spans="1:7" x14ac:dyDescent="0.3">
      <c r="A83" s="12" t="s">
        <v>464</v>
      </c>
      <c r="B83" s="12" t="s">
        <v>64</v>
      </c>
      <c r="C83" s="12" t="s">
        <v>796</v>
      </c>
      <c r="D83" s="12" t="s">
        <v>1249</v>
      </c>
      <c r="E83" s="12">
        <v>120</v>
      </c>
      <c r="F83" s="12"/>
      <c r="G83" s="12" t="s">
        <v>273</v>
      </c>
    </row>
    <row r="84" spans="1:7" x14ac:dyDescent="0.3">
      <c r="A84" s="12" t="s">
        <v>464</v>
      </c>
      <c r="B84" s="12" t="s">
        <v>65</v>
      </c>
      <c r="C84" s="12" t="s">
        <v>796</v>
      </c>
      <c r="D84" s="12" t="s">
        <v>1250</v>
      </c>
      <c r="E84" s="12">
        <v>120</v>
      </c>
      <c r="F84" s="12"/>
      <c r="G84" s="12" t="s">
        <v>273</v>
      </c>
    </row>
    <row r="85" spans="1:7" x14ac:dyDescent="0.3">
      <c r="A85" s="12" t="s">
        <v>464</v>
      </c>
      <c r="B85" s="12" t="s">
        <v>66</v>
      </c>
      <c r="C85" s="12" t="s">
        <v>796</v>
      </c>
      <c r="D85" s="12" t="s">
        <v>1173</v>
      </c>
      <c r="E85" s="12">
        <v>119</v>
      </c>
      <c r="F85" s="12"/>
      <c r="G85" s="12" t="s">
        <v>275</v>
      </c>
    </row>
    <row r="86" spans="1:7" x14ac:dyDescent="0.3">
      <c r="A86" s="12" t="s">
        <v>464</v>
      </c>
      <c r="B86" s="12" t="s">
        <v>803</v>
      </c>
      <c r="C86" s="12" t="s">
        <v>793</v>
      </c>
      <c r="D86" s="12" t="s">
        <v>804</v>
      </c>
      <c r="E86" s="12"/>
      <c r="F86" s="12"/>
      <c r="G86" s="12" t="s">
        <v>273</v>
      </c>
    </row>
    <row r="88" spans="1:7" x14ac:dyDescent="0.3">
      <c r="A88" s="17" t="s">
        <v>1251</v>
      </c>
    </row>
  </sheetData>
  <autoFilter ref="A21:G86" xr:uid="{00000000-0009-0000-0000-000029000000}"/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K28"/>
  <sheetViews>
    <sheetView workbookViewId="0"/>
  </sheetViews>
  <sheetFormatPr baseColWidth="10" defaultColWidth="8.88671875" defaultRowHeight="14.4" x14ac:dyDescent="0.3"/>
  <cols>
    <col min="1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" ht="17.399999999999999" x14ac:dyDescent="0.35">
      <c r="A1" s="1" t="s">
        <v>1252</v>
      </c>
    </row>
    <row r="2" spans="1:1" x14ac:dyDescent="0.3">
      <c r="A2" t="s">
        <v>1209</v>
      </c>
    </row>
    <row r="3" spans="1:1" x14ac:dyDescent="0.3">
      <c r="A3" t="s">
        <v>1210</v>
      </c>
    </row>
    <row r="4" spans="1:1" x14ac:dyDescent="0.3">
      <c r="A4" s="8" t="s">
        <v>1211</v>
      </c>
    </row>
    <row r="5" spans="1:1" x14ac:dyDescent="0.3">
      <c r="A5" s="15" t="s">
        <v>722</v>
      </c>
    </row>
    <row r="6" spans="1:1" x14ac:dyDescent="0.3">
      <c r="A6" s="15" t="s">
        <v>1212</v>
      </c>
    </row>
    <row r="7" spans="1:1" x14ac:dyDescent="0.3">
      <c r="A7" s="8" t="s">
        <v>1213</v>
      </c>
    </row>
    <row r="8" spans="1:1" x14ac:dyDescent="0.3">
      <c r="A8" s="15" t="s">
        <v>725</v>
      </c>
    </row>
    <row r="9" spans="1:1" x14ac:dyDescent="0.3">
      <c r="A9" s="15" t="s">
        <v>1214</v>
      </c>
    </row>
    <row r="10" spans="1:1" x14ac:dyDescent="0.3">
      <c r="A10" s="8" t="s">
        <v>1215</v>
      </c>
    </row>
    <row r="11" spans="1:1" x14ac:dyDescent="0.3">
      <c r="A11" s="15" t="s">
        <v>729</v>
      </c>
    </row>
    <row r="12" spans="1:1" x14ac:dyDescent="0.3">
      <c r="A12" s="15" t="s">
        <v>1216</v>
      </c>
    </row>
    <row r="13" spans="1:1" x14ac:dyDescent="0.3">
      <c r="A13" s="8" t="s">
        <v>1217</v>
      </c>
    </row>
    <row r="14" spans="1:1" x14ac:dyDescent="0.3">
      <c r="A14" s="15" t="s">
        <v>732</v>
      </c>
    </row>
    <row r="15" spans="1:1" x14ac:dyDescent="0.3">
      <c r="A15" s="15" t="s">
        <v>1218</v>
      </c>
    </row>
    <row r="16" spans="1:1" x14ac:dyDescent="0.3">
      <c r="A16" s="8" t="s">
        <v>1219</v>
      </c>
    </row>
    <row r="17" spans="1:11" x14ac:dyDescent="0.3">
      <c r="A17" s="15" t="s">
        <v>735</v>
      </c>
    </row>
    <row r="18" spans="1:11" x14ac:dyDescent="0.3">
      <c r="A18" s="15" t="s">
        <v>1220</v>
      </c>
    </row>
    <row r="19" spans="1:11" x14ac:dyDescent="0.3">
      <c r="A19" t="s">
        <v>811</v>
      </c>
    </row>
    <row r="21" spans="1:11" x14ac:dyDescent="0.3">
      <c r="A21" s="16" t="s">
        <v>360</v>
      </c>
      <c r="B21" s="16" t="s">
        <v>30</v>
      </c>
      <c r="C21" s="16" t="s">
        <v>812</v>
      </c>
      <c r="D21" s="16" t="s">
        <v>813</v>
      </c>
      <c r="E21" s="16" t="s">
        <v>32</v>
      </c>
      <c r="F21" s="16" t="s">
        <v>33</v>
      </c>
      <c r="G21" s="16" t="s">
        <v>814</v>
      </c>
      <c r="H21" s="16" t="s">
        <v>815</v>
      </c>
      <c r="I21" s="16" t="s">
        <v>816</v>
      </c>
      <c r="J21" s="16" t="s">
        <v>295</v>
      </c>
      <c r="K21" s="16" t="s">
        <v>817</v>
      </c>
    </row>
    <row r="22" spans="1:11" x14ac:dyDescent="0.3">
      <c r="A22" s="12" t="s">
        <v>430</v>
      </c>
      <c r="B22" s="12">
        <v>120</v>
      </c>
      <c r="C22" s="12">
        <v>1</v>
      </c>
      <c r="D22" s="12">
        <v>59</v>
      </c>
      <c r="E22" s="12">
        <v>4</v>
      </c>
      <c r="F22" s="12">
        <v>2</v>
      </c>
      <c r="G22" s="12">
        <v>40</v>
      </c>
      <c r="H22" s="12">
        <v>15</v>
      </c>
      <c r="I22" s="12">
        <v>58</v>
      </c>
      <c r="J22" s="12">
        <v>2</v>
      </c>
      <c r="K22" s="12">
        <v>53</v>
      </c>
    </row>
    <row r="23" spans="1:11" x14ac:dyDescent="0.3">
      <c r="A23" s="12" t="s">
        <v>439</v>
      </c>
      <c r="B23" s="12">
        <v>120</v>
      </c>
      <c r="C23" s="12">
        <v>0</v>
      </c>
      <c r="D23" s="12">
        <v>95</v>
      </c>
      <c r="E23" s="12">
        <v>0</v>
      </c>
      <c r="F23" s="12">
        <v>0</v>
      </c>
      <c r="G23" s="12">
        <v>57</v>
      </c>
      <c r="H23" s="12">
        <v>38</v>
      </c>
      <c r="I23" s="12">
        <v>23</v>
      </c>
      <c r="J23" s="12">
        <v>2</v>
      </c>
      <c r="K23" s="12">
        <v>66</v>
      </c>
    </row>
    <row r="24" spans="1:11" x14ac:dyDescent="0.3">
      <c r="A24" s="12" t="s">
        <v>448</v>
      </c>
      <c r="B24" s="12">
        <v>120</v>
      </c>
      <c r="C24" s="12">
        <v>0</v>
      </c>
      <c r="D24" s="12">
        <v>84</v>
      </c>
      <c r="E24" s="12">
        <v>0</v>
      </c>
      <c r="F24" s="12">
        <v>0</v>
      </c>
      <c r="G24" s="12">
        <v>29</v>
      </c>
      <c r="H24" s="12">
        <v>55</v>
      </c>
      <c r="I24" s="12">
        <v>30</v>
      </c>
      <c r="J24" s="12">
        <v>6</v>
      </c>
      <c r="K24" s="12">
        <v>64</v>
      </c>
    </row>
    <row r="25" spans="1:11" x14ac:dyDescent="0.3">
      <c r="A25" s="12" t="s">
        <v>456</v>
      </c>
      <c r="B25" s="12">
        <v>120</v>
      </c>
      <c r="C25" s="12">
        <v>0</v>
      </c>
      <c r="D25" s="12">
        <v>62</v>
      </c>
      <c r="E25" s="12">
        <v>6</v>
      </c>
      <c r="F25" s="12">
        <v>0</v>
      </c>
      <c r="G25" s="12">
        <v>38</v>
      </c>
      <c r="H25" s="12">
        <v>18</v>
      </c>
      <c r="I25" s="12">
        <v>56</v>
      </c>
      <c r="J25" s="12">
        <v>2</v>
      </c>
      <c r="K25" s="12">
        <v>57</v>
      </c>
    </row>
    <row r="26" spans="1:11" x14ac:dyDescent="0.3">
      <c r="A26" s="12" t="s">
        <v>464</v>
      </c>
      <c r="B26" s="12">
        <v>120</v>
      </c>
      <c r="C26" s="12">
        <v>1</v>
      </c>
      <c r="D26" s="12">
        <v>82</v>
      </c>
      <c r="E26" s="12">
        <v>10</v>
      </c>
      <c r="F26" s="12">
        <v>0</v>
      </c>
      <c r="G26" s="12">
        <v>55</v>
      </c>
      <c r="H26" s="12">
        <v>17</v>
      </c>
      <c r="I26" s="12">
        <v>37</v>
      </c>
      <c r="J26" s="12">
        <v>0</v>
      </c>
      <c r="K26" s="12">
        <v>82</v>
      </c>
    </row>
    <row r="28" spans="1:11" x14ac:dyDescent="0.3">
      <c r="A28" s="17" t="s">
        <v>1253</v>
      </c>
    </row>
  </sheetData>
  <autoFilter ref="A21:K26" xr:uid="{00000000-0009-0000-0000-00002A000000}"/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8"/>
  <sheetViews>
    <sheetView workbookViewId="0"/>
  </sheetViews>
  <sheetFormatPr baseColWidth="10" defaultColWidth="8.88671875" defaultRowHeight="14.4" x14ac:dyDescent="0.3"/>
  <cols>
    <col min="1" max="1" width="11" customWidth="1"/>
    <col min="2" max="3" width="10" customWidth="1"/>
    <col min="4" max="4" width="11" customWidth="1"/>
    <col min="5" max="6" width="10" customWidth="1"/>
    <col min="7" max="7" width="25" customWidth="1"/>
    <col min="8" max="8" width="16" customWidth="1"/>
    <col min="9" max="9" width="10" customWidth="1"/>
    <col min="10" max="10" width="21" customWidth="1"/>
    <col min="11" max="11" width="19" customWidth="1"/>
    <col min="12" max="12" width="10" customWidth="1"/>
    <col min="13" max="13" width="28" customWidth="1"/>
    <col min="14" max="14" width="31" customWidth="1"/>
    <col min="15" max="15" width="19" customWidth="1"/>
    <col min="16" max="16" width="23" customWidth="1"/>
    <col min="17" max="17" width="30" customWidth="1"/>
    <col min="18" max="18" width="14" customWidth="1"/>
    <col min="19" max="19" width="18" customWidth="1"/>
  </cols>
  <sheetData>
    <row r="1" spans="1:1" ht="17.399999999999999" x14ac:dyDescent="0.35">
      <c r="A1" s="1" t="s">
        <v>1254</v>
      </c>
    </row>
    <row r="2" spans="1:1" x14ac:dyDescent="0.3">
      <c r="A2" t="s">
        <v>1209</v>
      </c>
    </row>
    <row r="3" spans="1:1" x14ac:dyDescent="0.3">
      <c r="A3" t="s">
        <v>1210</v>
      </c>
    </row>
    <row r="4" spans="1:1" x14ac:dyDescent="0.3">
      <c r="A4" s="8" t="s">
        <v>1211</v>
      </c>
    </row>
    <row r="5" spans="1:1" x14ac:dyDescent="0.3">
      <c r="A5" s="15" t="s">
        <v>722</v>
      </c>
    </row>
    <row r="6" spans="1:1" x14ac:dyDescent="0.3">
      <c r="A6" s="15" t="s">
        <v>1212</v>
      </c>
    </row>
    <row r="7" spans="1:1" x14ac:dyDescent="0.3">
      <c r="A7" s="8" t="s">
        <v>1213</v>
      </c>
    </row>
    <row r="8" spans="1:1" x14ac:dyDescent="0.3">
      <c r="A8" s="15" t="s">
        <v>725</v>
      </c>
    </row>
    <row r="9" spans="1:1" x14ac:dyDescent="0.3">
      <c r="A9" s="15" t="s">
        <v>1214</v>
      </c>
    </row>
    <row r="10" spans="1:1" x14ac:dyDescent="0.3">
      <c r="A10" s="8" t="s">
        <v>1215</v>
      </c>
    </row>
    <row r="11" spans="1:1" x14ac:dyDescent="0.3">
      <c r="A11" s="15" t="s">
        <v>729</v>
      </c>
    </row>
    <row r="12" spans="1:1" x14ac:dyDescent="0.3">
      <c r="A12" s="15" t="s">
        <v>1216</v>
      </c>
    </row>
    <row r="13" spans="1:1" x14ac:dyDescent="0.3">
      <c r="A13" s="8" t="s">
        <v>1217</v>
      </c>
    </row>
    <row r="14" spans="1:1" x14ac:dyDescent="0.3">
      <c r="A14" s="15" t="s">
        <v>732</v>
      </c>
    </row>
    <row r="15" spans="1:1" x14ac:dyDescent="0.3">
      <c r="A15" s="15" t="s">
        <v>1218</v>
      </c>
    </row>
    <row r="16" spans="1:1" x14ac:dyDescent="0.3">
      <c r="A16" s="8" t="s">
        <v>1219</v>
      </c>
    </row>
    <row r="17" spans="1:19" x14ac:dyDescent="0.3">
      <c r="A17" s="15" t="s">
        <v>735</v>
      </c>
    </row>
    <row r="18" spans="1:19" x14ac:dyDescent="0.3">
      <c r="A18" s="15" t="s">
        <v>1220</v>
      </c>
    </row>
    <row r="19" spans="1:19" x14ac:dyDescent="0.3">
      <c r="A19" t="s">
        <v>1255</v>
      </c>
    </row>
    <row r="21" spans="1:19" x14ac:dyDescent="0.3">
      <c r="A21" s="16" t="s">
        <v>1256</v>
      </c>
      <c r="B21" s="16" t="s">
        <v>1123</v>
      </c>
      <c r="C21" s="16" t="s">
        <v>812</v>
      </c>
      <c r="D21" s="16" t="s">
        <v>1257</v>
      </c>
      <c r="E21" s="16" t="s">
        <v>32</v>
      </c>
      <c r="F21" s="16" t="s">
        <v>813</v>
      </c>
      <c r="G21" s="16" t="s">
        <v>295</v>
      </c>
      <c r="H21" s="16" t="s">
        <v>817</v>
      </c>
      <c r="I21" s="16" t="s">
        <v>1258</v>
      </c>
      <c r="J21" s="16" t="s">
        <v>1259</v>
      </c>
      <c r="K21" s="16" t="s">
        <v>1260</v>
      </c>
      <c r="L21" s="16" t="s">
        <v>910</v>
      </c>
      <c r="M21" s="16" t="s">
        <v>1261</v>
      </c>
      <c r="N21" s="16" t="s">
        <v>1262</v>
      </c>
      <c r="O21" s="16" t="s">
        <v>1263</v>
      </c>
      <c r="P21" s="16" t="s">
        <v>1264</v>
      </c>
      <c r="Q21" s="16" t="s">
        <v>1265</v>
      </c>
      <c r="R21" s="16" t="s">
        <v>1266</v>
      </c>
      <c r="S21" s="16" t="s">
        <v>1267</v>
      </c>
    </row>
    <row r="22" spans="1:19" x14ac:dyDescent="0.3">
      <c r="A22" s="12">
        <v>1</v>
      </c>
      <c r="B22" s="12">
        <v>120</v>
      </c>
      <c r="C22" s="12">
        <v>1</v>
      </c>
      <c r="D22" s="12">
        <v>119</v>
      </c>
      <c r="E22" s="12">
        <v>4</v>
      </c>
      <c r="F22" s="12">
        <v>59</v>
      </c>
      <c r="G22" s="12">
        <v>2</v>
      </c>
      <c r="H22" s="12">
        <v>53</v>
      </c>
      <c r="I22" s="12" t="s">
        <v>749</v>
      </c>
      <c r="J22" s="12" t="s">
        <v>1268</v>
      </c>
      <c r="K22" s="12">
        <v>55</v>
      </c>
      <c r="L22" s="12">
        <v>0</v>
      </c>
      <c r="M22" s="12">
        <v>53</v>
      </c>
      <c r="N22" s="12">
        <v>79</v>
      </c>
      <c r="O22" s="12">
        <v>2.6099000000000001</v>
      </c>
      <c r="P22" s="21">
        <v>4.3535000000000004</v>
      </c>
      <c r="Q22" s="12">
        <v>53</v>
      </c>
      <c r="R22" s="21">
        <v>9.2890999999999995</v>
      </c>
      <c r="S22" s="12">
        <v>11567</v>
      </c>
    </row>
    <row r="23" spans="1:19" x14ac:dyDescent="0.3">
      <c r="A23" s="12">
        <v>2</v>
      </c>
      <c r="B23" s="12">
        <v>120</v>
      </c>
      <c r="C23" s="12">
        <v>0</v>
      </c>
      <c r="D23" s="12">
        <v>120</v>
      </c>
      <c r="E23" s="12">
        <v>0</v>
      </c>
      <c r="F23" s="12">
        <v>95</v>
      </c>
      <c r="G23" s="12">
        <v>2</v>
      </c>
      <c r="H23" s="12">
        <v>66</v>
      </c>
      <c r="I23" s="12" t="s">
        <v>948</v>
      </c>
      <c r="J23" s="12" t="s">
        <v>1268</v>
      </c>
      <c r="K23" s="12">
        <v>95</v>
      </c>
      <c r="L23" s="12">
        <v>0.21967</v>
      </c>
      <c r="M23" s="12">
        <v>40</v>
      </c>
      <c r="N23" s="12"/>
      <c r="O23" s="12"/>
      <c r="P23" s="12"/>
      <c r="Q23" s="12"/>
      <c r="R23" s="12"/>
      <c r="S23" s="12">
        <v>14465</v>
      </c>
    </row>
    <row r="24" spans="1:19" x14ac:dyDescent="0.3">
      <c r="A24" s="12">
        <v>3</v>
      </c>
      <c r="B24" s="12">
        <v>120</v>
      </c>
      <c r="C24" s="12">
        <v>0</v>
      </c>
      <c r="D24" s="12">
        <v>120</v>
      </c>
      <c r="E24" s="12">
        <v>0</v>
      </c>
      <c r="F24" s="12">
        <v>84</v>
      </c>
      <c r="G24" s="12">
        <v>6</v>
      </c>
      <c r="H24" s="12">
        <v>64</v>
      </c>
      <c r="I24" s="12" t="s">
        <v>948</v>
      </c>
      <c r="J24" s="12" t="s">
        <v>1268</v>
      </c>
      <c r="K24" s="12">
        <v>84</v>
      </c>
      <c r="L24" s="12">
        <v>1.57</v>
      </c>
      <c r="M24" s="12">
        <v>106</v>
      </c>
      <c r="N24" s="12"/>
      <c r="O24" s="12"/>
      <c r="P24" s="12"/>
      <c r="Q24" s="12"/>
      <c r="R24" s="12"/>
      <c r="S24" s="12">
        <v>17054</v>
      </c>
    </row>
    <row r="25" spans="1:19" x14ac:dyDescent="0.3">
      <c r="A25" s="12">
        <v>4</v>
      </c>
      <c r="B25" s="12">
        <v>120</v>
      </c>
      <c r="C25" s="12">
        <v>0</v>
      </c>
      <c r="D25" s="12">
        <v>120</v>
      </c>
      <c r="E25" s="12">
        <v>6</v>
      </c>
      <c r="F25" s="12">
        <v>62</v>
      </c>
      <c r="G25" s="12">
        <v>2</v>
      </c>
      <c r="H25" s="12">
        <v>57</v>
      </c>
      <c r="I25" s="12" t="s">
        <v>749</v>
      </c>
      <c r="J25" s="12" t="s">
        <v>1268</v>
      </c>
      <c r="K25" s="12">
        <v>56</v>
      </c>
      <c r="L25" s="12">
        <v>0</v>
      </c>
      <c r="M25" s="12">
        <v>23</v>
      </c>
      <c r="N25" s="12">
        <v>119</v>
      </c>
      <c r="O25" s="12">
        <v>2.0053000000000001</v>
      </c>
      <c r="P25" s="21">
        <v>3.7361</v>
      </c>
      <c r="Q25" s="12">
        <v>93</v>
      </c>
      <c r="R25" s="21">
        <v>6.7201000000000004</v>
      </c>
      <c r="S25" s="12">
        <v>9901.5</v>
      </c>
    </row>
    <row r="26" spans="1:19" x14ac:dyDescent="0.3">
      <c r="A26" s="12">
        <v>5</v>
      </c>
      <c r="B26" s="12">
        <v>120</v>
      </c>
      <c r="C26" s="12">
        <v>1</v>
      </c>
      <c r="D26" s="12">
        <v>119</v>
      </c>
      <c r="E26" s="12">
        <v>10</v>
      </c>
      <c r="F26" s="12">
        <v>82</v>
      </c>
      <c r="G26" s="12">
        <v>0</v>
      </c>
      <c r="H26" s="12">
        <v>82</v>
      </c>
      <c r="I26" s="12" t="s">
        <v>749</v>
      </c>
      <c r="J26" s="12" t="s">
        <v>1268</v>
      </c>
      <c r="K26" s="12">
        <v>72</v>
      </c>
      <c r="L26" s="12">
        <v>0</v>
      </c>
      <c r="M26" s="12">
        <v>20</v>
      </c>
      <c r="N26" s="12">
        <v>103</v>
      </c>
      <c r="O26" s="12">
        <v>2.4028</v>
      </c>
      <c r="P26" s="21">
        <v>6.9198000000000004</v>
      </c>
      <c r="Q26" s="12">
        <v>24</v>
      </c>
      <c r="R26" s="21">
        <v>8.4577000000000009</v>
      </c>
      <c r="S26" s="12">
        <v>10783</v>
      </c>
    </row>
    <row r="28" spans="1:19" x14ac:dyDescent="0.3">
      <c r="A28" s="17" t="s">
        <v>1253</v>
      </c>
    </row>
  </sheetData>
  <autoFilter ref="A21:S26" xr:uid="{00000000-0009-0000-0000-00002B000000}"/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81"/>
  <sheetViews>
    <sheetView workbookViewId="0"/>
  </sheetViews>
  <sheetFormatPr baseColWidth="10" defaultColWidth="8.88671875" defaultRowHeight="14.4" x14ac:dyDescent="0.3"/>
  <cols>
    <col min="1" max="1" width="11" customWidth="1"/>
    <col min="2" max="2" width="12" customWidth="1"/>
    <col min="3" max="3" width="11" customWidth="1"/>
    <col min="4" max="5" width="10" customWidth="1"/>
    <col min="6" max="6" width="13" customWidth="1"/>
    <col min="7" max="7" width="10" customWidth="1"/>
    <col min="8" max="8" width="14" customWidth="1"/>
    <col min="9" max="10" width="10" customWidth="1"/>
    <col min="11" max="11" width="12" customWidth="1"/>
  </cols>
  <sheetData>
    <row r="1" spans="1:1" ht="17.399999999999999" x14ac:dyDescent="0.35">
      <c r="A1" s="1" t="s">
        <v>1269</v>
      </c>
    </row>
    <row r="2" spans="1:1" x14ac:dyDescent="0.3">
      <c r="A2" t="s">
        <v>1209</v>
      </c>
    </row>
    <row r="3" spans="1:1" x14ac:dyDescent="0.3">
      <c r="A3" t="s">
        <v>1210</v>
      </c>
    </row>
    <row r="4" spans="1:1" x14ac:dyDescent="0.3">
      <c r="A4" s="8" t="s">
        <v>1211</v>
      </c>
    </row>
    <row r="5" spans="1:1" x14ac:dyDescent="0.3">
      <c r="A5" s="15" t="s">
        <v>722</v>
      </c>
    </row>
    <row r="6" spans="1:1" x14ac:dyDescent="0.3">
      <c r="A6" s="15" t="s">
        <v>1212</v>
      </c>
    </row>
    <row r="7" spans="1:1" x14ac:dyDescent="0.3">
      <c r="A7" s="8" t="s">
        <v>1213</v>
      </c>
    </row>
    <row r="8" spans="1:1" x14ac:dyDescent="0.3">
      <c r="A8" s="15" t="s">
        <v>725</v>
      </c>
    </row>
    <row r="9" spans="1:1" x14ac:dyDescent="0.3">
      <c r="A9" s="15" t="s">
        <v>1214</v>
      </c>
    </row>
    <row r="10" spans="1:1" x14ac:dyDescent="0.3">
      <c r="A10" s="8" t="s">
        <v>1215</v>
      </c>
    </row>
    <row r="11" spans="1:1" x14ac:dyDescent="0.3">
      <c r="A11" s="15" t="s">
        <v>729</v>
      </c>
    </row>
    <row r="12" spans="1:1" x14ac:dyDescent="0.3">
      <c r="A12" s="15" t="s">
        <v>1216</v>
      </c>
    </row>
    <row r="13" spans="1:1" x14ac:dyDescent="0.3">
      <c r="A13" s="8" t="s">
        <v>1217</v>
      </c>
    </row>
    <row r="14" spans="1:1" x14ac:dyDescent="0.3">
      <c r="A14" s="15" t="s">
        <v>732</v>
      </c>
    </row>
    <row r="15" spans="1:1" x14ac:dyDescent="0.3">
      <c r="A15" s="15" t="s">
        <v>1218</v>
      </c>
    </row>
    <row r="16" spans="1:1" x14ac:dyDescent="0.3">
      <c r="A16" s="8" t="s">
        <v>1219</v>
      </c>
    </row>
    <row r="17" spans="1:11" x14ac:dyDescent="0.3">
      <c r="A17" s="15" t="s">
        <v>735</v>
      </c>
    </row>
    <row r="18" spans="1:11" x14ac:dyDescent="0.3">
      <c r="A18" s="15" t="s">
        <v>1220</v>
      </c>
    </row>
    <row r="19" spans="1:11" x14ac:dyDescent="0.3">
      <c r="A19" t="s">
        <v>1270</v>
      </c>
    </row>
    <row r="21" spans="1:11" x14ac:dyDescent="0.3">
      <c r="A21" s="16" t="s">
        <v>1256</v>
      </c>
      <c r="B21" s="16" t="s">
        <v>712</v>
      </c>
      <c r="C21" s="16" t="s">
        <v>821</v>
      </c>
      <c r="D21" s="16" t="s">
        <v>1123</v>
      </c>
      <c r="E21" s="16" t="s">
        <v>1133</v>
      </c>
      <c r="F21" s="16" t="s">
        <v>1134</v>
      </c>
      <c r="G21" s="16" t="s">
        <v>715</v>
      </c>
      <c r="H21" s="16" t="s">
        <v>1135</v>
      </c>
      <c r="I21" s="16" t="s">
        <v>1136</v>
      </c>
      <c r="J21" s="16" t="s">
        <v>1108</v>
      </c>
      <c r="K21" s="16" t="s">
        <v>1109</v>
      </c>
    </row>
    <row r="22" spans="1:11" x14ac:dyDescent="0.3">
      <c r="A22" s="12">
        <v>1</v>
      </c>
      <c r="B22" s="12" t="s">
        <v>269</v>
      </c>
      <c r="C22" s="26" t="s">
        <v>32</v>
      </c>
      <c r="D22" s="12">
        <v>4</v>
      </c>
      <c r="E22" s="12">
        <v>2102.1999999999998</v>
      </c>
      <c r="F22" s="12">
        <v>2268</v>
      </c>
      <c r="G22" s="12">
        <v>3556.7</v>
      </c>
      <c r="H22" s="12">
        <v>4597.6000000000004</v>
      </c>
      <c r="I22" s="12">
        <v>4719.7</v>
      </c>
      <c r="J22" s="12"/>
      <c r="K22" s="12"/>
    </row>
    <row r="23" spans="1:11" x14ac:dyDescent="0.3">
      <c r="A23" s="12">
        <v>1</v>
      </c>
      <c r="B23" s="12" t="s">
        <v>269</v>
      </c>
      <c r="C23" s="12" t="s">
        <v>1271</v>
      </c>
      <c r="D23" s="12">
        <v>115</v>
      </c>
      <c r="E23" s="12">
        <v>2044.2</v>
      </c>
      <c r="F23" s="12">
        <v>2201.4</v>
      </c>
      <c r="G23" s="12">
        <v>3522.1</v>
      </c>
      <c r="H23" s="12">
        <v>4850.2</v>
      </c>
      <c r="I23" s="12">
        <v>4986.6000000000004</v>
      </c>
      <c r="J23" s="12"/>
      <c r="K23" s="12"/>
    </row>
    <row r="24" spans="1:11" x14ac:dyDescent="0.3">
      <c r="A24" s="12">
        <v>1</v>
      </c>
      <c r="B24" s="12" t="s">
        <v>271</v>
      </c>
      <c r="C24" s="26" t="s">
        <v>32</v>
      </c>
      <c r="D24" s="12">
        <v>4</v>
      </c>
      <c r="E24" s="12">
        <v>1359.6</v>
      </c>
      <c r="F24" s="12">
        <v>1394.4</v>
      </c>
      <c r="G24" s="12">
        <v>1735.7</v>
      </c>
      <c r="H24" s="12">
        <v>1952.7</v>
      </c>
      <c r="I24" s="12">
        <v>1965.6</v>
      </c>
      <c r="J24" s="12"/>
      <c r="K24" s="12"/>
    </row>
    <row r="25" spans="1:11" x14ac:dyDescent="0.3">
      <c r="A25" s="12">
        <v>1</v>
      </c>
      <c r="B25" s="12" t="s">
        <v>271</v>
      </c>
      <c r="C25" s="12" t="s">
        <v>1271</v>
      </c>
      <c r="D25" s="12">
        <v>115</v>
      </c>
      <c r="E25" s="12">
        <v>202.14</v>
      </c>
      <c r="F25" s="12">
        <v>294.48</v>
      </c>
      <c r="G25" s="12">
        <v>1059.9000000000001</v>
      </c>
      <c r="H25" s="12">
        <v>1885.4</v>
      </c>
      <c r="I25" s="12">
        <v>1989.7</v>
      </c>
      <c r="J25" s="12"/>
      <c r="K25" s="12"/>
    </row>
    <row r="26" spans="1:11" x14ac:dyDescent="0.3">
      <c r="A26" s="12">
        <v>1</v>
      </c>
      <c r="B26" s="12" t="s">
        <v>272</v>
      </c>
      <c r="C26" s="26" t="s">
        <v>32</v>
      </c>
      <c r="D26" s="12">
        <v>4</v>
      </c>
      <c r="E26" s="12">
        <v>0.57689999999999997</v>
      </c>
      <c r="F26" s="12">
        <v>0.58059000000000005</v>
      </c>
      <c r="G26" s="12">
        <v>0.65747999999999995</v>
      </c>
      <c r="H26" s="12">
        <v>0.81206999999999996</v>
      </c>
      <c r="I26" s="12">
        <v>0.82948</v>
      </c>
      <c r="J26" s="12"/>
      <c r="K26" s="12"/>
    </row>
    <row r="27" spans="1:11" x14ac:dyDescent="0.3">
      <c r="A27" s="12">
        <v>1</v>
      </c>
      <c r="B27" s="12" t="s">
        <v>272</v>
      </c>
      <c r="C27" s="12" t="s">
        <v>1271</v>
      </c>
      <c r="D27" s="12">
        <v>115</v>
      </c>
      <c r="E27" s="12">
        <v>0.50124000000000002</v>
      </c>
      <c r="F27" s="12">
        <v>0.51780999999999999</v>
      </c>
      <c r="G27" s="12">
        <v>0.67695000000000005</v>
      </c>
      <c r="H27" s="12">
        <v>0.83196000000000003</v>
      </c>
      <c r="I27" s="12">
        <v>0.84894999999999998</v>
      </c>
      <c r="J27" s="12"/>
      <c r="K27" s="12"/>
    </row>
    <row r="28" spans="1:11" x14ac:dyDescent="0.3">
      <c r="A28" s="12">
        <v>1</v>
      </c>
      <c r="B28" s="12" t="s">
        <v>277</v>
      </c>
      <c r="C28" s="26" t="s">
        <v>32</v>
      </c>
      <c r="D28" s="12">
        <v>4</v>
      </c>
      <c r="E28" s="12">
        <v>0.49247000000000002</v>
      </c>
      <c r="F28" s="12">
        <v>0.53600000000000003</v>
      </c>
      <c r="G28" s="12">
        <v>0.80876999999999999</v>
      </c>
      <c r="H28" s="12">
        <v>0.83587999999999996</v>
      </c>
      <c r="I28" s="12">
        <v>0.83606000000000003</v>
      </c>
      <c r="J28" s="12"/>
      <c r="K28" s="12"/>
    </row>
    <row r="29" spans="1:11" x14ac:dyDescent="0.3">
      <c r="A29" s="12">
        <v>1</v>
      </c>
      <c r="B29" s="12" t="s">
        <v>277</v>
      </c>
      <c r="C29" s="12" t="s">
        <v>1271</v>
      </c>
      <c r="D29" s="12">
        <v>115</v>
      </c>
      <c r="E29" s="12">
        <v>0.40061999999999998</v>
      </c>
      <c r="F29" s="12">
        <v>0.42957000000000001</v>
      </c>
      <c r="G29" s="12">
        <v>0.66686999999999996</v>
      </c>
      <c r="H29" s="12">
        <v>0.92022000000000004</v>
      </c>
      <c r="I29" s="12">
        <v>0.94745000000000001</v>
      </c>
      <c r="J29" s="12"/>
      <c r="K29" s="12"/>
    </row>
    <row r="30" spans="1:11" x14ac:dyDescent="0.3">
      <c r="A30" s="12">
        <v>1</v>
      </c>
      <c r="B30" s="12" t="s">
        <v>278</v>
      </c>
      <c r="C30" s="26" t="s">
        <v>32</v>
      </c>
      <c r="D30" s="12">
        <v>4</v>
      </c>
      <c r="E30" s="12">
        <v>0.77010999999999996</v>
      </c>
      <c r="F30" s="12">
        <v>0.77375000000000005</v>
      </c>
      <c r="G30" s="12">
        <v>0.81596000000000002</v>
      </c>
      <c r="H30" s="12">
        <v>0.86173</v>
      </c>
      <c r="I30" s="12">
        <v>0.86599999999999999</v>
      </c>
      <c r="J30" s="12"/>
      <c r="K30" s="12"/>
    </row>
    <row r="31" spans="1:11" x14ac:dyDescent="0.3">
      <c r="A31" s="12">
        <v>1</v>
      </c>
      <c r="B31" s="12" t="s">
        <v>278</v>
      </c>
      <c r="C31" s="12" t="s">
        <v>1271</v>
      </c>
      <c r="D31" s="12">
        <v>115</v>
      </c>
      <c r="E31" s="12">
        <v>0.40429999999999999</v>
      </c>
      <c r="F31" s="12">
        <v>0.42908000000000002</v>
      </c>
      <c r="G31" s="12">
        <v>0.66334000000000004</v>
      </c>
      <c r="H31" s="12">
        <v>0.92266000000000004</v>
      </c>
      <c r="I31" s="12">
        <v>0.94918999999999998</v>
      </c>
      <c r="J31" s="12"/>
      <c r="K31" s="12"/>
    </row>
    <row r="32" spans="1:11" x14ac:dyDescent="0.3">
      <c r="A32" s="12">
        <v>1</v>
      </c>
      <c r="B32" s="12" t="s">
        <v>279</v>
      </c>
      <c r="C32" s="26" t="s">
        <v>32</v>
      </c>
      <c r="D32" s="12">
        <v>4</v>
      </c>
      <c r="E32" s="12">
        <v>0.46522000000000002</v>
      </c>
      <c r="F32" s="12">
        <v>0.46988999999999997</v>
      </c>
      <c r="G32" s="12">
        <v>0.50848000000000004</v>
      </c>
      <c r="H32" s="12">
        <v>0.55689999999999995</v>
      </c>
      <c r="I32" s="12">
        <v>0.56330999999999998</v>
      </c>
      <c r="J32" s="12"/>
      <c r="K32" s="12"/>
    </row>
    <row r="33" spans="1:11" x14ac:dyDescent="0.3">
      <c r="A33" s="12">
        <v>1</v>
      </c>
      <c r="B33" s="12" t="s">
        <v>279</v>
      </c>
      <c r="C33" s="12" t="s">
        <v>1271</v>
      </c>
      <c r="D33" s="12">
        <v>115</v>
      </c>
      <c r="E33" s="12">
        <v>0.40440999999999999</v>
      </c>
      <c r="F33" s="12">
        <v>0.42873</v>
      </c>
      <c r="G33" s="12">
        <v>0.68027000000000004</v>
      </c>
      <c r="H33" s="12">
        <v>0.92012000000000005</v>
      </c>
      <c r="I33" s="12">
        <v>0.94918999999999998</v>
      </c>
      <c r="J33" s="12"/>
      <c r="K33" s="12"/>
    </row>
    <row r="34" spans="1:11" x14ac:dyDescent="0.3">
      <c r="A34" s="12">
        <v>1</v>
      </c>
      <c r="B34" s="12" t="s">
        <v>280</v>
      </c>
      <c r="C34" s="26" t="s">
        <v>32</v>
      </c>
      <c r="D34" s="12">
        <v>4</v>
      </c>
      <c r="E34" s="12">
        <v>0.60719000000000001</v>
      </c>
      <c r="F34" s="12">
        <v>0.63058999999999998</v>
      </c>
      <c r="G34" s="12">
        <v>0.78690000000000004</v>
      </c>
      <c r="H34" s="12">
        <v>0.90076000000000001</v>
      </c>
      <c r="I34" s="12">
        <v>0.91668000000000005</v>
      </c>
      <c r="J34" s="12"/>
      <c r="K34" s="12"/>
    </row>
    <row r="35" spans="1:11" x14ac:dyDescent="0.3">
      <c r="A35" s="12">
        <v>1</v>
      </c>
      <c r="B35" s="12" t="s">
        <v>280</v>
      </c>
      <c r="C35" s="12" t="s">
        <v>1271</v>
      </c>
      <c r="D35" s="12">
        <v>115</v>
      </c>
      <c r="E35" s="12">
        <v>0.40383999999999998</v>
      </c>
      <c r="F35" s="12">
        <v>0.42825999999999997</v>
      </c>
      <c r="G35" s="12">
        <v>0.67469000000000001</v>
      </c>
      <c r="H35" s="12">
        <v>0.92103999999999997</v>
      </c>
      <c r="I35" s="12">
        <v>0.94789999999999996</v>
      </c>
      <c r="J35" s="12"/>
      <c r="K35" s="12"/>
    </row>
    <row r="36" spans="1:11" x14ac:dyDescent="0.3">
      <c r="A36" s="12">
        <v>1</v>
      </c>
      <c r="B36" s="12" t="s">
        <v>281</v>
      </c>
      <c r="C36" s="26" t="s">
        <v>32</v>
      </c>
      <c r="D36" s="12">
        <v>4</v>
      </c>
      <c r="E36" s="12">
        <v>0.85450000000000004</v>
      </c>
      <c r="F36" s="12">
        <v>0.86073999999999995</v>
      </c>
      <c r="G36" s="12">
        <v>0.90663000000000005</v>
      </c>
      <c r="H36" s="12">
        <v>0.9415</v>
      </c>
      <c r="I36" s="12">
        <v>0.94579000000000002</v>
      </c>
      <c r="J36" s="12"/>
      <c r="K36" s="12"/>
    </row>
    <row r="37" spans="1:11" x14ac:dyDescent="0.3">
      <c r="A37" s="12">
        <v>1</v>
      </c>
      <c r="B37" s="12" t="s">
        <v>281</v>
      </c>
      <c r="C37" s="12" t="s">
        <v>1271</v>
      </c>
      <c r="D37" s="12">
        <v>115</v>
      </c>
      <c r="E37" s="12">
        <v>0.40087</v>
      </c>
      <c r="F37" s="12">
        <v>0.43021999999999999</v>
      </c>
      <c r="G37" s="12">
        <v>0.66215999999999997</v>
      </c>
      <c r="H37" s="12">
        <v>0.91273000000000004</v>
      </c>
      <c r="I37" s="12">
        <v>0.94455</v>
      </c>
      <c r="J37" s="12"/>
      <c r="K37" s="12"/>
    </row>
    <row r="38" spans="1:11" x14ac:dyDescent="0.3">
      <c r="A38" s="12">
        <v>1</v>
      </c>
      <c r="B38" s="12" t="s">
        <v>1114</v>
      </c>
      <c r="C38" s="26" t="s">
        <v>32</v>
      </c>
      <c r="D38" s="12">
        <v>4</v>
      </c>
      <c r="E38" s="12">
        <v>510.23</v>
      </c>
      <c r="F38" s="12">
        <v>619.98</v>
      </c>
      <c r="G38" s="12">
        <v>1894.1</v>
      </c>
      <c r="H38" s="12">
        <v>2796.2</v>
      </c>
      <c r="I38" s="12">
        <v>2840.3</v>
      </c>
      <c r="J38" s="12"/>
      <c r="K38" s="12"/>
    </row>
    <row r="39" spans="1:11" x14ac:dyDescent="0.3">
      <c r="A39" s="12">
        <v>1</v>
      </c>
      <c r="B39" s="12" t="s">
        <v>1114</v>
      </c>
      <c r="C39" s="12" t="s">
        <v>1271</v>
      </c>
      <c r="D39" s="12">
        <v>115</v>
      </c>
      <c r="E39" s="12">
        <v>490.29</v>
      </c>
      <c r="F39" s="12">
        <v>864.43</v>
      </c>
      <c r="G39" s="12">
        <v>2475.5</v>
      </c>
      <c r="H39" s="12">
        <v>3950.6</v>
      </c>
      <c r="I39" s="12">
        <v>4288.6000000000004</v>
      </c>
      <c r="J39" s="12"/>
      <c r="K39" s="12"/>
    </row>
    <row r="40" spans="1:11" x14ac:dyDescent="0.3">
      <c r="A40" s="12">
        <v>1</v>
      </c>
      <c r="B40" s="12" t="s">
        <v>1115</v>
      </c>
      <c r="C40" s="26" t="s">
        <v>32</v>
      </c>
      <c r="D40" s="12">
        <v>4</v>
      </c>
      <c r="E40" s="12">
        <v>1.3205</v>
      </c>
      <c r="F40" s="12">
        <v>1.3672</v>
      </c>
      <c r="G40" s="12">
        <v>2.0716000000000001</v>
      </c>
      <c r="H40" s="12">
        <v>2.8187000000000002</v>
      </c>
      <c r="I40" s="12">
        <v>2.8730000000000002</v>
      </c>
      <c r="J40" s="12"/>
      <c r="K40" s="12"/>
    </row>
    <row r="41" spans="1:11" x14ac:dyDescent="0.3">
      <c r="A41" s="12">
        <v>1</v>
      </c>
      <c r="B41" s="12" t="s">
        <v>1115</v>
      </c>
      <c r="C41" s="12" t="s">
        <v>1271</v>
      </c>
      <c r="D41" s="12">
        <v>115</v>
      </c>
      <c r="E41" s="12">
        <v>1.2824</v>
      </c>
      <c r="F41" s="12">
        <v>1.5955999999999999</v>
      </c>
      <c r="G41" s="12">
        <v>3.4035000000000002</v>
      </c>
      <c r="H41" s="12">
        <v>12.012</v>
      </c>
      <c r="I41" s="12">
        <v>18.335999999999999</v>
      </c>
      <c r="J41" s="12"/>
      <c r="K41" s="12"/>
    </row>
    <row r="42" spans="1:11" x14ac:dyDescent="0.3">
      <c r="A42" s="12">
        <v>4</v>
      </c>
      <c r="B42" s="12" t="s">
        <v>271</v>
      </c>
      <c r="C42" s="26" t="s">
        <v>32</v>
      </c>
      <c r="D42" s="12">
        <v>6</v>
      </c>
      <c r="E42" s="12">
        <v>955.29</v>
      </c>
      <c r="F42" s="12">
        <v>992.72</v>
      </c>
      <c r="G42" s="12">
        <v>1733.1</v>
      </c>
      <c r="H42" s="12">
        <v>1927.6</v>
      </c>
      <c r="I42" s="12">
        <v>1932.7</v>
      </c>
      <c r="J42" s="12"/>
      <c r="K42" s="12"/>
    </row>
    <row r="43" spans="1:11" x14ac:dyDescent="0.3">
      <c r="A43" s="12">
        <v>4</v>
      </c>
      <c r="B43" s="12" t="s">
        <v>271</v>
      </c>
      <c r="C43" s="12" t="s">
        <v>1271</v>
      </c>
      <c r="D43" s="12">
        <v>114</v>
      </c>
      <c r="E43" s="12">
        <v>211.42</v>
      </c>
      <c r="F43" s="12">
        <v>295.10000000000002</v>
      </c>
      <c r="G43" s="12">
        <v>1070.0999999999999</v>
      </c>
      <c r="H43" s="12">
        <v>1860.9</v>
      </c>
      <c r="I43" s="12">
        <v>1985.6</v>
      </c>
      <c r="J43" s="12"/>
      <c r="K43" s="12"/>
    </row>
    <row r="44" spans="1:11" x14ac:dyDescent="0.3">
      <c r="A44" s="12">
        <v>4</v>
      </c>
      <c r="B44" s="12" t="s">
        <v>272</v>
      </c>
      <c r="C44" s="26" t="s">
        <v>32</v>
      </c>
      <c r="D44" s="12">
        <v>6</v>
      </c>
      <c r="E44" s="12">
        <v>0.52010999999999996</v>
      </c>
      <c r="F44" s="12">
        <v>0.52051000000000003</v>
      </c>
      <c r="G44" s="12">
        <v>0.55722000000000005</v>
      </c>
      <c r="H44" s="12">
        <v>0.65958000000000006</v>
      </c>
      <c r="I44" s="12">
        <v>0.67229000000000005</v>
      </c>
      <c r="J44" s="12"/>
      <c r="K44" s="12"/>
    </row>
    <row r="45" spans="1:11" x14ac:dyDescent="0.3">
      <c r="A45" s="12">
        <v>4</v>
      </c>
      <c r="B45" s="12" t="s">
        <v>272</v>
      </c>
      <c r="C45" s="12" t="s">
        <v>1271</v>
      </c>
      <c r="D45" s="12">
        <v>114</v>
      </c>
      <c r="E45" s="12">
        <v>0.50226000000000004</v>
      </c>
      <c r="F45" s="12">
        <v>0.52137999999999995</v>
      </c>
      <c r="G45" s="12">
        <v>0.68413999999999997</v>
      </c>
      <c r="H45" s="12">
        <v>0.83179000000000003</v>
      </c>
      <c r="I45" s="12">
        <v>0.84794000000000003</v>
      </c>
      <c r="J45" s="12"/>
      <c r="K45" s="12"/>
    </row>
    <row r="46" spans="1:11" x14ac:dyDescent="0.3">
      <c r="A46" s="12">
        <v>4</v>
      </c>
      <c r="B46" s="12" t="s">
        <v>277</v>
      </c>
      <c r="C46" s="26" t="s">
        <v>32</v>
      </c>
      <c r="D46" s="12">
        <v>6</v>
      </c>
      <c r="E46" s="12">
        <v>0.44614999999999999</v>
      </c>
      <c r="F46" s="12">
        <v>0.44844000000000001</v>
      </c>
      <c r="G46" s="12">
        <v>0.59826999999999997</v>
      </c>
      <c r="H46" s="12">
        <v>0.91600000000000004</v>
      </c>
      <c r="I46" s="12">
        <v>0.94345000000000001</v>
      </c>
      <c r="J46" s="12"/>
      <c r="K46" s="12"/>
    </row>
    <row r="47" spans="1:11" x14ac:dyDescent="0.3">
      <c r="A47" s="12">
        <v>4</v>
      </c>
      <c r="B47" s="12" t="s">
        <v>277</v>
      </c>
      <c r="C47" s="12" t="s">
        <v>1271</v>
      </c>
      <c r="D47" s="12">
        <v>114</v>
      </c>
      <c r="E47" s="12">
        <v>0.40325</v>
      </c>
      <c r="F47" s="12">
        <v>0.42736000000000002</v>
      </c>
      <c r="G47" s="12">
        <v>0.67432000000000003</v>
      </c>
      <c r="H47" s="12">
        <v>0.91707000000000005</v>
      </c>
      <c r="I47" s="12">
        <v>0.94577999999999995</v>
      </c>
      <c r="J47" s="12"/>
      <c r="K47" s="12"/>
    </row>
    <row r="48" spans="1:11" x14ac:dyDescent="0.3">
      <c r="A48" s="12">
        <v>4</v>
      </c>
      <c r="B48" s="12" t="s">
        <v>278</v>
      </c>
      <c r="C48" s="26" t="s">
        <v>32</v>
      </c>
      <c r="D48" s="12">
        <v>6</v>
      </c>
      <c r="E48" s="12">
        <v>0.50983999999999996</v>
      </c>
      <c r="F48" s="12">
        <v>0.54303999999999997</v>
      </c>
      <c r="G48" s="12">
        <v>0.70277000000000001</v>
      </c>
      <c r="H48" s="12">
        <v>0.92286999999999997</v>
      </c>
      <c r="I48" s="12">
        <v>0.93586999999999998</v>
      </c>
      <c r="J48" s="12"/>
      <c r="K48" s="12"/>
    </row>
    <row r="49" spans="1:11" x14ac:dyDescent="0.3">
      <c r="A49" s="12">
        <v>4</v>
      </c>
      <c r="B49" s="12" t="s">
        <v>278</v>
      </c>
      <c r="C49" s="12" t="s">
        <v>1271</v>
      </c>
      <c r="D49" s="12">
        <v>114</v>
      </c>
      <c r="E49" s="12">
        <v>0.40037</v>
      </c>
      <c r="F49" s="12">
        <v>0.42864999999999998</v>
      </c>
      <c r="G49" s="12">
        <v>0.67520999999999998</v>
      </c>
      <c r="H49" s="12">
        <v>0.91691</v>
      </c>
      <c r="I49" s="12">
        <v>0.94660999999999995</v>
      </c>
      <c r="J49" s="12"/>
      <c r="K49" s="12"/>
    </row>
    <row r="50" spans="1:11" x14ac:dyDescent="0.3">
      <c r="A50" s="12">
        <v>4</v>
      </c>
      <c r="B50" s="12" t="s">
        <v>279</v>
      </c>
      <c r="C50" s="26" t="s">
        <v>32</v>
      </c>
      <c r="D50" s="12">
        <v>6</v>
      </c>
      <c r="E50" s="12">
        <v>0.40425</v>
      </c>
      <c r="F50" s="12">
        <v>0.40495999999999999</v>
      </c>
      <c r="G50" s="12">
        <v>0.59989999999999999</v>
      </c>
      <c r="H50" s="12">
        <v>0.78791999999999995</v>
      </c>
      <c r="I50" s="12">
        <v>0.80267999999999995</v>
      </c>
      <c r="J50" s="12"/>
      <c r="K50" s="12"/>
    </row>
    <row r="51" spans="1:11" x14ac:dyDescent="0.3">
      <c r="A51" s="12">
        <v>4</v>
      </c>
      <c r="B51" s="12" t="s">
        <v>279</v>
      </c>
      <c r="C51" s="12" t="s">
        <v>1271</v>
      </c>
      <c r="D51" s="12">
        <v>114</v>
      </c>
      <c r="E51" s="12">
        <v>0.40960000000000002</v>
      </c>
      <c r="F51" s="12">
        <v>0.43822</v>
      </c>
      <c r="G51" s="12">
        <v>0.67964999999999998</v>
      </c>
      <c r="H51" s="12">
        <v>0.92034000000000005</v>
      </c>
      <c r="I51" s="12">
        <v>0.94957999999999998</v>
      </c>
      <c r="J51" s="12"/>
      <c r="K51" s="12"/>
    </row>
    <row r="52" spans="1:11" x14ac:dyDescent="0.3">
      <c r="A52" s="12">
        <v>4</v>
      </c>
      <c r="B52" s="12" t="s">
        <v>280</v>
      </c>
      <c r="C52" s="26" t="s">
        <v>32</v>
      </c>
      <c r="D52" s="12">
        <v>6</v>
      </c>
      <c r="E52" s="12">
        <v>0.48280000000000001</v>
      </c>
      <c r="F52" s="12">
        <v>0.48942999999999998</v>
      </c>
      <c r="G52" s="12">
        <v>0.75651999999999997</v>
      </c>
      <c r="H52" s="12">
        <v>0.91</v>
      </c>
      <c r="I52" s="12">
        <v>0.92442000000000002</v>
      </c>
      <c r="J52" s="12"/>
      <c r="K52" s="12"/>
    </row>
    <row r="53" spans="1:11" x14ac:dyDescent="0.3">
      <c r="A53" s="12">
        <v>4</v>
      </c>
      <c r="B53" s="12" t="s">
        <v>280</v>
      </c>
      <c r="C53" s="12" t="s">
        <v>1271</v>
      </c>
      <c r="D53" s="12">
        <v>114</v>
      </c>
      <c r="E53" s="12">
        <v>0.40094000000000002</v>
      </c>
      <c r="F53" s="12">
        <v>0.42669000000000001</v>
      </c>
      <c r="G53" s="12">
        <v>0.67145999999999995</v>
      </c>
      <c r="H53" s="12">
        <v>0.91825999999999997</v>
      </c>
      <c r="I53" s="12">
        <v>0.9466</v>
      </c>
      <c r="J53" s="12"/>
      <c r="K53" s="12"/>
    </row>
    <row r="54" spans="1:11" x14ac:dyDescent="0.3">
      <c r="A54" s="12">
        <v>4</v>
      </c>
      <c r="B54" s="12" t="s">
        <v>281</v>
      </c>
      <c r="C54" s="26" t="s">
        <v>32</v>
      </c>
      <c r="D54" s="12">
        <v>6</v>
      </c>
      <c r="E54" s="12">
        <v>0.88315999999999995</v>
      </c>
      <c r="F54" s="12">
        <v>0.88527</v>
      </c>
      <c r="G54" s="12">
        <v>0.90708999999999995</v>
      </c>
      <c r="H54" s="12">
        <v>0.93591999999999997</v>
      </c>
      <c r="I54" s="12">
        <v>0.93828</v>
      </c>
      <c r="J54" s="12"/>
      <c r="K54" s="12"/>
    </row>
    <row r="55" spans="1:11" x14ac:dyDescent="0.3">
      <c r="A55" s="12">
        <v>4</v>
      </c>
      <c r="B55" s="12" t="s">
        <v>281</v>
      </c>
      <c r="C55" s="12" t="s">
        <v>1271</v>
      </c>
      <c r="D55" s="12">
        <v>114</v>
      </c>
      <c r="E55" s="12">
        <v>0.40217000000000003</v>
      </c>
      <c r="F55" s="12">
        <v>0.42895</v>
      </c>
      <c r="G55" s="12">
        <v>0.66200000000000003</v>
      </c>
      <c r="H55" s="12">
        <v>0.90937000000000001</v>
      </c>
      <c r="I55" s="12">
        <v>0.94674999999999998</v>
      </c>
      <c r="J55" s="12"/>
      <c r="K55" s="12"/>
    </row>
    <row r="56" spans="1:11" x14ac:dyDescent="0.3">
      <c r="A56" s="12">
        <v>4</v>
      </c>
      <c r="B56" s="12" t="s">
        <v>1114</v>
      </c>
      <c r="C56" s="26" t="s">
        <v>32</v>
      </c>
      <c r="D56" s="12">
        <v>6</v>
      </c>
      <c r="E56" s="12">
        <v>1067.3</v>
      </c>
      <c r="F56" s="12">
        <v>1072.4000000000001</v>
      </c>
      <c r="G56" s="12">
        <v>1266.9000000000001</v>
      </c>
      <c r="H56" s="12">
        <v>2007.3</v>
      </c>
      <c r="I56" s="12">
        <v>2044.7</v>
      </c>
      <c r="J56" s="12"/>
      <c r="K56" s="12"/>
    </row>
    <row r="57" spans="1:11" x14ac:dyDescent="0.3">
      <c r="A57" s="12">
        <v>4</v>
      </c>
      <c r="B57" s="12" t="s">
        <v>1114</v>
      </c>
      <c r="C57" s="12" t="s">
        <v>1271</v>
      </c>
      <c r="D57" s="12">
        <v>114</v>
      </c>
      <c r="E57" s="12">
        <v>1014.4</v>
      </c>
      <c r="F57" s="12">
        <v>1139.0999999999999</v>
      </c>
      <c r="G57" s="12">
        <v>1929.9</v>
      </c>
      <c r="H57" s="12">
        <v>2704.9</v>
      </c>
      <c r="I57" s="12">
        <v>2788.6</v>
      </c>
      <c r="J57" s="12"/>
      <c r="K57" s="12"/>
    </row>
    <row r="58" spans="1:11" x14ac:dyDescent="0.3">
      <c r="A58" s="12">
        <v>4</v>
      </c>
      <c r="B58" s="12" t="s">
        <v>1115</v>
      </c>
      <c r="C58" s="26" t="s">
        <v>32</v>
      </c>
      <c r="D58" s="12">
        <v>6</v>
      </c>
      <c r="E58" s="12">
        <v>1.5523</v>
      </c>
      <c r="F58" s="12">
        <v>1.5564</v>
      </c>
      <c r="G58" s="12">
        <v>1.7475000000000001</v>
      </c>
      <c r="H58" s="12">
        <v>3.0339999999999998</v>
      </c>
      <c r="I58" s="12">
        <v>3.1404000000000001</v>
      </c>
      <c r="J58" s="12"/>
      <c r="K58" s="12"/>
    </row>
    <row r="59" spans="1:11" x14ac:dyDescent="0.3">
      <c r="A59" s="12">
        <v>4</v>
      </c>
      <c r="B59" s="12" t="s">
        <v>1115</v>
      </c>
      <c r="C59" s="12" t="s">
        <v>1271</v>
      </c>
      <c r="D59" s="12">
        <v>114</v>
      </c>
      <c r="E59" s="12">
        <v>1.5108999999999999</v>
      </c>
      <c r="F59" s="12">
        <v>1.6122000000000001</v>
      </c>
      <c r="G59" s="12">
        <v>2.8035000000000001</v>
      </c>
      <c r="H59" s="12">
        <v>10.186</v>
      </c>
      <c r="I59" s="12">
        <v>14.19</v>
      </c>
      <c r="J59" s="12"/>
      <c r="K59" s="12"/>
    </row>
    <row r="60" spans="1:11" x14ac:dyDescent="0.3">
      <c r="A60" s="12">
        <v>5</v>
      </c>
      <c r="B60" s="12" t="s">
        <v>269</v>
      </c>
      <c r="C60" s="26" t="s">
        <v>32</v>
      </c>
      <c r="D60" s="12">
        <v>10</v>
      </c>
      <c r="E60" s="12">
        <v>2523.4</v>
      </c>
      <c r="F60" s="12">
        <v>2549.4</v>
      </c>
      <c r="G60" s="12">
        <v>4070</v>
      </c>
      <c r="H60" s="12">
        <v>4783.6000000000004</v>
      </c>
      <c r="I60" s="12">
        <v>4808.3</v>
      </c>
      <c r="J60" s="12">
        <v>0.27889999999999998</v>
      </c>
      <c r="K60" s="12">
        <v>0.39528000000000002</v>
      </c>
    </row>
    <row r="61" spans="1:11" x14ac:dyDescent="0.3">
      <c r="A61" s="12">
        <v>5</v>
      </c>
      <c r="B61" s="12" t="s">
        <v>269</v>
      </c>
      <c r="C61" s="12" t="s">
        <v>1271</v>
      </c>
      <c r="D61" s="12">
        <v>109</v>
      </c>
      <c r="E61" s="12">
        <v>2023</v>
      </c>
      <c r="F61" s="12">
        <v>2149</v>
      </c>
      <c r="G61" s="12">
        <v>3469.4</v>
      </c>
      <c r="H61" s="12">
        <v>4854.3999999999996</v>
      </c>
      <c r="I61" s="12">
        <v>4997.5</v>
      </c>
      <c r="J61" s="12">
        <v>0.27889999999999998</v>
      </c>
      <c r="K61" s="12">
        <v>0.39528000000000002</v>
      </c>
    </row>
    <row r="62" spans="1:11" x14ac:dyDescent="0.3">
      <c r="A62" s="12">
        <v>5</v>
      </c>
      <c r="B62" s="12" t="s">
        <v>271</v>
      </c>
      <c r="C62" s="26" t="s">
        <v>32</v>
      </c>
      <c r="D62" s="12">
        <v>10</v>
      </c>
      <c r="E62" s="12">
        <v>654.54999999999995</v>
      </c>
      <c r="F62" s="12">
        <v>888.73</v>
      </c>
      <c r="G62" s="12">
        <v>1437.2</v>
      </c>
      <c r="H62" s="12">
        <v>1771.6</v>
      </c>
      <c r="I62" s="12">
        <v>1810.6</v>
      </c>
      <c r="J62" s="12">
        <v>0.47798000000000002</v>
      </c>
      <c r="K62" s="12">
        <v>1.9927E-2</v>
      </c>
    </row>
    <row r="63" spans="1:11" x14ac:dyDescent="0.3">
      <c r="A63" s="12">
        <v>5</v>
      </c>
      <c r="B63" s="12" t="s">
        <v>271</v>
      </c>
      <c r="C63" s="12" t="s">
        <v>1271</v>
      </c>
      <c r="D63" s="12">
        <v>109</v>
      </c>
      <c r="E63" s="12">
        <v>206.13</v>
      </c>
      <c r="F63" s="12">
        <v>291.52999999999997</v>
      </c>
      <c r="G63" s="12">
        <v>1034.3</v>
      </c>
      <c r="H63" s="12">
        <v>1896.5</v>
      </c>
      <c r="I63" s="12">
        <v>1999.3</v>
      </c>
      <c r="J63" s="12">
        <v>0.47798000000000002</v>
      </c>
      <c r="K63" s="12">
        <v>1.9927E-2</v>
      </c>
    </row>
    <row r="64" spans="1:11" x14ac:dyDescent="0.3">
      <c r="A64" s="12">
        <v>5</v>
      </c>
      <c r="B64" s="12" t="s">
        <v>276</v>
      </c>
      <c r="C64" s="26" t="s">
        <v>32</v>
      </c>
      <c r="D64" s="12">
        <v>10</v>
      </c>
      <c r="E64" s="12">
        <v>278.77</v>
      </c>
      <c r="F64" s="12">
        <v>279.60000000000002</v>
      </c>
      <c r="G64" s="12">
        <v>288.75</v>
      </c>
      <c r="H64" s="12">
        <v>302.41000000000003</v>
      </c>
      <c r="I64" s="12">
        <v>302.58</v>
      </c>
      <c r="J64" s="12">
        <v>0.28899000000000002</v>
      </c>
      <c r="K64" s="12">
        <v>0.35149999999999998</v>
      </c>
    </row>
    <row r="65" spans="1:11" x14ac:dyDescent="0.3">
      <c r="A65" s="12">
        <v>5</v>
      </c>
      <c r="B65" s="12" t="s">
        <v>276</v>
      </c>
      <c r="C65" s="12" t="s">
        <v>1271</v>
      </c>
      <c r="D65" s="12">
        <v>109</v>
      </c>
      <c r="E65" s="12">
        <v>278.27999999999997</v>
      </c>
      <c r="F65" s="12">
        <v>279.67</v>
      </c>
      <c r="G65" s="12">
        <v>290.76</v>
      </c>
      <c r="H65" s="12">
        <v>301.91000000000003</v>
      </c>
      <c r="I65" s="12">
        <v>303.36</v>
      </c>
      <c r="J65" s="12">
        <v>0.28899000000000002</v>
      </c>
      <c r="K65" s="12">
        <v>0.35149999999999998</v>
      </c>
    </row>
    <row r="66" spans="1:11" x14ac:dyDescent="0.3">
      <c r="A66" s="12">
        <v>5</v>
      </c>
      <c r="B66" s="12" t="s">
        <v>277</v>
      </c>
      <c r="C66" s="26" t="s">
        <v>32</v>
      </c>
      <c r="D66" s="12">
        <v>10</v>
      </c>
      <c r="E66" s="12">
        <v>0.41031000000000001</v>
      </c>
      <c r="F66" s="12">
        <v>0.46128999999999998</v>
      </c>
      <c r="G66" s="12">
        <v>0.69879000000000002</v>
      </c>
      <c r="H66" s="12">
        <v>0.91047999999999996</v>
      </c>
      <c r="I66" s="12">
        <v>0.92249000000000003</v>
      </c>
      <c r="J66" s="12">
        <v>0.22477</v>
      </c>
      <c r="K66" s="12">
        <v>0.65891</v>
      </c>
    </row>
    <row r="67" spans="1:11" x14ac:dyDescent="0.3">
      <c r="A67" s="12">
        <v>5</v>
      </c>
      <c r="B67" s="12" t="s">
        <v>277</v>
      </c>
      <c r="C67" s="12" t="s">
        <v>1271</v>
      </c>
      <c r="D67" s="12">
        <v>109</v>
      </c>
      <c r="E67" s="12">
        <v>0.40329999999999999</v>
      </c>
      <c r="F67" s="12">
        <v>0.43309999999999998</v>
      </c>
      <c r="G67" s="12">
        <v>0.67513000000000001</v>
      </c>
      <c r="H67" s="12">
        <v>0.92218</v>
      </c>
      <c r="I67" s="12">
        <v>0.94994999999999996</v>
      </c>
      <c r="J67" s="12">
        <v>0.22477</v>
      </c>
      <c r="K67" s="12">
        <v>0.65891</v>
      </c>
    </row>
    <row r="68" spans="1:11" x14ac:dyDescent="0.3">
      <c r="A68" s="12">
        <v>5</v>
      </c>
      <c r="B68" s="12" t="s">
        <v>278</v>
      </c>
      <c r="C68" s="26" t="s">
        <v>32</v>
      </c>
      <c r="D68" s="12">
        <v>10</v>
      </c>
      <c r="E68" s="12">
        <v>0.43382999999999999</v>
      </c>
      <c r="F68" s="12">
        <v>0.44507000000000002</v>
      </c>
      <c r="G68" s="12">
        <v>0.66779999999999995</v>
      </c>
      <c r="H68" s="12">
        <v>0.90766999999999998</v>
      </c>
      <c r="I68" s="12">
        <v>0.91129000000000004</v>
      </c>
      <c r="J68" s="12">
        <v>0.19908000000000001</v>
      </c>
      <c r="K68" s="12">
        <v>0.78652</v>
      </c>
    </row>
    <row r="69" spans="1:11" x14ac:dyDescent="0.3">
      <c r="A69" s="12">
        <v>5</v>
      </c>
      <c r="B69" s="12" t="s">
        <v>278</v>
      </c>
      <c r="C69" s="12" t="s">
        <v>1271</v>
      </c>
      <c r="D69" s="12">
        <v>109</v>
      </c>
      <c r="E69" s="12">
        <v>0.40348000000000001</v>
      </c>
      <c r="F69" s="12">
        <v>0.42701</v>
      </c>
      <c r="G69" s="12">
        <v>0.67418</v>
      </c>
      <c r="H69" s="12">
        <v>0.92349999999999999</v>
      </c>
      <c r="I69" s="12">
        <v>0.9476</v>
      </c>
      <c r="J69" s="12">
        <v>0.19908000000000001</v>
      </c>
      <c r="K69" s="12">
        <v>0.78652</v>
      </c>
    </row>
    <row r="70" spans="1:11" x14ac:dyDescent="0.3">
      <c r="A70" s="12">
        <v>5</v>
      </c>
      <c r="B70" s="12" t="s">
        <v>279</v>
      </c>
      <c r="C70" s="26" t="s">
        <v>32</v>
      </c>
      <c r="D70" s="12">
        <v>10</v>
      </c>
      <c r="E70" s="12">
        <v>0.4073</v>
      </c>
      <c r="F70" s="12">
        <v>0.43722</v>
      </c>
      <c r="G70" s="12">
        <v>0.57352000000000003</v>
      </c>
      <c r="H70" s="12">
        <v>0.80418999999999996</v>
      </c>
      <c r="I70" s="12">
        <v>0.80776999999999999</v>
      </c>
      <c r="J70" s="12">
        <v>0.37890000000000001</v>
      </c>
      <c r="K70" s="12">
        <v>0.10774</v>
      </c>
    </row>
    <row r="71" spans="1:11" x14ac:dyDescent="0.3">
      <c r="A71" s="12">
        <v>5</v>
      </c>
      <c r="B71" s="12" t="s">
        <v>279</v>
      </c>
      <c r="C71" s="12" t="s">
        <v>1271</v>
      </c>
      <c r="D71" s="12">
        <v>109</v>
      </c>
      <c r="E71" s="12">
        <v>0.40414</v>
      </c>
      <c r="F71" s="12">
        <v>0.43098999999999998</v>
      </c>
      <c r="G71" s="12">
        <v>0.68698000000000004</v>
      </c>
      <c r="H71" s="12">
        <v>0.92198000000000002</v>
      </c>
      <c r="I71" s="12">
        <v>0.94874000000000003</v>
      </c>
      <c r="J71" s="12">
        <v>0.37890000000000001</v>
      </c>
      <c r="K71" s="12">
        <v>0.10774</v>
      </c>
    </row>
    <row r="72" spans="1:11" x14ac:dyDescent="0.3">
      <c r="A72" s="12">
        <v>5</v>
      </c>
      <c r="B72" s="12" t="s">
        <v>280</v>
      </c>
      <c r="C72" s="26" t="s">
        <v>32</v>
      </c>
      <c r="D72" s="12">
        <v>10</v>
      </c>
      <c r="E72" s="12">
        <v>0.41010999999999997</v>
      </c>
      <c r="F72" s="12">
        <v>0.41438999999999998</v>
      </c>
      <c r="G72" s="12">
        <v>0.54783999999999999</v>
      </c>
      <c r="H72" s="12">
        <v>0.84648000000000001</v>
      </c>
      <c r="I72" s="12">
        <v>0.94013999999999998</v>
      </c>
      <c r="J72" s="12">
        <v>0.36238999999999999</v>
      </c>
      <c r="K72" s="12">
        <v>0.13500000000000001</v>
      </c>
    </row>
    <row r="73" spans="1:11" x14ac:dyDescent="0.3">
      <c r="A73" s="12">
        <v>5</v>
      </c>
      <c r="B73" s="12" t="s">
        <v>280</v>
      </c>
      <c r="C73" s="12" t="s">
        <v>1271</v>
      </c>
      <c r="D73" s="12">
        <v>109</v>
      </c>
      <c r="E73" s="12">
        <v>0.40265000000000001</v>
      </c>
      <c r="F73" s="12">
        <v>0.43989</v>
      </c>
      <c r="G73" s="12">
        <v>0.68493000000000004</v>
      </c>
      <c r="H73" s="12">
        <v>0.92047999999999996</v>
      </c>
      <c r="I73" s="12">
        <v>0.94725000000000004</v>
      </c>
      <c r="J73" s="12">
        <v>0.36238999999999999</v>
      </c>
      <c r="K73" s="12">
        <v>0.13500000000000001</v>
      </c>
    </row>
    <row r="74" spans="1:11" x14ac:dyDescent="0.3">
      <c r="A74" s="12">
        <v>5</v>
      </c>
      <c r="B74" s="12" t="s">
        <v>281</v>
      </c>
      <c r="C74" s="26" t="s">
        <v>32</v>
      </c>
      <c r="D74" s="12">
        <v>10</v>
      </c>
      <c r="E74" s="12">
        <v>0.81281000000000003</v>
      </c>
      <c r="F74" s="12">
        <v>0.83772000000000002</v>
      </c>
      <c r="G74" s="12">
        <v>0.89461000000000002</v>
      </c>
      <c r="H74" s="12">
        <v>0.93486000000000002</v>
      </c>
      <c r="I74" s="12">
        <v>0.93930999999999998</v>
      </c>
      <c r="J74" s="12">
        <v>0.81742999999999999</v>
      </c>
      <c r="K74" s="12">
        <v>4.5877000000000002E-7</v>
      </c>
    </row>
    <row r="75" spans="1:11" x14ac:dyDescent="0.3">
      <c r="A75" s="12">
        <v>5</v>
      </c>
      <c r="B75" s="12" t="s">
        <v>281</v>
      </c>
      <c r="C75" s="12" t="s">
        <v>1271</v>
      </c>
      <c r="D75" s="12">
        <v>109</v>
      </c>
      <c r="E75" s="12">
        <v>0.40127000000000002</v>
      </c>
      <c r="F75" s="12">
        <v>0.4264</v>
      </c>
      <c r="G75" s="12">
        <v>0.65014000000000005</v>
      </c>
      <c r="H75" s="12">
        <v>0.90510000000000002</v>
      </c>
      <c r="I75" s="12">
        <v>0.94825000000000004</v>
      </c>
      <c r="J75" s="12">
        <v>0.81742999999999999</v>
      </c>
      <c r="K75" s="12">
        <v>4.5877000000000002E-7</v>
      </c>
    </row>
    <row r="76" spans="1:11" x14ac:dyDescent="0.3">
      <c r="A76" s="12">
        <v>5</v>
      </c>
      <c r="B76" s="12" t="s">
        <v>1114</v>
      </c>
      <c r="C76" s="26" t="s">
        <v>32</v>
      </c>
      <c r="D76" s="12">
        <v>10</v>
      </c>
      <c r="E76" s="12">
        <v>1128.7</v>
      </c>
      <c r="F76" s="12">
        <v>1163.0999999999999</v>
      </c>
      <c r="G76" s="12">
        <v>2602</v>
      </c>
      <c r="H76" s="12">
        <v>3433.4</v>
      </c>
      <c r="I76" s="12">
        <v>3566.1</v>
      </c>
      <c r="J76" s="12">
        <v>0.13394</v>
      </c>
      <c r="K76" s="12">
        <v>0.98753999999999997</v>
      </c>
    </row>
    <row r="77" spans="1:11" x14ac:dyDescent="0.3">
      <c r="A77" s="12">
        <v>5</v>
      </c>
      <c r="B77" s="12" t="s">
        <v>1114</v>
      </c>
      <c r="C77" s="12" t="s">
        <v>1271</v>
      </c>
      <c r="D77" s="12">
        <v>109</v>
      </c>
      <c r="E77" s="12">
        <v>304.79000000000002</v>
      </c>
      <c r="F77" s="12">
        <v>686.44</v>
      </c>
      <c r="G77" s="12">
        <v>2450.5</v>
      </c>
      <c r="H77" s="12">
        <v>3970.8</v>
      </c>
      <c r="I77" s="12">
        <v>4654.2</v>
      </c>
      <c r="J77" s="12">
        <v>0.13394</v>
      </c>
      <c r="K77" s="12">
        <v>0.98753999999999997</v>
      </c>
    </row>
    <row r="78" spans="1:11" x14ac:dyDescent="0.3">
      <c r="A78" s="12">
        <v>5</v>
      </c>
      <c r="B78" s="12" t="s">
        <v>1115</v>
      </c>
      <c r="C78" s="26" t="s">
        <v>32</v>
      </c>
      <c r="D78" s="12">
        <v>10</v>
      </c>
      <c r="E78" s="12">
        <v>1.7769999999999999</v>
      </c>
      <c r="F78" s="12">
        <v>1.8387</v>
      </c>
      <c r="G78" s="12">
        <v>2.6974</v>
      </c>
      <c r="H78" s="12">
        <v>4.7953000000000001</v>
      </c>
      <c r="I78" s="12">
        <v>5.5518999999999998</v>
      </c>
      <c r="J78" s="12">
        <v>0.33118999999999998</v>
      </c>
      <c r="K78" s="12">
        <v>0.21597</v>
      </c>
    </row>
    <row r="79" spans="1:11" x14ac:dyDescent="0.3">
      <c r="A79" s="12">
        <v>5</v>
      </c>
      <c r="B79" s="12" t="s">
        <v>1115</v>
      </c>
      <c r="C79" s="12" t="s">
        <v>1271</v>
      </c>
      <c r="D79" s="12">
        <v>109</v>
      </c>
      <c r="E79" s="12">
        <v>1.1574</v>
      </c>
      <c r="F79" s="12">
        <v>1.3905000000000001</v>
      </c>
      <c r="G79" s="12">
        <v>3.2917000000000001</v>
      </c>
      <c r="H79" s="12">
        <v>11.112</v>
      </c>
      <c r="I79" s="12">
        <v>16.472999999999999</v>
      </c>
      <c r="J79" s="12">
        <v>0.33118999999999998</v>
      </c>
      <c r="K79" s="12">
        <v>0.21597</v>
      </c>
    </row>
    <row r="81" spans="1:1" x14ac:dyDescent="0.3">
      <c r="A81" s="17" t="s">
        <v>1272</v>
      </c>
    </row>
  </sheetData>
  <autoFilter ref="A21:K79" xr:uid="{00000000-0009-0000-0000-00002C000000}"/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G23"/>
  <sheetViews>
    <sheetView workbookViewId="0"/>
  </sheetViews>
  <sheetFormatPr baseColWidth="10" defaultColWidth="8.88671875" defaultRowHeight="14.4" x14ac:dyDescent="0.3"/>
  <cols>
    <col min="1" max="1" width="10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7" ht="17.399999999999999" x14ac:dyDescent="0.35">
      <c r="A1" s="1" t="s">
        <v>1273</v>
      </c>
    </row>
    <row r="2" spans="1:7" x14ac:dyDescent="0.3">
      <c r="A2" t="s">
        <v>1274</v>
      </c>
    </row>
    <row r="3" spans="1:7" x14ac:dyDescent="0.3">
      <c r="A3" t="s">
        <v>1275</v>
      </c>
    </row>
    <row r="4" spans="1:7" x14ac:dyDescent="0.3">
      <c r="A4" s="15" t="s">
        <v>736</v>
      </c>
    </row>
    <row r="5" spans="1:7" x14ac:dyDescent="0.3">
      <c r="A5" s="15" t="s">
        <v>1276</v>
      </c>
    </row>
    <row r="6" spans="1:7" x14ac:dyDescent="0.3">
      <c r="A6" t="s">
        <v>788</v>
      </c>
    </row>
    <row r="8" spans="1:7" x14ac:dyDescent="0.3">
      <c r="A8" s="16" t="s">
        <v>360</v>
      </c>
      <c r="B8" s="16" t="s">
        <v>712</v>
      </c>
      <c r="C8" s="16" t="s">
        <v>789</v>
      </c>
      <c r="D8" s="16" t="s">
        <v>790</v>
      </c>
      <c r="E8" s="16" t="s">
        <v>791</v>
      </c>
      <c r="F8" s="16" t="s">
        <v>792</v>
      </c>
      <c r="G8" s="16" t="s">
        <v>266</v>
      </c>
    </row>
    <row r="9" spans="1:7" x14ac:dyDescent="0.3">
      <c r="A9" s="12" t="s">
        <v>180</v>
      </c>
      <c r="B9" s="12" t="s">
        <v>49</v>
      </c>
      <c r="C9" s="12" t="s">
        <v>796</v>
      </c>
      <c r="D9" s="12" t="s">
        <v>1277</v>
      </c>
      <c r="E9" s="12">
        <v>11</v>
      </c>
      <c r="F9" s="12"/>
      <c r="G9" s="12" t="s">
        <v>275</v>
      </c>
    </row>
    <row r="10" spans="1:7" x14ac:dyDescent="0.3">
      <c r="A10" s="12" t="s">
        <v>180</v>
      </c>
      <c r="B10" s="12" t="s">
        <v>51</v>
      </c>
      <c r="C10" s="12" t="s">
        <v>796</v>
      </c>
      <c r="D10" s="12" t="s">
        <v>1016</v>
      </c>
      <c r="E10" s="12">
        <v>3</v>
      </c>
      <c r="F10" s="12"/>
      <c r="G10" s="12" t="s">
        <v>275</v>
      </c>
    </row>
    <row r="11" spans="1:7" x14ac:dyDescent="0.3">
      <c r="A11" s="12" t="s">
        <v>180</v>
      </c>
      <c r="B11" s="12" t="s">
        <v>53</v>
      </c>
      <c r="C11" s="12" t="s">
        <v>793</v>
      </c>
      <c r="D11" s="12" t="s">
        <v>805</v>
      </c>
      <c r="E11" s="12"/>
      <c r="F11" s="12" t="s">
        <v>749</v>
      </c>
      <c r="G11" s="12" t="s">
        <v>270</v>
      </c>
    </row>
    <row r="12" spans="1:7" x14ac:dyDescent="0.3">
      <c r="A12" s="12" t="s">
        <v>180</v>
      </c>
      <c r="B12" s="12" t="s">
        <v>54</v>
      </c>
      <c r="C12" s="12" t="s">
        <v>793</v>
      </c>
      <c r="D12" s="12" t="s">
        <v>798</v>
      </c>
      <c r="E12" s="12"/>
      <c r="F12" s="12" t="s">
        <v>749</v>
      </c>
      <c r="G12" s="12" t="s">
        <v>270</v>
      </c>
    </row>
    <row r="13" spans="1:7" x14ac:dyDescent="0.3">
      <c r="A13" s="12" t="s">
        <v>180</v>
      </c>
      <c r="B13" s="12" t="s">
        <v>55</v>
      </c>
      <c r="C13" s="12" t="s">
        <v>793</v>
      </c>
      <c r="D13" s="12" t="s">
        <v>799</v>
      </c>
      <c r="E13" s="12"/>
      <c r="F13" s="12" t="s">
        <v>749</v>
      </c>
      <c r="G13" s="12" t="s">
        <v>273</v>
      </c>
    </row>
    <row r="14" spans="1:7" x14ac:dyDescent="0.3">
      <c r="A14" s="12" t="s">
        <v>180</v>
      </c>
      <c r="B14" s="12" t="s">
        <v>57</v>
      </c>
      <c r="C14" s="12" t="s">
        <v>793</v>
      </c>
      <c r="D14" s="12" t="s">
        <v>800</v>
      </c>
      <c r="E14" s="12"/>
      <c r="F14" s="12" t="s">
        <v>749</v>
      </c>
      <c r="G14" s="12" t="s">
        <v>283</v>
      </c>
    </row>
    <row r="15" spans="1:7" x14ac:dyDescent="0.3">
      <c r="A15" s="12" t="s">
        <v>180</v>
      </c>
      <c r="B15" s="12" t="s">
        <v>59</v>
      </c>
      <c r="C15" s="12" t="s">
        <v>793</v>
      </c>
      <c r="D15" s="12" t="s">
        <v>755</v>
      </c>
      <c r="E15" s="12"/>
      <c r="F15" s="12" t="s">
        <v>749</v>
      </c>
      <c r="G15" s="12" t="s">
        <v>273</v>
      </c>
    </row>
    <row r="16" spans="1:7" x14ac:dyDescent="0.3">
      <c r="A16" s="12" t="s">
        <v>180</v>
      </c>
      <c r="B16" s="12" t="s">
        <v>61</v>
      </c>
      <c r="C16" s="12" t="s">
        <v>793</v>
      </c>
      <c r="D16" s="12" t="s">
        <v>757</v>
      </c>
      <c r="E16" s="12"/>
      <c r="F16" s="12" t="s">
        <v>749</v>
      </c>
      <c r="G16" s="12" t="s">
        <v>273</v>
      </c>
    </row>
    <row r="17" spans="1:7" x14ac:dyDescent="0.3">
      <c r="A17" s="12" t="s">
        <v>180</v>
      </c>
      <c r="B17" s="12" t="s">
        <v>63</v>
      </c>
      <c r="C17" s="12" t="s">
        <v>793</v>
      </c>
      <c r="D17" s="12" t="s">
        <v>755</v>
      </c>
      <c r="E17" s="12"/>
      <c r="F17" s="12" t="s">
        <v>749</v>
      </c>
      <c r="G17" s="12" t="s">
        <v>273</v>
      </c>
    </row>
    <row r="18" spans="1:7" x14ac:dyDescent="0.3">
      <c r="A18" s="12" t="s">
        <v>180</v>
      </c>
      <c r="B18" s="12" t="s">
        <v>64</v>
      </c>
      <c r="C18" s="12" t="s">
        <v>793</v>
      </c>
      <c r="D18" s="12" t="s">
        <v>757</v>
      </c>
      <c r="E18" s="12"/>
      <c r="F18" s="12" t="s">
        <v>749</v>
      </c>
      <c r="G18" s="12" t="s">
        <v>273</v>
      </c>
    </row>
    <row r="19" spans="1:7" x14ac:dyDescent="0.3">
      <c r="A19" s="12" t="s">
        <v>180</v>
      </c>
      <c r="B19" s="12" t="s">
        <v>65</v>
      </c>
      <c r="C19" s="12" t="s">
        <v>796</v>
      </c>
      <c r="D19" s="12" t="s">
        <v>972</v>
      </c>
      <c r="E19" s="12">
        <v>5</v>
      </c>
      <c r="F19" s="12"/>
      <c r="G19" s="12" t="s">
        <v>273</v>
      </c>
    </row>
    <row r="20" spans="1:7" x14ac:dyDescent="0.3">
      <c r="A20" s="12" t="s">
        <v>180</v>
      </c>
      <c r="B20" s="12" t="s">
        <v>66</v>
      </c>
      <c r="C20" s="12" t="s">
        <v>796</v>
      </c>
      <c r="D20" s="12" t="s">
        <v>1016</v>
      </c>
      <c r="E20" s="12">
        <v>3</v>
      </c>
      <c r="F20" s="12"/>
      <c r="G20" s="12" t="s">
        <v>275</v>
      </c>
    </row>
    <row r="21" spans="1:7" x14ac:dyDescent="0.3">
      <c r="A21" s="12" t="s">
        <v>180</v>
      </c>
      <c r="B21" s="12" t="s">
        <v>803</v>
      </c>
      <c r="C21" s="12" t="s">
        <v>793</v>
      </c>
      <c r="D21" s="12" t="s">
        <v>804</v>
      </c>
      <c r="E21" s="12"/>
      <c r="F21" s="12"/>
      <c r="G21" s="12" t="s">
        <v>273</v>
      </c>
    </row>
    <row r="23" spans="1:7" x14ac:dyDescent="0.3">
      <c r="A23" s="17" t="s">
        <v>900</v>
      </c>
    </row>
  </sheetData>
  <autoFilter ref="A8:G21" xr:uid="{00000000-0009-0000-0000-00002D000000}"/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K11"/>
  <sheetViews>
    <sheetView workbookViewId="0"/>
  </sheetViews>
  <sheetFormatPr baseColWidth="10" defaultColWidth="8.88671875" defaultRowHeight="14.4" x14ac:dyDescent="0.3"/>
  <cols>
    <col min="1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1278</v>
      </c>
    </row>
    <row r="2" spans="1:11" x14ac:dyDescent="0.3">
      <c r="A2" t="s">
        <v>1274</v>
      </c>
    </row>
    <row r="3" spans="1:11" x14ac:dyDescent="0.3">
      <c r="A3" t="s">
        <v>1275</v>
      </c>
    </row>
    <row r="4" spans="1:11" x14ac:dyDescent="0.3">
      <c r="A4" s="15" t="s">
        <v>736</v>
      </c>
    </row>
    <row r="5" spans="1:11" x14ac:dyDescent="0.3">
      <c r="A5" s="15" t="s">
        <v>1276</v>
      </c>
    </row>
    <row r="6" spans="1:11" x14ac:dyDescent="0.3">
      <c r="A6" t="s">
        <v>811</v>
      </c>
    </row>
    <row r="8" spans="1:11" x14ac:dyDescent="0.3">
      <c r="A8" s="16" t="s">
        <v>360</v>
      </c>
      <c r="B8" s="16" t="s">
        <v>30</v>
      </c>
      <c r="C8" s="16" t="s">
        <v>812</v>
      </c>
      <c r="D8" s="16" t="s">
        <v>813</v>
      </c>
      <c r="E8" s="16" t="s">
        <v>32</v>
      </c>
      <c r="F8" s="16" t="s">
        <v>33</v>
      </c>
      <c r="G8" s="16" t="s">
        <v>814</v>
      </c>
      <c r="H8" s="16" t="s">
        <v>815</v>
      </c>
      <c r="I8" s="16" t="s">
        <v>816</v>
      </c>
      <c r="J8" s="16" t="s">
        <v>295</v>
      </c>
      <c r="K8" s="16" t="s">
        <v>817</v>
      </c>
    </row>
    <row r="9" spans="1:11" x14ac:dyDescent="0.3">
      <c r="A9" s="12" t="s">
        <v>180</v>
      </c>
      <c r="B9" s="12">
        <v>165</v>
      </c>
      <c r="C9" s="12">
        <v>0</v>
      </c>
      <c r="D9" s="12">
        <v>149</v>
      </c>
      <c r="E9" s="12">
        <v>104</v>
      </c>
      <c r="F9" s="12">
        <v>104</v>
      </c>
      <c r="G9" s="12">
        <v>30</v>
      </c>
      <c r="H9" s="12">
        <v>15</v>
      </c>
      <c r="I9" s="12">
        <v>1</v>
      </c>
      <c r="J9" s="12">
        <v>15</v>
      </c>
      <c r="K9" s="12">
        <v>0</v>
      </c>
    </row>
    <row r="11" spans="1:11" x14ac:dyDescent="0.3">
      <c r="A11" s="17" t="s">
        <v>902</v>
      </c>
    </row>
  </sheetData>
  <autoFilter ref="A8:K9" xr:uid="{00000000-0009-0000-0000-00002E000000}"/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G25"/>
  <sheetViews>
    <sheetView workbookViewId="0"/>
  </sheetViews>
  <sheetFormatPr baseColWidth="10" defaultColWidth="8.88671875" defaultRowHeight="14.4" x14ac:dyDescent="0.3"/>
  <cols>
    <col min="1" max="1" width="42" customWidth="1"/>
    <col min="2" max="2" width="41" customWidth="1"/>
    <col min="3" max="3" width="10" customWidth="1"/>
    <col min="4" max="5" width="21" customWidth="1"/>
    <col min="6" max="7" width="26" customWidth="1"/>
  </cols>
  <sheetData>
    <row r="1" spans="1:7" ht="17.399999999999999" x14ac:dyDescent="0.35">
      <c r="A1" s="1" t="s">
        <v>1279</v>
      </c>
    </row>
    <row r="2" spans="1:7" x14ac:dyDescent="0.3">
      <c r="A2" t="s">
        <v>1274</v>
      </c>
    </row>
    <row r="3" spans="1:7" x14ac:dyDescent="0.3">
      <c r="A3" t="s">
        <v>1275</v>
      </c>
    </row>
    <row r="4" spans="1:7" x14ac:dyDescent="0.3">
      <c r="A4" s="15" t="s">
        <v>736</v>
      </c>
    </row>
    <row r="5" spans="1:7" x14ac:dyDescent="0.3">
      <c r="A5" s="15" t="s">
        <v>1276</v>
      </c>
    </row>
    <row r="6" spans="1:7" x14ac:dyDescent="0.3">
      <c r="A6" t="s">
        <v>1280</v>
      </c>
    </row>
    <row r="8" spans="1:7" x14ac:dyDescent="0.3">
      <c r="A8" s="16" t="s">
        <v>51</v>
      </c>
      <c r="B8" s="16" t="s">
        <v>65</v>
      </c>
      <c r="C8" s="16" t="s">
        <v>32</v>
      </c>
      <c r="D8" s="16" t="s">
        <v>1281</v>
      </c>
      <c r="E8" s="16" t="s">
        <v>1282</v>
      </c>
      <c r="F8" s="16" t="s">
        <v>1283</v>
      </c>
      <c r="G8" s="16" t="s">
        <v>1284</v>
      </c>
    </row>
    <row r="9" spans="1:7" x14ac:dyDescent="0.3">
      <c r="A9" s="24">
        <v>278.14999999999998</v>
      </c>
      <c r="B9" s="25">
        <v>0.85</v>
      </c>
      <c r="C9" s="12">
        <v>8</v>
      </c>
      <c r="D9" s="24">
        <v>390</v>
      </c>
      <c r="E9" s="24">
        <v>407.5</v>
      </c>
      <c r="F9" s="21">
        <v>1.9249000000000001</v>
      </c>
      <c r="G9" s="21">
        <v>9.8272999999999993</v>
      </c>
    </row>
    <row r="10" spans="1:7" x14ac:dyDescent="0.3">
      <c r="A10" s="24">
        <v>278.14999999999998</v>
      </c>
      <c r="B10" s="25">
        <v>0.875</v>
      </c>
      <c r="C10" s="12">
        <v>9</v>
      </c>
      <c r="D10" s="24">
        <v>390</v>
      </c>
      <c r="E10" s="24">
        <v>410</v>
      </c>
      <c r="F10" s="21">
        <v>1.8934</v>
      </c>
      <c r="G10" s="21">
        <v>10.132999999999999</v>
      </c>
    </row>
    <row r="11" spans="1:7" x14ac:dyDescent="0.3">
      <c r="A11" s="24">
        <v>278.14999999999998</v>
      </c>
      <c r="B11" s="25">
        <v>0.9</v>
      </c>
      <c r="C11" s="12">
        <v>9</v>
      </c>
      <c r="D11" s="24">
        <v>390</v>
      </c>
      <c r="E11" s="24">
        <v>410</v>
      </c>
      <c r="F11" s="21">
        <v>1.8636999999999999</v>
      </c>
      <c r="G11" s="21">
        <v>10.016</v>
      </c>
    </row>
    <row r="12" spans="1:7" x14ac:dyDescent="0.3">
      <c r="A12" s="24">
        <v>278.14999999999998</v>
      </c>
      <c r="B12" s="25">
        <v>0.92500000000000004</v>
      </c>
      <c r="C12" s="12">
        <v>9</v>
      </c>
      <c r="D12" s="24">
        <v>390</v>
      </c>
      <c r="E12" s="24">
        <v>410</v>
      </c>
      <c r="F12" s="21">
        <v>1.8355999999999999</v>
      </c>
      <c r="G12" s="21">
        <v>9.9052000000000007</v>
      </c>
    </row>
    <row r="13" spans="1:7" x14ac:dyDescent="0.3">
      <c r="A13" s="24">
        <v>278.14999999999998</v>
      </c>
      <c r="B13" s="25">
        <v>0.95</v>
      </c>
      <c r="C13" s="12">
        <v>9</v>
      </c>
      <c r="D13" s="24">
        <v>390</v>
      </c>
      <c r="E13" s="24">
        <v>410</v>
      </c>
      <c r="F13" s="21">
        <v>1.8089999999999999</v>
      </c>
      <c r="G13" s="21">
        <v>9.7996999999999996</v>
      </c>
    </row>
    <row r="14" spans="1:7" x14ac:dyDescent="0.3">
      <c r="A14" s="24">
        <v>290.64999999999998</v>
      </c>
      <c r="B14" s="25">
        <v>0.85</v>
      </c>
      <c r="C14" s="12">
        <v>8</v>
      </c>
      <c r="D14" s="24">
        <v>390</v>
      </c>
      <c r="E14" s="24">
        <v>407.5</v>
      </c>
      <c r="F14" s="21">
        <v>2.2713999999999999</v>
      </c>
      <c r="G14" s="21">
        <v>10.401999999999999</v>
      </c>
    </row>
    <row r="15" spans="1:7" x14ac:dyDescent="0.3">
      <c r="A15" s="24">
        <v>290.64999999999998</v>
      </c>
      <c r="B15" s="25">
        <v>0.875</v>
      </c>
      <c r="C15" s="12">
        <v>9</v>
      </c>
      <c r="D15" s="24">
        <v>390</v>
      </c>
      <c r="E15" s="24">
        <v>410</v>
      </c>
      <c r="F15" s="21">
        <v>2.2374000000000001</v>
      </c>
      <c r="G15" s="21">
        <v>10.699</v>
      </c>
    </row>
    <row r="16" spans="1:7" x14ac:dyDescent="0.3">
      <c r="A16" s="24">
        <v>290.64999999999998</v>
      </c>
      <c r="B16" s="25">
        <v>0.9</v>
      </c>
      <c r="C16" s="12">
        <v>9</v>
      </c>
      <c r="D16" s="24">
        <v>390</v>
      </c>
      <c r="E16" s="24">
        <v>410</v>
      </c>
      <c r="F16" s="21">
        <v>2.2052999999999998</v>
      </c>
      <c r="G16" s="21">
        <v>10.577</v>
      </c>
    </row>
    <row r="17" spans="1:7" x14ac:dyDescent="0.3">
      <c r="A17" s="24">
        <v>290.64999999999998</v>
      </c>
      <c r="B17" s="25">
        <v>0.92500000000000004</v>
      </c>
      <c r="C17" s="12">
        <v>9</v>
      </c>
      <c r="D17" s="24">
        <v>390</v>
      </c>
      <c r="E17" s="24">
        <v>410</v>
      </c>
      <c r="F17" s="21">
        <v>2.1749000000000001</v>
      </c>
      <c r="G17" s="21">
        <v>10.462</v>
      </c>
    </row>
    <row r="18" spans="1:7" x14ac:dyDescent="0.3">
      <c r="A18" s="24">
        <v>290.64999999999998</v>
      </c>
      <c r="B18" s="25">
        <v>0.95</v>
      </c>
      <c r="C18" s="12">
        <v>9</v>
      </c>
      <c r="D18" s="24">
        <v>390</v>
      </c>
      <c r="E18" s="24">
        <v>410</v>
      </c>
      <c r="F18" s="21">
        <v>2.1461000000000001</v>
      </c>
      <c r="G18" s="21">
        <v>10.352</v>
      </c>
    </row>
    <row r="19" spans="1:7" x14ac:dyDescent="0.3">
      <c r="A19" s="24">
        <v>300.02999999999997</v>
      </c>
      <c r="B19" s="25">
        <v>0.85</v>
      </c>
      <c r="C19" s="12">
        <v>0</v>
      </c>
      <c r="D19" s="12"/>
      <c r="E19" s="12"/>
      <c r="F19" s="12"/>
      <c r="G19" s="12"/>
    </row>
    <row r="20" spans="1:7" x14ac:dyDescent="0.3">
      <c r="A20" s="24">
        <v>300.02999999999997</v>
      </c>
      <c r="B20" s="25">
        <v>0.875</v>
      </c>
      <c r="C20" s="12">
        <v>1</v>
      </c>
      <c r="D20" s="24">
        <v>390</v>
      </c>
      <c r="E20" s="24">
        <v>390</v>
      </c>
      <c r="F20" s="21">
        <v>2.5392999999999999</v>
      </c>
      <c r="G20" s="21">
        <v>2.5392999999999999</v>
      </c>
    </row>
    <row r="21" spans="1:7" x14ac:dyDescent="0.3">
      <c r="A21" s="24">
        <v>300.02999999999997</v>
      </c>
      <c r="B21" s="25">
        <v>0.9</v>
      </c>
      <c r="C21" s="12">
        <v>2</v>
      </c>
      <c r="D21" s="24">
        <v>390</v>
      </c>
      <c r="E21" s="24">
        <v>392.5</v>
      </c>
      <c r="F21" s="21">
        <v>2.5051000000000001</v>
      </c>
      <c r="G21" s="21">
        <v>5.0307000000000004</v>
      </c>
    </row>
    <row r="22" spans="1:7" x14ac:dyDescent="0.3">
      <c r="A22" s="24">
        <v>300.02999999999997</v>
      </c>
      <c r="B22" s="25">
        <v>0.92500000000000004</v>
      </c>
      <c r="C22" s="12">
        <v>4</v>
      </c>
      <c r="D22" s="24">
        <v>390</v>
      </c>
      <c r="E22" s="24">
        <v>397.5</v>
      </c>
      <c r="F22" s="21">
        <v>2.4727999999999999</v>
      </c>
      <c r="G22" s="21">
        <v>7.8536000000000001</v>
      </c>
    </row>
    <row r="23" spans="1:7" x14ac:dyDescent="0.3">
      <c r="A23" s="24">
        <v>300.02999999999997</v>
      </c>
      <c r="B23" s="25">
        <v>0.95</v>
      </c>
      <c r="C23" s="12">
        <v>9</v>
      </c>
      <c r="D23" s="24">
        <v>390</v>
      </c>
      <c r="E23" s="24">
        <v>410</v>
      </c>
      <c r="F23" s="21">
        <v>2.4420999999999999</v>
      </c>
      <c r="G23" s="21">
        <v>10.807</v>
      </c>
    </row>
    <row r="25" spans="1:7" x14ac:dyDescent="0.3">
      <c r="A25" s="17" t="s">
        <v>1285</v>
      </c>
    </row>
  </sheetData>
  <autoFilter ref="A8:G23" xr:uid="{00000000-0009-0000-0000-00002F000000}"/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48"/>
  <sheetViews>
    <sheetView workbookViewId="0"/>
  </sheetViews>
  <sheetFormatPr baseColWidth="10" defaultColWidth="8.88671875" defaultRowHeight="14.4" x14ac:dyDescent="0.3"/>
  <cols>
    <col min="1" max="1" width="13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7" ht="17.399999999999999" x14ac:dyDescent="0.35">
      <c r="A1" s="1" t="s">
        <v>1286</v>
      </c>
    </row>
    <row r="2" spans="1:7" x14ac:dyDescent="0.3">
      <c r="A2" t="s">
        <v>1287</v>
      </c>
    </row>
    <row r="3" spans="1:7" x14ac:dyDescent="0.3">
      <c r="A3" t="s">
        <v>1288</v>
      </c>
    </row>
    <row r="4" spans="1:7" x14ac:dyDescent="0.3">
      <c r="A4" s="15" t="s">
        <v>1289</v>
      </c>
    </row>
    <row r="5" spans="1:7" x14ac:dyDescent="0.3">
      <c r="A5" t="s">
        <v>788</v>
      </c>
    </row>
    <row r="7" spans="1:7" x14ac:dyDescent="0.3">
      <c r="A7" s="16" t="s">
        <v>360</v>
      </c>
      <c r="B7" s="16" t="s">
        <v>712</v>
      </c>
      <c r="C7" s="16" t="s">
        <v>789</v>
      </c>
      <c r="D7" s="16" t="s">
        <v>790</v>
      </c>
      <c r="E7" s="16" t="s">
        <v>791</v>
      </c>
      <c r="F7" s="16" t="s">
        <v>792</v>
      </c>
      <c r="G7" s="16" t="s">
        <v>266</v>
      </c>
    </row>
    <row r="8" spans="1:7" x14ac:dyDescent="0.3">
      <c r="A8" s="12" t="s">
        <v>518</v>
      </c>
      <c r="B8" s="12" t="s">
        <v>49</v>
      </c>
      <c r="C8" s="12" t="s">
        <v>796</v>
      </c>
      <c r="D8" s="12" t="s">
        <v>1290</v>
      </c>
      <c r="E8" s="12">
        <v>8</v>
      </c>
      <c r="F8" s="12"/>
      <c r="G8" s="12" t="s">
        <v>275</v>
      </c>
    </row>
    <row r="9" spans="1:7" x14ac:dyDescent="0.3">
      <c r="A9" s="12" t="s">
        <v>518</v>
      </c>
      <c r="B9" s="12" t="s">
        <v>51</v>
      </c>
      <c r="C9" s="12" t="s">
        <v>796</v>
      </c>
      <c r="D9" s="12" t="s">
        <v>1291</v>
      </c>
      <c r="E9" s="12">
        <v>5</v>
      </c>
      <c r="F9" s="12"/>
      <c r="G9" s="12" t="s">
        <v>275</v>
      </c>
    </row>
    <row r="10" spans="1:7" x14ac:dyDescent="0.3">
      <c r="A10" s="12" t="s">
        <v>518</v>
      </c>
      <c r="B10" s="12" t="s">
        <v>53</v>
      </c>
      <c r="C10" s="12" t="s">
        <v>796</v>
      </c>
      <c r="D10" s="12" t="s">
        <v>1292</v>
      </c>
      <c r="E10" s="12">
        <v>6</v>
      </c>
      <c r="F10" s="12"/>
      <c r="G10" s="12" t="s">
        <v>270</v>
      </c>
    </row>
    <row r="11" spans="1:7" x14ac:dyDescent="0.3">
      <c r="A11" s="12" t="s">
        <v>518</v>
      </c>
      <c r="B11" s="12" t="s">
        <v>54</v>
      </c>
      <c r="C11" s="12" t="s">
        <v>796</v>
      </c>
      <c r="D11" s="12" t="s">
        <v>1293</v>
      </c>
      <c r="E11" s="12">
        <v>9</v>
      </c>
      <c r="F11" s="12"/>
      <c r="G11" s="12" t="s">
        <v>270</v>
      </c>
    </row>
    <row r="12" spans="1:7" x14ac:dyDescent="0.3">
      <c r="A12" s="12" t="s">
        <v>518</v>
      </c>
      <c r="B12" s="12" t="s">
        <v>55</v>
      </c>
      <c r="C12" s="12" t="s">
        <v>796</v>
      </c>
      <c r="D12" s="12" t="s">
        <v>1093</v>
      </c>
      <c r="E12" s="12">
        <v>5</v>
      </c>
      <c r="F12" s="12"/>
      <c r="G12" s="12" t="s">
        <v>273</v>
      </c>
    </row>
    <row r="13" spans="1:7" x14ac:dyDescent="0.3">
      <c r="A13" s="12" t="s">
        <v>518</v>
      </c>
      <c r="B13" s="12" t="s">
        <v>57</v>
      </c>
      <c r="C13" s="12" t="s">
        <v>793</v>
      </c>
      <c r="D13" s="12" t="s">
        <v>800</v>
      </c>
      <c r="E13" s="12"/>
      <c r="F13" s="12" t="s">
        <v>749</v>
      </c>
      <c r="G13" s="12" t="s">
        <v>283</v>
      </c>
    </row>
    <row r="14" spans="1:7" x14ac:dyDescent="0.3">
      <c r="A14" s="12" t="s">
        <v>518</v>
      </c>
      <c r="B14" s="12" t="s">
        <v>59</v>
      </c>
      <c r="C14" s="12" t="s">
        <v>796</v>
      </c>
      <c r="D14" s="12" t="s">
        <v>1294</v>
      </c>
      <c r="E14" s="12">
        <v>6</v>
      </c>
      <c r="F14" s="12"/>
      <c r="G14" s="12" t="s">
        <v>273</v>
      </c>
    </row>
    <row r="15" spans="1:7" x14ac:dyDescent="0.3">
      <c r="A15" s="12" t="s">
        <v>518</v>
      </c>
      <c r="B15" s="12" t="s">
        <v>61</v>
      </c>
      <c r="C15" s="12" t="s">
        <v>796</v>
      </c>
      <c r="D15" s="12" t="s">
        <v>1295</v>
      </c>
      <c r="E15" s="12">
        <v>6</v>
      </c>
      <c r="F15" s="12"/>
      <c r="G15" s="12" t="s">
        <v>273</v>
      </c>
    </row>
    <row r="16" spans="1:7" x14ac:dyDescent="0.3">
      <c r="A16" s="12" t="s">
        <v>518</v>
      </c>
      <c r="B16" s="12" t="s">
        <v>63</v>
      </c>
      <c r="C16" s="12" t="s">
        <v>796</v>
      </c>
      <c r="D16" s="12" t="s">
        <v>969</v>
      </c>
      <c r="E16" s="12">
        <v>7</v>
      </c>
      <c r="F16" s="12"/>
      <c r="G16" s="12" t="s">
        <v>273</v>
      </c>
    </row>
    <row r="17" spans="1:7" x14ac:dyDescent="0.3">
      <c r="A17" s="12" t="s">
        <v>518</v>
      </c>
      <c r="B17" s="12" t="s">
        <v>64</v>
      </c>
      <c r="C17" s="12" t="s">
        <v>796</v>
      </c>
      <c r="D17" s="12" t="s">
        <v>1296</v>
      </c>
      <c r="E17" s="12">
        <v>6</v>
      </c>
      <c r="F17" s="12"/>
      <c r="G17" s="12" t="s">
        <v>273</v>
      </c>
    </row>
    <row r="18" spans="1:7" x14ac:dyDescent="0.3">
      <c r="A18" s="12" t="s">
        <v>518</v>
      </c>
      <c r="B18" s="12" t="s">
        <v>65</v>
      </c>
      <c r="C18" s="12" t="s">
        <v>796</v>
      </c>
      <c r="D18" s="12" t="s">
        <v>1297</v>
      </c>
      <c r="E18" s="12">
        <v>7</v>
      </c>
      <c r="F18" s="12"/>
      <c r="G18" s="12" t="s">
        <v>273</v>
      </c>
    </row>
    <row r="19" spans="1:7" x14ac:dyDescent="0.3">
      <c r="A19" s="12" t="s">
        <v>518</v>
      </c>
      <c r="B19" s="12" t="s">
        <v>66</v>
      </c>
      <c r="C19" s="12" t="s">
        <v>796</v>
      </c>
      <c r="D19" s="12" t="s">
        <v>1291</v>
      </c>
      <c r="E19" s="12">
        <v>5</v>
      </c>
      <c r="F19" s="12"/>
      <c r="G19" s="12" t="s">
        <v>275</v>
      </c>
    </row>
    <row r="20" spans="1:7" x14ac:dyDescent="0.3">
      <c r="A20" s="12" t="s">
        <v>518</v>
      </c>
      <c r="B20" s="12" t="s">
        <v>803</v>
      </c>
      <c r="C20" s="12" t="s">
        <v>796</v>
      </c>
      <c r="D20" s="12" t="s">
        <v>806</v>
      </c>
      <c r="E20" s="12">
        <v>2</v>
      </c>
      <c r="F20" s="12"/>
      <c r="G20" s="12" t="s">
        <v>273</v>
      </c>
    </row>
    <row r="21" spans="1:7" x14ac:dyDescent="0.3">
      <c r="A21" s="12" t="s">
        <v>528</v>
      </c>
      <c r="B21" s="12" t="s">
        <v>49</v>
      </c>
      <c r="C21" s="12" t="s">
        <v>796</v>
      </c>
      <c r="D21" s="12" t="s">
        <v>1290</v>
      </c>
      <c r="E21" s="12">
        <v>8</v>
      </c>
      <c r="F21" s="12"/>
      <c r="G21" s="12" t="s">
        <v>275</v>
      </c>
    </row>
    <row r="22" spans="1:7" x14ac:dyDescent="0.3">
      <c r="A22" s="12" t="s">
        <v>528</v>
      </c>
      <c r="B22" s="12" t="s">
        <v>51</v>
      </c>
      <c r="C22" s="12" t="s">
        <v>796</v>
      </c>
      <c r="D22" s="12" t="s">
        <v>1291</v>
      </c>
      <c r="E22" s="12">
        <v>5</v>
      </c>
      <c r="F22" s="12"/>
      <c r="G22" s="12" t="s">
        <v>275</v>
      </c>
    </row>
    <row r="23" spans="1:7" x14ac:dyDescent="0.3">
      <c r="A23" s="12" t="s">
        <v>528</v>
      </c>
      <c r="B23" s="12" t="s">
        <v>53</v>
      </c>
      <c r="C23" s="12" t="s">
        <v>796</v>
      </c>
      <c r="D23" s="12" t="s">
        <v>1292</v>
      </c>
      <c r="E23" s="12">
        <v>6</v>
      </c>
      <c r="F23" s="12"/>
      <c r="G23" s="12" t="s">
        <v>270</v>
      </c>
    </row>
    <row r="24" spans="1:7" x14ac:dyDescent="0.3">
      <c r="A24" s="12" t="s">
        <v>528</v>
      </c>
      <c r="B24" s="12" t="s">
        <v>54</v>
      </c>
      <c r="C24" s="12" t="s">
        <v>796</v>
      </c>
      <c r="D24" s="12" t="s">
        <v>1293</v>
      </c>
      <c r="E24" s="12">
        <v>9</v>
      </c>
      <c r="F24" s="12"/>
      <c r="G24" s="12" t="s">
        <v>270</v>
      </c>
    </row>
    <row r="25" spans="1:7" x14ac:dyDescent="0.3">
      <c r="A25" s="12" t="s">
        <v>528</v>
      </c>
      <c r="B25" s="12" t="s">
        <v>55</v>
      </c>
      <c r="C25" s="12" t="s">
        <v>796</v>
      </c>
      <c r="D25" s="12" t="s">
        <v>1093</v>
      </c>
      <c r="E25" s="12">
        <v>5</v>
      </c>
      <c r="F25" s="12"/>
      <c r="G25" s="12" t="s">
        <v>273</v>
      </c>
    </row>
    <row r="26" spans="1:7" x14ac:dyDescent="0.3">
      <c r="A26" s="12" t="s">
        <v>528</v>
      </c>
      <c r="B26" s="12" t="s">
        <v>57</v>
      </c>
      <c r="C26" s="12" t="s">
        <v>793</v>
      </c>
      <c r="D26" s="12" t="s">
        <v>800</v>
      </c>
      <c r="E26" s="12"/>
      <c r="F26" s="12" t="s">
        <v>749</v>
      </c>
      <c r="G26" s="12" t="s">
        <v>283</v>
      </c>
    </row>
    <row r="27" spans="1:7" x14ac:dyDescent="0.3">
      <c r="A27" s="12" t="s">
        <v>528</v>
      </c>
      <c r="B27" s="12" t="s">
        <v>59</v>
      </c>
      <c r="C27" s="12" t="s">
        <v>796</v>
      </c>
      <c r="D27" s="12" t="s">
        <v>1294</v>
      </c>
      <c r="E27" s="12">
        <v>6</v>
      </c>
      <c r="F27" s="12"/>
      <c r="G27" s="12" t="s">
        <v>273</v>
      </c>
    </row>
    <row r="28" spans="1:7" x14ac:dyDescent="0.3">
      <c r="A28" s="12" t="s">
        <v>528</v>
      </c>
      <c r="B28" s="12" t="s">
        <v>61</v>
      </c>
      <c r="C28" s="12" t="s">
        <v>796</v>
      </c>
      <c r="D28" s="12" t="s">
        <v>1295</v>
      </c>
      <c r="E28" s="12">
        <v>6</v>
      </c>
      <c r="F28" s="12"/>
      <c r="G28" s="12" t="s">
        <v>273</v>
      </c>
    </row>
    <row r="29" spans="1:7" x14ac:dyDescent="0.3">
      <c r="A29" s="12" t="s">
        <v>528</v>
      </c>
      <c r="B29" s="12" t="s">
        <v>63</v>
      </c>
      <c r="C29" s="12" t="s">
        <v>796</v>
      </c>
      <c r="D29" s="12" t="s">
        <v>969</v>
      </c>
      <c r="E29" s="12">
        <v>7</v>
      </c>
      <c r="F29" s="12"/>
      <c r="G29" s="12" t="s">
        <v>273</v>
      </c>
    </row>
    <row r="30" spans="1:7" x14ac:dyDescent="0.3">
      <c r="A30" s="12" t="s">
        <v>528</v>
      </c>
      <c r="B30" s="12" t="s">
        <v>64</v>
      </c>
      <c r="C30" s="12" t="s">
        <v>796</v>
      </c>
      <c r="D30" s="12" t="s">
        <v>1296</v>
      </c>
      <c r="E30" s="12">
        <v>6</v>
      </c>
      <c r="F30" s="12"/>
      <c r="G30" s="12" t="s">
        <v>273</v>
      </c>
    </row>
    <row r="31" spans="1:7" x14ac:dyDescent="0.3">
      <c r="A31" s="12" t="s">
        <v>528</v>
      </c>
      <c r="B31" s="12" t="s">
        <v>65</v>
      </c>
      <c r="C31" s="12" t="s">
        <v>796</v>
      </c>
      <c r="D31" s="12" t="s">
        <v>1297</v>
      </c>
      <c r="E31" s="12">
        <v>7</v>
      </c>
      <c r="F31" s="12"/>
      <c r="G31" s="12" t="s">
        <v>273</v>
      </c>
    </row>
    <row r="32" spans="1:7" x14ac:dyDescent="0.3">
      <c r="A32" s="12" t="s">
        <v>528</v>
      </c>
      <c r="B32" s="12" t="s">
        <v>66</v>
      </c>
      <c r="C32" s="12" t="s">
        <v>793</v>
      </c>
      <c r="D32" s="12" t="s">
        <v>1298</v>
      </c>
      <c r="E32" s="12"/>
      <c r="F32" s="12" t="s">
        <v>948</v>
      </c>
      <c r="G32" s="12" t="s">
        <v>275</v>
      </c>
    </row>
    <row r="33" spans="1:7" x14ac:dyDescent="0.3">
      <c r="A33" s="12" t="s">
        <v>528</v>
      </c>
      <c r="B33" s="12" t="s">
        <v>803</v>
      </c>
      <c r="C33" s="12" t="s">
        <v>793</v>
      </c>
      <c r="D33" s="12" t="s">
        <v>804</v>
      </c>
      <c r="E33" s="12"/>
      <c r="F33" s="12"/>
      <c r="G33" s="12" t="s">
        <v>273</v>
      </c>
    </row>
    <row r="34" spans="1:7" x14ac:dyDescent="0.3">
      <c r="A34" s="12" t="s">
        <v>530</v>
      </c>
      <c r="B34" s="12" t="s">
        <v>49</v>
      </c>
      <c r="C34" s="12" t="s">
        <v>802</v>
      </c>
      <c r="D34" s="12"/>
      <c r="E34" s="12"/>
      <c r="F34" s="12"/>
      <c r="G34" s="12" t="s">
        <v>275</v>
      </c>
    </row>
    <row r="35" spans="1:7" x14ac:dyDescent="0.3">
      <c r="A35" s="12" t="s">
        <v>530</v>
      </c>
      <c r="B35" s="12" t="s">
        <v>51</v>
      </c>
      <c r="C35" s="12" t="s">
        <v>802</v>
      </c>
      <c r="D35" s="12"/>
      <c r="E35" s="12"/>
      <c r="F35" s="12"/>
      <c r="G35" s="12" t="s">
        <v>275</v>
      </c>
    </row>
    <row r="36" spans="1:7" x14ac:dyDescent="0.3">
      <c r="A36" s="12" t="s">
        <v>530</v>
      </c>
      <c r="B36" s="12" t="s">
        <v>53</v>
      </c>
      <c r="C36" s="12" t="s">
        <v>802</v>
      </c>
      <c r="D36" s="12"/>
      <c r="E36" s="12"/>
      <c r="F36" s="12"/>
      <c r="G36" s="12" t="s">
        <v>270</v>
      </c>
    </row>
    <row r="37" spans="1:7" x14ac:dyDescent="0.3">
      <c r="A37" s="12" t="s">
        <v>530</v>
      </c>
      <c r="B37" s="12" t="s">
        <v>54</v>
      </c>
      <c r="C37" s="12" t="s">
        <v>796</v>
      </c>
      <c r="D37" s="12" t="s">
        <v>1299</v>
      </c>
      <c r="E37" s="12">
        <v>72</v>
      </c>
      <c r="F37" s="12"/>
      <c r="G37" s="12" t="s">
        <v>270</v>
      </c>
    </row>
    <row r="38" spans="1:7" x14ac:dyDescent="0.3">
      <c r="A38" s="12" t="s">
        <v>530</v>
      </c>
      <c r="B38" s="12" t="s">
        <v>55</v>
      </c>
      <c r="C38" s="12" t="s">
        <v>802</v>
      </c>
      <c r="D38" s="12"/>
      <c r="E38" s="12"/>
      <c r="F38" s="12"/>
      <c r="G38" s="12" t="s">
        <v>273</v>
      </c>
    </row>
    <row r="39" spans="1:7" x14ac:dyDescent="0.3">
      <c r="A39" s="12" t="s">
        <v>530</v>
      </c>
      <c r="B39" s="12" t="s">
        <v>57</v>
      </c>
      <c r="C39" s="12" t="s">
        <v>802</v>
      </c>
      <c r="D39" s="12"/>
      <c r="E39" s="12"/>
      <c r="F39" s="12"/>
      <c r="G39" s="12" t="s">
        <v>283</v>
      </c>
    </row>
    <row r="40" spans="1:7" x14ac:dyDescent="0.3">
      <c r="A40" s="12" t="s">
        <v>530</v>
      </c>
      <c r="B40" s="12" t="s">
        <v>59</v>
      </c>
      <c r="C40" s="12" t="s">
        <v>802</v>
      </c>
      <c r="D40" s="12"/>
      <c r="E40" s="12"/>
      <c r="F40" s="12"/>
      <c r="G40" s="12" t="s">
        <v>273</v>
      </c>
    </row>
    <row r="41" spans="1:7" x14ac:dyDescent="0.3">
      <c r="A41" s="12" t="s">
        <v>530</v>
      </c>
      <c r="B41" s="12" t="s">
        <v>61</v>
      </c>
      <c r="C41" s="12" t="s">
        <v>802</v>
      </c>
      <c r="D41" s="12"/>
      <c r="E41" s="12"/>
      <c r="F41" s="12"/>
      <c r="G41" s="12" t="s">
        <v>273</v>
      </c>
    </row>
    <row r="42" spans="1:7" x14ac:dyDescent="0.3">
      <c r="A42" s="12" t="s">
        <v>530</v>
      </c>
      <c r="B42" s="12" t="s">
        <v>63</v>
      </c>
      <c r="C42" s="12" t="s">
        <v>802</v>
      </c>
      <c r="D42" s="12"/>
      <c r="E42" s="12"/>
      <c r="F42" s="12"/>
      <c r="G42" s="12" t="s">
        <v>273</v>
      </c>
    </row>
    <row r="43" spans="1:7" x14ac:dyDescent="0.3">
      <c r="A43" s="12" t="s">
        <v>530</v>
      </c>
      <c r="B43" s="12" t="s">
        <v>64</v>
      </c>
      <c r="C43" s="12" t="s">
        <v>802</v>
      </c>
      <c r="D43" s="12"/>
      <c r="E43" s="12"/>
      <c r="F43" s="12"/>
      <c r="G43" s="12" t="s">
        <v>273</v>
      </c>
    </row>
    <row r="44" spans="1:7" x14ac:dyDescent="0.3">
      <c r="A44" s="12" t="s">
        <v>530</v>
      </c>
      <c r="B44" s="12" t="s">
        <v>65</v>
      </c>
      <c r="C44" s="12" t="s">
        <v>802</v>
      </c>
      <c r="D44" s="12"/>
      <c r="E44" s="12"/>
      <c r="F44" s="12"/>
      <c r="G44" s="12" t="s">
        <v>273</v>
      </c>
    </row>
    <row r="45" spans="1:7" x14ac:dyDescent="0.3">
      <c r="A45" s="12" t="s">
        <v>530</v>
      </c>
      <c r="B45" s="12" t="s">
        <v>66</v>
      </c>
      <c r="C45" s="12" t="s">
        <v>802</v>
      </c>
      <c r="D45" s="12"/>
      <c r="E45" s="12"/>
      <c r="F45" s="12"/>
      <c r="G45" s="12" t="s">
        <v>275</v>
      </c>
    </row>
    <row r="46" spans="1:7" x14ac:dyDescent="0.3">
      <c r="A46" s="12" t="s">
        <v>530</v>
      </c>
      <c r="B46" s="12" t="s">
        <v>803</v>
      </c>
      <c r="C46" s="12" t="s">
        <v>802</v>
      </c>
      <c r="D46" s="12"/>
      <c r="E46" s="12"/>
      <c r="F46" s="12"/>
      <c r="G46" s="12" t="s">
        <v>273</v>
      </c>
    </row>
    <row r="48" spans="1:7" x14ac:dyDescent="0.3">
      <c r="A48" s="17" t="s">
        <v>1300</v>
      </c>
    </row>
  </sheetData>
  <autoFilter ref="A7:G46" xr:uid="{00000000-0009-0000-0000-000030000000}"/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K12"/>
  <sheetViews>
    <sheetView workbookViewId="0"/>
  </sheetViews>
  <sheetFormatPr baseColWidth="10" defaultColWidth="8.88671875" defaultRowHeight="14.4" x14ac:dyDescent="0.3"/>
  <cols>
    <col min="1" max="1" width="13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1301</v>
      </c>
    </row>
    <row r="2" spans="1:11" x14ac:dyDescent="0.3">
      <c r="A2" t="s">
        <v>1287</v>
      </c>
    </row>
    <row r="3" spans="1:11" x14ac:dyDescent="0.3">
      <c r="A3" t="s">
        <v>1288</v>
      </c>
    </row>
    <row r="4" spans="1:11" x14ac:dyDescent="0.3">
      <c r="A4" s="15" t="s">
        <v>1289</v>
      </c>
    </row>
    <row r="5" spans="1:11" x14ac:dyDescent="0.3">
      <c r="A5" t="s">
        <v>811</v>
      </c>
    </row>
    <row r="7" spans="1:11" x14ac:dyDescent="0.3">
      <c r="A7" s="16" t="s">
        <v>360</v>
      </c>
      <c r="B7" s="16" t="s">
        <v>30</v>
      </c>
      <c r="C7" s="16" t="s">
        <v>812</v>
      </c>
      <c r="D7" s="16" t="s">
        <v>813</v>
      </c>
      <c r="E7" s="16" t="s">
        <v>32</v>
      </c>
      <c r="F7" s="16" t="s">
        <v>33</v>
      </c>
      <c r="G7" s="16" t="s">
        <v>814</v>
      </c>
      <c r="H7" s="16" t="s">
        <v>815</v>
      </c>
      <c r="I7" s="16" t="s">
        <v>816</v>
      </c>
      <c r="J7" s="16" t="s">
        <v>295</v>
      </c>
      <c r="K7" s="16" t="s">
        <v>817</v>
      </c>
    </row>
    <row r="8" spans="1:11" x14ac:dyDescent="0.3">
      <c r="A8" s="12" t="s">
        <v>518</v>
      </c>
      <c r="B8" s="12">
        <v>24</v>
      </c>
      <c r="C8" s="12">
        <v>0</v>
      </c>
      <c r="D8" s="12">
        <v>14</v>
      </c>
      <c r="E8" s="12">
        <v>14</v>
      </c>
      <c r="F8" s="12">
        <v>11</v>
      </c>
      <c r="G8" s="12">
        <v>0</v>
      </c>
      <c r="H8" s="12">
        <v>0</v>
      </c>
      <c r="I8" s="12">
        <v>10</v>
      </c>
      <c r="J8" s="12">
        <v>0</v>
      </c>
      <c r="K8" s="12">
        <v>3</v>
      </c>
    </row>
    <row r="9" spans="1:11" x14ac:dyDescent="0.3">
      <c r="A9" s="12" t="s">
        <v>528</v>
      </c>
      <c r="B9" s="12">
        <v>12</v>
      </c>
      <c r="C9" s="12">
        <v>0</v>
      </c>
      <c r="D9" s="12">
        <v>12</v>
      </c>
      <c r="E9" s="12">
        <v>3</v>
      </c>
      <c r="F9" s="12">
        <v>1</v>
      </c>
      <c r="G9" s="12">
        <v>9</v>
      </c>
      <c r="H9" s="12">
        <v>0</v>
      </c>
      <c r="I9" s="12">
        <v>0</v>
      </c>
      <c r="J9" s="12">
        <v>0</v>
      </c>
      <c r="K9" s="12">
        <v>3</v>
      </c>
    </row>
    <row r="10" spans="1:11" x14ac:dyDescent="0.3">
      <c r="A10" s="12" t="s">
        <v>530</v>
      </c>
      <c r="B10" s="12">
        <v>131</v>
      </c>
      <c r="C10" s="12">
        <v>0</v>
      </c>
      <c r="D10" s="12">
        <v>125</v>
      </c>
      <c r="E10" s="12">
        <v>125</v>
      </c>
      <c r="F10" s="12">
        <v>125</v>
      </c>
      <c r="G10" s="12">
        <v>0</v>
      </c>
      <c r="H10" s="12">
        <v>0</v>
      </c>
      <c r="I10" s="12">
        <v>6</v>
      </c>
      <c r="J10" s="12">
        <v>0</v>
      </c>
      <c r="K10" s="12">
        <v>0</v>
      </c>
    </row>
    <row r="12" spans="1:11" x14ac:dyDescent="0.3">
      <c r="A12" s="17" t="s">
        <v>1302</v>
      </c>
    </row>
  </sheetData>
  <autoFilter ref="A7:K10" xr:uid="{00000000-0009-0000-0000-000031000000}"/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O21"/>
  <sheetViews>
    <sheetView workbookViewId="0"/>
  </sheetViews>
  <sheetFormatPr baseColWidth="10" defaultColWidth="8.88671875" defaultRowHeight="14.4" x14ac:dyDescent="0.3"/>
  <cols>
    <col min="1" max="1" width="15" customWidth="1"/>
    <col min="2" max="2" width="44" customWidth="1"/>
    <col min="3" max="3" width="16" customWidth="1"/>
    <col min="4" max="4" width="25" customWidth="1"/>
    <col min="5" max="5" width="19" customWidth="1"/>
    <col min="6" max="6" width="16" customWidth="1"/>
    <col min="7" max="7" width="25" customWidth="1"/>
    <col min="8" max="8" width="12" customWidth="1"/>
    <col min="9" max="9" width="20" customWidth="1"/>
    <col min="10" max="10" width="24" customWidth="1"/>
    <col min="11" max="11" width="33" customWidth="1"/>
    <col min="12" max="12" width="24" customWidth="1"/>
    <col min="13" max="13" width="33" customWidth="1"/>
    <col min="14" max="14" width="16" customWidth="1"/>
    <col min="15" max="15" width="14" customWidth="1"/>
  </cols>
  <sheetData>
    <row r="1" spans="1:15" ht="17.399999999999999" x14ac:dyDescent="0.35">
      <c r="A1" s="1" t="s">
        <v>1303</v>
      </c>
    </row>
    <row r="2" spans="1:15" x14ac:dyDescent="0.3">
      <c r="A2" t="s">
        <v>1287</v>
      </c>
    </row>
    <row r="3" spans="1:15" x14ac:dyDescent="0.3">
      <c r="A3" t="s">
        <v>1288</v>
      </c>
    </row>
    <row r="4" spans="1:15" x14ac:dyDescent="0.3">
      <c r="A4" s="15" t="s">
        <v>1289</v>
      </c>
    </row>
    <row r="5" spans="1:15" x14ac:dyDescent="0.3">
      <c r="A5" t="s">
        <v>1304</v>
      </c>
    </row>
    <row r="7" spans="1:15" x14ac:dyDescent="0.3">
      <c r="A7" s="16" t="s">
        <v>1305</v>
      </c>
      <c r="B7" s="16" t="s">
        <v>1306</v>
      </c>
      <c r="C7" s="16" t="s">
        <v>1307</v>
      </c>
      <c r="D7" s="16" t="s">
        <v>1308</v>
      </c>
      <c r="E7" s="16" t="s">
        <v>1309</v>
      </c>
      <c r="F7" s="16" t="s">
        <v>1310</v>
      </c>
      <c r="G7" s="16" t="s">
        <v>1311</v>
      </c>
      <c r="H7" s="16" t="s">
        <v>828</v>
      </c>
      <c r="I7" s="16" t="s">
        <v>1312</v>
      </c>
      <c r="J7" s="16" t="s">
        <v>1313</v>
      </c>
      <c r="K7" s="16" t="s">
        <v>1314</v>
      </c>
      <c r="L7" s="16" t="s">
        <v>1315</v>
      </c>
      <c r="M7" s="16" t="s">
        <v>1316</v>
      </c>
      <c r="N7" s="16" t="s">
        <v>817</v>
      </c>
      <c r="O7" s="16" t="s">
        <v>1317</v>
      </c>
    </row>
    <row r="8" spans="1:15" x14ac:dyDescent="0.3">
      <c r="A8" s="12" t="s">
        <v>1318</v>
      </c>
      <c r="B8" s="12" t="s">
        <v>1319</v>
      </c>
      <c r="C8" s="26" t="s">
        <v>32</v>
      </c>
      <c r="D8" s="22" t="s">
        <v>832</v>
      </c>
      <c r="E8" s="12" t="s">
        <v>948</v>
      </c>
      <c r="F8" s="21">
        <v>8.4818999999999996</v>
      </c>
      <c r="G8" s="12"/>
      <c r="H8" s="12"/>
      <c r="I8" s="12"/>
      <c r="J8" s="25">
        <v>3.4521000000000003E-2</v>
      </c>
      <c r="K8" s="12"/>
      <c r="L8" s="24">
        <v>0.31095</v>
      </c>
      <c r="M8" s="12"/>
      <c r="N8" s="12" t="s">
        <v>948</v>
      </c>
      <c r="O8" s="12" t="s">
        <v>749</v>
      </c>
    </row>
    <row r="9" spans="1:15" x14ac:dyDescent="0.3">
      <c r="A9" s="12" t="s">
        <v>1320</v>
      </c>
      <c r="B9" s="12" t="s">
        <v>1321</v>
      </c>
      <c r="C9" s="26" t="s">
        <v>32</v>
      </c>
      <c r="D9" s="22" t="s">
        <v>832</v>
      </c>
      <c r="E9" s="12" t="s">
        <v>948</v>
      </c>
      <c r="F9" s="21">
        <v>9.1503999999999994</v>
      </c>
      <c r="G9" s="12"/>
      <c r="H9" s="12"/>
      <c r="I9" s="12"/>
      <c r="J9" s="25">
        <v>3.5422000000000002E-2</v>
      </c>
      <c r="K9" s="12"/>
      <c r="L9" s="24">
        <v>4.0008000000000002E-2</v>
      </c>
      <c r="M9" s="12"/>
      <c r="N9" s="12" t="s">
        <v>948</v>
      </c>
      <c r="O9" s="12" t="s">
        <v>749</v>
      </c>
    </row>
    <row r="10" spans="1:15" x14ac:dyDescent="0.3">
      <c r="A10" s="12" t="s">
        <v>1322</v>
      </c>
      <c r="B10" s="12" t="s">
        <v>1323</v>
      </c>
      <c r="C10" s="26" t="s">
        <v>32</v>
      </c>
      <c r="D10" s="26" t="s">
        <v>32</v>
      </c>
      <c r="E10" s="12" t="s">
        <v>749</v>
      </c>
      <c r="F10" s="21">
        <v>10.807</v>
      </c>
      <c r="G10" s="21">
        <v>10.807</v>
      </c>
      <c r="H10" s="12">
        <v>9.1457000000000002E-5</v>
      </c>
      <c r="I10" s="12" t="s">
        <v>749</v>
      </c>
      <c r="J10" s="25">
        <v>2.2447999999999999E-2</v>
      </c>
      <c r="K10" s="25">
        <v>2.2376E-2</v>
      </c>
      <c r="L10" s="24">
        <v>0.35654000000000002</v>
      </c>
      <c r="M10" s="24">
        <v>0.35863</v>
      </c>
      <c r="N10" s="12" t="s">
        <v>948</v>
      </c>
      <c r="O10" s="12" t="s">
        <v>749</v>
      </c>
    </row>
    <row r="11" spans="1:15" x14ac:dyDescent="0.3">
      <c r="A11" s="12" t="s">
        <v>1324</v>
      </c>
      <c r="B11" s="12" t="s">
        <v>1325</v>
      </c>
      <c r="C11" s="26" t="s">
        <v>32</v>
      </c>
      <c r="D11" s="22" t="s">
        <v>832</v>
      </c>
      <c r="E11" s="12" t="s">
        <v>948</v>
      </c>
      <c r="F11" s="21">
        <v>2.5392999999999999</v>
      </c>
      <c r="G11" s="12"/>
      <c r="H11" s="12"/>
      <c r="I11" s="12"/>
      <c r="J11" s="25">
        <v>3.5792999999999998E-2</v>
      </c>
      <c r="K11" s="12"/>
      <c r="L11" s="24">
        <v>5.1527000000000003E-2</v>
      </c>
      <c r="M11" s="12"/>
      <c r="N11" s="12" t="s">
        <v>948</v>
      </c>
      <c r="O11" s="12" t="s">
        <v>749</v>
      </c>
    </row>
    <row r="12" spans="1:15" x14ac:dyDescent="0.3">
      <c r="A12" s="12" t="s">
        <v>1326</v>
      </c>
      <c r="B12" s="12" t="s">
        <v>1327</v>
      </c>
      <c r="C12" s="26" t="s">
        <v>32</v>
      </c>
      <c r="D12" s="22" t="s">
        <v>832</v>
      </c>
      <c r="E12" s="12" t="s">
        <v>948</v>
      </c>
      <c r="F12" s="21">
        <v>14.978</v>
      </c>
      <c r="G12" s="12"/>
      <c r="H12" s="12"/>
      <c r="I12" s="12"/>
      <c r="J12" s="25">
        <v>1.7919999999999998E-2</v>
      </c>
      <c r="K12" s="12"/>
      <c r="L12" s="24">
        <v>0.42314000000000002</v>
      </c>
      <c r="M12" s="12"/>
      <c r="N12" s="12" t="s">
        <v>948</v>
      </c>
      <c r="O12" s="12" t="s">
        <v>749</v>
      </c>
    </row>
    <row r="13" spans="1:15" x14ac:dyDescent="0.3">
      <c r="A13" s="12" t="s">
        <v>1328</v>
      </c>
      <c r="B13" s="12" t="s">
        <v>1329</v>
      </c>
      <c r="C13" s="26" t="s">
        <v>32</v>
      </c>
      <c r="D13" s="22" t="s">
        <v>832</v>
      </c>
      <c r="E13" s="12" t="s">
        <v>948</v>
      </c>
      <c r="F13" s="21">
        <v>15.481999999999999</v>
      </c>
      <c r="G13" s="12"/>
      <c r="H13" s="12"/>
      <c r="I13" s="12"/>
      <c r="J13" s="25">
        <v>4.6909999999999999E-3</v>
      </c>
      <c r="K13" s="12"/>
      <c r="L13" s="24">
        <v>3.8111000000000002</v>
      </c>
      <c r="M13" s="12"/>
      <c r="N13" s="12" t="s">
        <v>948</v>
      </c>
      <c r="O13" s="12" t="s">
        <v>749</v>
      </c>
    </row>
    <row r="14" spans="1:15" x14ac:dyDescent="0.3">
      <c r="A14" s="12" t="s">
        <v>1330</v>
      </c>
      <c r="B14" s="12" t="s">
        <v>1331</v>
      </c>
      <c r="C14" s="26" t="s">
        <v>32</v>
      </c>
      <c r="D14" s="22" t="s">
        <v>832</v>
      </c>
      <c r="E14" s="12" t="s">
        <v>948</v>
      </c>
      <c r="F14" s="21">
        <v>12.739000000000001</v>
      </c>
      <c r="G14" s="12"/>
      <c r="H14" s="12"/>
      <c r="I14" s="12"/>
      <c r="J14" s="25">
        <v>3.0675000000000001E-2</v>
      </c>
      <c r="K14" s="12"/>
      <c r="L14" s="24">
        <v>3.8054000000000001</v>
      </c>
      <c r="M14" s="12"/>
      <c r="N14" s="12" t="s">
        <v>948</v>
      </c>
      <c r="O14" s="12" t="s">
        <v>749</v>
      </c>
    </row>
    <row r="15" spans="1:15" x14ac:dyDescent="0.3">
      <c r="A15" s="12" t="s">
        <v>1332</v>
      </c>
      <c r="B15" s="12" t="s">
        <v>1333</v>
      </c>
      <c r="C15" s="26" t="s">
        <v>32</v>
      </c>
      <c r="D15" s="26" t="s">
        <v>32</v>
      </c>
      <c r="E15" s="12" t="s">
        <v>749</v>
      </c>
      <c r="F15" s="21">
        <v>15.6</v>
      </c>
      <c r="G15" s="21">
        <v>15.6</v>
      </c>
      <c r="H15" s="12">
        <v>2.7837000000000001E-4</v>
      </c>
      <c r="I15" s="12" t="s">
        <v>749</v>
      </c>
      <c r="J15" s="25">
        <v>5.8212999999999997E-3</v>
      </c>
      <c r="K15" s="25">
        <v>5.7386E-3</v>
      </c>
      <c r="L15" s="24">
        <v>0.12479</v>
      </c>
      <c r="M15" s="24">
        <v>0.12701000000000001</v>
      </c>
      <c r="N15" s="12" t="s">
        <v>948</v>
      </c>
      <c r="O15" s="12" t="s">
        <v>749</v>
      </c>
    </row>
    <row r="16" spans="1:15" x14ac:dyDescent="0.3">
      <c r="A16" s="12" t="s">
        <v>1334</v>
      </c>
      <c r="B16" s="12" t="s">
        <v>1335</v>
      </c>
      <c r="C16" s="26" t="s">
        <v>32</v>
      </c>
      <c r="D16" s="22" t="s">
        <v>832</v>
      </c>
      <c r="E16" s="12" t="s">
        <v>948</v>
      </c>
      <c r="F16" s="21">
        <v>11.093999999999999</v>
      </c>
      <c r="G16" s="12"/>
      <c r="H16" s="12"/>
      <c r="I16" s="12"/>
      <c r="J16" s="25">
        <v>5.7972999999999998E-4</v>
      </c>
      <c r="K16" s="12"/>
      <c r="L16" s="24">
        <v>5.6585999999999999</v>
      </c>
      <c r="M16" s="12"/>
      <c r="N16" s="12" t="s">
        <v>749</v>
      </c>
      <c r="O16" s="12" t="s">
        <v>749</v>
      </c>
    </row>
    <row r="17" spans="1:15" x14ac:dyDescent="0.3">
      <c r="A17" s="12" t="s">
        <v>1336</v>
      </c>
      <c r="B17" s="12" t="s">
        <v>1337</v>
      </c>
      <c r="C17" s="26" t="s">
        <v>32</v>
      </c>
      <c r="D17" s="22" t="s">
        <v>832</v>
      </c>
      <c r="E17" s="12" t="s">
        <v>948</v>
      </c>
      <c r="F17" s="21">
        <v>12.302</v>
      </c>
      <c r="G17" s="12"/>
      <c r="H17" s="12"/>
      <c r="I17" s="12"/>
      <c r="J17" s="25">
        <v>2.7029000000000001E-2</v>
      </c>
      <c r="K17" s="12"/>
      <c r="L17" s="24">
        <v>5.5473999999999997</v>
      </c>
      <c r="M17" s="12"/>
      <c r="N17" s="12" t="s">
        <v>948</v>
      </c>
      <c r="O17" s="12" t="s">
        <v>749</v>
      </c>
    </row>
    <row r="18" spans="1:15" x14ac:dyDescent="0.3">
      <c r="A18" s="12" t="s">
        <v>1338</v>
      </c>
      <c r="B18" s="12" t="s">
        <v>1339</v>
      </c>
      <c r="C18" s="26" t="s">
        <v>32</v>
      </c>
      <c r="D18" s="22" t="s">
        <v>832</v>
      </c>
      <c r="E18" s="12" t="s">
        <v>948</v>
      </c>
      <c r="F18" s="21">
        <v>2.669</v>
      </c>
      <c r="G18" s="12"/>
      <c r="H18" s="12"/>
      <c r="I18" s="12"/>
      <c r="J18" s="25">
        <v>7.6699000000000003E-2</v>
      </c>
      <c r="K18" s="12"/>
      <c r="L18" s="24">
        <v>49.378</v>
      </c>
      <c r="M18" s="12"/>
      <c r="N18" s="12" t="s">
        <v>749</v>
      </c>
      <c r="O18" s="12" t="s">
        <v>948</v>
      </c>
    </row>
    <row r="19" spans="1:15" x14ac:dyDescent="0.3">
      <c r="A19" s="12" t="s">
        <v>1340</v>
      </c>
      <c r="B19" s="12" t="s">
        <v>1341</v>
      </c>
      <c r="C19" s="26" t="s">
        <v>32</v>
      </c>
      <c r="D19" s="22" t="s">
        <v>832</v>
      </c>
      <c r="E19" s="12" t="s">
        <v>948</v>
      </c>
      <c r="F19" s="21">
        <v>6.2705000000000002</v>
      </c>
      <c r="G19" s="12"/>
      <c r="H19" s="12"/>
      <c r="I19" s="12"/>
      <c r="J19" s="25">
        <v>5.2352999999999997E-2</v>
      </c>
      <c r="K19" s="12"/>
      <c r="L19" s="24">
        <v>0.24209</v>
      </c>
      <c r="M19" s="12"/>
      <c r="N19" s="12" t="s">
        <v>749</v>
      </c>
      <c r="O19" s="12" t="s">
        <v>749</v>
      </c>
    </row>
    <row r="21" spans="1:15" x14ac:dyDescent="0.3">
      <c r="A21" s="17" t="s">
        <v>954</v>
      </c>
    </row>
  </sheetData>
  <autoFilter ref="A7:O19" xr:uid="{00000000-0009-0000-0000-000032000000}"/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N25"/>
  <sheetViews>
    <sheetView workbookViewId="0"/>
  </sheetViews>
  <sheetFormatPr baseColWidth="10" defaultColWidth="8.88671875" defaultRowHeight="14.4" x14ac:dyDescent="0.3"/>
  <cols>
    <col min="1" max="1" width="15" customWidth="1"/>
    <col min="2" max="2" width="36" customWidth="1"/>
    <col min="3" max="3" width="29" customWidth="1"/>
    <col min="4" max="4" width="12" customWidth="1"/>
    <col min="5" max="5" width="23" customWidth="1"/>
    <col min="6" max="6" width="24" customWidth="1"/>
    <col min="7" max="7" width="15" customWidth="1"/>
    <col min="8" max="8" width="16" customWidth="1"/>
    <col min="9" max="9" width="17" customWidth="1"/>
    <col min="10" max="10" width="10" customWidth="1"/>
    <col min="11" max="11" width="39" customWidth="1"/>
    <col min="12" max="12" width="25" customWidth="1"/>
    <col min="13" max="13" width="13" customWidth="1"/>
    <col min="14" max="14" width="48" customWidth="1"/>
  </cols>
  <sheetData>
    <row r="1" spans="1:14" ht="17.399999999999999" x14ac:dyDescent="0.35">
      <c r="A1" s="1" t="s">
        <v>1342</v>
      </c>
    </row>
    <row r="2" spans="1:14" x14ac:dyDescent="0.3">
      <c r="A2" t="s">
        <v>1287</v>
      </c>
    </row>
    <row r="3" spans="1:14" x14ac:dyDescent="0.3">
      <c r="A3" t="s">
        <v>1288</v>
      </c>
    </row>
    <row r="4" spans="1:14" x14ac:dyDescent="0.3">
      <c r="A4" s="15" t="s">
        <v>1289</v>
      </c>
    </row>
    <row r="5" spans="1:14" x14ac:dyDescent="0.3">
      <c r="A5" t="s">
        <v>1343</v>
      </c>
    </row>
    <row r="7" spans="1:14" x14ac:dyDescent="0.3">
      <c r="A7" s="16" t="s">
        <v>1305</v>
      </c>
      <c r="B7" s="16" t="s">
        <v>1306</v>
      </c>
      <c r="C7" s="16" t="s">
        <v>1344</v>
      </c>
      <c r="D7" s="16" t="s">
        <v>1345</v>
      </c>
      <c r="E7" s="16" t="s">
        <v>1346</v>
      </c>
      <c r="F7" s="16" t="s">
        <v>1347</v>
      </c>
      <c r="G7" s="16" t="s">
        <v>1348</v>
      </c>
      <c r="H7" s="16" t="s">
        <v>1349</v>
      </c>
      <c r="I7" s="16" t="s">
        <v>1350</v>
      </c>
      <c r="J7" s="16" t="s">
        <v>828</v>
      </c>
      <c r="K7" s="16" t="s">
        <v>1351</v>
      </c>
      <c r="L7" s="16" t="s">
        <v>1352</v>
      </c>
      <c r="M7" s="16" t="s">
        <v>1353</v>
      </c>
      <c r="N7" s="16" t="s">
        <v>1354</v>
      </c>
    </row>
    <row r="8" spans="1:14" x14ac:dyDescent="0.3">
      <c r="A8" s="12" t="s">
        <v>1326</v>
      </c>
      <c r="B8" s="12" t="s">
        <v>1327</v>
      </c>
      <c r="C8" s="24">
        <v>2</v>
      </c>
      <c r="D8" s="12" t="s">
        <v>749</v>
      </c>
      <c r="E8" s="24">
        <v>808.34</v>
      </c>
      <c r="F8" s="23">
        <v>1251.0999999999999</v>
      </c>
      <c r="G8" s="24">
        <v>442.74</v>
      </c>
      <c r="H8" s="21">
        <v>14.978</v>
      </c>
      <c r="I8" s="21">
        <v>11.308</v>
      </c>
      <c r="J8" s="12">
        <v>-3.6701999999999999</v>
      </c>
      <c r="K8" s="25">
        <v>3.5024000000000002</v>
      </c>
      <c r="L8" s="25">
        <v>3.1645E-2</v>
      </c>
      <c r="M8" s="12">
        <v>9</v>
      </c>
      <c r="N8" s="12" t="s">
        <v>1355</v>
      </c>
    </row>
    <row r="9" spans="1:14" x14ac:dyDescent="0.3">
      <c r="A9" s="12" t="s">
        <v>1322</v>
      </c>
      <c r="B9" s="12" t="s">
        <v>1323</v>
      </c>
      <c r="C9" s="24">
        <v>5</v>
      </c>
      <c r="D9" s="12" t="s">
        <v>749</v>
      </c>
      <c r="E9" s="24">
        <v>400</v>
      </c>
      <c r="F9" s="24">
        <v>468.36</v>
      </c>
      <c r="G9" s="24">
        <v>68.358999999999995</v>
      </c>
      <c r="H9" s="21">
        <v>10.807</v>
      </c>
      <c r="I9" s="21">
        <v>10.007999999999999</v>
      </c>
      <c r="J9" s="12">
        <v>-0.79871999999999999</v>
      </c>
      <c r="K9" s="25">
        <v>6.4053000000000004</v>
      </c>
      <c r="L9" s="25">
        <v>2.6352E-2</v>
      </c>
      <c r="M9" s="12">
        <v>9</v>
      </c>
      <c r="N9" s="12"/>
    </row>
    <row r="10" spans="1:14" x14ac:dyDescent="0.3">
      <c r="A10" s="12" t="s">
        <v>1322</v>
      </c>
      <c r="B10" s="12" t="s">
        <v>1323</v>
      </c>
      <c r="C10" s="24">
        <v>2</v>
      </c>
      <c r="D10" s="12" t="s">
        <v>749</v>
      </c>
      <c r="E10" s="24">
        <v>400</v>
      </c>
      <c r="F10" s="24">
        <v>424.61</v>
      </c>
      <c r="G10" s="24">
        <v>24.609000000000002</v>
      </c>
      <c r="H10" s="21">
        <v>10.807</v>
      </c>
      <c r="I10" s="21">
        <v>10.506</v>
      </c>
      <c r="J10" s="12">
        <v>-0.30073</v>
      </c>
      <c r="K10" s="25">
        <v>7.0652999999999997</v>
      </c>
      <c r="L10" s="25">
        <v>2.3900000000000001E-2</v>
      </c>
      <c r="M10" s="12">
        <v>9</v>
      </c>
      <c r="N10" s="12"/>
    </row>
    <row r="11" spans="1:14" x14ac:dyDescent="0.3">
      <c r="A11" s="12" t="s">
        <v>1328</v>
      </c>
      <c r="B11" s="12" t="s">
        <v>1329</v>
      </c>
      <c r="C11" s="24">
        <v>2</v>
      </c>
      <c r="D11" s="12" t="s">
        <v>749</v>
      </c>
      <c r="E11" s="24">
        <v>393.75</v>
      </c>
      <c r="F11" s="24">
        <v>393.75</v>
      </c>
      <c r="G11" s="24">
        <v>0</v>
      </c>
      <c r="H11" s="21">
        <v>15.481999999999999</v>
      </c>
      <c r="I11" s="21">
        <v>15.481999999999999</v>
      </c>
      <c r="J11" s="12">
        <v>0</v>
      </c>
      <c r="K11" s="25">
        <v>7.6189999999999998</v>
      </c>
      <c r="L11" s="25">
        <v>4.6909999999999999E-3</v>
      </c>
      <c r="M11" s="12">
        <v>0</v>
      </c>
      <c r="N11" s="12"/>
    </row>
    <row r="12" spans="1:14" x14ac:dyDescent="0.3">
      <c r="A12" s="12" t="s">
        <v>1318</v>
      </c>
      <c r="B12" s="12" t="s">
        <v>1319</v>
      </c>
      <c r="C12" s="24">
        <v>2</v>
      </c>
      <c r="D12" s="12" t="s">
        <v>749</v>
      </c>
      <c r="E12" s="24">
        <v>563.64</v>
      </c>
      <c r="F12" s="24">
        <v>597.44000000000005</v>
      </c>
      <c r="G12" s="24">
        <v>33.807000000000002</v>
      </c>
      <c r="H12" s="21">
        <v>8.4818999999999996</v>
      </c>
      <c r="I12" s="21">
        <v>8.1934000000000005</v>
      </c>
      <c r="J12" s="12">
        <v>-0.28849000000000002</v>
      </c>
      <c r="K12" s="25">
        <v>5.0213999999999999</v>
      </c>
      <c r="L12" s="25">
        <v>3.5991000000000002E-2</v>
      </c>
      <c r="M12" s="12">
        <v>8</v>
      </c>
      <c r="N12" s="12"/>
    </row>
    <row r="13" spans="1:14" x14ac:dyDescent="0.3">
      <c r="A13" s="12" t="s">
        <v>1318</v>
      </c>
      <c r="B13" s="12" t="s">
        <v>1319</v>
      </c>
      <c r="C13" s="24">
        <v>5</v>
      </c>
      <c r="D13" s="12" t="s">
        <v>749</v>
      </c>
      <c r="E13" s="24">
        <v>563.64</v>
      </c>
      <c r="F13" s="24">
        <v>650.57000000000005</v>
      </c>
      <c r="G13" s="24">
        <v>86.932000000000002</v>
      </c>
      <c r="H13" s="21">
        <v>8.4818999999999996</v>
      </c>
      <c r="I13" s="21">
        <v>7.7689000000000004</v>
      </c>
      <c r="J13" s="12">
        <v>-0.71299999999999997</v>
      </c>
      <c r="K13" s="25">
        <v>4.6113999999999997</v>
      </c>
      <c r="L13" s="25">
        <v>3.8205999999999997E-2</v>
      </c>
      <c r="M13" s="12">
        <v>8</v>
      </c>
      <c r="N13" s="12"/>
    </row>
    <row r="14" spans="1:14" x14ac:dyDescent="0.3">
      <c r="A14" s="12" t="s">
        <v>1330</v>
      </c>
      <c r="B14" s="12" t="s">
        <v>1331</v>
      </c>
      <c r="C14" s="24">
        <v>2</v>
      </c>
      <c r="D14" s="12" t="s">
        <v>749</v>
      </c>
      <c r="E14" s="23">
        <v>1359.6</v>
      </c>
      <c r="F14" s="23">
        <v>1359.6</v>
      </c>
      <c r="G14" s="24">
        <v>0</v>
      </c>
      <c r="H14" s="21">
        <v>12.739000000000001</v>
      </c>
      <c r="I14" s="21">
        <v>12.739000000000001</v>
      </c>
      <c r="J14" s="12">
        <v>0</v>
      </c>
      <c r="K14" s="25">
        <v>3.6777000000000002</v>
      </c>
      <c r="L14" s="25">
        <v>3.0675000000000001E-2</v>
      </c>
      <c r="M14" s="12">
        <v>0</v>
      </c>
      <c r="N14" s="12"/>
    </row>
    <row r="15" spans="1:14" x14ac:dyDescent="0.3">
      <c r="A15" s="12" t="s">
        <v>1320</v>
      </c>
      <c r="B15" s="12" t="s">
        <v>1321</v>
      </c>
      <c r="C15" s="24">
        <v>2</v>
      </c>
      <c r="D15" s="12" t="s">
        <v>749</v>
      </c>
      <c r="E15" s="24">
        <v>736.36</v>
      </c>
      <c r="F15" s="24">
        <v>782.07</v>
      </c>
      <c r="G15" s="24">
        <v>45.703000000000003</v>
      </c>
      <c r="H15" s="21">
        <v>9.1503999999999994</v>
      </c>
      <c r="I15" s="21">
        <v>8.7749000000000006</v>
      </c>
      <c r="J15" s="12">
        <v>-0.3755</v>
      </c>
      <c r="K15" s="25">
        <v>3.8359999999999999</v>
      </c>
      <c r="L15" s="25">
        <v>3.7415999999999998E-2</v>
      </c>
      <c r="M15" s="12">
        <v>8</v>
      </c>
      <c r="N15" s="12"/>
    </row>
    <row r="16" spans="1:14" x14ac:dyDescent="0.3">
      <c r="A16" s="12" t="s">
        <v>1320</v>
      </c>
      <c r="B16" s="12" t="s">
        <v>1321</v>
      </c>
      <c r="C16" s="24">
        <v>5</v>
      </c>
      <c r="D16" s="12" t="s">
        <v>749</v>
      </c>
      <c r="E16" s="24">
        <v>736.36</v>
      </c>
      <c r="F16" s="24">
        <v>852.7</v>
      </c>
      <c r="G16" s="24">
        <v>116.34</v>
      </c>
      <c r="H16" s="21">
        <v>9.1503999999999994</v>
      </c>
      <c r="I16" s="21">
        <v>8.2321000000000009</v>
      </c>
      <c r="J16" s="12">
        <v>-0.91832000000000003</v>
      </c>
      <c r="K16" s="25">
        <v>3.5182000000000002</v>
      </c>
      <c r="L16" s="25">
        <v>4.0356999999999997E-2</v>
      </c>
      <c r="M16" s="12">
        <v>8</v>
      </c>
      <c r="N16" s="12"/>
    </row>
    <row r="17" spans="1:14" x14ac:dyDescent="0.3">
      <c r="A17" s="12" t="s">
        <v>1334</v>
      </c>
      <c r="B17" s="12" t="s">
        <v>1335</v>
      </c>
      <c r="C17" s="24">
        <v>2</v>
      </c>
      <c r="D17" s="12" t="s">
        <v>749</v>
      </c>
      <c r="E17" s="23">
        <v>1022.3</v>
      </c>
      <c r="F17" s="23">
        <v>1022.3</v>
      </c>
      <c r="G17" s="24">
        <v>0</v>
      </c>
      <c r="H17" s="21">
        <v>11.093999999999999</v>
      </c>
      <c r="I17" s="21">
        <v>11.093999999999999</v>
      </c>
      <c r="J17" s="12">
        <v>0</v>
      </c>
      <c r="K17" s="25">
        <v>4.7035999999999998</v>
      </c>
      <c r="L17" s="25">
        <v>5.7972999999999998E-4</v>
      </c>
      <c r="M17" s="12">
        <v>0</v>
      </c>
      <c r="N17" s="12"/>
    </row>
    <row r="18" spans="1:14" x14ac:dyDescent="0.3">
      <c r="A18" s="12" t="s">
        <v>1334</v>
      </c>
      <c r="B18" s="12" t="s">
        <v>1335</v>
      </c>
      <c r="C18" s="24">
        <v>5</v>
      </c>
      <c r="D18" s="12" t="s">
        <v>749</v>
      </c>
      <c r="E18" s="23">
        <v>1022.3</v>
      </c>
      <c r="F18" s="23">
        <v>1022.3</v>
      </c>
      <c r="G18" s="24">
        <v>0</v>
      </c>
      <c r="H18" s="21">
        <v>11.093999999999999</v>
      </c>
      <c r="I18" s="21">
        <v>11.093999999999999</v>
      </c>
      <c r="J18" s="12">
        <v>0</v>
      </c>
      <c r="K18" s="25">
        <v>4.7035999999999998</v>
      </c>
      <c r="L18" s="25">
        <v>5.7972999999999998E-4</v>
      </c>
      <c r="M18" s="12">
        <v>0</v>
      </c>
      <c r="N18" s="12"/>
    </row>
    <row r="19" spans="1:14" x14ac:dyDescent="0.3">
      <c r="A19" s="12" t="s">
        <v>1326</v>
      </c>
      <c r="B19" s="12" t="s">
        <v>1327</v>
      </c>
      <c r="C19" s="24">
        <v>5</v>
      </c>
      <c r="D19" s="12" t="s">
        <v>749</v>
      </c>
      <c r="E19" s="24">
        <v>808.34</v>
      </c>
      <c r="F19" s="23">
        <v>1251.0999999999999</v>
      </c>
      <c r="G19" s="24">
        <v>442.74</v>
      </c>
      <c r="H19" s="21">
        <v>14.978</v>
      </c>
      <c r="I19" s="21">
        <v>11.308</v>
      </c>
      <c r="J19" s="12">
        <v>-3.6701999999999999</v>
      </c>
      <c r="K19" s="25">
        <v>3.5024000000000002</v>
      </c>
      <c r="L19" s="25">
        <v>3.1645E-2</v>
      </c>
      <c r="M19" s="12">
        <v>9</v>
      </c>
      <c r="N19" s="12" t="s">
        <v>1355</v>
      </c>
    </row>
    <row r="20" spans="1:14" x14ac:dyDescent="0.3">
      <c r="A20" s="12" t="s">
        <v>1332</v>
      </c>
      <c r="B20" s="12" t="s">
        <v>1333</v>
      </c>
      <c r="C20" s="24">
        <v>5</v>
      </c>
      <c r="D20" s="12" t="s">
        <v>749</v>
      </c>
      <c r="E20" s="24">
        <v>400</v>
      </c>
      <c r="F20" s="24">
        <v>471.09</v>
      </c>
      <c r="G20" s="24">
        <v>71.093999999999994</v>
      </c>
      <c r="H20" s="21">
        <v>15.6</v>
      </c>
      <c r="I20" s="21">
        <v>14.426</v>
      </c>
      <c r="J20" s="12">
        <v>-1.1740999999999999</v>
      </c>
      <c r="K20" s="25">
        <v>6.3681999999999999</v>
      </c>
      <c r="L20" s="25">
        <v>1.1037E-2</v>
      </c>
      <c r="M20" s="12">
        <v>9</v>
      </c>
      <c r="N20" s="12"/>
    </row>
    <row r="21" spans="1:14" x14ac:dyDescent="0.3">
      <c r="A21" s="12" t="s">
        <v>1332</v>
      </c>
      <c r="B21" s="12" t="s">
        <v>1333</v>
      </c>
      <c r="C21" s="24">
        <v>2</v>
      </c>
      <c r="D21" s="12" t="s">
        <v>749</v>
      </c>
      <c r="E21" s="24">
        <v>400</v>
      </c>
      <c r="F21" s="24">
        <v>427.34</v>
      </c>
      <c r="G21" s="24">
        <v>27.344000000000001</v>
      </c>
      <c r="H21" s="21">
        <v>15.6</v>
      </c>
      <c r="I21" s="21">
        <v>15.128</v>
      </c>
      <c r="J21" s="12">
        <v>-0.47215000000000001</v>
      </c>
      <c r="K21" s="25">
        <v>7.0201000000000002</v>
      </c>
      <c r="L21" s="25">
        <v>7.8992999999999997E-3</v>
      </c>
      <c r="M21" s="12">
        <v>9</v>
      </c>
      <c r="N21" s="12"/>
    </row>
    <row r="22" spans="1:14" x14ac:dyDescent="0.3">
      <c r="A22" s="12" t="s">
        <v>1328</v>
      </c>
      <c r="B22" s="12" t="s">
        <v>1329</v>
      </c>
      <c r="C22" s="24">
        <v>5</v>
      </c>
      <c r="D22" s="12" t="s">
        <v>749</v>
      </c>
      <c r="E22" s="24">
        <v>393.75</v>
      </c>
      <c r="F22" s="24">
        <v>412.98</v>
      </c>
      <c r="G22" s="24">
        <v>19.225999999999999</v>
      </c>
      <c r="H22" s="21">
        <v>15.481999999999999</v>
      </c>
      <c r="I22" s="21">
        <v>15.15</v>
      </c>
      <c r="J22" s="12">
        <v>-0.33217999999999998</v>
      </c>
      <c r="K22" s="25">
        <v>7.2643000000000004</v>
      </c>
      <c r="L22" s="25">
        <v>6.1947E-3</v>
      </c>
      <c r="M22" s="12">
        <v>9</v>
      </c>
      <c r="N22" s="12"/>
    </row>
    <row r="23" spans="1:14" x14ac:dyDescent="0.3">
      <c r="A23" s="12" t="s">
        <v>1330</v>
      </c>
      <c r="B23" s="12" t="s">
        <v>1331</v>
      </c>
      <c r="C23" s="24">
        <v>5</v>
      </c>
      <c r="D23" s="12" t="s">
        <v>749</v>
      </c>
      <c r="E23" s="23">
        <v>1359.6</v>
      </c>
      <c r="F23" s="23">
        <v>1408.6</v>
      </c>
      <c r="G23" s="24">
        <v>49.003</v>
      </c>
      <c r="H23" s="21">
        <v>12.739000000000001</v>
      </c>
      <c r="I23" s="21">
        <v>12.41</v>
      </c>
      <c r="J23" s="12">
        <v>-0.3291</v>
      </c>
      <c r="K23" s="25">
        <v>3.5497000000000001</v>
      </c>
      <c r="L23" s="25">
        <v>3.1805E-2</v>
      </c>
      <c r="M23" s="12">
        <v>8</v>
      </c>
      <c r="N23" s="12"/>
    </row>
    <row r="25" spans="1:14" x14ac:dyDescent="0.3">
      <c r="A25" s="17" t="s">
        <v>1356</v>
      </c>
    </row>
  </sheetData>
  <autoFilter ref="A7:N23" xr:uid="{00000000-0009-0000-0000-000033000000}"/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88"/>
  <sheetViews>
    <sheetView workbookViewId="0"/>
  </sheetViews>
  <sheetFormatPr baseColWidth="10" defaultColWidth="8.88671875" defaultRowHeight="14.4" x14ac:dyDescent="0.3"/>
  <cols>
    <col min="1" max="1" width="11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1" ht="17.399999999999999" x14ac:dyDescent="0.35">
      <c r="A1" s="1" t="s">
        <v>1357</v>
      </c>
    </row>
    <row r="2" spans="1:1" x14ac:dyDescent="0.3">
      <c r="A2" t="s">
        <v>1358</v>
      </c>
    </row>
    <row r="3" spans="1:1" x14ac:dyDescent="0.3">
      <c r="A3" t="s">
        <v>1359</v>
      </c>
    </row>
    <row r="4" spans="1:1" x14ac:dyDescent="0.3">
      <c r="A4" s="8" t="s">
        <v>1360</v>
      </c>
    </row>
    <row r="5" spans="1:1" x14ac:dyDescent="0.3">
      <c r="A5" s="15" t="s">
        <v>717</v>
      </c>
    </row>
    <row r="6" spans="1:1" x14ac:dyDescent="0.3">
      <c r="A6" s="15" t="s">
        <v>1361</v>
      </c>
    </row>
    <row r="7" spans="1:1" x14ac:dyDescent="0.3">
      <c r="A7" s="8" t="s">
        <v>1362</v>
      </c>
    </row>
    <row r="8" spans="1:1" x14ac:dyDescent="0.3">
      <c r="A8" s="15" t="s">
        <v>717</v>
      </c>
    </row>
    <row r="9" spans="1:1" x14ac:dyDescent="0.3">
      <c r="A9" s="15" t="s">
        <v>1363</v>
      </c>
    </row>
    <row r="10" spans="1:1" x14ac:dyDescent="0.3">
      <c r="A10" s="8" t="s">
        <v>1364</v>
      </c>
    </row>
    <row r="11" spans="1:1" x14ac:dyDescent="0.3">
      <c r="A11" s="15" t="s">
        <v>722</v>
      </c>
    </row>
    <row r="12" spans="1:1" x14ac:dyDescent="0.3">
      <c r="A12" s="15" t="s">
        <v>1365</v>
      </c>
    </row>
    <row r="13" spans="1:1" x14ac:dyDescent="0.3">
      <c r="A13" s="8" t="s">
        <v>1366</v>
      </c>
    </row>
    <row r="14" spans="1:1" x14ac:dyDescent="0.3">
      <c r="A14" s="15" t="s">
        <v>729</v>
      </c>
    </row>
    <row r="15" spans="1:1" x14ac:dyDescent="0.3">
      <c r="A15" s="15" t="s">
        <v>1367</v>
      </c>
    </row>
    <row r="16" spans="1:1" x14ac:dyDescent="0.3">
      <c r="A16" s="8" t="s">
        <v>1368</v>
      </c>
    </row>
    <row r="17" spans="1:7" x14ac:dyDescent="0.3">
      <c r="A17" s="15" t="s">
        <v>735</v>
      </c>
    </row>
    <row r="18" spans="1:7" x14ac:dyDescent="0.3">
      <c r="A18" s="15" t="s">
        <v>1369</v>
      </c>
    </row>
    <row r="19" spans="1:7" x14ac:dyDescent="0.3">
      <c r="A19" t="s">
        <v>788</v>
      </c>
    </row>
    <row r="21" spans="1:7" x14ac:dyDescent="0.3">
      <c r="A21" s="16" t="s">
        <v>360</v>
      </c>
      <c r="B21" s="16" t="s">
        <v>712</v>
      </c>
      <c r="C21" s="16" t="s">
        <v>789</v>
      </c>
      <c r="D21" s="16" t="s">
        <v>790</v>
      </c>
      <c r="E21" s="16" t="s">
        <v>791</v>
      </c>
      <c r="F21" s="16" t="s">
        <v>792</v>
      </c>
      <c r="G21" s="16" t="s">
        <v>266</v>
      </c>
    </row>
    <row r="22" spans="1:7" x14ac:dyDescent="0.3">
      <c r="A22" s="12" t="s">
        <v>474</v>
      </c>
      <c r="B22" s="12" t="s">
        <v>49</v>
      </c>
      <c r="C22" s="12" t="s">
        <v>796</v>
      </c>
      <c r="D22" s="12" t="s">
        <v>1370</v>
      </c>
      <c r="E22" s="12">
        <v>3</v>
      </c>
      <c r="F22" s="12"/>
      <c r="G22" s="12" t="s">
        <v>275</v>
      </c>
    </row>
    <row r="23" spans="1:7" x14ac:dyDescent="0.3">
      <c r="A23" s="12" t="s">
        <v>474</v>
      </c>
      <c r="B23" s="12" t="s">
        <v>51</v>
      </c>
      <c r="C23" s="12" t="s">
        <v>796</v>
      </c>
      <c r="D23" s="12" t="s">
        <v>1371</v>
      </c>
      <c r="E23" s="12">
        <v>3</v>
      </c>
      <c r="F23" s="12"/>
      <c r="G23" s="12" t="s">
        <v>275</v>
      </c>
    </row>
    <row r="24" spans="1:7" x14ac:dyDescent="0.3">
      <c r="A24" s="12" t="s">
        <v>474</v>
      </c>
      <c r="B24" s="12" t="s">
        <v>53</v>
      </c>
      <c r="C24" s="12" t="s">
        <v>796</v>
      </c>
      <c r="D24" s="12" t="s">
        <v>1372</v>
      </c>
      <c r="E24" s="12">
        <v>6</v>
      </c>
      <c r="F24" s="12"/>
      <c r="G24" s="12" t="s">
        <v>270</v>
      </c>
    </row>
    <row r="25" spans="1:7" x14ac:dyDescent="0.3">
      <c r="A25" s="12" t="s">
        <v>474</v>
      </c>
      <c r="B25" s="12" t="s">
        <v>54</v>
      </c>
      <c r="C25" s="12" t="s">
        <v>796</v>
      </c>
      <c r="D25" s="12" t="s">
        <v>1373</v>
      </c>
      <c r="E25" s="12">
        <v>3</v>
      </c>
      <c r="F25" s="12"/>
      <c r="G25" s="12" t="s">
        <v>270</v>
      </c>
    </row>
    <row r="26" spans="1:7" x14ac:dyDescent="0.3">
      <c r="A26" s="12" t="s">
        <v>474</v>
      </c>
      <c r="B26" s="12" t="s">
        <v>55</v>
      </c>
      <c r="C26" s="12" t="s">
        <v>796</v>
      </c>
      <c r="D26" s="12" t="s">
        <v>1374</v>
      </c>
      <c r="E26" s="12">
        <v>4</v>
      </c>
      <c r="F26" s="12"/>
      <c r="G26" s="12" t="s">
        <v>273</v>
      </c>
    </row>
    <row r="27" spans="1:7" x14ac:dyDescent="0.3">
      <c r="A27" s="12" t="s">
        <v>474</v>
      </c>
      <c r="B27" s="12" t="s">
        <v>57</v>
      </c>
      <c r="C27" s="12" t="s">
        <v>793</v>
      </c>
      <c r="D27" s="12" t="s">
        <v>800</v>
      </c>
      <c r="E27" s="12"/>
      <c r="F27" s="12" t="s">
        <v>749</v>
      </c>
      <c r="G27" s="12" t="s">
        <v>283</v>
      </c>
    </row>
    <row r="28" spans="1:7" x14ac:dyDescent="0.3">
      <c r="A28" s="12" t="s">
        <v>474</v>
      </c>
      <c r="B28" s="12" t="s">
        <v>59</v>
      </c>
      <c r="C28" s="12" t="s">
        <v>796</v>
      </c>
      <c r="D28" s="12" t="s">
        <v>1375</v>
      </c>
      <c r="E28" s="12">
        <v>4</v>
      </c>
      <c r="F28" s="12"/>
      <c r="G28" s="12" t="s">
        <v>273</v>
      </c>
    </row>
    <row r="29" spans="1:7" x14ac:dyDescent="0.3">
      <c r="A29" s="12" t="s">
        <v>474</v>
      </c>
      <c r="B29" s="12" t="s">
        <v>61</v>
      </c>
      <c r="C29" s="12" t="s">
        <v>796</v>
      </c>
      <c r="D29" s="12" t="s">
        <v>1376</v>
      </c>
      <c r="E29" s="12">
        <v>3</v>
      </c>
      <c r="F29" s="12"/>
      <c r="G29" s="12" t="s">
        <v>273</v>
      </c>
    </row>
    <row r="30" spans="1:7" x14ac:dyDescent="0.3">
      <c r="A30" s="12" t="s">
        <v>474</v>
      </c>
      <c r="B30" s="12" t="s">
        <v>63</v>
      </c>
      <c r="C30" s="12" t="s">
        <v>796</v>
      </c>
      <c r="D30" s="12" t="s">
        <v>1377</v>
      </c>
      <c r="E30" s="12">
        <v>3</v>
      </c>
      <c r="F30" s="12"/>
      <c r="G30" s="12" t="s">
        <v>273</v>
      </c>
    </row>
    <row r="31" spans="1:7" x14ac:dyDescent="0.3">
      <c r="A31" s="12" t="s">
        <v>474</v>
      </c>
      <c r="B31" s="12" t="s">
        <v>64</v>
      </c>
      <c r="C31" s="12" t="s">
        <v>796</v>
      </c>
      <c r="D31" s="12" t="s">
        <v>1378</v>
      </c>
      <c r="E31" s="12">
        <v>3</v>
      </c>
      <c r="F31" s="12"/>
      <c r="G31" s="12" t="s">
        <v>273</v>
      </c>
    </row>
    <row r="32" spans="1:7" x14ac:dyDescent="0.3">
      <c r="A32" s="12" t="s">
        <v>474</v>
      </c>
      <c r="B32" s="12" t="s">
        <v>65</v>
      </c>
      <c r="C32" s="12" t="s">
        <v>796</v>
      </c>
      <c r="D32" s="12" t="s">
        <v>1379</v>
      </c>
      <c r="E32" s="12">
        <v>3</v>
      </c>
      <c r="F32" s="12"/>
      <c r="G32" s="12" t="s">
        <v>273</v>
      </c>
    </row>
    <row r="33" spans="1:7" x14ac:dyDescent="0.3">
      <c r="A33" s="12" t="s">
        <v>474</v>
      </c>
      <c r="B33" s="12" t="s">
        <v>66</v>
      </c>
      <c r="C33" s="12" t="s">
        <v>796</v>
      </c>
      <c r="D33" s="12" t="s">
        <v>1371</v>
      </c>
      <c r="E33" s="12">
        <v>3</v>
      </c>
      <c r="F33" s="12"/>
      <c r="G33" s="12" t="s">
        <v>275</v>
      </c>
    </row>
    <row r="34" spans="1:7" x14ac:dyDescent="0.3">
      <c r="A34" s="12" t="s">
        <v>474</v>
      </c>
      <c r="B34" s="12" t="s">
        <v>803</v>
      </c>
      <c r="C34" s="12" t="s">
        <v>793</v>
      </c>
      <c r="D34" s="12" t="s">
        <v>804</v>
      </c>
      <c r="E34" s="12"/>
      <c r="F34" s="12"/>
      <c r="G34" s="12" t="s">
        <v>273</v>
      </c>
    </row>
    <row r="35" spans="1:7" x14ac:dyDescent="0.3">
      <c r="A35" s="12" t="s">
        <v>485</v>
      </c>
      <c r="B35" s="12" t="s">
        <v>49</v>
      </c>
      <c r="C35" s="12" t="s">
        <v>796</v>
      </c>
      <c r="D35" s="12" t="s">
        <v>1380</v>
      </c>
      <c r="E35" s="12">
        <v>3</v>
      </c>
      <c r="F35" s="12"/>
      <c r="G35" s="12" t="s">
        <v>275</v>
      </c>
    </row>
    <row r="36" spans="1:7" x14ac:dyDescent="0.3">
      <c r="A36" s="12" t="s">
        <v>485</v>
      </c>
      <c r="B36" s="12" t="s">
        <v>51</v>
      </c>
      <c r="C36" s="12" t="s">
        <v>796</v>
      </c>
      <c r="D36" s="12" t="s">
        <v>1381</v>
      </c>
      <c r="E36" s="12">
        <v>2</v>
      </c>
      <c r="F36" s="12"/>
      <c r="G36" s="12" t="s">
        <v>275</v>
      </c>
    </row>
    <row r="37" spans="1:7" x14ac:dyDescent="0.3">
      <c r="A37" s="12" t="s">
        <v>485</v>
      </c>
      <c r="B37" s="12" t="s">
        <v>53</v>
      </c>
      <c r="C37" s="12" t="s">
        <v>796</v>
      </c>
      <c r="D37" s="12" t="s">
        <v>1382</v>
      </c>
      <c r="E37" s="12">
        <v>3</v>
      </c>
      <c r="F37" s="12"/>
      <c r="G37" s="12" t="s">
        <v>270</v>
      </c>
    </row>
    <row r="38" spans="1:7" x14ac:dyDescent="0.3">
      <c r="A38" s="12" t="s">
        <v>485</v>
      </c>
      <c r="B38" s="12" t="s">
        <v>54</v>
      </c>
      <c r="C38" s="12" t="s">
        <v>796</v>
      </c>
      <c r="D38" s="12" t="s">
        <v>1383</v>
      </c>
      <c r="E38" s="12">
        <v>3</v>
      </c>
      <c r="F38" s="12"/>
      <c r="G38" s="12" t="s">
        <v>270</v>
      </c>
    </row>
    <row r="39" spans="1:7" x14ac:dyDescent="0.3">
      <c r="A39" s="12" t="s">
        <v>485</v>
      </c>
      <c r="B39" s="12" t="s">
        <v>55</v>
      </c>
      <c r="C39" s="12" t="s">
        <v>796</v>
      </c>
      <c r="D39" s="12" t="s">
        <v>1384</v>
      </c>
      <c r="E39" s="12">
        <v>2</v>
      </c>
      <c r="F39" s="12"/>
      <c r="G39" s="12" t="s">
        <v>273</v>
      </c>
    </row>
    <row r="40" spans="1:7" x14ac:dyDescent="0.3">
      <c r="A40" s="12" t="s">
        <v>485</v>
      </c>
      <c r="B40" s="12" t="s">
        <v>57</v>
      </c>
      <c r="C40" s="12" t="s">
        <v>793</v>
      </c>
      <c r="D40" s="12" t="s">
        <v>800</v>
      </c>
      <c r="E40" s="12"/>
      <c r="F40" s="12" t="s">
        <v>749</v>
      </c>
      <c r="G40" s="12" t="s">
        <v>283</v>
      </c>
    </row>
    <row r="41" spans="1:7" x14ac:dyDescent="0.3">
      <c r="A41" s="12" t="s">
        <v>485</v>
      </c>
      <c r="B41" s="12" t="s">
        <v>59</v>
      </c>
      <c r="C41" s="12" t="s">
        <v>796</v>
      </c>
      <c r="D41" s="12" t="s">
        <v>1385</v>
      </c>
      <c r="E41" s="12">
        <v>5</v>
      </c>
      <c r="F41" s="12"/>
      <c r="G41" s="12" t="s">
        <v>273</v>
      </c>
    </row>
    <row r="42" spans="1:7" x14ac:dyDescent="0.3">
      <c r="A42" s="12" t="s">
        <v>485</v>
      </c>
      <c r="B42" s="12" t="s">
        <v>61</v>
      </c>
      <c r="C42" s="12" t="s">
        <v>796</v>
      </c>
      <c r="D42" s="12" t="s">
        <v>1386</v>
      </c>
      <c r="E42" s="12">
        <v>3</v>
      </c>
      <c r="F42" s="12"/>
      <c r="G42" s="12" t="s">
        <v>273</v>
      </c>
    </row>
    <row r="43" spans="1:7" x14ac:dyDescent="0.3">
      <c r="A43" s="12" t="s">
        <v>485</v>
      </c>
      <c r="B43" s="12" t="s">
        <v>63</v>
      </c>
      <c r="C43" s="12" t="s">
        <v>796</v>
      </c>
      <c r="D43" s="12" t="s">
        <v>1387</v>
      </c>
      <c r="E43" s="12">
        <v>3</v>
      </c>
      <c r="F43" s="12"/>
      <c r="G43" s="12" t="s">
        <v>273</v>
      </c>
    </row>
    <row r="44" spans="1:7" x14ac:dyDescent="0.3">
      <c r="A44" s="12" t="s">
        <v>485</v>
      </c>
      <c r="B44" s="12" t="s">
        <v>64</v>
      </c>
      <c r="C44" s="12" t="s">
        <v>796</v>
      </c>
      <c r="D44" s="12" t="s">
        <v>1388</v>
      </c>
      <c r="E44" s="12">
        <v>6</v>
      </c>
      <c r="F44" s="12"/>
      <c r="G44" s="12" t="s">
        <v>273</v>
      </c>
    </row>
    <row r="45" spans="1:7" x14ac:dyDescent="0.3">
      <c r="A45" s="12" t="s">
        <v>485</v>
      </c>
      <c r="B45" s="12" t="s">
        <v>65</v>
      </c>
      <c r="C45" s="12" t="s">
        <v>796</v>
      </c>
      <c r="D45" s="12" t="s">
        <v>1389</v>
      </c>
      <c r="E45" s="12">
        <v>3</v>
      </c>
      <c r="F45" s="12"/>
      <c r="G45" s="12" t="s">
        <v>273</v>
      </c>
    </row>
    <row r="46" spans="1:7" x14ac:dyDescent="0.3">
      <c r="A46" s="12" t="s">
        <v>485</v>
      </c>
      <c r="B46" s="12" t="s">
        <v>66</v>
      </c>
      <c r="C46" s="12" t="s">
        <v>796</v>
      </c>
      <c r="D46" s="12" t="s">
        <v>1381</v>
      </c>
      <c r="E46" s="12">
        <v>2</v>
      </c>
      <c r="F46" s="12"/>
      <c r="G46" s="12" t="s">
        <v>275</v>
      </c>
    </row>
    <row r="47" spans="1:7" x14ac:dyDescent="0.3">
      <c r="A47" s="12" t="s">
        <v>485</v>
      </c>
      <c r="B47" s="12" t="s">
        <v>803</v>
      </c>
      <c r="C47" s="12" t="s">
        <v>793</v>
      </c>
      <c r="D47" s="12" t="s">
        <v>804</v>
      </c>
      <c r="E47" s="12"/>
      <c r="F47" s="12"/>
      <c r="G47" s="12" t="s">
        <v>273</v>
      </c>
    </row>
    <row r="48" spans="1:7" x14ac:dyDescent="0.3">
      <c r="A48" s="12" t="s">
        <v>496</v>
      </c>
      <c r="B48" s="12" t="s">
        <v>49</v>
      </c>
      <c r="C48" s="12" t="s">
        <v>793</v>
      </c>
      <c r="D48" s="12" t="s">
        <v>794</v>
      </c>
      <c r="E48" s="12"/>
      <c r="F48" s="12" t="s">
        <v>749</v>
      </c>
      <c r="G48" s="12" t="s">
        <v>275</v>
      </c>
    </row>
    <row r="49" spans="1:7" x14ac:dyDescent="0.3">
      <c r="A49" s="12" t="s">
        <v>496</v>
      </c>
      <c r="B49" s="12" t="s">
        <v>51</v>
      </c>
      <c r="C49" s="12" t="s">
        <v>793</v>
      </c>
      <c r="D49" s="12" t="s">
        <v>795</v>
      </c>
      <c r="E49" s="12"/>
      <c r="F49" s="12" t="s">
        <v>749</v>
      </c>
      <c r="G49" s="12" t="s">
        <v>275</v>
      </c>
    </row>
    <row r="50" spans="1:7" x14ac:dyDescent="0.3">
      <c r="A50" s="12" t="s">
        <v>496</v>
      </c>
      <c r="B50" s="12" t="s">
        <v>53</v>
      </c>
      <c r="C50" s="12" t="s">
        <v>796</v>
      </c>
      <c r="D50" s="12" t="s">
        <v>1390</v>
      </c>
      <c r="E50" s="12">
        <v>7</v>
      </c>
      <c r="F50" s="12"/>
      <c r="G50" s="12" t="s">
        <v>270</v>
      </c>
    </row>
    <row r="51" spans="1:7" x14ac:dyDescent="0.3">
      <c r="A51" s="12" t="s">
        <v>496</v>
      </c>
      <c r="B51" s="12" t="s">
        <v>54</v>
      </c>
      <c r="C51" s="12" t="s">
        <v>796</v>
      </c>
      <c r="D51" s="12" t="s">
        <v>1391</v>
      </c>
      <c r="E51" s="12">
        <v>3</v>
      </c>
      <c r="F51" s="12"/>
      <c r="G51" s="12" t="s">
        <v>270</v>
      </c>
    </row>
    <row r="52" spans="1:7" x14ac:dyDescent="0.3">
      <c r="A52" s="12" t="s">
        <v>496</v>
      </c>
      <c r="B52" s="12" t="s">
        <v>55</v>
      </c>
      <c r="C52" s="12" t="s">
        <v>796</v>
      </c>
      <c r="D52" s="12" t="s">
        <v>1392</v>
      </c>
      <c r="E52" s="12">
        <v>3</v>
      </c>
      <c r="F52" s="12"/>
      <c r="G52" s="12" t="s">
        <v>273</v>
      </c>
    </row>
    <row r="53" spans="1:7" x14ac:dyDescent="0.3">
      <c r="A53" s="12" t="s">
        <v>496</v>
      </c>
      <c r="B53" s="12" t="s">
        <v>57</v>
      </c>
      <c r="C53" s="12" t="s">
        <v>793</v>
      </c>
      <c r="D53" s="12" t="s">
        <v>800</v>
      </c>
      <c r="E53" s="12"/>
      <c r="F53" s="12" t="s">
        <v>749</v>
      </c>
      <c r="G53" s="12" t="s">
        <v>283</v>
      </c>
    </row>
    <row r="54" spans="1:7" x14ac:dyDescent="0.3">
      <c r="A54" s="12" t="s">
        <v>496</v>
      </c>
      <c r="B54" s="12" t="s">
        <v>59</v>
      </c>
      <c r="C54" s="12" t="s">
        <v>796</v>
      </c>
      <c r="D54" s="12" t="s">
        <v>1294</v>
      </c>
      <c r="E54" s="12">
        <v>5</v>
      </c>
      <c r="F54" s="12"/>
      <c r="G54" s="12" t="s">
        <v>273</v>
      </c>
    </row>
    <row r="55" spans="1:7" x14ac:dyDescent="0.3">
      <c r="A55" s="12" t="s">
        <v>496</v>
      </c>
      <c r="B55" s="12" t="s">
        <v>61</v>
      </c>
      <c r="C55" s="12" t="s">
        <v>796</v>
      </c>
      <c r="D55" s="12" t="s">
        <v>1393</v>
      </c>
      <c r="E55" s="12">
        <v>3</v>
      </c>
      <c r="F55" s="12"/>
      <c r="G55" s="12" t="s">
        <v>273</v>
      </c>
    </row>
    <row r="56" spans="1:7" x14ac:dyDescent="0.3">
      <c r="A56" s="12" t="s">
        <v>496</v>
      </c>
      <c r="B56" s="12" t="s">
        <v>63</v>
      </c>
      <c r="C56" s="12" t="s">
        <v>796</v>
      </c>
      <c r="D56" s="12" t="s">
        <v>1394</v>
      </c>
      <c r="E56" s="12">
        <v>3</v>
      </c>
      <c r="F56" s="12"/>
      <c r="G56" s="12" t="s">
        <v>273</v>
      </c>
    </row>
    <row r="57" spans="1:7" x14ac:dyDescent="0.3">
      <c r="A57" s="12" t="s">
        <v>496</v>
      </c>
      <c r="B57" s="12" t="s">
        <v>64</v>
      </c>
      <c r="C57" s="12" t="s">
        <v>796</v>
      </c>
      <c r="D57" s="12" t="s">
        <v>1395</v>
      </c>
      <c r="E57" s="12">
        <v>3</v>
      </c>
      <c r="F57" s="12"/>
      <c r="G57" s="12" t="s">
        <v>273</v>
      </c>
    </row>
    <row r="58" spans="1:7" x14ac:dyDescent="0.3">
      <c r="A58" s="12" t="s">
        <v>496</v>
      </c>
      <c r="B58" s="12" t="s">
        <v>65</v>
      </c>
      <c r="C58" s="12" t="s">
        <v>796</v>
      </c>
      <c r="D58" s="12" t="s">
        <v>1396</v>
      </c>
      <c r="E58" s="12">
        <v>3</v>
      </c>
      <c r="F58" s="12"/>
      <c r="G58" s="12" t="s">
        <v>273</v>
      </c>
    </row>
    <row r="59" spans="1:7" x14ac:dyDescent="0.3">
      <c r="A59" s="12" t="s">
        <v>496</v>
      </c>
      <c r="B59" s="12" t="s">
        <v>66</v>
      </c>
      <c r="C59" s="12" t="s">
        <v>793</v>
      </c>
      <c r="D59" s="12" t="s">
        <v>795</v>
      </c>
      <c r="E59" s="12"/>
      <c r="F59" s="12" t="s">
        <v>749</v>
      </c>
      <c r="G59" s="12" t="s">
        <v>275</v>
      </c>
    </row>
    <row r="60" spans="1:7" x14ac:dyDescent="0.3">
      <c r="A60" s="12" t="s">
        <v>496</v>
      </c>
      <c r="B60" s="12" t="s">
        <v>803</v>
      </c>
      <c r="C60" s="12" t="s">
        <v>793</v>
      </c>
      <c r="D60" s="12" t="s">
        <v>804</v>
      </c>
      <c r="E60" s="12"/>
      <c r="F60" s="12"/>
      <c r="G60" s="12" t="s">
        <v>273</v>
      </c>
    </row>
    <row r="61" spans="1:7" x14ac:dyDescent="0.3">
      <c r="A61" s="12" t="s">
        <v>505</v>
      </c>
      <c r="B61" s="12" t="s">
        <v>49</v>
      </c>
      <c r="C61" s="12" t="s">
        <v>796</v>
      </c>
      <c r="D61" s="12" t="s">
        <v>1397</v>
      </c>
      <c r="E61" s="12">
        <v>4</v>
      </c>
      <c r="F61" s="12"/>
      <c r="G61" s="12" t="s">
        <v>275</v>
      </c>
    </row>
    <row r="62" spans="1:7" x14ac:dyDescent="0.3">
      <c r="A62" s="12" t="s">
        <v>505</v>
      </c>
      <c r="B62" s="12" t="s">
        <v>51</v>
      </c>
      <c r="C62" s="12" t="s">
        <v>793</v>
      </c>
      <c r="D62" s="12" t="s">
        <v>795</v>
      </c>
      <c r="E62" s="12"/>
      <c r="F62" s="12" t="s">
        <v>749</v>
      </c>
      <c r="G62" s="12" t="s">
        <v>275</v>
      </c>
    </row>
    <row r="63" spans="1:7" x14ac:dyDescent="0.3">
      <c r="A63" s="12" t="s">
        <v>505</v>
      </c>
      <c r="B63" s="12" t="s">
        <v>53</v>
      </c>
      <c r="C63" s="12" t="s">
        <v>793</v>
      </c>
      <c r="D63" s="12" t="s">
        <v>805</v>
      </c>
      <c r="E63" s="12"/>
      <c r="F63" s="12" t="s">
        <v>749</v>
      </c>
      <c r="G63" s="12" t="s">
        <v>270</v>
      </c>
    </row>
    <row r="64" spans="1:7" x14ac:dyDescent="0.3">
      <c r="A64" s="12" t="s">
        <v>505</v>
      </c>
      <c r="B64" s="12" t="s">
        <v>54</v>
      </c>
      <c r="C64" s="12" t="s">
        <v>793</v>
      </c>
      <c r="D64" s="12" t="s">
        <v>798</v>
      </c>
      <c r="E64" s="12"/>
      <c r="F64" s="12" t="s">
        <v>749</v>
      </c>
      <c r="G64" s="12" t="s">
        <v>270</v>
      </c>
    </row>
    <row r="65" spans="1:7" x14ac:dyDescent="0.3">
      <c r="A65" s="12" t="s">
        <v>505</v>
      </c>
      <c r="B65" s="12" t="s">
        <v>55</v>
      </c>
      <c r="C65" s="12" t="s">
        <v>796</v>
      </c>
      <c r="D65" s="12" t="s">
        <v>1384</v>
      </c>
      <c r="E65" s="12">
        <v>2</v>
      </c>
      <c r="F65" s="12"/>
      <c r="G65" s="12" t="s">
        <v>273</v>
      </c>
    </row>
    <row r="66" spans="1:7" x14ac:dyDescent="0.3">
      <c r="A66" s="12" t="s">
        <v>505</v>
      </c>
      <c r="B66" s="12" t="s">
        <v>57</v>
      </c>
      <c r="C66" s="12" t="s">
        <v>793</v>
      </c>
      <c r="D66" s="12" t="s">
        <v>800</v>
      </c>
      <c r="E66" s="12"/>
      <c r="F66" s="12" t="s">
        <v>749</v>
      </c>
      <c r="G66" s="12" t="s">
        <v>283</v>
      </c>
    </row>
    <row r="67" spans="1:7" x14ac:dyDescent="0.3">
      <c r="A67" s="12" t="s">
        <v>505</v>
      </c>
      <c r="B67" s="12" t="s">
        <v>59</v>
      </c>
      <c r="C67" s="12" t="s">
        <v>796</v>
      </c>
      <c r="D67" s="12" t="s">
        <v>1385</v>
      </c>
      <c r="E67" s="12">
        <v>5</v>
      </c>
      <c r="F67" s="12"/>
      <c r="G67" s="12" t="s">
        <v>273</v>
      </c>
    </row>
    <row r="68" spans="1:7" x14ac:dyDescent="0.3">
      <c r="A68" s="12" t="s">
        <v>505</v>
      </c>
      <c r="B68" s="12" t="s">
        <v>61</v>
      </c>
      <c r="C68" s="12" t="s">
        <v>796</v>
      </c>
      <c r="D68" s="12" t="s">
        <v>1398</v>
      </c>
      <c r="E68" s="12">
        <v>4</v>
      </c>
      <c r="F68" s="12"/>
      <c r="G68" s="12" t="s">
        <v>273</v>
      </c>
    </row>
    <row r="69" spans="1:7" x14ac:dyDescent="0.3">
      <c r="A69" s="12" t="s">
        <v>505</v>
      </c>
      <c r="B69" s="12" t="s">
        <v>63</v>
      </c>
      <c r="C69" s="12" t="s">
        <v>796</v>
      </c>
      <c r="D69" s="12" t="s">
        <v>1385</v>
      </c>
      <c r="E69" s="12">
        <v>4</v>
      </c>
      <c r="F69" s="12"/>
      <c r="G69" s="12" t="s">
        <v>273</v>
      </c>
    </row>
    <row r="70" spans="1:7" x14ac:dyDescent="0.3">
      <c r="A70" s="12" t="s">
        <v>505</v>
      </c>
      <c r="B70" s="12" t="s">
        <v>64</v>
      </c>
      <c r="C70" s="12" t="s">
        <v>796</v>
      </c>
      <c r="D70" s="12" t="s">
        <v>1388</v>
      </c>
      <c r="E70" s="12">
        <v>7</v>
      </c>
      <c r="F70" s="12"/>
      <c r="G70" s="12" t="s">
        <v>273</v>
      </c>
    </row>
    <row r="71" spans="1:7" x14ac:dyDescent="0.3">
      <c r="A71" s="12" t="s">
        <v>505</v>
      </c>
      <c r="B71" s="12" t="s">
        <v>65</v>
      </c>
      <c r="C71" s="12" t="s">
        <v>796</v>
      </c>
      <c r="D71" s="12" t="s">
        <v>1399</v>
      </c>
      <c r="E71" s="12">
        <v>2</v>
      </c>
      <c r="F71" s="12"/>
      <c r="G71" s="12" t="s">
        <v>273</v>
      </c>
    </row>
    <row r="72" spans="1:7" x14ac:dyDescent="0.3">
      <c r="A72" s="12" t="s">
        <v>505</v>
      </c>
      <c r="B72" s="12" t="s">
        <v>66</v>
      </c>
      <c r="C72" s="12" t="s">
        <v>793</v>
      </c>
      <c r="D72" s="12" t="s">
        <v>795</v>
      </c>
      <c r="E72" s="12"/>
      <c r="F72" s="12" t="s">
        <v>749</v>
      </c>
      <c r="G72" s="12" t="s">
        <v>275</v>
      </c>
    </row>
    <row r="73" spans="1:7" x14ac:dyDescent="0.3">
      <c r="A73" s="12" t="s">
        <v>505</v>
      </c>
      <c r="B73" s="12" t="s">
        <v>803</v>
      </c>
      <c r="C73" s="12" t="s">
        <v>793</v>
      </c>
      <c r="D73" s="12" t="s">
        <v>804</v>
      </c>
      <c r="E73" s="12"/>
      <c r="F73" s="12"/>
      <c r="G73" s="12" t="s">
        <v>273</v>
      </c>
    </row>
    <row r="74" spans="1:7" x14ac:dyDescent="0.3">
      <c r="A74" s="12" t="s">
        <v>509</v>
      </c>
      <c r="B74" s="12" t="s">
        <v>49</v>
      </c>
      <c r="C74" s="12" t="s">
        <v>793</v>
      </c>
      <c r="D74" s="12" t="s">
        <v>794</v>
      </c>
      <c r="E74" s="12"/>
      <c r="F74" s="12" t="s">
        <v>749</v>
      </c>
      <c r="G74" s="12" t="s">
        <v>275</v>
      </c>
    </row>
    <row r="75" spans="1:7" x14ac:dyDescent="0.3">
      <c r="A75" s="12" t="s">
        <v>509</v>
      </c>
      <c r="B75" s="12" t="s">
        <v>51</v>
      </c>
      <c r="C75" s="12" t="s">
        <v>796</v>
      </c>
      <c r="D75" s="12" t="s">
        <v>1400</v>
      </c>
      <c r="E75" s="12">
        <v>3</v>
      </c>
      <c r="F75" s="12"/>
      <c r="G75" s="12" t="s">
        <v>275</v>
      </c>
    </row>
    <row r="76" spans="1:7" x14ac:dyDescent="0.3">
      <c r="A76" s="12" t="s">
        <v>509</v>
      </c>
      <c r="B76" s="12" t="s">
        <v>53</v>
      </c>
      <c r="C76" s="12" t="s">
        <v>796</v>
      </c>
      <c r="D76" s="12" t="s">
        <v>1401</v>
      </c>
      <c r="E76" s="12">
        <v>3</v>
      </c>
      <c r="F76" s="12"/>
      <c r="G76" s="12" t="s">
        <v>270</v>
      </c>
    </row>
    <row r="77" spans="1:7" x14ac:dyDescent="0.3">
      <c r="A77" s="12" t="s">
        <v>509</v>
      </c>
      <c r="B77" s="12" t="s">
        <v>54</v>
      </c>
      <c r="C77" s="12" t="s">
        <v>796</v>
      </c>
      <c r="D77" s="12" t="s">
        <v>1402</v>
      </c>
      <c r="E77" s="12">
        <v>4</v>
      </c>
      <c r="F77" s="12"/>
      <c r="G77" s="12" t="s">
        <v>270</v>
      </c>
    </row>
    <row r="78" spans="1:7" x14ac:dyDescent="0.3">
      <c r="A78" s="12" t="s">
        <v>509</v>
      </c>
      <c r="B78" s="12" t="s">
        <v>55</v>
      </c>
      <c r="C78" s="12" t="s">
        <v>793</v>
      </c>
      <c r="D78" s="12" t="s">
        <v>799</v>
      </c>
      <c r="E78" s="12"/>
      <c r="F78" s="12" t="s">
        <v>749</v>
      </c>
      <c r="G78" s="12" t="s">
        <v>273</v>
      </c>
    </row>
    <row r="79" spans="1:7" x14ac:dyDescent="0.3">
      <c r="A79" s="12" t="s">
        <v>509</v>
      </c>
      <c r="B79" s="12" t="s">
        <v>57</v>
      </c>
      <c r="C79" s="12" t="s">
        <v>793</v>
      </c>
      <c r="D79" s="12" t="s">
        <v>800</v>
      </c>
      <c r="E79" s="12"/>
      <c r="F79" s="12" t="s">
        <v>749</v>
      </c>
      <c r="G79" s="12" t="s">
        <v>283</v>
      </c>
    </row>
    <row r="80" spans="1:7" x14ac:dyDescent="0.3">
      <c r="A80" s="12" t="s">
        <v>509</v>
      </c>
      <c r="B80" s="12" t="s">
        <v>59</v>
      </c>
      <c r="C80" s="12" t="s">
        <v>796</v>
      </c>
      <c r="D80" s="12" t="s">
        <v>1403</v>
      </c>
      <c r="E80" s="12">
        <v>3</v>
      </c>
      <c r="F80" s="12"/>
      <c r="G80" s="12" t="s">
        <v>273</v>
      </c>
    </row>
    <row r="81" spans="1:7" x14ac:dyDescent="0.3">
      <c r="A81" s="12" t="s">
        <v>509</v>
      </c>
      <c r="B81" s="12" t="s">
        <v>61</v>
      </c>
      <c r="C81" s="12" t="s">
        <v>796</v>
      </c>
      <c r="D81" s="12" t="s">
        <v>1404</v>
      </c>
      <c r="E81" s="12">
        <v>3</v>
      </c>
      <c r="F81" s="12"/>
      <c r="G81" s="12" t="s">
        <v>273</v>
      </c>
    </row>
    <row r="82" spans="1:7" x14ac:dyDescent="0.3">
      <c r="A82" s="12" t="s">
        <v>509</v>
      </c>
      <c r="B82" s="12" t="s">
        <v>63</v>
      </c>
      <c r="C82" s="12" t="s">
        <v>796</v>
      </c>
      <c r="D82" s="12" t="s">
        <v>1405</v>
      </c>
      <c r="E82" s="12">
        <v>4</v>
      </c>
      <c r="F82" s="12"/>
      <c r="G82" s="12" t="s">
        <v>273</v>
      </c>
    </row>
    <row r="83" spans="1:7" x14ac:dyDescent="0.3">
      <c r="A83" s="12" t="s">
        <v>509</v>
      </c>
      <c r="B83" s="12" t="s">
        <v>64</v>
      </c>
      <c r="C83" s="12" t="s">
        <v>796</v>
      </c>
      <c r="D83" s="12" t="s">
        <v>1406</v>
      </c>
      <c r="E83" s="12">
        <v>7</v>
      </c>
      <c r="F83" s="12"/>
      <c r="G83" s="12" t="s">
        <v>273</v>
      </c>
    </row>
    <row r="84" spans="1:7" x14ac:dyDescent="0.3">
      <c r="A84" s="12" t="s">
        <v>509</v>
      </c>
      <c r="B84" s="12" t="s">
        <v>65</v>
      </c>
      <c r="C84" s="12" t="s">
        <v>796</v>
      </c>
      <c r="D84" s="12" t="s">
        <v>1407</v>
      </c>
      <c r="E84" s="12">
        <v>3</v>
      </c>
      <c r="F84" s="12"/>
      <c r="G84" s="12" t="s">
        <v>273</v>
      </c>
    </row>
    <row r="85" spans="1:7" x14ac:dyDescent="0.3">
      <c r="A85" s="12" t="s">
        <v>509</v>
      </c>
      <c r="B85" s="12" t="s">
        <v>66</v>
      </c>
      <c r="C85" s="12" t="s">
        <v>796</v>
      </c>
      <c r="D85" s="12" t="s">
        <v>1400</v>
      </c>
      <c r="E85" s="12">
        <v>3</v>
      </c>
      <c r="F85" s="12"/>
      <c r="G85" s="12" t="s">
        <v>275</v>
      </c>
    </row>
    <row r="86" spans="1:7" x14ac:dyDescent="0.3">
      <c r="A86" s="12" t="s">
        <v>509</v>
      </c>
      <c r="B86" s="12" t="s">
        <v>803</v>
      </c>
      <c r="C86" s="12" t="s">
        <v>793</v>
      </c>
      <c r="D86" s="12" t="s">
        <v>804</v>
      </c>
      <c r="E86" s="12"/>
      <c r="F86" s="12"/>
      <c r="G86" s="12" t="s">
        <v>273</v>
      </c>
    </row>
    <row r="88" spans="1:7" x14ac:dyDescent="0.3">
      <c r="A88" s="17" t="s">
        <v>1251</v>
      </c>
    </row>
  </sheetData>
  <autoFilter ref="A21:G86" xr:uid="{00000000-0009-0000-0000-000034000000}"/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K28"/>
  <sheetViews>
    <sheetView workbookViewId="0"/>
  </sheetViews>
  <sheetFormatPr baseColWidth="10" defaultColWidth="8.88671875" defaultRowHeight="14.4" x14ac:dyDescent="0.3"/>
  <cols>
    <col min="1" max="1" width="11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" ht="17.399999999999999" x14ac:dyDescent="0.35">
      <c r="A1" s="1" t="s">
        <v>1408</v>
      </c>
    </row>
    <row r="2" spans="1:1" x14ac:dyDescent="0.3">
      <c r="A2" t="s">
        <v>1358</v>
      </c>
    </row>
    <row r="3" spans="1:1" x14ac:dyDescent="0.3">
      <c r="A3" t="s">
        <v>1359</v>
      </c>
    </row>
    <row r="4" spans="1:1" x14ac:dyDescent="0.3">
      <c r="A4" s="8" t="s">
        <v>1360</v>
      </c>
    </row>
    <row r="5" spans="1:1" x14ac:dyDescent="0.3">
      <c r="A5" s="15" t="s">
        <v>717</v>
      </c>
    </row>
    <row r="6" spans="1:1" x14ac:dyDescent="0.3">
      <c r="A6" s="15" t="s">
        <v>1361</v>
      </c>
    </row>
    <row r="7" spans="1:1" x14ac:dyDescent="0.3">
      <c r="A7" s="8" t="s">
        <v>1362</v>
      </c>
    </row>
    <row r="8" spans="1:1" x14ac:dyDescent="0.3">
      <c r="A8" s="15" t="s">
        <v>717</v>
      </c>
    </row>
    <row r="9" spans="1:1" x14ac:dyDescent="0.3">
      <c r="A9" s="15" t="s">
        <v>1363</v>
      </c>
    </row>
    <row r="10" spans="1:1" x14ac:dyDescent="0.3">
      <c r="A10" s="8" t="s">
        <v>1364</v>
      </c>
    </row>
    <row r="11" spans="1:1" x14ac:dyDescent="0.3">
      <c r="A11" s="15" t="s">
        <v>722</v>
      </c>
    </row>
    <row r="12" spans="1:1" x14ac:dyDescent="0.3">
      <c r="A12" s="15" t="s">
        <v>1365</v>
      </c>
    </row>
    <row r="13" spans="1:1" x14ac:dyDescent="0.3">
      <c r="A13" s="8" t="s">
        <v>1366</v>
      </c>
    </row>
    <row r="14" spans="1:1" x14ac:dyDescent="0.3">
      <c r="A14" s="15" t="s">
        <v>729</v>
      </c>
    </row>
    <row r="15" spans="1:1" x14ac:dyDescent="0.3">
      <c r="A15" s="15" t="s">
        <v>1367</v>
      </c>
    </row>
    <row r="16" spans="1:1" x14ac:dyDescent="0.3">
      <c r="A16" s="8" t="s">
        <v>1368</v>
      </c>
    </row>
    <row r="17" spans="1:11" x14ac:dyDescent="0.3">
      <c r="A17" s="15" t="s">
        <v>735</v>
      </c>
    </row>
    <row r="18" spans="1:11" x14ac:dyDescent="0.3">
      <c r="A18" s="15" t="s">
        <v>1369</v>
      </c>
    </row>
    <row r="19" spans="1:11" x14ac:dyDescent="0.3">
      <c r="A19" t="s">
        <v>811</v>
      </c>
    </row>
    <row r="21" spans="1:11" x14ac:dyDescent="0.3">
      <c r="A21" s="16" t="s">
        <v>360</v>
      </c>
      <c r="B21" s="16" t="s">
        <v>30</v>
      </c>
      <c r="C21" s="16" t="s">
        <v>812</v>
      </c>
      <c r="D21" s="16" t="s">
        <v>813</v>
      </c>
      <c r="E21" s="16" t="s">
        <v>32</v>
      </c>
      <c r="F21" s="16" t="s">
        <v>33</v>
      </c>
      <c r="G21" s="16" t="s">
        <v>814</v>
      </c>
      <c r="H21" s="16" t="s">
        <v>815</v>
      </c>
      <c r="I21" s="16" t="s">
        <v>816</v>
      </c>
      <c r="J21" s="16" t="s">
        <v>295</v>
      </c>
      <c r="K21" s="16" t="s">
        <v>817</v>
      </c>
    </row>
    <row r="22" spans="1:11" x14ac:dyDescent="0.3">
      <c r="A22" s="12" t="s">
        <v>474</v>
      </c>
      <c r="B22" s="12">
        <v>117</v>
      </c>
      <c r="C22" s="12">
        <v>0</v>
      </c>
      <c r="D22" s="12">
        <v>117</v>
      </c>
      <c r="E22" s="12">
        <v>102</v>
      </c>
      <c r="F22" s="12">
        <v>98</v>
      </c>
      <c r="G22" s="12">
        <v>15</v>
      </c>
      <c r="H22" s="12">
        <v>0</v>
      </c>
      <c r="I22" s="12">
        <v>0</v>
      </c>
      <c r="J22" s="12">
        <v>0</v>
      </c>
      <c r="K22" s="12">
        <v>6</v>
      </c>
    </row>
    <row r="23" spans="1:11" x14ac:dyDescent="0.3">
      <c r="A23" s="12" t="s">
        <v>485</v>
      </c>
      <c r="B23" s="12">
        <v>105</v>
      </c>
      <c r="C23" s="12">
        <v>0</v>
      </c>
      <c r="D23" s="12">
        <v>104</v>
      </c>
      <c r="E23" s="12">
        <v>63</v>
      </c>
      <c r="F23" s="12">
        <v>63</v>
      </c>
      <c r="G23" s="12">
        <v>41</v>
      </c>
      <c r="H23" s="12">
        <v>0</v>
      </c>
      <c r="I23" s="12">
        <v>1</v>
      </c>
      <c r="J23" s="12">
        <v>0</v>
      </c>
      <c r="K23" s="12">
        <v>6</v>
      </c>
    </row>
    <row r="24" spans="1:11" x14ac:dyDescent="0.3">
      <c r="A24" s="12" t="s">
        <v>496</v>
      </c>
      <c r="B24" s="12">
        <v>112</v>
      </c>
      <c r="C24" s="12">
        <v>0</v>
      </c>
      <c r="D24" s="12">
        <v>105</v>
      </c>
      <c r="E24" s="12">
        <v>91</v>
      </c>
      <c r="F24" s="12">
        <v>90</v>
      </c>
      <c r="G24" s="12">
        <v>14</v>
      </c>
      <c r="H24" s="12">
        <v>0</v>
      </c>
      <c r="I24" s="12">
        <v>7</v>
      </c>
      <c r="J24" s="12">
        <v>0</v>
      </c>
      <c r="K24" s="12">
        <v>1</v>
      </c>
    </row>
    <row r="25" spans="1:11" x14ac:dyDescent="0.3">
      <c r="A25" s="12" t="s">
        <v>505</v>
      </c>
      <c r="B25" s="12">
        <v>113</v>
      </c>
      <c r="C25" s="12">
        <v>0</v>
      </c>
      <c r="D25" s="12">
        <v>113</v>
      </c>
      <c r="E25" s="12">
        <v>80</v>
      </c>
      <c r="F25" s="12">
        <v>80</v>
      </c>
      <c r="G25" s="12">
        <v>33</v>
      </c>
      <c r="H25" s="12">
        <v>0</v>
      </c>
      <c r="I25" s="12">
        <v>0</v>
      </c>
      <c r="J25" s="12">
        <v>0</v>
      </c>
      <c r="K25" s="12">
        <v>7</v>
      </c>
    </row>
    <row r="26" spans="1:11" x14ac:dyDescent="0.3">
      <c r="A26" s="12" t="s">
        <v>509</v>
      </c>
      <c r="B26" s="12">
        <v>113</v>
      </c>
      <c r="C26" s="12">
        <v>0</v>
      </c>
      <c r="D26" s="12">
        <v>110</v>
      </c>
      <c r="E26" s="12">
        <v>83</v>
      </c>
      <c r="F26" s="12">
        <v>0</v>
      </c>
      <c r="G26" s="12">
        <v>27</v>
      </c>
      <c r="H26" s="12">
        <v>0</v>
      </c>
      <c r="I26" s="12">
        <v>2</v>
      </c>
      <c r="J26" s="12">
        <v>1</v>
      </c>
      <c r="K26" s="12">
        <v>111</v>
      </c>
    </row>
    <row r="28" spans="1:11" x14ac:dyDescent="0.3">
      <c r="A28" s="17" t="s">
        <v>1253</v>
      </c>
    </row>
  </sheetData>
  <autoFilter ref="A21:K26" xr:uid="{00000000-0009-0000-0000-000035000000}"/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V28"/>
  <sheetViews>
    <sheetView workbookViewId="0"/>
  </sheetViews>
  <sheetFormatPr baseColWidth="10" defaultColWidth="8.88671875" defaultRowHeight="14.4" x14ac:dyDescent="0.3"/>
  <cols>
    <col min="1" max="1" width="10" customWidth="1"/>
    <col min="2" max="2" width="17" customWidth="1"/>
    <col min="3" max="3" width="26" customWidth="1"/>
    <col min="4" max="4" width="37" customWidth="1"/>
    <col min="5" max="5" width="41" customWidth="1"/>
    <col min="6" max="6" width="40" customWidth="1"/>
    <col min="7" max="7" width="42" customWidth="1"/>
    <col min="8" max="9" width="31" customWidth="1"/>
    <col min="10" max="10" width="48" customWidth="1"/>
    <col min="11" max="11" width="47" customWidth="1"/>
    <col min="12" max="12" width="45" customWidth="1"/>
    <col min="13" max="13" width="48" customWidth="1"/>
    <col min="14" max="14" width="40" customWidth="1"/>
    <col min="15" max="15" width="41" customWidth="1"/>
    <col min="16" max="18" width="15" customWidth="1"/>
    <col min="19" max="19" width="16" customWidth="1"/>
    <col min="20" max="20" width="14" customWidth="1"/>
    <col min="21" max="21" width="13" customWidth="1"/>
    <col min="22" max="22" width="14" customWidth="1"/>
  </cols>
  <sheetData>
    <row r="1" spans="1:1" ht="17.399999999999999" x14ac:dyDescent="0.35">
      <c r="A1" s="1" t="s">
        <v>1409</v>
      </c>
    </row>
    <row r="2" spans="1:1" x14ac:dyDescent="0.3">
      <c r="A2" t="s">
        <v>1358</v>
      </c>
    </row>
    <row r="3" spans="1:1" x14ac:dyDescent="0.3">
      <c r="A3" t="s">
        <v>1359</v>
      </c>
    </row>
    <row r="4" spans="1:1" x14ac:dyDescent="0.3">
      <c r="A4" s="8" t="s">
        <v>1360</v>
      </c>
    </row>
    <row r="5" spans="1:1" x14ac:dyDescent="0.3">
      <c r="A5" s="15" t="s">
        <v>717</v>
      </c>
    </row>
    <row r="6" spans="1:1" x14ac:dyDescent="0.3">
      <c r="A6" s="15" t="s">
        <v>1361</v>
      </c>
    </row>
    <row r="7" spans="1:1" x14ac:dyDescent="0.3">
      <c r="A7" s="8" t="s">
        <v>1362</v>
      </c>
    </row>
    <row r="8" spans="1:1" x14ac:dyDescent="0.3">
      <c r="A8" s="15" t="s">
        <v>717</v>
      </c>
    </row>
    <row r="9" spans="1:1" x14ac:dyDescent="0.3">
      <c r="A9" s="15" t="s">
        <v>1363</v>
      </c>
    </row>
    <row r="10" spans="1:1" x14ac:dyDescent="0.3">
      <c r="A10" s="8" t="s">
        <v>1364</v>
      </c>
    </row>
    <row r="11" spans="1:1" x14ac:dyDescent="0.3">
      <c r="A11" s="15" t="s">
        <v>722</v>
      </c>
    </row>
    <row r="12" spans="1:1" x14ac:dyDescent="0.3">
      <c r="A12" s="15" t="s">
        <v>1365</v>
      </c>
    </row>
    <row r="13" spans="1:1" x14ac:dyDescent="0.3">
      <c r="A13" s="8" t="s">
        <v>1366</v>
      </c>
    </row>
    <row r="14" spans="1:1" x14ac:dyDescent="0.3">
      <c r="A14" s="15" t="s">
        <v>729</v>
      </c>
    </row>
    <row r="15" spans="1:1" x14ac:dyDescent="0.3">
      <c r="A15" s="15" t="s">
        <v>1367</v>
      </c>
    </row>
    <row r="16" spans="1:1" x14ac:dyDescent="0.3">
      <c r="A16" s="8" t="s">
        <v>1368</v>
      </c>
    </row>
    <row r="17" spans="1:22" x14ac:dyDescent="0.3">
      <c r="A17" s="15" t="s">
        <v>735</v>
      </c>
    </row>
    <row r="18" spans="1:22" x14ac:dyDescent="0.3">
      <c r="A18" s="15" t="s">
        <v>1369</v>
      </c>
    </row>
    <row r="19" spans="1:22" x14ac:dyDescent="0.3">
      <c r="A19" t="s">
        <v>1410</v>
      </c>
    </row>
    <row r="21" spans="1:22" x14ac:dyDescent="0.3">
      <c r="A21" s="16" t="s">
        <v>1411</v>
      </c>
      <c r="B21" s="16" t="s">
        <v>1412</v>
      </c>
      <c r="C21" s="16" t="s">
        <v>1413</v>
      </c>
      <c r="D21" s="16" t="s">
        <v>1414</v>
      </c>
      <c r="E21" s="16" t="s">
        <v>1415</v>
      </c>
      <c r="F21" s="16" t="s">
        <v>49</v>
      </c>
      <c r="G21" s="16" t="s">
        <v>51</v>
      </c>
      <c r="H21" s="16" t="s">
        <v>53</v>
      </c>
      <c r="I21" s="16" t="s">
        <v>54</v>
      </c>
      <c r="J21" s="16" t="s">
        <v>55</v>
      </c>
      <c r="K21" s="16" t="s">
        <v>59</v>
      </c>
      <c r="L21" s="16" t="s">
        <v>61</v>
      </c>
      <c r="M21" s="16" t="s">
        <v>63</v>
      </c>
      <c r="N21" s="16" t="s">
        <v>64</v>
      </c>
      <c r="O21" s="16" t="s">
        <v>65</v>
      </c>
      <c r="P21" s="16" t="s">
        <v>1416</v>
      </c>
      <c r="Q21" s="16" t="s">
        <v>1417</v>
      </c>
      <c r="R21" s="16" t="s">
        <v>1418</v>
      </c>
      <c r="S21" s="16" t="s">
        <v>817</v>
      </c>
      <c r="T21" s="16" t="s">
        <v>1317</v>
      </c>
      <c r="U21" s="16" t="s">
        <v>1353</v>
      </c>
      <c r="V21" s="16" t="s">
        <v>1419</v>
      </c>
    </row>
    <row r="22" spans="1:22" x14ac:dyDescent="0.3">
      <c r="A22" s="12" t="s">
        <v>1420</v>
      </c>
      <c r="B22" s="26" t="s">
        <v>32</v>
      </c>
      <c r="C22" s="25">
        <v>0</v>
      </c>
      <c r="D22" s="21">
        <v>14.978</v>
      </c>
      <c r="E22" s="12">
        <v>111.12</v>
      </c>
      <c r="F22" s="24">
        <v>436.1</v>
      </c>
      <c r="G22" s="24">
        <v>279.10000000000002</v>
      </c>
      <c r="H22" s="23">
        <v>4381.8</v>
      </c>
      <c r="I22" s="24">
        <v>808.34</v>
      </c>
      <c r="J22" s="25">
        <v>0.70474999999999999</v>
      </c>
      <c r="K22" s="25">
        <v>0.95</v>
      </c>
      <c r="L22" s="25">
        <v>0.74607999999999997</v>
      </c>
      <c r="M22" s="25">
        <v>0.67773000000000005</v>
      </c>
      <c r="N22" s="25">
        <v>0.94152999999999998</v>
      </c>
      <c r="O22" s="25">
        <v>0.84182999999999997</v>
      </c>
      <c r="P22" s="25">
        <v>1.7919999999999998E-2</v>
      </c>
      <c r="Q22" s="24">
        <v>0.42314000000000002</v>
      </c>
      <c r="R22" s="25">
        <v>0.47750999999999999</v>
      </c>
      <c r="S22" s="12" t="s">
        <v>948</v>
      </c>
      <c r="T22" s="12" t="s">
        <v>749</v>
      </c>
      <c r="U22" s="12">
        <v>6</v>
      </c>
      <c r="V22" s="12">
        <v>117</v>
      </c>
    </row>
    <row r="23" spans="1:22" x14ac:dyDescent="0.3">
      <c r="A23" s="12" t="s">
        <v>1421</v>
      </c>
      <c r="B23" s="26" t="s">
        <v>32</v>
      </c>
      <c r="C23" s="25">
        <v>0</v>
      </c>
      <c r="D23" s="21">
        <v>15.481999999999999</v>
      </c>
      <c r="E23" s="12">
        <v>74.224000000000004</v>
      </c>
      <c r="F23" s="24">
        <v>420</v>
      </c>
      <c r="G23" s="24">
        <v>278.14999999999998</v>
      </c>
      <c r="H23" s="23">
        <v>3000</v>
      </c>
      <c r="I23" s="24">
        <v>393.75</v>
      </c>
      <c r="J23" s="25">
        <v>0.5</v>
      </c>
      <c r="K23" s="25">
        <v>0.95</v>
      </c>
      <c r="L23" s="25">
        <v>0.75</v>
      </c>
      <c r="M23" s="25">
        <v>0.85</v>
      </c>
      <c r="N23" s="25">
        <v>0.95</v>
      </c>
      <c r="O23" s="25">
        <v>0.8</v>
      </c>
      <c r="P23" s="25">
        <v>4.6909999999999999E-3</v>
      </c>
      <c r="Q23" s="24">
        <v>3.8111000000000002</v>
      </c>
      <c r="R23" s="25">
        <v>0.25336999999999998</v>
      </c>
      <c r="S23" s="12" t="s">
        <v>948</v>
      </c>
      <c r="T23" s="12" t="s">
        <v>749</v>
      </c>
      <c r="U23" s="12">
        <v>6</v>
      </c>
      <c r="V23" s="12">
        <v>105</v>
      </c>
    </row>
    <row r="24" spans="1:22" x14ac:dyDescent="0.3">
      <c r="A24" s="12" t="s">
        <v>1422</v>
      </c>
      <c r="B24" s="26" t="s">
        <v>32</v>
      </c>
      <c r="C24" s="25">
        <v>0</v>
      </c>
      <c r="D24" s="21">
        <v>12.739000000000001</v>
      </c>
      <c r="E24" s="12">
        <v>129.38999999999999</v>
      </c>
      <c r="F24" s="24">
        <v>623.15</v>
      </c>
      <c r="G24" s="24">
        <v>300.02999999999997</v>
      </c>
      <c r="H24" s="23">
        <v>5000</v>
      </c>
      <c r="I24" s="23">
        <v>1359.6</v>
      </c>
      <c r="J24" s="25">
        <v>0.85</v>
      </c>
      <c r="K24" s="25">
        <v>0.94606000000000001</v>
      </c>
      <c r="L24" s="25">
        <v>0.83753</v>
      </c>
      <c r="M24" s="25">
        <v>0.49636999999999998</v>
      </c>
      <c r="N24" s="25">
        <v>0.91668000000000005</v>
      </c>
      <c r="O24" s="25">
        <v>0.94579000000000002</v>
      </c>
      <c r="P24" s="25">
        <v>3.0675000000000001E-2</v>
      </c>
      <c r="Q24" s="24">
        <v>3.8054000000000001</v>
      </c>
      <c r="R24" s="25">
        <v>0.26429999999999998</v>
      </c>
      <c r="S24" s="12" t="s">
        <v>948</v>
      </c>
      <c r="T24" s="12" t="s">
        <v>749</v>
      </c>
      <c r="U24" s="12">
        <v>7</v>
      </c>
      <c r="V24" s="12">
        <v>112</v>
      </c>
    </row>
    <row r="25" spans="1:22" x14ac:dyDescent="0.3">
      <c r="A25" s="12" t="s">
        <v>1423</v>
      </c>
      <c r="B25" s="26" t="s">
        <v>32</v>
      </c>
      <c r="C25" s="25">
        <v>0</v>
      </c>
      <c r="D25" s="21">
        <v>15.6</v>
      </c>
      <c r="E25" s="12">
        <v>71.376999999999995</v>
      </c>
      <c r="F25" s="24">
        <v>415</v>
      </c>
      <c r="G25" s="24">
        <v>300.02999999999997</v>
      </c>
      <c r="H25" s="23">
        <v>3000</v>
      </c>
      <c r="I25" s="24">
        <v>400</v>
      </c>
      <c r="J25" s="25">
        <v>0.5</v>
      </c>
      <c r="K25" s="25">
        <v>0.95</v>
      </c>
      <c r="L25" s="25">
        <v>0.80500000000000005</v>
      </c>
      <c r="M25" s="25">
        <v>0.95</v>
      </c>
      <c r="N25" s="25">
        <v>0.95</v>
      </c>
      <c r="O25" s="25">
        <v>0.95</v>
      </c>
      <c r="P25" s="25">
        <v>5.8212999999999997E-3</v>
      </c>
      <c r="Q25" s="24">
        <v>0.12479</v>
      </c>
      <c r="R25" s="25">
        <v>0.24565999999999999</v>
      </c>
      <c r="S25" s="12" t="s">
        <v>948</v>
      </c>
      <c r="T25" s="12" t="s">
        <v>749</v>
      </c>
      <c r="U25" s="12">
        <v>10</v>
      </c>
      <c r="V25" s="12">
        <v>113</v>
      </c>
    </row>
    <row r="26" spans="1:22" x14ac:dyDescent="0.3">
      <c r="A26" s="12" t="s">
        <v>1424</v>
      </c>
      <c r="B26" s="26" t="s">
        <v>32</v>
      </c>
      <c r="C26" s="25">
        <v>0</v>
      </c>
      <c r="D26" s="21">
        <v>11.093999999999999</v>
      </c>
      <c r="E26" s="12">
        <v>120.01</v>
      </c>
      <c r="F26" s="24">
        <v>623.15</v>
      </c>
      <c r="G26" s="24">
        <v>302.58</v>
      </c>
      <c r="H26" s="23">
        <v>4808.3</v>
      </c>
      <c r="I26" s="23">
        <v>1022.3</v>
      </c>
      <c r="J26" s="25">
        <v>0.5</v>
      </c>
      <c r="K26" s="25">
        <v>0.92249000000000003</v>
      </c>
      <c r="L26" s="25">
        <v>0.57606999999999997</v>
      </c>
      <c r="M26" s="25">
        <v>0.46229999999999999</v>
      </c>
      <c r="N26" s="25">
        <v>0.68511</v>
      </c>
      <c r="O26" s="25">
        <v>0.87841999999999998</v>
      </c>
      <c r="P26" s="25">
        <v>5.7972999999999998E-4</v>
      </c>
      <c r="Q26" s="24">
        <v>5.6585999999999999</v>
      </c>
      <c r="R26" s="25">
        <v>0.48769000000000001</v>
      </c>
      <c r="S26" s="12" t="s">
        <v>749</v>
      </c>
      <c r="T26" s="12" t="s">
        <v>749</v>
      </c>
      <c r="U26" s="12">
        <v>7</v>
      </c>
      <c r="V26" s="12">
        <v>113</v>
      </c>
    </row>
    <row r="28" spans="1:22" x14ac:dyDescent="0.3">
      <c r="A28" s="17" t="s">
        <v>1253</v>
      </c>
    </row>
  </sheetData>
  <autoFilter ref="A21:V26" xr:uid="{00000000-0009-0000-0000-000036000000}"/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G289"/>
  <sheetViews>
    <sheetView workbookViewId="0"/>
  </sheetViews>
  <sheetFormatPr baseColWidth="10" defaultColWidth="8.88671875" defaultRowHeight="14.4" x14ac:dyDescent="0.3"/>
  <cols>
    <col min="1" max="1" width="23" customWidth="1"/>
    <col min="2" max="2" width="48" customWidth="1"/>
    <col min="3" max="3" width="10" customWidth="1"/>
    <col min="4" max="4" width="15" customWidth="1"/>
    <col min="5" max="5" width="11" customWidth="1"/>
    <col min="6" max="6" width="21" customWidth="1"/>
    <col min="7" max="7" width="10" customWidth="1"/>
  </cols>
  <sheetData>
    <row r="1" spans="1:1" ht="17.399999999999999" x14ac:dyDescent="0.35">
      <c r="A1" s="1" t="s">
        <v>1425</v>
      </c>
    </row>
    <row r="2" spans="1:1" x14ac:dyDescent="0.3">
      <c r="A2" t="s">
        <v>1426</v>
      </c>
    </row>
    <row r="3" spans="1:1" x14ac:dyDescent="0.3">
      <c r="A3" t="s">
        <v>1427</v>
      </c>
    </row>
    <row r="4" spans="1:1" x14ac:dyDescent="0.3">
      <c r="A4" s="8" t="s">
        <v>1428</v>
      </c>
    </row>
    <row r="5" spans="1:1" x14ac:dyDescent="0.3">
      <c r="A5" s="8" t="s">
        <v>1429</v>
      </c>
    </row>
    <row r="6" spans="1:1" x14ac:dyDescent="0.3">
      <c r="A6" s="8" t="s">
        <v>1430</v>
      </c>
    </row>
    <row r="7" spans="1:1" x14ac:dyDescent="0.3">
      <c r="A7" s="8" t="s">
        <v>1431</v>
      </c>
    </row>
    <row r="8" spans="1:1" x14ac:dyDescent="0.3">
      <c r="A8" s="8" t="s">
        <v>1432</v>
      </c>
    </row>
    <row r="9" spans="1:1" x14ac:dyDescent="0.3">
      <c r="A9" s="8" t="s">
        <v>1433</v>
      </c>
    </row>
    <row r="10" spans="1:1" x14ac:dyDescent="0.3">
      <c r="A10" s="8" t="s">
        <v>1434</v>
      </c>
    </row>
    <row r="11" spans="1:1" x14ac:dyDescent="0.3">
      <c r="A11" s="8" t="s">
        <v>1435</v>
      </c>
    </row>
    <row r="12" spans="1:1" x14ac:dyDescent="0.3">
      <c r="A12" s="8" t="s">
        <v>1436</v>
      </c>
    </row>
    <row r="13" spans="1:1" x14ac:dyDescent="0.3">
      <c r="A13" s="8" t="s">
        <v>1437</v>
      </c>
    </row>
    <row r="14" spans="1:1" x14ac:dyDescent="0.3">
      <c r="A14" s="8" t="s">
        <v>1438</v>
      </c>
    </row>
    <row r="15" spans="1:1" x14ac:dyDescent="0.3">
      <c r="A15" s="8" t="s">
        <v>1439</v>
      </c>
    </row>
    <row r="16" spans="1:1" x14ac:dyDescent="0.3">
      <c r="A16" s="8" t="s">
        <v>1440</v>
      </c>
    </row>
    <row r="17" spans="1:7" x14ac:dyDescent="0.3">
      <c r="A17" s="8" t="s">
        <v>1441</v>
      </c>
    </row>
    <row r="18" spans="1:7" x14ac:dyDescent="0.3">
      <c r="A18" s="8" t="s">
        <v>1442</v>
      </c>
    </row>
    <row r="19" spans="1:7" x14ac:dyDescent="0.3">
      <c r="A19" s="8" t="s">
        <v>1443</v>
      </c>
    </row>
    <row r="20" spans="1:7" x14ac:dyDescent="0.3">
      <c r="A20" s="8" t="s">
        <v>1444</v>
      </c>
    </row>
    <row r="21" spans="1:7" x14ac:dyDescent="0.3">
      <c r="A21" s="8" t="s">
        <v>1445</v>
      </c>
    </row>
    <row r="22" spans="1:7" x14ac:dyDescent="0.3">
      <c r="A22" s="8" t="s">
        <v>1446</v>
      </c>
    </row>
    <row r="23" spans="1:7" x14ac:dyDescent="0.3">
      <c r="A23" s="8" t="s">
        <v>1447</v>
      </c>
    </row>
    <row r="24" spans="1:7" x14ac:dyDescent="0.3">
      <c r="A24" s="15" t="s">
        <v>1448</v>
      </c>
    </row>
    <row r="25" spans="1:7" x14ac:dyDescent="0.3">
      <c r="A25" t="s">
        <v>788</v>
      </c>
    </row>
    <row r="27" spans="1:7" x14ac:dyDescent="0.3">
      <c r="A27" s="16" t="s">
        <v>360</v>
      </c>
      <c r="B27" s="16" t="s">
        <v>712</v>
      </c>
      <c r="C27" s="16" t="s">
        <v>789</v>
      </c>
      <c r="D27" s="16" t="s">
        <v>790</v>
      </c>
      <c r="E27" s="16" t="s">
        <v>791</v>
      </c>
      <c r="F27" s="16" t="s">
        <v>792</v>
      </c>
      <c r="G27" s="16" t="s">
        <v>266</v>
      </c>
    </row>
    <row r="28" spans="1:7" x14ac:dyDescent="0.3">
      <c r="A28" s="12" t="s">
        <v>532</v>
      </c>
      <c r="B28" s="12" t="s">
        <v>49</v>
      </c>
      <c r="C28" s="12" t="s">
        <v>793</v>
      </c>
      <c r="D28" s="12" t="s">
        <v>794</v>
      </c>
      <c r="E28" s="12"/>
      <c r="F28" s="12" t="s">
        <v>749</v>
      </c>
      <c r="G28" s="12" t="s">
        <v>275</v>
      </c>
    </row>
    <row r="29" spans="1:7" x14ac:dyDescent="0.3">
      <c r="A29" s="12" t="s">
        <v>532</v>
      </c>
      <c r="B29" s="12" t="s">
        <v>51</v>
      </c>
      <c r="C29" s="12" t="s">
        <v>796</v>
      </c>
      <c r="D29" s="12" t="s">
        <v>1173</v>
      </c>
      <c r="E29" s="12">
        <v>100</v>
      </c>
      <c r="F29" s="12"/>
      <c r="G29" s="12" t="s">
        <v>275</v>
      </c>
    </row>
    <row r="30" spans="1:7" x14ac:dyDescent="0.3">
      <c r="A30" s="12" t="s">
        <v>532</v>
      </c>
      <c r="B30" s="12" t="s">
        <v>53</v>
      </c>
      <c r="C30" s="12" t="s">
        <v>796</v>
      </c>
      <c r="D30" s="12" t="s">
        <v>1449</v>
      </c>
      <c r="E30" s="12">
        <v>100</v>
      </c>
      <c r="F30" s="12"/>
      <c r="G30" s="12" t="s">
        <v>270</v>
      </c>
    </row>
    <row r="31" spans="1:7" x14ac:dyDescent="0.3">
      <c r="A31" s="12" t="s">
        <v>532</v>
      </c>
      <c r="B31" s="12" t="s">
        <v>54</v>
      </c>
      <c r="C31" s="12" t="s">
        <v>796</v>
      </c>
      <c r="D31" s="12" t="s">
        <v>1450</v>
      </c>
      <c r="E31" s="12">
        <v>100</v>
      </c>
      <c r="F31" s="12"/>
      <c r="G31" s="12" t="s">
        <v>270</v>
      </c>
    </row>
    <row r="32" spans="1:7" x14ac:dyDescent="0.3">
      <c r="A32" s="12" t="s">
        <v>532</v>
      </c>
      <c r="B32" s="12" t="s">
        <v>55</v>
      </c>
      <c r="C32" s="12" t="s">
        <v>796</v>
      </c>
      <c r="D32" s="12" t="s">
        <v>1451</v>
      </c>
      <c r="E32" s="12">
        <v>100</v>
      </c>
      <c r="F32" s="12"/>
      <c r="G32" s="12" t="s">
        <v>273</v>
      </c>
    </row>
    <row r="33" spans="1:7" x14ac:dyDescent="0.3">
      <c r="A33" s="12" t="s">
        <v>532</v>
      </c>
      <c r="B33" s="12" t="s">
        <v>57</v>
      </c>
      <c r="C33" s="12" t="s">
        <v>793</v>
      </c>
      <c r="D33" s="12" t="s">
        <v>800</v>
      </c>
      <c r="E33" s="12"/>
      <c r="F33" s="12" t="s">
        <v>749</v>
      </c>
      <c r="G33" s="12" t="s">
        <v>283</v>
      </c>
    </row>
    <row r="34" spans="1:7" x14ac:dyDescent="0.3">
      <c r="A34" s="12" t="s">
        <v>532</v>
      </c>
      <c r="B34" s="12" t="s">
        <v>59</v>
      </c>
      <c r="C34" s="12" t="s">
        <v>796</v>
      </c>
      <c r="D34" s="12" t="s">
        <v>1238</v>
      </c>
      <c r="E34" s="12">
        <v>100</v>
      </c>
      <c r="F34" s="12"/>
      <c r="G34" s="12" t="s">
        <v>273</v>
      </c>
    </row>
    <row r="35" spans="1:7" x14ac:dyDescent="0.3">
      <c r="A35" s="12" t="s">
        <v>532</v>
      </c>
      <c r="B35" s="12" t="s">
        <v>61</v>
      </c>
      <c r="C35" s="12" t="s">
        <v>796</v>
      </c>
      <c r="D35" s="12" t="s">
        <v>969</v>
      </c>
      <c r="E35" s="12">
        <v>100</v>
      </c>
      <c r="F35" s="12"/>
      <c r="G35" s="12" t="s">
        <v>273</v>
      </c>
    </row>
    <row r="36" spans="1:7" x14ac:dyDescent="0.3">
      <c r="A36" s="12" t="s">
        <v>532</v>
      </c>
      <c r="B36" s="12" t="s">
        <v>63</v>
      </c>
      <c r="C36" s="12" t="s">
        <v>796</v>
      </c>
      <c r="D36" s="12" t="s">
        <v>1452</v>
      </c>
      <c r="E36" s="12">
        <v>100</v>
      </c>
      <c r="F36" s="12"/>
      <c r="G36" s="12" t="s">
        <v>273</v>
      </c>
    </row>
    <row r="37" spans="1:7" x14ac:dyDescent="0.3">
      <c r="A37" s="12" t="s">
        <v>532</v>
      </c>
      <c r="B37" s="12" t="s">
        <v>64</v>
      </c>
      <c r="C37" s="12" t="s">
        <v>796</v>
      </c>
      <c r="D37" s="12" t="s">
        <v>1250</v>
      </c>
      <c r="E37" s="12">
        <v>100</v>
      </c>
      <c r="F37" s="12"/>
      <c r="G37" s="12" t="s">
        <v>273</v>
      </c>
    </row>
    <row r="38" spans="1:7" x14ac:dyDescent="0.3">
      <c r="A38" s="12" t="s">
        <v>532</v>
      </c>
      <c r="B38" s="12" t="s">
        <v>65</v>
      </c>
      <c r="C38" s="12" t="s">
        <v>796</v>
      </c>
      <c r="D38" s="12" t="s">
        <v>1453</v>
      </c>
      <c r="E38" s="12">
        <v>100</v>
      </c>
      <c r="F38" s="12"/>
      <c r="G38" s="12" t="s">
        <v>273</v>
      </c>
    </row>
    <row r="39" spans="1:7" x14ac:dyDescent="0.3">
      <c r="A39" s="12" t="s">
        <v>532</v>
      </c>
      <c r="B39" s="12" t="s">
        <v>66</v>
      </c>
      <c r="C39" s="12" t="s">
        <v>796</v>
      </c>
      <c r="D39" s="12" t="s">
        <v>1173</v>
      </c>
      <c r="E39" s="12">
        <v>100</v>
      </c>
      <c r="F39" s="12"/>
      <c r="G39" s="12" t="s">
        <v>275</v>
      </c>
    </row>
    <row r="40" spans="1:7" x14ac:dyDescent="0.3">
      <c r="A40" s="12" t="s">
        <v>532</v>
      </c>
      <c r="B40" s="12" t="s">
        <v>803</v>
      </c>
      <c r="C40" s="12" t="s">
        <v>793</v>
      </c>
      <c r="D40" s="12" t="s">
        <v>804</v>
      </c>
      <c r="E40" s="12"/>
      <c r="F40" s="12"/>
      <c r="G40" s="12" t="s">
        <v>273</v>
      </c>
    </row>
    <row r="41" spans="1:7" x14ac:dyDescent="0.3">
      <c r="A41" s="12" t="s">
        <v>542</v>
      </c>
      <c r="B41" s="12" t="s">
        <v>49</v>
      </c>
      <c r="C41" s="12" t="s">
        <v>796</v>
      </c>
      <c r="D41" s="12" t="s">
        <v>1454</v>
      </c>
      <c r="E41" s="12">
        <v>100</v>
      </c>
      <c r="F41" s="12"/>
      <c r="G41" s="12" t="s">
        <v>275</v>
      </c>
    </row>
    <row r="42" spans="1:7" x14ac:dyDescent="0.3">
      <c r="A42" s="12" t="s">
        <v>542</v>
      </c>
      <c r="B42" s="12" t="s">
        <v>51</v>
      </c>
      <c r="C42" s="12" t="s">
        <v>796</v>
      </c>
      <c r="D42" s="12" t="s">
        <v>1090</v>
      </c>
      <c r="E42" s="12">
        <v>100</v>
      </c>
      <c r="F42" s="12"/>
      <c r="G42" s="12" t="s">
        <v>275</v>
      </c>
    </row>
    <row r="43" spans="1:7" x14ac:dyDescent="0.3">
      <c r="A43" s="12" t="s">
        <v>542</v>
      </c>
      <c r="B43" s="12" t="s">
        <v>53</v>
      </c>
      <c r="C43" s="12" t="s">
        <v>796</v>
      </c>
      <c r="D43" s="12" t="s">
        <v>1455</v>
      </c>
      <c r="E43" s="12">
        <v>100</v>
      </c>
      <c r="F43" s="12"/>
      <c r="G43" s="12" t="s">
        <v>270</v>
      </c>
    </row>
    <row r="44" spans="1:7" x14ac:dyDescent="0.3">
      <c r="A44" s="12" t="s">
        <v>542</v>
      </c>
      <c r="B44" s="12" t="s">
        <v>54</v>
      </c>
      <c r="C44" s="12" t="s">
        <v>796</v>
      </c>
      <c r="D44" s="12" t="s">
        <v>1456</v>
      </c>
      <c r="E44" s="12">
        <v>100</v>
      </c>
      <c r="F44" s="12"/>
      <c r="G44" s="12" t="s">
        <v>270</v>
      </c>
    </row>
    <row r="45" spans="1:7" x14ac:dyDescent="0.3">
      <c r="A45" s="12" t="s">
        <v>542</v>
      </c>
      <c r="B45" s="12" t="s">
        <v>55</v>
      </c>
      <c r="C45" s="12" t="s">
        <v>796</v>
      </c>
      <c r="D45" s="12" t="s">
        <v>1241</v>
      </c>
      <c r="E45" s="12">
        <v>100</v>
      </c>
      <c r="F45" s="12"/>
      <c r="G45" s="12" t="s">
        <v>273</v>
      </c>
    </row>
    <row r="46" spans="1:7" x14ac:dyDescent="0.3">
      <c r="A46" s="12" t="s">
        <v>542</v>
      </c>
      <c r="B46" s="12" t="s">
        <v>57</v>
      </c>
      <c r="C46" s="12" t="s">
        <v>793</v>
      </c>
      <c r="D46" s="12" t="s">
        <v>800</v>
      </c>
      <c r="E46" s="12"/>
      <c r="F46" s="12" t="s">
        <v>749</v>
      </c>
      <c r="G46" s="12" t="s">
        <v>283</v>
      </c>
    </row>
    <row r="47" spans="1:7" x14ac:dyDescent="0.3">
      <c r="A47" s="12" t="s">
        <v>542</v>
      </c>
      <c r="B47" s="12" t="s">
        <v>59</v>
      </c>
      <c r="C47" s="12" t="s">
        <v>793</v>
      </c>
      <c r="D47" s="12" t="s">
        <v>755</v>
      </c>
      <c r="E47" s="12"/>
      <c r="F47" s="12" t="s">
        <v>749</v>
      </c>
      <c r="G47" s="12" t="s">
        <v>273</v>
      </c>
    </row>
    <row r="48" spans="1:7" x14ac:dyDescent="0.3">
      <c r="A48" s="12" t="s">
        <v>542</v>
      </c>
      <c r="B48" s="12" t="s">
        <v>61</v>
      </c>
      <c r="C48" s="12" t="s">
        <v>793</v>
      </c>
      <c r="D48" s="12" t="s">
        <v>757</v>
      </c>
      <c r="E48" s="12"/>
      <c r="F48" s="12" t="s">
        <v>749</v>
      </c>
      <c r="G48" s="12" t="s">
        <v>273</v>
      </c>
    </row>
    <row r="49" spans="1:7" x14ac:dyDescent="0.3">
      <c r="A49" s="12" t="s">
        <v>542</v>
      </c>
      <c r="B49" s="12" t="s">
        <v>63</v>
      </c>
      <c r="C49" s="12" t="s">
        <v>793</v>
      </c>
      <c r="D49" s="12" t="s">
        <v>755</v>
      </c>
      <c r="E49" s="12"/>
      <c r="F49" s="12" t="s">
        <v>749</v>
      </c>
      <c r="G49" s="12" t="s">
        <v>273</v>
      </c>
    </row>
    <row r="50" spans="1:7" x14ac:dyDescent="0.3">
      <c r="A50" s="12" t="s">
        <v>542</v>
      </c>
      <c r="B50" s="12" t="s">
        <v>64</v>
      </c>
      <c r="C50" s="12" t="s">
        <v>793</v>
      </c>
      <c r="D50" s="12" t="s">
        <v>757</v>
      </c>
      <c r="E50" s="12"/>
      <c r="F50" s="12" t="s">
        <v>749</v>
      </c>
      <c r="G50" s="12" t="s">
        <v>273</v>
      </c>
    </row>
    <row r="51" spans="1:7" x14ac:dyDescent="0.3">
      <c r="A51" s="12" t="s">
        <v>542</v>
      </c>
      <c r="B51" s="12" t="s">
        <v>65</v>
      </c>
      <c r="C51" s="12" t="s">
        <v>793</v>
      </c>
      <c r="D51" s="12" t="s">
        <v>801</v>
      </c>
      <c r="E51" s="12"/>
      <c r="F51" s="12" t="s">
        <v>749</v>
      </c>
      <c r="G51" s="12" t="s">
        <v>273</v>
      </c>
    </row>
    <row r="52" spans="1:7" x14ac:dyDescent="0.3">
      <c r="A52" s="12" t="s">
        <v>542</v>
      </c>
      <c r="B52" s="12" t="s">
        <v>66</v>
      </c>
      <c r="C52" s="12" t="s">
        <v>796</v>
      </c>
      <c r="D52" s="12" t="s">
        <v>1090</v>
      </c>
      <c r="E52" s="12">
        <v>99</v>
      </c>
      <c r="F52" s="12"/>
      <c r="G52" s="12" t="s">
        <v>275</v>
      </c>
    </row>
    <row r="53" spans="1:7" x14ac:dyDescent="0.3">
      <c r="A53" s="12" t="s">
        <v>542</v>
      </c>
      <c r="B53" s="12" t="s">
        <v>803</v>
      </c>
      <c r="C53" s="12" t="s">
        <v>793</v>
      </c>
      <c r="D53" s="12" t="s">
        <v>804</v>
      </c>
      <c r="E53" s="12"/>
      <c r="F53" s="12"/>
      <c r="G53" s="12" t="s">
        <v>273</v>
      </c>
    </row>
    <row r="54" spans="1:7" x14ac:dyDescent="0.3">
      <c r="A54" s="12" t="s">
        <v>548</v>
      </c>
      <c r="B54" s="12" t="s">
        <v>49</v>
      </c>
      <c r="C54" s="12" t="s">
        <v>796</v>
      </c>
      <c r="D54" s="12" t="s">
        <v>1457</v>
      </c>
      <c r="E54" s="12">
        <v>100</v>
      </c>
      <c r="F54" s="12"/>
      <c r="G54" s="12" t="s">
        <v>275</v>
      </c>
    </row>
    <row r="55" spans="1:7" x14ac:dyDescent="0.3">
      <c r="A55" s="12" t="s">
        <v>548</v>
      </c>
      <c r="B55" s="12" t="s">
        <v>51</v>
      </c>
      <c r="C55" s="12" t="s">
        <v>796</v>
      </c>
      <c r="D55" s="12" t="s">
        <v>1458</v>
      </c>
      <c r="E55" s="12">
        <v>100</v>
      </c>
      <c r="F55" s="12"/>
      <c r="G55" s="12" t="s">
        <v>275</v>
      </c>
    </row>
    <row r="56" spans="1:7" x14ac:dyDescent="0.3">
      <c r="A56" s="12" t="s">
        <v>548</v>
      </c>
      <c r="B56" s="12" t="s">
        <v>53</v>
      </c>
      <c r="C56" s="12" t="s">
        <v>793</v>
      </c>
      <c r="D56" s="12" t="s">
        <v>805</v>
      </c>
      <c r="E56" s="12"/>
      <c r="F56" s="12" t="s">
        <v>749</v>
      </c>
      <c r="G56" s="12" t="s">
        <v>270</v>
      </c>
    </row>
    <row r="57" spans="1:7" x14ac:dyDescent="0.3">
      <c r="A57" s="12" t="s">
        <v>548</v>
      </c>
      <c r="B57" s="12" t="s">
        <v>54</v>
      </c>
      <c r="C57" s="12" t="s">
        <v>796</v>
      </c>
      <c r="D57" s="12" t="s">
        <v>1459</v>
      </c>
      <c r="E57" s="12">
        <v>100</v>
      </c>
      <c r="F57" s="12"/>
      <c r="G57" s="12" t="s">
        <v>270</v>
      </c>
    </row>
    <row r="58" spans="1:7" x14ac:dyDescent="0.3">
      <c r="A58" s="12" t="s">
        <v>548</v>
      </c>
      <c r="B58" s="12" t="s">
        <v>55</v>
      </c>
      <c r="C58" s="12" t="s">
        <v>796</v>
      </c>
      <c r="D58" s="12" t="s">
        <v>1460</v>
      </c>
      <c r="E58" s="12">
        <v>100</v>
      </c>
      <c r="F58" s="12"/>
      <c r="G58" s="12" t="s">
        <v>273</v>
      </c>
    </row>
    <row r="59" spans="1:7" x14ac:dyDescent="0.3">
      <c r="A59" s="12" t="s">
        <v>548</v>
      </c>
      <c r="B59" s="12" t="s">
        <v>57</v>
      </c>
      <c r="C59" s="12" t="s">
        <v>793</v>
      </c>
      <c r="D59" s="12" t="s">
        <v>800</v>
      </c>
      <c r="E59" s="12"/>
      <c r="F59" s="12" t="s">
        <v>749</v>
      </c>
      <c r="G59" s="12" t="s">
        <v>283</v>
      </c>
    </row>
    <row r="60" spans="1:7" x14ac:dyDescent="0.3">
      <c r="A60" s="12" t="s">
        <v>548</v>
      </c>
      <c r="B60" s="12" t="s">
        <v>59</v>
      </c>
      <c r="C60" s="12" t="s">
        <v>796</v>
      </c>
      <c r="D60" s="12" t="s">
        <v>1461</v>
      </c>
      <c r="E60" s="12">
        <v>100</v>
      </c>
      <c r="F60" s="12"/>
      <c r="G60" s="12" t="s">
        <v>273</v>
      </c>
    </row>
    <row r="61" spans="1:7" x14ac:dyDescent="0.3">
      <c r="A61" s="12" t="s">
        <v>548</v>
      </c>
      <c r="B61" s="12" t="s">
        <v>61</v>
      </c>
      <c r="C61" s="12" t="s">
        <v>796</v>
      </c>
      <c r="D61" s="12" t="s">
        <v>1462</v>
      </c>
      <c r="E61" s="12">
        <v>100</v>
      </c>
      <c r="F61" s="12"/>
      <c r="G61" s="12" t="s">
        <v>273</v>
      </c>
    </row>
    <row r="62" spans="1:7" x14ac:dyDescent="0.3">
      <c r="A62" s="12" t="s">
        <v>548</v>
      </c>
      <c r="B62" s="12" t="s">
        <v>63</v>
      </c>
      <c r="C62" s="12" t="s">
        <v>796</v>
      </c>
      <c r="D62" s="12" t="s">
        <v>1225</v>
      </c>
      <c r="E62" s="12">
        <v>100</v>
      </c>
      <c r="F62" s="12"/>
      <c r="G62" s="12" t="s">
        <v>273</v>
      </c>
    </row>
    <row r="63" spans="1:7" x14ac:dyDescent="0.3">
      <c r="A63" s="12" t="s">
        <v>548</v>
      </c>
      <c r="B63" s="12" t="s">
        <v>64</v>
      </c>
      <c r="C63" s="12" t="s">
        <v>796</v>
      </c>
      <c r="D63" s="12" t="s">
        <v>1235</v>
      </c>
      <c r="E63" s="12">
        <v>100</v>
      </c>
      <c r="F63" s="12"/>
      <c r="G63" s="12" t="s">
        <v>273</v>
      </c>
    </row>
    <row r="64" spans="1:7" x14ac:dyDescent="0.3">
      <c r="A64" s="12" t="s">
        <v>548</v>
      </c>
      <c r="B64" s="12" t="s">
        <v>65</v>
      </c>
      <c r="C64" s="12" t="s">
        <v>796</v>
      </c>
      <c r="D64" s="12" t="s">
        <v>1463</v>
      </c>
      <c r="E64" s="12">
        <v>100</v>
      </c>
      <c r="F64" s="12"/>
      <c r="G64" s="12" t="s">
        <v>273</v>
      </c>
    </row>
    <row r="65" spans="1:7" x14ac:dyDescent="0.3">
      <c r="A65" s="12" t="s">
        <v>548</v>
      </c>
      <c r="B65" s="12" t="s">
        <v>66</v>
      </c>
      <c r="C65" s="12" t="s">
        <v>796</v>
      </c>
      <c r="D65" s="12" t="s">
        <v>1458</v>
      </c>
      <c r="E65" s="12">
        <v>100</v>
      </c>
      <c r="F65" s="12"/>
      <c r="G65" s="12" t="s">
        <v>275</v>
      </c>
    </row>
    <row r="66" spans="1:7" x14ac:dyDescent="0.3">
      <c r="A66" s="12" t="s">
        <v>548</v>
      </c>
      <c r="B66" s="12" t="s">
        <v>803</v>
      </c>
      <c r="C66" s="12" t="s">
        <v>793</v>
      </c>
      <c r="D66" s="12" t="s">
        <v>804</v>
      </c>
      <c r="E66" s="12"/>
      <c r="F66" s="12"/>
      <c r="G66" s="12" t="s">
        <v>273</v>
      </c>
    </row>
    <row r="67" spans="1:7" x14ac:dyDescent="0.3">
      <c r="A67" s="12" t="s">
        <v>558</v>
      </c>
      <c r="B67" s="12" t="s">
        <v>49</v>
      </c>
      <c r="C67" s="12" t="s">
        <v>796</v>
      </c>
      <c r="D67" s="12" t="s">
        <v>1464</v>
      </c>
      <c r="E67" s="12">
        <v>100</v>
      </c>
      <c r="F67" s="12"/>
      <c r="G67" s="12" t="s">
        <v>275</v>
      </c>
    </row>
    <row r="68" spans="1:7" x14ac:dyDescent="0.3">
      <c r="A68" s="12" t="s">
        <v>558</v>
      </c>
      <c r="B68" s="12" t="s">
        <v>51</v>
      </c>
      <c r="C68" s="12" t="s">
        <v>796</v>
      </c>
      <c r="D68" s="12" t="s">
        <v>1458</v>
      </c>
      <c r="E68" s="12">
        <v>100</v>
      </c>
      <c r="F68" s="12"/>
      <c r="G68" s="12" t="s">
        <v>275</v>
      </c>
    </row>
    <row r="69" spans="1:7" x14ac:dyDescent="0.3">
      <c r="A69" s="12" t="s">
        <v>558</v>
      </c>
      <c r="B69" s="12" t="s">
        <v>53</v>
      </c>
      <c r="C69" s="12" t="s">
        <v>796</v>
      </c>
      <c r="D69" s="12" t="s">
        <v>1465</v>
      </c>
      <c r="E69" s="12">
        <v>100</v>
      </c>
      <c r="F69" s="12"/>
      <c r="G69" s="12" t="s">
        <v>270</v>
      </c>
    </row>
    <row r="70" spans="1:7" x14ac:dyDescent="0.3">
      <c r="A70" s="12" t="s">
        <v>558</v>
      </c>
      <c r="B70" s="12" t="s">
        <v>54</v>
      </c>
      <c r="C70" s="12" t="s">
        <v>793</v>
      </c>
      <c r="D70" s="12" t="s">
        <v>798</v>
      </c>
      <c r="E70" s="12"/>
      <c r="F70" s="12" t="s">
        <v>749</v>
      </c>
      <c r="G70" s="12" t="s">
        <v>270</v>
      </c>
    </row>
    <row r="71" spans="1:7" x14ac:dyDescent="0.3">
      <c r="A71" s="12" t="s">
        <v>558</v>
      </c>
      <c r="B71" s="12" t="s">
        <v>55</v>
      </c>
      <c r="C71" s="12" t="s">
        <v>796</v>
      </c>
      <c r="D71" s="12" t="s">
        <v>1466</v>
      </c>
      <c r="E71" s="12">
        <v>100</v>
      </c>
      <c r="F71" s="12"/>
      <c r="G71" s="12" t="s">
        <v>273</v>
      </c>
    </row>
    <row r="72" spans="1:7" x14ac:dyDescent="0.3">
      <c r="A72" s="12" t="s">
        <v>558</v>
      </c>
      <c r="B72" s="12" t="s">
        <v>57</v>
      </c>
      <c r="C72" s="12" t="s">
        <v>793</v>
      </c>
      <c r="D72" s="12" t="s">
        <v>800</v>
      </c>
      <c r="E72" s="12"/>
      <c r="F72" s="12" t="s">
        <v>749</v>
      </c>
      <c r="G72" s="12" t="s">
        <v>283</v>
      </c>
    </row>
    <row r="73" spans="1:7" x14ac:dyDescent="0.3">
      <c r="A73" s="12" t="s">
        <v>558</v>
      </c>
      <c r="B73" s="12" t="s">
        <v>59</v>
      </c>
      <c r="C73" s="12" t="s">
        <v>796</v>
      </c>
      <c r="D73" s="12" t="s">
        <v>1467</v>
      </c>
      <c r="E73" s="12">
        <v>100</v>
      </c>
      <c r="F73" s="12"/>
      <c r="G73" s="12" t="s">
        <v>273</v>
      </c>
    </row>
    <row r="74" spans="1:7" x14ac:dyDescent="0.3">
      <c r="A74" s="12" t="s">
        <v>558</v>
      </c>
      <c r="B74" s="12" t="s">
        <v>61</v>
      </c>
      <c r="C74" s="12" t="s">
        <v>796</v>
      </c>
      <c r="D74" s="12" t="s">
        <v>1468</v>
      </c>
      <c r="E74" s="12">
        <v>100</v>
      </c>
      <c r="F74" s="12"/>
      <c r="G74" s="12" t="s">
        <v>273</v>
      </c>
    </row>
    <row r="75" spans="1:7" x14ac:dyDescent="0.3">
      <c r="A75" s="12" t="s">
        <v>558</v>
      </c>
      <c r="B75" s="12" t="s">
        <v>63</v>
      </c>
      <c r="C75" s="12" t="s">
        <v>796</v>
      </c>
      <c r="D75" s="12" t="s">
        <v>1250</v>
      </c>
      <c r="E75" s="12">
        <v>100</v>
      </c>
      <c r="F75" s="12"/>
      <c r="G75" s="12" t="s">
        <v>273</v>
      </c>
    </row>
    <row r="76" spans="1:7" x14ac:dyDescent="0.3">
      <c r="A76" s="12" t="s">
        <v>558</v>
      </c>
      <c r="B76" s="12" t="s">
        <v>64</v>
      </c>
      <c r="C76" s="12" t="s">
        <v>796</v>
      </c>
      <c r="D76" s="12" t="s">
        <v>1227</v>
      </c>
      <c r="E76" s="12">
        <v>100</v>
      </c>
      <c r="F76" s="12"/>
      <c r="G76" s="12" t="s">
        <v>273</v>
      </c>
    </row>
    <row r="77" spans="1:7" x14ac:dyDescent="0.3">
      <c r="A77" s="12" t="s">
        <v>558</v>
      </c>
      <c r="B77" s="12" t="s">
        <v>65</v>
      </c>
      <c r="C77" s="12" t="s">
        <v>796</v>
      </c>
      <c r="D77" s="12" t="s">
        <v>1463</v>
      </c>
      <c r="E77" s="12">
        <v>100</v>
      </c>
      <c r="F77" s="12"/>
      <c r="G77" s="12" t="s">
        <v>273</v>
      </c>
    </row>
    <row r="78" spans="1:7" x14ac:dyDescent="0.3">
      <c r="A78" s="12" t="s">
        <v>558</v>
      </c>
      <c r="B78" s="12" t="s">
        <v>66</v>
      </c>
      <c r="C78" s="12" t="s">
        <v>796</v>
      </c>
      <c r="D78" s="12" t="s">
        <v>1458</v>
      </c>
      <c r="E78" s="12">
        <v>100</v>
      </c>
      <c r="F78" s="12"/>
      <c r="G78" s="12" t="s">
        <v>275</v>
      </c>
    </row>
    <row r="79" spans="1:7" x14ac:dyDescent="0.3">
      <c r="A79" s="12" t="s">
        <v>558</v>
      </c>
      <c r="B79" s="12" t="s">
        <v>803</v>
      </c>
      <c r="C79" s="12" t="s">
        <v>793</v>
      </c>
      <c r="D79" s="12" t="s">
        <v>804</v>
      </c>
      <c r="E79" s="12"/>
      <c r="F79" s="12"/>
      <c r="G79" s="12" t="s">
        <v>273</v>
      </c>
    </row>
    <row r="80" spans="1:7" x14ac:dyDescent="0.3">
      <c r="A80" s="12" t="s">
        <v>568</v>
      </c>
      <c r="B80" s="12" t="s">
        <v>49</v>
      </c>
      <c r="C80" s="12" t="s">
        <v>796</v>
      </c>
      <c r="D80" s="12" t="s">
        <v>1469</v>
      </c>
      <c r="E80" s="12">
        <v>100</v>
      </c>
      <c r="F80" s="12"/>
      <c r="G80" s="12" t="s">
        <v>275</v>
      </c>
    </row>
    <row r="81" spans="1:7" x14ac:dyDescent="0.3">
      <c r="A81" s="12" t="s">
        <v>568</v>
      </c>
      <c r="B81" s="12" t="s">
        <v>51</v>
      </c>
      <c r="C81" s="12" t="s">
        <v>793</v>
      </c>
      <c r="D81" s="12" t="s">
        <v>795</v>
      </c>
      <c r="E81" s="12"/>
      <c r="F81" s="12" t="s">
        <v>749</v>
      </c>
      <c r="G81" s="12" t="s">
        <v>275</v>
      </c>
    </row>
    <row r="82" spans="1:7" x14ac:dyDescent="0.3">
      <c r="A82" s="12" t="s">
        <v>568</v>
      </c>
      <c r="B82" s="12" t="s">
        <v>53</v>
      </c>
      <c r="C82" s="12" t="s">
        <v>796</v>
      </c>
      <c r="D82" s="12" t="s">
        <v>1470</v>
      </c>
      <c r="E82" s="12">
        <v>100</v>
      </c>
      <c r="F82" s="12"/>
      <c r="G82" s="12" t="s">
        <v>270</v>
      </c>
    </row>
    <row r="83" spans="1:7" x14ac:dyDescent="0.3">
      <c r="A83" s="12" t="s">
        <v>568</v>
      </c>
      <c r="B83" s="12" t="s">
        <v>54</v>
      </c>
      <c r="C83" s="12" t="s">
        <v>796</v>
      </c>
      <c r="D83" s="12" t="s">
        <v>1471</v>
      </c>
      <c r="E83" s="12">
        <v>100</v>
      </c>
      <c r="F83" s="12"/>
      <c r="G83" s="12" t="s">
        <v>270</v>
      </c>
    </row>
    <row r="84" spans="1:7" x14ac:dyDescent="0.3">
      <c r="A84" s="12" t="s">
        <v>568</v>
      </c>
      <c r="B84" s="12" t="s">
        <v>55</v>
      </c>
      <c r="C84" s="12" t="s">
        <v>796</v>
      </c>
      <c r="D84" s="12" t="s">
        <v>1472</v>
      </c>
      <c r="E84" s="12">
        <v>100</v>
      </c>
      <c r="F84" s="12"/>
      <c r="G84" s="12" t="s">
        <v>273</v>
      </c>
    </row>
    <row r="85" spans="1:7" x14ac:dyDescent="0.3">
      <c r="A85" s="12" t="s">
        <v>568</v>
      </c>
      <c r="B85" s="12" t="s">
        <v>57</v>
      </c>
      <c r="C85" s="12" t="s">
        <v>793</v>
      </c>
      <c r="D85" s="12" t="s">
        <v>800</v>
      </c>
      <c r="E85" s="12"/>
      <c r="F85" s="12" t="s">
        <v>749</v>
      </c>
      <c r="G85" s="12" t="s">
        <v>283</v>
      </c>
    </row>
    <row r="86" spans="1:7" x14ac:dyDescent="0.3">
      <c r="A86" s="12" t="s">
        <v>568</v>
      </c>
      <c r="B86" s="12" t="s">
        <v>59</v>
      </c>
      <c r="C86" s="12" t="s">
        <v>796</v>
      </c>
      <c r="D86" s="12" t="s">
        <v>1473</v>
      </c>
      <c r="E86" s="12">
        <v>100</v>
      </c>
      <c r="F86" s="12"/>
      <c r="G86" s="12" t="s">
        <v>273</v>
      </c>
    </row>
    <row r="87" spans="1:7" x14ac:dyDescent="0.3">
      <c r="A87" s="12" t="s">
        <v>568</v>
      </c>
      <c r="B87" s="12" t="s">
        <v>61</v>
      </c>
      <c r="C87" s="12" t="s">
        <v>796</v>
      </c>
      <c r="D87" s="12" t="s">
        <v>1474</v>
      </c>
      <c r="E87" s="12">
        <v>100</v>
      </c>
      <c r="F87" s="12"/>
      <c r="G87" s="12" t="s">
        <v>273</v>
      </c>
    </row>
    <row r="88" spans="1:7" x14ac:dyDescent="0.3">
      <c r="A88" s="12" t="s">
        <v>568</v>
      </c>
      <c r="B88" s="12" t="s">
        <v>63</v>
      </c>
      <c r="C88" s="12" t="s">
        <v>796</v>
      </c>
      <c r="D88" s="12" t="s">
        <v>1226</v>
      </c>
      <c r="E88" s="12">
        <v>100</v>
      </c>
      <c r="F88" s="12"/>
      <c r="G88" s="12" t="s">
        <v>273</v>
      </c>
    </row>
    <row r="89" spans="1:7" x14ac:dyDescent="0.3">
      <c r="A89" s="12" t="s">
        <v>568</v>
      </c>
      <c r="B89" s="12" t="s">
        <v>64</v>
      </c>
      <c r="C89" s="12" t="s">
        <v>796</v>
      </c>
      <c r="D89" s="12" t="s">
        <v>1248</v>
      </c>
      <c r="E89" s="12">
        <v>100</v>
      </c>
      <c r="F89" s="12"/>
      <c r="G89" s="12" t="s">
        <v>273</v>
      </c>
    </row>
    <row r="90" spans="1:7" x14ac:dyDescent="0.3">
      <c r="A90" s="12" t="s">
        <v>568</v>
      </c>
      <c r="B90" s="12" t="s">
        <v>65</v>
      </c>
      <c r="C90" s="12" t="s">
        <v>796</v>
      </c>
      <c r="D90" s="12" t="s">
        <v>1461</v>
      </c>
      <c r="E90" s="12">
        <v>100</v>
      </c>
      <c r="F90" s="12"/>
      <c r="G90" s="12" t="s">
        <v>273</v>
      </c>
    </row>
    <row r="91" spans="1:7" x14ac:dyDescent="0.3">
      <c r="A91" s="12" t="s">
        <v>568</v>
      </c>
      <c r="B91" s="12" t="s">
        <v>66</v>
      </c>
      <c r="C91" s="12" t="s">
        <v>793</v>
      </c>
      <c r="D91" s="12" t="s">
        <v>795</v>
      </c>
      <c r="E91" s="12"/>
      <c r="F91" s="12" t="s">
        <v>749</v>
      </c>
      <c r="G91" s="12" t="s">
        <v>275</v>
      </c>
    </row>
    <row r="92" spans="1:7" x14ac:dyDescent="0.3">
      <c r="A92" s="12" t="s">
        <v>568</v>
      </c>
      <c r="B92" s="12" t="s">
        <v>803</v>
      </c>
      <c r="C92" s="12" t="s">
        <v>793</v>
      </c>
      <c r="D92" s="12" t="s">
        <v>804</v>
      </c>
      <c r="E92" s="12"/>
      <c r="F92" s="12"/>
      <c r="G92" s="12" t="s">
        <v>273</v>
      </c>
    </row>
    <row r="93" spans="1:7" x14ac:dyDescent="0.3">
      <c r="A93" s="12" t="s">
        <v>578</v>
      </c>
      <c r="B93" s="12" t="s">
        <v>49</v>
      </c>
      <c r="C93" s="12" t="s">
        <v>796</v>
      </c>
      <c r="D93" s="12" t="s">
        <v>1475</v>
      </c>
      <c r="E93" s="12">
        <v>100</v>
      </c>
      <c r="F93" s="12"/>
      <c r="G93" s="12" t="s">
        <v>275</v>
      </c>
    </row>
    <row r="94" spans="1:7" x14ac:dyDescent="0.3">
      <c r="A94" s="12" t="s">
        <v>578</v>
      </c>
      <c r="B94" s="12" t="s">
        <v>51</v>
      </c>
      <c r="C94" s="12" t="s">
        <v>796</v>
      </c>
      <c r="D94" s="12" t="s">
        <v>1458</v>
      </c>
      <c r="E94" s="12">
        <v>100</v>
      </c>
      <c r="F94" s="12"/>
      <c r="G94" s="12" t="s">
        <v>275</v>
      </c>
    </row>
    <row r="95" spans="1:7" x14ac:dyDescent="0.3">
      <c r="A95" s="12" t="s">
        <v>578</v>
      </c>
      <c r="B95" s="12" t="s">
        <v>53</v>
      </c>
      <c r="C95" s="12" t="s">
        <v>796</v>
      </c>
      <c r="D95" s="12" t="s">
        <v>1476</v>
      </c>
      <c r="E95" s="12">
        <v>100</v>
      </c>
      <c r="F95" s="12"/>
      <c r="G95" s="12" t="s">
        <v>270</v>
      </c>
    </row>
    <row r="96" spans="1:7" x14ac:dyDescent="0.3">
      <c r="A96" s="12" t="s">
        <v>578</v>
      </c>
      <c r="B96" s="12" t="s">
        <v>54</v>
      </c>
      <c r="C96" s="12" t="s">
        <v>796</v>
      </c>
      <c r="D96" s="12" t="s">
        <v>1477</v>
      </c>
      <c r="E96" s="12">
        <v>100</v>
      </c>
      <c r="F96" s="12"/>
      <c r="G96" s="12" t="s">
        <v>270</v>
      </c>
    </row>
    <row r="97" spans="1:7" x14ac:dyDescent="0.3">
      <c r="A97" s="12" t="s">
        <v>578</v>
      </c>
      <c r="B97" s="12" t="s">
        <v>55</v>
      </c>
      <c r="C97" s="12" t="s">
        <v>793</v>
      </c>
      <c r="D97" s="12" t="s">
        <v>799</v>
      </c>
      <c r="E97" s="12"/>
      <c r="F97" s="12" t="s">
        <v>749</v>
      </c>
      <c r="G97" s="12" t="s">
        <v>273</v>
      </c>
    </row>
    <row r="98" spans="1:7" x14ac:dyDescent="0.3">
      <c r="A98" s="12" t="s">
        <v>578</v>
      </c>
      <c r="B98" s="12" t="s">
        <v>57</v>
      </c>
      <c r="C98" s="12" t="s">
        <v>793</v>
      </c>
      <c r="D98" s="12" t="s">
        <v>800</v>
      </c>
      <c r="E98" s="12"/>
      <c r="F98" s="12" t="s">
        <v>749</v>
      </c>
      <c r="G98" s="12" t="s">
        <v>283</v>
      </c>
    </row>
    <row r="99" spans="1:7" x14ac:dyDescent="0.3">
      <c r="A99" s="12" t="s">
        <v>578</v>
      </c>
      <c r="B99" s="12" t="s">
        <v>59</v>
      </c>
      <c r="C99" s="12" t="s">
        <v>796</v>
      </c>
      <c r="D99" s="12" t="s">
        <v>1478</v>
      </c>
      <c r="E99" s="12">
        <v>100</v>
      </c>
      <c r="F99" s="12"/>
      <c r="G99" s="12" t="s">
        <v>273</v>
      </c>
    </row>
    <row r="100" spans="1:7" x14ac:dyDescent="0.3">
      <c r="A100" s="12" t="s">
        <v>578</v>
      </c>
      <c r="B100" s="12" t="s">
        <v>61</v>
      </c>
      <c r="C100" s="12" t="s">
        <v>796</v>
      </c>
      <c r="D100" s="12" t="s">
        <v>1479</v>
      </c>
      <c r="E100" s="12">
        <v>100</v>
      </c>
      <c r="F100" s="12"/>
      <c r="G100" s="12" t="s">
        <v>273</v>
      </c>
    </row>
    <row r="101" spans="1:7" x14ac:dyDescent="0.3">
      <c r="A101" s="12" t="s">
        <v>578</v>
      </c>
      <c r="B101" s="12" t="s">
        <v>63</v>
      </c>
      <c r="C101" s="12" t="s">
        <v>796</v>
      </c>
      <c r="D101" s="12" t="s">
        <v>1478</v>
      </c>
      <c r="E101" s="12">
        <v>100</v>
      </c>
      <c r="F101" s="12"/>
      <c r="G101" s="12" t="s">
        <v>273</v>
      </c>
    </row>
    <row r="102" spans="1:7" x14ac:dyDescent="0.3">
      <c r="A102" s="12" t="s">
        <v>578</v>
      </c>
      <c r="B102" s="12" t="s">
        <v>64</v>
      </c>
      <c r="C102" s="12" t="s">
        <v>796</v>
      </c>
      <c r="D102" s="12" t="s">
        <v>1463</v>
      </c>
      <c r="E102" s="12">
        <v>100</v>
      </c>
      <c r="F102" s="12"/>
      <c r="G102" s="12" t="s">
        <v>273</v>
      </c>
    </row>
    <row r="103" spans="1:7" x14ac:dyDescent="0.3">
      <c r="A103" s="12" t="s">
        <v>578</v>
      </c>
      <c r="B103" s="12" t="s">
        <v>65</v>
      </c>
      <c r="C103" s="12" t="s">
        <v>796</v>
      </c>
      <c r="D103" s="12" t="s">
        <v>1226</v>
      </c>
      <c r="E103" s="12">
        <v>100</v>
      </c>
      <c r="F103" s="12"/>
      <c r="G103" s="12" t="s">
        <v>273</v>
      </c>
    </row>
    <row r="104" spans="1:7" x14ac:dyDescent="0.3">
      <c r="A104" s="12" t="s">
        <v>578</v>
      </c>
      <c r="B104" s="12" t="s">
        <v>66</v>
      </c>
      <c r="C104" s="12" t="s">
        <v>796</v>
      </c>
      <c r="D104" s="12" t="s">
        <v>1458</v>
      </c>
      <c r="E104" s="12">
        <v>99</v>
      </c>
      <c r="F104" s="12"/>
      <c r="G104" s="12" t="s">
        <v>275</v>
      </c>
    </row>
    <row r="105" spans="1:7" x14ac:dyDescent="0.3">
      <c r="A105" s="12" t="s">
        <v>578</v>
      </c>
      <c r="B105" s="12" t="s">
        <v>803</v>
      </c>
      <c r="C105" s="12" t="s">
        <v>793</v>
      </c>
      <c r="D105" s="12" t="s">
        <v>804</v>
      </c>
      <c r="E105" s="12"/>
      <c r="F105" s="12"/>
      <c r="G105" s="12" t="s">
        <v>273</v>
      </c>
    </row>
    <row r="106" spans="1:7" x14ac:dyDescent="0.3">
      <c r="A106" s="12" t="s">
        <v>588</v>
      </c>
      <c r="B106" s="12" t="s">
        <v>49</v>
      </c>
      <c r="C106" s="12" t="s">
        <v>793</v>
      </c>
      <c r="D106" s="12" t="s">
        <v>794</v>
      </c>
      <c r="E106" s="12"/>
      <c r="F106" s="12" t="s">
        <v>749</v>
      </c>
      <c r="G106" s="12" t="s">
        <v>275</v>
      </c>
    </row>
    <row r="107" spans="1:7" x14ac:dyDescent="0.3">
      <c r="A107" s="12" t="s">
        <v>588</v>
      </c>
      <c r="B107" s="12" t="s">
        <v>51</v>
      </c>
      <c r="C107" s="12" t="s">
        <v>796</v>
      </c>
      <c r="D107" s="12" t="s">
        <v>1480</v>
      </c>
      <c r="E107" s="12">
        <v>30</v>
      </c>
      <c r="F107" s="12"/>
      <c r="G107" s="12" t="s">
        <v>275</v>
      </c>
    </row>
    <row r="108" spans="1:7" x14ac:dyDescent="0.3">
      <c r="A108" s="12" t="s">
        <v>588</v>
      </c>
      <c r="B108" s="12" t="s">
        <v>53</v>
      </c>
      <c r="C108" s="12" t="s">
        <v>796</v>
      </c>
      <c r="D108" s="12" t="s">
        <v>1481</v>
      </c>
      <c r="E108" s="12">
        <v>30</v>
      </c>
      <c r="F108" s="12"/>
      <c r="G108" s="12" t="s">
        <v>270</v>
      </c>
    </row>
    <row r="109" spans="1:7" x14ac:dyDescent="0.3">
      <c r="A109" s="12" t="s">
        <v>588</v>
      </c>
      <c r="B109" s="12" t="s">
        <v>54</v>
      </c>
      <c r="C109" s="12" t="s">
        <v>796</v>
      </c>
      <c r="D109" s="12" t="s">
        <v>1482</v>
      </c>
      <c r="E109" s="12">
        <v>30</v>
      </c>
      <c r="F109" s="12"/>
      <c r="G109" s="12" t="s">
        <v>270</v>
      </c>
    </row>
    <row r="110" spans="1:7" x14ac:dyDescent="0.3">
      <c r="A110" s="12" t="s">
        <v>588</v>
      </c>
      <c r="B110" s="12" t="s">
        <v>55</v>
      </c>
      <c r="C110" s="12" t="s">
        <v>793</v>
      </c>
      <c r="D110" s="12" t="s">
        <v>799</v>
      </c>
      <c r="E110" s="12"/>
      <c r="F110" s="12" t="s">
        <v>749</v>
      </c>
      <c r="G110" s="12" t="s">
        <v>273</v>
      </c>
    </row>
    <row r="111" spans="1:7" x14ac:dyDescent="0.3">
      <c r="A111" s="12" t="s">
        <v>588</v>
      </c>
      <c r="B111" s="12" t="s">
        <v>57</v>
      </c>
      <c r="C111" s="12" t="s">
        <v>793</v>
      </c>
      <c r="D111" s="12" t="s">
        <v>800</v>
      </c>
      <c r="E111" s="12"/>
      <c r="F111" s="12" t="s">
        <v>749</v>
      </c>
      <c r="G111" s="12" t="s">
        <v>283</v>
      </c>
    </row>
    <row r="112" spans="1:7" x14ac:dyDescent="0.3">
      <c r="A112" s="12" t="s">
        <v>588</v>
      </c>
      <c r="B112" s="12" t="s">
        <v>59</v>
      </c>
      <c r="C112" s="12" t="s">
        <v>796</v>
      </c>
      <c r="D112" s="12" t="s">
        <v>1467</v>
      </c>
      <c r="E112" s="12">
        <v>30</v>
      </c>
      <c r="F112" s="12"/>
      <c r="G112" s="12" t="s">
        <v>273</v>
      </c>
    </row>
    <row r="113" spans="1:7" x14ac:dyDescent="0.3">
      <c r="A113" s="12" t="s">
        <v>588</v>
      </c>
      <c r="B113" s="12" t="s">
        <v>61</v>
      </c>
      <c r="C113" s="12" t="s">
        <v>796</v>
      </c>
      <c r="D113" s="12" t="s">
        <v>1483</v>
      </c>
      <c r="E113" s="12">
        <v>30</v>
      </c>
      <c r="F113" s="12"/>
      <c r="G113" s="12" t="s">
        <v>273</v>
      </c>
    </row>
    <row r="114" spans="1:7" x14ac:dyDescent="0.3">
      <c r="A114" s="12" t="s">
        <v>588</v>
      </c>
      <c r="B114" s="12" t="s">
        <v>63</v>
      </c>
      <c r="C114" s="12" t="s">
        <v>796</v>
      </c>
      <c r="D114" s="12" t="s">
        <v>1484</v>
      </c>
      <c r="E114" s="12">
        <v>30</v>
      </c>
      <c r="F114" s="12"/>
      <c r="G114" s="12" t="s">
        <v>273</v>
      </c>
    </row>
    <row r="115" spans="1:7" x14ac:dyDescent="0.3">
      <c r="A115" s="12" t="s">
        <v>588</v>
      </c>
      <c r="B115" s="12" t="s">
        <v>64</v>
      </c>
      <c r="C115" s="12" t="s">
        <v>796</v>
      </c>
      <c r="D115" s="12" t="s">
        <v>1485</v>
      </c>
      <c r="E115" s="12">
        <v>30</v>
      </c>
      <c r="F115" s="12"/>
      <c r="G115" s="12" t="s">
        <v>273</v>
      </c>
    </row>
    <row r="116" spans="1:7" x14ac:dyDescent="0.3">
      <c r="A116" s="12" t="s">
        <v>588</v>
      </c>
      <c r="B116" s="12" t="s">
        <v>65</v>
      </c>
      <c r="C116" s="12" t="s">
        <v>796</v>
      </c>
      <c r="D116" s="12" t="s">
        <v>1486</v>
      </c>
      <c r="E116" s="12">
        <v>30</v>
      </c>
      <c r="F116" s="12"/>
      <c r="G116" s="12" t="s">
        <v>273</v>
      </c>
    </row>
    <row r="117" spans="1:7" x14ac:dyDescent="0.3">
      <c r="A117" s="12" t="s">
        <v>588</v>
      </c>
      <c r="B117" s="12" t="s">
        <v>66</v>
      </c>
      <c r="C117" s="12" t="s">
        <v>796</v>
      </c>
      <c r="D117" s="12" t="s">
        <v>1480</v>
      </c>
      <c r="E117" s="12">
        <v>29</v>
      </c>
      <c r="F117" s="12"/>
      <c r="G117" s="12" t="s">
        <v>275</v>
      </c>
    </row>
    <row r="118" spans="1:7" x14ac:dyDescent="0.3">
      <c r="A118" s="12" t="s">
        <v>588</v>
      </c>
      <c r="B118" s="12" t="s">
        <v>803</v>
      </c>
      <c r="C118" s="12" t="s">
        <v>793</v>
      </c>
      <c r="D118" s="12" t="s">
        <v>804</v>
      </c>
      <c r="E118" s="12"/>
      <c r="F118" s="12"/>
      <c r="G118" s="12" t="s">
        <v>273</v>
      </c>
    </row>
    <row r="119" spans="1:7" x14ac:dyDescent="0.3">
      <c r="A119" s="12" t="s">
        <v>597</v>
      </c>
      <c r="B119" s="12" t="s">
        <v>49</v>
      </c>
      <c r="C119" s="12" t="s">
        <v>796</v>
      </c>
      <c r="D119" s="12" t="s">
        <v>1487</v>
      </c>
      <c r="E119" s="12">
        <v>30</v>
      </c>
      <c r="F119" s="12"/>
      <c r="G119" s="12" t="s">
        <v>275</v>
      </c>
    </row>
    <row r="120" spans="1:7" x14ac:dyDescent="0.3">
      <c r="A120" s="12" t="s">
        <v>597</v>
      </c>
      <c r="B120" s="12" t="s">
        <v>51</v>
      </c>
      <c r="C120" s="12" t="s">
        <v>796</v>
      </c>
      <c r="D120" s="12" t="s">
        <v>1488</v>
      </c>
      <c r="E120" s="12">
        <v>30</v>
      </c>
      <c r="F120" s="12"/>
      <c r="G120" s="12" t="s">
        <v>275</v>
      </c>
    </row>
    <row r="121" spans="1:7" x14ac:dyDescent="0.3">
      <c r="A121" s="12" t="s">
        <v>597</v>
      </c>
      <c r="B121" s="12" t="s">
        <v>53</v>
      </c>
      <c r="C121" s="12" t="s">
        <v>796</v>
      </c>
      <c r="D121" s="12" t="s">
        <v>1489</v>
      </c>
      <c r="E121" s="12">
        <v>30</v>
      </c>
      <c r="F121" s="12"/>
      <c r="G121" s="12" t="s">
        <v>270</v>
      </c>
    </row>
    <row r="122" spans="1:7" x14ac:dyDescent="0.3">
      <c r="A122" s="12" t="s">
        <v>597</v>
      </c>
      <c r="B122" s="12" t="s">
        <v>54</v>
      </c>
      <c r="C122" s="12" t="s">
        <v>796</v>
      </c>
      <c r="D122" s="12" t="s">
        <v>1490</v>
      </c>
      <c r="E122" s="12">
        <v>30</v>
      </c>
      <c r="F122" s="12"/>
      <c r="G122" s="12" t="s">
        <v>270</v>
      </c>
    </row>
    <row r="123" spans="1:7" x14ac:dyDescent="0.3">
      <c r="A123" s="12" t="s">
        <v>597</v>
      </c>
      <c r="B123" s="12" t="s">
        <v>55</v>
      </c>
      <c r="C123" s="12" t="s">
        <v>793</v>
      </c>
      <c r="D123" s="12" t="s">
        <v>799</v>
      </c>
      <c r="E123" s="12"/>
      <c r="F123" s="12" t="s">
        <v>749</v>
      </c>
      <c r="G123" s="12" t="s">
        <v>273</v>
      </c>
    </row>
    <row r="124" spans="1:7" x14ac:dyDescent="0.3">
      <c r="A124" s="12" t="s">
        <v>597</v>
      </c>
      <c r="B124" s="12" t="s">
        <v>57</v>
      </c>
      <c r="C124" s="12" t="s">
        <v>793</v>
      </c>
      <c r="D124" s="12" t="s">
        <v>800</v>
      </c>
      <c r="E124" s="12"/>
      <c r="F124" s="12" t="s">
        <v>749</v>
      </c>
      <c r="G124" s="12" t="s">
        <v>283</v>
      </c>
    </row>
    <row r="125" spans="1:7" x14ac:dyDescent="0.3">
      <c r="A125" s="12" t="s">
        <v>597</v>
      </c>
      <c r="B125" s="12" t="s">
        <v>59</v>
      </c>
      <c r="C125" s="12" t="s">
        <v>793</v>
      </c>
      <c r="D125" s="12" t="s">
        <v>755</v>
      </c>
      <c r="E125" s="12"/>
      <c r="F125" s="12" t="s">
        <v>749</v>
      </c>
      <c r="G125" s="12" t="s">
        <v>273</v>
      </c>
    </row>
    <row r="126" spans="1:7" x14ac:dyDescent="0.3">
      <c r="A126" s="12" t="s">
        <v>597</v>
      </c>
      <c r="B126" s="12" t="s">
        <v>61</v>
      </c>
      <c r="C126" s="12" t="s">
        <v>793</v>
      </c>
      <c r="D126" s="12" t="s">
        <v>757</v>
      </c>
      <c r="E126" s="12"/>
      <c r="F126" s="12" t="s">
        <v>749</v>
      </c>
      <c r="G126" s="12" t="s">
        <v>273</v>
      </c>
    </row>
    <row r="127" spans="1:7" x14ac:dyDescent="0.3">
      <c r="A127" s="12" t="s">
        <v>597</v>
      </c>
      <c r="B127" s="12" t="s">
        <v>63</v>
      </c>
      <c r="C127" s="12" t="s">
        <v>793</v>
      </c>
      <c r="D127" s="12" t="s">
        <v>755</v>
      </c>
      <c r="E127" s="12"/>
      <c r="F127" s="12" t="s">
        <v>749</v>
      </c>
      <c r="G127" s="12" t="s">
        <v>273</v>
      </c>
    </row>
    <row r="128" spans="1:7" x14ac:dyDescent="0.3">
      <c r="A128" s="12" t="s">
        <v>597</v>
      </c>
      <c r="B128" s="12" t="s">
        <v>64</v>
      </c>
      <c r="C128" s="12" t="s">
        <v>793</v>
      </c>
      <c r="D128" s="12" t="s">
        <v>757</v>
      </c>
      <c r="E128" s="12"/>
      <c r="F128" s="12" t="s">
        <v>749</v>
      </c>
      <c r="G128" s="12" t="s">
        <v>273</v>
      </c>
    </row>
    <row r="129" spans="1:7" x14ac:dyDescent="0.3">
      <c r="A129" s="12" t="s">
        <v>597</v>
      </c>
      <c r="B129" s="12" t="s">
        <v>65</v>
      </c>
      <c r="C129" s="12" t="s">
        <v>793</v>
      </c>
      <c r="D129" s="12" t="s">
        <v>801</v>
      </c>
      <c r="E129" s="12"/>
      <c r="F129" s="12" t="s">
        <v>749</v>
      </c>
      <c r="G129" s="12" t="s">
        <v>273</v>
      </c>
    </row>
    <row r="130" spans="1:7" x14ac:dyDescent="0.3">
      <c r="A130" s="12" t="s">
        <v>597</v>
      </c>
      <c r="B130" s="12" t="s">
        <v>66</v>
      </c>
      <c r="C130" s="12" t="s">
        <v>796</v>
      </c>
      <c r="D130" s="12" t="s">
        <v>1488</v>
      </c>
      <c r="E130" s="12">
        <v>30</v>
      </c>
      <c r="F130" s="12"/>
      <c r="G130" s="12" t="s">
        <v>275</v>
      </c>
    </row>
    <row r="131" spans="1:7" x14ac:dyDescent="0.3">
      <c r="A131" s="12" t="s">
        <v>597</v>
      </c>
      <c r="B131" s="12" t="s">
        <v>803</v>
      </c>
      <c r="C131" s="12" t="s">
        <v>793</v>
      </c>
      <c r="D131" s="12" t="s">
        <v>804</v>
      </c>
      <c r="E131" s="12"/>
      <c r="F131" s="12"/>
      <c r="G131" s="12" t="s">
        <v>273</v>
      </c>
    </row>
    <row r="132" spans="1:7" x14ac:dyDescent="0.3">
      <c r="A132" s="12" t="s">
        <v>602</v>
      </c>
      <c r="B132" s="12" t="s">
        <v>49</v>
      </c>
      <c r="C132" s="12" t="s">
        <v>796</v>
      </c>
      <c r="D132" s="12" t="s">
        <v>1491</v>
      </c>
      <c r="E132" s="12">
        <v>30</v>
      </c>
      <c r="F132" s="12"/>
      <c r="G132" s="12" t="s">
        <v>275</v>
      </c>
    </row>
    <row r="133" spans="1:7" x14ac:dyDescent="0.3">
      <c r="A133" s="12" t="s">
        <v>602</v>
      </c>
      <c r="B133" s="12" t="s">
        <v>51</v>
      </c>
      <c r="C133" s="12" t="s">
        <v>796</v>
      </c>
      <c r="D133" s="12" t="s">
        <v>1492</v>
      </c>
      <c r="E133" s="12">
        <v>30</v>
      </c>
      <c r="F133" s="12"/>
      <c r="G133" s="12" t="s">
        <v>275</v>
      </c>
    </row>
    <row r="134" spans="1:7" x14ac:dyDescent="0.3">
      <c r="A134" s="12" t="s">
        <v>602</v>
      </c>
      <c r="B134" s="12" t="s">
        <v>53</v>
      </c>
      <c r="C134" s="12" t="s">
        <v>793</v>
      </c>
      <c r="D134" s="12" t="s">
        <v>805</v>
      </c>
      <c r="E134" s="12"/>
      <c r="F134" s="12" t="s">
        <v>749</v>
      </c>
      <c r="G134" s="12" t="s">
        <v>270</v>
      </c>
    </row>
    <row r="135" spans="1:7" x14ac:dyDescent="0.3">
      <c r="A135" s="12" t="s">
        <v>602</v>
      </c>
      <c r="B135" s="12" t="s">
        <v>54</v>
      </c>
      <c r="C135" s="12" t="s">
        <v>796</v>
      </c>
      <c r="D135" s="12" t="s">
        <v>1493</v>
      </c>
      <c r="E135" s="12">
        <v>30</v>
      </c>
      <c r="F135" s="12"/>
      <c r="G135" s="12" t="s">
        <v>270</v>
      </c>
    </row>
    <row r="136" spans="1:7" x14ac:dyDescent="0.3">
      <c r="A136" s="12" t="s">
        <v>602</v>
      </c>
      <c r="B136" s="12" t="s">
        <v>55</v>
      </c>
      <c r="C136" s="12" t="s">
        <v>793</v>
      </c>
      <c r="D136" s="12" t="s">
        <v>799</v>
      </c>
      <c r="E136" s="12"/>
      <c r="F136" s="12" t="s">
        <v>749</v>
      </c>
      <c r="G136" s="12" t="s">
        <v>273</v>
      </c>
    </row>
    <row r="137" spans="1:7" x14ac:dyDescent="0.3">
      <c r="A137" s="12" t="s">
        <v>602</v>
      </c>
      <c r="B137" s="12" t="s">
        <v>57</v>
      </c>
      <c r="C137" s="12" t="s">
        <v>793</v>
      </c>
      <c r="D137" s="12" t="s">
        <v>800</v>
      </c>
      <c r="E137" s="12"/>
      <c r="F137" s="12" t="s">
        <v>749</v>
      </c>
      <c r="G137" s="12" t="s">
        <v>283</v>
      </c>
    </row>
    <row r="138" spans="1:7" x14ac:dyDescent="0.3">
      <c r="A138" s="12" t="s">
        <v>602</v>
      </c>
      <c r="B138" s="12" t="s">
        <v>59</v>
      </c>
      <c r="C138" s="12" t="s">
        <v>796</v>
      </c>
      <c r="D138" s="12" t="s">
        <v>1494</v>
      </c>
      <c r="E138" s="12">
        <v>30</v>
      </c>
      <c r="F138" s="12"/>
      <c r="G138" s="12" t="s">
        <v>273</v>
      </c>
    </row>
    <row r="139" spans="1:7" x14ac:dyDescent="0.3">
      <c r="A139" s="12" t="s">
        <v>602</v>
      </c>
      <c r="B139" s="12" t="s">
        <v>61</v>
      </c>
      <c r="C139" s="12" t="s">
        <v>796</v>
      </c>
      <c r="D139" s="12" t="s">
        <v>1495</v>
      </c>
      <c r="E139" s="12">
        <v>30</v>
      </c>
      <c r="F139" s="12"/>
      <c r="G139" s="12" t="s">
        <v>273</v>
      </c>
    </row>
    <row r="140" spans="1:7" x14ac:dyDescent="0.3">
      <c r="A140" s="12" t="s">
        <v>602</v>
      </c>
      <c r="B140" s="12" t="s">
        <v>63</v>
      </c>
      <c r="C140" s="12" t="s">
        <v>796</v>
      </c>
      <c r="D140" s="12" t="s">
        <v>1242</v>
      </c>
      <c r="E140" s="12">
        <v>30</v>
      </c>
      <c r="F140" s="12"/>
      <c r="G140" s="12" t="s">
        <v>273</v>
      </c>
    </row>
    <row r="141" spans="1:7" x14ac:dyDescent="0.3">
      <c r="A141" s="12" t="s">
        <v>602</v>
      </c>
      <c r="B141" s="12" t="s">
        <v>64</v>
      </c>
      <c r="C141" s="12" t="s">
        <v>796</v>
      </c>
      <c r="D141" s="12" t="s">
        <v>1496</v>
      </c>
      <c r="E141" s="12">
        <v>30</v>
      </c>
      <c r="F141" s="12"/>
      <c r="G141" s="12" t="s">
        <v>273</v>
      </c>
    </row>
    <row r="142" spans="1:7" x14ac:dyDescent="0.3">
      <c r="A142" s="12" t="s">
        <v>602</v>
      </c>
      <c r="B142" s="12" t="s">
        <v>65</v>
      </c>
      <c r="C142" s="12" t="s">
        <v>796</v>
      </c>
      <c r="D142" s="12" t="s">
        <v>1497</v>
      </c>
      <c r="E142" s="12">
        <v>30</v>
      </c>
      <c r="F142" s="12"/>
      <c r="G142" s="12" t="s">
        <v>273</v>
      </c>
    </row>
    <row r="143" spans="1:7" x14ac:dyDescent="0.3">
      <c r="A143" s="12" t="s">
        <v>602</v>
      </c>
      <c r="B143" s="12" t="s">
        <v>66</v>
      </c>
      <c r="C143" s="12" t="s">
        <v>796</v>
      </c>
      <c r="D143" s="12" t="s">
        <v>1492</v>
      </c>
      <c r="E143" s="12">
        <v>30</v>
      </c>
      <c r="F143" s="12"/>
      <c r="G143" s="12" t="s">
        <v>275</v>
      </c>
    </row>
    <row r="144" spans="1:7" x14ac:dyDescent="0.3">
      <c r="A144" s="12" t="s">
        <v>602</v>
      </c>
      <c r="B144" s="12" t="s">
        <v>803</v>
      </c>
      <c r="C144" s="12" t="s">
        <v>793</v>
      </c>
      <c r="D144" s="12" t="s">
        <v>804</v>
      </c>
      <c r="E144" s="12"/>
      <c r="F144" s="12"/>
      <c r="G144" s="12" t="s">
        <v>273</v>
      </c>
    </row>
    <row r="145" spans="1:7" x14ac:dyDescent="0.3">
      <c r="A145" s="12" t="s">
        <v>611</v>
      </c>
      <c r="B145" s="12" t="s">
        <v>49</v>
      </c>
      <c r="C145" s="12" t="s">
        <v>796</v>
      </c>
      <c r="D145" s="12" t="s">
        <v>1498</v>
      </c>
      <c r="E145" s="12">
        <v>30</v>
      </c>
      <c r="F145" s="12"/>
      <c r="G145" s="12" t="s">
        <v>275</v>
      </c>
    </row>
    <row r="146" spans="1:7" x14ac:dyDescent="0.3">
      <c r="A146" s="12" t="s">
        <v>611</v>
      </c>
      <c r="B146" s="12" t="s">
        <v>51</v>
      </c>
      <c r="C146" s="12" t="s">
        <v>796</v>
      </c>
      <c r="D146" s="12" t="s">
        <v>1499</v>
      </c>
      <c r="E146" s="12">
        <v>30</v>
      </c>
      <c r="F146" s="12"/>
      <c r="G146" s="12" t="s">
        <v>275</v>
      </c>
    </row>
    <row r="147" spans="1:7" x14ac:dyDescent="0.3">
      <c r="A147" s="12" t="s">
        <v>611</v>
      </c>
      <c r="B147" s="12" t="s">
        <v>53</v>
      </c>
      <c r="C147" s="12" t="s">
        <v>796</v>
      </c>
      <c r="D147" s="12" t="s">
        <v>1500</v>
      </c>
      <c r="E147" s="12">
        <v>30</v>
      </c>
      <c r="F147" s="12"/>
      <c r="G147" s="12" t="s">
        <v>270</v>
      </c>
    </row>
    <row r="148" spans="1:7" x14ac:dyDescent="0.3">
      <c r="A148" s="12" t="s">
        <v>611</v>
      </c>
      <c r="B148" s="12" t="s">
        <v>54</v>
      </c>
      <c r="C148" s="12" t="s">
        <v>793</v>
      </c>
      <c r="D148" s="12" t="s">
        <v>798</v>
      </c>
      <c r="E148" s="12"/>
      <c r="F148" s="12" t="s">
        <v>749</v>
      </c>
      <c r="G148" s="12" t="s">
        <v>270</v>
      </c>
    </row>
    <row r="149" spans="1:7" x14ac:dyDescent="0.3">
      <c r="A149" s="12" t="s">
        <v>611</v>
      </c>
      <c r="B149" s="12" t="s">
        <v>55</v>
      </c>
      <c r="C149" s="12" t="s">
        <v>793</v>
      </c>
      <c r="D149" s="12" t="s">
        <v>799</v>
      </c>
      <c r="E149" s="12"/>
      <c r="F149" s="12" t="s">
        <v>749</v>
      </c>
      <c r="G149" s="12" t="s">
        <v>273</v>
      </c>
    </row>
    <row r="150" spans="1:7" x14ac:dyDescent="0.3">
      <c r="A150" s="12" t="s">
        <v>611</v>
      </c>
      <c r="B150" s="12" t="s">
        <v>57</v>
      </c>
      <c r="C150" s="12" t="s">
        <v>793</v>
      </c>
      <c r="D150" s="12" t="s">
        <v>800</v>
      </c>
      <c r="E150" s="12"/>
      <c r="F150" s="12" t="s">
        <v>749</v>
      </c>
      <c r="G150" s="12" t="s">
        <v>283</v>
      </c>
    </row>
    <row r="151" spans="1:7" x14ac:dyDescent="0.3">
      <c r="A151" s="12" t="s">
        <v>611</v>
      </c>
      <c r="B151" s="12" t="s">
        <v>59</v>
      </c>
      <c r="C151" s="12" t="s">
        <v>796</v>
      </c>
      <c r="D151" s="12" t="s">
        <v>1248</v>
      </c>
      <c r="E151" s="12">
        <v>30</v>
      </c>
      <c r="F151" s="12"/>
      <c r="G151" s="12" t="s">
        <v>273</v>
      </c>
    </row>
    <row r="152" spans="1:7" x14ac:dyDescent="0.3">
      <c r="A152" s="12" t="s">
        <v>611</v>
      </c>
      <c r="B152" s="12" t="s">
        <v>61</v>
      </c>
      <c r="C152" s="12" t="s">
        <v>796</v>
      </c>
      <c r="D152" s="12" t="s">
        <v>1501</v>
      </c>
      <c r="E152" s="12">
        <v>30</v>
      </c>
      <c r="F152" s="12"/>
      <c r="G152" s="12" t="s">
        <v>273</v>
      </c>
    </row>
    <row r="153" spans="1:7" x14ac:dyDescent="0.3">
      <c r="A153" s="12" t="s">
        <v>611</v>
      </c>
      <c r="B153" s="12" t="s">
        <v>63</v>
      </c>
      <c r="C153" s="12" t="s">
        <v>796</v>
      </c>
      <c r="D153" s="12" t="s">
        <v>1502</v>
      </c>
      <c r="E153" s="12">
        <v>30</v>
      </c>
      <c r="F153" s="12"/>
      <c r="G153" s="12" t="s">
        <v>273</v>
      </c>
    </row>
    <row r="154" spans="1:7" x14ac:dyDescent="0.3">
      <c r="A154" s="12" t="s">
        <v>611</v>
      </c>
      <c r="B154" s="12" t="s">
        <v>64</v>
      </c>
      <c r="C154" s="12" t="s">
        <v>796</v>
      </c>
      <c r="D154" s="12" t="s">
        <v>1503</v>
      </c>
      <c r="E154" s="12">
        <v>30</v>
      </c>
      <c r="F154" s="12"/>
      <c r="G154" s="12" t="s">
        <v>273</v>
      </c>
    </row>
    <row r="155" spans="1:7" x14ac:dyDescent="0.3">
      <c r="A155" s="12" t="s">
        <v>611</v>
      </c>
      <c r="B155" s="12" t="s">
        <v>65</v>
      </c>
      <c r="C155" s="12" t="s">
        <v>796</v>
      </c>
      <c r="D155" s="12" t="s">
        <v>1504</v>
      </c>
      <c r="E155" s="12">
        <v>30</v>
      </c>
      <c r="F155" s="12"/>
      <c r="G155" s="12" t="s">
        <v>273</v>
      </c>
    </row>
    <row r="156" spans="1:7" x14ac:dyDescent="0.3">
      <c r="A156" s="12" t="s">
        <v>611</v>
      </c>
      <c r="B156" s="12" t="s">
        <v>66</v>
      </c>
      <c r="C156" s="12" t="s">
        <v>796</v>
      </c>
      <c r="D156" s="12" t="s">
        <v>1499</v>
      </c>
      <c r="E156" s="12">
        <v>30</v>
      </c>
      <c r="F156" s="12"/>
      <c r="G156" s="12" t="s">
        <v>275</v>
      </c>
    </row>
    <row r="157" spans="1:7" x14ac:dyDescent="0.3">
      <c r="A157" s="12" t="s">
        <v>611</v>
      </c>
      <c r="B157" s="12" t="s">
        <v>803</v>
      </c>
      <c r="C157" s="12" t="s">
        <v>793</v>
      </c>
      <c r="D157" s="12" t="s">
        <v>804</v>
      </c>
      <c r="E157" s="12"/>
      <c r="F157" s="12"/>
      <c r="G157" s="12" t="s">
        <v>273</v>
      </c>
    </row>
    <row r="158" spans="1:7" x14ac:dyDescent="0.3">
      <c r="A158" s="12" t="s">
        <v>620</v>
      </c>
      <c r="B158" s="12" t="s">
        <v>49</v>
      </c>
      <c r="C158" s="12" t="s">
        <v>796</v>
      </c>
      <c r="D158" s="12" t="s">
        <v>1505</v>
      </c>
      <c r="E158" s="12">
        <v>30</v>
      </c>
      <c r="F158" s="12"/>
      <c r="G158" s="12" t="s">
        <v>275</v>
      </c>
    </row>
    <row r="159" spans="1:7" x14ac:dyDescent="0.3">
      <c r="A159" s="12" t="s">
        <v>620</v>
      </c>
      <c r="B159" s="12" t="s">
        <v>51</v>
      </c>
      <c r="C159" s="12" t="s">
        <v>793</v>
      </c>
      <c r="D159" s="12" t="s">
        <v>795</v>
      </c>
      <c r="E159" s="12"/>
      <c r="F159" s="12" t="s">
        <v>749</v>
      </c>
      <c r="G159" s="12" t="s">
        <v>275</v>
      </c>
    </row>
    <row r="160" spans="1:7" x14ac:dyDescent="0.3">
      <c r="A160" s="12" t="s">
        <v>620</v>
      </c>
      <c r="B160" s="12" t="s">
        <v>53</v>
      </c>
      <c r="C160" s="12" t="s">
        <v>796</v>
      </c>
      <c r="D160" s="12" t="s">
        <v>1506</v>
      </c>
      <c r="E160" s="12">
        <v>30</v>
      </c>
      <c r="F160" s="12"/>
      <c r="G160" s="12" t="s">
        <v>270</v>
      </c>
    </row>
    <row r="161" spans="1:7" x14ac:dyDescent="0.3">
      <c r="A161" s="12" t="s">
        <v>620</v>
      </c>
      <c r="B161" s="12" t="s">
        <v>54</v>
      </c>
      <c r="C161" s="12" t="s">
        <v>796</v>
      </c>
      <c r="D161" s="12" t="s">
        <v>1507</v>
      </c>
      <c r="E161" s="12">
        <v>30</v>
      </c>
      <c r="F161" s="12"/>
      <c r="G161" s="12" t="s">
        <v>270</v>
      </c>
    </row>
    <row r="162" spans="1:7" x14ac:dyDescent="0.3">
      <c r="A162" s="12" t="s">
        <v>620</v>
      </c>
      <c r="B162" s="12" t="s">
        <v>55</v>
      </c>
      <c r="C162" s="12" t="s">
        <v>793</v>
      </c>
      <c r="D162" s="12" t="s">
        <v>799</v>
      </c>
      <c r="E162" s="12"/>
      <c r="F162" s="12" t="s">
        <v>749</v>
      </c>
      <c r="G162" s="12" t="s">
        <v>273</v>
      </c>
    </row>
    <row r="163" spans="1:7" x14ac:dyDescent="0.3">
      <c r="A163" s="12" t="s">
        <v>620</v>
      </c>
      <c r="B163" s="12" t="s">
        <v>57</v>
      </c>
      <c r="C163" s="12" t="s">
        <v>793</v>
      </c>
      <c r="D163" s="12" t="s">
        <v>800</v>
      </c>
      <c r="E163" s="12"/>
      <c r="F163" s="12" t="s">
        <v>749</v>
      </c>
      <c r="G163" s="12" t="s">
        <v>283</v>
      </c>
    </row>
    <row r="164" spans="1:7" x14ac:dyDescent="0.3">
      <c r="A164" s="12" t="s">
        <v>620</v>
      </c>
      <c r="B164" s="12" t="s">
        <v>59</v>
      </c>
      <c r="C164" s="12" t="s">
        <v>796</v>
      </c>
      <c r="D164" s="12" t="s">
        <v>1508</v>
      </c>
      <c r="E164" s="12">
        <v>30</v>
      </c>
      <c r="F164" s="12"/>
      <c r="G164" s="12" t="s">
        <v>273</v>
      </c>
    </row>
    <row r="165" spans="1:7" x14ac:dyDescent="0.3">
      <c r="A165" s="12" t="s">
        <v>620</v>
      </c>
      <c r="B165" s="12" t="s">
        <v>61</v>
      </c>
      <c r="C165" s="12" t="s">
        <v>796</v>
      </c>
      <c r="D165" s="12" t="s">
        <v>1509</v>
      </c>
      <c r="E165" s="12">
        <v>30</v>
      </c>
      <c r="F165" s="12"/>
      <c r="G165" s="12" t="s">
        <v>273</v>
      </c>
    </row>
    <row r="166" spans="1:7" x14ac:dyDescent="0.3">
      <c r="A166" s="12" t="s">
        <v>620</v>
      </c>
      <c r="B166" s="12" t="s">
        <v>63</v>
      </c>
      <c r="C166" s="12" t="s">
        <v>796</v>
      </c>
      <c r="D166" s="12" t="s">
        <v>1510</v>
      </c>
      <c r="E166" s="12">
        <v>30</v>
      </c>
      <c r="F166" s="12"/>
      <c r="G166" s="12" t="s">
        <v>273</v>
      </c>
    </row>
    <row r="167" spans="1:7" x14ac:dyDescent="0.3">
      <c r="A167" s="12" t="s">
        <v>620</v>
      </c>
      <c r="B167" s="12" t="s">
        <v>64</v>
      </c>
      <c r="C167" s="12" t="s">
        <v>796</v>
      </c>
      <c r="D167" s="12" t="s">
        <v>1511</v>
      </c>
      <c r="E167" s="12">
        <v>30</v>
      </c>
      <c r="F167" s="12"/>
      <c r="G167" s="12" t="s">
        <v>273</v>
      </c>
    </row>
    <row r="168" spans="1:7" x14ac:dyDescent="0.3">
      <c r="A168" s="12" t="s">
        <v>620</v>
      </c>
      <c r="B168" s="12" t="s">
        <v>65</v>
      </c>
      <c r="C168" s="12" t="s">
        <v>796</v>
      </c>
      <c r="D168" s="12" t="s">
        <v>1512</v>
      </c>
      <c r="E168" s="12">
        <v>30</v>
      </c>
      <c r="F168" s="12"/>
      <c r="G168" s="12" t="s">
        <v>273</v>
      </c>
    </row>
    <row r="169" spans="1:7" x14ac:dyDescent="0.3">
      <c r="A169" s="12" t="s">
        <v>620</v>
      </c>
      <c r="B169" s="12" t="s">
        <v>66</v>
      </c>
      <c r="C169" s="12" t="s">
        <v>793</v>
      </c>
      <c r="D169" s="12" t="s">
        <v>795</v>
      </c>
      <c r="E169" s="12"/>
      <c r="F169" s="12" t="s">
        <v>749</v>
      </c>
      <c r="G169" s="12" t="s">
        <v>275</v>
      </c>
    </row>
    <row r="170" spans="1:7" x14ac:dyDescent="0.3">
      <c r="A170" s="12" t="s">
        <v>620</v>
      </c>
      <c r="B170" s="12" t="s">
        <v>803</v>
      </c>
      <c r="C170" s="12" t="s">
        <v>793</v>
      </c>
      <c r="D170" s="12" t="s">
        <v>804</v>
      </c>
      <c r="E170" s="12"/>
      <c r="F170" s="12"/>
      <c r="G170" s="12" t="s">
        <v>273</v>
      </c>
    </row>
    <row r="171" spans="1:7" x14ac:dyDescent="0.3">
      <c r="A171" s="12" t="s">
        <v>629</v>
      </c>
      <c r="B171" s="12" t="s">
        <v>49</v>
      </c>
      <c r="C171" s="12" t="s">
        <v>793</v>
      </c>
      <c r="D171" s="12" t="s">
        <v>794</v>
      </c>
      <c r="E171" s="12"/>
      <c r="F171" s="12" t="s">
        <v>749</v>
      </c>
      <c r="G171" s="12" t="s">
        <v>275</v>
      </c>
    </row>
    <row r="172" spans="1:7" x14ac:dyDescent="0.3">
      <c r="A172" s="12" t="s">
        <v>629</v>
      </c>
      <c r="B172" s="12" t="s">
        <v>51</v>
      </c>
      <c r="C172" s="12" t="s">
        <v>796</v>
      </c>
      <c r="D172" s="12" t="s">
        <v>1513</v>
      </c>
      <c r="E172" s="12">
        <v>30</v>
      </c>
      <c r="F172" s="12"/>
      <c r="G172" s="12" t="s">
        <v>275</v>
      </c>
    </row>
    <row r="173" spans="1:7" x14ac:dyDescent="0.3">
      <c r="A173" s="12" t="s">
        <v>629</v>
      </c>
      <c r="B173" s="12" t="s">
        <v>53</v>
      </c>
      <c r="C173" s="12" t="s">
        <v>793</v>
      </c>
      <c r="D173" s="12" t="s">
        <v>805</v>
      </c>
      <c r="E173" s="12"/>
      <c r="F173" s="12" t="s">
        <v>749</v>
      </c>
      <c r="G173" s="12" t="s">
        <v>270</v>
      </c>
    </row>
    <row r="174" spans="1:7" x14ac:dyDescent="0.3">
      <c r="A174" s="12" t="s">
        <v>629</v>
      </c>
      <c r="B174" s="12" t="s">
        <v>54</v>
      </c>
      <c r="C174" s="12" t="s">
        <v>796</v>
      </c>
      <c r="D174" s="12" t="s">
        <v>1514</v>
      </c>
      <c r="E174" s="12">
        <v>30</v>
      </c>
      <c r="F174" s="12"/>
      <c r="G174" s="12" t="s">
        <v>270</v>
      </c>
    </row>
    <row r="175" spans="1:7" x14ac:dyDescent="0.3">
      <c r="A175" s="12" t="s">
        <v>629</v>
      </c>
      <c r="B175" s="12" t="s">
        <v>55</v>
      </c>
      <c r="C175" s="12" t="s">
        <v>793</v>
      </c>
      <c r="D175" s="12" t="s">
        <v>799</v>
      </c>
      <c r="E175" s="12"/>
      <c r="F175" s="12" t="s">
        <v>749</v>
      </c>
      <c r="G175" s="12" t="s">
        <v>273</v>
      </c>
    </row>
    <row r="176" spans="1:7" x14ac:dyDescent="0.3">
      <c r="A176" s="12" t="s">
        <v>629</v>
      </c>
      <c r="B176" s="12" t="s">
        <v>57</v>
      </c>
      <c r="C176" s="12" t="s">
        <v>793</v>
      </c>
      <c r="D176" s="12" t="s">
        <v>800</v>
      </c>
      <c r="E176" s="12"/>
      <c r="F176" s="12" t="s">
        <v>749</v>
      </c>
      <c r="G176" s="12" t="s">
        <v>283</v>
      </c>
    </row>
    <row r="177" spans="1:7" x14ac:dyDescent="0.3">
      <c r="A177" s="12" t="s">
        <v>629</v>
      </c>
      <c r="B177" s="12" t="s">
        <v>59</v>
      </c>
      <c r="C177" s="12" t="s">
        <v>796</v>
      </c>
      <c r="D177" s="12" t="s">
        <v>1515</v>
      </c>
      <c r="E177" s="12">
        <v>30</v>
      </c>
      <c r="F177" s="12"/>
      <c r="G177" s="12" t="s">
        <v>273</v>
      </c>
    </row>
    <row r="178" spans="1:7" x14ac:dyDescent="0.3">
      <c r="A178" s="12" t="s">
        <v>629</v>
      </c>
      <c r="B178" s="12" t="s">
        <v>61</v>
      </c>
      <c r="C178" s="12" t="s">
        <v>796</v>
      </c>
      <c r="D178" s="12" t="s">
        <v>1516</v>
      </c>
      <c r="E178" s="12">
        <v>30</v>
      </c>
      <c r="F178" s="12"/>
      <c r="G178" s="12" t="s">
        <v>273</v>
      </c>
    </row>
    <row r="179" spans="1:7" x14ac:dyDescent="0.3">
      <c r="A179" s="12" t="s">
        <v>629</v>
      </c>
      <c r="B179" s="12" t="s">
        <v>63</v>
      </c>
      <c r="C179" s="12" t="s">
        <v>796</v>
      </c>
      <c r="D179" s="12" t="s">
        <v>1517</v>
      </c>
      <c r="E179" s="12">
        <v>30</v>
      </c>
      <c r="F179" s="12"/>
      <c r="G179" s="12" t="s">
        <v>273</v>
      </c>
    </row>
    <row r="180" spans="1:7" x14ac:dyDescent="0.3">
      <c r="A180" s="12" t="s">
        <v>629</v>
      </c>
      <c r="B180" s="12" t="s">
        <v>64</v>
      </c>
      <c r="C180" s="12" t="s">
        <v>796</v>
      </c>
      <c r="D180" s="12" t="s">
        <v>1518</v>
      </c>
      <c r="E180" s="12">
        <v>30</v>
      </c>
      <c r="F180" s="12"/>
      <c r="G180" s="12" t="s">
        <v>273</v>
      </c>
    </row>
    <row r="181" spans="1:7" x14ac:dyDescent="0.3">
      <c r="A181" s="12" t="s">
        <v>629</v>
      </c>
      <c r="B181" s="12" t="s">
        <v>65</v>
      </c>
      <c r="C181" s="12" t="s">
        <v>796</v>
      </c>
      <c r="D181" s="12" t="s">
        <v>1518</v>
      </c>
      <c r="E181" s="12">
        <v>30</v>
      </c>
      <c r="F181" s="12"/>
      <c r="G181" s="12" t="s">
        <v>273</v>
      </c>
    </row>
    <row r="182" spans="1:7" x14ac:dyDescent="0.3">
      <c r="A182" s="12" t="s">
        <v>629</v>
      </c>
      <c r="B182" s="12" t="s">
        <v>66</v>
      </c>
      <c r="C182" s="12" t="s">
        <v>796</v>
      </c>
      <c r="D182" s="12" t="s">
        <v>1513</v>
      </c>
      <c r="E182" s="12">
        <v>30</v>
      </c>
      <c r="F182" s="12"/>
      <c r="G182" s="12" t="s">
        <v>275</v>
      </c>
    </row>
    <row r="183" spans="1:7" x14ac:dyDescent="0.3">
      <c r="A183" s="12" t="s">
        <v>629</v>
      </c>
      <c r="B183" s="12" t="s">
        <v>803</v>
      </c>
      <c r="C183" s="12" t="s">
        <v>793</v>
      </c>
      <c r="D183" s="12" t="s">
        <v>804</v>
      </c>
      <c r="E183" s="12"/>
      <c r="F183" s="12"/>
      <c r="G183" s="12" t="s">
        <v>273</v>
      </c>
    </row>
    <row r="184" spans="1:7" x14ac:dyDescent="0.3">
      <c r="A184" s="12" t="s">
        <v>637</v>
      </c>
      <c r="B184" s="12" t="s">
        <v>49</v>
      </c>
      <c r="C184" s="12" t="s">
        <v>796</v>
      </c>
      <c r="D184" s="12" t="s">
        <v>1519</v>
      </c>
      <c r="E184" s="12">
        <v>30</v>
      </c>
      <c r="F184" s="12"/>
      <c r="G184" s="12" t="s">
        <v>275</v>
      </c>
    </row>
    <row r="185" spans="1:7" x14ac:dyDescent="0.3">
      <c r="A185" s="12" t="s">
        <v>637</v>
      </c>
      <c r="B185" s="12" t="s">
        <v>51</v>
      </c>
      <c r="C185" s="12" t="s">
        <v>796</v>
      </c>
      <c r="D185" s="12" t="s">
        <v>1520</v>
      </c>
      <c r="E185" s="12">
        <v>30</v>
      </c>
      <c r="F185" s="12"/>
      <c r="G185" s="12" t="s">
        <v>275</v>
      </c>
    </row>
    <row r="186" spans="1:7" x14ac:dyDescent="0.3">
      <c r="A186" s="12" t="s">
        <v>637</v>
      </c>
      <c r="B186" s="12" t="s">
        <v>53</v>
      </c>
      <c r="C186" s="12" t="s">
        <v>793</v>
      </c>
      <c r="D186" s="12" t="s">
        <v>805</v>
      </c>
      <c r="E186" s="12"/>
      <c r="F186" s="12" t="s">
        <v>749</v>
      </c>
      <c r="G186" s="12" t="s">
        <v>270</v>
      </c>
    </row>
    <row r="187" spans="1:7" x14ac:dyDescent="0.3">
      <c r="A187" s="12" t="s">
        <v>637</v>
      </c>
      <c r="B187" s="12" t="s">
        <v>54</v>
      </c>
      <c r="C187" s="12" t="s">
        <v>796</v>
      </c>
      <c r="D187" s="12" t="s">
        <v>1521</v>
      </c>
      <c r="E187" s="12">
        <v>30</v>
      </c>
      <c r="F187" s="12"/>
      <c r="G187" s="12" t="s">
        <v>270</v>
      </c>
    </row>
    <row r="188" spans="1:7" x14ac:dyDescent="0.3">
      <c r="A188" s="12" t="s">
        <v>637</v>
      </c>
      <c r="B188" s="12" t="s">
        <v>55</v>
      </c>
      <c r="C188" s="12" t="s">
        <v>793</v>
      </c>
      <c r="D188" s="12" t="s">
        <v>799</v>
      </c>
      <c r="E188" s="12"/>
      <c r="F188" s="12" t="s">
        <v>749</v>
      </c>
      <c r="G188" s="12" t="s">
        <v>273</v>
      </c>
    </row>
    <row r="189" spans="1:7" x14ac:dyDescent="0.3">
      <c r="A189" s="12" t="s">
        <v>637</v>
      </c>
      <c r="B189" s="12" t="s">
        <v>57</v>
      </c>
      <c r="C189" s="12" t="s">
        <v>793</v>
      </c>
      <c r="D189" s="12" t="s">
        <v>800</v>
      </c>
      <c r="E189" s="12"/>
      <c r="F189" s="12" t="s">
        <v>749</v>
      </c>
      <c r="G189" s="12" t="s">
        <v>283</v>
      </c>
    </row>
    <row r="190" spans="1:7" x14ac:dyDescent="0.3">
      <c r="A190" s="12" t="s">
        <v>637</v>
      </c>
      <c r="B190" s="12" t="s">
        <v>59</v>
      </c>
      <c r="C190" s="12" t="s">
        <v>793</v>
      </c>
      <c r="D190" s="12" t="s">
        <v>755</v>
      </c>
      <c r="E190" s="12"/>
      <c r="F190" s="12" t="s">
        <v>749</v>
      </c>
      <c r="G190" s="12" t="s">
        <v>273</v>
      </c>
    </row>
    <row r="191" spans="1:7" x14ac:dyDescent="0.3">
      <c r="A191" s="12" t="s">
        <v>637</v>
      </c>
      <c r="B191" s="12" t="s">
        <v>61</v>
      </c>
      <c r="C191" s="12" t="s">
        <v>793</v>
      </c>
      <c r="D191" s="12" t="s">
        <v>757</v>
      </c>
      <c r="E191" s="12"/>
      <c r="F191" s="12" t="s">
        <v>749</v>
      </c>
      <c r="G191" s="12" t="s">
        <v>273</v>
      </c>
    </row>
    <row r="192" spans="1:7" x14ac:dyDescent="0.3">
      <c r="A192" s="12" t="s">
        <v>637</v>
      </c>
      <c r="B192" s="12" t="s">
        <v>63</v>
      </c>
      <c r="C192" s="12" t="s">
        <v>793</v>
      </c>
      <c r="D192" s="12" t="s">
        <v>755</v>
      </c>
      <c r="E192" s="12"/>
      <c r="F192" s="12" t="s">
        <v>749</v>
      </c>
      <c r="G192" s="12" t="s">
        <v>273</v>
      </c>
    </row>
    <row r="193" spans="1:7" x14ac:dyDescent="0.3">
      <c r="A193" s="12" t="s">
        <v>637</v>
      </c>
      <c r="B193" s="12" t="s">
        <v>64</v>
      </c>
      <c r="C193" s="12" t="s">
        <v>793</v>
      </c>
      <c r="D193" s="12" t="s">
        <v>757</v>
      </c>
      <c r="E193" s="12"/>
      <c r="F193" s="12" t="s">
        <v>749</v>
      </c>
      <c r="G193" s="12" t="s">
        <v>273</v>
      </c>
    </row>
    <row r="194" spans="1:7" x14ac:dyDescent="0.3">
      <c r="A194" s="12" t="s">
        <v>637</v>
      </c>
      <c r="B194" s="12" t="s">
        <v>65</v>
      </c>
      <c r="C194" s="12" t="s">
        <v>793</v>
      </c>
      <c r="D194" s="12" t="s">
        <v>801</v>
      </c>
      <c r="E194" s="12"/>
      <c r="F194" s="12" t="s">
        <v>749</v>
      </c>
      <c r="G194" s="12" t="s">
        <v>273</v>
      </c>
    </row>
    <row r="195" spans="1:7" x14ac:dyDescent="0.3">
      <c r="A195" s="12" t="s">
        <v>637</v>
      </c>
      <c r="B195" s="12" t="s">
        <v>66</v>
      </c>
      <c r="C195" s="12" t="s">
        <v>796</v>
      </c>
      <c r="D195" s="12" t="s">
        <v>1520</v>
      </c>
      <c r="E195" s="12">
        <v>30</v>
      </c>
      <c r="F195" s="12"/>
      <c r="G195" s="12" t="s">
        <v>275</v>
      </c>
    </row>
    <row r="196" spans="1:7" x14ac:dyDescent="0.3">
      <c r="A196" s="12" t="s">
        <v>637</v>
      </c>
      <c r="B196" s="12" t="s">
        <v>803</v>
      </c>
      <c r="C196" s="12" t="s">
        <v>793</v>
      </c>
      <c r="D196" s="12" t="s">
        <v>804</v>
      </c>
      <c r="E196" s="12"/>
      <c r="F196" s="12"/>
      <c r="G196" s="12" t="s">
        <v>273</v>
      </c>
    </row>
    <row r="197" spans="1:7" x14ac:dyDescent="0.3">
      <c r="A197" s="12" t="s">
        <v>641</v>
      </c>
      <c r="B197" s="12" t="s">
        <v>49</v>
      </c>
      <c r="C197" s="12" t="s">
        <v>796</v>
      </c>
      <c r="D197" s="12" t="s">
        <v>1522</v>
      </c>
      <c r="E197" s="12">
        <v>30</v>
      </c>
      <c r="F197" s="12"/>
      <c r="G197" s="12" t="s">
        <v>275</v>
      </c>
    </row>
    <row r="198" spans="1:7" x14ac:dyDescent="0.3">
      <c r="A198" s="12" t="s">
        <v>641</v>
      </c>
      <c r="B198" s="12" t="s">
        <v>51</v>
      </c>
      <c r="C198" s="12" t="s">
        <v>796</v>
      </c>
      <c r="D198" s="12" t="s">
        <v>1523</v>
      </c>
      <c r="E198" s="12">
        <v>30</v>
      </c>
      <c r="F198" s="12"/>
      <c r="G198" s="12" t="s">
        <v>275</v>
      </c>
    </row>
    <row r="199" spans="1:7" x14ac:dyDescent="0.3">
      <c r="A199" s="12" t="s">
        <v>641</v>
      </c>
      <c r="B199" s="12" t="s">
        <v>53</v>
      </c>
      <c r="C199" s="12" t="s">
        <v>793</v>
      </c>
      <c r="D199" s="12" t="s">
        <v>805</v>
      </c>
      <c r="E199" s="12"/>
      <c r="F199" s="12" t="s">
        <v>749</v>
      </c>
      <c r="G199" s="12" t="s">
        <v>270</v>
      </c>
    </row>
    <row r="200" spans="1:7" x14ac:dyDescent="0.3">
      <c r="A200" s="12" t="s">
        <v>641</v>
      </c>
      <c r="B200" s="12" t="s">
        <v>54</v>
      </c>
      <c r="C200" s="12" t="s">
        <v>793</v>
      </c>
      <c r="D200" s="12" t="s">
        <v>798</v>
      </c>
      <c r="E200" s="12"/>
      <c r="F200" s="12" t="s">
        <v>749</v>
      </c>
      <c r="G200" s="12" t="s">
        <v>270</v>
      </c>
    </row>
    <row r="201" spans="1:7" x14ac:dyDescent="0.3">
      <c r="A201" s="12" t="s">
        <v>641</v>
      </c>
      <c r="B201" s="12" t="s">
        <v>55</v>
      </c>
      <c r="C201" s="12" t="s">
        <v>793</v>
      </c>
      <c r="D201" s="12" t="s">
        <v>799</v>
      </c>
      <c r="E201" s="12"/>
      <c r="F201" s="12" t="s">
        <v>749</v>
      </c>
      <c r="G201" s="12" t="s">
        <v>273</v>
      </c>
    </row>
    <row r="202" spans="1:7" x14ac:dyDescent="0.3">
      <c r="A202" s="12" t="s">
        <v>641</v>
      </c>
      <c r="B202" s="12" t="s">
        <v>57</v>
      </c>
      <c r="C202" s="12" t="s">
        <v>793</v>
      </c>
      <c r="D202" s="12" t="s">
        <v>800</v>
      </c>
      <c r="E202" s="12"/>
      <c r="F202" s="12" t="s">
        <v>749</v>
      </c>
      <c r="G202" s="12" t="s">
        <v>283</v>
      </c>
    </row>
    <row r="203" spans="1:7" x14ac:dyDescent="0.3">
      <c r="A203" s="12" t="s">
        <v>641</v>
      </c>
      <c r="B203" s="12" t="s">
        <v>59</v>
      </c>
      <c r="C203" s="12" t="s">
        <v>796</v>
      </c>
      <c r="D203" s="12" t="s">
        <v>1524</v>
      </c>
      <c r="E203" s="12">
        <v>30</v>
      </c>
      <c r="F203" s="12"/>
      <c r="G203" s="12" t="s">
        <v>273</v>
      </c>
    </row>
    <row r="204" spans="1:7" x14ac:dyDescent="0.3">
      <c r="A204" s="12" t="s">
        <v>641</v>
      </c>
      <c r="B204" s="12" t="s">
        <v>61</v>
      </c>
      <c r="C204" s="12" t="s">
        <v>796</v>
      </c>
      <c r="D204" s="12" t="s">
        <v>1525</v>
      </c>
      <c r="E204" s="12">
        <v>30</v>
      </c>
      <c r="F204" s="12"/>
      <c r="G204" s="12" t="s">
        <v>273</v>
      </c>
    </row>
    <row r="205" spans="1:7" x14ac:dyDescent="0.3">
      <c r="A205" s="12" t="s">
        <v>641</v>
      </c>
      <c r="B205" s="12" t="s">
        <v>63</v>
      </c>
      <c r="C205" s="12" t="s">
        <v>796</v>
      </c>
      <c r="D205" s="12" t="s">
        <v>1526</v>
      </c>
      <c r="E205" s="12">
        <v>30</v>
      </c>
      <c r="F205" s="12"/>
      <c r="G205" s="12" t="s">
        <v>273</v>
      </c>
    </row>
    <row r="206" spans="1:7" x14ac:dyDescent="0.3">
      <c r="A206" s="12" t="s">
        <v>641</v>
      </c>
      <c r="B206" s="12" t="s">
        <v>64</v>
      </c>
      <c r="C206" s="12" t="s">
        <v>796</v>
      </c>
      <c r="D206" s="12" t="s">
        <v>1527</v>
      </c>
      <c r="E206" s="12">
        <v>30</v>
      </c>
      <c r="F206" s="12"/>
      <c r="G206" s="12" t="s">
        <v>273</v>
      </c>
    </row>
    <row r="207" spans="1:7" x14ac:dyDescent="0.3">
      <c r="A207" s="12" t="s">
        <v>641</v>
      </c>
      <c r="B207" s="12" t="s">
        <v>65</v>
      </c>
      <c r="C207" s="12" t="s">
        <v>796</v>
      </c>
      <c r="D207" s="12" t="s">
        <v>1528</v>
      </c>
      <c r="E207" s="12">
        <v>30</v>
      </c>
      <c r="F207" s="12"/>
      <c r="G207" s="12" t="s">
        <v>273</v>
      </c>
    </row>
    <row r="208" spans="1:7" x14ac:dyDescent="0.3">
      <c r="A208" s="12" t="s">
        <v>641</v>
      </c>
      <c r="B208" s="12" t="s">
        <v>66</v>
      </c>
      <c r="C208" s="12" t="s">
        <v>796</v>
      </c>
      <c r="D208" s="12" t="s">
        <v>1523</v>
      </c>
      <c r="E208" s="12">
        <v>30</v>
      </c>
      <c r="F208" s="12"/>
      <c r="G208" s="12" t="s">
        <v>275</v>
      </c>
    </row>
    <row r="209" spans="1:7" x14ac:dyDescent="0.3">
      <c r="A209" s="12" t="s">
        <v>641</v>
      </c>
      <c r="B209" s="12" t="s">
        <v>803</v>
      </c>
      <c r="C209" s="12" t="s">
        <v>793</v>
      </c>
      <c r="D209" s="12" t="s">
        <v>804</v>
      </c>
      <c r="E209" s="12"/>
      <c r="F209" s="12"/>
      <c r="G209" s="12" t="s">
        <v>273</v>
      </c>
    </row>
    <row r="210" spans="1:7" x14ac:dyDescent="0.3">
      <c r="A210" s="12" t="s">
        <v>649</v>
      </c>
      <c r="B210" s="12" t="s">
        <v>49</v>
      </c>
      <c r="C210" s="12" t="s">
        <v>796</v>
      </c>
      <c r="D210" s="12" t="s">
        <v>1529</v>
      </c>
      <c r="E210" s="12">
        <v>30</v>
      </c>
      <c r="F210" s="12"/>
      <c r="G210" s="12" t="s">
        <v>275</v>
      </c>
    </row>
    <row r="211" spans="1:7" x14ac:dyDescent="0.3">
      <c r="A211" s="12" t="s">
        <v>649</v>
      </c>
      <c r="B211" s="12" t="s">
        <v>51</v>
      </c>
      <c r="C211" s="12" t="s">
        <v>793</v>
      </c>
      <c r="D211" s="12" t="s">
        <v>795</v>
      </c>
      <c r="E211" s="12"/>
      <c r="F211" s="12" t="s">
        <v>749</v>
      </c>
      <c r="G211" s="12" t="s">
        <v>275</v>
      </c>
    </row>
    <row r="212" spans="1:7" x14ac:dyDescent="0.3">
      <c r="A212" s="12" t="s">
        <v>649</v>
      </c>
      <c r="B212" s="12" t="s">
        <v>53</v>
      </c>
      <c r="C212" s="12" t="s">
        <v>793</v>
      </c>
      <c r="D212" s="12" t="s">
        <v>805</v>
      </c>
      <c r="E212" s="12"/>
      <c r="F212" s="12" t="s">
        <v>749</v>
      </c>
      <c r="G212" s="12" t="s">
        <v>270</v>
      </c>
    </row>
    <row r="213" spans="1:7" x14ac:dyDescent="0.3">
      <c r="A213" s="12" t="s">
        <v>649</v>
      </c>
      <c r="B213" s="12" t="s">
        <v>54</v>
      </c>
      <c r="C213" s="12" t="s">
        <v>796</v>
      </c>
      <c r="D213" s="12" t="s">
        <v>1530</v>
      </c>
      <c r="E213" s="12">
        <v>30</v>
      </c>
      <c r="F213" s="12"/>
      <c r="G213" s="12" t="s">
        <v>270</v>
      </c>
    </row>
    <row r="214" spans="1:7" x14ac:dyDescent="0.3">
      <c r="A214" s="12" t="s">
        <v>649</v>
      </c>
      <c r="B214" s="12" t="s">
        <v>55</v>
      </c>
      <c r="C214" s="12" t="s">
        <v>793</v>
      </c>
      <c r="D214" s="12" t="s">
        <v>799</v>
      </c>
      <c r="E214" s="12"/>
      <c r="F214" s="12" t="s">
        <v>749</v>
      </c>
      <c r="G214" s="12" t="s">
        <v>273</v>
      </c>
    </row>
    <row r="215" spans="1:7" x14ac:dyDescent="0.3">
      <c r="A215" s="12" t="s">
        <v>649</v>
      </c>
      <c r="B215" s="12" t="s">
        <v>57</v>
      </c>
      <c r="C215" s="12" t="s">
        <v>793</v>
      </c>
      <c r="D215" s="12" t="s">
        <v>800</v>
      </c>
      <c r="E215" s="12"/>
      <c r="F215" s="12" t="s">
        <v>749</v>
      </c>
      <c r="G215" s="12" t="s">
        <v>283</v>
      </c>
    </row>
    <row r="216" spans="1:7" x14ac:dyDescent="0.3">
      <c r="A216" s="12" t="s">
        <v>649</v>
      </c>
      <c r="B216" s="12" t="s">
        <v>59</v>
      </c>
      <c r="C216" s="12" t="s">
        <v>796</v>
      </c>
      <c r="D216" s="12" t="s">
        <v>1531</v>
      </c>
      <c r="E216" s="12">
        <v>30</v>
      </c>
      <c r="F216" s="12"/>
      <c r="G216" s="12" t="s">
        <v>273</v>
      </c>
    </row>
    <row r="217" spans="1:7" x14ac:dyDescent="0.3">
      <c r="A217" s="12" t="s">
        <v>649</v>
      </c>
      <c r="B217" s="12" t="s">
        <v>61</v>
      </c>
      <c r="C217" s="12" t="s">
        <v>796</v>
      </c>
      <c r="D217" s="12" t="s">
        <v>1532</v>
      </c>
      <c r="E217" s="12">
        <v>30</v>
      </c>
      <c r="F217" s="12"/>
      <c r="G217" s="12" t="s">
        <v>273</v>
      </c>
    </row>
    <row r="218" spans="1:7" x14ac:dyDescent="0.3">
      <c r="A218" s="12" t="s">
        <v>649</v>
      </c>
      <c r="B218" s="12" t="s">
        <v>63</v>
      </c>
      <c r="C218" s="12" t="s">
        <v>796</v>
      </c>
      <c r="D218" s="12" t="s">
        <v>1533</v>
      </c>
      <c r="E218" s="12">
        <v>30</v>
      </c>
      <c r="F218" s="12"/>
      <c r="G218" s="12" t="s">
        <v>273</v>
      </c>
    </row>
    <row r="219" spans="1:7" x14ac:dyDescent="0.3">
      <c r="A219" s="12" t="s">
        <v>649</v>
      </c>
      <c r="B219" s="12" t="s">
        <v>64</v>
      </c>
      <c r="C219" s="12" t="s">
        <v>796</v>
      </c>
      <c r="D219" s="12" t="s">
        <v>1534</v>
      </c>
      <c r="E219" s="12">
        <v>30</v>
      </c>
      <c r="F219" s="12"/>
      <c r="G219" s="12" t="s">
        <v>273</v>
      </c>
    </row>
    <row r="220" spans="1:7" x14ac:dyDescent="0.3">
      <c r="A220" s="12" t="s">
        <v>649</v>
      </c>
      <c r="B220" s="12" t="s">
        <v>65</v>
      </c>
      <c r="C220" s="12" t="s">
        <v>796</v>
      </c>
      <c r="D220" s="12" t="s">
        <v>1535</v>
      </c>
      <c r="E220" s="12">
        <v>30</v>
      </c>
      <c r="F220" s="12"/>
      <c r="G220" s="12" t="s">
        <v>273</v>
      </c>
    </row>
    <row r="221" spans="1:7" x14ac:dyDescent="0.3">
      <c r="A221" s="12" t="s">
        <v>649</v>
      </c>
      <c r="B221" s="12" t="s">
        <v>66</v>
      </c>
      <c r="C221" s="12" t="s">
        <v>793</v>
      </c>
      <c r="D221" s="12" t="s">
        <v>795</v>
      </c>
      <c r="E221" s="12"/>
      <c r="F221" s="12" t="s">
        <v>749</v>
      </c>
      <c r="G221" s="12" t="s">
        <v>275</v>
      </c>
    </row>
    <row r="222" spans="1:7" x14ac:dyDescent="0.3">
      <c r="A222" s="12" t="s">
        <v>649</v>
      </c>
      <c r="B222" s="12" t="s">
        <v>803</v>
      </c>
      <c r="C222" s="12" t="s">
        <v>793</v>
      </c>
      <c r="D222" s="12" t="s">
        <v>804</v>
      </c>
      <c r="E222" s="12"/>
      <c r="F222" s="12"/>
      <c r="G222" s="12" t="s">
        <v>273</v>
      </c>
    </row>
    <row r="223" spans="1:7" x14ac:dyDescent="0.3">
      <c r="A223" s="12" t="s">
        <v>657</v>
      </c>
      <c r="B223" s="12" t="s">
        <v>49</v>
      </c>
      <c r="C223" s="12" t="s">
        <v>793</v>
      </c>
      <c r="D223" s="12" t="s">
        <v>794</v>
      </c>
      <c r="E223" s="12"/>
      <c r="F223" s="12" t="s">
        <v>749</v>
      </c>
      <c r="G223" s="12" t="s">
        <v>275</v>
      </c>
    </row>
    <row r="224" spans="1:7" x14ac:dyDescent="0.3">
      <c r="A224" s="12" t="s">
        <v>657</v>
      </c>
      <c r="B224" s="12" t="s">
        <v>51</v>
      </c>
      <c r="C224" s="12" t="s">
        <v>796</v>
      </c>
      <c r="D224" s="12" t="s">
        <v>1499</v>
      </c>
      <c r="E224" s="12">
        <v>30</v>
      </c>
      <c r="F224" s="12"/>
      <c r="G224" s="12" t="s">
        <v>275</v>
      </c>
    </row>
    <row r="225" spans="1:7" x14ac:dyDescent="0.3">
      <c r="A225" s="12" t="s">
        <v>657</v>
      </c>
      <c r="B225" s="12" t="s">
        <v>53</v>
      </c>
      <c r="C225" s="12" t="s">
        <v>793</v>
      </c>
      <c r="D225" s="12" t="s">
        <v>805</v>
      </c>
      <c r="E225" s="12"/>
      <c r="F225" s="12" t="s">
        <v>749</v>
      </c>
      <c r="G225" s="12" t="s">
        <v>270</v>
      </c>
    </row>
    <row r="226" spans="1:7" x14ac:dyDescent="0.3">
      <c r="A226" s="12" t="s">
        <v>657</v>
      </c>
      <c r="B226" s="12" t="s">
        <v>54</v>
      </c>
      <c r="C226" s="12" t="s">
        <v>796</v>
      </c>
      <c r="D226" s="12" t="s">
        <v>1536</v>
      </c>
      <c r="E226" s="12">
        <v>30</v>
      </c>
      <c r="F226" s="12"/>
      <c r="G226" s="12" t="s">
        <v>270</v>
      </c>
    </row>
    <row r="227" spans="1:7" x14ac:dyDescent="0.3">
      <c r="A227" s="12" t="s">
        <v>657</v>
      </c>
      <c r="B227" s="12" t="s">
        <v>55</v>
      </c>
      <c r="C227" s="12" t="s">
        <v>793</v>
      </c>
      <c r="D227" s="12" t="s">
        <v>799</v>
      </c>
      <c r="E227" s="12"/>
      <c r="F227" s="12" t="s">
        <v>749</v>
      </c>
      <c r="G227" s="12" t="s">
        <v>273</v>
      </c>
    </row>
    <row r="228" spans="1:7" x14ac:dyDescent="0.3">
      <c r="A228" s="12" t="s">
        <v>657</v>
      </c>
      <c r="B228" s="12" t="s">
        <v>57</v>
      </c>
      <c r="C228" s="12" t="s">
        <v>793</v>
      </c>
      <c r="D228" s="12" t="s">
        <v>800</v>
      </c>
      <c r="E228" s="12"/>
      <c r="F228" s="12" t="s">
        <v>749</v>
      </c>
      <c r="G228" s="12" t="s">
        <v>283</v>
      </c>
    </row>
    <row r="229" spans="1:7" x14ac:dyDescent="0.3">
      <c r="A229" s="12" t="s">
        <v>657</v>
      </c>
      <c r="B229" s="12" t="s">
        <v>59</v>
      </c>
      <c r="C229" s="12" t="s">
        <v>793</v>
      </c>
      <c r="D229" s="12" t="s">
        <v>755</v>
      </c>
      <c r="E229" s="12"/>
      <c r="F229" s="12" t="s">
        <v>749</v>
      </c>
      <c r="G229" s="12" t="s">
        <v>273</v>
      </c>
    </row>
    <row r="230" spans="1:7" x14ac:dyDescent="0.3">
      <c r="A230" s="12" t="s">
        <v>657</v>
      </c>
      <c r="B230" s="12" t="s">
        <v>61</v>
      </c>
      <c r="C230" s="12" t="s">
        <v>793</v>
      </c>
      <c r="D230" s="12" t="s">
        <v>757</v>
      </c>
      <c r="E230" s="12"/>
      <c r="F230" s="12" t="s">
        <v>749</v>
      </c>
      <c r="G230" s="12" t="s">
        <v>273</v>
      </c>
    </row>
    <row r="231" spans="1:7" x14ac:dyDescent="0.3">
      <c r="A231" s="12" t="s">
        <v>657</v>
      </c>
      <c r="B231" s="12" t="s">
        <v>63</v>
      </c>
      <c r="C231" s="12" t="s">
        <v>793</v>
      </c>
      <c r="D231" s="12" t="s">
        <v>755</v>
      </c>
      <c r="E231" s="12"/>
      <c r="F231" s="12" t="s">
        <v>749</v>
      </c>
      <c r="G231" s="12" t="s">
        <v>273</v>
      </c>
    </row>
    <row r="232" spans="1:7" x14ac:dyDescent="0.3">
      <c r="A232" s="12" t="s">
        <v>657</v>
      </c>
      <c r="B232" s="12" t="s">
        <v>64</v>
      </c>
      <c r="C232" s="12" t="s">
        <v>793</v>
      </c>
      <c r="D232" s="12" t="s">
        <v>757</v>
      </c>
      <c r="E232" s="12"/>
      <c r="F232" s="12" t="s">
        <v>749</v>
      </c>
      <c r="G232" s="12" t="s">
        <v>273</v>
      </c>
    </row>
    <row r="233" spans="1:7" x14ac:dyDescent="0.3">
      <c r="A233" s="12" t="s">
        <v>657</v>
      </c>
      <c r="B233" s="12" t="s">
        <v>65</v>
      </c>
      <c r="C233" s="12" t="s">
        <v>793</v>
      </c>
      <c r="D233" s="12" t="s">
        <v>801</v>
      </c>
      <c r="E233" s="12"/>
      <c r="F233" s="12" t="s">
        <v>749</v>
      </c>
      <c r="G233" s="12" t="s">
        <v>273</v>
      </c>
    </row>
    <row r="234" spans="1:7" x14ac:dyDescent="0.3">
      <c r="A234" s="12" t="s">
        <v>657</v>
      </c>
      <c r="B234" s="12" t="s">
        <v>66</v>
      </c>
      <c r="C234" s="12" t="s">
        <v>796</v>
      </c>
      <c r="D234" s="12" t="s">
        <v>1499</v>
      </c>
      <c r="E234" s="12">
        <v>30</v>
      </c>
      <c r="F234" s="12"/>
      <c r="G234" s="12" t="s">
        <v>275</v>
      </c>
    </row>
    <row r="235" spans="1:7" x14ac:dyDescent="0.3">
      <c r="A235" s="12" t="s">
        <v>657</v>
      </c>
      <c r="B235" s="12" t="s">
        <v>803</v>
      </c>
      <c r="C235" s="12" t="s">
        <v>793</v>
      </c>
      <c r="D235" s="12" t="s">
        <v>804</v>
      </c>
      <c r="E235" s="12"/>
      <c r="F235" s="12"/>
      <c r="G235" s="12" t="s">
        <v>273</v>
      </c>
    </row>
    <row r="236" spans="1:7" x14ac:dyDescent="0.3">
      <c r="A236" s="12" t="s">
        <v>660</v>
      </c>
      <c r="B236" s="12" t="s">
        <v>49</v>
      </c>
      <c r="C236" s="12" t="s">
        <v>796</v>
      </c>
      <c r="D236" s="12" t="s">
        <v>1537</v>
      </c>
      <c r="E236" s="12">
        <v>30</v>
      </c>
      <c r="F236" s="12"/>
      <c r="G236" s="12" t="s">
        <v>275</v>
      </c>
    </row>
    <row r="237" spans="1:7" x14ac:dyDescent="0.3">
      <c r="A237" s="12" t="s">
        <v>660</v>
      </c>
      <c r="B237" s="12" t="s">
        <v>51</v>
      </c>
      <c r="C237" s="12" t="s">
        <v>796</v>
      </c>
      <c r="D237" s="12" t="s">
        <v>1458</v>
      </c>
      <c r="E237" s="12">
        <v>30</v>
      </c>
      <c r="F237" s="12"/>
      <c r="G237" s="12" t="s">
        <v>275</v>
      </c>
    </row>
    <row r="238" spans="1:7" x14ac:dyDescent="0.3">
      <c r="A238" s="12" t="s">
        <v>660</v>
      </c>
      <c r="B238" s="12" t="s">
        <v>53</v>
      </c>
      <c r="C238" s="12" t="s">
        <v>793</v>
      </c>
      <c r="D238" s="12" t="s">
        <v>805</v>
      </c>
      <c r="E238" s="12"/>
      <c r="F238" s="12" t="s">
        <v>749</v>
      </c>
      <c r="G238" s="12" t="s">
        <v>270</v>
      </c>
    </row>
    <row r="239" spans="1:7" x14ac:dyDescent="0.3">
      <c r="A239" s="12" t="s">
        <v>660</v>
      </c>
      <c r="B239" s="12" t="s">
        <v>54</v>
      </c>
      <c r="C239" s="12" t="s">
        <v>793</v>
      </c>
      <c r="D239" s="12" t="s">
        <v>798</v>
      </c>
      <c r="E239" s="12"/>
      <c r="F239" s="12" t="s">
        <v>749</v>
      </c>
      <c r="G239" s="12" t="s">
        <v>270</v>
      </c>
    </row>
    <row r="240" spans="1:7" x14ac:dyDescent="0.3">
      <c r="A240" s="12" t="s">
        <v>660</v>
      </c>
      <c r="B240" s="12" t="s">
        <v>55</v>
      </c>
      <c r="C240" s="12" t="s">
        <v>793</v>
      </c>
      <c r="D240" s="12" t="s">
        <v>799</v>
      </c>
      <c r="E240" s="12"/>
      <c r="F240" s="12" t="s">
        <v>749</v>
      </c>
      <c r="G240" s="12" t="s">
        <v>273</v>
      </c>
    </row>
    <row r="241" spans="1:7" x14ac:dyDescent="0.3">
      <c r="A241" s="12" t="s">
        <v>660</v>
      </c>
      <c r="B241" s="12" t="s">
        <v>57</v>
      </c>
      <c r="C241" s="12" t="s">
        <v>793</v>
      </c>
      <c r="D241" s="12" t="s">
        <v>800</v>
      </c>
      <c r="E241" s="12"/>
      <c r="F241" s="12" t="s">
        <v>749</v>
      </c>
      <c r="G241" s="12" t="s">
        <v>283</v>
      </c>
    </row>
    <row r="242" spans="1:7" x14ac:dyDescent="0.3">
      <c r="A242" s="12" t="s">
        <v>660</v>
      </c>
      <c r="B242" s="12" t="s">
        <v>59</v>
      </c>
      <c r="C242" s="12" t="s">
        <v>793</v>
      </c>
      <c r="D242" s="12" t="s">
        <v>755</v>
      </c>
      <c r="E242" s="12"/>
      <c r="F242" s="12" t="s">
        <v>749</v>
      </c>
      <c r="G242" s="12" t="s">
        <v>273</v>
      </c>
    </row>
    <row r="243" spans="1:7" x14ac:dyDescent="0.3">
      <c r="A243" s="12" t="s">
        <v>660</v>
      </c>
      <c r="B243" s="12" t="s">
        <v>61</v>
      </c>
      <c r="C243" s="12" t="s">
        <v>793</v>
      </c>
      <c r="D243" s="12" t="s">
        <v>757</v>
      </c>
      <c r="E243" s="12"/>
      <c r="F243" s="12" t="s">
        <v>749</v>
      </c>
      <c r="G243" s="12" t="s">
        <v>273</v>
      </c>
    </row>
    <row r="244" spans="1:7" x14ac:dyDescent="0.3">
      <c r="A244" s="12" t="s">
        <v>660</v>
      </c>
      <c r="B244" s="12" t="s">
        <v>63</v>
      </c>
      <c r="C244" s="12" t="s">
        <v>793</v>
      </c>
      <c r="D244" s="12" t="s">
        <v>755</v>
      </c>
      <c r="E244" s="12"/>
      <c r="F244" s="12" t="s">
        <v>749</v>
      </c>
      <c r="G244" s="12" t="s">
        <v>273</v>
      </c>
    </row>
    <row r="245" spans="1:7" x14ac:dyDescent="0.3">
      <c r="A245" s="12" t="s">
        <v>660</v>
      </c>
      <c r="B245" s="12" t="s">
        <v>64</v>
      </c>
      <c r="C245" s="12" t="s">
        <v>793</v>
      </c>
      <c r="D245" s="12" t="s">
        <v>757</v>
      </c>
      <c r="E245" s="12"/>
      <c r="F245" s="12" t="s">
        <v>749</v>
      </c>
      <c r="G245" s="12" t="s">
        <v>273</v>
      </c>
    </row>
    <row r="246" spans="1:7" x14ac:dyDescent="0.3">
      <c r="A246" s="12" t="s">
        <v>660</v>
      </c>
      <c r="B246" s="12" t="s">
        <v>65</v>
      </c>
      <c r="C246" s="12" t="s">
        <v>793</v>
      </c>
      <c r="D246" s="12" t="s">
        <v>801</v>
      </c>
      <c r="E246" s="12"/>
      <c r="F246" s="12" t="s">
        <v>749</v>
      </c>
      <c r="G246" s="12" t="s">
        <v>273</v>
      </c>
    </row>
    <row r="247" spans="1:7" x14ac:dyDescent="0.3">
      <c r="A247" s="12" t="s">
        <v>660</v>
      </c>
      <c r="B247" s="12" t="s">
        <v>66</v>
      </c>
      <c r="C247" s="12" t="s">
        <v>796</v>
      </c>
      <c r="D247" s="12" t="s">
        <v>1458</v>
      </c>
      <c r="E247" s="12">
        <v>30</v>
      </c>
      <c r="F247" s="12"/>
      <c r="G247" s="12" t="s">
        <v>275</v>
      </c>
    </row>
    <row r="248" spans="1:7" x14ac:dyDescent="0.3">
      <c r="A248" s="12" t="s">
        <v>660</v>
      </c>
      <c r="B248" s="12" t="s">
        <v>803</v>
      </c>
      <c r="C248" s="12" t="s">
        <v>793</v>
      </c>
      <c r="D248" s="12" t="s">
        <v>804</v>
      </c>
      <c r="E248" s="12"/>
      <c r="F248" s="12"/>
      <c r="G248" s="12" t="s">
        <v>273</v>
      </c>
    </row>
    <row r="249" spans="1:7" x14ac:dyDescent="0.3">
      <c r="A249" s="12" t="s">
        <v>663</v>
      </c>
      <c r="B249" s="12" t="s">
        <v>49</v>
      </c>
      <c r="C249" s="12" t="s">
        <v>796</v>
      </c>
      <c r="D249" s="12" t="s">
        <v>1538</v>
      </c>
      <c r="E249" s="12">
        <v>30</v>
      </c>
      <c r="F249" s="12"/>
      <c r="G249" s="12" t="s">
        <v>275</v>
      </c>
    </row>
    <row r="250" spans="1:7" x14ac:dyDescent="0.3">
      <c r="A250" s="12" t="s">
        <v>663</v>
      </c>
      <c r="B250" s="12" t="s">
        <v>51</v>
      </c>
      <c r="C250" s="12" t="s">
        <v>793</v>
      </c>
      <c r="D250" s="12" t="s">
        <v>795</v>
      </c>
      <c r="E250" s="12"/>
      <c r="F250" s="12" t="s">
        <v>749</v>
      </c>
      <c r="G250" s="12" t="s">
        <v>275</v>
      </c>
    </row>
    <row r="251" spans="1:7" x14ac:dyDescent="0.3">
      <c r="A251" s="12" t="s">
        <v>663</v>
      </c>
      <c r="B251" s="12" t="s">
        <v>53</v>
      </c>
      <c r="C251" s="12" t="s">
        <v>793</v>
      </c>
      <c r="D251" s="12" t="s">
        <v>805</v>
      </c>
      <c r="E251" s="12"/>
      <c r="F251" s="12" t="s">
        <v>749</v>
      </c>
      <c r="G251" s="12" t="s">
        <v>270</v>
      </c>
    </row>
    <row r="252" spans="1:7" x14ac:dyDescent="0.3">
      <c r="A252" s="12" t="s">
        <v>663</v>
      </c>
      <c r="B252" s="12" t="s">
        <v>54</v>
      </c>
      <c r="C252" s="12" t="s">
        <v>796</v>
      </c>
      <c r="D252" s="12" t="s">
        <v>1539</v>
      </c>
      <c r="E252" s="12">
        <v>30</v>
      </c>
      <c r="F252" s="12"/>
      <c r="G252" s="12" t="s">
        <v>270</v>
      </c>
    </row>
    <row r="253" spans="1:7" x14ac:dyDescent="0.3">
      <c r="A253" s="12" t="s">
        <v>663</v>
      </c>
      <c r="B253" s="12" t="s">
        <v>55</v>
      </c>
      <c r="C253" s="12" t="s">
        <v>793</v>
      </c>
      <c r="D253" s="12" t="s">
        <v>799</v>
      </c>
      <c r="E253" s="12"/>
      <c r="F253" s="12" t="s">
        <v>749</v>
      </c>
      <c r="G253" s="12" t="s">
        <v>273</v>
      </c>
    </row>
    <row r="254" spans="1:7" x14ac:dyDescent="0.3">
      <c r="A254" s="12" t="s">
        <v>663</v>
      </c>
      <c r="B254" s="12" t="s">
        <v>57</v>
      </c>
      <c r="C254" s="12" t="s">
        <v>793</v>
      </c>
      <c r="D254" s="12" t="s">
        <v>800</v>
      </c>
      <c r="E254" s="12"/>
      <c r="F254" s="12" t="s">
        <v>749</v>
      </c>
      <c r="G254" s="12" t="s">
        <v>283</v>
      </c>
    </row>
    <row r="255" spans="1:7" x14ac:dyDescent="0.3">
      <c r="A255" s="12" t="s">
        <v>663</v>
      </c>
      <c r="B255" s="12" t="s">
        <v>59</v>
      </c>
      <c r="C255" s="12" t="s">
        <v>793</v>
      </c>
      <c r="D255" s="12" t="s">
        <v>755</v>
      </c>
      <c r="E255" s="12"/>
      <c r="F255" s="12" t="s">
        <v>749</v>
      </c>
      <c r="G255" s="12" t="s">
        <v>273</v>
      </c>
    </row>
    <row r="256" spans="1:7" x14ac:dyDescent="0.3">
      <c r="A256" s="12" t="s">
        <v>663</v>
      </c>
      <c r="B256" s="12" t="s">
        <v>61</v>
      </c>
      <c r="C256" s="12" t="s">
        <v>793</v>
      </c>
      <c r="D256" s="12" t="s">
        <v>757</v>
      </c>
      <c r="E256" s="12"/>
      <c r="F256" s="12" t="s">
        <v>749</v>
      </c>
      <c r="G256" s="12" t="s">
        <v>273</v>
      </c>
    </row>
    <row r="257" spans="1:7" x14ac:dyDescent="0.3">
      <c r="A257" s="12" t="s">
        <v>663</v>
      </c>
      <c r="B257" s="12" t="s">
        <v>63</v>
      </c>
      <c r="C257" s="12" t="s">
        <v>793</v>
      </c>
      <c r="D257" s="12" t="s">
        <v>755</v>
      </c>
      <c r="E257" s="12"/>
      <c r="F257" s="12" t="s">
        <v>749</v>
      </c>
      <c r="G257" s="12" t="s">
        <v>273</v>
      </c>
    </row>
    <row r="258" spans="1:7" x14ac:dyDescent="0.3">
      <c r="A258" s="12" t="s">
        <v>663</v>
      </c>
      <c r="B258" s="12" t="s">
        <v>64</v>
      </c>
      <c r="C258" s="12" t="s">
        <v>793</v>
      </c>
      <c r="D258" s="12" t="s">
        <v>757</v>
      </c>
      <c r="E258" s="12"/>
      <c r="F258" s="12" t="s">
        <v>749</v>
      </c>
      <c r="G258" s="12" t="s">
        <v>273</v>
      </c>
    </row>
    <row r="259" spans="1:7" x14ac:dyDescent="0.3">
      <c r="A259" s="12" t="s">
        <v>663</v>
      </c>
      <c r="B259" s="12" t="s">
        <v>65</v>
      </c>
      <c r="C259" s="12" t="s">
        <v>793</v>
      </c>
      <c r="D259" s="12" t="s">
        <v>801</v>
      </c>
      <c r="E259" s="12"/>
      <c r="F259" s="12" t="s">
        <v>749</v>
      </c>
      <c r="G259" s="12" t="s">
        <v>273</v>
      </c>
    </row>
    <row r="260" spans="1:7" x14ac:dyDescent="0.3">
      <c r="A260" s="12" t="s">
        <v>663</v>
      </c>
      <c r="B260" s="12" t="s">
        <v>66</v>
      </c>
      <c r="C260" s="12" t="s">
        <v>793</v>
      </c>
      <c r="D260" s="12" t="s">
        <v>795</v>
      </c>
      <c r="E260" s="12"/>
      <c r="F260" s="12" t="s">
        <v>749</v>
      </c>
      <c r="G260" s="12" t="s">
        <v>275</v>
      </c>
    </row>
    <row r="261" spans="1:7" x14ac:dyDescent="0.3">
      <c r="A261" s="12" t="s">
        <v>663</v>
      </c>
      <c r="B261" s="12" t="s">
        <v>803</v>
      </c>
      <c r="C261" s="12" t="s">
        <v>793</v>
      </c>
      <c r="D261" s="12" t="s">
        <v>804</v>
      </c>
      <c r="E261" s="12"/>
      <c r="F261" s="12"/>
      <c r="G261" s="12" t="s">
        <v>273</v>
      </c>
    </row>
    <row r="262" spans="1:7" x14ac:dyDescent="0.3">
      <c r="A262" s="12" t="s">
        <v>666</v>
      </c>
      <c r="B262" s="12" t="s">
        <v>49</v>
      </c>
      <c r="C262" s="12" t="s">
        <v>793</v>
      </c>
      <c r="D262" s="12" t="s">
        <v>1540</v>
      </c>
      <c r="E262" s="12"/>
      <c r="F262" s="12" t="s">
        <v>948</v>
      </c>
      <c r="G262" s="12" t="s">
        <v>275</v>
      </c>
    </row>
    <row r="263" spans="1:7" x14ac:dyDescent="0.3">
      <c r="A263" s="12" t="s">
        <v>666</v>
      </c>
      <c r="B263" s="12" t="s">
        <v>51</v>
      </c>
      <c r="C263" s="12" t="s">
        <v>793</v>
      </c>
      <c r="D263" s="12" t="s">
        <v>1541</v>
      </c>
      <c r="E263" s="12"/>
      <c r="F263" s="12" t="s">
        <v>948</v>
      </c>
      <c r="G263" s="12" t="s">
        <v>275</v>
      </c>
    </row>
    <row r="264" spans="1:7" x14ac:dyDescent="0.3">
      <c r="A264" s="12" t="s">
        <v>666</v>
      </c>
      <c r="B264" s="12" t="s">
        <v>53</v>
      </c>
      <c r="C264" s="12" t="s">
        <v>793</v>
      </c>
      <c r="D264" s="12" t="s">
        <v>1542</v>
      </c>
      <c r="E264" s="12"/>
      <c r="F264" s="12" t="s">
        <v>948</v>
      </c>
      <c r="G264" s="12" t="s">
        <v>270</v>
      </c>
    </row>
    <row r="265" spans="1:7" x14ac:dyDescent="0.3">
      <c r="A265" s="12" t="s">
        <v>666</v>
      </c>
      <c r="B265" s="12" t="s">
        <v>54</v>
      </c>
      <c r="C265" s="12" t="s">
        <v>796</v>
      </c>
      <c r="D265" s="12" t="s">
        <v>1543</v>
      </c>
      <c r="E265" s="12">
        <v>12</v>
      </c>
      <c r="F265" s="12"/>
      <c r="G265" s="12" t="s">
        <v>270</v>
      </c>
    </row>
    <row r="266" spans="1:7" x14ac:dyDescent="0.3">
      <c r="A266" s="12" t="s">
        <v>666</v>
      </c>
      <c r="B266" s="12" t="s">
        <v>55</v>
      </c>
      <c r="C266" s="12" t="s">
        <v>793</v>
      </c>
      <c r="D266" s="12" t="s">
        <v>1544</v>
      </c>
      <c r="E266" s="12"/>
      <c r="F266" s="12" t="s">
        <v>948</v>
      </c>
      <c r="G266" s="12" t="s">
        <v>273</v>
      </c>
    </row>
    <row r="267" spans="1:7" x14ac:dyDescent="0.3">
      <c r="A267" s="12" t="s">
        <v>666</v>
      </c>
      <c r="B267" s="12" t="s">
        <v>57</v>
      </c>
      <c r="C267" s="12" t="s">
        <v>793</v>
      </c>
      <c r="D267" s="12" t="s">
        <v>800</v>
      </c>
      <c r="E267" s="12"/>
      <c r="F267" s="12" t="s">
        <v>749</v>
      </c>
      <c r="G267" s="12" t="s">
        <v>283</v>
      </c>
    </row>
    <row r="268" spans="1:7" x14ac:dyDescent="0.3">
      <c r="A268" s="12" t="s">
        <v>666</v>
      </c>
      <c r="B268" s="12" t="s">
        <v>59</v>
      </c>
      <c r="C268" s="12" t="s">
        <v>793</v>
      </c>
      <c r="D268" s="12" t="s">
        <v>1545</v>
      </c>
      <c r="E268" s="12"/>
      <c r="F268" s="12" t="s">
        <v>948</v>
      </c>
      <c r="G268" s="12" t="s">
        <v>273</v>
      </c>
    </row>
    <row r="269" spans="1:7" x14ac:dyDescent="0.3">
      <c r="A269" s="12" t="s">
        <v>666</v>
      </c>
      <c r="B269" s="12" t="s">
        <v>61</v>
      </c>
      <c r="C269" s="12" t="s">
        <v>793</v>
      </c>
      <c r="D269" s="12" t="s">
        <v>801</v>
      </c>
      <c r="E269" s="12"/>
      <c r="F269" s="12" t="s">
        <v>948</v>
      </c>
      <c r="G269" s="12" t="s">
        <v>273</v>
      </c>
    </row>
    <row r="270" spans="1:7" x14ac:dyDescent="0.3">
      <c r="A270" s="12" t="s">
        <v>666</v>
      </c>
      <c r="B270" s="12" t="s">
        <v>63</v>
      </c>
      <c r="C270" s="12" t="s">
        <v>793</v>
      </c>
      <c r="D270" s="12" t="s">
        <v>755</v>
      </c>
      <c r="E270" s="12"/>
      <c r="F270" s="12" t="s">
        <v>749</v>
      </c>
      <c r="G270" s="12" t="s">
        <v>273</v>
      </c>
    </row>
    <row r="271" spans="1:7" x14ac:dyDescent="0.3">
      <c r="A271" s="12" t="s">
        <v>666</v>
      </c>
      <c r="B271" s="12" t="s">
        <v>64</v>
      </c>
      <c r="C271" s="12" t="s">
        <v>793</v>
      </c>
      <c r="D271" s="12" t="s">
        <v>757</v>
      </c>
      <c r="E271" s="12"/>
      <c r="F271" s="12" t="s">
        <v>749</v>
      </c>
      <c r="G271" s="12" t="s">
        <v>273</v>
      </c>
    </row>
    <row r="272" spans="1:7" x14ac:dyDescent="0.3">
      <c r="A272" s="12" t="s">
        <v>666</v>
      </c>
      <c r="B272" s="12" t="s">
        <v>65</v>
      </c>
      <c r="C272" s="12" t="s">
        <v>793</v>
      </c>
      <c r="D272" s="12" t="s">
        <v>1546</v>
      </c>
      <c r="E272" s="12"/>
      <c r="F272" s="12" t="s">
        <v>948</v>
      </c>
      <c r="G272" s="12" t="s">
        <v>273</v>
      </c>
    </row>
    <row r="273" spans="1:7" x14ac:dyDescent="0.3">
      <c r="A273" s="12" t="s">
        <v>666</v>
      </c>
      <c r="B273" s="12" t="s">
        <v>66</v>
      </c>
      <c r="C273" s="12" t="s">
        <v>796</v>
      </c>
      <c r="D273" s="12" t="s">
        <v>1547</v>
      </c>
      <c r="E273" s="12">
        <v>2</v>
      </c>
      <c r="F273" s="12"/>
      <c r="G273" s="12" t="s">
        <v>275</v>
      </c>
    </row>
    <row r="274" spans="1:7" x14ac:dyDescent="0.3">
      <c r="A274" s="12" t="s">
        <v>666</v>
      </c>
      <c r="B274" s="12" t="s">
        <v>803</v>
      </c>
      <c r="C274" s="12" t="s">
        <v>793</v>
      </c>
      <c r="D274" s="12" t="s">
        <v>804</v>
      </c>
      <c r="E274" s="12"/>
      <c r="F274" s="12"/>
      <c r="G274" s="12" t="s">
        <v>273</v>
      </c>
    </row>
    <row r="275" spans="1:7" x14ac:dyDescent="0.3">
      <c r="A275" s="12" t="s">
        <v>676</v>
      </c>
      <c r="B275" s="12" t="s">
        <v>49</v>
      </c>
      <c r="C275" s="12" t="s">
        <v>796</v>
      </c>
      <c r="D275" s="12" t="s">
        <v>1548</v>
      </c>
      <c r="E275" s="12">
        <v>3</v>
      </c>
      <c r="F275" s="12"/>
      <c r="G275" s="12" t="s">
        <v>275</v>
      </c>
    </row>
    <row r="276" spans="1:7" x14ac:dyDescent="0.3">
      <c r="A276" s="12" t="s">
        <v>676</v>
      </c>
      <c r="B276" s="12" t="s">
        <v>51</v>
      </c>
      <c r="C276" s="12" t="s">
        <v>796</v>
      </c>
      <c r="D276" s="12" t="s">
        <v>1016</v>
      </c>
      <c r="E276" s="12">
        <v>2</v>
      </c>
      <c r="F276" s="12"/>
      <c r="G276" s="12" t="s">
        <v>275</v>
      </c>
    </row>
    <row r="277" spans="1:7" x14ac:dyDescent="0.3">
      <c r="A277" s="12" t="s">
        <v>676</v>
      </c>
      <c r="B277" s="12" t="s">
        <v>53</v>
      </c>
      <c r="C277" s="12" t="s">
        <v>796</v>
      </c>
      <c r="D277" s="12" t="s">
        <v>1549</v>
      </c>
      <c r="E277" s="12">
        <v>2</v>
      </c>
      <c r="F277" s="12"/>
      <c r="G277" s="12" t="s">
        <v>270</v>
      </c>
    </row>
    <row r="278" spans="1:7" x14ac:dyDescent="0.3">
      <c r="A278" s="12" t="s">
        <v>676</v>
      </c>
      <c r="B278" s="12" t="s">
        <v>54</v>
      </c>
      <c r="C278" s="12" t="s">
        <v>796</v>
      </c>
      <c r="D278" s="12" t="s">
        <v>1550</v>
      </c>
      <c r="E278" s="12">
        <v>3</v>
      </c>
      <c r="F278" s="12"/>
      <c r="G278" s="12" t="s">
        <v>270</v>
      </c>
    </row>
    <row r="279" spans="1:7" x14ac:dyDescent="0.3">
      <c r="A279" s="12" t="s">
        <v>676</v>
      </c>
      <c r="B279" s="12" t="s">
        <v>55</v>
      </c>
      <c r="C279" s="12" t="s">
        <v>796</v>
      </c>
      <c r="D279" s="12" t="s">
        <v>1551</v>
      </c>
      <c r="E279" s="12">
        <v>2</v>
      </c>
      <c r="F279" s="12"/>
      <c r="G279" s="12" t="s">
        <v>273</v>
      </c>
    </row>
    <row r="280" spans="1:7" x14ac:dyDescent="0.3">
      <c r="A280" s="12" t="s">
        <v>676</v>
      </c>
      <c r="B280" s="12" t="s">
        <v>57</v>
      </c>
      <c r="C280" s="12" t="s">
        <v>793</v>
      </c>
      <c r="D280" s="12" t="s">
        <v>800</v>
      </c>
      <c r="E280" s="12"/>
      <c r="F280" s="12" t="s">
        <v>749</v>
      </c>
      <c r="G280" s="12" t="s">
        <v>283</v>
      </c>
    </row>
    <row r="281" spans="1:7" x14ac:dyDescent="0.3">
      <c r="A281" s="12" t="s">
        <v>676</v>
      </c>
      <c r="B281" s="12" t="s">
        <v>59</v>
      </c>
      <c r="C281" s="12" t="s">
        <v>796</v>
      </c>
      <c r="D281" s="12" t="s">
        <v>972</v>
      </c>
      <c r="E281" s="12">
        <v>3</v>
      </c>
      <c r="F281" s="12"/>
      <c r="G281" s="12" t="s">
        <v>273</v>
      </c>
    </row>
    <row r="282" spans="1:7" x14ac:dyDescent="0.3">
      <c r="A282" s="12" t="s">
        <v>676</v>
      </c>
      <c r="B282" s="12" t="s">
        <v>61</v>
      </c>
      <c r="C282" s="12" t="s">
        <v>796</v>
      </c>
      <c r="D282" s="12" t="s">
        <v>1552</v>
      </c>
      <c r="E282" s="12">
        <v>3</v>
      </c>
      <c r="F282" s="12"/>
      <c r="G282" s="12" t="s">
        <v>273</v>
      </c>
    </row>
    <row r="283" spans="1:7" x14ac:dyDescent="0.3">
      <c r="A283" s="12" t="s">
        <v>676</v>
      </c>
      <c r="B283" s="12" t="s">
        <v>63</v>
      </c>
      <c r="C283" s="12" t="s">
        <v>796</v>
      </c>
      <c r="D283" s="12" t="s">
        <v>972</v>
      </c>
      <c r="E283" s="12">
        <v>2</v>
      </c>
      <c r="F283" s="12"/>
      <c r="G283" s="12" t="s">
        <v>273</v>
      </c>
    </row>
    <row r="284" spans="1:7" x14ac:dyDescent="0.3">
      <c r="A284" s="12" t="s">
        <v>676</v>
      </c>
      <c r="B284" s="12" t="s">
        <v>64</v>
      </c>
      <c r="C284" s="12" t="s">
        <v>796</v>
      </c>
      <c r="D284" s="12" t="s">
        <v>1553</v>
      </c>
      <c r="E284" s="12">
        <v>2</v>
      </c>
      <c r="F284" s="12"/>
      <c r="G284" s="12" t="s">
        <v>273</v>
      </c>
    </row>
    <row r="285" spans="1:7" x14ac:dyDescent="0.3">
      <c r="A285" s="12" t="s">
        <v>676</v>
      </c>
      <c r="B285" s="12" t="s">
        <v>65</v>
      </c>
      <c r="C285" s="12" t="s">
        <v>796</v>
      </c>
      <c r="D285" s="12" t="s">
        <v>1297</v>
      </c>
      <c r="E285" s="12">
        <v>2</v>
      </c>
      <c r="F285" s="12"/>
      <c r="G285" s="12" t="s">
        <v>273</v>
      </c>
    </row>
    <row r="286" spans="1:7" x14ac:dyDescent="0.3">
      <c r="A286" s="12" t="s">
        <v>676</v>
      </c>
      <c r="B286" s="12" t="s">
        <v>66</v>
      </c>
      <c r="C286" s="12" t="s">
        <v>796</v>
      </c>
      <c r="D286" s="12" t="s">
        <v>1554</v>
      </c>
      <c r="E286" s="12">
        <v>2</v>
      </c>
      <c r="F286" s="12"/>
      <c r="G286" s="12" t="s">
        <v>275</v>
      </c>
    </row>
    <row r="287" spans="1:7" x14ac:dyDescent="0.3">
      <c r="A287" s="12" t="s">
        <v>676</v>
      </c>
      <c r="B287" s="12" t="s">
        <v>803</v>
      </c>
      <c r="C287" s="12" t="s">
        <v>793</v>
      </c>
      <c r="D287" s="12" t="s">
        <v>1555</v>
      </c>
      <c r="E287" s="12"/>
      <c r="F287" s="12"/>
      <c r="G287" s="12" t="s">
        <v>273</v>
      </c>
    </row>
    <row r="289" spans="1:1" x14ac:dyDescent="0.3">
      <c r="A289" s="17" t="s">
        <v>1556</v>
      </c>
    </row>
  </sheetData>
  <autoFilter ref="A27:G287" xr:uid="{00000000-0009-0000-0000-000037000000}"/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K49"/>
  <sheetViews>
    <sheetView workbookViewId="0"/>
  </sheetViews>
  <sheetFormatPr baseColWidth="10" defaultColWidth="8.88671875" defaultRowHeight="14.4" x14ac:dyDescent="0.3"/>
  <cols>
    <col min="1" max="1" width="23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" ht="17.399999999999999" x14ac:dyDescent="0.35">
      <c r="A1" s="1" t="s">
        <v>1557</v>
      </c>
    </row>
    <row r="2" spans="1:1" x14ac:dyDescent="0.3">
      <c r="A2" t="s">
        <v>1426</v>
      </c>
    </row>
    <row r="3" spans="1:1" x14ac:dyDescent="0.3">
      <c r="A3" t="s">
        <v>1427</v>
      </c>
    </row>
    <row r="4" spans="1:1" x14ac:dyDescent="0.3">
      <c r="A4" s="8" t="s">
        <v>1428</v>
      </c>
    </row>
    <row r="5" spans="1:1" x14ac:dyDescent="0.3">
      <c r="A5" s="8" t="s">
        <v>1429</v>
      </c>
    </row>
    <row r="6" spans="1:1" x14ac:dyDescent="0.3">
      <c r="A6" s="8" t="s">
        <v>1430</v>
      </c>
    </row>
    <row r="7" spans="1:1" x14ac:dyDescent="0.3">
      <c r="A7" s="8" t="s">
        <v>1431</v>
      </c>
    </row>
    <row r="8" spans="1:1" x14ac:dyDescent="0.3">
      <c r="A8" s="8" t="s">
        <v>1432</v>
      </c>
    </row>
    <row r="9" spans="1:1" x14ac:dyDescent="0.3">
      <c r="A9" s="8" t="s">
        <v>1433</v>
      </c>
    </row>
    <row r="10" spans="1:1" x14ac:dyDescent="0.3">
      <c r="A10" s="8" t="s">
        <v>1434</v>
      </c>
    </row>
    <row r="11" spans="1:1" x14ac:dyDescent="0.3">
      <c r="A11" s="8" t="s">
        <v>1435</v>
      </c>
    </row>
    <row r="12" spans="1:1" x14ac:dyDescent="0.3">
      <c r="A12" s="8" t="s">
        <v>1436</v>
      </c>
    </row>
    <row r="13" spans="1:1" x14ac:dyDescent="0.3">
      <c r="A13" s="8" t="s">
        <v>1437</v>
      </c>
    </row>
    <row r="14" spans="1:1" x14ac:dyDescent="0.3">
      <c r="A14" s="8" t="s">
        <v>1438</v>
      </c>
    </row>
    <row r="15" spans="1:1" x14ac:dyDescent="0.3">
      <c r="A15" s="8" t="s">
        <v>1439</v>
      </c>
    </row>
    <row r="16" spans="1:1" x14ac:dyDescent="0.3">
      <c r="A16" s="8" t="s">
        <v>1440</v>
      </c>
    </row>
    <row r="17" spans="1:11" x14ac:dyDescent="0.3">
      <c r="A17" s="8" t="s">
        <v>1441</v>
      </c>
    </row>
    <row r="18" spans="1:11" x14ac:dyDescent="0.3">
      <c r="A18" s="8" t="s">
        <v>1442</v>
      </c>
    </row>
    <row r="19" spans="1:11" x14ac:dyDescent="0.3">
      <c r="A19" s="8" t="s">
        <v>1443</v>
      </c>
    </row>
    <row r="20" spans="1:11" x14ac:dyDescent="0.3">
      <c r="A20" s="8" t="s">
        <v>1444</v>
      </c>
    </row>
    <row r="21" spans="1:11" x14ac:dyDescent="0.3">
      <c r="A21" s="8" t="s">
        <v>1445</v>
      </c>
    </row>
    <row r="22" spans="1:11" x14ac:dyDescent="0.3">
      <c r="A22" s="8" t="s">
        <v>1446</v>
      </c>
    </row>
    <row r="23" spans="1:11" x14ac:dyDescent="0.3">
      <c r="A23" s="8" t="s">
        <v>1447</v>
      </c>
    </row>
    <row r="24" spans="1:11" x14ac:dyDescent="0.3">
      <c r="A24" s="15" t="s">
        <v>1448</v>
      </c>
    </row>
    <row r="25" spans="1:11" x14ac:dyDescent="0.3">
      <c r="A25" t="s">
        <v>811</v>
      </c>
    </row>
    <row r="27" spans="1:11" x14ac:dyDescent="0.3">
      <c r="A27" s="16" t="s">
        <v>360</v>
      </c>
      <c r="B27" s="16" t="s">
        <v>30</v>
      </c>
      <c r="C27" s="16" t="s">
        <v>812</v>
      </c>
      <c r="D27" s="16" t="s">
        <v>813</v>
      </c>
      <c r="E27" s="16" t="s">
        <v>32</v>
      </c>
      <c r="F27" s="16" t="s">
        <v>33</v>
      </c>
      <c r="G27" s="16" t="s">
        <v>814</v>
      </c>
      <c r="H27" s="16" t="s">
        <v>815</v>
      </c>
      <c r="I27" s="16" t="s">
        <v>816</v>
      </c>
      <c r="J27" s="16" t="s">
        <v>295</v>
      </c>
      <c r="K27" s="16" t="s">
        <v>817</v>
      </c>
    </row>
    <row r="28" spans="1:11" x14ac:dyDescent="0.3">
      <c r="A28" s="12" t="s">
        <v>532</v>
      </c>
      <c r="B28" s="12">
        <v>100</v>
      </c>
      <c r="C28" s="12">
        <v>0</v>
      </c>
      <c r="D28" s="12">
        <v>60</v>
      </c>
      <c r="E28" s="12">
        <v>7</v>
      </c>
      <c r="F28" s="12">
        <v>0</v>
      </c>
      <c r="G28" s="12">
        <v>44</v>
      </c>
      <c r="H28" s="12">
        <v>9</v>
      </c>
      <c r="I28" s="12">
        <v>38</v>
      </c>
      <c r="J28" s="12">
        <v>2</v>
      </c>
      <c r="K28" s="12">
        <v>53</v>
      </c>
    </row>
    <row r="29" spans="1:11" x14ac:dyDescent="0.3">
      <c r="A29" s="12" t="s">
        <v>542</v>
      </c>
      <c r="B29" s="12">
        <v>100</v>
      </c>
      <c r="C29" s="12">
        <v>1</v>
      </c>
      <c r="D29" s="12">
        <v>88</v>
      </c>
      <c r="E29" s="12">
        <v>13</v>
      </c>
      <c r="F29" s="12">
        <v>11</v>
      </c>
      <c r="G29" s="12">
        <v>72</v>
      </c>
      <c r="H29" s="12">
        <v>3</v>
      </c>
      <c r="I29" s="12">
        <v>7</v>
      </c>
      <c r="J29" s="12">
        <v>4</v>
      </c>
      <c r="K29" s="12">
        <v>55</v>
      </c>
    </row>
    <row r="30" spans="1:11" x14ac:dyDescent="0.3">
      <c r="A30" s="12" t="s">
        <v>548</v>
      </c>
      <c r="B30" s="12">
        <v>100</v>
      </c>
      <c r="C30" s="12">
        <v>0</v>
      </c>
      <c r="D30" s="12">
        <v>88</v>
      </c>
      <c r="E30" s="12">
        <v>19</v>
      </c>
      <c r="F30" s="12">
        <v>12</v>
      </c>
      <c r="G30" s="12">
        <v>51</v>
      </c>
      <c r="H30" s="12">
        <v>18</v>
      </c>
      <c r="I30" s="12">
        <v>11</v>
      </c>
      <c r="J30" s="12">
        <v>1</v>
      </c>
      <c r="K30" s="12">
        <v>39</v>
      </c>
    </row>
    <row r="31" spans="1:11" x14ac:dyDescent="0.3">
      <c r="A31" s="12" t="s">
        <v>558</v>
      </c>
      <c r="B31" s="12">
        <v>100</v>
      </c>
      <c r="C31" s="12">
        <v>0</v>
      </c>
      <c r="D31" s="12">
        <v>85</v>
      </c>
      <c r="E31" s="12">
        <v>1</v>
      </c>
      <c r="F31" s="12">
        <v>1</v>
      </c>
      <c r="G31" s="12">
        <v>44</v>
      </c>
      <c r="H31" s="12">
        <v>40</v>
      </c>
      <c r="I31" s="12">
        <v>14</v>
      </c>
      <c r="J31" s="12">
        <v>1</v>
      </c>
      <c r="K31" s="12">
        <v>45</v>
      </c>
    </row>
    <row r="32" spans="1:11" x14ac:dyDescent="0.3">
      <c r="A32" s="12" t="s">
        <v>568</v>
      </c>
      <c r="B32" s="12">
        <v>100</v>
      </c>
      <c r="C32" s="12">
        <v>1</v>
      </c>
      <c r="D32" s="12">
        <v>87</v>
      </c>
      <c r="E32" s="12">
        <v>17</v>
      </c>
      <c r="F32" s="12">
        <v>13</v>
      </c>
      <c r="G32" s="12">
        <v>39</v>
      </c>
      <c r="H32" s="12">
        <v>31</v>
      </c>
      <c r="I32" s="12">
        <v>12</v>
      </c>
      <c r="J32" s="12">
        <v>0</v>
      </c>
      <c r="K32" s="12">
        <v>43</v>
      </c>
    </row>
    <row r="33" spans="1:11" x14ac:dyDescent="0.3">
      <c r="A33" s="12" t="s">
        <v>578</v>
      </c>
      <c r="B33" s="12">
        <v>100</v>
      </c>
      <c r="C33" s="12">
        <v>1</v>
      </c>
      <c r="D33" s="12">
        <v>85</v>
      </c>
      <c r="E33" s="12">
        <v>29</v>
      </c>
      <c r="F33" s="12">
        <v>15</v>
      </c>
      <c r="G33" s="12">
        <v>37</v>
      </c>
      <c r="H33" s="12">
        <v>19</v>
      </c>
      <c r="I33" s="12">
        <v>9</v>
      </c>
      <c r="J33" s="12">
        <v>5</v>
      </c>
      <c r="K33" s="12">
        <v>58</v>
      </c>
    </row>
    <row r="34" spans="1:11" x14ac:dyDescent="0.3">
      <c r="A34" s="12" t="s">
        <v>588</v>
      </c>
      <c r="B34" s="12">
        <v>30</v>
      </c>
      <c r="C34" s="12">
        <v>1</v>
      </c>
      <c r="D34" s="12">
        <v>20</v>
      </c>
      <c r="E34" s="12">
        <v>2</v>
      </c>
      <c r="F34" s="12">
        <v>0</v>
      </c>
      <c r="G34" s="12">
        <v>15</v>
      </c>
      <c r="H34" s="12">
        <v>3</v>
      </c>
      <c r="I34" s="12">
        <v>9</v>
      </c>
      <c r="J34" s="12">
        <v>0</v>
      </c>
      <c r="K34" s="12">
        <v>20</v>
      </c>
    </row>
    <row r="35" spans="1:11" x14ac:dyDescent="0.3">
      <c r="A35" s="12" t="s">
        <v>597</v>
      </c>
      <c r="B35" s="12">
        <v>30</v>
      </c>
      <c r="C35" s="12">
        <v>0</v>
      </c>
      <c r="D35" s="12">
        <v>26</v>
      </c>
      <c r="E35" s="12">
        <v>11</v>
      </c>
      <c r="F35" s="12">
        <v>6</v>
      </c>
      <c r="G35" s="12">
        <v>15</v>
      </c>
      <c r="H35" s="12">
        <v>0</v>
      </c>
      <c r="I35" s="12">
        <v>1</v>
      </c>
      <c r="J35" s="12">
        <v>3</v>
      </c>
      <c r="K35" s="12">
        <v>20</v>
      </c>
    </row>
    <row r="36" spans="1:11" x14ac:dyDescent="0.3">
      <c r="A36" s="12" t="s">
        <v>602</v>
      </c>
      <c r="B36" s="12">
        <v>30</v>
      </c>
      <c r="C36" s="12">
        <v>0</v>
      </c>
      <c r="D36" s="12">
        <v>28</v>
      </c>
      <c r="E36" s="12">
        <v>11</v>
      </c>
      <c r="F36" s="12">
        <v>7</v>
      </c>
      <c r="G36" s="12">
        <v>15</v>
      </c>
      <c r="H36" s="12">
        <v>2</v>
      </c>
      <c r="I36" s="12">
        <v>1</v>
      </c>
      <c r="J36" s="12">
        <v>1</v>
      </c>
      <c r="K36" s="12">
        <v>19</v>
      </c>
    </row>
    <row r="37" spans="1:11" x14ac:dyDescent="0.3">
      <c r="A37" s="12" t="s">
        <v>611</v>
      </c>
      <c r="B37" s="12">
        <v>30</v>
      </c>
      <c r="C37" s="12">
        <v>0</v>
      </c>
      <c r="D37" s="12">
        <v>27</v>
      </c>
      <c r="E37" s="12">
        <v>4</v>
      </c>
      <c r="F37" s="12">
        <v>3</v>
      </c>
      <c r="G37" s="12">
        <v>20</v>
      </c>
      <c r="H37" s="12">
        <v>3</v>
      </c>
      <c r="I37" s="12">
        <v>1</v>
      </c>
      <c r="J37" s="12">
        <v>2</v>
      </c>
      <c r="K37" s="12">
        <v>19</v>
      </c>
    </row>
    <row r="38" spans="1:11" x14ac:dyDescent="0.3">
      <c r="A38" s="12" t="s">
        <v>620</v>
      </c>
      <c r="B38" s="12">
        <v>30</v>
      </c>
      <c r="C38" s="12">
        <v>0</v>
      </c>
      <c r="D38" s="12">
        <v>26</v>
      </c>
      <c r="E38" s="12">
        <v>9</v>
      </c>
      <c r="F38" s="12">
        <v>5</v>
      </c>
      <c r="G38" s="12">
        <v>12</v>
      </c>
      <c r="H38" s="12">
        <v>5</v>
      </c>
      <c r="I38" s="12">
        <v>2</v>
      </c>
      <c r="J38" s="12">
        <v>2</v>
      </c>
      <c r="K38" s="12">
        <v>18</v>
      </c>
    </row>
    <row r="39" spans="1:11" x14ac:dyDescent="0.3">
      <c r="A39" s="12" t="s">
        <v>629</v>
      </c>
      <c r="B39" s="12">
        <v>30</v>
      </c>
      <c r="C39" s="12">
        <v>0</v>
      </c>
      <c r="D39" s="12">
        <v>19</v>
      </c>
      <c r="E39" s="12">
        <v>3</v>
      </c>
      <c r="F39" s="12">
        <v>0</v>
      </c>
      <c r="G39" s="12">
        <v>13</v>
      </c>
      <c r="H39" s="12">
        <v>3</v>
      </c>
      <c r="I39" s="12">
        <v>11</v>
      </c>
      <c r="J39" s="12">
        <v>0</v>
      </c>
      <c r="K39" s="12">
        <v>19</v>
      </c>
    </row>
    <row r="40" spans="1:11" x14ac:dyDescent="0.3">
      <c r="A40" s="12" t="s">
        <v>637</v>
      </c>
      <c r="B40" s="12">
        <v>30</v>
      </c>
      <c r="C40" s="12">
        <v>0</v>
      </c>
      <c r="D40" s="12">
        <v>28</v>
      </c>
      <c r="E40" s="12">
        <v>13</v>
      </c>
      <c r="F40" s="12">
        <v>7</v>
      </c>
      <c r="G40" s="12">
        <v>14</v>
      </c>
      <c r="H40" s="12">
        <v>1</v>
      </c>
      <c r="I40" s="12">
        <v>1</v>
      </c>
      <c r="J40" s="12">
        <v>1</v>
      </c>
      <c r="K40" s="12">
        <v>20</v>
      </c>
    </row>
    <row r="41" spans="1:11" x14ac:dyDescent="0.3">
      <c r="A41" s="12" t="s">
        <v>641</v>
      </c>
      <c r="B41" s="12">
        <v>30</v>
      </c>
      <c r="C41" s="12">
        <v>0</v>
      </c>
      <c r="D41" s="12">
        <v>28</v>
      </c>
      <c r="E41" s="12">
        <v>2</v>
      </c>
      <c r="F41" s="12">
        <v>2</v>
      </c>
      <c r="G41" s="12">
        <v>20</v>
      </c>
      <c r="H41" s="12">
        <v>6</v>
      </c>
      <c r="I41" s="12">
        <v>0</v>
      </c>
      <c r="J41" s="12">
        <v>2</v>
      </c>
      <c r="K41" s="12">
        <v>19</v>
      </c>
    </row>
    <row r="42" spans="1:11" x14ac:dyDescent="0.3">
      <c r="A42" s="12" t="s">
        <v>649</v>
      </c>
      <c r="B42" s="12">
        <v>30</v>
      </c>
      <c r="C42" s="12">
        <v>0</v>
      </c>
      <c r="D42" s="12">
        <v>27</v>
      </c>
      <c r="E42" s="12">
        <v>8</v>
      </c>
      <c r="F42" s="12">
        <v>6</v>
      </c>
      <c r="G42" s="12">
        <v>15</v>
      </c>
      <c r="H42" s="12">
        <v>4</v>
      </c>
      <c r="I42" s="12">
        <v>0</v>
      </c>
      <c r="J42" s="12">
        <v>3</v>
      </c>
      <c r="K42" s="12">
        <v>16</v>
      </c>
    </row>
    <row r="43" spans="1:11" x14ac:dyDescent="0.3">
      <c r="A43" s="12" t="s">
        <v>657</v>
      </c>
      <c r="B43" s="12">
        <v>30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30</v>
      </c>
      <c r="J43" s="12">
        <v>0</v>
      </c>
      <c r="K43" s="12">
        <v>0</v>
      </c>
    </row>
    <row r="44" spans="1:11" x14ac:dyDescent="0.3">
      <c r="A44" s="12" t="s">
        <v>660</v>
      </c>
      <c r="B44" s="12">
        <v>30</v>
      </c>
      <c r="C44" s="12">
        <v>0</v>
      </c>
      <c r="D44" s="12">
        <v>28</v>
      </c>
      <c r="E44" s="12">
        <v>5</v>
      </c>
      <c r="F44" s="12">
        <v>5</v>
      </c>
      <c r="G44" s="12">
        <v>22</v>
      </c>
      <c r="H44" s="12">
        <v>1</v>
      </c>
      <c r="I44" s="12">
        <v>1</v>
      </c>
      <c r="J44" s="12">
        <v>1</v>
      </c>
      <c r="K44" s="12">
        <v>19</v>
      </c>
    </row>
    <row r="45" spans="1:11" x14ac:dyDescent="0.3">
      <c r="A45" s="12" t="s">
        <v>663</v>
      </c>
      <c r="B45" s="12">
        <v>30</v>
      </c>
      <c r="C45" s="12">
        <v>0</v>
      </c>
      <c r="D45" s="12">
        <v>29</v>
      </c>
      <c r="E45" s="12">
        <v>6</v>
      </c>
      <c r="F45" s="12">
        <v>4</v>
      </c>
      <c r="G45" s="12">
        <v>21</v>
      </c>
      <c r="H45" s="12">
        <v>2</v>
      </c>
      <c r="I45" s="12">
        <v>0</v>
      </c>
      <c r="J45" s="12">
        <v>1</v>
      </c>
      <c r="K45" s="12">
        <v>20</v>
      </c>
    </row>
    <row r="46" spans="1:11" x14ac:dyDescent="0.3">
      <c r="A46" s="12" t="s">
        <v>666</v>
      </c>
      <c r="B46" s="12">
        <v>24</v>
      </c>
      <c r="C46" s="12">
        <v>0</v>
      </c>
      <c r="D46" s="12">
        <v>24</v>
      </c>
      <c r="E46" s="12">
        <v>18</v>
      </c>
      <c r="F46" s="12">
        <v>18</v>
      </c>
      <c r="G46" s="12">
        <v>6</v>
      </c>
      <c r="H46" s="12">
        <v>0</v>
      </c>
      <c r="I46" s="12">
        <v>0</v>
      </c>
      <c r="J46" s="12">
        <v>0</v>
      </c>
      <c r="K46" s="12">
        <v>0</v>
      </c>
    </row>
    <row r="47" spans="1:11" x14ac:dyDescent="0.3">
      <c r="A47" s="12" t="s">
        <v>676</v>
      </c>
      <c r="B47" s="12">
        <v>3</v>
      </c>
      <c r="C47" s="12">
        <v>0</v>
      </c>
      <c r="D47" s="12">
        <v>3</v>
      </c>
      <c r="E47" s="12">
        <v>3</v>
      </c>
      <c r="F47" s="12">
        <v>3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</row>
    <row r="49" spans="1:1" x14ac:dyDescent="0.3">
      <c r="A49" s="17" t="s">
        <v>1054</v>
      </c>
    </row>
  </sheetData>
  <autoFilter ref="A27:K47" xr:uid="{00000000-0009-0000-0000-000038000000}"/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K45"/>
  <sheetViews>
    <sheetView workbookViewId="0"/>
  </sheetViews>
  <sheetFormatPr baseColWidth="10" defaultColWidth="8.88671875" defaultRowHeight="14.4" x14ac:dyDescent="0.3"/>
  <cols>
    <col min="1" max="1" width="10" customWidth="1"/>
    <col min="2" max="2" width="19" customWidth="1"/>
    <col min="3" max="3" width="32" customWidth="1"/>
    <col min="4" max="4" width="11" customWidth="1"/>
    <col min="5" max="6" width="10" customWidth="1"/>
    <col min="7" max="7" width="19" customWidth="1"/>
    <col min="8" max="8" width="10" customWidth="1"/>
    <col min="9" max="9" width="19" customWidth="1"/>
    <col min="10" max="10" width="10" customWidth="1"/>
    <col min="11" max="11" width="21" customWidth="1"/>
  </cols>
  <sheetData>
    <row r="1" spans="1:1" ht="17.399999999999999" x14ac:dyDescent="0.35">
      <c r="A1" s="1" t="s">
        <v>1558</v>
      </c>
    </row>
    <row r="2" spans="1:1" x14ac:dyDescent="0.3">
      <c r="A2" t="s">
        <v>1559</v>
      </c>
    </row>
    <row r="3" spans="1:1" x14ac:dyDescent="0.3">
      <c r="A3" t="s">
        <v>1427</v>
      </c>
    </row>
    <row r="4" spans="1:1" x14ac:dyDescent="0.3">
      <c r="A4" s="8" t="s">
        <v>1428</v>
      </c>
    </row>
    <row r="5" spans="1:1" x14ac:dyDescent="0.3">
      <c r="A5" s="8" t="s">
        <v>1429</v>
      </c>
    </row>
    <row r="6" spans="1:1" x14ac:dyDescent="0.3">
      <c r="A6" s="8" t="s">
        <v>1430</v>
      </c>
    </row>
    <row r="7" spans="1:1" x14ac:dyDescent="0.3">
      <c r="A7" s="8" t="s">
        <v>1431</v>
      </c>
    </row>
    <row r="8" spans="1:1" x14ac:dyDescent="0.3">
      <c r="A8" s="8" t="s">
        <v>1432</v>
      </c>
    </row>
    <row r="9" spans="1:1" x14ac:dyDescent="0.3">
      <c r="A9" s="8" t="s">
        <v>1433</v>
      </c>
    </row>
    <row r="10" spans="1:1" x14ac:dyDescent="0.3">
      <c r="A10" s="8" t="s">
        <v>1434</v>
      </c>
    </row>
    <row r="11" spans="1:1" x14ac:dyDescent="0.3">
      <c r="A11" s="8" t="s">
        <v>1435</v>
      </c>
    </row>
    <row r="12" spans="1:1" x14ac:dyDescent="0.3">
      <c r="A12" s="8" t="s">
        <v>1436</v>
      </c>
    </row>
    <row r="13" spans="1:1" x14ac:dyDescent="0.3">
      <c r="A13" s="8" t="s">
        <v>1437</v>
      </c>
    </row>
    <row r="14" spans="1:1" x14ac:dyDescent="0.3">
      <c r="A14" s="8" t="s">
        <v>1438</v>
      </c>
    </row>
    <row r="15" spans="1:1" x14ac:dyDescent="0.3">
      <c r="A15" s="8" t="s">
        <v>1439</v>
      </c>
    </row>
    <row r="16" spans="1:1" x14ac:dyDescent="0.3">
      <c r="A16" s="8" t="s">
        <v>1440</v>
      </c>
    </row>
    <row r="17" spans="1:11" x14ac:dyDescent="0.3">
      <c r="A17" s="8" t="s">
        <v>1441</v>
      </c>
    </row>
    <row r="18" spans="1:11" x14ac:dyDescent="0.3">
      <c r="A18" s="8" t="s">
        <v>1442</v>
      </c>
    </row>
    <row r="19" spans="1:11" x14ac:dyDescent="0.3">
      <c r="A19" s="8" t="s">
        <v>1443</v>
      </c>
    </row>
    <row r="20" spans="1:11" x14ac:dyDescent="0.3">
      <c r="A20" s="8" t="s">
        <v>1444</v>
      </c>
    </row>
    <row r="21" spans="1:11" x14ac:dyDescent="0.3">
      <c r="A21" s="8" t="s">
        <v>1445</v>
      </c>
    </row>
    <row r="22" spans="1:11" x14ac:dyDescent="0.3">
      <c r="A22" s="15" t="s">
        <v>1448</v>
      </c>
    </row>
    <row r="23" spans="1:11" x14ac:dyDescent="0.3">
      <c r="A23" t="s">
        <v>1560</v>
      </c>
    </row>
    <row r="25" spans="1:11" x14ac:dyDescent="0.3">
      <c r="A25" s="16" t="s">
        <v>1561</v>
      </c>
      <c r="B25" s="16" t="s">
        <v>1562</v>
      </c>
      <c r="C25" s="16" t="s">
        <v>1563</v>
      </c>
      <c r="D25" s="16" t="s">
        <v>1564</v>
      </c>
      <c r="E25" s="16" t="s">
        <v>813</v>
      </c>
      <c r="F25" s="16" t="s">
        <v>32</v>
      </c>
      <c r="G25" s="16" t="s">
        <v>33</v>
      </c>
      <c r="H25" s="16" t="s">
        <v>910</v>
      </c>
      <c r="I25" s="16" t="s">
        <v>1565</v>
      </c>
      <c r="J25" s="16" t="s">
        <v>1566</v>
      </c>
      <c r="K25" s="16" t="s">
        <v>1567</v>
      </c>
    </row>
    <row r="26" spans="1:11" x14ac:dyDescent="0.3">
      <c r="A26" s="12">
        <v>0</v>
      </c>
      <c r="B26" s="12" t="s">
        <v>1568</v>
      </c>
      <c r="C26" s="12">
        <v>1</v>
      </c>
      <c r="D26" s="12">
        <v>100</v>
      </c>
      <c r="E26" s="12">
        <v>60</v>
      </c>
      <c r="F26" s="12">
        <v>7</v>
      </c>
      <c r="G26" s="12">
        <v>0</v>
      </c>
      <c r="H26" s="12">
        <v>0</v>
      </c>
      <c r="I26" s="12" t="s">
        <v>1569</v>
      </c>
      <c r="J26" s="12" t="s">
        <v>948</v>
      </c>
      <c r="K26" s="12" t="s">
        <v>948</v>
      </c>
    </row>
    <row r="27" spans="1:11" x14ac:dyDescent="0.3">
      <c r="A27" s="12">
        <v>0</v>
      </c>
      <c r="B27" s="12" t="s">
        <v>1570</v>
      </c>
      <c r="C27" s="12">
        <v>5</v>
      </c>
      <c r="D27" s="12">
        <v>100</v>
      </c>
      <c r="E27" s="12">
        <v>88</v>
      </c>
      <c r="F27" s="12">
        <v>13</v>
      </c>
      <c r="G27" s="12">
        <v>11</v>
      </c>
      <c r="H27" s="12">
        <v>0</v>
      </c>
      <c r="I27" s="12" t="s">
        <v>1571</v>
      </c>
      <c r="J27" s="12" t="s">
        <v>948</v>
      </c>
      <c r="K27" s="12" t="s">
        <v>948</v>
      </c>
    </row>
    <row r="28" spans="1:11" x14ac:dyDescent="0.3">
      <c r="A28" s="12">
        <v>0</v>
      </c>
      <c r="B28" s="12" t="s">
        <v>1572</v>
      </c>
      <c r="C28" s="12">
        <v>1</v>
      </c>
      <c r="D28" s="12">
        <v>100</v>
      </c>
      <c r="E28" s="12">
        <v>88</v>
      </c>
      <c r="F28" s="12">
        <v>19</v>
      </c>
      <c r="G28" s="12">
        <v>12</v>
      </c>
      <c r="H28" s="12">
        <v>0</v>
      </c>
      <c r="I28" s="12" t="s">
        <v>1573</v>
      </c>
      <c r="J28" s="12" t="s">
        <v>948</v>
      </c>
      <c r="K28" s="12" t="s">
        <v>948</v>
      </c>
    </row>
    <row r="29" spans="1:11" x14ac:dyDescent="0.3">
      <c r="A29" s="12">
        <v>0</v>
      </c>
      <c r="B29" s="12" t="s">
        <v>1574</v>
      </c>
      <c r="C29" s="12">
        <v>1</v>
      </c>
      <c r="D29" s="12">
        <v>100</v>
      </c>
      <c r="E29" s="12">
        <v>85</v>
      </c>
      <c r="F29" s="12">
        <v>1</v>
      </c>
      <c r="G29" s="12">
        <v>1</v>
      </c>
      <c r="H29" s="12">
        <v>0</v>
      </c>
      <c r="I29" s="12" t="s">
        <v>1575</v>
      </c>
      <c r="J29" s="12" t="s">
        <v>948</v>
      </c>
      <c r="K29" s="12" t="s">
        <v>948</v>
      </c>
    </row>
    <row r="30" spans="1:11" x14ac:dyDescent="0.3">
      <c r="A30" s="12">
        <v>0</v>
      </c>
      <c r="B30" s="12" t="s">
        <v>1576</v>
      </c>
      <c r="C30" s="12">
        <v>1</v>
      </c>
      <c r="D30" s="12">
        <v>100</v>
      </c>
      <c r="E30" s="12">
        <v>87</v>
      </c>
      <c r="F30" s="12">
        <v>17</v>
      </c>
      <c r="G30" s="12">
        <v>13</v>
      </c>
      <c r="H30" s="12">
        <v>0</v>
      </c>
      <c r="I30" s="12" t="s">
        <v>1577</v>
      </c>
      <c r="J30" s="12" t="s">
        <v>948</v>
      </c>
      <c r="K30" s="12" t="s">
        <v>948</v>
      </c>
    </row>
    <row r="31" spans="1:11" x14ac:dyDescent="0.3">
      <c r="A31" s="12">
        <v>0</v>
      </c>
      <c r="B31" s="12" t="s">
        <v>1578</v>
      </c>
      <c r="C31" s="12">
        <v>1</v>
      </c>
      <c r="D31" s="12">
        <v>100</v>
      </c>
      <c r="E31" s="12">
        <v>85</v>
      </c>
      <c r="F31" s="12">
        <v>29</v>
      </c>
      <c r="G31" s="12">
        <v>15</v>
      </c>
      <c r="H31" s="12">
        <v>0</v>
      </c>
      <c r="I31" s="12" t="s">
        <v>1579</v>
      </c>
      <c r="J31" s="12" t="s">
        <v>749</v>
      </c>
      <c r="K31" s="12" t="s">
        <v>948</v>
      </c>
    </row>
    <row r="32" spans="1:11" x14ac:dyDescent="0.3">
      <c r="A32" s="12">
        <v>1</v>
      </c>
      <c r="B32" s="12" t="s">
        <v>1580</v>
      </c>
      <c r="C32" s="12">
        <v>2</v>
      </c>
      <c r="D32" s="12">
        <v>30</v>
      </c>
      <c r="E32" s="12">
        <v>20</v>
      </c>
      <c r="F32" s="12">
        <v>2</v>
      </c>
      <c r="G32" s="12">
        <v>0</v>
      </c>
      <c r="H32" s="12">
        <v>0</v>
      </c>
      <c r="I32" s="12" t="s">
        <v>1581</v>
      </c>
      <c r="J32" s="12" t="s">
        <v>948</v>
      </c>
      <c r="K32" s="12" t="s">
        <v>948</v>
      </c>
    </row>
    <row r="33" spans="1:11" x14ac:dyDescent="0.3">
      <c r="A33" s="12">
        <v>1</v>
      </c>
      <c r="B33" s="12" t="s">
        <v>1582</v>
      </c>
      <c r="C33" s="12">
        <v>6</v>
      </c>
      <c r="D33" s="12">
        <v>30</v>
      </c>
      <c r="E33" s="12">
        <v>26</v>
      </c>
      <c r="F33" s="12">
        <v>11</v>
      </c>
      <c r="G33" s="12">
        <v>6</v>
      </c>
      <c r="H33" s="12">
        <v>0</v>
      </c>
      <c r="I33" s="12" t="s">
        <v>1583</v>
      </c>
      <c r="J33" s="12" t="s">
        <v>948</v>
      </c>
      <c r="K33" s="12" t="s">
        <v>948</v>
      </c>
    </row>
    <row r="34" spans="1:11" x14ac:dyDescent="0.3">
      <c r="A34" s="12">
        <v>1</v>
      </c>
      <c r="B34" s="12" t="s">
        <v>1584</v>
      </c>
      <c r="C34" s="12">
        <v>2</v>
      </c>
      <c r="D34" s="12">
        <v>30</v>
      </c>
      <c r="E34" s="12">
        <v>28</v>
      </c>
      <c r="F34" s="12">
        <v>11</v>
      </c>
      <c r="G34" s="12">
        <v>7</v>
      </c>
      <c r="H34" s="12">
        <v>0</v>
      </c>
      <c r="I34" s="12" t="s">
        <v>1585</v>
      </c>
      <c r="J34" s="12" t="s">
        <v>749</v>
      </c>
      <c r="K34" s="12" t="s">
        <v>948</v>
      </c>
    </row>
    <row r="35" spans="1:11" x14ac:dyDescent="0.3">
      <c r="A35" s="12">
        <v>1</v>
      </c>
      <c r="B35" s="12" t="s">
        <v>1586</v>
      </c>
      <c r="C35" s="12">
        <v>2</v>
      </c>
      <c r="D35" s="12">
        <v>30</v>
      </c>
      <c r="E35" s="12">
        <v>27</v>
      </c>
      <c r="F35" s="12">
        <v>4</v>
      </c>
      <c r="G35" s="12">
        <v>3</v>
      </c>
      <c r="H35" s="12">
        <v>0</v>
      </c>
      <c r="I35" s="12" t="s">
        <v>1587</v>
      </c>
      <c r="J35" s="12" t="s">
        <v>948</v>
      </c>
      <c r="K35" s="12" t="s">
        <v>948</v>
      </c>
    </row>
    <row r="36" spans="1:11" x14ac:dyDescent="0.3">
      <c r="A36" s="12">
        <v>1</v>
      </c>
      <c r="B36" s="12" t="s">
        <v>1588</v>
      </c>
      <c r="C36" s="12">
        <v>2</v>
      </c>
      <c r="D36" s="12">
        <v>30</v>
      </c>
      <c r="E36" s="12">
        <v>26</v>
      </c>
      <c r="F36" s="12">
        <v>9</v>
      </c>
      <c r="G36" s="12">
        <v>5</v>
      </c>
      <c r="H36" s="12">
        <v>0</v>
      </c>
      <c r="I36" s="12" t="s">
        <v>1589</v>
      </c>
      <c r="J36" s="12" t="s">
        <v>948</v>
      </c>
      <c r="K36" s="12" t="s">
        <v>948</v>
      </c>
    </row>
    <row r="37" spans="1:11" x14ac:dyDescent="0.3">
      <c r="A37" s="12">
        <v>2</v>
      </c>
      <c r="B37" s="12" t="s">
        <v>1590</v>
      </c>
      <c r="C37" s="12">
        <v>3</v>
      </c>
      <c r="D37" s="12">
        <v>30</v>
      </c>
      <c r="E37" s="12">
        <v>19</v>
      </c>
      <c r="F37" s="12">
        <v>3</v>
      </c>
      <c r="G37" s="12">
        <v>0</v>
      </c>
      <c r="H37" s="12">
        <v>0</v>
      </c>
      <c r="I37" s="12" t="s">
        <v>1589</v>
      </c>
      <c r="J37" s="12" t="s">
        <v>948</v>
      </c>
      <c r="K37" s="12" t="s">
        <v>948</v>
      </c>
    </row>
    <row r="38" spans="1:11" x14ac:dyDescent="0.3">
      <c r="A38" s="12">
        <v>2</v>
      </c>
      <c r="B38" s="12" t="s">
        <v>1591</v>
      </c>
      <c r="C38" s="12">
        <v>7</v>
      </c>
      <c r="D38" s="12">
        <v>30</v>
      </c>
      <c r="E38" s="12">
        <v>28</v>
      </c>
      <c r="F38" s="12">
        <v>13</v>
      </c>
      <c r="G38" s="12">
        <v>7</v>
      </c>
      <c r="H38" s="12">
        <v>0</v>
      </c>
      <c r="I38" s="12" t="s">
        <v>1592</v>
      </c>
      <c r="J38" s="12" t="s">
        <v>749</v>
      </c>
      <c r="K38" s="12" t="s">
        <v>948</v>
      </c>
    </row>
    <row r="39" spans="1:11" x14ac:dyDescent="0.3">
      <c r="A39" s="12">
        <v>2</v>
      </c>
      <c r="B39" s="12" t="s">
        <v>1593</v>
      </c>
      <c r="C39" s="12">
        <v>3</v>
      </c>
      <c r="D39" s="12">
        <v>30</v>
      </c>
      <c r="E39" s="12">
        <v>28</v>
      </c>
      <c r="F39" s="12">
        <v>2</v>
      </c>
      <c r="G39" s="12">
        <v>2</v>
      </c>
      <c r="H39" s="12">
        <v>0</v>
      </c>
      <c r="I39" s="12" t="s">
        <v>1594</v>
      </c>
      <c r="J39" s="12" t="s">
        <v>948</v>
      </c>
      <c r="K39" s="12" t="s">
        <v>948</v>
      </c>
    </row>
    <row r="40" spans="1:11" x14ac:dyDescent="0.3">
      <c r="A40" s="12">
        <v>2</v>
      </c>
      <c r="B40" s="12" t="s">
        <v>1595</v>
      </c>
      <c r="C40" s="12">
        <v>3</v>
      </c>
      <c r="D40" s="12">
        <v>30</v>
      </c>
      <c r="E40" s="12">
        <v>27</v>
      </c>
      <c r="F40" s="12">
        <v>8</v>
      </c>
      <c r="G40" s="12">
        <v>6</v>
      </c>
      <c r="H40" s="12">
        <v>0</v>
      </c>
      <c r="I40" s="12" t="s">
        <v>1596</v>
      </c>
      <c r="J40" s="12" t="s">
        <v>948</v>
      </c>
      <c r="K40" s="12" t="s">
        <v>948</v>
      </c>
    </row>
    <row r="41" spans="1:11" x14ac:dyDescent="0.3">
      <c r="A41" s="12">
        <v>3</v>
      </c>
      <c r="B41" s="12" t="s">
        <v>1597</v>
      </c>
      <c r="C41" s="12">
        <v>8</v>
      </c>
      <c r="D41" s="12">
        <v>30</v>
      </c>
      <c r="E41" s="12">
        <v>0</v>
      </c>
      <c r="F41" s="12">
        <v>0</v>
      </c>
      <c r="G41" s="12">
        <v>0</v>
      </c>
      <c r="H41" s="12"/>
      <c r="I41" s="12"/>
      <c r="J41" s="12" t="s">
        <v>948</v>
      </c>
      <c r="K41" s="12" t="s">
        <v>948</v>
      </c>
    </row>
    <row r="42" spans="1:11" x14ac:dyDescent="0.3">
      <c r="A42" s="12">
        <v>3</v>
      </c>
      <c r="B42" s="12" t="s">
        <v>1598</v>
      </c>
      <c r="C42" s="12">
        <v>8</v>
      </c>
      <c r="D42" s="12">
        <v>30</v>
      </c>
      <c r="E42" s="12">
        <v>28</v>
      </c>
      <c r="F42" s="12">
        <v>5</v>
      </c>
      <c r="G42" s="12">
        <v>5</v>
      </c>
      <c r="H42" s="12">
        <v>0</v>
      </c>
      <c r="I42" s="12" t="s">
        <v>1599</v>
      </c>
      <c r="J42" s="12" t="s">
        <v>749</v>
      </c>
      <c r="K42" s="12" t="s">
        <v>948</v>
      </c>
    </row>
    <row r="43" spans="1:11" x14ac:dyDescent="0.3">
      <c r="A43" s="12">
        <v>3</v>
      </c>
      <c r="B43" s="12" t="s">
        <v>1600</v>
      </c>
      <c r="C43" s="12">
        <v>8</v>
      </c>
      <c r="D43" s="12">
        <v>30</v>
      </c>
      <c r="E43" s="12">
        <v>29</v>
      </c>
      <c r="F43" s="12">
        <v>6</v>
      </c>
      <c r="G43" s="12">
        <v>4</v>
      </c>
      <c r="H43" s="12">
        <v>0</v>
      </c>
      <c r="I43" s="12" t="s">
        <v>1601</v>
      </c>
      <c r="J43" s="12" t="s">
        <v>948</v>
      </c>
      <c r="K43" s="12" t="s">
        <v>948</v>
      </c>
    </row>
    <row r="45" spans="1:11" x14ac:dyDescent="0.3">
      <c r="A45" s="17" t="s">
        <v>1602</v>
      </c>
    </row>
  </sheetData>
  <autoFilter ref="A25:K43" xr:uid="{00000000-0009-0000-0000-000039000000}"/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W12"/>
  <sheetViews>
    <sheetView workbookViewId="0"/>
  </sheetViews>
  <sheetFormatPr baseColWidth="10" defaultColWidth="8.88671875" defaultRowHeight="14.4" x14ac:dyDescent="0.3"/>
  <cols>
    <col min="1" max="1" width="15" customWidth="1"/>
    <col min="2" max="2" width="17" customWidth="1"/>
    <col min="3" max="4" width="16" customWidth="1"/>
    <col min="5" max="6" width="25" customWidth="1"/>
    <col min="7" max="7" width="12" customWidth="1"/>
    <col min="8" max="8" width="19" customWidth="1"/>
    <col min="9" max="9" width="42" customWidth="1"/>
    <col min="10" max="10" width="40" customWidth="1"/>
    <col min="11" max="11" width="42" customWidth="1"/>
    <col min="12" max="13" width="31" customWidth="1"/>
    <col min="14" max="14" width="48" customWidth="1"/>
    <col min="15" max="15" width="47" customWidth="1"/>
    <col min="16" max="16" width="45" customWidth="1"/>
    <col min="17" max="17" width="48" customWidth="1"/>
    <col min="18" max="18" width="40" customWidth="1"/>
    <col min="19" max="19" width="41" customWidth="1"/>
    <col min="20" max="20" width="16" customWidth="1"/>
    <col min="21" max="21" width="14" customWidth="1"/>
    <col min="22" max="22" width="12" customWidth="1"/>
    <col min="23" max="23" width="48" customWidth="1"/>
  </cols>
  <sheetData>
    <row r="1" spans="1:23" ht="17.399999999999999" x14ac:dyDescent="0.35">
      <c r="A1" s="1" t="s">
        <v>1603</v>
      </c>
    </row>
    <row r="2" spans="1:23" x14ac:dyDescent="0.3">
      <c r="A2" t="s">
        <v>1604</v>
      </c>
    </row>
    <row r="3" spans="1:23" x14ac:dyDescent="0.3">
      <c r="A3" t="s">
        <v>1427</v>
      </c>
    </row>
    <row r="4" spans="1:23" x14ac:dyDescent="0.3">
      <c r="A4" s="15" t="s">
        <v>1289</v>
      </c>
    </row>
    <row r="5" spans="1:23" x14ac:dyDescent="0.3">
      <c r="A5" t="s">
        <v>1605</v>
      </c>
    </row>
    <row r="7" spans="1:23" x14ac:dyDescent="0.3">
      <c r="A7" s="16" t="s">
        <v>1305</v>
      </c>
      <c r="B7" s="16" t="s">
        <v>1306</v>
      </c>
      <c r="C7" s="16" t="s">
        <v>1307</v>
      </c>
      <c r="D7" s="16" t="s">
        <v>1310</v>
      </c>
      <c r="E7" s="16" t="s">
        <v>1308</v>
      </c>
      <c r="F7" s="16" t="s">
        <v>1311</v>
      </c>
      <c r="G7" s="16" t="s">
        <v>828</v>
      </c>
      <c r="H7" s="16" t="s">
        <v>1309</v>
      </c>
      <c r="I7" s="16" t="s">
        <v>66</v>
      </c>
      <c r="J7" s="16" t="s">
        <v>49</v>
      </c>
      <c r="K7" s="16" t="s">
        <v>51</v>
      </c>
      <c r="L7" s="16" t="s">
        <v>53</v>
      </c>
      <c r="M7" s="16" t="s">
        <v>54</v>
      </c>
      <c r="N7" s="16" t="s">
        <v>55</v>
      </c>
      <c r="O7" s="16" t="s">
        <v>59</v>
      </c>
      <c r="P7" s="16" t="s">
        <v>61</v>
      </c>
      <c r="Q7" s="16" t="s">
        <v>63</v>
      </c>
      <c r="R7" s="16" t="s">
        <v>64</v>
      </c>
      <c r="S7" s="16" t="s">
        <v>65</v>
      </c>
      <c r="T7" s="16" t="s">
        <v>817</v>
      </c>
      <c r="U7" s="16" t="s">
        <v>1317</v>
      </c>
      <c r="V7" s="16" t="s">
        <v>1606</v>
      </c>
      <c r="W7" s="16" t="s">
        <v>1607</v>
      </c>
    </row>
    <row r="8" spans="1:23" x14ac:dyDescent="0.3">
      <c r="A8" s="12" t="s">
        <v>315</v>
      </c>
      <c r="B8" s="12" t="s">
        <v>1319</v>
      </c>
      <c r="C8" s="26" t="s">
        <v>32</v>
      </c>
      <c r="D8" s="21">
        <v>8.4818999999999996</v>
      </c>
      <c r="E8" s="26" t="s">
        <v>32</v>
      </c>
      <c r="F8" s="21">
        <v>8.4819999999999993</v>
      </c>
      <c r="G8" s="12">
        <v>1.4463E-4</v>
      </c>
      <c r="H8" s="12" t="s">
        <v>749</v>
      </c>
      <c r="I8" s="24">
        <v>300.02999999999997</v>
      </c>
      <c r="J8" s="24">
        <v>403</v>
      </c>
      <c r="K8" s="24">
        <v>300.02999999999997</v>
      </c>
      <c r="L8" s="23">
        <v>3000</v>
      </c>
      <c r="M8" s="24">
        <v>563.64</v>
      </c>
      <c r="N8" s="25">
        <v>0.5</v>
      </c>
      <c r="O8" s="25">
        <v>0.85</v>
      </c>
      <c r="P8" s="25">
        <v>0.75</v>
      </c>
      <c r="Q8" s="25">
        <v>0.85</v>
      </c>
      <c r="R8" s="25">
        <v>0.75</v>
      </c>
      <c r="S8" s="25">
        <v>0.8</v>
      </c>
      <c r="T8" s="12" t="s">
        <v>948</v>
      </c>
      <c r="U8" s="12"/>
      <c r="V8" s="12">
        <v>990.08</v>
      </c>
      <c r="W8" s="12" t="s">
        <v>1608</v>
      </c>
    </row>
    <row r="9" spans="1:23" x14ac:dyDescent="0.3">
      <c r="A9" s="12" t="s">
        <v>1423</v>
      </c>
      <c r="B9" s="12" t="s">
        <v>1609</v>
      </c>
      <c r="C9" s="26" t="s">
        <v>32</v>
      </c>
      <c r="D9" s="21">
        <v>15.6</v>
      </c>
      <c r="E9" s="26" t="s">
        <v>32</v>
      </c>
      <c r="F9" s="21">
        <v>15.6</v>
      </c>
      <c r="G9" s="12">
        <v>2.7837000000000001E-4</v>
      </c>
      <c r="H9" s="12" t="s">
        <v>749</v>
      </c>
      <c r="I9" s="24">
        <v>300.02999999999997</v>
      </c>
      <c r="J9" s="24">
        <v>415</v>
      </c>
      <c r="K9" s="24">
        <v>300.02999999999997</v>
      </c>
      <c r="L9" s="23">
        <v>3000</v>
      </c>
      <c r="M9" s="24">
        <v>400</v>
      </c>
      <c r="N9" s="25">
        <v>0.5</v>
      </c>
      <c r="O9" s="25">
        <v>0.95</v>
      </c>
      <c r="P9" s="25">
        <v>0.80500000000000005</v>
      </c>
      <c r="Q9" s="25">
        <v>0.95</v>
      </c>
      <c r="R9" s="25">
        <v>0.95</v>
      </c>
      <c r="S9" s="25">
        <v>0.95</v>
      </c>
      <c r="T9" s="12" t="s">
        <v>948</v>
      </c>
      <c r="U9" s="12"/>
      <c r="V9" s="12">
        <v>810.7</v>
      </c>
      <c r="W9" s="12" t="s">
        <v>1608</v>
      </c>
    </row>
    <row r="10" spans="1:23" x14ac:dyDescent="0.3">
      <c r="A10" s="12" t="s">
        <v>1610</v>
      </c>
      <c r="B10" s="12" t="s">
        <v>1611</v>
      </c>
      <c r="C10" s="26" t="s">
        <v>32</v>
      </c>
      <c r="D10" s="21">
        <v>12.731999999999999</v>
      </c>
      <c r="E10" s="26" t="s">
        <v>32</v>
      </c>
      <c r="F10" s="21">
        <v>12.73</v>
      </c>
      <c r="G10" s="12">
        <v>-2.2902999999999999E-3</v>
      </c>
      <c r="H10" s="12" t="s">
        <v>749</v>
      </c>
      <c r="I10" s="24">
        <v>283.14999999999998</v>
      </c>
      <c r="J10" s="24">
        <v>394.15</v>
      </c>
      <c r="K10" s="24">
        <v>278.14999999999998</v>
      </c>
      <c r="L10" s="23">
        <v>3300</v>
      </c>
      <c r="M10" s="24">
        <v>690</v>
      </c>
      <c r="N10" s="25">
        <v>0.82</v>
      </c>
      <c r="O10" s="25">
        <v>0.9</v>
      </c>
      <c r="P10" s="25">
        <v>0.8</v>
      </c>
      <c r="Q10" s="25">
        <v>0.85</v>
      </c>
      <c r="R10" s="25">
        <v>0.75</v>
      </c>
      <c r="S10" s="25">
        <v>0.95</v>
      </c>
      <c r="T10" s="12" t="s">
        <v>948</v>
      </c>
      <c r="U10" s="12"/>
      <c r="V10" s="12">
        <v>800.85</v>
      </c>
      <c r="W10" s="12" t="s">
        <v>1608</v>
      </c>
    </row>
    <row r="12" spans="1:23" x14ac:dyDescent="0.3">
      <c r="A12" s="17" t="s">
        <v>1302</v>
      </c>
    </row>
  </sheetData>
  <autoFilter ref="A7:W10" xr:uid="{00000000-0009-0000-0000-00003A000000}"/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H56"/>
  <sheetViews>
    <sheetView workbookViewId="0"/>
  </sheetViews>
  <sheetFormatPr baseColWidth="10" defaultColWidth="8.88671875" defaultRowHeight="14.4" x14ac:dyDescent="0.3"/>
  <cols>
    <col min="1" max="1" width="14" customWidth="1"/>
    <col min="2" max="2" width="48" customWidth="1"/>
    <col min="3" max="3" width="14" customWidth="1"/>
    <col min="4" max="4" width="24" customWidth="1"/>
    <col min="5" max="5" width="15" customWidth="1"/>
    <col min="6" max="6" width="11" customWidth="1"/>
    <col min="7" max="7" width="21" customWidth="1"/>
    <col min="8" max="8" width="10" customWidth="1"/>
  </cols>
  <sheetData>
    <row r="1" spans="1:8" ht="17.399999999999999" x14ac:dyDescent="0.35">
      <c r="A1" s="1" t="s">
        <v>1612</v>
      </c>
    </row>
    <row r="2" spans="1:8" x14ac:dyDescent="0.3">
      <c r="A2" t="s">
        <v>1613</v>
      </c>
    </row>
    <row r="3" spans="1:8" x14ac:dyDescent="0.3">
      <c r="A3" t="s">
        <v>1614</v>
      </c>
    </row>
    <row r="4" spans="1:8" x14ac:dyDescent="0.3">
      <c r="A4" s="8" t="s">
        <v>1615</v>
      </c>
    </row>
    <row r="5" spans="1:8" x14ac:dyDescent="0.3">
      <c r="A5" s="15" t="s">
        <v>1616</v>
      </c>
    </row>
    <row r="6" spans="1:8" x14ac:dyDescent="0.3">
      <c r="A6" s="15" t="s">
        <v>1617</v>
      </c>
    </row>
    <row r="7" spans="1:8" x14ac:dyDescent="0.3">
      <c r="A7" s="8" t="s">
        <v>1618</v>
      </c>
    </row>
    <row r="8" spans="1:8" x14ac:dyDescent="0.3">
      <c r="A8" s="15" t="s">
        <v>1619</v>
      </c>
    </row>
    <row r="9" spans="1:8" x14ac:dyDescent="0.3">
      <c r="A9" s="15" t="s">
        <v>1620</v>
      </c>
    </row>
    <row r="10" spans="1:8" x14ac:dyDescent="0.3">
      <c r="A10" s="8" t="s">
        <v>1621</v>
      </c>
    </row>
    <row r="11" spans="1:8" x14ac:dyDescent="0.3">
      <c r="A11" s="15" t="s">
        <v>741</v>
      </c>
    </row>
    <row r="12" spans="1:8" x14ac:dyDescent="0.3">
      <c r="A12" s="15" t="s">
        <v>1622</v>
      </c>
    </row>
    <row r="13" spans="1:8" x14ac:dyDescent="0.3">
      <c r="A13" t="s">
        <v>788</v>
      </c>
    </row>
    <row r="15" spans="1:8" x14ac:dyDescent="0.3">
      <c r="A15" s="16" t="s">
        <v>360</v>
      </c>
      <c r="B15" s="16" t="s">
        <v>712</v>
      </c>
      <c r="C15" s="16" t="s">
        <v>789</v>
      </c>
      <c r="D15" s="16" t="s">
        <v>890</v>
      </c>
      <c r="E15" s="16" t="s">
        <v>790</v>
      </c>
      <c r="F15" s="16" t="s">
        <v>791</v>
      </c>
      <c r="G15" s="16" t="s">
        <v>792</v>
      </c>
      <c r="H15" s="16" t="s">
        <v>266</v>
      </c>
    </row>
    <row r="16" spans="1:8" x14ac:dyDescent="0.3">
      <c r="A16" s="12" t="s">
        <v>685</v>
      </c>
      <c r="B16" s="12" t="s">
        <v>49</v>
      </c>
      <c r="C16" s="12" t="s">
        <v>793</v>
      </c>
      <c r="D16" s="12"/>
      <c r="E16" s="12" t="s">
        <v>1540</v>
      </c>
      <c r="F16" s="12"/>
      <c r="G16" s="12" t="s">
        <v>948</v>
      </c>
      <c r="H16" s="12" t="s">
        <v>275</v>
      </c>
    </row>
    <row r="17" spans="1:8" x14ac:dyDescent="0.3">
      <c r="A17" s="12" t="s">
        <v>685</v>
      </c>
      <c r="B17" s="12" t="s">
        <v>51</v>
      </c>
      <c r="C17" s="12" t="s">
        <v>793</v>
      </c>
      <c r="D17" s="12"/>
      <c r="E17" s="12" t="s">
        <v>1541</v>
      </c>
      <c r="F17" s="12"/>
      <c r="G17" s="12" t="s">
        <v>948</v>
      </c>
      <c r="H17" s="12" t="s">
        <v>275</v>
      </c>
    </row>
    <row r="18" spans="1:8" x14ac:dyDescent="0.3">
      <c r="A18" s="12" t="s">
        <v>685</v>
      </c>
      <c r="B18" s="12" t="s">
        <v>53</v>
      </c>
      <c r="C18" s="12" t="s">
        <v>796</v>
      </c>
      <c r="D18" s="12"/>
      <c r="E18" s="12" t="s">
        <v>1623</v>
      </c>
      <c r="F18" s="12">
        <v>3</v>
      </c>
      <c r="G18" s="12"/>
      <c r="H18" s="12" t="s">
        <v>270</v>
      </c>
    </row>
    <row r="19" spans="1:8" x14ac:dyDescent="0.3">
      <c r="A19" s="12" t="s">
        <v>685</v>
      </c>
      <c r="B19" s="12" t="s">
        <v>54</v>
      </c>
      <c r="C19" s="12" t="s">
        <v>796</v>
      </c>
      <c r="D19" s="12"/>
      <c r="E19" s="12" t="s">
        <v>1624</v>
      </c>
      <c r="F19" s="12">
        <v>40</v>
      </c>
      <c r="G19" s="12"/>
      <c r="H19" s="12" t="s">
        <v>270</v>
      </c>
    </row>
    <row r="20" spans="1:8" x14ac:dyDescent="0.3">
      <c r="A20" s="12" t="s">
        <v>685</v>
      </c>
      <c r="B20" s="12" t="s">
        <v>55</v>
      </c>
      <c r="C20" s="12" t="s">
        <v>796</v>
      </c>
      <c r="D20" s="12"/>
      <c r="E20" s="12" t="s">
        <v>1625</v>
      </c>
      <c r="F20" s="12">
        <v>6</v>
      </c>
      <c r="G20" s="12"/>
      <c r="H20" s="12" t="s">
        <v>273</v>
      </c>
    </row>
    <row r="21" spans="1:8" x14ac:dyDescent="0.3">
      <c r="A21" s="12" t="s">
        <v>685</v>
      </c>
      <c r="B21" s="12" t="s">
        <v>57</v>
      </c>
      <c r="C21" s="12" t="s">
        <v>793</v>
      </c>
      <c r="D21" s="12"/>
      <c r="E21" s="12" t="s">
        <v>800</v>
      </c>
      <c r="F21" s="12"/>
      <c r="G21" s="12" t="s">
        <v>749</v>
      </c>
      <c r="H21" s="12" t="s">
        <v>283</v>
      </c>
    </row>
    <row r="22" spans="1:8" x14ac:dyDescent="0.3">
      <c r="A22" s="12" t="s">
        <v>685</v>
      </c>
      <c r="B22" s="12" t="s">
        <v>59</v>
      </c>
      <c r="C22" s="12" t="s">
        <v>796</v>
      </c>
      <c r="D22" s="12"/>
      <c r="E22" s="12" t="s">
        <v>1626</v>
      </c>
      <c r="F22" s="12">
        <v>8</v>
      </c>
      <c r="G22" s="12"/>
      <c r="H22" s="12" t="s">
        <v>273</v>
      </c>
    </row>
    <row r="23" spans="1:8" x14ac:dyDescent="0.3">
      <c r="A23" s="12" t="s">
        <v>685</v>
      </c>
      <c r="B23" s="12" t="s">
        <v>61</v>
      </c>
      <c r="C23" s="12" t="s">
        <v>793</v>
      </c>
      <c r="D23" s="12"/>
      <c r="E23" s="12" t="s">
        <v>801</v>
      </c>
      <c r="F23" s="12"/>
      <c r="G23" s="12" t="s">
        <v>948</v>
      </c>
      <c r="H23" s="12" t="s">
        <v>273</v>
      </c>
    </row>
    <row r="24" spans="1:8" x14ac:dyDescent="0.3">
      <c r="A24" s="12" t="s">
        <v>685</v>
      </c>
      <c r="B24" s="12" t="s">
        <v>63</v>
      </c>
      <c r="C24" s="12" t="s">
        <v>793</v>
      </c>
      <c r="D24" s="12"/>
      <c r="E24" s="12" t="s">
        <v>755</v>
      </c>
      <c r="F24" s="12"/>
      <c r="G24" s="12" t="s">
        <v>749</v>
      </c>
      <c r="H24" s="12" t="s">
        <v>273</v>
      </c>
    </row>
    <row r="25" spans="1:8" x14ac:dyDescent="0.3">
      <c r="A25" s="12" t="s">
        <v>685</v>
      </c>
      <c r="B25" s="12" t="s">
        <v>64</v>
      </c>
      <c r="C25" s="12" t="s">
        <v>796</v>
      </c>
      <c r="D25" s="12"/>
      <c r="E25" s="12" t="s">
        <v>1553</v>
      </c>
      <c r="F25" s="12">
        <v>12</v>
      </c>
      <c r="G25" s="12"/>
      <c r="H25" s="12" t="s">
        <v>273</v>
      </c>
    </row>
    <row r="26" spans="1:8" x14ac:dyDescent="0.3">
      <c r="A26" s="12" t="s">
        <v>685</v>
      </c>
      <c r="B26" s="12" t="s">
        <v>65</v>
      </c>
      <c r="C26" s="12" t="s">
        <v>796</v>
      </c>
      <c r="D26" s="12"/>
      <c r="E26" s="12" t="s">
        <v>1627</v>
      </c>
      <c r="F26" s="12">
        <v>5</v>
      </c>
      <c r="G26" s="12"/>
      <c r="H26" s="12" t="s">
        <v>273</v>
      </c>
    </row>
    <row r="27" spans="1:8" x14ac:dyDescent="0.3">
      <c r="A27" s="12" t="s">
        <v>685</v>
      </c>
      <c r="B27" s="12" t="s">
        <v>66</v>
      </c>
      <c r="C27" s="12" t="s">
        <v>796</v>
      </c>
      <c r="D27" s="12"/>
      <c r="E27" s="12" t="s">
        <v>893</v>
      </c>
      <c r="F27" s="12">
        <v>2</v>
      </c>
      <c r="G27" s="12"/>
      <c r="H27" s="12" t="s">
        <v>275</v>
      </c>
    </row>
    <row r="28" spans="1:8" x14ac:dyDescent="0.3">
      <c r="A28" s="12" t="s">
        <v>685</v>
      </c>
      <c r="B28" s="12" t="s">
        <v>803</v>
      </c>
      <c r="C28" s="12" t="s">
        <v>793</v>
      </c>
      <c r="D28" s="12"/>
      <c r="E28" s="12" t="s">
        <v>804</v>
      </c>
      <c r="F28" s="12"/>
      <c r="G28" s="12"/>
      <c r="H28" s="12" t="s">
        <v>273</v>
      </c>
    </row>
    <row r="29" spans="1:8" x14ac:dyDescent="0.3">
      <c r="A29" s="12" t="s">
        <v>691</v>
      </c>
      <c r="B29" s="12" t="s">
        <v>49</v>
      </c>
      <c r="C29" s="12" t="s">
        <v>891</v>
      </c>
      <c r="D29" s="12">
        <v>394.1</v>
      </c>
      <c r="E29" s="12" t="s">
        <v>1628</v>
      </c>
      <c r="F29" s="12">
        <v>16</v>
      </c>
      <c r="G29" s="12"/>
      <c r="H29" s="12" t="s">
        <v>275</v>
      </c>
    </row>
    <row r="30" spans="1:8" x14ac:dyDescent="0.3">
      <c r="A30" s="12" t="s">
        <v>691</v>
      </c>
      <c r="B30" s="12" t="s">
        <v>51</v>
      </c>
      <c r="C30" s="12" t="s">
        <v>891</v>
      </c>
      <c r="D30" s="12">
        <v>278.10000000000002</v>
      </c>
      <c r="E30" s="12" t="s">
        <v>1629</v>
      </c>
      <c r="F30" s="12">
        <v>16</v>
      </c>
      <c r="G30" s="12"/>
      <c r="H30" s="12" t="s">
        <v>275</v>
      </c>
    </row>
    <row r="31" spans="1:8" x14ac:dyDescent="0.3">
      <c r="A31" s="12" t="s">
        <v>691</v>
      </c>
      <c r="B31" s="12" t="s">
        <v>53</v>
      </c>
      <c r="C31" s="12" t="s">
        <v>891</v>
      </c>
      <c r="D31" s="12">
        <v>3300</v>
      </c>
      <c r="E31" s="12" t="s">
        <v>1630</v>
      </c>
      <c r="F31" s="12">
        <v>16</v>
      </c>
      <c r="G31" s="12"/>
      <c r="H31" s="12" t="s">
        <v>270</v>
      </c>
    </row>
    <row r="32" spans="1:8" x14ac:dyDescent="0.3">
      <c r="A32" s="12" t="s">
        <v>691</v>
      </c>
      <c r="B32" s="12" t="s">
        <v>54</v>
      </c>
      <c r="C32" s="12" t="s">
        <v>891</v>
      </c>
      <c r="D32" s="12">
        <v>690</v>
      </c>
      <c r="E32" s="12" t="s">
        <v>1631</v>
      </c>
      <c r="F32" s="12">
        <v>16</v>
      </c>
      <c r="G32" s="12"/>
      <c r="H32" s="12" t="s">
        <v>270</v>
      </c>
    </row>
    <row r="33" spans="1:8" x14ac:dyDescent="0.3">
      <c r="A33" s="12" t="s">
        <v>691</v>
      </c>
      <c r="B33" s="12" t="s">
        <v>55</v>
      </c>
      <c r="C33" s="12" t="s">
        <v>891</v>
      </c>
      <c r="D33" s="12">
        <v>0.82</v>
      </c>
      <c r="E33" s="12" t="s">
        <v>1632</v>
      </c>
      <c r="F33" s="12">
        <v>16</v>
      </c>
      <c r="G33" s="12"/>
      <c r="H33" s="12" t="s">
        <v>273</v>
      </c>
    </row>
    <row r="34" spans="1:8" x14ac:dyDescent="0.3">
      <c r="A34" s="12" t="s">
        <v>691</v>
      </c>
      <c r="B34" s="12" t="s">
        <v>57</v>
      </c>
      <c r="C34" s="12" t="s">
        <v>793</v>
      </c>
      <c r="D34" s="12">
        <v>1</v>
      </c>
      <c r="E34" s="12" t="s">
        <v>800</v>
      </c>
      <c r="F34" s="12"/>
      <c r="G34" s="12" t="s">
        <v>749</v>
      </c>
      <c r="H34" s="12" t="s">
        <v>283</v>
      </c>
    </row>
    <row r="35" spans="1:8" x14ac:dyDescent="0.3">
      <c r="A35" s="12" t="s">
        <v>691</v>
      </c>
      <c r="B35" s="12" t="s">
        <v>59</v>
      </c>
      <c r="C35" s="12" t="s">
        <v>891</v>
      </c>
      <c r="D35" s="12">
        <v>0.9</v>
      </c>
      <c r="E35" s="12" t="s">
        <v>1553</v>
      </c>
      <c r="F35" s="12">
        <v>16</v>
      </c>
      <c r="G35" s="12"/>
      <c r="H35" s="12" t="s">
        <v>273</v>
      </c>
    </row>
    <row r="36" spans="1:8" x14ac:dyDescent="0.3">
      <c r="A36" s="12" t="s">
        <v>691</v>
      </c>
      <c r="B36" s="12" t="s">
        <v>61</v>
      </c>
      <c r="C36" s="12" t="s">
        <v>891</v>
      </c>
      <c r="D36" s="12">
        <v>0.8</v>
      </c>
      <c r="E36" s="12" t="s">
        <v>1633</v>
      </c>
      <c r="F36" s="12">
        <v>16</v>
      </c>
      <c r="G36" s="12"/>
      <c r="H36" s="12" t="s">
        <v>273</v>
      </c>
    </row>
    <row r="37" spans="1:8" x14ac:dyDescent="0.3">
      <c r="A37" s="12" t="s">
        <v>691</v>
      </c>
      <c r="B37" s="12" t="s">
        <v>63</v>
      </c>
      <c r="C37" s="12" t="s">
        <v>891</v>
      </c>
      <c r="D37" s="12">
        <v>0.85</v>
      </c>
      <c r="E37" s="12" t="s">
        <v>1632</v>
      </c>
      <c r="F37" s="12">
        <v>15</v>
      </c>
      <c r="G37" s="12"/>
      <c r="H37" s="12" t="s">
        <v>273</v>
      </c>
    </row>
    <row r="38" spans="1:8" x14ac:dyDescent="0.3">
      <c r="A38" s="12" t="s">
        <v>691</v>
      </c>
      <c r="B38" s="12" t="s">
        <v>64</v>
      </c>
      <c r="C38" s="12" t="s">
        <v>891</v>
      </c>
      <c r="D38" s="12">
        <v>0.75</v>
      </c>
      <c r="E38" s="12" t="s">
        <v>969</v>
      </c>
      <c r="F38" s="12">
        <v>16</v>
      </c>
      <c r="G38" s="12"/>
      <c r="H38" s="12" t="s">
        <v>273</v>
      </c>
    </row>
    <row r="39" spans="1:8" x14ac:dyDescent="0.3">
      <c r="A39" s="12" t="s">
        <v>691</v>
      </c>
      <c r="B39" s="12" t="s">
        <v>65</v>
      </c>
      <c r="C39" s="12" t="s">
        <v>891</v>
      </c>
      <c r="D39" s="12">
        <v>0.95</v>
      </c>
      <c r="E39" s="12" t="s">
        <v>1180</v>
      </c>
      <c r="F39" s="12">
        <v>15</v>
      </c>
      <c r="G39" s="12"/>
      <c r="H39" s="12" t="s">
        <v>273</v>
      </c>
    </row>
    <row r="40" spans="1:8" x14ac:dyDescent="0.3">
      <c r="A40" s="12" t="s">
        <v>691</v>
      </c>
      <c r="B40" s="12" t="s">
        <v>66</v>
      </c>
      <c r="C40" s="12" t="s">
        <v>793</v>
      </c>
      <c r="D40" s="12">
        <v>283.10000000000002</v>
      </c>
      <c r="E40" s="12" t="s">
        <v>1634</v>
      </c>
      <c r="F40" s="12"/>
      <c r="G40" s="12" t="s">
        <v>948</v>
      </c>
      <c r="H40" s="12" t="s">
        <v>275</v>
      </c>
    </row>
    <row r="41" spans="1:8" x14ac:dyDescent="0.3">
      <c r="A41" s="12" t="s">
        <v>691</v>
      </c>
      <c r="B41" s="12" t="s">
        <v>803</v>
      </c>
      <c r="C41" s="12" t="s">
        <v>793</v>
      </c>
      <c r="D41" s="12"/>
      <c r="E41" s="12" t="s">
        <v>804</v>
      </c>
      <c r="F41" s="12"/>
      <c r="G41" s="12"/>
      <c r="H41" s="12" t="s">
        <v>273</v>
      </c>
    </row>
    <row r="42" spans="1:8" x14ac:dyDescent="0.3">
      <c r="A42" s="12" t="s">
        <v>700</v>
      </c>
      <c r="B42" s="12" t="s">
        <v>49</v>
      </c>
      <c r="C42" s="12" t="s">
        <v>793</v>
      </c>
      <c r="D42" s="12"/>
      <c r="E42" s="12" t="s">
        <v>1540</v>
      </c>
      <c r="F42" s="12"/>
      <c r="G42" s="12" t="s">
        <v>948</v>
      </c>
      <c r="H42" s="12" t="s">
        <v>275</v>
      </c>
    </row>
    <row r="43" spans="1:8" x14ac:dyDescent="0.3">
      <c r="A43" s="12" t="s">
        <v>700</v>
      </c>
      <c r="B43" s="12" t="s">
        <v>51</v>
      </c>
      <c r="C43" s="12" t="s">
        <v>793</v>
      </c>
      <c r="D43" s="12"/>
      <c r="E43" s="12" t="s">
        <v>1541</v>
      </c>
      <c r="F43" s="12"/>
      <c r="G43" s="12" t="s">
        <v>948</v>
      </c>
      <c r="H43" s="12" t="s">
        <v>275</v>
      </c>
    </row>
    <row r="44" spans="1:8" x14ac:dyDescent="0.3">
      <c r="A44" s="12" t="s">
        <v>700</v>
      </c>
      <c r="B44" s="12" t="s">
        <v>53</v>
      </c>
      <c r="C44" s="12" t="s">
        <v>793</v>
      </c>
      <c r="D44" s="12"/>
      <c r="E44" s="12" t="s">
        <v>1542</v>
      </c>
      <c r="F44" s="12"/>
      <c r="G44" s="12" t="s">
        <v>948</v>
      </c>
      <c r="H44" s="12" t="s">
        <v>270</v>
      </c>
    </row>
    <row r="45" spans="1:8" x14ac:dyDescent="0.3">
      <c r="A45" s="12" t="s">
        <v>700</v>
      </c>
      <c r="B45" s="12" t="s">
        <v>54</v>
      </c>
      <c r="C45" s="12" t="s">
        <v>796</v>
      </c>
      <c r="D45" s="12"/>
      <c r="E45" s="12" t="s">
        <v>1631</v>
      </c>
      <c r="F45" s="12">
        <v>8</v>
      </c>
      <c r="G45" s="12"/>
      <c r="H45" s="12" t="s">
        <v>270</v>
      </c>
    </row>
    <row r="46" spans="1:8" x14ac:dyDescent="0.3">
      <c r="A46" s="12" t="s">
        <v>700</v>
      </c>
      <c r="B46" s="12" t="s">
        <v>55</v>
      </c>
      <c r="C46" s="12" t="s">
        <v>796</v>
      </c>
      <c r="D46" s="12"/>
      <c r="E46" s="12" t="s">
        <v>1635</v>
      </c>
      <c r="F46" s="12">
        <v>8</v>
      </c>
      <c r="G46" s="12"/>
      <c r="H46" s="12" t="s">
        <v>273</v>
      </c>
    </row>
    <row r="47" spans="1:8" x14ac:dyDescent="0.3">
      <c r="A47" s="12" t="s">
        <v>700</v>
      </c>
      <c r="B47" s="12" t="s">
        <v>57</v>
      </c>
      <c r="C47" s="12" t="s">
        <v>793</v>
      </c>
      <c r="D47" s="12"/>
      <c r="E47" s="12" t="s">
        <v>800</v>
      </c>
      <c r="F47" s="12"/>
      <c r="G47" s="12" t="s">
        <v>749</v>
      </c>
      <c r="H47" s="12" t="s">
        <v>283</v>
      </c>
    </row>
    <row r="48" spans="1:8" x14ac:dyDescent="0.3">
      <c r="A48" s="12" t="s">
        <v>700</v>
      </c>
      <c r="B48" s="12" t="s">
        <v>59</v>
      </c>
      <c r="C48" s="12" t="s">
        <v>793</v>
      </c>
      <c r="D48" s="12"/>
      <c r="E48" s="12" t="s">
        <v>1545</v>
      </c>
      <c r="F48" s="12"/>
      <c r="G48" s="12" t="s">
        <v>948</v>
      </c>
      <c r="H48" s="12" t="s">
        <v>273</v>
      </c>
    </row>
    <row r="49" spans="1:8" x14ac:dyDescent="0.3">
      <c r="A49" s="12" t="s">
        <v>700</v>
      </c>
      <c r="B49" s="12" t="s">
        <v>61</v>
      </c>
      <c r="C49" s="12" t="s">
        <v>793</v>
      </c>
      <c r="D49" s="12"/>
      <c r="E49" s="12" t="s">
        <v>801</v>
      </c>
      <c r="F49" s="12"/>
      <c r="G49" s="12" t="s">
        <v>948</v>
      </c>
      <c r="H49" s="12" t="s">
        <v>273</v>
      </c>
    </row>
    <row r="50" spans="1:8" x14ac:dyDescent="0.3">
      <c r="A50" s="12" t="s">
        <v>700</v>
      </c>
      <c r="B50" s="12" t="s">
        <v>63</v>
      </c>
      <c r="C50" s="12" t="s">
        <v>793</v>
      </c>
      <c r="D50" s="12"/>
      <c r="E50" s="12" t="s">
        <v>755</v>
      </c>
      <c r="F50" s="12"/>
      <c r="G50" s="12" t="s">
        <v>749</v>
      </c>
      <c r="H50" s="12" t="s">
        <v>273</v>
      </c>
    </row>
    <row r="51" spans="1:8" x14ac:dyDescent="0.3">
      <c r="A51" s="12" t="s">
        <v>700</v>
      </c>
      <c r="B51" s="12" t="s">
        <v>64</v>
      </c>
      <c r="C51" s="12" t="s">
        <v>793</v>
      </c>
      <c r="D51" s="12"/>
      <c r="E51" s="12" t="s">
        <v>757</v>
      </c>
      <c r="F51" s="12"/>
      <c r="G51" s="12" t="s">
        <v>749</v>
      </c>
      <c r="H51" s="12" t="s">
        <v>273</v>
      </c>
    </row>
    <row r="52" spans="1:8" x14ac:dyDescent="0.3">
      <c r="A52" s="12" t="s">
        <v>700</v>
      </c>
      <c r="B52" s="12" t="s">
        <v>65</v>
      </c>
      <c r="C52" s="12" t="s">
        <v>793</v>
      </c>
      <c r="D52" s="12"/>
      <c r="E52" s="12" t="s">
        <v>1546</v>
      </c>
      <c r="F52" s="12"/>
      <c r="G52" s="12" t="s">
        <v>948</v>
      </c>
      <c r="H52" s="12" t="s">
        <v>273</v>
      </c>
    </row>
    <row r="53" spans="1:8" x14ac:dyDescent="0.3">
      <c r="A53" s="12" t="s">
        <v>700</v>
      </c>
      <c r="B53" s="12" t="s">
        <v>66</v>
      </c>
      <c r="C53" s="12" t="s">
        <v>793</v>
      </c>
      <c r="D53" s="12"/>
      <c r="E53" s="12" t="s">
        <v>1634</v>
      </c>
      <c r="F53" s="12"/>
      <c r="G53" s="12" t="s">
        <v>948</v>
      </c>
      <c r="H53" s="12" t="s">
        <v>275</v>
      </c>
    </row>
    <row r="54" spans="1:8" x14ac:dyDescent="0.3">
      <c r="A54" s="12" t="s">
        <v>700</v>
      </c>
      <c r="B54" s="12" t="s">
        <v>803</v>
      </c>
      <c r="C54" s="12" t="s">
        <v>793</v>
      </c>
      <c r="D54" s="12"/>
      <c r="E54" s="12" t="s">
        <v>804</v>
      </c>
      <c r="F54" s="12"/>
      <c r="G54" s="12"/>
      <c r="H54" s="12" t="s">
        <v>273</v>
      </c>
    </row>
    <row r="56" spans="1:8" x14ac:dyDescent="0.3">
      <c r="A56" s="17" t="s">
        <v>1300</v>
      </c>
    </row>
  </sheetData>
  <autoFilter ref="A15:H54" xr:uid="{00000000-0009-0000-0000-00003B000000}"/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K20"/>
  <sheetViews>
    <sheetView workbookViewId="0"/>
  </sheetViews>
  <sheetFormatPr baseColWidth="10" defaultColWidth="8.88671875" defaultRowHeight="14.4" x14ac:dyDescent="0.3"/>
  <cols>
    <col min="1" max="1" width="14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1636</v>
      </c>
    </row>
    <row r="2" spans="1:11" x14ac:dyDescent="0.3">
      <c r="A2" t="s">
        <v>1613</v>
      </c>
    </row>
    <row r="3" spans="1:11" x14ac:dyDescent="0.3">
      <c r="A3" t="s">
        <v>1614</v>
      </c>
    </row>
    <row r="4" spans="1:11" x14ac:dyDescent="0.3">
      <c r="A4" s="8" t="s">
        <v>1615</v>
      </c>
    </row>
    <row r="5" spans="1:11" x14ac:dyDescent="0.3">
      <c r="A5" s="15" t="s">
        <v>1616</v>
      </c>
    </row>
    <row r="6" spans="1:11" x14ac:dyDescent="0.3">
      <c r="A6" s="15" t="s">
        <v>1617</v>
      </c>
    </row>
    <row r="7" spans="1:11" x14ac:dyDescent="0.3">
      <c r="A7" s="8" t="s">
        <v>1618</v>
      </c>
    </row>
    <row r="8" spans="1:11" x14ac:dyDescent="0.3">
      <c r="A8" s="15" t="s">
        <v>1619</v>
      </c>
    </row>
    <row r="9" spans="1:11" x14ac:dyDescent="0.3">
      <c r="A9" s="15" t="s">
        <v>1620</v>
      </c>
    </row>
    <row r="10" spans="1:11" x14ac:dyDescent="0.3">
      <c r="A10" s="8" t="s">
        <v>1621</v>
      </c>
    </row>
    <row r="11" spans="1:11" x14ac:dyDescent="0.3">
      <c r="A11" s="15" t="s">
        <v>741</v>
      </c>
    </row>
    <row r="12" spans="1:11" x14ac:dyDescent="0.3">
      <c r="A12" s="15" t="s">
        <v>1622</v>
      </c>
    </row>
    <row r="13" spans="1:11" x14ac:dyDescent="0.3">
      <c r="A13" t="s">
        <v>811</v>
      </c>
    </row>
    <row r="15" spans="1:11" x14ac:dyDescent="0.3">
      <c r="A15" s="16" t="s">
        <v>360</v>
      </c>
      <c r="B15" s="16" t="s">
        <v>30</v>
      </c>
      <c r="C15" s="16" t="s">
        <v>812</v>
      </c>
      <c r="D15" s="16" t="s">
        <v>813</v>
      </c>
      <c r="E15" s="16" t="s">
        <v>32</v>
      </c>
      <c r="F15" s="16" t="s">
        <v>33</v>
      </c>
      <c r="G15" s="16" t="s">
        <v>814</v>
      </c>
      <c r="H15" s="16" t="s">
        <v>815</v>
      </c>
      <c r="I15" s="16" t="s">
        <v>816</v>
      </c>
      <c r="J15" s="16" t="s">
        <v>295</v>
      </c>
      <c r="K15" s="16" t="s">
        <v>817</v>
      </c>
    </row>
    <row r="16" spans="1:11" x14ac:dyDescent="0.3">
      <c r="A16" s="12" t="s">
        <v>685</v>
      </c>
      <c r="B16" s="12">
        <v>97</v>
      </c>
      <c r="C16" s="12">
        <v>0</v>
      </c>
      <c r="D16" s="12">
        <v>97</v>
      </c>
      <c r="E16" s="12">
        <v>97</v>
      </c>
      <c r="F16" s="12">
        <v>83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</row>
    <row r="17" spans="1:11" x14ac:dyDescent="0.3">
      <c r="A17" s="12" t="s">
        <v>691</v>
      </c>
      <c r="B17" s="12">
        <v>150</v>
      </c>
      <c r="C17" s="12">
        <v>0</v>
      </c>
      <c r="D17" s="12">
        <v>148</v>
      </c>
      <c r="E17" s="12">
        <v>107</v>
      </c>
      <c r="F17" s="12">
        <v>107</v>
      </c>
      <c r="G17" s="12">
        <v>41</v>
      </c>
      <c r="H17" s="12">
        <v>0</v>
      </c>
      <c r="I17" s="12">
        <v>2</v>
      </c>
      <c r="J17" s="12">
        <v>0</v>
      </c>
      <c r="K17" s="12">
        <v>0</v>
      </c>
    </row>
    <row r="18" spans="1:11" x14ac:dyDescent="0.3">
      <c r="A18" s="12" t="s">
        <v>700</v>
      </c>
      <c r="B18" s="12">
        <v>64</v>
      </c>
      <c r="C18" s="12">
        <v>0</v>
      </c>
      <c r="D18" s="12">
        <v>64</v>
      </c>
      <c r="E18" s="12">
        <v>49</v>
      </c>
      <c r="F18" s="12">
        <v>49</v>
      </c>
      <c r="G18" s="12">
        <v>15</v>
      </c>
      <c r="H18" s="12">
        <v>0</v>
      </c>
      <c r="I18" s="12">
        <v>0</v>
      </c>
      <c r="J18" s="12">
        <v>0</v>
      </c>
      <c r="K18" s="12">
        <v>0</v>
      </c>
    </row>
    <row r="20" spans="1:11" x14ac:dyDescent="0.3">
      <c r="A20" s="17" t="s">
        <v>1302</v>
      </c>
    </row>
  </sheetData>
  <autoFilter ref="A15:K18" xr:uid="{00000000-0009-0000-0000-00003C000000}"/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K26"/>
  <sheetViews>
    <sheetView workbookViewId="0"/>
  </sheetViews>
  <sheetFormatPr baseColWidth="10" defaultColWidth="8.88671875" defaultRowHeight="14.4" x14ac:dyDescent="0.3"/>
  <cols>
    <col min="1" max="1" width="15" customWidth="1"/>
    <col min="2" max="2" width="10" customWidth="1"/>
    <col min="3" max="3" width="48" customWidth="1"/>
    <col min="4" max="4" width="16" customWidth="1"/>
    <col min="5" max="5" width="10" customWidth="1"/>
    <col min="6" max="6" width="21" customWidth="1"/>
    <col min="7" max="7" width="16" customWidth="1"/>
    <col min="8" max="8" width="18" customWidth="1"/>
    <col min="9" max="9" width="10" customWidth="1"/>
    <col min="10" max="10" width="17" customWidth="1"/>
    <col min="11" max="11" width="18" customWidth="1"/>
  </cols>
  <sheetData>
    <row r="1" spans="1:11" ht="17.399999999999999" x14ac:dyDescent="0.35">
      <c r="A1" s="1" t="s">
        <v>1637</v>
      </c>
    </row>
    <row r="2" spans="1:11" x14ac:dyDescent="0.3">
      <c r="A2" t="s">
        <v>1638</v>
      </c>
    </row>
    <row r="3" spans="1:11" x14ac:dyDescent="0.3">
      <c r="A3" t="s">
        <v>1614</v>
      </c>
    </row>
    <row r="4" spans="1:11" x14ac:dyDescent="0.3">
      <c r="A4" s="15" t="s">
        <v>1616</v>
      </c>
    </row>
    <row r="5" spans="1:11" x14ac:dyDescent="0.3">
      <c r="A5" s="15" t="s">
        <v>1617</v>
      </c>
    </row>
    <row r="6" spans="1:11" x14ac:dyDescent="0.3">
      <c r="A6" t="s">
        <v>1639</v>
      </c>
    </row>
    <row r="8" spans="1:11" x14ac:dyDescent="0.3">
      <c r="A8" s="16" t="s">
        <v>292</v>
      </c>
      <c r="B8" s="16" t="s">
        <v>1306</v>
      </c>
      <c r="C8" s="16" t="s">
        <v>1640</v>
      </c>
      <c r="D8" s="16" t="s">
        <v>1641</v>
      </c>
      <c r="E8" s="16" t="s">
        <v>1123</v>
      </c>
      <c r="F8" s="16" t="s">
        <v>1642</v>
      </c>
      <c r="G8" s="16" t="s">
        <v>1643</v>
      </c>
      <c r="H8" s="16" t="s">
        <v>1644</v>
      </c>
      <c r="I8" s="16" t="s">
        <v>1645</v>
      </c>
      <c r="J8" s="16" t="s">
        <v>1646</v>
      </c>
      <c r="K8" s="16" t="s">
        <v>1647</v>
      </c>
    </row>
    <row r="9" spans="1:11" x14ac:dyDescent="0.3">
      <c r="A9" s="12" t="s">
        <v>1648</v>
      </c>
      <c r="B9" s="12" t="s">
        <v>1649</v>
      </c>
      <c r="C9" s="12" t="s">
        <v>1650</v>
      </c>
      <c r="D9" s="24">
        <v>303.55</v>
      </c>
      <c r="E9" s="12">
        <v>14</v>
      </c>
      <c r="F9" s="12">
        <v>14</v>
      </c>
      <c r="G9" s="12">
        <v>14</v>
      </c>
      <c r="H9" s="12">
        <v>14</v>
      </c>
      <c r="I9" s="12">
        <v>14</v>
      </c>
      <c r="J9" s="12">
        <v>0</v>
      </c>
      <c r="K9" s="12">
        <v>0</v>
      </c>
    </row>
    <row r="10" spans="1:11" x14ac:dyDescent="0.3">
      <c r="A10" s="12" t="s">
        <v>1651</v>
      </c>
      <c r="B10" s="12" t="s">
        <v>1649</v>
      </c>
      <c r="C10" s="12" t="s">
        <v>1652</v>
      </c>
      <c r="D10" s="24">
        <v>283.14999999999998</v>
      </c>
      <c r="E10" s="12">
        <v>27</v>
      </c>
      <c r="F10" s="12">
        <v>27</v>
      </c>
      <c r="G10" s="12">
        <v>27</v>
      </c>
      <c r="H10" s="12">
        <v>27</v>
      </c>
      <c r="I10" s="12">
        <v>27</v>
      </c>
      <c r="J10" s="12">
        <v>5.2006000000000001E-13</v>
      </c>
      <c r="K10" s="12">
        <v>1.4042E-11</v>
      </c>
    </row>
    <row r="11" spans="1:11" x14ac:dyDescent="0.3">
      <c r="A11" s="12" t="s">
        <v>1653</v>
      </c>
      <c r="B11" s="12" t="s">
        <v>1649</v>
      </c>
      <c r="C11" s="12" t="s">
        <v>1654</v>
      </c>
      <c r="D11" s="24">
        <v>283.14999999999998</v>
      </c>
      <c r="E11" s="12">
        <v>24</v>
      </c>
      <c r="F11" s="12">
        <v>24</v>
      </c>
      <c r="G11" s="12">
        <v>24</v>
      </c>
      <c r="H11" s="12">
        <v>24</v>
      </c>
      <c r="I11" s="12">
        <v>24</v>
      </c>
      <c r="J11" s="12">
        <v>3.0547999999999998E-13</v>
      </c>
      <c r="K11" s="12">
        <v>7.2581000000000003E-12</v>
      </c>
    </row>
    <row r="12" spans="1:11" x14ac:dyDescent="0.3">
      <c r="A12" s="12" t="s">
        <v>1655</v>
      </c>
      <c r="B12" s="12" t="s">
        <v>1649</v>
      </c>
      <c r="C12" s="12" t="s">
        <v>1656</v>
      </c>
      <c r="D12" s="24">
        <v>283.14999999999998</v>
      </c>
      <c r="E12" s="12">
        <v>26</v>
      </c>
      <c r="F12" s="12">
        <v>26</v>
      </c>
      <c r="G12" s="12">
        <v>26</v>
      </c>
      <c r="H12" s="12">
        <v>26</v>
      </c>
      <c r="I12" s="12">
        <v>26</v>
      </c>
      <c r="J12" s="12">
        <v>9.1534999999999993E-13</v>
      </c>
      <c r="K12" s="12">
        <v>2.0625E-11</v>
      </c>
    </row>
    <row r="13" spans="1:11" x14ac:dyDescent="0.3">
      <c r="A13" s="12" t="s">
        <v>1657</v>
      </c>
      <c r="B13" s="12" t="s">
        <v>1649</v>
      </c>
      <c r="C13" s="12" t="s">
        <v>1658</v>
      </c>
      <c r="D13" s="24">
        <v>303.55</v>
      </c>
      <c r="E13" s="12">
        <v>6</v>
      </c>
      <c r="F13" s="12">
        <v>6</v>
      </c>
      <c r="G13" s="12">
        <v>6</v>
      </c>
      <c r="H13" s="12">
        <v>6</v>
      </c>
      <c r="I13" s="12">
        <v>6</v>
      </c>
      <c r="J13" s="12">
        <v>4.3239999999999998E-7</v>
      </c>
      <c r="K13" s="12">
        <v>2.5944000000000001E-6</v>
      </c>
    </row>
    <row r="14" spans="1:11" x14ac:dyDescent="0.3">
      <c r="A14" s="12" t="s">
        <v>1659</v>
      </c>
      <c r="B14" s="12" t="s">
        <v>1660</v>
      </c>
      <c r="C14" s="12" t="s">
        <v>274</v>
      </c>
      <c r="D14" s="24">
        <v>283.14999999999998</v>
      </c>
      <c r="E14" s="12">
        <v>15</v>
      </c>
      <c r="F14" s="12"/>
      <c r="G14" s="12">
        <v>7</v>
      </c>
      <c r="H14" s="12">
        <v>7</v>
      </c>
      <c r="I14" s="12"/>
      <c r="J14" s="12"/>
      <c r="K14" s="12"/>
    </row>
    <row r="15" spans="1:11" x14ac:dyDescent="0.3">
      <c r="A15" s="12" t="s">
        <v>1661</v>
      </c>
      <c r="B15" s="12" t="s">
        <v>1660</v>
      </c>
      <c r="C15" s="12" t="s">
        <v>276</v>
      </c>
      <c r="D15" s="24">
        <v>283.14999999999998</v>
      </c>
      <c r="E15" s="12">
        <v>15</v>
      </c>
      <c r="F15" s="12"/>
      <c r="G15" s="12">
        <v>8</v>
      </c>
      <c r="H15" s="12">
        <v>8</v>
      </c>
      <c r="I15" s="12"/>
      <c r="J15" s="12"/>
      <c r="K15" s="12"/>
    </row>
    <row r="16" spans="1:11" x14ac:dyDescent="0.3">
      <c r="A16" s="12" t="s">
        <v>1662</v>
      </c>
      <c r="B16" s="12" t="s">
        <v>1660</v>
      </c>
      <c r="C16" s="12" t="s">
        <v>269</v>
      </c>
      <c r="D16" s="24">
        <v>283.14999999999998</v>
      </c>
      <c r="E16" s="12">
        <v>15</v>
      </c>
      <c r="F16" s="12"/>
      <c r="G16" s="12">
        <v>12</v>
      </c>
      <c r="H16" s="12">
        <v>12</v>
      </c>
      <c r="I16" s="12"/>
      <c r="J16" s="12"/>
      <c r="K16" s="12"/>
    </row>
    <row r="17" spans="1:11" x14ac:dyDescent="0.3">
      <c r="A17" s="12" t="s">
        <v>1663</v>
      </c>
      <c r="B17" s="12" t="s">
        <v>1660</v>
      </c>
      <c r="C17" s="12" t="s">
        <v>271</v>
      </c>
      <c r="D17" s="24">
        <v>283.14999999999998</v>
      </c>
      <c r="E17" s="12">
        <v>15</v>
      </c>
      <c r="F17" s="12"/>
      <c r="G17" s="12">
        <v>11</v>
      </c>
      <c r="H17" s="12">
        <v>11</v>
      </c>
      <c r="I17" s="12"/>
      <c r="J17" s="12"/>
      <c r="K17" s="12"/>
    </row>
    <row r="18" spans="1:11" x14ac:dyDescent="0.3">
      <c r="A18" s="12" t="s">
        <v>1664</v>
      </c>
      <c r="B18" s="12" t="s">
        <v>1660</v>
      </c>
      <c r="C18" s="12" t="s">
        <v>272</v>
      </c>
      <c r="D18" s="24">
        <v>283.14999999999998</v>
      </c>
      <c r="E18" s="12">
        <v>15</v>
      </c>
      <c r="F18" s="12"/>
      <c r="G18" s="12">
        <v>9</v>
      </c>
      <c r="H18" s="12">
        <v>9</v>
      </c>
      <c r="I18" s="12"/>
      <c r="J18" s="12"/>
      <c r="K18" s="12"/>
    </row>
    <row r="19" spans="1:11" x14ac:dyDescent="0.3">
      <c r="A19" s="12" t="s">
        <v>1665</v>
      </c>
      <c r="B19" s="12" t="s">
        <v>1660</v>
      </c>
      <c r="C19" s="12" t="s">
        <v>277</v>
      </c>
      <c r="D19" s="24">
        <v>283.14999999999998</v>
      </c>
      <c r="E19" s="12">
        <v>15</v>
      </c>
      <c r="F19" s="12"/>
      <c r="G19" s="12">
        <v>15</v>
      </c>
      <c r="H19" s="12">
        <v>15</v>
      </c>
      <c r="I19" s="12"/>
      <c r="J19" s="12"/>
      <c r="K19" s="12"/>
    </row>
    <row r="20" spans="1:11" x14ac:dyDescent="0.3">
      <c r="A20" s="12" t="s">
        <v>1666</v>
      </c>
      <c r="B20" s="12" t="s">
        <v>1660</v>
      </c>
      <c r="C20" s="12" t="s">
        <v>278</v>
      </c>
      <c r="D20" s="24">
        <v>283.14999999999998</v>
      </c>
      <c r="E20" s="12">
        <v>15</v>
      </c>
      <c r="F20" s="12"/>
      <c r="G20" s="12">
        <v>15</v>
      </c>
      <c r="H20" s="12">
        <v>15</v>
      </c>
      <c r="I20" s="12"/>
      <c r="J20" s="12"/>
      <c r="K20" s="12"/>
    </row>
    <row r="21" spans="1:11" x14ac:dyDescent="0.3">
      <c r="A21" s="12" t="s">
        <v>1667</v>
      </c>
      <c r="B21" s="12" t="s">
        <v>1660</v>
      </c>
      <c r="C21" s="12" t="s">
        <v>279</v>
      </c>
      <c r="D21" s="24">
        <v>283.14999999999998</v>
      </c>
      <c r="E21" s="12">
        <v>15</v>
      </c>
      <c r="F21" s="12"/>
      <c r="G21" s="12">
        <v>14</v>
      </c>
      <c r="H21" s="12">
        <v>14</v>
      </c>
      <c r="I21" s="12"/>
      <c r="J21" s="12"/>
      <c r="K21" s="12"/>
    </row>
    <row r="22" spans="1:11" x14ac:dyDescent="0.3">
      <c r="A22" s="12" t="s">
        <v>1668</v>
      </c>
      <c r="B22" s="12" t="s">
        <v>1660</v>
      </c>
      <c r="C22" s="12" t="s">
        <v>280</v>
      </c>
      <c r="D22" s="24">
        <v>283.14999999999998</v>
      </c>
      <c r="E22" s="12">
        <v>15</v>
      </c>
      <c r="F22" s="12"/>
      <c r="G22" s="12">
        <v>15</v>
      </c>
      <c r="H22" s="12">
        <v>15</v>
      </c>
      <c r="I22" s="12"/>
      <c r="J22" s="12"/>
      <c r="K22" s="12"/>
    </row>
    <row r="23" spans="1:11" x14ac:dyDescent="0.3">
      <c r="A23" s="12" t="s">
        <v>1669</v>
      </c>
      <c r="B23" s="12" t="s">
        <v>1660</v>
      </c>
      <c r="C23" s="12" t="s">
        <v>281</v>
      </c>
      <c r="D23" s="24">
        <v>283.14999999999998</v>
      </c>
      <c r="E23" s="12">
        <v>15</v>
      </c>
      <c r="F23" s="12"/>
      <c r="G23" s="12">
        <v>1</v>
      </c>
      <c r="H23" s="12">
        <v>1</v>
      </c>
      <c r="I23" s="12"/>
      <c r="J23" s="12"/>
      <c r="K23" s="12"/>
    </row>
    <row r="24" spans="1:11" x14ac:dyDescent="0.3">
      <c r="A24" s="12" t="s">
        <v>1037</v>
      </c>
      <c r="B24" s="12" t="s">
        <v>1660</v>
      </c>
      <c r="C24" s="12" t="s">
        <v>1670</v>
      </c>
      <c r="D24" s="24">
        <v>283.14999999999998</v>
      </c>
      <c r="E24" s="12">
        <v>64</v>
      </c>
      <c r="F24" s="12"/>
      <c r="G24" s="12">
        <v>49</v>
      </c>
      <c r="H24" s="12">
        <v>49</v>
      </c>
      <c r="I24" s="12"/>
      <c r="J24" s="12"/>
      <c r="K24" s="12"/>
    </row>
    <row r="26" spans="1:11" x14ac:dyDescent="0.3">
      <c r="A26" s="17" t="s">
        <v>1356</v>
      </c>
    </row>
  </sheetData>
  <autoFilter ref="A8:K24" xr:uid="{00000000-0009-0000-0000-00003D000000}"/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H20"/>
  <sheetViews>
    <sheetView workbookViewId="0"/>
  </sheetViews>
  <sheetFormatPr baseColWidth="10" defaultColWidth="8.88671875" defaultRowHeight="14.4" x14ac:dyDescent="0.3"/>
  <cols>
    <col min="1" max="1" width="12" customWidth="1"/>
    <col min="2" max="3" width="15" customWidth="1"/>
    <col min="4" max="5" width="41" customWidth="1"/>
    <col min="6" max="7" width="14" customWidth="1"/>
    <col min="8" max="8" width="10" customWidth="1"/>
  </cols>
  <sheetData>
    <row r="1" spans="1:8" ht="17.399999999999999" x14ac:dyDescent="0.35">
      <c r="A1" s="1" t="s">
        <v>1671</v>
      </c>
    </row>
    <row r="2" spans="1:8" x14ac:dyDescent="0.3">
      <c r="A2" t="s">
        <v>1672</v>
      </c>
    </row>
    <row r="3" spans="1:8" x14ac:dyDescent="0.3">
      <c r="A3" t="s">
        <v>1614</v>
      </c>
    </row>
    <row r="4" spans="1:8" x14ac:dyDescent="0.3">
      <c r="A4" s="15" t="s">
        <v>1619</v>
      </c>
    </row>
    <row r="5" spans="1:8" x14ac:dyDescent="0.3">
      <c r="A5" s="15" t="s">
        <v>1620</v>
      </c>
    </row>
    <row r="6" spans="1:8" x14ac:dyDescent="0.3">
      <c r="A6" t="s">
        <v>1673</v>
      </c>
    </row>
    <row r="8" spans="1:8" x14ac:dyDescent="0.3">
      <c r="A8" s="16" t="s">
        <v>712</v>
      </c>
      <c r="B8" s="16" t="s">
        <v>1674</v>
      </c>
      <c r="C8" s="16" t="s">
        <v>1675</v>
      </c>
      <c r="D8" s="16" t="s">
        <v>1676</v>
      </c>
      <c r="E8" s="16" t="s">
        <v>1677</v>
      </c>
      <c r="F8" s="16" t="s">
        <v>1678</v>
      </c>
      <c r="G8" s="16" t="s">
        <v>1266</v>
      </c>
      <c r="H8" s="16" t="s">
        <v>32</v>
      </c>
    </row>
    <row r="9" spans="1:8" x14ac:dyDescent="0.3">
      <c r="A9" s="12" t="s">
        <v>274</v>
      </c>
      <c r="B9" s="12">
        <v>380</v>
      </c>
      <c r="C9" s="12">
        <v>401.43</v>
      </c>
      <c r="D9" s="12"/>
      <c r="E9" s="12" t="s">
        <v>1679</v>
      </c>
      <c r="F9" s="21">
        <v>12.208</v>
      </c>
      <c r="G9" s="21">
        <v>12.962</v>
      </c>
      <c r="H9" s="12">
        <v>7</v>
      </c>
    </row>
    <row r="10" spans="1:8" x14ac:dyDescent="0.3">
      <c r="A10" s="12" t="s">
        <v>276</v>
      </c>
      <c r="B10" s="12">
        <v>273.14999999999998</v>
      </c>
      <c r="C10" s="12">
        <v>283.14999999999998</v>
      </c>
      <c r="D10" s="12"/>
      <c r="E10" s="12" t="s">
        <v>1679</v>
      </c>
      <c r="F10" s="21">
        <v>12.509</v>
      </c>
      <c r="G10" s="21">
        <v>12.962999999999999</v>
      </c>
      <c r="H10" s="12">
        <v>8</v>
      </c>
    </row>
    <row r="11" spans="1:8" x14ac:dyDescent="0.3">
      <c r="A11" s="12" t="s">
        <v>269</v>
      </c>
      <c r="B11" s="12">
        <v>2821.4</v>
      </c>
      <c r="C11" s="12">
        <v>4000</v>
      </c>
      <c r="D11" s="12" t="s">
        <v>1679</v>
      </c>
      <c r="E11" s="12"/>
      <c r="F11" s="21">
        <v>11.836</v>
      </c>
      <c r="G11" s="21">
        <v>13.602</v>
      </c>
      <c r="H11" s="12">
        <v>12</v>
      </c>
    </row>
    <row r="12" spans="1:8" x14ac:dyDescent="0.3">
      <c r="A12" s="12" t="s">
        <v>271</v>
      </c>
      <c r="B12" s="12">
        <v>700</v>
      </c>
      <c r="C12" s="12">
        <v>1200</v>
      </c>
      <c r="D12" s="12" t="s">
        <v>1679</v>
      </c>
      <c r="E12" s="12"/>
      <c r="F12" s="21">
        <v>8.4916999999999998</v>
      </c>
      <c r="G12" s="21">
        <v>12.581</v>
      </c>
      <c r="H12" s="12">
        <v>11</v>
      </c>
    </row>
    <row r="13" spans="1:8" x14ac:dyDescent="0.3">
      <c r="A13" s="12" t="s">
        <v>272</v>
      </c>
      <c r="B13" s="12">
        <v>0.6</v>
      </c>
      <c r="C13" s="12">
        <v>0.82499999999999996</v>
      </c>
      <c r="D13" s="12"/>
      <c r="E13" s="12" t="s">
        <v>1679</v>
      </c>
      <c r="F13" s="21">
        <v>8.8163999999999998</v>
      </c>
      <c r="G13" s="21">
        <v>12.778</v>
      </c>
      <c r="H13" s="12">
        <v>9</v>
      </c>
    </row>
    <row r="14" spans="1:8" x14ac:dyDescent="0.3">
      <c r="A14" s="12" t="s">
        <v>277</v>
      </c>
      <c r="B14" s="12">
        <v>0.75</v>
      </c>
      <c r="C14" s="12">
        <v>0.95</v>
      </c>
      <c r="D14" s="12"/>
      <c r="E14" s="12"/>
      <c r="F14" s="21">
        <v>10.534000000000001</v>
      </c>
      <c r="G14" s="21">
        <v>13.464</v>
      </c>
      <c r="H14" s="12">
        <v>15</v>
      </c>
    </row>
    <row r="15" spans="1:8" x14ac:dyDescent="0.3">
      <c r="A15" s="12" t="s">
        <v>278</v>
      </c>
      <c r="B15" s="12">
        <v>0.6</v>
      </c>
      <c r="C15" s="12">
        <v>0.9</v>
      </c>
      <c r="D15" s="12"/>
      <c r="E15" s="12"/>
      <c r="F15" s="21">
        <v>12.58</v>
      </c>
      <c r="G15" s="21">
        <v>12.782999999999999</v>
      </c>
      <c r="H15" s="12">
        <v>15</v>
      </c>
    </row>
    <row r="16" spans="1:8" x14ac:dyDescent="0.3">
      <c r="A16" s="12" t="s">
        <v>279</v>
      </c>
      <c r="B16" s="12">
        <v>0.6</v>
      </c>
      <c r="C16" s="12">
        <v>0.92500000000000004</v>
      </c>
      <c r="D16" s="12"/>
      <c r="E16" s="12" t="s">
        <v>1679</v>
      </c>
      <c r="F16" s="21">
        <v>11.634</v>
      </c>
      <c r="G16" s="21">
        <v>12.994999999999999</v>
      </c>
      <c r="H16" s="12">
        <v>14</v>
      </c>
    </row>
    <row r="17" spans="1:8" x14ac:dyDescent="0.3">
      <c r="A17" s="12" t="s">
        <v>280</v>
      </c>
      <c r="B17" s="12">
        <v>0.4</v>
      </c>
      <c r="C17" s="12">
        <v>0.95</v>
      </c>
      <c r="D17" s="12"/>
      <c r="E17" s="12"/>
      <c r="F17" s="21">
        <v>11.941000000000001</v>
      </c>
      <c r="G17" s="21">
        <v>13.223000000000001</v>
      </c>
      <c r="H17" s="12">
        <v>15</v>
      </c>
    </row>
    <row r="18" spans="1:8" x14ac:dyDescent="0.3">
      <c r="A18" s="12" t="s">
        <v>281</v>
      </c>
      <c r="B18" s="12">
        <v>0.95</v>
      </c>
      <c r="C18" s="12">
        <v>0.95</v>
      </c>
      <c r="D18" s="12" t="s">
        <v>1679</v>
      </c>
      <c r="E18" s="12"/>
      <c r="F18" s="21">
        <v>12.731999999999999</v>
      </c>
      <c r="G18" s="21">
        <v>12.731999999999999</v>
      </c>
      <c r="H18" s="12">
        <v>1</v>
      </c>
    </row>
    <row r="20" spans="1:8" x14ac:dyDescent="0.3">
      <c r="A20" s="17" t="s">
        <v>919</v>
      </c>
    </row>
  </sheetData>
  <autoFilter ref="A8:H18" xr:uid="{00000000-0009-0000-0000-00003E000000}"/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H40"/>
  <sheetViews>
    <sheetView workbookViewId="0"/>
  </sheetViews>
  <sheetFormatPr baseColWidth="10" defaultColWidth="8.88671875" defaultRowHeight="14.4" x14ac:dyDescent="0.3"/>
  <cols>
    <col min="1" max="1" width="15" customWidth="1"/>
    <col min="2" max="2" width="48" customWidth="1"/>
    <col min="3" max="3" width="14" customWidth="1"/>
    <col min="4" max="4" width="24" customWidth="1"/>
    <col min="5" max="5" width="15" customWidth="1"/>
    <col min="6" max="6" width="11" customWidth="1"/>
    <col min="7" max="7" width="21" customWidth="1"/>
    <col min="8" max="8" width="10" customWidth="1"/>
  </cols>
  <sheetData>
    <row r="1" spans="1:8" ht="17.399999999999999" x14ac:dyDescent="0.35">
      <c r="A1" s="1" t="s">
        <v>1680</v>
      </c>
    </row>
    <row r="2" spans="1:8" x14ac:dyDescent="0.3">
      <c r="A2" t="s">
        <v>1681</v>
      </c>
    </row>
    <row r="3" spans="1:8" x14ac:dyDescent="0.3">
      <c r="A3" t="s">
        <v>1682</v>
      </c>
    </row>
    <row r="4" spans="1:8" x14ac:dyDescent="0.3">
      <c r="A4" s="8" t="s">
        <v>1683</v>
      </c>
    </row>
    <row r="5" spans="1:8" x14ac:dyDescent="0.3">
      <c r="A5" s="15" t="s">
        <v>1684</v>
      </c>
    </row>
    <row r="6" spans="1:8" x14ac:dyDescent="0.3">
      <c r="A6" s="15" t="s">
        <v>1685</v>
      </c>
    </row>
    <row r="7" spans="1:8" x14ac:dyDescent="0.3">
      <c r="A7" s="8" t="s">
        <v>1686</v>
      </c>
    </row>
    <row r="8" spans="1:8" x14ac:dyDescent="0.3">
      <c r="A8" s="15" t="s">
        <v>741</v>
      </c>
    </row>
    <row r="9" spans="1:8" x14ac:dyDescent="0.3">
      <c r="A9" s="15" t="s">
        <v>1687</v>
      </c>
    </row>
    <row r="10" spans="1:8" x14ac:dyDescent="0.3">
      <c r="A10" t="s">
        <v>788</v>
      </c>
    </row>
    <row r="12" spans="1:8" x14ac:dyDescent="0.3">
      <c r="A12" s="16" t="s">
        <v>360</v>
      </c>
      <c r="B12" s="16" t="s">
        <v>712</v>
      </c>
      <c r="C12" s="16" t="s">
        <v>789</v>
      </c>
      <c r="D12" s="16" t="s">
        <v>890</v>
      </c>
      <c r="E12" s="16" t="s">
        <v>790</v>
      </c>
      <c r="F12" s="16" t="s">
        <v>791</v>
      </c>
      <c r="G12" s="16" t="s">
        <v>792</v>
      </c>
      <c r="H12" s="16" t="s">
        <v>266</v>
      </c>
    </row>
    <row r="13" spans="1:8" x14ac:dyDescent="0.3">
      <c r="A13" s="12" t="s">
        <v>702</v>
      </c>
      <c r="B13" s="12" t="s">
        <v>49</v>
      </c>
      <c r="C13" s="12" t="s">
        <v>793</v>
      </c>
      <c r="D13" s="12">
        <v>394.1</v>
      </c>
      <c r="E13" s="12" t="s">
        <v>1540</v>
      </c>
      <c r="F13" s="12"/>
      <c r="G13" s="12" t="s">
        <v>948</v>
      </c>
      <c r="H13" s="12" t="s">
        <v>275</v>
      </c>
    </row>
    <row r="14" spans="1:8" x14ac:dyDescent="0.3">
      <c r="A14" s="12" t="s">
        <v>702</v>
      </c>
      <c r="B14" s="12" t="s">
        <v>51</v>
      </c>
      <c r="C14" s="12" t="s">
        <v>793</v>
      </c>
      <c r="D14" s="12">
        <v>278.10000000000002</v>
      </c>
      <c r="E14" s="12" t="s">
        <v>1541</v>
      </c>
      <c r="F14" s="12"/>
      <c r="G14" s="12" t="s">
        <v>948</v>
      </c>
      <c r="H14" s="12" t="s">
        <v>275</v>
      </c>
    </row>
    <row r="15" spans="1:8" x14ac:dyDescent="0.3">
      <c r="A15" s="12" t="s">
        <v>702</v>
      </c>
      <c r="B15" s="12" t="s">
        <v>53</v>
      </c>
      <c r="C15" s="12" t="s">
        <v>793</v>
      </c>
      <c r="D15" s="12">
        <v>3300</v>
      </c>
      <c r="E15" s="12" t="s">
        <v>1542</v>
      </c>
      <c r="F15" s="12"/>
      <c r="G15" s="12" t="s">
        <v>948</v>
      </c>
      <c r="H15" s="12" t="s">
        <v>270</v>
      </c>
    </row>
    <row r="16" spans="1:8" x14ac:dyDescent="0.3">
      <c r="A16" s="12" t="s">
        <v>702</v>
      </c>
      <c r="B16" s="12" t="s">
        <v>54</v>
      </c>
      <c r="C16" s="12" t="s">
        <v>793</v>
      </c>
      <c r="D16" s="12">
        <v>690</v>
      </c>
      <c r="E16" s="12" t="s">
        <v>1688</v>
      </c>
      <c r="F16" s="12"/>
      <c r="G16" s="12" t="s">
        <v>948</v>
      </c>
      <c r="H16" s="12" t="s">
        <v>270</v>
      </c>
    </row>
    <row r="17" spans="1:8" x14ac:dyDescent="0.3">
      <c r="A17" s="12" t="s">
        <v>702</v>
      </c>
      <c r="B17" s="12" t="s">
        <v>55</v>
      </c>
      <c r="C17" s="12" t="s">
        <v>891</v>
      </c>
      <c r="D17" s="12">
        <v>0.3</v>
      </c>
      <c r="E17" s="12" t="s">
        <v>1689</v>
      </c>
      <c r="F17" s="12">
        <v>17</v>
      </c>
      <c r="G17" s="12"/>
      <c r="H17" s="12" t="s">
        <v>273</v>
      </c>
    </row>
    <row r="18" spans="1:8" x14ac:dyDescent="0.3">
      <c r="A18" s="12" t="s">
        <v>702</v>
      </c>
      <c r="B18" s="12" t="s">
        <v>57</v>
      </c>
      <c r="C18" s="12" t="s">
        <v>793</v>
      </c>
      <c r="D18" s="12">
        <v>1</v>
      </c>
      <c r="E18" s="12" t="s">
        <v>800</v>
      </c>
      <c r="F18" s="12"/>
      <c r="G18" s="12" t="s">
        <v>749</v>
      </c>
      <c r="H18" s="12" t="s">
        <v>283</v>
      </c>
    </row>
    <row r="19" spans="1:8" x14ac:dyDescent="0.3">
      <c r="A19" s="12" t="s">
        <v>702</v>
      </c>
      <c r="B19" s="12" t="s">
        <v>59</v>
      </c>
      <c r="C19" s="12" t="s">
        <v>793</v>
      </c>
      <c r="D19" s="12">
        <v>0.9</v>
      </c>
      <c r="E19" s="12" t="s">
        <v>1545</v>
      </c>
      <c r="F19" s="12"/>
      <c r="G19" s="12" t="s">
        <v>948</v>
      </c>
      <c r="H19" s="12" t="s">
        <v>273</v>
      </c>
    </row>
    <row r="20" spans="1:8" x14ac:dyDescent="0.3">
      <c r="A20" s="12" t="s">
        <v>702</v>
      </c>
      <c r="B20" s="12" t="s">
        <v>61</v>
      </c>
      <c r="C20" s="12" t="s">
        <v>793</v>
      </c>
      <c r="D20" s="12">
        <v>0.8</v>
      </c>
      <c r="E20" s="12" t="s">
        <v>801</v>
      </c>
      <c r="F20" s="12"/>
      <c r="G20" s="12" t="s">
        <v>948</v>
      </c>
      <c r="H20" s="12" t="s">
        <v>273</v>
      </c>
    </row>
    <row r="21" spans="1:8" x14ac:dyDescent="0.3">
      <c r="A21" s="12" t="s">
        <v>702</v>
      </c>
      <c r="B21" s="12" t="s">
        <v>63</v>
      </c>
      <c r="C21" s="12" t="s">
        <v>793</v>
      </c>
      <c r="D21" s="12">
        <v>0.85</v>
      </c>
      <c r="E21" s="12" t="s">
        <v>755</v>
      </c>
      <c r="F21" s="12"/>
      <c r="G21" s="12" t="s">
        <v>749</v>
      </c>
      <c r="H21" s="12" t="s">
        <v>273</v>
      </c>
    </row>
    <row r="22" spans="1:8" x14ac:dyDescent="0.3">
      <c r="A22" s="12" t="s">
        <v>702</v>
      </c>
      <c r="B22" s="12" t="s">
        <v>64</v>
      </c>
      <c r="C22" s="12" t="s">
        <v>793</v>
      </c>
      <c r="D22" s="12">
        <v>0.75</v>
      </c>
      <c r="E22" s="12" t="s">
        <v>757</v>
      </c>
      <c r="F22" s="12"/>
      <c r="G22" s="12" t="s">
        <v>749</v>
      </c>
      <c r="H22" s="12" t="s">
        <v>273</v>
      </c>
    </row>
    <row r="23" spans="1:8" x14ac:dyDescent="0.3">
      <c r="A23" s="12" t="s">
        <v>702</v>
      </c>
      <c r="B23" s="12" t="s">
        <v>65</v>
      </c>
      <c r="C23" s="12" t="s">
        <v>793</v>
      </c>
      <c r="D23" s="12">
        <v>0.95</v>
      </c>
      <c r="E23" s="12" t="s">
        <v>1546</v>
      </c>
      <c r="F23" s="12"/>
      <c r="G23" s="12" t="s">
        <v>948</v>
      </c>
      <c r="H23" s="12" t="s">
        <v>273</v>
      </c>
    </row>
    <row r="24" spans="1:8" x14ac:dyDescent="0.3">
      <c r="A24" s="12" t="s">
        <v>702</v>
      </c>
      <c r="B24" s="12" t="s">
        <v>66</v>
      </c>
      <c r="C24" s="12" t="s">
        <v>793</v>
      </c>
      <c r="D24" s="12">
        <v>283.10000000000002</v>
      </c>
      <c r="E24" s="12" t="s">
        <v>1634</v>
      </c>
      <c r="F24" s="12"/>
      <c r="G24" s="12" t="s">
        <v>948</v>
      </c>
      <c r="H24" s="12" t="s">
        <v>275</v>
      </c>
    </row>
    <row r="25" spans="1:8" x14ac:dyDescent="0.3">
      <c r="A25" s="12" t="s">
        <v>702</v>
      </c>
      <c r="B25" s="12" t="s">
        <v>803</v>
      </c>
      <c r="C25" s="12" t="s">
        <v>793</v>
      </c>
      <c r="D25" s="12"/>
      <c r="E25" s="12" t="s">
        <v>804</v>
      </c>
      <c r="F25" s="12"/>
      <c r="G25" s="12"/>
      <c r="H25" s="12" t="s">
        <v>273</v>
      </c>
    </row>
    <row r="26" spans="1:8" x14ac:dyDescent="0.3">
      <c r="A26" s="12" t="s">
        <v>705</v>
      </c>
      <c r="B26" s="12" t="s">
        <v>49</v>
      </c>
      <c r="C26" s="12" t="s">
        <v>793</v>
      </c>
      <c r="D26" s="12"/>
      <c r="E26" s="12" t="s">
        <v>1540</v>
      </c>
      <c r="F26" s="12"/>
      <c r="G26" s="12" t="s">
        <v>948</v>
      </c>
      <c r="H26" s="12" t="s">
        <v>275</v>
      </c>
    </row>
    <row r="27" spans="1:8" x14ac:dyDescent="0.3">
      <c r="A27" s="12" t="s">
        <v>705</v>
      </c>
      <c r="B27" s="12" t="s">
        <v>51</v>
      </c>
      <c r="C27" s="12" t="s">
        <v>793</v>
      </c>
      <c r="D27" s="12"/>
      <c r="E27" s="12" t="s">
        <v>1541</v>
      </c>
      <c r="F27" s="12"/>
      <c r="G27" s="12" t="s">
        <v>948</v>
      </c>
      <c r="H27" s="12" t="s">
        <v>275</v>
      </c>
    </row>
    <row r="28" spans="1:8" x14ac:dyDescent="0.3">
      <c r="A28" s="12" t="s">
        <v>705</v>
      </c>
      <c r="B28" s="12" t="s">
        <v>53</v>
      </c>
      <c r="C28" s="12" t="s">
        <v>793</v>
      </c>
      <c r="D28" s="12"/>
      <c r="E28" s="12" t="s">
        <v>1542</v>
      </c>
      <c r="F28" s="12"/>
      <c r="G28" s="12" t="s">
        <v>948</v>
      </c>
      <c r="H28" s="12" t="s">
        <v>270</v>
      </c>
    </row>
    <row r="29" spans="1:8" x14ac:dyDescent="0.3">
      <c r="A29" s="12" t="s">
        <v>705</v>
      </c>
      <c r="B29" s="12" t="s">
        <v>54</v>
      </c>
      <c r="C29" s="12" t="s">
        <v>796</v>
      </c>
      <c r="D29" s="12"/>
      <c r="E29" s="12" t="s">
        <v>1690</v>
      </c>
      <c r="F29" s="12">
        <v>6</v>
      </c>
      <c r="G29" s="12"/>
      <c r="H29" s="12" t="s">
        <v>270</v>
      </c>
    </row>
    <row r="30" spans="1:8" x14ac:dyDescent="0.3">
      <c r="A30" s="12" t="s">
        <v>705</v>
      </c>
      <c r="B30" s="12" t="s">
        <v>55</v>
      </c>
      <c r="C30" s="12" t="s">
        <v>796</v>
      </c>
      <c r="D30" s="12"/>
      <c r="E30" s="12" t="s">
        <v>1689</v>
      </c>
      <c r="F30" s="12">
        <v>9</v>
      </c>
      <c r="G30" s="12"/>
      <c r="H30" s="12" t="s">
        <v>273</v>
      </c>
    </row>
    <row r="31" spans="1:8" x14ac:dyDescent="0.3">
      <c r="A31" s="12" t="s">
        <v>705</v>
      </c>
      <c r="B31" s="12" t="s">
        <v>57</v>
      </c>
      <c r="C31" s="12" t="s">
        <v>793</v>
      </c>
      <c r="D31" s="12"/>
      <c r="E31" s="12" t="s">
        <v>800</v>
      </c>
      <c r="F31" s="12"/>
      <c r="G31" s="12" t="s">
        <v>749</v>
      </c>
      <c r="H31" s="12" t="s">
        <v>283</v>
      </c>
    </row>
    <row r="32" spans="1:8" x14ac:dyDescent="0.3">
      <c r="A32" s="12" t="s">
        <v>705</v>
      </c>
      <c r="B32" s="12" t="s">
        <v>59</v>
      </c>
      <c r="C32" s="12" t="s">
        <v>793</v>
      </c>
      <c r="D32" s="12"/>
      <c r="E32" s="12" t="s">
        <v>1545</v>
      </c>
      <c r="F32" s="12"/>
      <c r="G32" s="12" t="s">
        <v>948</v>
      </c>
      <c r="H32" s="12" t="s">
        <v>273</v>
      </c>
    </row>
    <row r="33" spans="1:8" x14ac:dyDescent="0.3">
      <c r="A33" s="12" t="s">
        <v>705</v>
      </c>
      <c r="B33" s="12" t="s">
        <v>61</v>
      </c>
      <c r="C33" s="12" t="s">
        <v>793</v>
      </c>
      <c r="D33" s="12"/>
      <c r="E33" s="12" t="s">
        <v>801</v>
      </c>
      <c r="F33" s="12"/>
      <c r="G33" s="12" t="s">
        <v>948</v>
      </c>
      <c r="H33" s="12" t="s">
        <v>273</v>
      </c>
    </row>
    <row r="34" spans="1:8" x14ac:dyDescent="0.3">
      <c r="A34" s="12" t="s">
        <v>705</v>
      </c>
      <c r="B34" s="12" t="s">
        <v>63</v>
      </c>
      <c r="C34" s="12" t="s">
        <v>793</v>
      </c>
      <c r="D34" s="12"/>
      <c r="E34" s="12" t="s">
        <v>755</v>
      </c>
      <c r="F34" s="12"/>
      <c r="G34" s="12" t="s">
        <v>749</v>
      </c>
      <c r="H34" s="12" t="s">
        <v>273</v>
      </c>
    </row>
    <row r="35" spans="1:8" x14ac:dyDescent="0.3">
      <c r="A35" s="12" t="s">
        <v>705</v>
      </c>
      <c r="B35" s="12" t="s">
        <v>64</v>
      </c>
      <c r="C35" s="12" t="s">
        <v>793</v>
      </c>
      <c r="D35" s="12"/>
      <c r="E35" s="12" t="s">
        <v>757</v>
      </c>
      <c r="F35" s="12"/>
      <c r="G35" s="12" t="s">
        <v>749</v>
      </c>
      <c r="H35" s="12" t="s">
        <v>273</v>
      </c>
    </row>
    <row r="36" spans="1:8" x14ac:dyDescent="0.3">
      <c r="A36" s="12" t="s">
        <v>705</v>
      </c>
      <c r="B36" s="12" t="s">
        <v>65</v>
      </c>
      <c r="C36" s="12" t="s">
        <v>793</v>
      </c>
      <c r="D36" s="12"/>
      <c r="E36" s="12" t="s">
        <v>1546</v>
      </c>
      <c r="F36" s="12"/>
      <c r="G36" s="12" t="s">
        <v>948</v>
      </c>
      <c r="H36" s="12" t="s">
        <v>273</v>
      </c>
    </row>
    <row r="37" spans="1:8" x14ac:dyDescent="0.3">
      <c r="A37" s="12" t="s">
        <v>705</v>
      </c>
      <c r="B37" s="12" t="s">
        <v>66</v>
      </c>
      <c r="C37" s="12" t="s">
        <v>793</v>
      </c>
      <c r="D37" s="12"/>
      <c r="E37" s="12" t="s">
        <v>1634</v>
      </c>
      <c r="F37" s="12"/>
      <c r="G37" s="12" t="s">
        <v>948</v>
      </c>
      <c r="H37" s="12" t="s">
        <v>275</v>
      </c>
    </row>
    <row r="38" spans="1:8" x14ac:dyDescent="0.3">
      <c r="A38" s="12" t="s">
        <v>705</v>
      </c>
      <c r="B38" s="12" t="s">
        <v>803</v>
      </c>
      <c r="C38" s="12" t="s">
        <v>793</v>
      </c>
      <c r="D38" s="12"/>
      <c r="E38" s="12" t="s">
        <v>804</v>
      </c>
      <c r="F38" s="12"/>
      <c r="G38" s="12"/>
      <c r="H38" s="12" t="s">
        <v>273</v>
      </c>
    </row>
    <row r="40" spans="1:8" x14ac:dyDescent="0.3">
      <c r="A40" s="17" t="s">
        <v>932</v>
      </c>
    </row>
  </sheetData>
  <autoFilter ref="A12:H38" xr:uid="{00000000-0009-0000-0000-00003F000000}"/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K16"/>
  <sheetViews>
    <sheetView workbookViewId="0"/>
  </sheetViews>
  <sheetFormatPr baseColWidth="10" defaultColWidth="8.88671875" defaultRowHeight="14.4" x14ac:dyDescent="0.3"/>
  <cols>
    <col min="1" max="1" width="15" customWidth="1"/>
    <col min="2" max="5" width="10" customWidth="1"/>
    <col min="6" max="6" width="19" customWidth="1"/>
    <col min="7" max="7" width="13" customWidth="1"/>
    <col min="8" max="8" width="11" customWidth="1"/>
    <col min="9" max="9" width="16" customWidth="1"/>
    <col min="10" max="10" width="25" customWidth="1"/>
    <col min="11" max="11" width="16" customWidth="1"/>
  </cols>
  <sheetData>
    <row r="1" spans="1:11" ht="17.399999999999999" x14ac:dyDescent="0.35">
      <c r="A1" s="1" t="s">
        <v>1691</v>
      </c>
    </row>
    <row r="2" spans="1:11" x14ac:dyDescent="0.3">
      <c r="A2" t="s">
        <v>1681</v>
      </c>
    </row>
    <row r="3" spans="1:11" x14ac:dyDescent="0.3">
      <c r="A3" t="s">
        <v>1682</v>
      </c>
    </row>
    <row r="4" spans="1:11" x14ac:dyDescent="0.3">
      <c r="A4" s="8" t="s">
        <v>1683</v>
      </c>
    </row>
    <row r="5" spans="1:11" x14ac:dyDescent="0.3">
      <c r="A5" s="15" t="s">
        <v>1684</v>
      </c>
    </row>
    <row r="6" spans="1:11" x14ac:dyDescent="0.3">
      <c r="A6" s="15" t="s">
        <v>1685</v>
      </c>
    </row>
    <row r="7" spans="1:11" x14ac:dyDescent="0.3">
      <c r="A7" s="8" t="s">
        <v>1686</v>
      </c>
    </row>
    <row r="8" spans="1:11" x14ac:dyDescent="0.3">
      <c r="A8" s="15" t="s">
        <v>741</v>
      </c>
    </row>
    <row r="9" spans="1:11" x14ac:dyDescent="0.3">
      <c r="A9" s="15" t="s">
        <v>1687</v>
      </c>
    </row>
    <row r="10" spans="1:11" x14ac:dyDescent="0.3">
      <c r="A10" t="s">
        <v>811</v>
      </c>
    </row>
    <row r="12" spans="1:11" x14ac:dyDescent="0.3">
      <c r="A12" s="16" t="s">
        <v>360</v>
      </c>
      <c r="B12" s="16" t="s">
        <v>30</v>
      </c>
      <c r="C12" s="16" t="s">
        <v>812</v>
      </c>
      <c r="D12" s="16" t="s">
        <v>813</v>
      </c>
      <c r="E12" s="16" t="s">
        <v>32</v>
      </c>
      <c r="F12" s="16" t="s">
        <v>33</v>
      </c>
      <c r="G12" s="16" t="s">
        <v>814</v>
      </c>
      <c r="H12" s="16" t="s">
        <v>815</v>
      </c>
      <c r="I12" s="16" t="s">
        <v>816</v>
      </c>
      <c r="J12" s="16" t="s">
        <v>295</v>
      </c>
      <c r="K12" s="16" t="s">
        <v>817</v>
      </c>
    </row>
    <row r="13" spans="1:11" x14ac:dyDescent="0.3">
      <c r="A13" s="12" t="s">
        <v>702</v>
      </c>
      <c r="B13" s="12">
        <v>17</v>
      </c>
      <c r="C13" s="12">
        <v>0</v>
      </c>
      <c r="D13" s="12">
        <v>8</v>
      </c>
      <c r="E13" s="12">
        <v>8</v>
      </c>
      <c r="F13" s="12">
        <v>8</v>
      </c>
      <c r="G13" s="12">
        <v>0</v>
      </c>
      <c r="H13" s="12">
        <v>0</v>
      </c>
      <c r="I13" s="12">
        <v>5</v>
      </c>
      <c r="J13" s="12">
        <v>4</v>
      </c>
      <c r="K13" s="12">
        <v>0</v>
      </c>
    </row>
    <row r="14" spans="1:11" x14ac:dyDescent="0.3">
      <c r="A14" s="12" t="s">
        <v>705</v>
      </c>
      <c r="B14" s="12">
        <v>54</v>
      </c>
      <c r="C14" s="12">
        <v>0</v>
      </c>
      <c r="D14" s="12">
        <v>30</v>
      </c>
      <c r="E14" s="12">
        <v>21</v>
      </c>
      <c r="F14" s="12">
        <v>21</v>
      </c>
      <c r="G14" s="12">
        <v>9</v>
      </c>
      <c r="H14" s="12">
        <v>0</v>
      </c>
      <c r="I14" s="12">
        <v>12</v>
      </c>
      <c r="J14" s="12">
        <v>12</v>
      </c>
      <c r="K14" s="12">
        <v>0</v>
      </c>
    </row>
    <row r="16" spans="1:11" x14ac:dyDescent="0.3">
      <c r="A16" s="17" t="s">
        <v>934</v>
      </c>
    </row>
  </sheetData>
  <autoFilter ref="A12:K14" xr:uid="{00000000-0009-0000-0000-000040000000}"/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D19"/>
  <sheetViews>
    <sheetView workbookViewId="0"/>
  </sheetViews>
  <sheetFormatPr baseColWidth="10" defaultColWidth="8.88671875" defaultRowHeight="14.4" x14ac:dyDescent="0.3"/>
  <cols>
    <col min="1" max="1" width="10" customWidth="1"/>
    <col min="2" max="2" width="28" customWidth="1"/>
    <col min="3" max="3" width="20" customWidth="1"/>
    <col min="4" max="4" width="26" customWidth="1"/>
  </cols>
  <sheetData>
    <row r="1" spans="1:4" ht="17.399999999999999" x14ac:dyDescent="0.35">
      <c r="A1" s="1" t="s">
        <v>1692</v>
      </c>
    </row>
    <row r="2" spans="1:4" x14ac:dyDescent="0.3">
      <c r="A2" t="s">
        <v>1693</v>
      </c>
    </row>
    <row r="3" spans="1:4" x14ac:dyDescent="0.3">
      <c r="A3" t="s">
        <v>1682</v>
      </c>
    </row>
    <row r="4" spans="1:4" x14ac:dyDescent="0.3">
      <c r="A4" s="15" t="s">
        <v>741</v>
      </c>
    </row>
    <row r="5" spans="1:4" x14ac:dyDescent="0.3">
      <c r="A5" s="15" t="s">
        <v>1687</v>
      </c>
    </row>
    <row r="6" spans="1:4" x14ac:dyDescent="0.3">
      <c r="A6" t="s">
        <v>1694</v>
      </c>
    </row>
    <row r="8" spans="1:4" x14ac:dyDescent="0.3">
      <c r="A8" s="16" t="s">
        <v>272</v>
      </c>
      <c r="B8" s="16" t="s">
        <v>940</v>
      </c>
      <c r="C8" s="16" t="s">
        <v>1695</v>
      </c>
      <c r="D8" s="16" t="s">
        <v>35</v>
      </c>
    </row>
    <row r="9" spans="1:4" x14ac:dyDescent="0.3">
      <c r="A9" s="12">
        <v>0.3</v>
      </c>
      <c r="B9" s="12"/>
      <c r="C9" s="12"/>
      <c r="D9" s="12"/>
    </row>
    <row r="10" spans="1:4" x14ac:dyDescent="0.3">
      <c r="A10" s="12">
        <v>0.35</v>
      </c>
      <c r="B10" s="12"/>
      <c r="C10" s="12"/>
      <c r="D10" s="12"/>
    </row>
    <row r="11" spans="1:4" x14ac:dyDescent="0.3">
      <c r="A11" s="12">
        <v>0.4</v>
      </c>
      <c r="B11" s="12"/>
      <c r="C11" s="12"/>
      <c r="D11" s="12" t="s">
        <v>1696</v>
      </c>
    </row>
    <row r="12" spans="1:4" x14ac:dyDescent="0.3">
      <c r="A12" s="12">
        <v>0.45</v>
      </c>
      <c r="B12" s="12"/>
      <c r="C12" s="12"/>
      <c r="D12" s="12" t="s">
        <v>1696</v>
      </c>
    </row>
    <row r="13" spans="1:4" x14ac:dyDescent="0.3">
      <c r="A13" s="12">
        <v>0.5</v>
      </c>
      <c r="B13" s="24">
        <v>200</v>
      </c>
      <c r="C13" s="21">
        <v>1.2252000000000001</v>
      </c>
      <c r="D13" s="12"/>
    </row>
    <row r="14" spans="1:4" x14ac:dyDescent="0.3">
      <c r="A14" s="12">
        <v>0.55000000000000004</v>
      </c>
      <c r="B14" s="24">
        <v>300</v>
      </c>
      <c r="C14" s="21">
        <v>9.5620999999999992</v>
      </c>
      <c r="D14" s="12" t="s">
        <v>1268</v>
      </c>
    </row>
    <row r="15" spans="1:4" x14ac:dyDescent="0.3">
      <c r="A15" s="12">
        <v>0.6</v>
      </c>
      <c r="B15" s="24">
        <v>400</v>
      </c>
      <c r="C15" s="21">
        <v>11.637</v>
      </c>
      <c r="D15" s="12" t="s">
        <v>1268</v>
      </c>
    </row>
    <row r="16" spans="1:4" x14ac:dyDescent="0.3">
      <c r="A16" s="12">
        <v>0.65</v>
      </c>
      <c r="B16" s="24">
        <v>500</v>
      </c>
      <c r="C16" s="21">
        <v>12.173</v>
      </c>
      <c r="D16" s="12" t="s">
        <v>1268</v>
      </c>
    </row>
    <row r="17" spans="1:4" x14ac:dyDescent="0.3">
      <c r="A17" s="12">
        <v>0.7</v>
      </c>
      <c r="B17" s="24">
        <v>500</v>
      </c>
      <c r="C17" s="21">
        <v>13.311999999999999</v>
      </c>
      <c r="D17" s="12" t="s">
        <v>1268</v>
      </c>
    </row>
    <row r="19" spans="1:4" x14ac:dyDescent="0.3">
      <c r="A19" s="17" t="s">
        <v>1697</v>
      </c>
    </row>
  </sheetData>
  <autoFilter ref="A8:D17" xr:uid="{00000000-0009-0000-0000-000041000000}"/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A34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1698</v>
      </c>
    </row>
    <row r="2" spans="1:1" x14ac:dyDescent="0.3">
      <c r="A2" t="s">
        <v>1699</v>
      </c>
    </row>
    <row r="4" spans="1:1" x14ac:dyDescent="0.3">
      <c r="A4" s="27" t="s">
        <v>1700</v>
      </c>
    </row>
    <row r="27" spans="1:1" x14ac:dyDescent="0.3">
      <c r="A27" s="28" t="s">
        <v>1701</v>
      </c>
    </row>
    <row r="28" spans="1:1" x14ac:dyDescent="0.3">
      <c r="A28" s="28" t="s">
        <v>1702</v>
      </c>
    </row>
    <row r="29" spans="1:1" x14ac:dyDescent="0.3">
      <c r="A29" s="28" t="s">
        <v>1703</v>
      </c>
    </row>
    <row r="30" spans="1:1" x14ac:dyDescent="0.3">
      <c r="A30" s="28" t="s">
        <v>1704</v>
      </c>
    </row>
    <row r="31" spans="1:1" x14ac:dyDescent="0.3">
      <c r="A31" s="28" t="s">
        <v>1705</v>
      </c>
    </row>
    <row r="34" spans="1:1" x14ac:dyDescent="0.3">
      <c r="A34" s="28" t="s">
        <v>1706</v>
      </c>
    </row>
  </sheetData>
  <pageMargins left="0.75" right="0.75" top="1" bottom="1" header="0.5" footer="0.5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A124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1707</v>
      </c>
    </row>
    <row r="2" spans="1:1" x14ac:dyDescent="0.3">
      <c r="A2" t="s">
        <v>1699</v>
      </c>
    </row>
    <row r="4" spans="1:1" x14ac:dyDescent="0.3">
      <c r="A4" s="27" t="s">
        <v>1708</v>
      </c>
    </row>
    <row r="65" spans="1:1" x14ac:dyDescent="0.3">
      <c r="A65" s="28" t="s">
        <v>1709</v>
      </c>
    </row>
    <row r="66" spans="1:1" x14ac:dyDescent="0.3">
      <c r="A66" s="28" t="s">
        <v>1710</v>
      </c>
    </row>
    <row r="67" spans="1:1" x14ac:dyDescent="0.3">
      <c r="A67" s="28" t="s">
        <v>888</v>
      </c>
    </row>
    <row r="68" spans="1:1" x14ac:dyDescent="0.3">
      <c r="A68" s="28" t="s">
        <v>889</v>
      </c>
    </row>
    <row r="69" spans="1:1" x14ac:dyDescent="0.3">
      <c r="A69" s="28" t="s">
        <v>1711</v>
      </c>
    </row>
    <row r="70" spans="1:1" x14ac:dyDescent="0.3">
      <c r="A70" s="28" t="s">
        <v>1712</v>
      </c>
    </row>
    <row r="73" spans="1:1" x14ac:dyDescent="0.3">
      <c r="A73" s="27" t="s">
        <v>1713</v>
      </c>
    </row>
    <row r="92" spans="1:1" x14ac:dyDescent="0.3">
      <c r="A92" s="28" t="s">
        <v>1714</v>
      </c>
    </row>
    <row r="93" spans="1:1" x14ac:dyDescent="0.3">
      <c r="A93" s="28" t="s">
        <v>1715</v>
      </c>
    </row>
    <row r="94" spans="1:1" x14ac:dyDescent="0.3">
      <c r="A94" s="28" t="s">
        <v>924</v>
      </c>
    </row>
    <row r="95" spans="1:1" x14ac:dyDescent="0.3">
      <c r="A95" s="28" t="s">
        <v>925</v>
      </c>
    </row>
    <row r="96" spans="1:1" x14ac:dyDescent="0.3">
      <c r="A96" s="28" t="s">
        <v>1716</v>
      </c>
    </row>
    <row r="97" spans="1:1" x14ac:dyDescent="0.3">
      <c r="A97" s="28" t="s">
        <v>1717</v>
      </c>
    </row>
    <row r="100" spans="1:1" x14ac:dyDescent="0.3">
      <c r="A100" s="27" t="s">
        <v>1718</v>
      </c>
    </row>
    <row r="119" spans="1:1" x14ac:dyDescent="0.3">
      <c r="A119" s="28" t="s">
        <v>1719</v>
      </c>
    </row>
    <row r="120" spans="1:1" x14ac:dyDescent="0.3">
      <c r="A120" s="28" t="s">
        <v>1720</v>
      </c>
    </row>
    <row r="121" spans="1:1" x14ac:dyDescent="0.3">
      <c r="A121" s="28" t="s">
        <v>927</v>
      </c>
    </row>
    <row r="122" spans="1:1" x14ac:dyDescent="0.3">
      <c r="A122" s="28" t="s">
        <v>928</v>
      </c>
    </row>
    <row r="123" spans="1:1" x14ac:dyDescent="0.3">
      <c r="A123" s="28" t="s">
        <v>1721</v>
      </c>
    </row>
    <row r="124" spans="1:1" x14ac:dyDescent="0.3">
      <c r="A124" s="28" t="s">
        <v>1722</v>
      </c>
    </row>
  </sheetData>
  <pageMargins left="0.75" right="0.75" top="1" bottom="1" header="0.5" footer="0.5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A121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1723</v>
      </c>
    </row>
    <row r="2" spans="1:1" x14ac:dyDescent="0.3">
      <c r="A2" t="s">
        <v>1699</v>
      </c>
    </row>
    <row r="4" spans="1:1" x14ac:dyDescent="0.3">
      <c r="A4" s="27" t="s">
        <v>1724</v>
      </c>
    </row>
    <row r="35" spans="1:1" x14ac:dyDescent="0.3">
      <c r="A35" s="28" t="s">
        <v>1725</v>
      </c>
    </row>
    <row r="36" spans="1:1" x14ac:dyDescent="0.3">
      <c r="A36" s="28" t="s">
        <v>1726</v>
      </c>
    </row>
    <row r="37" spans="1:1" x14ac:dyDescent="0.3">
      <c r="A37" s="28" t="s">
        <v>959</v>
      </c>
    </row>
    <row r="38" spans="1:1" x14ac:dyDescent="0.3">
      <c r="A38" s="28" t="s">
        <v>960</v>
      </c>
    </row>
    <row r="39" spans="1:1" x14ac:dyDescent="0.3">
      <c r="A39" s="28" t="s">
        <v>1727</v>
      </c>
    </row>
    <row r="40" spans="1:1" x14ac:dyDescent="0.3">
      <c r="A40" s="28" t="s">
        <v>1728</v>
      </c>
    </row>
    <row r="43" spans="1:1" x14ac:dyDescent="0.3">
      <c r="A43" s="27" t="s">
        <v>1729</v>
      </c>
    </row>
    <row r="62" spans="1:1" x14ac:dyDescent="0.3">
      <c r="A62" s="28" t="s">
        <v>1730</v>
      </c>
    </row>
    <row r="63" spans="1:1" x14ac:dyDescent="0.3">
      <c r="A63" s="28" t="s">
        <v>1731</v>
      </c>
    </row>
    <row r="64" spans="1:1" x14ac:dyDescent="0.3">
      <c r="A64" s="28" t="s">
        <v>962</v>
      </c>
    </row>
    <row r="65" spans="1:1" x14ac:dyDescent="0.3">
      <c r="A65" s="28" t="s">
        <v>963</v>
      </c>
    </row>
    <row r="66" spans="1:1" x14ac:dyDescent="0.3">
      <c r="A66" s="28" t="s">
        <v>1732</v>
      </c>
    </row>
    <row r="67" spans="1:1" x14ac:dyDescent="0.3">
      <c r="A67" s="28" t="s">
        <v>1733</v>
      </c>
    </row>
    <row r="70" spans="1:1" x14ac:dyDescent="0.3">
      <c r="A70" s="27" t="s">
        <v>1734</v>
      </c>
    </row>
    <row r="89" spans="1:1" x14ac:dyDescent="0.3">
      <c r="A89" s="28" t="s">
        <v>1735</v>
      </c>
    </row>
    <row r="90" spans="1:1" x14ac:dyDescent="0.3">
      <c r="A90" s="28" t="s">
        <v>1736</v>
      </c>
    </row>
    <row r="91" spans="1:1" x14ac:dyDescent="0.3">
      <c r="A91" s="28" t="s">
        <v>924</v>
      </c>
    </row>
    <row r="92" spans="1:1" x14ac:dyDescent="0.3">
      <c r="A92" s="28" t="s">
        <v>965</v>
      </c>
    </row>
    <row r="93" spans="1:1" x14ac:dyDescent="0.3">
      <c r="A93" s="28" t="s">
        <v>1737</v>
      </c>
    </row>
    <row r="94" spans="1:1" x14ac:dyDescent="0.3">
      <c r="A94" s="28" t="s">
        <v>1738</v>
      </c>
    </row>
    <row r="97" spans="1:1" x14ac:dyDescent="0.3">
      <c r="A97" s="27" t="s">
        <v>1739</v>
      </c>
    </row>
    <row r="116" spans="1:1" x14ac:dyDescent="0.3">
      <c r="A116" s="28" t="s">
        <v>1740</v>
      </c>
    </row>
    <row r="117" spans="1:1" x14ac:dyDescent="0.3">
      <c r="A117" s="28" t="s">
        <v>1741</v>
      </c>
    </row>
    <row r="118" spans="1:1" x14ac:dyDescent="0.3">
      <c r="A118" s="28" t="s">
        <v>967</v>
      </c>
    </row>
    <row r="119" spans="1:1" x14ac:dyDescent="0.3">
      <c r="A119" s="28" t="s">
        <v>968</v>
      </c>
    </row>
    <row r="120" spans="1:1" x14ac:dyDescent="0.3">
      <c r="A120" s="28" t="s">
        <v>1742</v>
      </c>
    </row>
    <row r="121" spans="1:1" x14ac:dyDescent="0.3">
      <c r="A121" s="28" t="s">
        <v>1743</v>
      </c>
    </row>
  </sheetData>
  <pageMargins left="0.75" right="0.75" top="1" bottom="1" header="0.5" footer="0.5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A30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1744</v>
      </c>
    </row>
    <row r="2" spans="1:1" x14ac:dyDescent="0.3">
      <c r="A2" t="s">
        <v>1699</v>
      </c>
    </row>
    <row r="4" spans="1:1" x14ac:dyDescent="0.3">
      <c r="A4" s="27" t="s">
        <v>1745</v>
      </c>
    </row>
    <row r="23" spans="1:1" x14ac:dyDescent="0.3">
      <c r="A23" s="28" t="s">
        <v>1746</v>
      </c>
    </row>
    <row r="24" spans="1:1" x14ac:dyDescent="0.3">
      <c r="A24" s="28" t="s">
        <v>1747</v>
      </c>
    </row>
    <row r="25" spans="1:1" x14ac:dyDescent="0.3">
      <c r="A25" s="28" t="s">
        <v>1748</v>
      </c>
    </row>
    <row r="26" spans="1:1" x14ac:dyDescent="0.3">
      <c r="A26" s="28" t="s">
        <v>1749</v>
      </c>
    </row>
    <row r="27" spans="1:1" x14ac:dyDescent="0.3">
      <c r="A27" s="28" t="s">
        <v>1750</v>
      </c>
    </row>
    <row r="28" spans="1:1" x14ac:dyDescent="0.3">
      <c r="A28" s="28" t="s">
        <v>1751</v>
      </c>
    </row>
    <row r="29" spans="1:1" x14ac:dyDescent="0.3">
      <c r="A29" s="28" t="s">
        <v>1752</v>
      </c>
    </row>
    <row r="30" spans="1:1" x14ac:dyDescent="0.3">
      <c r="A30" s="28" t="s">
        <v>1753</v>
      </c>
    </row>
  </sheetData>
  <pageMargins left="0.75" right="0.75" top="1" bottom="1" header="0.5" footer="0.5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A152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1754</v>
      </c>
    </row>
    <row r="2" spans="1:1" x14ac:dyDescent="0.3">
      <c r="A2" t="s">
        <v>1699</v>
      </c>
    </row>
    <row r="4" spans="1:1" x14ac:dyDescent="0.3">
      <c r="A4" s="27" t="s">
        <v>1755</v>
      </c>
    </row>
    <row r="23" spans="1:1" x14ac:dyDescent="0.3">
      <c r="A23" s="28" t="s">
        <v>1756</v>
      </c>
    </row>
    <row r="24" spans="1:1" x14ac:dyDescent="0.3">
      <c r="A24" s="28" t="s">
        <v>1757</v>
      </c>
    </row>
    <row r="25" spans="1:1" x14ac:dyDescent="0.3">
      <c r="A25" s="28" t="s">
        <v>1058</v>
      </c>
    </row>
    <row r="26" spans="1:1" x14ac:dyDescent="0.3">
      <c r="A26" s="28" t="s">
        <v>1059</v>
      </c>
    </row>
    <row r="27" spans="1:1" x14ac:dyDescent="0.3">
      <c r="A27" s="28" t="s">
        <v>1758</v>
      </c>
    </row>
    <row r="28" spans="1:1" x14ac:dyDescent="0.3">
      <c r="A28" s="28" t="s">
        <v>1759</v>
      </c>
    </row>
    <row r="31" spans="1:1" x14ac:dyDescent="0.3">
      <c r="A31" s="27" t="s">
        <v>1760</v>
      </c>
    </row>
    <row r="50" spans="1:1" x14ac:dyDescent="0.3">
      <c r="A50" s="28" t="s">
        <v>1761</v>
      </c>
    </row>
    <row r="51" spans="1:1" x14ac:dyDescent="0.3">
      <c r="A51" s="28" t="s">
        <v>1757</v>
      </c>
    </row>
    <row r="52" spans="1:1" x14ac:dyDescent="0.3">
      <c r="A52" s="28" t="s">
        <v>1058</v>
      </c>
    </row>
    <row r="53" spans="1:1" x14ac:dyDescent="0.3">
      <c r="A53" s="28" t="s">
        <v>1059</v>
      </c>
    </row>
    <row r="54" spans="1:1" x14ac:dyDescent="0.3">
      <c r="A54" s="28" t="s">
        <v>1762</v>
      </c>
    </row>
    <row r="55" spans="1:1" x14ac:dyDescent="0.3">
      <c r="A55" s="28" t="s">
        <v>1763</v>
      </c>
    </row>
    <row r="58" spans="1:1" x14ac:dyDescent="0.3">
      <c r="A58" s="27" t="s">
        <v>1764</v>
      </c>
    </row>
    <row r="119" spans="1:1" x14ac:dyDescent="0.3">
      <c r="A119" s="28" t="s">
        <v>1765</v>
      </c>
    </row>
    <row r="120" spans="1:1" x14ac:dyDescent="0.3">
      <c r="A120" s="28" t="s">
        <v>1757</v>
      </c>
    </row>
    <row r="121" spans="1:1" x14ac:dyDescent="0.3">
      <c r="A121" s="28" t="s">
        <v>1058</v>
      </c>
    </row>
    <row r="122" spans="1:1" x14ac:dyDescent="0.3">
      <c r="A122" s="28" t="s">
        <v>1059</v>
      </c>
    </row>
    <row r="123" spans="1:1" x14ac:dyDescent="0.3">
      <c r="A123" s="28" t="s">
        <v>1766</v>
      </c>
    </row>
    <row r="124" spans="1:1" x14ac:dyDescent="0.3">
      <c r="A124" s="28" t="s">
        <v>1767</v>
      </c>
    </row>
    <row r="127" spans="1:1" x14ac:dyDescent="0.3">
      <c r="A127" s="27" t="s">
        <v>1768</v>
      </c>
    </row>
    <row r="146" spans="1:1" x14ac:dyDescent="0.3">
      <c r="A146" s="28" t="s">
        <v>1769</v>
      </c>
    </row>
    <row r="147" spans="1:1" x14ac:dyDescent="0.3">
      <c r="A147" s="28" t="s">
        <v>1757</v>
      </c>
    </row>
    <row r="148" spans="1:1" x14ac:dyDescent="0.3">
      <c r="A148" s="28" t="s">
        <v>1058</v>
      </c>
    </row>
    <row r="149" spans="1:1" x14ac:dyDescent="0.3">
      <c r="A149" s="28" t="s">
        <v>1059</v>
      </c>
    </row>
    <row r="150" spans="1:1" x14ac:dyDescent="0.3">
      <c r="A150" s="28" t="s">
        <v>1770</v>
      </c>
    </row>
    <row r="151" spans="1:1" x14ac:dyDescent="0.3">
      <c r="A151" s="28" t="s">
        <v>1771</v>
      </c>
    </row>
    <row r="152" spans="1:1" x14ac:dyDescent="0.3">
      <c r="A152" s="28" t="s">
        <v>1772</v>
      </c>
    </row>
  </sheetData>
  <pageMargins left="0.75" right="0.75" top="1" bottom="1" header="0.5" footer="0.5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A152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1773</v>
      </c>
    </row>
    <row r="2" spans="1:1" x14ac:dyDescent="0.3">
      <c r="A2" t="s">
        <v>1699</v>
      </c>
    </row>
    <row r="4" spans="1:1" x14ac:dyDescent="0.3">
      <c r="A4" s="27" t="s">
        <v>1774</v>
      </c>
    </row>
    <row r="65" spans="1:1" x14ac:dyDescent="0.3">
      <c r="A65" s="28" t="s">
        <v>1775</v>
      </c>
    </row>
    <row r="66" spans="1:1" x14ac:dyDescent="0.3">
      <c r="A66" s="28" t="s">
        <v>1776</v>
      </c>
    </row>
    <row r="67" spans="1:1" x14ac:dyDescent="0.3">
      <c r="A67" s="28" t="s">
        <v>717</v>
      </c>
    </row>
    <row r="68" spans="1:1" x14ac:dyDescent="0.3">
      <c r="A68" s="28" t="s">
        <v>1102</v>
      </c>
    </row>
    <row r="69" spans="1:1" x14ac:dyDescent="0.3">
      <c r="A69" s="28" t="s">
        <v>1777</v>
      </c>
    </row>
    <row r="70" spans="1:1" x14ac:dyDescent="0.3">
      <c r="A70" s="28" t="s">
        <v>1778</v>
      </c>
    </row>
    <row r="73" spans="1:1" x14ac:dyDescent="0.3">
      <c r="A73" s="27" t="s">
        <v>1779</v>
      </c>
    </row>
    <row r="94" spans="1:1" x14ac:dyDescent="0.3">
      <c r="A94" s="28" t="s">
        <v>1780</v>
      </c>
    </row>
    <row r="95" spans="1:1" x14ac:dyDescent="0.3">
      <c r="A95" s="28" t="s">
        <v>1776</v>
      </c>
    </row>
    <row r="96" spans="1:1" x14ac:dyDescent="0.3">
      <c r="A96" s="28" t="s">
        <v>717</v>
      </c>
    </row>
    <row r="97" spans="1:1" x14ac:dyDescent="0.3">
      <c r="A97" s="28" t="s">
        <v>1102</v>
      </c>
    </row>
    <row r="98" spans="1:1" x14ac:dyDescent="0.3">
      <c r="A98" s="28" t="s">
        <v>1781</v>
      </c>
    </row>
    <row r="99" spans="1:1" x14ac:dyDescent="0.3">
      <c r="A99" s="28" t="s">
        <v>1782</v>
      </c>
    </row>
    <row r="102" spans="1:1" x14ac:dyDescent="0.3">
      <c r="A102" s="27" t="s">
        <v>1783</v>
      </c>
    </row>
    <row r="121" spans="1:1" x14ac:dyDescent="0.3">
      <c r="A121" s="28" t="s">
        <v>1784</v>
      </c>
    </row>
    <row r="122" spans="1:1" x14ac:dyDescent="0.3">
      <c r="A122" s="28" t="s">
        <v>1776</v>
      </c>
    </row>
    <row r="123" spans="1:1" x14ac:dyDescent="0.3">
      <c r="A123" s="28" t="s">
        <v>717</v>
      </c>
    </row>
    <row r="124" spans="1:1" x14ac:dyDescent="0.3">
      <c r="A124" s="28" t="s">
        <v>1102</v>
      </c>
    </row>
    <row r="125" spans="1:1" x14ac:dyDescent="0.3">
      <c r="A125" s="28" t="s">
        <v>1785</v>
      </c>
    </row>
    <row r="126" spans="1:1" x14ac:dyDescent="0.3">
      <c r="A126" s="28" t="s">
        <v>1786</v>
      </c>
    </row>
    <row r="129" spans="1:1" x14ac:dyDescent="0.3">
      <c r="A129" s="27" t="s">
        <v>1787</v>
      </c>
    </row>
    <row r="147" spans="1:1" x14ac:dyDescent="0.3">
      <c r="A147" s="28" t="s">
        <v>1788</v>
      </c>
    </row>
    <row r="148" spans="1:1" x14ac:dyDescent="0.3">
      <c r="A148" s="28" t="s">
        <v>1776</v>
      </c>
    </row>
    <row r="149" spans="1:1" x14ac:dyDescent="0.3">
      <c r="A149" s="28" t="s">
        <v>717</v>
      </c>
    </row>
    <row r="150" spans="1:1" x14ac:dyDescent="0.3">
      <c r="A150" s="28" t="s">
        <v>1102</v>
      </c>
    </row>
    <row r="151" spans="1:1" x14ac:dyDescent="0.3">
      <c r="A151" s="28" t="s">
        <v>1789</v>
      </c>
    </row>
    <row r="152" spans="1:1" x14ac:dyDescent="0.3">
      <c r="A152" s="28" t="s">
        <v>1778</v>
      </c>
    </row>
  </sheetData>
  <pageMargins left="0.75" right="0.75" top="1" bottom="1" header="0.5" footer="0.5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A28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1790</v>
      </c>
    </row>
    <row r="2" spans="1:1" x14ac:dyDescent="0.3">
      <c r="A2" t="s">
        <v>1699</v>
      </c>
    </row>
    <row r="4" spans="1:1" x14ac:dyDescent="0.3">
      <c r="A4" s="27" t="s">
        <v>1791</v>
      </c>
    </row>
    <row r="23" spans="1:1" x14ac:dyDescent="0.3">
      <c r="A23" s="28" t="s">
        <v>1792</v>
      </c>
    </row>
    <row r="24" spans="1:1" x14ac:dyDescent="0.3">
      <c r="A24" s="28" t="s">
        <v>1793</v>
      </c>
    </row>
    <row r="25" spans="1:1" x14ac:dyDescent="0.3">
      <c r="A25" s="28" t="s">
        <v>717</v>
      </c>
    </row>
    <row r="26" spans="1:1" x14ac:dyDescent="0.3">
      <c r="A26" s="28" t="s">
        <v>1171</v>
      </c>
    </row>
    <row r="27" spans="1:1" x14ac:dyDescent="0.3">
      <c r="A27" s="28" t="s">
        <v>1794</v>
      </c>
    </row>
    <row r="28" spans="1:1" x14ac:dyDescent="0.3">
      <c r="A28" s="28" t="s">
        <v>1795</v>
      </c>
    </row>
  </sheetData>
  <pageMargins left="0.75" right="0.75" top="1" bottom="1" header="0.5" footer="0.5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A167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1796</v>
      </c>
    </row>
    <row r="2" spans="1:1" x14ac:dyDescent="0.3">
      <c r="A2" t="s">
        <v>1699</v>
      </c>
    </row>
    <row r="4" spans="1:1" x14ac:dyDescent="0.3">
      <c r="A4" s="27" t="s">
        <v>1797</v>
      </c>
    </row>
    <row r="24" spans="1:1" x14ac:dyDescent="0.3">
      <c r="A24" s="28" t="s">
        <v>1798</v>
      </c>
    </row>
    <row r="25" spans="1:1" x14ac:dyDescent="0.3">
      <c r="A25" s="28" t="s">
        <v>1799</v>
      </c>
    </row>
    <row r="26" spans="1:1" x14ac:dyDescent="0.3">
      <c r="A26" s="28" t="s">
        <v>722</v>
      </c>
    </row>
    <row r="27" spans="1:1" x14ac:dyDescent="0.3">
      <c r="A27" s="28" t="s">
        <v>1212</v>
      </c>
    </row>
    <row r="28" spans="1:1" x14ac:dyDescent="0.3">
      <c r="A28" s="28" t="s">
        <v>1800</v>
      </c>
    </row>
    <row r="29" spans="1:1" x14ac:dyDescent="0.3">
      <c r="A29" s="28" t="s">
        <v>1801</v>
      </c>
    </row>
    <row r="32" spans="1:1" x14ac:dyDescent="0.3">
      <c r="A32" s="27" t="s">
        <v>1802</v>
      </c>
    </row>
    <row r="52" spans="1:1" x14ac:dyDescent="0.3">
      <c r="A52" s="28" t="s">
        <v>1803</v>
      </c>
    </row>
    <row r="53" spans="1:1" x14ac:dyDescent="0.3">
      <c r="A53" s="28" t="s">
        <v>1804</v>
      </c>
    </row>
    <row r="54" spans="1:1" x14ac:dyDescent="0.3">
      <c r="A54" s="28" t="s">
        <v>725</v>
      </c>
    </row>
    <row r="55" spans="1:1" x14ac:dyDescent="0.3">
      <c r="A55" s="28" t="s">
        <v>1214</v>
      </c>
    </row>
    <row r="56" spans="1:1" x14ac:dyDescent="0.3">
      <c r="A56" s="28" t="s">
        <v>1800</v>
      </c>
    </row>
    <row r="57" spans="1:1" x14ac:dyDescent="0.3">
      <c r="A57" s="28" t="s">
        <v>1805</v>
      </c>
    </row>
    <row r="60" spans="1:1" x14ac:dyDescent="0.3">
      <c r="A60" s="27" t="s">
        <v>1806</v>
      </c>
    </row>
    <row r="80" spans="1:1" x14ac:dyDescent="0.3">
      <c r="A80" s="28" t="s">
        <v>1807</v>
      </c>
    </row>
    <row r="81" spans="1:1" x14ac:dyDescent="0.3">
      <c r="A81" s="28" t="s">
        <v>1808</v>
      </c>
    </row>
    <row r="82" spans="1:1" x14ac:dyDescent="0.3">
      <c r="A82" s="28" t="s">
        <v>729</v>
      </c>
    </row>
    <row r="83" spans="1:1" x14ac:dyDescent="0.3">
      <c r="A83" s="28" t="s">
        <v>1216</v>
      </c>
    </row>
    <row r="84" spans="1:1" x14ac:dyDescent="0.3">
      <c r="A84" s="28" t="s">
        <v>1800</v>
      </c>
    </row>
    <row r="85" spans="1:1" x14ac:dyDescent="0.3">
      <c r="A85" s="28" t="s">
        <v>1805</v>
      </c>
    </row>
    <row r="88" spans="1:1" x14ac:dyDescent="0.3">
      <c r="A88" s="27" t="s">
        <v>1809</v>
      </c>
    </row>
    <row r="108" spans="1:1" x14ac:dyDescent="0.3">
      <c r="A108" s="28" t="s">
        <v>1810</v>
      </c>
    </row>
    <row r="109" spans="1:1" x14ac:dyDescent="0.3">
      <c r="A109" s="28" t="s">
        <v>1811</v>
      </c>
    </row>
    <row r="110" spans="1:1" x14ac:dyDescent="0.3">
      <c r="A110" s="28" t="s">
        <v>732</v>
      </c>
    </row>
    <row r="111" spans="1:1" x14ac:dyDescent="0.3">
      <c r="A111" s="28" t="s">
        <v>1218</v>
      </c>
    </row>
    <row r="112" spans="1:1" x14ac:dyDescent="0.3">
      <c r="A112" s="28" t="s">
        <v>1800</v>
      </c>
    </row>
    <row r="113" spans="1:1" x14ac:dyDescent="0.3">
      <c r="A113" s="28" t="s">
        <v>1805</v>
      </c>
    </row>
    <row r="116" spans="1:1" x14ac:dyDescent="0.3">
      <c r="A116" s="27" t="s">
        <v>1812</v>
      </c>
    </row>
    <row r="136" spans="1:1" x14ac:dyDescent="0.3">
      <c r="A136" s="28" t="s">
        <v>1813</v>
      </c>
    </row>
    <row r="137" spans="1:1" x14ac:dyDescent="0.3">
      <c r="A137" s="28" t="s">
        <v>1814</v>
      </c>
    </row>
    <row r="138" spans="1:1" x14ac:dyDescent="0.3">
      <c r="A138" s="28" t="s">
        <v>735</v>
      </c>
    </row>
    <row r="139" spans="1:1" x14ac:dyDescent="0.3">
      <c r="A139" s="28" t="s">
        <v>1220</v>
      </c>
    </row>
    <row r="140" spans="1:1" x14ac:dyDescent="0.3">
      <c r="A140" s="28" t="s">
        <v>1800</v>
      </c>
    </row>
    <row r="141" spans="1:1" x14ac:dyDescent="0.3">
      <c r="A141" s="28" t="s">
        <v>1801</v>
      </c>
    </row>
    <row r="144" spans="1:1" x14ac:dyDescent="0.3">
      <c r="A144" s="27" t="s">
        <v>1815</v>
      </c>
    </row>
    <row r="162" spans="1:1" x14ac:dyDescent="0.3">
      <c r="A162" s="28" t="s">
        <v>1816</v>
      </c>
    </row>
    <row r="163" spans="1:1" x14ac:dyDescent="0.3">
      <c r="A163" s="28" t="s">
        <v>1817</v>
      </c>
    </row>
    <row r="164" spans="1:1" x14ac:dyDescent="0.3">
      <c r="A164" s="28" t="s">
        <v>736</v>
      </c>
    </row>
    <row r="165" spans="1:1" x14ac:dyDescent="0.3">
      <c r="A165" s="28" t="s">
        <v>1276</v>
      </c>
    </row>
    <row r="166" spans="1:1" x14ac:dyDescent="0.3">
      <c r="A166" s="28" t="s">
        <v>1818</v>
      </c>
    </row>
    <row r="167" spans="1:1" x14ac:dyDescent="0.3">
      <c r="A167" s="28" t="s">
        <v>1819</v>
      </c>
    </row>
  </sheetData>
  <pageMargins left="0.75" right="0.75" top="1" bottom="1" header="0.5" footer="0.5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A90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1820</v>
      </c>
    </row>
    <row r="2" spans="1:1" x14ac:dyDescent="0.3">
      <c r="A2" t="s">
        <v>1699</v>
      </c>
    </row>
    <row r="4" spans="1:1" x14ac:dyDescent="0.3">
      <c r="A4" s="27" t="s">
        <v>1821</v>
      </c>
    </row>
    <row r="25" spans="1:1" x14ac:dyDescent="0.3">
      <c r="A25" s="28" t="s">
        <v>1822</v>
      </c>
    </row>
    <row r="26" spans="1:1" x14ac:dyDescent="0.3">
      <c r="A26" s="28" t="s">
        <v>1823</v>
      </c>
    </row>
    <row r="27" spans="1:1" x14ac:dyDescent="0.3">
      <c r="A27" s="28" t="s">
        <v>1824</v>
      </c>
    </row>
    <row r="28" spans="1:1" x14ac:dyDescent="0.3">
      <c r="A28" s="28" t="s">
        <v>1825</v>
      </c>
    </row>
    <row r="29" spans="1:1" x14ac:dyDescent="0.3">
      <c r="A29" s="28" t="s">
        <v>1826</v>
      </c>
    </row>
    <row r="30" spans="1:1" x14ac:dyDescent="0.3">
      <c r="A30" s="28" t="s">
        <v>1827</v>
      </c>
    </row>
    <row r="33" spans="1:1" x14ac:dyDescent="0.3">
      <c r="A33" s="27" t="s">
        <v>1828</v>
      </c>
    </row>
    <row r="53" spans="1:1" x14ac:dyDescent="0.3">
      <c r="A53" s="28" t="s">
        <v>1829</v>
      </c>
    </row>
    <row r="54" spans="1:1" x14ac:dyDescent="0.3">
      <c r="A54" s="28" t="s">
        <v>1830</v>
      </c>
    </row>
    <row r="55" spans="1:1" x14ac:dyDescent="0.3">
      <c r="A55" s="28" t="s">
        <v>1831</v>
      </c>
    </row>
    <row r="56" spans="1:1" x14ac:dyDescent="0.3">
      <c r="A56" s="28" t="s">
        <v>1832</v>
      </c>
    </row>
    <row r="57" spans="1:1" x14ac:dyDescent="0.3">
      <c r="A57" s="28" t="s">
        <v>1833</v>
      </c>
    </row>
    <row r="58" spans="1:1" x14ac:dyDescent="0.3">
      <c r="A58" s="28" t="s">
        <v>1834</v>
      </c>
    </row>
    <row r="59" spans="1:1" x14ac:dyDescent="0.3">
      <c r="A59" s="28" t="s">
        <v>1835</v>
      </c>
    </row>
    <row r="60" spans="1:1" x14ac:dyDescent="0.3">
      <c r="A60" s="28" t="s">
        <v>1836</v>
      </c>
    </row>
    <row r="61" spans="1:1" x14ac:dyDescent="0.3">
      <c r="A61" s="28" t="s">
        <v>1837</v>
      </c>
    </row>
    <row r="64" spans="1:1" x14ac:dyDescent="0.3">
      <c r="A64" s="27" t="s">
        <v>1838</v>
      </c>
    </row>
    <row r="84" spans="1:1" x14ac:dyDescent="0.3">
      <c r="A84" s="28" t="s">
        <v>1839</v>
      </c>
    </row>
    <row r="85" spans="1:1" x14ac:dyDescent="0.3">
      <c r="A85" s="28" t="s">
        <v>1840</v>
      </c>
    </row>
    <row r="86" spans="1:1" x14ac:dyDescent="0.3">
      <c r="A86" s="28" t="s">
        <v>1841</v>
      </c>
    </row>
    <row r="87" spans="1:1" x14ac:dyDescent="0.3">
      <c r="A87" s="28" t="s">
        <v>1842</v>
      </c>
    </row>
    <row r="88" spans="1:1" x14ac:dyDescent="0.3">
      <c r="A88" s="28" t="s">
        <v>1843</v>
      </c>
    </row>
    <row r="89" spans="1:1" x14ac:dyDescent="0.3">
      <c r="A89" s="28" t="s">
        <v>1844</v>
      </c>
    </row>
    <row r="90" spans="1:1" x14ac:dyDescent="0.3">
      <c r="A90" t="s">
        <v>1845</v>
      </c>
    </row>
  </sheetData>
  <pageMargins left="0.75" right="0.75" top="1" bottom="1" header="0.5" footer="0.5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A121"/>
  <sheetViews>
    <sheetView workbookViewId="0"/>
  </sheetViews>
  <sheetFormatPr baseColWidth="10" defaultColWidth="8.88671875" defaultRowHeight="14.4" x14ac:dyDescent="0.3"/>
  <sheetData>
    <row r="1" spans="1:1" ht="18" x14ac:dyDescent="0.35">
      <c r="A1" s="7" t="s">
        <v>1846</v>
      </c>
    </row>
    <row r="2" spans="1:1" x14ac:dyDescent="0.3">
      <c r="A2" t="s">
        <v>1699</v>
      </c>
    </row>
    <row r="4" spans="1:1" x14ac:dyDescent="0.3">
      <c r="A4" s="27" t="s">
        <v>1847</v>
      </c>
    </row>
    <row r="25" spans="1:1" x14ac:dyDescent="0.3">
      <c r="A25" s="28" t="s">
        <v>1848</v>
      </c>
    </row>
    <row r="26" spans="1:1" x14ac:dyDescent="0.3">
      <c r="A26" s="28" t="s">
        <v>1849</v>
      </c>
    </row>
    <row r="27" spans="1:1" x14ac:dyDescent="0.3">
      <c r="A27" s="28" t="s">
        <v>741</v>
      </c>
    </row>
    <row r="28" spans="1:1" x14ac:dyDescent="0.3">
      <c r="A28" s="28" t="s">
        <v>1850</v>
      </c>
    </row>
    <row r="29" spans="1:1" x14ac:dyDescent="0.3">
      <c r="A29" s="28" t="s">
        <v>1851</v>
      </c>
    </row>
    <row r="30" spans="1:1" x14ac:dyDescent="0.3">
      <c r="A30" s="28" t="s">
        <v>1852</v>
      </c>
    </row>
    <row r="33" spans="1:1" x14ac:dyDescent="0.3">
      <c r="A33" s="27" t="s">
        <v>1853</v>
      </c>
    </row>
    <row r="94" spans="1:1" x14ac:dyDescent="0.3">
      <c r="A94" s="28" t="s">
        <v>1854</v>
      </c>
    </row>
    <row r="95" spans="1:1" x14ac:dyDescent="0.3">
      <c r="A95" s="28" t="s">
        <v>1855</v>
      </c>
    </row>
    <row r="96" spans="1:1" x14ac:dyDescent="0.3">
      <c r="A96" s="28" t="s">
        <v>1619</v>
      </c>
    </row>
    <row r="97" spans="1:1" x14ac:dyDescent="0.3">
      <c r="A97" s="28" t="s">
        <v>1620</v>
      </c>
    </row>
    <row r="98" spans="1:1" x14ac:dyDescent="0.3">
      <c r="A98" s="28" t="s">
        <v>1856</v>
      </c>
    </row>
    <row r="99" spans="1:1" x14ac:dyDescent="0.3">
      <c r="A99" s="28" t="s">
        <v>1767</v>
      </c>
    </row>
    <row r="102" spans="1:1" x14ac:dyDescent="0.3">
      <c r="A102" s="27" t="s">
        <v>1857</v>
      </c>
    </row>
    <row r="121" spans="1:1" x14ac:dyDescent="0.3">
      <c r="A121" s="28" t="s">
        <v>1858</v>
      </c>
    </row>
  </sheetData>
  <pageMargins left="0.75" right="0.75" top="1" bottom="1" header="0.5" footer="0.5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B9"/>
  <sheetViews>
    <sheetView workbookViewId="0"/>
  </sheetViews>
  <sheetFormatPr baseColWidth="10" defaultColWidth="8.88671875" defaultRowHeight="14.4" x14ac:dyDescent="0.3"/>
  <sheetData>
    <row r="1" spans="1:2" ht="18" x14ac:dyDescent="0.35">
      <c r="A1" s="29" t="s">
        <v>1859</v>
      </c>
    </row>
    <row r="3" spans="1:2" x14ac:dyDescent="0.3">
      <c r="A3" t="s">
        <v>1860</v>
      </c>
    </row>
    <row r="5" spans="1:2" x14ac:dyDescent="0.3">
      <c r="A5" s="12" t="s">
        <v>32</v>
      </c>
      <c r="B5" s="12">
        <v>84</v>
      </c>
    </row>
    <row r="6" spans="1:2" x14ac:dyDescent="0.3">
      <c r="A6" s="12" t="s">
        <v>1861</v>
      </c>
      <c r="B6" s="12">
        <v>60</v>
      </c>
    </row>
    <row r="7" spans="1:2" x14ac:dyDescent="0.3">
      <c r="A7" s="12" t="s">
        <v>1862</v>
      </c>
      <c r="B7" s="12">
        <v>7</v>
      </c>
    </row>
    <row r="8" spans="1:2" x14ac:dyDescent="0.3">
      <c r="A8" s="12" t="s">
        <v>832</v>
      </c>
      <c r="B8" s="12">
        <v>7</v>
      </c>
    </row>
    <row r="9" spans="1:2" x14ac:dyDescent="0.3">
      <c r="A9" s="12" t="s">
        <v>1863</v>
      </c>
      <c r="B9" s="12">
        <v>2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AB4582"/>
  <sheetViews>
    <sheetView workbookViewId="0"/>
  </sheetViews>
  <sheetFormatPr baseColWidth="10" defaultColWidth="8.88671875" defaultRowHeight="14.4" x14ac:dyDescent="0.3"/>
  <sheetData>
    <row r="1" spans="1:28" x14ac:dyDescent="0.3">
      <c r="A1" s="14" t="s">
        <v>1864</v>
      </c>
      <c r="B1" s="14" t="s">
        <v>1865</v>
      </c>
      <c r="C1" s="14" t="s">
        <v>1866</v>
      </c>
      <c r="D1" s="14" t="s">
        <v>1867</v>
      </c>
      <c r="E1" s="14" t="s">
        <v>1868</v>
      </c>
      <c r="F1" s="14" t="s">
        <v>1869</v>
      </c>
      <c r="G1" s="14" t="s">
        <v>1870</v>
      </c>
      <c r="H1" s="14" t="s">
        <v>1871</v>
      </c>
      <c r="I1" s="14" t="s">
        <v>1872</v>
      </c>
      <c r="J1" s="14" t="s">
        <v>1873</v>
      </c>
      <c r="K1" s="14" t="s">
        <v>1874</v>
      </c>
      <c r="L1" s="14" t="s">
        <v>274</v>
      </c>
      <c r="M1" s="14" t="s">
        <v>276</v>
      </c>
      <c r="N1" s="14" t="s">
        <v>269</v>
      </c>
      <c r="O1" s="14" t="s">
        <v>271</v>
      </c>
      <c r="P1" s="14" t="s">
        <v>272</v>
      </c>
      <c r="Q1" s="14" t="s">
        <v>1875</v>
      </c>
      <c r="R1" s="14" t="s">
        <v>1876</v>
      </c>
      <c r="S1" s="14" t="s">
        <v>1877</v>
      </c>
      <c r="T1" s="14" t="s">
        <v>1878</v>
      </c>
      <c r="U1" s="14" t="s">
        <v>1879</v>
      </c>
      <c r="V1" s="14" t="s">
        <v>1880</v>
      </c>
      <c r="W1" s="14" t="s">
        <v>1881</v>
      </c>
      <c r="X1" s="14" t="s">
        <v>1882</v>
      </c>
      <c r="Y1" s="14" t="s">
        <v>1114</v>
      </c>
      <c r="Z1" s="14" t="s">
        <v>1115</v>
      </c>
      <c r="AA1" s="14" t="s">
        <v>1883</v>
      </c>
      <c r="AB1" s="14" t="s">
        <v>1884</v>
      </c>
    </row>
    <row r="2" spans="1:28" x14ac:dyDescent="0.3">
      <c r="A2" s="12" t="s">
        <v>1885</v>
      </c>
      <c r="B2" s="12" t="s">
        <v>89</v>
      </c>
      <c r="C2" s="12" t="s">
        <v>361</v>
      </c>
      <c r="D2" s="12" t="s">
        <v>29</v>
      </c>
      <c r="E2" s="12" t="s">
        <v>1886</v>
      </c>
      <c r="F2" s="12" t="s">
        <v>832</v>
      </c>
      <c r="G2" s="12" t="s">
        <v>832</v>
      </c>
      <c r="H2" s="12" t="b">
        <v>0</v>
      </c>
      <c r="I2" s="12" t="b">
        <v>0</v>
      </c>
      <c r="J2" s="12" t="b">
        <v>0</v>
      </c>
      <c r="K2" s="12" t="b">
        <v>0</v>
      </c>
      <c r="L2" s="12">
        <v>623.15</v>
      </c>
      <c r="M2" s="12">
        <v>300.032917</v>
      </c>
      <c r="N2" s="12">
        <v>2750</v>
      </c>
      <c r="O2" s="12">
        <v>400</v>
      </c>
      <c r="P2" s="12">
        <v>0.5</v>
      </c>
      <c r="Q2" s="12">
        <v>0.85</v>
      </c>
      <c r="R2" s="12">
        <v>0.75</v>
      </c>
      <c r="S2" s="12">
        <v>0.85</v>
      </c>
      <c r="T2" s="12">
        <v>0.75</v>
      </c>
      <c r="U2" s="12">
        <v>0.8</v>
      </c>
      <c r="V2" s="12"/>
      <c r="W2" s="12"/>
      <c r="X2" s="12"/>
      <c r="Y2" s="12">
        <v>2350</v>
      </c>
      <c r="Z2" s="12">
        <v>6.875</v>
      </c>
      <c r="AA2" s="12"/>
      <c r="AB2" s="12"/>
    </row>
    <row r="3" spans="1:28" x14ac:dyDescent="0.3">
      <c r="A3" s="12" t="s">
        <v>1887</v>
      </c>
      <c r="B3" s="12" t="s">
        <v>89</v>
      </c>
      <c r="C3" s="12" t="s">
        <v>361</v>
      </c>
      <c r="D3" s="12" t="s">
        <v>29</v>
      </c>
      <c r="E3" s="12" t="s">
        <v>1886</v>
      </c>
      <c r="F3" s="12" t="s">
        <v>832</v>
      </c>
      <c r="G3" s="12" t="s">
        <v>832</v>
      </c>
      <c r="H3" s="12" t="b">
        <v>0</v>
      </c>
      <c r="I3" s="12" t="b">
        <v>0</v>
      </c>
      <c r="J3" s="12" t="b">
        <v>0</v>
      </c>
      <c r="K3" s="12" t="b">
        <v>0</v>
      </c>
      <c r="L3" s="12">
        <v>623.15</v>
      </c>
      <c r="M3" s="12">
        <v>300.032917</v>
      </c>
      <c r="N3" s="12">
        <v>2250</v>
      </c>
      <c r="O3" s="12">
        <v>400</v>
      </c>
      <c r="P3" s="12">
        <v>0.5</v>
      </c>
      <c r="Q3" s="12">
        <v>0.85</v>
      </c>
      <c r="R3" s="12">
        <v>0.75</v>
      </c>
      <c r="S3" s="12">
        <v>0.85</v>
      </c>
      <c r="T3" s="12">
        <v>0.75</v>
      </c>
      <c r="U3" s="12">
        <v>0.8</v>
      </c>
      <c r="V3" s="12"/>
      <c r="W3" s="12"/>
      <c r="X3" s="12"/>
      <c r="Y3" s="12">
        <v>1850</v>
      </c>
      <c r="Z3" s="12">
        <v>5.625</v>
      </c>
      <c r="AA3" s="12"/>
      <c r="AB3" s="12"/>
    </row>
    <row r="4" spans="1:28" x14ac:dyDescent="0.3">
      <c r="A4" s="12" t="s">
        <v>1888</v>
      </c>
      <c r="B4" s="12" t="s">
        <v>89</v>
      </c>
      <c r="C4" s="12" t="s">
        <v>361</v>
      </c>
      <c r="D4" s="12" t="s">
        <v>29</v>
      </c>
      <c r="E4" s="12" t="s">
        <v>1886</v>
      </c>
      <c r="F4" s="12" t="s">
        <v>832</v>
      </c>
      <c r="G4" s="12" t="s">
        <v>832</v>
      </c>
      <c r="H4" s="12" t="b">
        <v>0</v>
      </c>
      <c r="I4" s="12" t="b">
        <v>0</v>
      </c>
      <c r="J4" s="12" t="b">
        <v>0</v>
      </c>
      <c r="K4" s="12" t="b">
        <v>0</v>
      </c>
      <c r="L4" s="12">
        <v>623.15</v>
      </c>
      <c r="M4" s="12">
        <v>300.032917</v>
      </c>
      <c r="N4" s="12">
        <v>2500</v>
      </c>
      <c r="O4" s="12">
        <v>400</v>
      </c>
      <c r="P4" s="12">
        <v>0.5</v>
      </c>
      <c r="Q4" s="12">
        <v>0.85</v>
      </c>
      <c r="R4" s="12">
        <v>0.75</v>
      </c>
      <c r="S4" s="12">
        <v>0.85</v>
      </c>
      <c r="T4" s="12">
        <v>0.75</v>
      </c>
      <c r="U4" s="12">
        <v>0.8</v>
      </c>
      <c r="V4" s="12"/>
      <c r="W4" s="12"/>
      <c r="X4" s="12"/>
      <c r="Y4" s="12">
        <v>2100</v>
      </c>
      <c r="Z4" s="12">
        <v>6.25</v>
      </c>
      <c r="AA4" s="12"/>
      <c r="AB4" s="12"/>
    </row>
    <row r="5" spans="1:28" x14ac:dyDescent="0.3">
      <c r="A5" s="12" t="s">
        <v>1889</v>
      </c>
      <c r="B5" s="12" t="s">
        <v>89</v>
      </c>
      <c r="C5" s="12" t="s">
        <v>365</v>
      </c>
      <c r="D5" s="12" t="s">
        <v>29</v>
      </c>
      <c r="E5" s="12" t="s">
        <v>1886</v>
      </c>
      <c r="F5" s="12" t="s">
        <v>832</v>
      </c>
      <c r="G5" s="12" t="s">
        <v>832</v>
      </c>
      <c r="H5" s="12" t="b">
        <v>0</v>
      </c>
      <c r="I5" s="12" t="b">
        <v>0</v>
      </c>
      <c r="J5" s="12" t="b">
        <v>0</v>
      </c>
      <c r="K5" s="12" t="b">
        <v>0</v>
      </c>
      <c r="L5" s="12">
        <v>623.15</v>
      </c>
      <c r="M5" s="12">
        <v>300.032917</v>
      </c>
      <c r="N5" s="12">
        <v>3000</v>
      </c>
      <c r="O5" s="12">
        <v>400</v>
      </c>
      <c r="P5" s="12">
        <v>0.5</v>
      </c>
      <c r="Q5" s="12">
        <v>0.85</v>
      </c>
      <c r="R5" s="12">
        <v>0.75</v>
      </c>
      <c r="S5" s="12">
        <v>0.85</v>
      </c>
      <c r="T5" s="12">
        <v>0.75</v>
      </c>
      <c r="U5" s="12">
        <v>0.8</v>
      </c>
      <c r="V5" s="12"/>
      <c r="W5" s="12"/>
      <c r="X5" s="12"/>
      <c r="Y5" s="12">
        <v>2600</v>
      </c>
      <c r="Z5" s="12">
        <v>7.5</v>
      </c>
      <c r="AA5" s="12"/>
      <c r="AB5" s="12"/>
    </row>
    <row r="6" spans="1:28" x14ac:dyDescent="0.3">
      <c r="A6" s="12" t="s">
        <v>1890</v>
      </c>
      <c r="B6" s="12" t="s">
        <v>89</v>
      </c>
      <c r="C6" s="12" t="s">
        <v>361</v>
      </c>
      <c r="D6" s="12" t="s">
        <v>29</v>
      </c>
      <c r="E6" s="12" t="s">
        <v>1886</v>
      </c>
      <c r="F6" s="12" t="s">
        <v>832</v>
      </c>
      <c r="G6" s="12" t="s">
        <v>832</v>
      </c>
      <c r="H6" s="12" t="b">
        <v>0</v>
      </c>
      <c r="I6" s="12" t="b">
        <v>0</v>
      </c>
      <c r="J6" s="12" t="b">
        <v>0</v>
      </c>
      <c r="K6" s="12" t="b">
        <v>0</v>
      </c>
      <c r="L6" s="12">
        <v>623.15</v>
      </c>
      <c r="M6" s="12">
        <v>300.032917</v>
      </c>
      <c r="N6" s="12">
        <v>2000</v>
      </c>
      <c r="O6" s="12">
        <v>400</v>
      </c>
      <c r="P6" s="12">
        <v>0.5</v>
      </c>
      <c r="Q6" s="12">
        <v>0.85</v>
      </c>
      <c r="R6" s="12">
        <v>0.75</v>
      </c>
      <c r="S6" s="12">
        <v>0.85</v>
      </c>
      <c r="T6" s="12">
        <v>0.75</v>
      </c>
      <c r="U6" s="12">
        <v>0.8</v>
      </c>
      <c r="V6" s="12"/>
      <c r="W6" s="12"/>
      <c r="X6" s="12"/>
      <c r="Y6" s="12">
        <v>1600</v>
      </c>
      <c r="Z6" s="12">
        <v>5</v>
      </c>
      <c r="AA6" s="12"/>
      <c r="AB6" s="12"/>
    </row>
    <row r="7" spans="1:28" x14ac:dyDescent="0.3">
      <c r="A7" s="12" t="s">
        <v>1891</v>
      </c>
      <c r="B7" s="12" t="s">
        <v>89</v>
      </c>
      <c r="C7" s="12" t="s">
        <v>361</v>
      </c>
      <c r="D7" s="12" t="s">
        <v>29</v>
      </c>
      <c r="E7" s="12" t="s">
        <v>1886</v>
      </c>
      <c r="F7" s="12" t="s">
        <v>832</v>
      </c>
      <c r="G7" s="12" t="s">
        <v>832</v>
      </c>
      <c r="H7" s="12" t="b">
        <v>0</v>
      </c>
      <c r="I7" s="12" t="b">
        <v>0</v>
      </c>
      <c r="J7" s="12" t="b">
        <v>0</v>
      </c>
      <c r="K7" s="12" t="b">
        <v>0</v>
      </c>
      <c r="L7" s="12">
        <v>623.15</v>
      </c>
      <c r="M7" s="12">
        <v>300.032917</v>
      </c>
      <c r="N7" s="12">
        <v>3250</v>
      </c>
      <c r="O7" s="12">
        <v>400</v>
      </c>
      <c r="P7" s="12">
        <v>0.5</v>
      </c>
      <c r="Q7" s="12">
        <v>0.85</v>
      </c>
      <c r="R7" s="12">
        <v>0.75</v>
      </c>
      <c r="S7" s="12">
        <v>0.85</v>
      </c>
      <c r="T7" s="12">
        <v>0.75</v>
      </c>
      <c r="U7" s="12">
        <v>0.8</v>
      </c>
      <c r="V7" s="12"/>
      <c r="W7" s="12"/>
      <c r="X7" s="12"/>
      <c r="Y7" s="12">
        <v>2850</v>
      </c>
      <c r="Z7" s="12">
        <v>8.125</v>
      </c>
      <c r="AA7" s="12"/>
      <c r="AB7" s="12"/>
    </row>
    <row r="8" spans="1:28" x14ac:dyDescent="0.3">
      <c r="A8" s="12" t="s">
        <v>1892</v>
      </c>
      <c r="B8" s="12" t="s">
        <v>89</v>
      </c>
      <c r="C8" s="12" t="s">
        <v>361</v>
      </c>
      <c r="D8" s="12" t="s">
        <v>29</v>
      </c>
      <c r="E8" s="12" t="s">
        <v>1886</v>
      </c>
      <c r="F8" s="12" t="s">
        <v>832</v>
      </c>
      <c r="G8" s="12" t="s">
        <v>832</v>
      </c>
      <c r="H8" s="12" t="b">
        <v>0</v>
      </c>
      <c r="I8" s="12" t="b">
        <v>0</v>
      </c>
      <c r="J8" s="12" t="b">
        <v>0</v>
      </c>
      <c r="K8" s="12" t="b">
        <v>0</v>
      </c>
      <c r="L8" s="12">
        <v>623.15</v>
      </c>
      <c r="M8" s="12">
        <v>300.032917</v>
      </c>
      <c r="N8" s="12">
        <v>3500</v>
      </c>
      <c r="O8" s="12">
        <v>400</v>
      </c>
      <c r="P8" s="12">
        <v>0.5</v>
      </c>
      <c r="Q8" s="12">
        <v>0.85</v>
      </c>
      <c r="R8" s="12">
        <v>0.75</v>
      </c>
      <c r="S8" s="12">
        <v>0.85</v>
      </c>
      <c r="T8" s="12">
        <v>0.75</v>
      </c>
      <c r="U8" s="12">
        <v>0.8</v>
      </c>
      <c r="V8" s="12"/>
      <c r="W8" s="12"/>
      <c r="X8" s="12"/>
      <c r="Y8" s="12">
        <v>3100</v>
      </c>
      <c r="Z8" s="12">
        <v>8.75</v>
      </c>
      <c r="AA8" s="12"/>
      <c r="AB8" s="12"/>
    </row>
    <row r="9" spans="1:28" x14ac:dyDescent="0.3">
      <c r="A9" s="12" t="s">
        <v>1893</v>
      </c>
      <c r="B9" s="12" t="s">
        <v>89</v>
      </c>
      <c r="C9" s="12" t="s">
        <v>361</v>
      </c>
      <c r="D9" s="12" t="s">
        <v>29</v>
      </c>
      <c r="E9" s="12" t="s">
        <v>1886</v>
      </c>
      <c r="F9" s="12" t="s">
        <v>832</v>
      </c>
      <c r="G9" s="12" t="s">
        <v>832</v>
      </c>
      <c r="H9" s="12" t="b">
        <v>0</v>
      </c>
      <c r="I9" s="12" t="b">
        <v>0</v>
      </c>
      <c r="J9" s="12" t="b">
        <v>0</v>
      </c>
      <c r="K9" s="12" t="b">
        <v>0</v>
      </c>
      <c r="L9" s="12">
        <v>623.15</v>
      </c>
      <c r="M9" s="12">
        <v>300.032917</v>
      </c>
      <c r="N9" s="12">
        <v>3000</v>
      </c>
      <c r="O9" s="12">
        <v>400</v>
      </c>
      <c r="P9" s="12">
        <v>0.5</v>
      </c>
      <c r="Q9" s="12">
        <v>0.85</v>
      </c>
      <c r="R9" s="12">
        <v>0.75</v>
      </c>
      <c r="S9" s="12">
        <v>0.85</v>
      </c>
      <c r="T9" s="12">
        <v>0.75</v>
      </c>
      <c r="U9" s="12">
        <v>0.8</v>
      </c>
      <c r="V9" s="12"/>
      <c r="W9" s="12"/>
      <c r="X9" s="12"/>
      <c r="Y9" s="12">
        <v>2600</v>
      </c>
      <c r="Z9" s="12">
        <v>7.5</v>
      </c>
      <c r="AA9" s="12"/>
      <c r="AB9" s="12"/>
    </row>
    <row r="10" spans="1:28" x14ac:dyDescent="0.3">
      <c r="A10" s="12" t="s">
        <v>1894</v>
      </c>
      <c r="B10" s="12" t="s">
        <v>89</v>
      </c>
      <c r="C10" s="12" t="s">
        <v>361</v>
      </c>
      <c r="D10" s="12" t="s">
        <v>29</v>
      </c>
      <c r="E10" s="12" t="s">
        <v>1886</v>
      </c>
      <c r="F10" s="12" t="s">
        <v>832</v>
      </c>
      <c r="G10" s="12" t="s">
        <v>832</v>
      </c>
      <c r="H10" s="12" t="b">
        <v>0</v>
      </c>
      <c r="I10" s="12" t="b">
        <v>0</v>
      </c>
      <c r="J10" s="12" t="b">
        <v>0</v>
      </c>
      <c r="K10" s="12" t="b">
        <v>0</v>
      </c>
      <c r="L10" s="12">
        <v>623.15</v>
      </c>
      <c r="M10" s="12">
        <v>300.032917</v>
      </c>
      <c r="N10" s="12">
        <v>3750</v>
      </c>
      <c r="O10" s="12">
        <v>400</v>
      </c>
      <c r="P10" s="12">
        <v>0.5</v>
      </c>
      <c r="Q10" s="12">
        <v>0.85</v>
      </c>
      <c r="R10" s="12">
        <v>0.75</v>
      </c>
      <c r="S10" s="12">
        <v>0.85</v>
      </c>
      <c r="T10" s="12">
        <v>0.75</v>
      </c>
      <c r="U10" s="12">
        <v>0.8</v>
      </c>
      <c r="V10" s="12"/>
      <c r="W10" s="12"/>
      <c r="X10" s="12"/>
      <c r="Y10" s="12">
        <v>3350</v>
      </c>
      <c r="Z10" s="12">
        <v>9.375</v>
      </c>
      <c r="AA10" s="12"/>
      <c r="AB10" s="12"/>
    </row>
    <row r="11" spans="1:28" x14ac:dyDescent="0.3">
      <c r="A11" s="12" t="s">
        <v>1895</v>
      </c>
      <c r="B11" s="12" t="s">
        <v>89</v>
      </c>
      <c r="C11" s="12" t="s">
        <v>367</v>
      </c>
      <c r="D11" s="12" t="s">
        <v>29</v>
      </c>
      <c r="E11" s="12" t="s">
        <v>1886</v>
      </c>
      <c r="F11" s="12" t="s">
        <v>832</v>
      </c>
      <c r="G11" s="12" t="s">
        <v>832</v>
      </c>
      <c r="H11" s="12" t="b">
        <v>0</v>
      </c>
      <c r="I11" s="12" t="b">
        <v>0</v>
      </c>
      <c r="J11" s="12" t="b">
        <v>0</v>
      </c>
      <c r="K11" s="12" t="b">
        <v>0</v>
      </c>
      <c r="L11" s="12">
        <v>623.15</v>
      </c>
      <c r="M11" s="12">
        <v>300.032917</v>
      </c>
      <c r="N11" s="12">
        <v>3000</v>
      </c>
      <c r="O11" s="12">
        <v>400</v>
      </c>
      <c r="P11" s="12">
        <v>0.4</v>
      </c>
      <c r="Q11" s="12">
        <v>0.85</v>
      </c>
      <c r="R11" s="12">
        <v>0.75</v>
      </c>
      <c r="S11" s="12">
        <v>0.85</v>
      </c>
      <c r="T11" s="12">
        <v>0.75</v>
      </c>
      <c r="U11" s="12">
        <v>0.8</v>
      </c>
      <c r="V11" s="12"/>
      <c r="W11" s="12"/>
      <c r="X11" s="12"/>
      <c r="Y11" s="12">
        <v>2600</v>
      </c>
      <c r="Z11" s="12">
        <v>7.5</v>
      </c>
      <c r="AA11" s="12"/>
      <c r="AB11" s="12"/>
    </row>
    <row r="12" spans="1:28" x14ac:dyDescent="0.3">
      <c r="A12" s="12" t="s">
        <v>1896</v>
      </c>
      <c r="B12" s="12" t="s">
        <v>89</v>
      </c>
      <c r="C12" s="12" t="s">
        <v>361</v>
      </c>
      <c r="D12" s="12" t="s">
        <v>29</v>
      </c>
      <c r="E12" s="12" t="s">
        <v>1886</v>
      </c>
      <c r="F12" s="12" t="s">
        <v>832</v>
      </c>
      <c r="G12" s="12" t="s">
        <v>832</v>
      </c>
      <c r="H12" s="12" t="b">
        <v>0</v>
      </c>
      <c r="I12" s="12" t="b">
        <v>0</v>
      </c>
      <c r="J12" s="12" t="b">
        <v>0</v>
      </c>
      <c r="K12" s="12" t="b">
        <v>0</v>
      </c>
      <c r="L12" s="12">
        <v>623.15</v>
      </c>
      <c r="M12" s="12">
        <v>300.032917</v>
      </c>
      <c r="N12" s="12">
        <v>4000</v>
      </c>
      <c r="O12" s="12">
        <v>400</v>
      </c>
      <c r="P12" s="12">
        <v>0.5</v>
      </c>
      <c r="Q12" s="12">
        <v>0.85</v>
      </c>
      <c r="R12" s="12">
        <v>0.75</v>
      </c>
      <c r="S12" s="12">
        <v>0.85</v>
      </c>
      <c r="T12" s="12">
        <v>0.75</v>
      </c>
      <c r="U12" s="12">
        <v>0.8</v>
      </c>
      <c r="V12" s="12"/>
      <c r="W12" s="12"/>
      <c r="X12" s="12"/>
      <c r="Y12" s="12">
        <v>3600</v>
      </c>
      <c r="Z12" s="12">
        <v>10</v>
      </c>
      <c r="AA12" s="12"/>
      <c r="AB12" s="12"/>
    </row>
    <row r="13" spans="1:28" x14ac:dyDescent="0.3">
      <c r="A13" s="12" t="s">
        <v>1897</v>
      </c>
      <c r="B13" s="12" t="s">
        <v>89</v>
      </c>
      <c r="C13" s="12" t="s">
        <v>367</v>
      </c>
      <c r="D13" s="12" t="s">
        <v>29</v>
      </c>
      <c r="E13" s="12" t="s">
        <v>1886</v>
      </c>
      <c r="F13" s="12" t="s">
        <v>832</v>
      </c>
      <c r="G13" s="12" t="s">
        <v>832</v>
      </c>
      <c r="H13" s="12" t="b">
        <v>0</v>
      </c>
      <c r="I13" s="12" t="b">
        <v>0</v>
      </c>
      <c r="J13" s="12" t="b">
        <v>0</v>
      </c>
      <c r="K13" s="12" t="b">
        <v>0</v>
      </c>
      <c r="L13" s="12">
        <v>623.15</v>
      </c>
      <c r="M13" s="12">
        <v>300.032917</v>
      </c>
      <c r="N13" s="12">
        <v>3000</v>
      </c>
      <c r="O13" s="12">
        <v>400</v>
      </c>
      <c r="P13" s="12">
        <v>0.45</v>
      </c>
      <c r="Q13" s="12">
        <v>0.85</v>
      </c>
      <c r="R13" s="12">
        <v>0.75</v>
      </c>
      <c r="S13" s="12">
        <v>0.85</v>
      </c>
      <c r="T13" s="12">
        <v>0.75</v>
      </c>
      <c r="U13" s="12">
        <v>0.8</v>
      </c>
      <c r="V13" s="12"/>
      <c r="W13" s="12"/>
      <c r="X13" s="12"/>
      <c r="Y13" s="12">
        <v>2600</v>
      </c>
      <c r="Z13" s="12">
        <v>7.5</v>
      </c>
      <c r="AA13" s="12"/>
      <c r="AB13" s="12"/>
    </row>
    <row r="14" spans="1:28" x14ac:dyDescent="0.3">
      <c r="A14" s="12" t="s">
        <v>1898</v>
      </c>
      <c r="B14" s="12" t="s">
        <v>89</v>
      </c>
      <c r="C14" s="12" t="s">
        <v>367</v>
      </c>
      <c r="D14" s="12" t="s">
        <v>29</v>
      </c>
      <c r="E14" s="12" t="s">
        <v>1886</v>
      </c>
      <c r="F14" s="12" t="s">
        <v>832</v>
      </c>
      <c r="G14" s="12" t="s">
        <v>832</v>
      </c>
      <c r="H14" s="12" t="b">
        <v>0</v>
      </c>
      <c r="I14" s="12" t="b">
        <v>0</v>
      </c>
      <c r="J14" s="12" t="b">
        <v>0</v>
      </c>
      <c r="K14" s="12" t="b">
        <v>0</v>
      </c>
      <c r="L14" s="12">
        <v>623.15</v>
      </c>
      <c r="M14" s="12">
        <v>300.032917</v>
      </c>
      <c r="N14" s="12">
        <v>3000</v>
      </c>
      <c r="O14" s="12">
        <v>400</v>
      </c>
      <c r="P14" s="12">
        <v>0.5</v>
      </c>
      <c r="Q14" s="12">
        <v>0.85</v>
      </c>
      <c r="R14" s="12">
        <v>0.75</v>
      </c>
      <c r="S14" s="12">
        <v>0.85</v>
      </c>
      <c r="T14" s="12">
        <v>0.75</v>
      </c>
      <c r="U14" s="12">
        <v>0.8</v>
      </c>
      <c r="V14" s="12"/>
      <c r="W14" s="12"/>
      <c r="X14" s="12"/>
      <c r="Y14" s="12">
        <v>2600</v>
      </c>
      <c r="Z14" s="12">
        <v>7.5</v>
      </c>
      <c r="AA14" s="12"/>
      <c r="AB14" s="12"/>
    </row>
    <row r="15" spans="1:28" x14ac:dyDescent="0.3">
      <c r="A15" s="12" t="s">
        <v>1899</v>
      </c>
      <c r="B15" s="12" t="s">
        <v>89</v>
      </c>
      <c r="C15" s="12" t="s">
        <v>367</v>
      </c>
      <c r="D15" s="12" t="s">
        <v>29</v>
      </c>
      <c r="E15" s="12" t="s">
        <v>1886</v>
      </c>
      <c r="F15" s="12" t="s">
        <v>832</v>
      </c>
      <c r="G15" s="12" t="s">
        <v>832</v>
      </c>
      <c r="H15" s="12" t="b">
        <v>0</v>
      </c>
      <c r="I15" s="12" t="b">
        <v>0</v>
      </c>
      <c r="J15" s="12" t="b">
        <v>0</v>
      </c>
      <c r="K15" s="12" t="b">
        <v>0</v>
      </c>
      <c r="L15" s="12">
        <v>623.15</v>
      </c>
      <c r="M15" s="12">
        <v>300.032917</v>
      </c>
      <c r="N15" s="12">
        <v>3000</v>
      </c>
      <c r="O15" s="12">
        <v>400</v>
      </c>
      <c r="P15" s="12">
        <v>0.55000000000000004</v>
      </c>
      <c r="Q15" s="12">
        <v>0.85</v>
      </c>
      <c r="R15" s="12">
        <v>0.75</v>
      </c>
      <c r="S15" s="12">
        <v>0.85</v>
      </c>
      <c r="T15" s="12">
        <v>0.75</v>
      </c>
      <c r="U15" s="12">
        <v>0.8</v>
      </c>
      <c r="V15" s="12"/>
      <c r="W15" s="12"/>
      <c r="X15" s="12"/>
      <c r="Y15" s="12">
        <v>2600</v>
      </c>
      <c r="Z15" s="12">
        <v>7.5</v>
      </c>
      <c r="AA15" s="12"/>
      <c r="AB15" s="12"/>
    </row>
    <row r="16" spans="1:28" x14ac:dyDescent="0.3">
      <c r="A16" s="12" t="s">
        <v>1900</v>
      </c>
      <c r="B16" s="12" t="s">
        <v>89</v>
      </c>
      <c r="C16" s="12" t="s">
        <v>367</v>
      </c>
      <c r="D16" s="12" t="s">
        <v>29</v>
      </c>
      <c r="E16" s="12" t="s">
        <v>1886</v>
      </c>
      <c r="F16" s="12" t="s">
        <v>832</v>
      </c>
      <c r="G16" s="12" t="s">
        <v>832</v>
      </c>
      <c r="H16" s="12" t="b">
        <v>0</v>
      </c>
      <c r="I16" s="12" t="b">
        <v>0</v>
      </c>
      <c r="J16" s="12" t="b">
        <v>0</v>
      </c>
      <c r="K16" s="12" t="b">
        <v>0</v>
      </c>
      <c r="L16" s="12">
        <v>623.15</v>
      </c>
      <c r="M16" s="12">
        <v>300.032917</v>
      </c>
      <c r="N16" s="12">
        <v>3000</v>
      </c>
      <c r="O16" s="12">
        <v>400</v>
      </c>
      <c r="P16" s="12">
        <v>0.6</v>
      </c>
      <c r="Q16" s="12">
        <v>0.85</v>
      </c>
      <c r="R16" s="12">
        <v>0.75</v>
      </c>
      <c r="S16" s="12">
        <v>0.85</v>
      </c>
      <c r="T16" s="12">
        <v>0.75</v>
      </c>
      <c r="U16" s="12">
        <v>0.8</v>
      </c>
      <c r="V16" s="12"/>
      <c r="W16" s="12"/>
      <c r="X16" s="12"/>
      <c r="Y16" s="12">
        <v>2600</v>
      </c>
      <c r="Z16" s="12">
        <v>7.5</v>
      </c>
      <c r="AA16" s="12"/>
      <c r="AB16" s="12"/>
    </row>
    <row r="17" spans="1:28" x14ac:dyDescent="0.3">
      <c r="A17" s="12" t="s">
        <v>1901</v>
      </c>
      <c r="B17" s="12" t="s">
        <v>89</v>
      </c>
      <c r="C17" s="12" t="s">
        <v>367</v>
      </c>
      <c r="D17" s="12" t="s">
        <v>29</v>
      </c>
      <c r="E17" s="12" t="s">
        <v>1886</v>
      </c>
      <c r="F17" s="12" t="s">
        <v>832</v>
      </c>
      <c r="G17" s="12" t="s">
        <v>832</v>
      </c>
      <c r="H17" s="12" t="b">
        <v>0</v>
      </c>
      <c r="I17" s="12" t="b">
        <v>0</v>
      </c>
      <c r="J17" s="12" t="b">
        <v>0</v>
      </c>
      <c r="K17" s="12" t="b">
        <v>0</v>
      </c>
      <c r="L17" s="12">
        <v>623.15</v>
      </c>
      <c r="M17" s="12">
        <v>300.032917</v>
      </c>
      <c r="N17" s="12">
        <v>3000</v>
      </c>
      <c r="O17" s="12">
        <v>400</v>
      </c>
      <c r="P17" s="12">
        <v>0.65</v>
      </c>
      <c r="Q17" s="12">
        <v>0.85</v>
      </c>
      <c r="R17" s="12">
        <v>0.75</v>
      </c>
      <c r="S17" s="12">
        <v>0.85</v>
      </c>
      <c r="T17" s="12">
        <v>0.75</v>
      </c>
      <c r="U17" s="12">
        <v>0.8</v>
      </c>
      <c r="V17" s="12"/>
      <c r="W17" s="12"/>
      <c r="X17" s="12"/>
      <c r="Y17" s="12">
        <v>2600</v>
      </c>
      <c r="Z17" s="12">
        <v>7.5</v>
      </c>
      <c r="AA17" s="12"/>
      <c r="AB17" s="12"/>
    </row>
    <row r="18" spans="1:28" x14ac:dyDescent="0.3">
      <c r="A18" s="12" t="s">
        <v>1902</v>
      </c>
      <c r="B18" s="12" t="s">
        <v>89</v>
      </c>
      <c r="C18" s="12" t="s">
        <v>367</v>
      </c>
      <c r="D18" s="12" t="s">
        <v>29</v>
      </c>
      <c r="E18" s="12" t="s">
        <v>1886</v>
      </c>
      <c r="F18" s="12" t="s">
        <v>832</v>
      </c>
      <c r="G18" s="12" t="s">
        <v>832</v>
      </c>
      <c r="H18" s="12" t="b">
        <v>0</v>
      </c>
      <c r="I18" s="12" t="b">
        <v>0</v>
      </c>
      <c r="J18" s="12" t="b">
        <v>0</v>
      </c>
      <c r="K18" s="12" t="b">
        <v>0</v>
      </c>
      <c r="L18" s="12">
        <v>623.15</v>
      </c>
      <c r="M18" s="12">
        <v>300.032917</v>
      </c>
      <c r="N18" s="12">
        <v>3000</v>
      </c>
      <c r="O18" s="12">
        <v>400</v>
      </c>
      <c r="P18" s="12">
        <v>0.7</v>
      </c>
      <c r="Q18" s="12">
        <v>0.85</v>
      </c>
      <c r="R18" s="12">
        <v>0.75</v>
      </c>
      <c r="S18" s="12">
        <v>0.85</v>
      </c>
      <c r="T18" s="12">
        <v>0.75</v>
      </c>
      <c r="U18" s="12">
        <v>0.8</v>
      </c>
      <c r="V18" s="12"/>
      <c r="W18" s="12"/>
      <c r="X18" s="12"/>
      <c r="Y18" s="12">
        <v>2600</v>
      </c>
      <c r="Z18" s="12">
        <v>7.5</v>
      </c>
      <c r="AA18" s="12"/>
      <c r="AB18" s="12"/>
    </row>
    <row r="19" spans="1:28" x14ac:dyDescent="0.3">
      <c r="A19" s="12" t="s">
        <v>1903</v>
      </c>
      <c r="B19" s="12" t="s">
        <v>89</v>
      </c>
      <c r="C19" s="12" t="s">
        <v>365</v>
      </c>
      <c r="D19" s="12" t="s">
        <v>29</v>
      </c>
      <c r="E19" s="12" t="s">
        <v>1886</v>
      </c>
      <c r="F19" s="12" t="s">
        <v>832</v>
      </c>
      <c r="G19" s="12" t="s">
        <v>832</v>
      </c>
      <c r="H19" s="12" t="b">
        <v>0</v>
      </c>
      <c r="I19" s="12" t="b">
        <v>0</v>
      </c>
      <c r="J19" s="12" t="b">
        <v>0</v>
      </c>
      <c r="K19" s="12" t="b">
        <v>0</v>
      </c>
      <c r="L19" s="12">
        <v>623.15</v>
      </c>
      <c r="M19" s="12">
        <v>300.032917</v>
      </c>
      <c r="N19" s="12">
        <v>3000</v>
      </c>
      <c r="O19" s="12">
        <v>400</v>
      </c>
      <c r="P19" s="12">
        <v>0.5</v>
      </c>
      <c r="Q19" s="12">
        <v>0.85</v>
      </c>
      <c r="R19" s="12">
        <v>0.75</v>
      </c>
      <c r="S19" s="12">
        <v>0.85</v>
      </c>
      <c r="T19" s="12">
        <v>0.75</v>
      </c>
      <c r="U19" s="12">
        <v>0.8</v>
      </c>
      <c r="V19" s="12"/>
      <c r="W19" s="12"/>
      <c r="X19" s="12"/>
      <c r="Y19" s="12">
        <v>2600</v>
      </c>
      <c r="Z19" s="12">
        <v>7.5</v>
      </c>
      <c r="AA19" s="12"/>
      <c r="AB19" s="12"/>
    </row>
    <row r="20" spans="1:28" x14ac:dyDescent="0.3">
      <c r="A20" s="12" t="s">
        <v>1904</v>
      </c>
      <c r="B20" s="12" t="s">
        <v>89</v>
      </c>
      <c r="C20" s="12" t="s">
        <v>369</v>
      </c>
      <c r="D20" s="12" t="s">
        <v>29</v>
      </c>
      <c r="E20" s="12" t="s">
        <v>1886</v>
      </c>
      <c r="F20" s="12" t="s">
        <v>832</v>
      </c>
      <c r="G20" s="12" t="s">
        <v>832</v>
      </c>
      <c r="H20" s="12" t="b">
        <v>0</v>
      </c>
      <c r="I20" s="12" t="b">
        <v>0</v>
      </c>
      <c r="J20" s="12" t="b">
        <v>0</v>
      </c>
      <c r="K20" s="12" t="b">
        <v>0</v>
      </c>
      <c r="L20" s="12">
        <v>623.15</v>
      </c>
      <c r="M20" s="12">
        <v>299.39999999999998</v>
      </c>
      <c r="N20" s="12">
        <v>3000</v>
      </c>
      <c r="O20" s="12">
        <v>400</v>
      </c>
      <c r="P20" s="12">
        <v>0.5</v>
      </c>
      <c r="Q20" s="12">
        <v>0.85</v>
      </c>
      <c r="R20" s="12">
        <v>0.75</v>
      </c>
      <c r="S20" s="12">
        <v>0.85</v>
      </c>
      <c r="T20" s="12">
        <v>0.75</v>
      </c>
      <c r="U20" s="12">
        <v>0.8</v>
      </c>
      <c r="V20" s="12"/>
      <c r="W20" s="12"/>
      <c r="X20" s="12"/>
      <c r="Y20" s="12">
        <v>2600</v>
      </c>
      <c r="Z20" s="12">
        <v>7.5</v>
      </c>
      <c r="AA20" s="12"/>
      <c r="AB20" s="12"/>
    </row>
    <row r="21" spans="1:28" x14ac:dyDescent="0.3">
      <c r="A21" s="12" t="s">
        <v>1905</v>
      </c>
      <c r="B21" s="12" t="s">
        <v>89</v>
      </c>
      <c r="C21" s="12" t="s">
        <v>369</v>
      </c>
      <c r="D21" s="12" t="s">
        <v>29</v>
      </c>
      <c r="E21" s="12" t="s">
        <v>1886</v>
      </c>
      <c r="F21" s="12" t="s">
        <v>832</v>
      </c>
      <c r="G21" s="12" t="s">
        <v>832</v>
      </c>
      <c r="H21" s="12" t="b">
        <v>0</v>
      </c>
      <c r="I21" s="12" t="b">
        <v>0</v>
      </c>
      <c r="J21" s="12" t="b">
        <v>0</v>
      </c>
      <c r="K21" s="12" t="b">
        <v>0</v>
      </c>
      <c r="L21" s="12">
        <v>623.15</v>
      </c>
      <c r="M21" s="12">
        <v>299.2</v>
      </c>
      <c r="N21" s="12">
        <v>3000</v>
      </c>
      <c r="O21" s="12">
        <v>400</v>
      </c>
      <c r="P21" s="12">
        <v>0.5</v>
      </c>
      <c r="Q21" s="12">
        <v>0.85</v>
      </c>
      <c r="R21" s="12">
        <v>0.75</v>
      </c>
      <c r="S21" s="12">
        <v>0.85</v>
      </c>
      <c r="T21" s="12">
        <v>0.75</v>
      </c>
      <c r="U21" s="12">
        <v>0.8</v>
      </c>
      <c r="V21" s="12"/>
      <c r="W21" s="12"/>
      <c r="X21" s="12"/>
      <c r="Y21" s="12">
        <v>2600</v>
      </c>
      <c r="Z21" s="12">
        <v>7.5</v>
      </c>
      <c r="AA21" s="12"/>
      <c r="AB21" s="12"/>
    </row>
    <row r="22" spans="1:28" x14ac:dyDescent="0.3">
      <c r="A22" s="12" t="s">
        <v>1906</v>
      </c>
      <c r="B22" s="12" t="s">
        <v>89</v>
      </c>
      <c r="C22" s="12" t="s">
        <v>369</v>
      </c>
      <c r="D22" s="12" t="s">
        <v>29</v>
      </c>
      <c r="E22" s="12" t="s">
        <v>1886</v>
      </c>
      <c r="F22" s="12" t="s">
        <v>832</v>
      </c>
      <c r="G22" s="12" t="s">
        <v>832</v>
      </c>
      <c r="H22" s="12" t="b">
        <v>0</v>
      </c>
      <c r="I22" s="12" t="b">
        <v>0</v>
      </c>
      <c r="J22" s="12" t="b">
        <v>0</v>
      </c>
      <c r="K22" s="12" t="b">
        <v>0</v>
      </c>
      <c r="L22" s="12">
        <v>623.15</v>
      </c>
      <c r="M22" s="12">
        <v>299.10000000000002</v>
      </c>
      <c r="N22" s="12">
        <v>3000</v>
      </c>
      <c r="O22" s="12">
        <v>400</v>
      </c>
      <c r="P22" s="12">
        <v>0.5</v>
      </c>
      <c r="Q22" s="12">
        <v>0.85</v>
      </c>
      <c r="R22" s="12">
        <v>0.75</v>
      </c>
      <c r="S22" s="12">
        <v>0.85</v>
      </c>
      <c r="T22" s="12">
        <v>0.75</v>
      </c>
      <c r="U22" s="12">
        <v>0.8</v>
      </c>
      <c r="V22" s="12"/>
      <c r="W22" s="12"/>
      <c r="X22" s="12"/>
      <c r="Y22" s="12">
        <v>2600</v>
      </c>
      <c r="Z22" s="12">
        <v>7.5</v>
      </c>
      <c r="AA22" s="12"/>
      <c r="AB22" s="12"/>
    </row>
    <row r="23" spans="1:28" x14ac:dyDescent="0.3">
      <c r="A23" s="12" t="s">
        <v>1907</v>
      </c>
      <c r="B23" s="12" t="s">
        <v>89</v>
      </c>
      <c r="C23" s="12" t="s">
        <v>369</v>
      </c>
      <c r="D23" s="12" t="s">
        <v>29</v>
      </c>
      <c r="E23" s="12" t="s">
        <v>1886</v>
      </c>
      <c r="F23" s="12" t="s">
        <v>832</v>
      </c>
      <c r="G23" s="12" t="s">
        <v>832</v>
      </c>
      <c r="H23" s="12" t="b">
        <v>0</v>
      </c>
      <c r="I23" s="12" t="b">
        <v>0</v>
      </c>
      <c r="J23" s="12" t="b">
        <v>0</v>
      </c>
      <c r="K23" s="12" t="b">
        <v>0</v>
      </c>
      <c r="L23" s="12">
        <v>623.15</v>
      </c>
      <c r="M23" s="12">
        <v>298.95</v>
      </c>
      <c r="N23" s="12">
        <v>3000</v>
      </c>
      <c r="O23" s="12">
        <v>400</v>
      </c>
      <c r="P23" s="12">
        <v>0.5</v>
      </c>
      <c r="Q23" s="12">
        <v>0.85</v>
      </c>
      <c r="R23" s="12">
        <v>0.75</v>
      </c>
      <c r="S23" s="12">
        <v>0.85</v>
      </c>
      <c r="T23" s="12">
        <v>0.75</v>
      </c>
      <c r="U23" s="12">
        <v>0.8</v>
      </c>
      <c r="V23" s="12"/>
      <c r="W23" s="12"/>
      <c r="X23" s="12"/>
      <c r="Y23" s="12">
        <v>2600</v>
      </c>
      <c r="Z23" s="12">
        <v>7.5</v>
      </c>
      <c r="AA23" s="12"/>
      <c r="AB23" s="12"/>
    </row>
    <row r="24" spans="1:28" x14ac:dyDescent="0.3">
      <c r="A24" s="12" t="s">
        <v>1908</v>
      </c>
      <c r="B24" s="12" t="s">
        <v>89</v>
      </c>
      <c r="C24" s="12" t="s">
        <v>369</v>
      </c>
      <c r="D24" s="12" t="s">
        <v>29</v>
      </c>
      <c r="E24" s="12" t="s">
        <v>1886</v>
      </c>
      <c r="F24" s="12" t="s">
        <v>832</v>
      </c>
      <c r="G24" s="12" t="s">
        <v>832</v>
      </c>
      <c r="H24" s="12" t="b">
        <v>0</v>
      </c>
      <c r="I24" s="12" t="b">
        <v>0</v>
      </c>
      <c r="J24" s="12" t="b">
        <v>0</v>
      </c>
      <c r="K24" s="12" t="b">
        <v>0</v>
      </c>
      <c r="L24" s="12">
        <v>623.15</v>
      </c>
      <c r="M24" s="12">
        <v>298.89999999999998</v>
      </c>
      <c r="N24" s="12">
        <v>3000</v>
      </c>
      <c r="O24" s="12">
        <v>400</v>
      </c>
      <c r="P24" s="12">
        <v>0.5</v>
      </c>
      <c r="Q24" s="12">
        <v>0.85</v>
      </c>
      <c r="R24" s="12">
        <v>0.75</v>
      </c>
      <c r="S24" s="12">
        <v>0.85</v>
      </c>
      <c r="T24" s="12">
        <v>0.75</v>
      </c>
      <c r="U24" s="12">
        <v>0.8</v>
      </c>
      <c r="V24" s="12"/>
      <c r="W24" s="12"/>
      <c r="X24" s="12"/>
      <c r="Y24" s="12">
        <v>2600</v>
      </c>
      <c r="Z24" s="12">
        <v>7.5</v>
      </c>
      <c r="AA24" s="12"/>
      <c r="AB24" s="12"/>
    </row>
    <row r="25" spans="1:28" x14ac:dyDescent="0.3">
      <c r="A25" s="12" t="s">
        <v>1909</v>
      </c>
      <c r="B25" s="12" t="s">
        <v>89</v>
      </c>
      <c r="C25" s="12" t="s">
        <v>369</v>
      </c>
      <c r="D25" s="12" t="s">
        <v>29</v>
      </c>
      <c r="E25" s="12" t="s">
        <v>1886</v>
      </c>
      <c r="F25" s="12" t="s">
        <v>832</v>
      </c>
      <c r="G25" s="12" t="s">
        <v>832</v>
      </c>
      <c r="H25" s="12" t="b">
        <v>0</v>
      </c>
      <c r="I25" s="12" t="b">
        <v>0</v>
      </c>
      <c r="J25" s="12" t="b">
        <v>0</v>
      </c>
      <c r="K25" s="12" t="b">
        <v>0</v>
      </c>
      <c r="L25" s="12">
        <v>623.15</v>
      </c>
      <c r="M25" s="12">
        <v>298.7</v>
      </c>
      <c r="N25" s="12">
        <v>3000</v>
      </c>
      <c r="O25" s="12">
        <v>400</v>
      </c>
      <c r="P25" s="12">
        <v>0.5</v>
      </c>
      <c r="Q25" s="12">
        <v>0.85</v>
      </c>
      <c r="R25" s="12">
        <v>0.75</v>
      </c>
      <c r="S25" s="12">
        <v>0.85</v>
      </c>
      <c r="T25" s="12">
        <v>0.75</v>
      </c>
      <c r="U25" s="12">
        <v>0.8</v>
      </c>
      <c r="V25" s="12"/>
      <c r="W25" s="12"/>
      <c r="X25" s="12"/>
      <c r="Y25" s="12">
        <v>2600</v>
      </c>
      <c r="Z25" s="12">
        <v>7.5</v>
      </c>
      <c r="AA25" s="12"/>
      <c r="AB25" s="12"/>
    </row>
    <row r="26" spans="1:28" x14ac:dyDescent="0.3">
      <c r="A26" s="12" t="s">
        <v>1910</v>
      </c>
      <c r="B26" s="12" t="s">
        <v>89</v>
      </c>
      <c r="C26" s="12" t="s">
        <v>369</v>
      </c>
      <c r="D26" s="12" t="s">
        <v>29</v>
      </c>
      <c r="E26" s="12" t="s">
        <v>1886</v>
      </c>
      <c r="F26" s="12" t="s">
        <v>832</v>
      </c>
      <c r="G26" s="12" t="s">
        <v>832</v>
      </c>
      <c r="H26" s="12" t="b">
        <v>0</v>
      </c>
      <c r="I26" s="12" t="b">
        <v>0</v>
      </c>
      <c r="J26" s="12" t="b">
        <v>0</v>
      </c>
      <c r="K26" s="12" t="b">
        <v>0</v>
      </c>
      <c r="L26" s="12">
        <v>623.15</v>
      </c>
      <c r="M26" s="12">
        <v>298.5</v>
      </c>
      <c r="N26" s="12">
        <v>3000</v>
      </c>
      <c r="O26" s="12">
        <v>400</v>
      </c>
      <c r="P26" s="12">
        <v>0.5</v>
      </c>
      <c r="Q26" s="12">
        <v>0.85</v>
      </c>
      <c r="R26" s="12">
        <v>0.75</v>
      </c>
      <c r="S26" s="12">
        <v>0.85</v>
      </c>
      <c r="T26" s="12">
        <v>0.75</v>
      </c>
      <c r="U26" s="12">
        <v>0.8</v>
      </c>
      <c r="V26" s="12"/>
      <c r="W26" s="12"/>
      <c r="X26" s="12"/>
      <c r="Y26" s="12">
        <v>2600</v>
      </c>
      <c r="Z26" s="12">
        <v>7.5</v>
      </c>
      <c r="AA26" s="12"/>
      <c r="AB26" s="12"/>
    </row>
    <row r="27" spans="1:28" x14ac:dyDescent="0.3">
      <c r="A27" s="12" t="s">
        <v>1911</v>
      </c>
      <c r="B27" s="12" t="s">
        <v>89</v>
      </c>
      <c r="C27" s="12" t="s">
        <v>369</v>
      </c>
      <c r="D27" s="12" t="s">
        <v>29</v>
      </c>
      <c r="E27" s="12" t="s">
        <v>1886</v>
      </c>
      <c r="F27" s="12" t="s">
        <v>832</v>
      </c>
      <c r="G27" s="12" t="s">
        <v>832</v>
      </c>
      <c r="H27" s="12" t="b">
        <v>0</v>
      </c>
      <c r="I27" s="12" t="b">
        <v>0</v>
      </c>
      <c r="J27" s="12" t="b">
        <v>0</v>
      </c>
      <c r="K27" s="12" t="b">
        <v>0</v>
      </c>
      <c r="L27" s="12">
        <v>623.15</v>
      </c>
      <c r="M27" s="12">
        <v>298.3</v>
      </c>
      <c r="N27" s="12">
        <v>3000</v>
      </c>
      <c r="O27" s="12">
        <v>400</v>
      </c>
      <c r="P27" s="12">
        <v>0.5</v>
      </c>
      <c r="Q27" s="12">
        <v>0.85</v>
      </c>
      <c r="R27" s="12">
        <v>0.75</v>
      </c>
      <c r="S27" s="12">
        <v>0.85</v>
      </c>
      <c r="T27" s="12">
        <v>0.75</v>
      </c>
      <c r="U27" s="12">
        <v>0.8</v>
      </c>
      <c r="V27" s="12"/>
      <c r="W27" s="12"/>
      <c r="X27" s="12"/>
      <c r="Y27" s="12">
        <v>2600</v>
      </c>
      <c r="Z27" s="12">
        <v>7.5</v>
      </c>
      <c r="AA27" s="12"/>
      <c r="AB27" s="12"/>
    </row>
    <row r="28" spans="1:28" x14ac:dyDescent="0.3">
      <c r="A28" s="12" t="s">
        <v>1912</v>
      </c>
      <c r="B28" s="12" t="s">
        <v>89</v>
      </c>
      <c r="C28" s="12" t="s">
        <v>369</v>
      </c>
      <c r="D28" s="12" t="s">
        <v>29</v>
      </c>
      <c r="E28" s="12" t="s">
        <v>1886</v>
      </c>
      <c r="F28" s="12" t="s">
        <v>832</v>
      </c>
      <c r="G28" s="12" t="s">
        <v>832</v>
      </c>
      <c r="H28" s="12" t="b">
        <v>0</v>
      </c>
      <c r="I28" s="12" t="b">
        <v>0</v>
      </c>
      <c r="J28" s="12" t="b">
        <v>0</v>
      </c>
      <c r="K28" s="12" t="b">
        <v>0</v>
      </c>
      <c r="L28" s="12">
        <v>623.15</v>
      </c>
      <c r="M28" s="12">
        <v>298.2</v>
      </c>
      <c r="N28" s="12">
        <v>3000</v>
      </c>
      <c r="O28" s="12">
        <v>400</v>
      </c>
      <c r="P28" s="12">
        <v>0.5</v>
      </c>
      <c r="Q28" s="12">
        <v>0.85</v>
      </c>
      <c r="R28" s="12">
        <v>0.75</v>
      </c>
      <c r="S28" s="12">
        <v>0.85</v>
      </c>
      <c r="T28" s="12">
        <v>0.75</v>
      </c>
      <c r="U28" s="12">
        <v>0.8</v>
      </c>
      <c r="V28" s="12"/>
      <c r="W28" s="12"/>
      <c r="X28" s="12"/>
      <c r="Y28" s="12">
        <v>2600</v>
      </c>
      <c r="Z28" s="12">
        <v>7.5</v>
      </c>
      <c r="AA28" s="12"/>
      <c r="AB28" s="12"/>
    </row>
    <row r="29" spans="1:28" x14ac:dyDescent="0.3">
      <c r="A29" s="12" t="s">
        <v>1913</v>
      </c>
      <c r="B29" s="12" t="s">
        <v>89</v>
      </c>
      <c r="C29" s="12" t="s">
        <v>369</v>
      </c>
      <c r="D29" s="12" t="s">
        <v>29</v>
      </c>
      <c r="E29" s="12" t="s">
        <v>1886</v>
      </c>
      <c r="F29" s="12" t="s">
        <v>832</v>
      </c>
      <c r="G29" s="12" t="s">
        <v>832</v>
      </c>
      <c r="H29" s="12" t="b">
        <v>0</v>
      </c>
      <c r="I29" s="12" t="b">
        <v>0</v>
      </c>
      <c r="J29" s="12" t="b">
        <v>0</v>
      </c>
      <c r="K29" s="12" t="b">
        <v>0</v>
      </c>
      <c r="L29" s="12">
        <v>623.15</v>
      </c>
      <c r="M29" s="12">
        <v>298</v>
      </c>
      <c r="N29" s="12">
        <v>3000</v>
      </c>
      <c r="O29" s="12">
        <v>400</v>
      </c>
      <c r="P29" s="12">
        <v>0.5</v>
      </c>
      <c r="Q29" s="12">
        <v>0.85</v>
      </c>
      <c r="R29" s="12">
        <v>0.75</v>
      </c>
      <c r="S29" s="12">
        <v>0.85</v>
      </c>
      <c r="T29" s="12">
        <v>0.75</v>
      </c>
      <c r="U29" s="12">
        <v>0.8</v>
      </c>
      <c r="V29" s="12"/>
      <c r="W29" s="12"/>
      <c r="X29" s="12"/>
      <c r="Y29" s="12">
        <v>2600</v>
      </c>
      <c r="Z29" s="12">
        <v>7.5</v>
      </c>
      <c r="AA29" s="12"/>
      <c r="AB29" s="12"/>
    </row>
    <row r="30" spans="1:28" x14ac:dyDescent="0.3">
      <c r="A30" s="12" t="s">
        <v>1914</v>
      </c>
      <c r="B30" s="12" t="s">
        <v>89</v>
      </c>
      <c r="C30" s="12" t="s">
        <v>369</v>
      </c>
      <c r="D30" s="12" t="s">
        <v>29</v>
      </c>
      <c r="E30" s="12" t="s">
        <v>1886</v>
      </c>
      <c r="F30" s="12" t="s">
        <v>832</v>
      </c>
      <c r="G30" s="12" t="s">
        <v>832</v>
      </c>
      <c r="H30" s="12" t="b">
        <v>0</v>
      </c>
      <c r="I30" s="12" t="b">
        <v>0</v>
      </c>
      <c r="J30" s="12" t="b">
        <v>0</v>
      </c>
      <c r="K30" s="12" t="b">
        <v>0</v>
      </c>
      <c r="L30" s="12">
        <v>623.15</v>
      </c>
      <c r="M30" s="12">
        <v>297.95</v>
      </c>
      <c r="N30" s="12">
        <v>3000</v>
      </c>
      <c r="O30" s="12">
        <v>400</v>
      </c>
      <c r="P30" s="12">
        <v>0.5</v>
      </c>
      <c r="Q30" s="12">
        <v>0.85</v>
      </c>
      <c r="R30" s="12">
        <v>0.75</v>
      </c>
      <c r="S30" s="12">
        <v>0.85</v>
      </c>
      <c r="T30" s="12">
        <v>0.75</v>
      </c>
      <c r="U30" s="12">
        <v>0.8</v>
      </c>
      <c r="V30" s="12"/>
      <c r="W30" s="12"/>
      <c r="X30" s="12"/>
      <c r="Y30" s="12">
        <v>2600</v>
      </c>
      <c r="Z30" s="12">
        <v>7.5</v>
      </c>
      <c r="AA30" s="12"/>
      <c r="AB30" s="12"/>
    </row>
    <row r="31" spans="1:28" x14ac:dyDescent="0.3">
      <c r="A31" s="12" t="s">
        <v>1915</v>
      </c>
      <c r="B31" s="12" t="s">
        <v>89</v>
      </c>
      <c r="C31" s="12" t="s">
        <v>369</v>
      </c>
      <c r="D31" s="12" t="s">
        <v>29</v>
      </c>
      <c r="E31" s="12" t="s">
        <v>1886</v>
      </c>
      <c r="F31" s="12" t="s">
        <v>832</v>
      </c>
      <c r="G31" s="12" t="s">
        <v>832</v>
      </c>
      <c r="H31" s="12" t="b">
        <v>0</v>
      </c>
      <c r="I31" s="12" t="b">
        <v>0</v>
      </c>
      <c r="J31" s="12" t="b">
        <v>0</v>
      </c>
      <c r="K31" s="12" t="b">
        <v>0</v>
      </c>
      <c r="L31" s="12">
        <v>623.15</v>
      </c>
      <c r="M31" s="12">
        <v>300.48500000000001</v>
      </c>
      <c r="N31" s="12">
        <v>3000</v>
      </c>
      <c r="O31" s="12">
        <v>400</v>
      </c>
      <c r="P31" s="12">
        <v>0.5</v>
      </c>
      <c r="Q31" s="12">
        <v>0.85</v>
      </c>
      <c r="R31" s="12">
        <v>0.75</v>
      </c>
      <c r="S31" s="12">
        <v>0.85</v>
      </c>
      <c r="T31" s="12">
        <v>0.75</v>
      </c>
      <c r="U31" s="12">
        <v>0.8</v>
      </c>
      <c r="V31" s="12"/>
      <c r="W31" s="12"/>
      <c r="X31" s="12"/>
      <c r="Y31" s="12">
        <v>2600</v>
      </c>
      <c r="Z31" s="12">
        <v>7.5</v>
      </c>
      <c r="AA31" s="12"/>
      <c r="AB31" s="12"/>
    </row>
    <row r="32" spans="1:28" x14ac:dyDescent="0.3">
      <c r="A32" s="12" t="s">
        <v>1916</v>
      </c>
      <c r="B32" s="12" t="s">
        <v>89</v>
      </c>
      <c r="C32" s="12" t="s">
        <v>369</v>
      </c>
      <c r="D32" s="12" t="s">
        <v>29</v>
      </c>
      <c r="E32" s="12" t="s">
        <v>1886</v>
      </c>
      <c r="F32" s="12" t="s">
        <v>832</v>
      </c>
      <c r="G32" s="12" t="s">
        <v>832</v>
      </c>
      <c r="H32" s="12" t="b">
        <v>0</v>
      </c>
      <c r="I32" s="12" t="b">
        <v>0</v>
      </c>
      <c r="J32" s="12" t="b">
        <v>0</v>
      </c>
      <c r="K32" s="12" t="b">
        <v>0</v>
      </c>
      <c r="L32" s="12">
        <v>623.15</v>
      </c>
      <c r="M32" s="12">
        <v>298.64999999999998</v>
      </c>
      <c r="N32" s="12">
        <v>3000</v>
      </c>
      <c r="O32" s="12">
        <v>400</v>
      </c>
      <c r="P32" s="12">
        <v>0.5</v>
      </c>
      <c r="Q32" s="12">
        <v>0.85</v>
      </c>
      <c r="R32" s="12">
        <v>0.75</v>
      </c>
      <c r="S32" s="12">
        <v>0.85</v>
      </c>
      <c r="T32" s="12">
        <v>0.75</v>
      </c>
      <c r="U32" s="12">
        <v>0.8</v>
      </c>
      <c r="V32" s="12"/>
      <c r="W32" s="12"/>
      <c r="X32" s="12"/>
      <c r="Y32" s="12">
        <v>2600</v>
      </c>
      <c r="Z32" s="12">
        <v>7.5</v>
      </c>
      <c r="AA32" s="12"/>
      <c r="AB32" s="12"/>
    </row>
    <row r="33" spans="1:28" x14ac:dyDescent="0.3">
      <c r="A33" s="12" t="s">
        <v>1917</v>
      </c>
      <c r="B33" s="12" t="s">
        <v>89</v>
      </c>
      <c r="C33" s="12" t="s">
        <v>369</v>
      </c>
      <c r="D33" s="12" t="s">
        <v>29</v>
      </c>
      <c r="E33" s="12" t="s">
        <v>1886</v>
      </c>
      <c r="F33" s="12" t="s">
        <v>832</v>
      </c>
      <c r="G33" s="12" t="s">
        <v>832</v>
      </c>
      <c r="H33" s="12" t="b">
        <v>0</v>
      </c>
      <c r="I33" s="12" t="b">
        <v>0</v>
      </c>
      <c r="J33" s="12" t="b">
        <v>0</v>
      </c>
      <c r="K33" s="12" t="b">
        <v>0</v>
      </c>
      <c r="L33" s="12">
        <v>623.15</v>
      </c>
      <c r="M33" s="12">
        <v>301.55</v>
      </c>
      <c r="N33" s="12">
        <v>3000</v>
      </c>
      <c r="O33" s="12">
        <v>400</v>
      </c>
      <c r="P33" s="12">
        <v>0.5</v>
      </c>
      <c r="Q33" s="12">
        <v>0.85</v>
      </c>
      <c r="R33" s="12">
        <v>0.75</v>
      </c>
      <c r="S33" s="12">
        <v>0.85</v>
      </c>
      <c r="T33" s="12">
        <v>0.75</v>
      </c>
      <c r="U33" s="12">
        <v>0.8</v>
      </c>
      <c r="V33" s="12"/>
      <c r="W33" s="12"/>
      <c r="X33" s="12"/>
      <c r="Y33" s="12">
        <v>2600</v>
      </c>
      <c r="Z33" s="12">
        <v>7.5</v>
      </c>
      <c r="AA33" s="12"/>
      <c r="AB33" s="12"/>
    </row>
    <row r="34" spans="1:28" x14ac:dyDescent="0.3">
      <c r="A34" s="12" t="s">
        <v>1918</v>
      </c>
      <c r="B34" s="12" t="s">
        <v>89</v>
      </c>
      <c r="C34" s="12" t="s">
        <v>369</v>
      </c>
      <c r="D34" s="12" t="s">
        <v>29</v>
      </c>
      <c r="E34" s="12" t="s">
        <v>1886</v>
      </c>
      <c r="F34" s="12" t="s">
        <v>832</v>
      </c>
      <c r="G34" s="12" t="s">
        <v>832</v>
      </c>
      <c r="H34" s="12" t="b">
        <v>0</v>
      </c>
      <c r="I34" s="12" t="b">
        <v>0</v>
      </c>
      <c r="J34" s="12" t="b">
        <v>0</v>
      </c>
      <c r="K34" s="12" t="b">
        <v>0</v>
      </c>
      <c r="L34" s="12">
        <v>623.15</v>
      </c>
      <c r="M34" s="12">
        <v>302.39999999999998</v>
      </c>
      <c r="N34" s="12">
        <v>3000</v>
      </c>
      <c r="O34" s="12">
        <v>400</v>
      </c>
      <c r="P34" s="12">
        <v>0.5</v>
      </c>
      <c r="Q34" s="12">
        <v>0.85</v>
      </c>
      <c r="R34" s="12">
        <v>0.75</v>
      </c>
      <c r="S34" s="12">
        <v>0.85</v>
      </c>
      <c r="T34" s="12">
        <v>0.75</v>
      </c>
      <c r="U34" s="12">
        <v>0.8</v>
      </c>
      <c r="V34" s="12"/>
      <c r="W34" s="12"/>
      <c r="X34" s="12"/>
      <c r="Y34" s="12">
        <v>2600</v>
      </c>
      <c r="Z34" s="12">
        <v>7.5</v>
      </c>
      <c r="AA34" s="12"/>
      <c r="AB34" s="12"/>
    </row>
    <row r="35" spans="1:28" x14ac:dyDescent="0.3">
      <c r="A35" s="12" t="s">
        <v>1919</v>
      </c>
      <c r="B35" s="12" t="s">
        <v>89</v>
      </c>
      <c r="C35" s="12" t="s">
        <v>369</v>
      </c>
      <c r="D35" s="12" t="s">
        <v>29</v>
      </c>
      <c r="E35" s="12" t="s">
        <v>1886</v>
      </c>
      <c r="F35" s="12" t="s">
        <v>832</v>
      </c>
      <c r="G35" s="12" t="s">
        <v>832</v>
      </c>
      <c r="H35" s="12" t="b">
        <v>0</v>
      </c>
      <c r="I35" s="12" t="b">
        <v>0</v>
      </c>
      <c r="J35" s="12" t="b">
        <v>0</v>
      </c>
      <c r="K35" s="12" t="b">
        <v>0</v>
      </c>
      <c r="L35" s="12">
        <v>623.15</v>
      </c>
      <c r="M35" s="12">
        <v>303.10000000000002</v>
      </c>
      <c r="N35" s="12">
        <v>3000</v>
      </c>
      <c r="O35" s="12">
        <v>400</v>
      </c>
      <c r="P35" s="12">
        <v>0.5</v>
      </c>
      <c r="Q35" s="12">
        <v>0.85</v>
      </c>
      <c r="R35" s="12">
        <v>0.75</v>
      </c>
      <c r="S35" s="12">
        <v>0.85</v>
      </c>
      <c r="T35" s="12">
        <v>0.75</v>
      </c>
      <c r="U35" s="12">
        <v>0.8</v>
      </c>
      <c r="V35" s="12"/>
      <c r="W35" s="12"/>
      <c r="X35" s="12"/>
      <c r="Y35" s="12">
        <v>2600</v>
      </c>
      <c r="Z35" s="12">
        <v>7.5</v>
      </c>
      <c r="AA35" s="12"/>
      <c r="AB35" s="12"/>
    </row>
    <row r="36" spans="1:28" x14ac:dyDescent="0.3">
      <c r="A36" s="12" t="s">
        <v>1920</v>
      </c>
      <c r="B36" s="12" t="s">
        <v>89</v>
      </c>
      <c r="C36" s="12" t="s">
        <v>369</v>
      </c>
      <c r="D36" s="12" t="s">
        <v>29</v>
      </c>
      <c r="E36" s="12" t="s">
        <v>1886</v>
      </c>
      <c r="F36" s="12" t="s">
        <v>832</v>
      </c>
      <c r="G36" s="12" t="s">
        <v>832</v>
      </c>
      <c r="H36" s="12" t="b">
        <v>0</v>
      </c>
      <c r="I36" s="12" t="b">
        <v>0</v>
      </c>
      <c r="J36" s="12" t="b">
        <v>0</v>
      </c>
      <c r="K36" s="12" t="b">
        <v>0</v>
      </c>
      <c r="L36" s="12">
        <v>623.15</v>
      </c>
      <c r="M36" s="12">
        <v>303.55</v>
      </c>
      <c r="N36" s="12">
        <v>3000</v>
      </c>
      <c r="O36" s="12">
        <v>400</v>
      </c>
      <c r="P36" s="12">
        <v>0.5</v>
      </c>
      <c r="Q36" s="12">
        <v>0.85</v>
      </c>
      <c r="R36" s="12">
        <v>0.75</v>
      </c>
      <c r="S36" s="12">
        <v>0.85</v>
      </c>
      <c r="T36" s="12">
        <v>0.75</v>
      </c>
      <c r="U36" s="12">
        <v>0.8</v>
      </c>
      <c r="V36" s="12"/>
      <c r="W36" s="12"/>
      <c r="X36" s="12"/>
      <c r="Y36" s="12">
        <v>2600</v>
      </c>
      <c r="Z36" s="12">
        <v>7.5</v>
      </c>
      <c r="AA36" s="12"/>
      <c r="AB36" s="12"/>
    </row>
    <row r="37" spans="1:28" x14ac:dyDescent="0.3">
      <c r="A37" s="12" t="s">
        <v>1921</v>
      </c>
      <c r="B37" s="12" t="s">
        <v>89</v>
      </c>
      <c r="C37" s="12" t="s">
        <v>369</v>
      </c>
      <c r="D37" s="12" t="s">
        <v>29</v>
      </c>
      <c r="E37" s="12" t="s">
        <v>1886</v>
      </c>
      <c r="F37" s="12" t="s">
        <v>832</v>
      </c>
      <c r="G37" s="12" t="s">
        <v>832</v>
      </c>
      <c r="H37" s="12" t="b">
        <v>0</v>
      </c>
      <c r="I37" s="12" t="b">
        <v>0</v>
      </c>
      <c r="J37" s="12" t="b">
        <v>0</v>
      </c>
      <c r="K37" s="12" t="b">
        <v>0</v>
      </c>
      <c r="L37" s="12">
        <v>623.15</v>
      </c>
      <c r="M37" s="12">
        <v>302.89999999999998</v>
      </c>
      <c r="N37" s="12">
        <v>3000</v>
      </c>
      <c r="O37" s="12">
        <v>400</v>
      </c>
      <c r="P37" s="12">
        <v>0.5</v>
      </c>
      <c r="Q37" s="12">
        <v>0.85</v>
      </c>
      <c r="R37" s="12">
        <v>0.75</v>
      </c>
      <c r="S37" s="12">
        <v>0.85</v>
      </c>
      <c r="T37" s="12">
        <v>0.75</v>
      </c>
      <c r="U37" s="12">
        <v>0.8</v>
      </c>
      <c r="V37" s="12"/>
      <c r="W37" s="12"/>
      <c r="X37" s="12"/>
      <c r="Y37" s="12">
        <v>2600</v>
      </c>
      <c r="Z37" s="12">
        <v>7.5</v>
      </c>
      <c r="AA37" s="12"/>
      <c r="AB37" s="12"/>
    </row>
    <row r="38" spans="1:28" x14ac:dyDescent="0.3">
      <c r="A38" s="12" t="s">
        <v>1922</v>
      </c>
      <c r="B38" s="12" t="s">
        <v>89</v>
      </c>
      <c r="C38" s="12" t="s">
        <v>369</v>
      </c>
      <c r="D38" s="12" t="s">
        <v>29</v>
      </c>
      <c r="E38" s="12" t="s">
        <v>1886</v>
      </c>
      <c r="F38" s="12" t="s">
        <v>832</v>
      </c>
      <c r="G38" s="12" t="s">
        <v>832</v>
      </c>
      <c r="H38" s="12" t="b">
        <v>0</v>
      </c>
      <c r="I38" s="12" t="b">
        <v>0</v>
      </c>
      <c r="J38" s="12" t="b">
        <v>0</v>
      </c>
      <c r="K38" s="12" t="b">
        <v>0</v>
      </c>
      <c r="L38" s="12">
        <v>623.15</v>
      </c>
      <c r="M38" s="12">
        <v>302.25</v>
      </c>
      <c r="N38" s="12">
        <v>3000</v>
      </c>
      <c r="O38" s="12">
        <v>400</v>
      </c>
      <c r="P38" s="12">
        <v>0.5</v>
      </c>
      <c r="Q38" s="12">
        <v>0.85</v>
      </c>
      <c r="R38" s="12">
        <v>0.75</v>
      </c>
      <c r="S38" s="12">
        <v>0.85</v>
      </c>
      <c r="T38" s="12">
        <v>0.75</v>
      </c>
      <c r="U38" s="12">
        <v>0.8</v>
      </c>
      <c r="V38" s="12"/>
      <c r="W38" s="12"/>
      <c r="X38" s="12"/>
      <c r="Y38" s="12">
        <v>2600</v>
      </c>
      <c r="Z38" s="12">
        <v>7.5</v>
      </c>
      <c r="AA38" s="12"/>
      <c r="AB38" s="12"/>
    </row>
    <row r="39" spans="1:28" x14ac:dyDescent="0.3">
      <c r="A39" s="12" t="s">
        <v>1923</v>
      </c>
      <c r="B39" s="12" t="s">
        <v>89</v>
      </c>
      <c r="C39" s="12" t="s">
        <v>369</v>
      </c>
      <c r="D39" s="12" t="s">
        <v>29</v>
      </c>
      <c r="E39" s="12" t="s">
        <v>1886</v>
      </c>
      <c r="F39" s="12" t="s">
        <v>832</v>
      </c>
      <c r="G39" s="12" t="s">
        <v>832</v>
      </c>
      <c r="H39" s="12" t="b">
        <v>0</v>
      </c>
      <c r="I39" s="12" t="b">
        <v>0</v>
      </c>
      <c r="J39" s="12" t="b">
        <v>0</v>
      </c>
      <c r="K39" s="12" t="b">
        <v>0</v>
      </c>
      <c r="L39" s="12">
        <v>623.15</v>
      </c>
      <c r="M39" s="12">
        <v>301.65499999999997</v>
      </c>
      <c r="N39" s="12">
        <v>3000</v>
      </c>
      <c r="O39" s="12">
        <v>400</v>
      </c>
      <c r="P39" s="12">
        <v>0.5</v>
      </c>
      <c r="Q39" s="12">
        <v>0.85</v>
      </c>
      <c r="R39" s="12">
        <v>0.75</v>
      </c>
      <c r="S39" s="12">
        <v>0.85</v>
      </c>
      <c r="T39" s="12">
        <v>0.75</v>
      </c>
      <c r="U39" s="12">
        <v>0.8</v>
      </c>
      <c r="V39" s="12"/>
      <c r="W39" s="12"/>
      <c r="X39" s="12"/>
      <c r="Y39" s="12">
        <v>2600</v>
      </c>
      <c r="Z39" s="12">
        <v>7.5</v>
      </c>
      <c r="AA39" s="12"/>
      <c r="AB39" s="12"/>
    </row>
    <row r="40" spans="1:28" x14ac:dyDescent="0.3">
      <c r="A40" s="12" t="s">
        <v>1924</v>
      </c>
      <c r="B40" s="12" t="s">
        <v>89</v>
      </c>
      <c r="C40" s="12" t="s">
        <v>369</v>
      </c>
      <c r="D40" s="12" t="s">
        <v>29</v>
      </c>
      <c r="E40" s="12" t="s">
        <v>1886</v>
      </c>
      <c r="F40" s="12" t="s">
        <v>832</v>
      </c>
      <c r="G40" s="12" t="s">
        <v>832</v>
      </c>
      <c r="H40" s="12" t="b">
        <v>0</v>
      </c>
      <c r="I40" s="12" t="b">
        <v>0</v>
      </c>
      <c r="J40" s="12" t="b">
        <v>0</v>
      </c>
      <c r="K40" s="12" t="b">
        <v>0</v>
      </c>
      <c r="L40" s="12">
        <v>623.15</v>
      </c>
      <c r="M40" s="12">
        <v>300.89999999999998</v>
      </c>
      <c r="N40" s="12">
        <v>3000</v>
      </c>
      <c r="O40" s="12">
        <v>400</v>
      </c>
      <c r="P40" s="12">
        <v>0.5</v>
      </c>
      <c r="Q40" s="12">
        <v>0.85</v>
      </c>
      <c r="R40" s="12">
        <v>0.75</v>
      </c>
      <c r="S40" s="12">
        <v>0.85</v>
      </c>
      <c r="T40" s="12">
        <v>0.75</v>
      </c>
      <c r="U40" s="12">
        <v>0.8</v>
      </c>
      <c r="V40" s="12"/>
      <c r="W40" s="12"/>
      <c r="X40" s="12"/>
      <c r="Y40" s="12">
        <v>2600</v>
      </c>
      <c r="Z40" s="12">
        <v>7.5</v>
      </c>
      <c r="AA40" s="12"/>
      <c r="AB40" s="12"/>
    </row>
    <row r="41" spans="1:28" x14ac:dyDescent="0.3">
      <c r="A41" s="12" t="s">
        <v>1925</v>
      </c>
      <c r="B41" s="12" t="s">
        <v>89</v>
      </c>
      <c r="C41" s="12" t="s">
        <v>369</v>
      </c>
      <c r="D41" s="12" t="s">
        <v>29</v>
      </c>
      <c r="E41" s="12" t="s">
        <v>1886</v>
      </c>
      <c r="F41" s="12" t="s">
        <v>832</v>
      </c>
      <c r="G41" s="12" t="s">
        <v>832</v>
      </c>
      <c r="H41" s="12" t="b">
        <v>0</v>
      </c>
      <c r="I41" s="12" t="b">
        <v>0</v>
      </c>
      <c r="J41" s="12" t="b">
        <v>0</v>
      </c>
      <c r="K41" s="12" t="b">
        <v>0</v>
      </c>
      <c r="L41" s="12">
        <v>623.15</v>
      </c>
      <c r="M41" s="12">
        <v>299.8</v>
      </c>
      <c r="N41" s="12">
        <v>3000</v>
      </c>
      <c r="O41" s="12">
        <v>400</v>
      </c>
      <c r="P41" s="12">
        <v>0.5</v>
      </c>
      <c r="Q41" s="12">
        <v>0.85</v>
      </c>
      <c r="R41" s="12">
        <v>0.75</v>
      </c>
      <c r="S41" s="12">
        <v>0.85</v>
      </c>
      <c r="T41" s="12">
        <v>0.75</v>
      </c>
      <c r="U41" s="12">
        <v>0.8</v>
      </c>
      <c r="V41" s="12"/>
      <c r="W41" s="12"/>
      <c r="X41" s="12"/>
      <c r="Y41" s="12">
        <v>2600</v>
      </c>
      <c r="Z41" s="12">
        <v>7.5</v>
      </c>
      <c r="AA41" s="12"/>
      <c r="AB41" s="12"/>
    </row>
    <row r="42" spans="1:28" x14ac:dyDescent="0.3">
      <c r="A42" s="12" t="s">
        <v>1926</v>
      </c>
      <c r="B42" s="12" t="s">
        <v>89</v>
      </c>
      <c r="C42" s="12" t="s">
        <v>369</v>
      </c>
      <c r="D42" s="12" t="s">
        <v>29</v>
      </c>
      <c r="E42" s="12" t="s">
        <v>1886</v>
      </c>
      <c r="F42" s="12" t="s">
        <v>832</v>
      </c>
      <c r="G42" s="12" t="s">
        <v>832</v>
      </c>
      <c r="H42" s="12" t="b">
        <v>0</v>
      </c>
      <c r="I42" s="12" t="b">
        <v>0</v>
      </c>
      <c r="J42" s="12" t="b">
        <v>0</v>
      </c>
      <c r="K42" s="12" t="b">
        <v>0</v>
      </c>
      <c r="L42" s="12">
        <v>623.15</v>
      </c>
      <c r="M42" s="12">
        <v>299.2</v>
      </c>
      <c r="N42" s="12">
        <v>3000</v>
      </c>
      <c r="O42" s="12">
        <v>400</v>
      </c>
      <c r="P42" s="12">
        <v>0.5</v>
      </c>
      <c r="Q42" s="12">
        <v>0.85</v>
      </c>
      <c r="R42" s="12">
        <v>0.75</v>
      </c>
      <c r="S42" s="12">
        <v>0.85</v>
      </c>
      <c r="T42" s="12">
        <v>0.75</v>
      </c>
      <c r="U42" s="12">
        <v>0.8</v>
      </c>
      <c r="V42" s="12"/>
      <c r="W42" s="12"/>
      <c r="X42" s="12"/>
      <c r="Y42" s="12">
        <v>2600</v>
      </c>
      <c r="Z42" s="12">
        <v>7.5</v>
      </c>
      <c r="AA42" s="12"/>
      <c r="AB42" s="12"/>
    </row>
    <row r="43" spans="1:28" x14ac:dyDescent="0.3">
      <c r="A43" s="12" t="s">
        <v>1927</v>
      </c>
      <c r="B43" s="12" t="s">
        <v>89</v>
      </c>
      <c r="C43" s="12" t="s">
        <v>369</v>
      </c>
      <c r="D43" s="12" t="s">
        <v>29</v>
      </c>
      <c r="E43" s="12" t="s">
        <v>1886</v>
      </c>
      <c r="F43" s="12" t="s">
        <v>832</v>
      </c>
      <c r="G43" s="12" t="s">
        <v>832</v>
      </c>
      <c r="H43" s="12" t="b">
        <v>0</v>
      </c>
      <c r="I43" s="12" t="b">
        <v>0</v>
      </c>
      <c r="J43" s="12" t="b">
        <v>0</v>
      </c>
      <c r="K43" s="12" t="b">
        <v>0</v>
      </c>
      <c r="L43" s="12">
        <v>623.15</v>
      </c>
      <c r="M43" s="12">
        <v>299.14999999999998</v>
      </c>
      <c r="N43" s="12">
        <v>3000</v>
      </c>
      <c r="O43" s="12">
        <v>400</v>
      </c>
      <c r="P43" s="12">
        <v>0.5</v>
      </c>
      <c r="Q43" s="12">
        <v>0.85</v>
      </c>
      <c r="R43" s="12">
        <v>0.75</v>
      </c>
      <c r="S43" s="12">
        <v>0.85</v>
      </c>
      <c r="T43" s="12">
        <v>0.75</v>
      </c>
      <c r="U43" s="12">
        <v>0.8</v>
      </c>
      <c r="V43" s="12"/>
      <c r="W43" s="12"/>
      <c r="X43" s="12"/>
      <c r="Y43" s="12">
        <v>2600</v>
      </c>
      <c r="Z43" s="12">
        <v>7.5</v>
      </c>
      <c r="AA43" s="12"/>
      <c r="AB43" s="12"/>
    </row>
    <row r="44" spans="1:28" x14ac:dyDescent="0.3">
      <c r="A44" s="12" t="s">
        <v>1928</v>
      </c>
      <c r="B44" s="12" t="s">
        <v>96</v>
      </c>
      <c r="C44" s="12" t="s">
        <v>96</v>
      </c>
      <c r="D44" s="12" t="s">
        <v>97</v>
      </c>
      <c r="E44" s="12" t="s">
        <v>1886</v>
      </c>
      <c r="F44" s="12" t="s">
        <v>832</v>
      </c>
      <c r="G44" s="12" t="s">
        <v>832</v>
      </c>
      <c r="H44" s="12" t="b">
        <v>0</v>
      </c>
      <c r="I44" s="12" t="b">
        <v>0</v>
      </c>
      <c r="J44" s="12" t="b">
        <v>0</v>
      </c>
      <c r="K44" s="12" t="b">
        <v>0</v>
      </c>
      <c r="L44" s="12">
        <v>623.15</v>
      </c>
      <c r="M44" s="12">
        <v>300.032917</v>
      </c>
      <c r="N44" s="12">
        <v>1000</v>
      </c>
      <c r="O44" s="12">
        <v>400</v>
      </c>
      <c r="P44" s="12">
        <v>0.5</v>
      </c>
      <c r="Q44" s="12">
        <v>0.85</v>
      </c>
      <c r="R44" s="12">
        <v>0.75</v>
      </c>
      <c r="S44" s="12">
        <v>0.85</v>
      </c>
      <c r="T44" s="12">
        <v>0.75</v>
      </c>
      <c r="U44" s="12">
        <v>0.8</v>
      </c>
      <c r="V44" s="12"/>
      <c r="W44" s="12"/>
      <c r="X44" s="12"/>
      <c r="Y44" s="12">
        <v>600</v>
      </c>
      <c r="Z44" s="12">
        <v>2.5</v>
      </c>
      <c r="AA44" s="12"/>
      <c r="AB44" s="12" t="s">
        <v>269</v>
      </c>
    </row>
    <row r="45" spans="1:28" x14ac:dyDescent="0.3">
      <c r="A45" s="12" t="s">
        <v>1929</v>
      </c>
      <c r="B45" s="12" t="s">
        <v>96</v>
      </c>
      <c r="C45" s="12" t="s">
        <v>96</v>
      </c>
      <c r="D45" s="12" t="s">
        <v>97</v>
      </c>
      <c r="E45" s="12" t="s">
        <v>1886</v>
      </c>
      <c r="F45" s="12" t="s">
        <v>832</v>
      </c>
      <c r="G45" s="12" t="s">
        <v>832</v>
      </c>
      <c r="H45" s="12" t="b">
        <v>0</v>
      </c>
      <c r="I45" s="12" t="b">
        <v>0</v>
      </c>
      <c r="J45" s="12" t="b">
        <v>0</v>
      </c>
      <c r="K45" s="12" t="b">
        <v>0</v>
      </c>
      <c r="L45" s="12">
        <v>623.15</v>
      </c>
      <c r="M45" s="12">
        <v>300.032917</v>
      </c>
      <c r="N45" s="12">
        <v>3000</v>
      </c>
      <c r="O45" s="12">
        <v>400</v>
      </c>
      <c r="P45" s="12">
        <v>0.5</v>
      </c>
      <c r="Q45" s="12">
        <v>0.85</v>
      </c>
      <c r="R45" s="12">
        <v>0.75</v>
      </c>
      <c r="S45" s="12">
        <v>0.85</v>
      </c>
      <c r="T45" s="12">
        <v>0.75</v>
      </c>
      <c r="U45" s="12">
        <v>0.8</v>
      </c>
      <c r="V45" s="12"/>
      <c r="W45" s="12"/>
      <c r="X45" s="12"/>
      <c r="Y45" s="12">
        <v>2600</v>
      </c>
      <c r="Z45" s="12">
        <v>7.5</v>
      </c>
      <c r="AA45" s="12"/>
      <c r="AB45" s="12" t="s">
        <v>269</v>
      </c>
    </row>
    <row r="46" spans="1:28" x14ac:dyDescent="0.3">
      <c r="A46" s="12" t="s">
        <v>1930</v>
      </c>
      <c r="B46" s="12" t="s">
        <v>96</v>
      </c>
      <c r="C46" s="12" t="s">
        <v>96</v>
      </c>
      <c r="D46" s="12" t="s">
        <v>97</v>
      </c>
      <c r="E46" s="12" t="s">
        <v>1886</v>
      </c>
      <c r="F46" s="12" t="s">
        <v>832</v>
      </c>
      <c r="G46" s="12" t="s">
        <v>832</v>
      </c>
      <c r="H46" s="12" t="b">
        <v>0</v>
      </c>
      <c r="I46" s="12" t="b">
        <v>0</v>
      </c>
      <c r="J46" s="12" t="b">
        <v>0</v>
      </c>
      <c r="K46" s="12" t="b">
        <v>0</v>
      </c>
      <c r="L46" s="12">
        <v>623.15</v>
      </c>
      <c r="M46" s="12">
        <v>300.032917</v>
      </c>
      <c r="N46" s="12">
        <v>2000</v>
      </c>
      <c r="O46" s="12">
        <v>400</v>
      </c>
      <c r="P46" s="12">
        <v>0.5</v>
      </c>
      <c r="Q46" s="12">
        <v>0.85</v>
      </c>
      <c r="R46" s="12">
        <v>0.75</v>
      </c>
      <c r="S46" s="12">
        <v>0.85</v>
      </c>
      <c r="T46" s="12">
        <v>0.75</v>
      </c>
      <c r="U46" s="12">
        <v>0.8</v>
      </c>
      <c r="V46" s="12"/>
      <c r="W46" s="12"/>
      <c r="X46" s="12"/>
      <c r="Y46" s="12">
        <v>1600</v>
      </c>
      <c r="Z46" s="12">
        <v>5</v>
      </c>
      <c r="AA46" s="12"/>
      <c r="AB46" s="12" t="s">
        <v>269</v>
      </c>
    </row>
    <row r="47" spans="1:28" x14ac:dyDescent="0.3">
      <c r="A47" s="12" t="s">
        <v>1931</v>
      </c>
      <c r="B47" s="12" t="s">
        <v>96</v>
      </c>
      <c r="C47" s="12" t="s">
        <v>96</v>
      </c>
      <c r="D47" s="12" t="s">
        <v>97</v>
      </c>
      <c r="E47" s="12" t="s">
        <v>1886</v>
      </c>
      <c r="F47" s="12" t="s">
        <v>832</v>
      </c>
      <c r="G47" s="12" t="s">
        <v>832</v>
      </c>
      <c r="H47" s="12" t="b">
        <v>0</v>
      </c>
      <c r="I47" s="12" t="b">
        <v>0</v>
      </c>
      <c r="J47" s="12" t="b">
        <v>0</v>
      </c>
      <c r="K47" s="12" t="b">
        <v>0</v>
      </c>
      <c r="L47" s="12">
        <v>623.15</v>
      </c>
      <c r="M47" s="12">
        <v>300.032917</v>
      </c>
      <c r="N47" s="12">
        <v>5000</v>
      </c>
      <c r="O47" s="12">
        <v>400</v>
      </c>
      <c r="P47" s="12">
        <v>0.5</v>
      </c>
      <c r="Q47" s="12">
        <v>0.85</v>
      </c>
      <c r="R47" s="12">
        <v>0.75</v>
      </c>
      <c r="S47" s="12">
        <v>0.85</v>
      </c>
      <c r="T47" s="12">
        <v>0.75</v>
      </c>
      <c r="U47" s="12">
        <v>0.8</v>
      </c>
      <c r="V47" s="12"/>
      <c r="W47" s="12"/>
      <c r="X47" s="12"/>
      <c r="Y47" s="12">
        <v>4600</v>
      </c>
      <c r="Z47" s="12">
        <v>12.5</v>
      </c>
      <c r="AA47" s="12"/>
      <c r="AB47" s="12" t="s">
        <v>269</v>
      </c>
    </row>
    <row r="48" spans="1:28" x14ac:dyDescent="0.3">
      <c r="A48" s="12" t="s">
        <v>1932</v>
      </c>
      <c r="B48" s="12" t="s">
        <v>96</v>
      </c>
      <c r="C48" s="12" t="s">
        <v>96</v>
      </c>
      <c r="D48" s="12" t="s">
        <v>97</v>
      </c>
      <c r="E48" s="12" t="s">
        <v>1886</v>
      </c>
      <c r="F48" s="12" t="s">
        <v>832</v>
      </c>
      <c r="G48" s="12" t="s">
        <v>832</v>
      </c>
      <c r="H48" s="12" t="b">
        <v>0</v>
      </c>
      <c r="I48" s="12" t="b">
        <v>0</v>
      </c>
      <c r="J48" s="12" t="b">
        <v>0</v>
      </c>
      <c r="K48" s="12" t="b">
        <v>0</v>
      </c>
      <c r="L48" s="12">
        <v>623.15</v>
      </c>
      <c r="M48" s="12">
        <v>300.032917</v>
      </c>
      <c r="N48" s="12">
        <v>4000</v>
      </c>
      <c r="O48" s="12">
        <v>400</v>
      </c>
      <c r="P48" s="12">
        <v>0.5</v>
      </c>
      <c r="Q48" s="12">
        <v>0.85</v>
      </c>
      <c r="R48" s="12">
        <v>0.75</v>
      </c>
      <c r="S48" s="12">
        <v>0.85</v>
      </c>
      <c r="T48" s="12">
        <v>0.75</v>
      </c>
      <c r="U48" s="12">
        <v>0.8</v>
      </c>
      <c r="V48" s="12"/>
      <c r="W48" s="12"/>
      <c r="X48" s="12"/>
      <c r="Y48" s="12">
        <v>3600</v>
      </c>
      <c r="Z48" s="12">
        <v>10</v>
      </c>
      <c r="AA48" s="12"/>
      <c r="AB48" s="12" t="s">
        <v>269</v>
      </c>
    </row>
    <row r="49" spans="1:28" x14ac:dyDescent="0.3">
      <c r="A49" s="12" t="s">
        <v>1933</v>
      </c>
      <c r="B49" s="12" t="s">
        <v>96</v>
      </c>
      <c r="C49" s="12" t="s">
        <v>96</v>
      </c>
      <c r="D49" s="12" t="s">
        <v>97</v>
      </c>
      <c r="E49" s="12" t="s">
        <v>1886</v>
      </c>
      <c r="F49" s="12" t="s">
        <v>1863</v>
      </c>
      <c r="G49" s="12" t="s">
        <v>832</v>
      </c>
      <c r="H49" s="12" t="b">
        <v>0</v>
      </c>
      <c r="I49" s="12" t="b">
        <v>0</v>
      </c>
      <c r="J49" s="12" t="b">
        <v>1</v>
      </c>
      <c r="K49" s="12" t="b">
        <v>0</v>
      </c>
      <c r="L49" s="12">
        <v>623.15</v>
      </c>
      <c r="M49" s="12">
        <v>300.032917</v>
      </c>
      <c r="N49" s="12">
        <v>6000</v>
      </c>
      <c r="O49" s="12">
        <v>400</v>
      </c>
      <c r="P49" s="12">
        <v>0.5</v>
      </c>
      <c r="Q49" s="12">
        <v>0.85</v>
      </c>
      <c r="R49" s="12">
        <v>0.75</v>
      </c>
      <c r="S49" s="12">
        <v>0.85</v>
      </c>
      <c r="T49" s="12">
        <v>0.75</v>
      </c>
      <c r="U49" s="12">
        <v>0.8</v>
      </c>
      <c r="V49" s="12"/>
      <c r="W49" s="12">
        <v>22.89861918349116</v>
      </c>
      <c r="X49" s="12">
        <v>432.7905299563339</v>
      </c>
      <c r="Y49" s="12">
        <v>5600</v>
      </c>
      <c r="Z49" s="12">
        <v>15</v>
      </c>
      <c r="AA49" s="12" t="s">
        <v>1934</v>
      </c>
      <c r="AB49" s="12" t="s">
        <v>269</v>
      </c>
    </row>
    <row r="50" spans="1:28" x14ac:dyDescent="0.3">
      <c r="A50" s="12" t="s">
        <v>1935</v>
      </c>
      <c r="B50" s="12" t="s">
        <v>96</v>
      </c>
      <c r="C50" s="12" t="s">
        <v>96</v>
      </c>
      <c r="D50" s="12" t="s">
        <v>97</v>
      </c>
      <c r="E50" s="12" t="s">
        <v>1886</v>
      </c>
      <c r="F50" s="12" t="s">
        <v>832</v>
      </c>
      <c r="G50" s="12" t="s">
        <v>832</v>
      </c>
      <c r="H50" s="12" t="b">
        <v>0</v>
      </c>
      <c r="I50" s="12" t="b">
        <v>0</v>
      </c>
      <c r="J50" s="12" t="b">
        <v>0</v>
      </c>
      <c r="K50" s="12" t="b">
        <v>0</v>
      </c>
      <c r="L50" s="12">
        <v>623.15</v>
      </c>
      <c r="M50" s="12">
        <v>300.032917</v>
      </c>
      <c r="N50" s="12">
        <v>3000</v>
      </c>
      <c r="O50" s="12">
        <v>150</v>
      </c>
      <c r="P50" s="12">
        <v>0.5</v>
      </c>
      <c r="Q50" s="12">
        <v>0.85</v>
      </c>
      <c r="R50" s="12">
        <v>0.75</v>
      </c>
      <c r="S50" s="12">
        <v>0.85</v>
      </c>
      <c r="T50" s="12">
        <v>0.75</v>
      </c>
      <c r="U50" s="12">
        <v>0.8</v>
      </c>
      <c r="V50" s="12"/>
      <c r="W50" s="12"/>
      <c r="X50" s="12"/>
      <c r="Y50" s="12">
        <v>2850</v>
      </c>
      <c r="Z50" s="12">
        <v>20</v>
      </c>
      <c r="AA50" s="12"/>
      <c r="AB50" s="12" t="s">
        <v>271</v>
      </c>
    </row>
    <row r="51" spans="1:28" x14ac:dyDescent="0.3">
      <c r="A51" s="12" t="s">
        <v>1936</v>
      </c>
      <c r="B51" s="12" t="s">
        <v>96</v>
      </c>
      <c r="C51" s="12" t="s">
        <v>96</v>
      </c>
      <c r="D51" s="12" t="s">
        <v>97</v>
      </c>
      <c r="E51" s="12" t="s">
        <v>1886</v>
      </c>
      <c r="F51" s="12" t="s">
        <v>832</v>
      </c>
      <c r="G51" s="12" t="s">
        <v>832</v>
      </c>
      <c r="H51" s="12" t="b">
        <v>0</v>
      </c>
      <c r="I51" s="12" t="b">
        <v>0</v>
      </c>
      <c r="J51" s="12" t="b">
        <v>0</v>
      </c>
      <c r="K51" s="12" t="b">
        <v>0</v>
      </c>
      <c r="L51" s="12">
        <v>623.15</v>
      </c>
      <c r="M51" s="12">
        <v>300.032917</v>
      </c>
      <c r="N51" s="12">
        <v>10000</v>
      </c>
      <c r="O51" s="12">
        <v>400</v>
      </c>
      <c r="P51" s="12">
        <v>0.5</v>
      </c>
      <c r="Q51" s="12">
        <v>0.85</v>
      </c>
      <c r="R51" s="12">
        <v>0.75</v>
      </c>
      <c r="S51" s="12">
        <v>0.85</v>
      </c>
      <c r="T51" s="12">
        <v>0.75</v>
      </c>
      <c r="U51" s="12">
        <v>0.8</v>
      </c>
      <c r="V51" s="12"/>
      <c r="W51" s="12"/>
      <c r="X51" s="12"/>
      <c r="Y51" s="12">
        <v>9600</v>
      </c>
      <c r="Z51" s="12">
        <v>25</v>
      </c>
      <c r="AA51" s="12"/>
      <c r="AB51" s="12" t="s">
        <v>269</v>
      </c>
    </row>
    <row r="52" spans="1:28" x14ac:dyDescent="0.3">
      <c r="A52" s="12" t="s">
        <v>1937</v>
      </c>
      <c r="B52" s="12" t="s">
        <v>96</v>
      </c>
      <c r="C52" s="12" t="s">
        <v>96</v>
      </c>
      <c r="D52" s="12" t="s">
        <v>97</v>
      </c>
      <c r="E52" s="12" t="s">
        <v>1886</v>
      </c>
      <c r="F52" s="12" t="s">
        <v>1863</v>
      </c>
      <c r="G52" s="12" t="s">
        <v>832</v>
      </c>
      <c r="H52" s="12" t="b">
        <v>0</v>
      </c>
      <c r="I52" s="12" t="b">
        <v>0</v>
      </c>
      <c r="J52" s="12" t="b">
        <v>1</v>
      </c>
      <c r="K52" s="12" t="b">
        <v>0</v>
      </c>
      <c r="L52" s="12">
        <v>623.15</v>
      </c>
      <c r="M52" s="12">
        <v>300.032917</v>
      </c>
      <c r="N52" s="12">
        <v>7000</v>
      </c>
      <c r="O52" s="12">
        <v>400</v>
      </c>
      <c r="P52" s="12">
        <v>0.5</v>
      </c>
      <c r="Q52" s="12">
        <v>0.85</v>
      </c>
      <c r="R52" s="12">
        <v>0.75</v>
      </c>
      <c r="S52" s="12">
        <v>0.85</v>
      </c>
      <c r="T52" s="12">
        <v>0.75</v>
      </c>
      <c r="U52" s="12">
        <v>0.8</v>
      </c>
      <c r="V52" s="12"/>
      <c r="W52" s="12">
        <v>22.02460917195469</v>
      </c>
      <c r="X52" s="12">
        <v>418.31032474763413</v>
      </c>
      <c r="Y52" s="12">
        <v>6600</v>
      </c>
      <c r="Z52" s="12">
        <v>17.5</v>
      </c>
      <c r="AA52" s="12" t="s">
        <v>1934</v>
      </c>
      <c r="AB52" s="12" t="s">
        <v>269</v>
      </c>
    </row>
    <row r="53" spans="1:28" x14ac:dyDescent="0.3">
      <c r="A53" s="12" t="s">
        <v>1938</v>
      </c>
      <c r="B53" s="12" t="s">
        <v>96</v>
      </c>
      <c r="C53" s="12" t="s">
        <v>96</v>
      </c>
      <c r="D53" s="12" t="s">
        <v>97</v>
      </c>
      <c r="E53" s="12" t="s">
        <v>1886</v>
      </c>
      <c r="F53" s="12" t="s">
        <v>832</v>
      </c>
      <c r="G53" s="12" t="s">
        <v>832</v>
      </c>
      <c r="H53" s="12" t="b">
        <v>0</v>
      </c>
      <c r="I53" s="12" t="b">
        <v>0</v>
      </c>
      <c r="J53" s="12" t="b">
        <v>0</v>
      </c>
      <c r="K53" s="12" t="b">
        <v>0</v>
      </c>
      <c r="L53" s="12">
        <v>623.15</v>
      </c>
      <c r="M53" s="12">
        <v>300.032917</v>
      </c>
      <c r="N53" s="12">
        <v>3000</v>
      </c>
      <c r="O53" s="12">
        <v>300</v>
      </c>
      <c r="P53" s="12">
        <v>0.5</v>
      </c>
      <c r="Q53" s="12">
        <v>0.85</v>
      </c>
      <c r="R53" s="12">
        <v>0.75</v>
      </c>
      <c r="S53" s="12">
        <v>0.85</v>
      </c>
      <c r="T53" s="12">
        <v>0.75</v>
      </c>
      <c r="U53" s="12">
        <v>0.8</v>
      </c>
      <c r="V53" s="12"/>
      <c r="W53" s="12"/>
      <c r="X53" s="12"/>
      <c r="Y53" s="12">
        <v>2700</v>
      </c>
      <c r="Z53" s="12">
        <v>10</v>
      </c>
      <c r="AA53" s="12"/>
      <c r="AB53" s="12" t="s">
        <v>271</v>
      </c>
    </row>
    <row r="54" spans="1:28" x14ac:dyDescent="0.3">
      <c r="A54" s="12" t="s">
        <v>1939</v>
      </c>
      <c r="B54" s="12" t="s">
        <v>96</v>
      </c>
      <c r="C54" s="12" t="s">
        <v>96</v>
      </c>
      <c r="D54" s="12" t="s">
        <v>97</v>
      </c>
      <c r="E54" s="12" t="s">
        <v>1886</v>
      </c>
      <c r="F54" s="12" t="s">
        <v>1863</v>
      </c>
      <c r="G54" s="12" t="s">
        <v>832</v>
      </c>
      <c r="H54" s="12" t="b">
        <v>0</v>
      </c>
      <c r="I54" s="12" t="b">
        <v>0</v>
      </c>
      <c r="J54" s="12" t="b">
        <v>1</v>
      </c>
      <c r="K54" s="12" t="b">
        <v>0</v>
      </c>
      <c r="L54" s="12">
        <v>623.15</v>
      </c>
      <c r="M54" s="12">
        <v>300.032917</v>
      </c>
      <c r="N54" s="12">
        <v>9000</v>
      </c>
      <c r="O54" s="12">
        <v>400</v>
      </c>
      <c r="P54" s="12">
        <v>0.5</v>
      </c>
      <c r="Q54" s="12">
        <v>0.85</v>
      </c>
      <c r="R54" s="12">
        <v>0.75</v>
      </c>
      <c r="S54" s="12">
        <v>0.85</v>
      </c>
      <c r="T54" s="12">
        <v>0.75</v>
      </c>
      <c r="U54" s="12">
        <v>0.8</v>
      </c>
      <c r="V54" s="12"/>
      <c r="W54" s="12">
        <v>22.18236104809014</v>
      </c>
      <c r="X54" s="12">
        <v>418.97476436410381</v>
      </c>
      <c r="Y54" s="12">
        <v>8600</v>
      </c>
      <c r="Z54" s="12">
        <v>22.5</v>
      </c>
      <c r="AA54" s="12" t="s">
        <v>1934</v>
      </c>
      <c r="AB54" s="12" t="s">
        <v>269</v>
      </c>
    </row>
    <row r="55" spans="1:28" x14ac:dyDescent="0.3">
      <c r="A55" s="12" t="s">
        <v>1940</v>
      </c>
      <c r="B55" s="12" t="s">
        <v>96</v>
      </c>
      <c r="C55" s="12" t="s">
        <v>96</v>
      </c>
      <c r="D55" s="12" t="s">
        <v>97</v>
      </c>
      <c r="E55" s="12" t="s">
        <v>1886</v>
      </c>
      <c r="F55" s="12" t="s">
        <v>832</v>
      </c>
      <c r="G55" s="12" t="s">
        <v>832</v>
      </c>
      <c r="H55" s="12" t="b">
        <v>0</v>
      </c>
      <c r="I55" s="12" t="b">
        <v>0</v>
      </c>
      <c r="J55" s="12" t="b">
        <v>0</v>
      </c>
      <c r="K55" s="12" t="b">
        <v>0</v>
      </c>
      <c r="L55" s="12">
        <v>623.15</v>
      </c>
      <c r="M55" s="12">
        <v>300.032917</v>
      </c>
      <c r="N55" s="12">
        <v>3000</v>
      </c>
      <c r="O55" s="12">
        <v>450</v>
      </c>
      <c r="P55" s="12">
        <v>0.5</v>
      </c>
      <c r="Q55" s="12">
        <v>0.85</v>
      </c>
      <c r="R55" s="12">
        <v>0.75</v>
      </c>
      <c r="S55" s="12">
        <v>0.85</v>
      </c>
      <c r="T55" s="12">
        <v>0.75</v>
      </c>
      <c r="U55" s="12">
        <v>0.8</v>
      </c>
      <c r="V55" s="12"/>
      <c r="W55" s="12"/>
      <c r="X55" s="12"/>
      <c r="Y55" s="12">
        <v>2550</v>
      </c>
      <c r="Z55" s="12">
        <v>6.666666666666667</v>
      </c>
      <c r="AA55" s="12"/>
      <c r="AB55" s="12" t="s">
        <v>271</v>
      </c>
    </row>
    <row r="56" spans="1:28" x14ac:dyDescent="0.3">
      <c r="A56" s="12" t="s">
        <v>1941</v>
      </c>
      <c r="B56" s="12" t="s">
        <v>96</v>
      </c>
      <c r="C56" s="12" t="s">
        <v>96</v>
      </c>
      <c r="D56" s="12" t="s">
        <v>97</v>
      </c>
      <c r="E56" s="12" t="s">
        <v>1886</v>
      </c>
      <c r="F56" s="12" t="s">
        <v>832</v>
      </c>
      <c r="G56" s="12" t="s">
        <v>832</v>
      </c>
      <c r="H56" s="12" t="b">
        <v>0</v>
      </c>
      <c r="I56" s="12" t="b">
        <v>0</v>
      </c>
      <c r="J56" s="12" t="b">
        <v>0</v>
      </c>
      <c r="K56" s="12" t="b">
        <v>0</v>
      </c>
      <c r="L56" s="12">
        <v>623.15</v>
      </c>
      <c r="M56" s="12">
        <v>300.032917</v>
      </c>
      <c r="N56" s="12">
        <v>3000</v>
      </c>
      <c r="O56" s="12">
        <v>600</v>
      </c>
      <c r="P56" s="12">
        <v>0.5</v>
      </c>
      <c r="Q56" s="12">
        <v>0.85</v>
      </c>
      <c r="R56" s="12">
        <v>0.75</v>
      </c>
      <c r="S56" s="12">
        <v>0.85</v>
      </c>
      <c r="T56" s="12">
        <v>0.75</v>
      </c>
      <c r="U56" s="12">
        <v>0.8</v>
      </c>
      <c r="V56" s="12"/>
      <c r="W56" s="12"/>
      <c r="X56" s="12"/>
      <c r="Y56" s="12">
        <v>2400</v>
      </c>
      <c r="Z56" s="12">
        <v>5</v>
      </c>
      <c r="AA56" s="12"/>
      <c r="AB56" s="12" t="s">
        <v>271</v>
      </c>
    </row>
    <row r="57" spans="1:28" x14ac:dyDescent="0.3">
      <c r="A57" s="12" t="s">
        <v>1942</v>
      </c>
      <c r="B57" s="12" t="s">
        <v>96</v>
      </c>
      <c r="C57" s="12" t="s">
        <v>96</v>
      </c>
      <c r="D57" s="12" t="s">
        <v>97</v>
      </c>
      <c r="E57" s="12" t="s">
        <v>1886</v>
      </c>
      <c r="F57" s="12" t="s">
        <v>1863</v>
      </c>
      <c r="G57" s="12" t="s">
        <v>832</v>
      </c>
      <c r="H57" s="12" t="b">
        <v>0</v>
      </c>
      <c r="I57" s="12" t="b">
        <v>0</v>
      </c>
      <c r="J57" s="12" t="b">
        <v>1</v>
      </c>
      <c r="K57" s="12" t="b">
        <v>0</v>
      </c>
      <c r="L57" s="12">
        <v>623.15</v>
      </c>
      <c r="M57" s="12">
        <v>300.032917</v>
      </c>
      <c r="N57" s="12">
        <v>8000</v>
      </c>
      <c r="O57" s="12">
        <v>400</v>
      </c>
      <c r="P57" s="12">
        <v>0.5</v>
      </c>
      <c r="Q57" s="12">
        <v>0.85</v>
      </c>
      <c r="R57" s="12">
        <v>0.75</v>
      </c>
      <c r="S57" s="12">
        <v>0.85</v>
      </c>
      <c r="T57" s="12">
        <v>0.75</v>
      </c>
      <c r="U57" s="12">
        <v>0.8</v>
      </c>
      <c r="V57" s="12"/>
      <c r="W57" s="12">
        <v>21.961398751624841</v>
      </c>
      <c r="X57" s="12">
        <v>416.35814892115991</v>
      </c>
      <c r="Y57" s="12">
        <v>7600</v>
      </c>
      <c r="Z57" s="12">
        <v>20</v>
      </c>
      <c r="AA57" s="12" t="s">
        <v>1934</v>
      </c>
      <c r="AB57" s="12" t="s">
        <v>269</v>
      </c>
    </row>
    <row r="58" spans="1:28" x14ac:dyDescent="0.3">
      <c r="A58" s="12" t="s">
        <v>1943</v>
      </c>
      <c r="B58" s="12" t="s">
        <v>96</v>
      </c>
      <c r="C58" s="12" t="s">
        <v>96</v>
      </c>
      <c r="D58" s="12" t="s">
        <v>97</v>
      </c>
      <c r="E58" s="12" t="s">
        <v>1886</v>
      </c>
      <c r="F58" s="12" t="s">
        <v>832</v>
      </c>
      <c r="G58" s="12" t="s">
        <v>832</v>
      </c>
      <c r="H58" s="12" t="b">
        <v>0</v>
      </c>
      <c r="I58" s="12" t="b">
        <v>0</v>
      </c>
      <c r="J58" s="12" t="b">
        <v>0</v>
      </c>
      <c r="K58" s="12" t="b">
        <v>0</v>
      </c>
      <c r="L58" s="12">
        <v>623.15</v>
      </c>
      <c r="M58" s="12">
        <v>300.032917</v>
      </c>
      <c r="N58" s="12">
        <v>3000</v>
      </c>
      <c r="O58" s="12">
        <v>1200</v>
      </c>
      <c r="P58" s="12">
        <v>0.5</v>
      </c>
      <c r="Q58" s="12">
        <v>0.85</v>
      </c>
      <c r="R58" s="12">
        <v>0.75</v>
      </c>
      <c r="S58" s="12">
        <v>0.85</v>
      </c>
      <c r="T58" s="12">
        <v>0.75</v>
      </c>
      <c r="U58" s="12">
        <v>0.8</v>
      </c>
      <c r="V58" s="12"/>
      <c r="W58" s="12"/>
      <c r="X58" s="12"/>
      <c r="Y58" s="12">
        <v>1800</v>
      </c>
      <c r="Z58" s="12">
        <v>2.5</v>
      </c>
      <c r="AA58" s="12"/>
      <c r="AB58" s="12" t="s">
        <v>271</v>
      </c>
    </row>
    <row r="59" spans="1:28" x14ac:dyDescent="0.3">
      <c r="A59" s="12" t="s">
        <v>1944</v>
      </c>
      <c r="B59" s="12" t="s">
        <v>96</v>
      </c>
      <c r="C59" s="12" t="s">
        <v>96</v>
      </c>
      <c r="D59" s="12" t="s">
        <v>97</v>
      </c>
      <c r="E59" s="12" t="s">
        <v>1886</v>
      </c>
      <c r="F59" s="12" t="s">
        <v>832</v>
      </c>
      <c r="G59" s="12" t="s">
        <v>832</v>
      </c>
      <c r="H59" s="12" t="b">
        <v>0</v>
      </c>
      <c r="I59" s="12" t="b">
        <v>0</v>
      </c>
      <c r="J59" s="12" t="b">
        <v>0</v>
      </c>
      <c r="K59" s="12" t="b">
        <v>0</v>
      </c>
      <c r="L59" s="12">
        <v>623.15</v>
      </c>
      <c r="M59" s="12">
        <v>300.032917</v>
      </c>
      <c r="N59" s="12">
        <v>3000</v>
      </c>
      <c r="O59" s="12">
        <v>1050</v>
      </c>
      <c r="P59" s="12">
        <v>0.5</v>
      </c>
      <c r="Q59" s="12">
        <v>0.85</v>
      </c>
      <c r="R59" s="12">
        <v>0.75</v>
      </c>
      <c r="S59" s="12">
        <v>0.85</v>
      </c>
      <c r="T59" s="12">
        <v>0.75</v>
      </c>
      <c r="U59" s="12">
        <v>0.8</v>
      </c>
      <c r="V59" s="12"/>
      <c r="W59" s="12"/>
      <c r="X59" s="12"/>
      <c r="Y59" s="12">
        <v>1950</v>
      </c>
      <c r="Z59" s="12">
        <v>2.8571428571428572</v>
      </c>
      <c r="AA59" s="12"/>
      <c r="AB59" s="12" t="s">
        <v>271</v>
      </c>
    </row>
    <row r="60" spans="1:28" x14ac:dyDescent="0.3">
      <c r="A60" s="12" t="s">
        <v>1945</v>
      </c>
      <c r="B60" s="12" t="s">
        <v>96</v>
      </c>
      <c r="C60" s="12" t="s">
        <v>96</v>
      </c>
      <c r="D60" s="12" t="s">
        <v>97</v>
      </c>
      <c r="E60" s="12" t="s">
        <v>1886</v>
      </c>
      <c r="F60" s="12" t="s">
        <v>832</v>
      </c>
      <c r="G60" s="12" t="s">
        <v>832</v>
      </c>
      <c r="H60" s="12" t="b">
        <v>0</v>
      </c>
      <c r="I60" s="12" t="b">
        <v>0</v>
      </c>
      <c r="J60" s="12" t="b">
        <v>0</v>
      </c>
      <c r="K60" s="12" t="b">
        <v>0</v>
      </c>
      <c r="L60" s="12">
        <v>623.15</v>
      </c>
      <c r="M60" s="12">
        <v>300.032917</v>
      </c>
      <c r="N60" s="12">
        <v>3000</v>
      </c>
      <c r="O60" s="12">
        <v>750</v>
      </c>
      <c r="P60" s="12">
        <v>0.5</v>
      </c>
      <c r="Q60" s="12">
        <v>0.85</v>
      </c>
      <c r="R60" s="12">
        <v>0.75</v>
      </c>
      <c r="S60" s="12">
        <v>0.85</v>
      </c>
      <c r="T60" s="12">
        <v>0.75</v>
      </c>
      <c r="U60" s="12">
        <v>0.8</v>
      </c>
      <c r="V60" s="12"/>
      <c r="W60" s="12"/>
      <c r="X60" s="12"/>
      <c r="Y60" s="12">
        <v>2250</v>
      </c>
      <c r="Z60" s="12">
        <v>4</v>
      </c>
      <c r="AA60" s="12"/>
      <c r="AB60" s="12" t="s">
        <v>271</v>
      </c>
    </row>
    <row r="61" spans="1:28" x14ac:dyDescent="0.3">
      <c r="A61" s="12" t="s">
        <v>1946</v>
      </c>
      <c r="B61" s="12" t="s">
        <v>96</v>
      </c>
      <c r="C61" s="12" t="s">
        <v>96</v>
      </c>
      <c r="D61" s="12" t="s">
        <v>97</v>
      </c>
      <c r="E61" s="12" t="s">
        <v>1886</v>
      </c>
      <c r="F61" s="12" t="s">
        <v>832</v>
      </c>
      <c r="G61" s="12" t="s">
        <v>832</v>
      </c>
      <c r="H61" s="12" t="b">
        <v>0</v>
      </c>
      <c r="I61" s="12" t="b">
        <v>0</v>
      </c>
      <c r="J61" s="12" t="b">
        <v>0</v>
      </c>
      <c r="K61" s="12" t="b">
        <v>0</v>
      </c>
      <c r="L61" s="12">
        <v>623.15</v>
      </c>
      <c r="M61" s="12">
        <v>300.032917</v>
      </c>
      <c r="N61" s="12">
        <v>3000</v>
      </c>
      <c r="O61" s="12">
        <v>900</v>
      </c>
      <c r="P61" s="12">
        <v>0.5</v>
      </c>
      <c r="Q61" s="12">
        <v>0.85</v>
      </c>
      <c r="R61" s="12">
        <v>0.75</v>
      </c>
      <c r="S61" s="12">
        <v>0.85</v>
      </c>
      <c r="T61" s="12">
        <v>0.75</v>
      </c>
      <c r="U61" s="12">
        <v>0.8</v>
      </c>
      <c r="V61" s="12"/>
      <c r="W61" s="12"/>
      <c r="X61" s="12"/>
      <c r="Y61" s="12">
        <v>2100</v>
      </c>
      <c r="Z61" s="12">
        <v>3.333333333333333</v>
      </c>
      <c r="AA61" s="12"/>
      <c r="AB61" s="12" t="s">
        <v>271</v>
      </c>
    </row>
    <row r="62" spans="1:28" x14ac:dyDescent="0.3">
      <c r="A62" s="12" t="s">
        <v>1947</v>
      </c>
      <c r="B62" s="12" t="s">
        <v>96</v>
      </c>
      <c r="C62" s="12" t="s">
        <v>96</v>
      </c>
      <c r="D62" s="12" t="s">
        <v>97</v>
      </c>
      <c r="E62" s="12" t="s">
        <v>1886</v>
      </c>
      <c r="F62" s="12" t="s">
        <v>832</v>
      </c>
      <c r="G62" s="12" t="s">
        <v>832</v>
      </c>
      <c r="H62" s="12" t="b">
        <v>0</v>
      </c>
      <c r="I62" s="12" t="b">
        <v>0</v>
      </c>
      <c r="J62" s="12" t="b">
        <v>0</v>
      </c>
      <c r="K62" s="12" t="b">
        <v>0</v>
      </c>
      <c r="L62" s="12">
        <v>623.15</v>
      </c>
      <c r="M62" s="12">
        <v>300.032917</v>
      </c>
      <c r="N62" s="12">
        <v>3000</v>
      </c>
      <c r="O62" s="12">
        <v>1350</v>
      </c>
      <c r="P62" s="12">
        <v>0.5</v>
      </c>
      <c r="Q62" s="12">
        <v>0.85</v>
      </c>
      <c r="R62" s="12">
        <v>0.75</v>
      </c>
      <c r="S62" s="12">
        <v>0.85</v>
      </c>
      <c r="T62" s="12">
        <v>0.75</v>
      </c>
      <c r="U62" s="12">
        <v>0.8</v>
      </c>
      <c r="V62" s="12"/>
      <c r="W62" s="12"/>
      <c r="X62" s="12"/>
      <c r="Y62" s="12">
        <v>1650</v>
      </c>
      <c r="Z62" s="12">
        <v>2.2222222222222219</v>
      </c>
      <c r="AA62" s="12"/>
      <c r="AB62" s="12" t="s">
        <v>271</v>
      </c>
    </row>
    <row r="63" spans="1:28" x14ac:dyDescent="0.3">
      <c r="A63" s="12" t="s">
        <v>1948</v>
      </c>
      <c r="B63" s="12" t="s">
        <v>96</v>
      </c>
      <c r="C63" s="12" t="s">
        <v>96</v>
      </c>
      <c r="D63" s="12" t="s">
        <v>97</v>
      </c>
      <c r="E63" s="12" t="s">
        <v>1886</v>
      </c>
      <c r="F63" s="12" t="s">
        <v>832</v>
      </c>
      <c r="G63" s="12" t="s">
        <v>832</v>
      </c>
      <c r="H63" s="12" t="b">
        <v>0</v>
      </c>
      <c r="I63" s="12" t="b">
        <v>0</v>
      </c>
      <c r="J63" s="12" t="b">
        <v>0</v>
      </c>
      <c r="K63" s="12" t="b">
        <v>0</v>
      </c>
      <c r="L63" s="12">
        <v>623.15</v>
      </c>
      <c r="M63" s="12">
        <v>300.032917</v>
      </c>
      <c r="N63" s="12">
        <v>3000</v>
      </c>
      <c r="O63" s="12">
        <v>400</v>
      </c>
      <c r="P63" s="12">
        <v>0.3666666666666667</v>
      </c>
      <c r="Q63" s="12">
        <v>0.85</v>
      </c>
      <c r="R63" s="12">
        <v>0.75</v>
      </c>
      <c r="S63" s="12">
        <v>0.85</v>
      </c>
      <c r="T63" s="12">
        <v>0.75</v>
      </c>
      <c r="U63" s="12">
        <v>0.8</v>
      </c>
      <c r="V63" s="12"/>
      <c r="W63" s="12"/>
      <c r="X63" s="12"/>
      <c r="Y63" s="12">
        <v>2600</v>
      </c>
      <c r="Z63" s="12">
        <v>7.5</v>
      </c>
      <c r="AA63" s="12"/>
      <c r="AB63" s="12" t="s">
        <v>272</v>
      </c>
    </row>
    <row r="64" spans="1:28" x14ac:dyDescent="0.3">
      <c r="A64" s="12" t="s">
        <v>1949</v>
      </c>
      <c r="B64" s="12" t="s">
        <v>96</v>
      </c>
      <c r="C64" s="12" t="s">
        <v>96</v>
      </c>
      <c r="D64" s="12" t="s">
        <v>97</v>
      </c>
      <c r="E64" s="12" t="s">
        <v>1886</v>
      </c>
      <c r="F64" s="12" t="s">
        <v>832</v>
      </c>
      <c r="G64" s="12" t="s">
        <v>832</v>
      </c>
      <c r="H64" s="12" t="b">
        <v>0</v>
      </c>
      <c r="I64" s="12" t="b">
        <v>0</v>
      </c>
      <c r="J64" s="12" t="b">
        <v>0</v>
      </c>
      <c r="K64" s="12" t="b">
        <v>0</v>
      </c>
      <c r="L64" s="12">
        <v>623.15</v>
      </c>
      <c r="M64" s="12">
        <v>300.032917</v>
      </c>
      <c r="N64" s="12">
        <v>3000</v>
      </c>
      <c r="O64" s="12">
        <v>1500</v>
      </c>
      <c r="P64" s="12">
        <v>0.5</v>
      </c>
      <c r="Q64" s="12">
        <v>0.85</v>
      </c>
      <c r="R64" s="12">
        <v>0.75</v>
      </c>
      <c r="S64" s="12">
        <v>0.85</v>
      </c>
      <c r="T64" s="12">
        <v>0.75</v>
      </c>
      <c r="U64" s="12">
        <v>0.8</v>
      </c>
      <c r="V64" s="12"/>
      <c r="W64" s="12"/>
      <c r="X64" s="12"/>
      <c r="Y64" s="12">
        <v>1500</v>
      </c>
      <c r="Z64" s="12">
        <v>2</v>
      </c>
      <c r="AA64" s="12"/>
      <c r="AB64" s="12" t="s">
        <v>271</v>
      </c>
    </row>
    <row r="65" spans="1:28" x14ac:dyDescent="0.3">
      <c r="A65" s="12" t="s">
        <v>1950</v>
      </c>
      <c r="B65" s="12" t="s">
        <v>96</v>
      </c>
      <c r="C65" s="12" t="s">
        <v>96</v>
      </c>
      <c r="D65" s="12" t="s">
        <v>97</v>
      </c>
      <c r="E65" s="12" t="s">
        <v>1886</v>
      </c>
      <c r="F65" s="12" t="s">
        <v>832</v>
      </c>
      <c r="G65" s="12" t="s">
        <v>832</v>
      </c>
      <c r="H65" s="12" t="b">
        <v>0</v>
      </c>
      <c r="I65" s="12" t="b">
        <v>0</v>
      </c>
      <c r="J65" s="12" t="b">
        <v>0</v>
      </c>
      <c r="K65" s="12" t="b">
        <v>0</v>
      </c>
      <c r="L65" s="12">
        <v>623.15</v>
      </c>
      <c r="M65" s="12">
        <v>300.032917</v>
      </c>
      <c r="N65" s="12">
        <v>3000</v>
      </c>
      <c r="O65" s="12">
        <v>400</v>
      </c>
      <c r="P65" s="12">
        <v>0.5</v>
      </c>
      <c r="Q65" s="12">
        <v>0.85</v>
      </c>
      <c r="R65" s="12">
        <v>0.75</v>
      </c>
      <c r="S65" s="12">
        <v>0.85</v>
      </c>
      <c r="T65" s="12">
        <v>0.75</v>
      </c>
      <c r="U65" s="12">
        <v>0.8</v>
      </c>
      <c r="V65" s="12"/>
      <c r="W65" s="12"/>
      <c r="X65" s="12"/>
      <c r="Y65" s="12">
        <v>2600</v>
      </c>
      <c r="Z65" s="12">
        <v>7.5</v>
      </c>
      <c r="AA65" s="12"/>
      <c r="AB65" s="12" t="s">
        <v>272</v>
      </c>
    </row>
    <row r="66" spans="1:28" x14ac:dyDescent="0.3">
      <c r="A66" s="12" t="s">
        <v>1951</v>
      </c>
      <c r="B66" s="12" t="s">
        <v>96</v>
      </c>
      <c r="C66" s="12" t="s">
        <v>96</v>
      </c>
      <c r="D66" s="12" t="s">
        <v>97</v>
      </c>
      <c r="E66" s="12" t="s">
        <v>1886</v>
      </c>
      <c r="F66" s="12" t="s">
        <v>832</v>
      </c>
      <c r="G66" s="12" t="s">
        <v>832</v>
      </c>
      <c r="H66" s="12" t="b">
        <v>0</v>
      </c>
      <c r="I66" s="12" t="b">
        <v>0</v>
      </c>
      <c r="J66" s="12" t="b">
        <v>0</v>
      </c>
      <c r="K66" s="12" t="b">
        <v>0</v>
      </c>
      <c r="L66" s="12">
        <v>623.15</v>
      </c>
      <c r="M66" s="12">
        <v>300.032917</v>
      </c>
      <c r="N66" s="12">
        <v>3000</v>
      </c>
      <c r="O66" s="12">
        <v>400</v>
      </c>
      <c r="P66" s="12">
        <v>0.43333333333333329</v>
      </c>
      <c r="Q66" s="12">
        <v>0.85</v>
      </c>
      <c r="R66" s="12">
        <v>0.75</v>
      </c>
      <c r="S66" s="12">
        <v>0.85</v>
      </c>
      <c r="T66" s="12">
        <v>0.75</v>
      </c>
      <c r="U66" s="12">
        <v>0.8</v>
      </c>
      <c r="V66" s="12"/>
      <c r="W66" s="12"/>
      <c r="X66" s="12"/>
      <c r="Y66" s="12">
        <v>2600</v>
      </c>
      <c r="Z66" s="12">
        <v>7.5</v>
      </c>
      <c r="AA66" s="12"/>
      <c r="AB66" s="12" t="s">
        <v>272</v>
      </c>
    </row>
    <row r="67" spans="1:28" x14ac:dyDescent="0.3">
      <c r="A67" s="12" t="s">
        <v>1952</v>
      </c>
      <c r="B67" s="12" t="s">
        <v>96</v>
      </c>
      <c r="C67" s="12" t="s">
        <v>96</v>
      </c>
      <c r="D67" s="12" t="s">
        <v>97</v>
      </c>
      <c r="E67" s="12" t="s">
        <v>1886</v>
      </c>
      <c r="F67" s="12" t="s">
        <v>832</v>
      </c>
      <c r="G67" s="12" t="s">
        <v>832</v>
      </c>
      <c r="H67" s="12" t="b">
        <v>0</v>
      </c>
      <c r="I67" s="12" t="b">
        <v>0</v>
      </c>
      <c r="J67" s="12" t="b">
        <v>0</v>
      </c>
      <c r="K67" s="12" t="b">
        <v>0</v>
      </c>
      <c r="L67" s="12">
        <v>623.15</v>
      </c>
      <c r="M67" s="12">
        <v>300.032917</v>
      </c>
      <c r="N67" s="12">
        <v>3000</v>
      </c>
      <c r="O67" s="12">
        <v>400</v>
      </c>
      <c r="P67" s="12">
        <v>0.6333333333333333</v>
      </c>
      <c r="Q67" s="12">
        <v>0.85</v>
      </c>
      <c r="R67" s="12">
        <v>0.75</v>
      </c>
      <c r="S67" s="12">
        <v>0.85</v>
      </c>
      <c r="T67" s="12">
        <v>0.75</v>
      </c>
      <c r="U67" s="12">
        <v>0.8</v>
      </c>
      <c r="V67" s="12"/>
      <c r="W67" s="12"/>
      <c r="X67" s="12"/>
      <c r="Y67" s="12">
        <v>2600</v>
      </c>
      <c r="Z67" s="12">
        <v>7.5</v>
      </c>
      <c r="AA67" s="12"/>
      <c r="AB67" s="12" t="s">
        <v>272</v>
      </c>
    </row>
    <row r="68" spans="1:28" x14ac:dyDescent="0.3">
      <c r="A68" s="12" t="s">
        <v>1953</v>
      </c>
      <c r="B68" s="12" t="s">
        <v>96</v>
      </c>
      <c r="C68" s="12" t="s">
        <v>96</v>
      </c>
      <c r="D68" s="12" t="s">
        <v>97</v>
      </c>
      <c r="E68" s="12" t="s">
        <v>1886</v>
      </c>
      <c r="F68" s="12" t="s">
        <v>832</v>
      </c>
      <c r="G68" s="12" t="s">
        <v>832</v>
      </c>
      <c r="H68" s="12" t="b">
        <v>0</v>
      </c>
      <c r="I68" s="12" t="b">
        <v>0</v>
      </c>
      <c r="J68" s="12" t="b">
        <v>0</v>
      </c>
      <c r="K68" s="12" t="b">
        <v>0</v>
      </c>
      <c r="L68" s="12">
        <v>623.15</v>
      </c>
      <c r="M68" s="12">
        <v>300.032917</v>
      </c>
      <c r="N68" s="12">
        <v>3000</v>
      </c>
      <c r="O68" s="12">
        <v>400</v>
      </c>
      <c r="P68" s="12">
        <v>0.56666666666666665</v>
      </c>
      <c r="Q68" s="12">
        <v>0.85</v>
      </c>
      <c r="R68" s="12">
        <v>0.75</v>
      </c>
      <c r="S68" s="12">
        <v>0.85</v>
      </c>
      <c r="T68" s="12">
        <v>0.75</v>
      </c>
      <c r="U68" s="12">
        <v>0.8</v>
      </c>
      <c r="V68" s="12"/>
      <c r="W68" s="12"/>
      <c r="X68" s="12"/>
      <c r="Y68" s="12">
        <v>2600</v>
      </c>
      <c r="Z68" s="12">
        <v>7.5</v>
      </c>
      <c r="AA68" s="12"/>
      <c r="AB68" s="12" t="s">
        <v>272</v>
      </c>
    </row>
    <row r="69" spans="1:28" x14ac:dyDescent="0.3">
      <c r="A69" s="12" t="s">
        <v>1954</v>
      </c>
      <c r="B69" s="12" t="s">
        <v>96</v>
      </c>
      <c r="C69" s="12" t="s">
        <v>96</v>
      </c>
      <c r="D69" s="12" t="s">
        <v>97</v>
      </c>
      <c r="E69" s="12" t="s">
        <v>1886</v>
      </c>
      <c r="F69" s="12" t="s">
        <v>832</v>
      </c>
      <c r="G69" s="12" t="s">
        <v>832</v>
      </c>
      <c r="H69" s="12" t="b">
        <v>0</v>
      </c>
      <c r="I69" s="12" t="b">
        <v>0</v>
      </c>
      <c r="J69" s="12" t="b">
        <v>0</v>
      </c>
      <c r="K69" s="12" t="b">
        <v>0</v>
      </c>
      <c r="L69" s="12">
        <v>623.15</v>
      </c>
      <c r="M69" s="12">
        <v>300.032917</v>
      </c>
      <c r="N69" s="12">
        <v>3000</v>
      </c>
      <c r="O69" s="12">
        <v>400</v>
      </c>
      <c r="P69" s="12">
        <v>0.70000000000000007</v>
      </c>
      <c r="Q69" s="12">
        <v>0.85</v>
      </c>
      <c r="R69" s="12">
        <v>0.75</v>
      </c>
      <c r="S69" s="12">
        <v>0.85</v>
      </c>
      <c r="T69" s="12">
        <v>0.75</v>
      </c>
      <c r="U69" s="12">
        <v>0.8</v>
      </c>
      <c r="V69" s="12"/>
      <c r="W69" s="12"/>
      <c r="X69" s="12"/>
      <c r="Y69" s="12">
        <v>2600</v>
      </c>
      <c r="Z69" s="12">
        <v>7.5</v>
      </c>
      <c r="AA69" s="12"/>
      <c r="AB69" s="12" t="s">
        <v>272</v>
      </c>
    </row>
    <row r="70" spans="1:28" x14ac:dyDescent="0.3">
      <c r="A70" s="12" t="s">
        <v>1955</v>
      </c>
      <c r="B70" s="12" t="s">
        <v>96</v>
      </c>
      <c r="C70" s="12" t="s">
        <v>96</v>
      </c>
      <c r="D70" s="12" t="s">
        <v>97</v>
      </c>
      <c r="E70" s="12" t="s">
        <v>1886</v>
      </c>
      <c r="F70" s="12" t="s">
        <v>832</v>
      </c>
      <c r="G70" s="12" t="s">
        <v>832</v>
      </c>
      <c r="H70" s="12" t="b">
        <v>0</v>
      </c>
      <c r="I70" s="12" t="b">
        <v>0</v>
      </c>
      <c r="J70" s="12" t="b">
        <v>0</v>
      </c>
      <c r="K70" s="12" t="b">
        <v>0</v>
      </c>
      <c r="L70" s="12">
        <v>623.15</v>
      </c>
      <c r="M70" s="12">
        <v>300.032917</v>
      </c>
      <c r="N70" s="12">
        <v>3000</v>
      </c>
      <c r="O70" s="12">
        <v>400</v>
      </c>
      <c r="P70" s="12">
        <v>0.76666666666666683</v>
      </c>
      <c r="Q70" s="12">
        <v>0.85</v>
      </c>
      <c r="R70" s="12">
        <v>0.75</v>
      </c>
      <c r="S70" s="12">
        <v>0.85</v>
      </c>
      <c r="T70" s="12">
        <v>0.75</v>
      </c>
      <c r="U70" s="12">
        <v>0.8</v>
      </c>
      <c r="V70" s="12"/>
      <c r="W70" s="12"/>
      <c r="X70" s="12"/>
      <c r="Y70" s="12">
        <v>2600</v>
      </c>
      <c r="Z70" s="12">
        <v>7.5</v>
      </c>
      <c r="AA70" s="12"/>
      <c r="AB70" s="12" t="s">
        <v>272</v>
      </c>
    </row>
    <row r="71" spans="1:28" x14ac:dyDescent="0.3">
      <c r="A71" s="12" t="s">
        <v>1956</v>
      </c>
      <c r="B71" s="12" t="s">
        <v>96</v>
      </c>
      <c r="C71" s="12" t="s">
        <v>96</v>
      </c>
      <c r="D71" s="12" t="s">
        <v>97</v>
      </c>
      <c r="E71" s="12" t="s">
        <v>1886</v>
      </c>
      <c r="F71" s="12" t="s">
        <v>832</v>
      </c>
      <c r="G71" s="12" t="s">
        <v>832</v>
      </c>
      <c r="H71" s="12" t="b">
        <v>0</v>
      </c>
      <c r="I71" s="12" t="b">
        <v>0</v>
      </c>
      <c r="J71" s="12" t="b">
        <v>0</v>
      </c>
      <c r="K71" s="12" t="b">
        <v>0</v>
      </c>
      <c r="L71" s="12">
        <v>623.15</v>
      </c>
      <c r="M71" s="12">
        <v>300.032917</v>
      </c>
      <c r="N71" s="12">
        <v>3000</v>
      </c>
      <c r="O71" s="12">
        <v>400</v>
      </c>
      <c r="P71" s="12">
        <v>0.83333333333333348</v>
      </c>
      <c r="Q71" s="12">
        <v>0.85</v>
      </c>
      <c r="R71" s="12">
        <v>0.75</v>
      </c>
      <c r="S71" s="12">
        <v>0.85</v>
      </c>
      <c r="T71" s="12">
        <v>0.75</v>
      </c>
      <c r="U71" s="12">
        <v>0.8</v>
      </c>
      <c r="V71" s="12"/>
      <c r="W71" s="12"/>
      <c r="X71" s="12"/>
      <c r="Y71" s="12">
        <v>2600</v>
      </c>
      <c r="Z71" s="12">
        <v>7.5</v>
      </c>
      <c r="AA71" s="12"/>
      <c r="AB71" s="12" t="s">
        <v>272</v>
      </c>
    </row>
    <row r="72" spans="1:28" x14ac:dyDescent="0.3">
      <c r="A72" s="12" t="s">
        <v>1957</v>
      </c>
      <c r="B72" s="12" t="s">
        <v>96</v>
      </c>
      <c r="C72" s="12" t="s">
        <v>96</v>
      </c>
      <c r="D72" s="12" t="s">
        <v>97</v>
      </c>
      <c r="E72" s="12" t="s">
        <v>1886</v>
      </c>
      <c r="F72" s="12" t="s">
        <v>832</v>
      </c>
      <c r="G72" s="12" t="s">
        <v>832</v>
      </c>
      <c r="H72" s="12" t="b">
        <v>0</v>
      </c>
      <c r="I72" s="12" t="b">
        <v>0</v>
      </c>
      <c r="J72" s="12" t="b">
        <v>0</v>
      </c>
      <c r="K72" s="12" t="b">
        <v>0</v>
      </c>
      <c r="L72" s="12">
        <v>623.15</v>
      </c>
      <c r="M72" s="12">
        <v>300.032917</v>
      </c>
      <c r="N72" s="12">
        <v>3000</v>
      </c>
      <c r="O72" s="12">
        <v>400</v>
      </c>
      <c r="P72" s="12">
        <v>0.9</v>
      </c>
      <c r="Q72" s="12">
        <v>0.85</v>
      </c>
      <c r="R72" s="12">
        <v>0.75</v>
      </c>
      <c r="S72" s="12">
        <v>0.85</v>
      </c>
      <c r="T72" s="12">
        <v>0.75</v>
      </c>
      <c r="U72" s="12">
        <v>0.8</v>
      </c>
      <c r="V72" s="12"/>
      <c r="W72" s="12"/>
      <c r="X72" s="12"/>
      <c r="Y72" s="12">
        <v>2600</v>
      </c>
      <c r="Z72" s="12">
        <v>7.5</v>
      </c>
      <c r="AA72" s="12"/>
      <c r="AB72" s="12" t="s">
        <v>272</v>
      </c>
    </row>
    <row r="73" spans="1:28" x14ac:dyDescent="0.3">
      <c r="A73" s="12" t="s">
        <v>1958</v>
      </c>
      <c r="B73" s="12" t="s">
        <v>96</v>
      </c>
      <c r="C73" s="12" t="s">
        <v>96</v>
      </c>
      <c r="D73" s="12" t="s">
        <v>97</v>
      </c>
      <c r="E73" s="12" t="s">
        <v>1886</v>
      </c>
      <c r="F73" s="12" t="s">
        <v>1862</v>
      </c>
      <c r="G73" s="12" t="s">
        <v>1862</v>
      </c>
      <c r="H73" s="12" t="b">
        <v>1</v>
      </c>
      <c r="I73" s="12" t="b">
        <v>0</v>
      </c>
      <c r="J73" s="12" t="b">
        <v>1</v>
      </c>
      <c r="K73" s="12" t="b">
        <v>0</v>
      </c>
      <c r="L73" s="12">
        <v>623.15</v>
      </c>
      <c r="M73" s="12">
        <v>300.032917</v>
      </c>
      <c r="N73" s="12">
        <v>3000</v>
      </c>
      <c r="O73" s="12">
        <v>400</v>
      </c>
      <c r="P73" s="12">
        <v>0.3</v>
      </c>
      <c r="Q73" s="12">
        <v>0.85</v>
      </c>
      <c r="R73" s="12">
        <v>0.75</v>
      </c>
      <c r="S73" s="12">
        <v>0.85</v>
      </c>
      <c r="T73" s="12">
        <v>0.75</v>
      </c>
      <c r="U73" s="12">
        <v>0.8</v>
      </c>
      <c r="V73" s="12"/>
      <c r="W73" s="12">
        <v>13.515692571625239</v>
      </c>
      <c r="X73" s="12">
        <v>279.06403220083018</v>
      </c>
      <c r="Y73" s="12">
        <v>2600</v>
      </c>
      <c r="Z73" s="12">
        <v>7.5</v>
      </c>
      <c r="AA73" s="12" t="s">
        <v>1959</v>
      </c>
      <c r="AB73" s="12" t="s">
        <v>272</v>
      </c>
    </row>
    <row r="74" spans="1:28" x14ac:dyDescent="0.3">
      <c r="A74" s="12" t="s">
        <v>1960</v>
      </c>
      <c r="B74" s="12" t="s">
        <v>96</v>
      </c>
      <c r="C74" s="12" t="s">
        <v>96</v>
      </c>
      <c r="D74" s="12" t="s">
        <v>97</v>
      </c>
      <c r="E74" s="12" t="s">
        <v>1886</v>
      </c>
      <c r="F74" s="12" t="s">
        <v>832</v>
      </c>
      <c r="G74" s="12" t="s">
        <v>832</v>
      </c>
      <c r="H74" s="12" t="b">
        <v>0</v>
      </c>
      <c r="I74" s="12" t="b">
        <v>0</v>
      </c>
      <c r="J74" s="12" t="b">
        <v>0</v>
      </c>
      <c r="K74" s="12" t="b">
        <v>0</v>
      </c>
      <c r="L74" s="12">
        <v>623.15</v>
      </c>
      <c r="M74" s="12">
        <v>300.032917</v>
      </c>
      <c r="N74" s="12">
        <v>3000</v>
      </c>
      <c r="O74" s="12">
        <v>400</v>
      </c>
      <c r="P74" s="12">
        <v>0.5</v>
      </c>
      <c r="Q74" s="12">
        <v>0.76666666666666672</v>
      </c>
      <c r="R74" s="12">
        <v>0.75</v>
      </c>
      <c r="S74" s="12">
        <v>0.85</v>
      </c>
      <c r="T74" s="12">
        <v>0.75</v>
      </c>
      <c r="U74" s="12">
        <v>0.8</v>
      </c>
      <c r="V74" s="12"/>
      <c r="W74" s="12"/>
      <c r="X74" s="12"/>
      <c r="Y74" s="12">
        <v>2600</v>
      </c>
      <c r="Z74" s="12">
        <v>7.5</v>
      </c>
      <c r="AA74" s="12"/>
      <c r="AB74" s="12" t="s">
        <v>1875</v>
      </c>
    </row>
    <row r="75" spans="1:28" x14ac:dyDescent="0.3">
      <c r="A75" s="12" t="s">
        <v>1961</v>
      </c>
      <c r="B75" s="12" t="s">
        <v>96</v>
      </c>
      <c r="C75" s="12" t="s">
        <v>96</v>
      </c>
      <c r="D75" s="12" t="s">
        <v>97</v>
      </c>
      <c r="E75" s="12" t="s">
        <v>1886</v>
      </c>
      <c r="F75" s="12" t="s">
        <v>832</v>
      </c>
      <c r="G75" s="12" t="s">
        <v>832</v>
      </c>
      <c r="H75" s="12" t="b">
        <v>0</v>
      </c>
      <c r="I75" s="12" t="b">
        <v>0</v>
      </c>
      <c r="J75" s="12" t="b">
        <v>0</v>
      </c>
      <c r="K75" s="12" t="b">
        <v>0</v>
      </c>
      <c r="L75" s="12">
        <v>623.15</v>
      </c>
      <c r="M75" s="12">
        <v>300.032917</v>
      </c>
      <c r="N75" s="12">
        <v>3000</v>
      </c>
      <c r="O75" s="12">
        <v>400</v>
      </c>
      <c r="P75" s="12">
        <v>0.5</v>
      </c>
      <c r="Q75" s="12">
        <v>0.75</v>
      </c>
      <c r="R75" s="12">
        <v>0.75</v>
      </c>
      <c r="S75" s="12">
        <v>0.85</v>
      </c>
      <c r="T75" s="12">
        <v>0.75</v>
      </c>
      <c r="U75" s="12">
        <v>0.8</v>
      </c>
      <c r="V75" s="12"/>
      <c r="W75" s="12"/>
      <c r="X75" s="12"/>
      <c r="Y75" s="12">
        <v>2600</v>
      </c>
      <c r="Z75" s="12">
        <v>7.5</v>
      </c>
      <c r="AA75" s="12"/>
      <c r="AB75" s="12" t="s">
        <v>1875</v>
      </c>
    </row>
    <row r="76" spans="1:28" x14ac:dyDescent="0.3">
      <c r="A76" s="12" t="s">
        <v>1962</v>
      </c>
      <c r="B76" s="12" t="s">
        <v>96</v>
      </c>
      <c r="C76" s="12" t="s">
        <v>96</v>
      </c>
      <c r="D76" s="12" t="s">
        <v>97</v>
      </c>
      <c r="E76" s="12" t="s">
        <v>1886</v>
      </c>
      <c r="F76" s="12" t="s">
        <v>832</v>
      </c>
      <c r="G76" s="12" t="s">
        <v>832</v>
      </c>
      <c r="H76" s="12" t="b">
        <v>0</v>
      </c>
      <c r="I76" s="12" t="b">
        <v>0</v>
      </c>
      <c r="J76" s="12" t="b">
        <v>0</v>
      </c>
      <c r="K76" s="12" t="b">
        <v>0</v>
      </c>
      <c r="L76" s="12">
        <v>623.15</v>
      </c>
      <c r="M76" s="12">
        <v>300.032917</v>
      </c>
      <c r="N76" s="12">
        <v>3000</v>
      </c>
      <c r="O76" s="12">
        <v>400</v>
      </c>
      <c r="P76" s="12">
        <v>0.5</v>
      </c>
      <c r="Q76" s="12">
        <v>0.78333333333333333</v>
      </c>
      <c r="R76" s="12">
        <v>0.75</v>
      </c>
      <c r="S76" s="12">
        <v>0.85</v>
      </c>
      <c r="T76" s="12">
        <v>0.75</v>
      </c>
      <c r="U76" s="12">
        <v>0.8</v>
      </c>
      <c r="V76" s="12"/>
      <c r="W76" s="12"/>
      <c r="X76" s="12"/>
      <c r="Y76" s="12">
        <v>2600</v>
      </c>
      <c r="Z76" s="12">
        <v>7.5</v>
      </c>
      <c r="AA76" s="12"/>
      <c r="AB76" s="12" t="s">
        <v>1875</v>
      </c>
    </row>
    <row r="77" spans="1:28" x14ac:dyDescent="0.3">
      <c r="A77" s="12" t="s">
        <v>1963</v>
      </c>
      <c r="B77" s="12" t="s">
        <v>96</v>
      </c>
      <c r="C77" s="12" t="s">
        <v>96</v>
      </c>
      <c r="D77" s="12" t="s">
        <v>97</v>
      </c>
      <c r="E77" s="12" t="s">
        <v>1886</v>
      </c>
      <c r="F77" s="12" t="s">
        <v>832</v>
      </c>
      <c r="G77" s="12" t="s">
        <v>832</v>
      </c>
      <c r="H77" s="12" t="b">
        <v>0</v>
      </c>
      <c r="I77" s="12" t="b">
        <v>0</v>
      </c>
      <c r="J77" s="12" t="b">
        <v>0</v>
      </c>
      <c r="K77" s="12" t="b">
        <v>0</v>
      </c>
      <c r="L77" s="12">
        <v>623.15</v>
      </c>
      <c r="M77" s="12">
        <v>300.032917</v>
      </c>
      <c r="N77" s="12">
        <v>3000</v>
      </c>
      <c r="O77" s="12">
        <v>400</v>
      </c>
      <c r="P77" s="12">
        <v>0.5</v>
      </c>
      <c r="Q77" s="12">
        <v>0.81666666666666665</v>
      </c>
      <c r="R77" s="12">
        <v>0.75</v>
      </c>
      <c r="S77" s="12">
        <v>0.85</v>
      </c>
      <c r="T77" s="12">
        <v>0.75</v>
      </c>
      <c r="U77" s="12">
        <v>0.8</v>
      </c>
      <c r="V77" s="12"/>
      <c r="W77" s="12"/>
      <c r="X77" s="12"/>
      <c r="Y77" s="12">
        <v>2600</v>
      </c>
      <c r="Z77" s="12">
        <v>7.5</v>
      </c>
      <c r="AA77" s="12"/>
      <c r="AB77" s="12" t="s">
        <v>1875</v>
      </c>
    </row>
    <row r="78" spans="1:28" x14ac:dyDescent="0.3">
      <c r="A78" s="12" t="s">
        <v>1964</v>
      </c>
      <c r="B78" s="12" t="s">
        <v>96</v>
      </c>
      <c r="C78" s="12" t="s">
        <v>96</v>
      </c>
      <c r="D78" s="12" t="s">
        <v>97</v>
      </c>
      <c r="E78" s="12" t="s">
        <v>1886</v>
      </c>
      <c r="F78" s="12" t="s">
        <v>832</v>
      </c>
      <c r="G78" s="12" t="s">
        <v>832</v>
      </c>
      <c r="H78" s="12" t="b">
        <v>0</v>
      </c>
      <c r="I78" s="12" t="b">
        <v>0</v>
      </c>
      <c r="J78" s="12" t="b">
        <v>0</v>
      </c>
      <c r="K78" s="12" t="b">
        <v>0</v>
      </c>
      <c r="L78" s="12">
        <v>623.15</v>
      </c>
      <c r="M78" s="12">
        <v>300.032917</v>
      </c>
      <c r="N78" s="12">
        <v>3000</v>
      </c>
      <c r="O78" s="12">
        <v>400</v>
      </c>
      <c r="P78" s="12">
        <v>0.5</v>
      </c>
      <c r="Q78" s="12">
        <v>0.8</v>
      </c>
      <c r="R78" s="12">
        <v>0.75</v>
      </c>
      <c r="S78" s="12">
        <v>0.85</v>
      </c>
      <c r="T78" s="12">
        <v>0.75</v>
      </c>
      <c r="U78" s="12">
        <v>0.8</v>
      </c>
      <c r="V78" s="12"/>
      <c r="W78" s="12"/>
      <c r="X78" s="12"/>
      <c r="Y78" s="12">
        <v>2600</v>
      </c>
      <c r="Z78" s="12">
        <v>7.5</v>
      </c>
      <c r="AA78" s="12"/>
      <c r="AB78" s="12" t="s">
        <v>1875</v>
      </c>
    </row>
    <row r="79" spans="1:28" x14ac:dyDescent="0.3">
      <c r="A79" s="12" t="s">
        <v>1965</v>
      </c>
      <c r="B79" s="12" t="s">
        <v>96</v>
      </c>
      <c r="C79" s="12" t="s">
        <v>96</v>
      </c>
      <c r="D79" s="12" t="s">
        <v>97</v>
      </c>
      <c r="E79" s="12" t="s">
        <v>1886</v>
      </c>
      <c r="F79" s="12" t="s">
        <v>832</v>
      </c>
      <c r="G79" s="12" t="s">
        <v>832</v>
      </c>
      <c r="H79" s="12" t="b">
        <v>0</v>
      </c>
      <c r="I79" s="12" t="b">
        <v>0</v>
      </c>
      <c r="J79" s="12" t="b">
        <v>0</v>
      </c>
      <c r="K79" s="12" t="b">
        <v>0</v>
      </c>
      <c r="L79" s="12">
        <v>623.15</v>
      </c>
      <c r="M79" s="12">
        <v>300.032917</v>
      </c>
      <c r="N79" s="12">
        <v>3000</v>
      </c>
      <c r="O79" s="12">
        <v>400</v>
      </c>
      <c r="P79" s="12">
        <v>0.5</v>
      </c>
      <c r="Q79" s="12">
        <v>0.83333333333333337</v>
      </c>
      <c r="R79" s="12">
        <v>0.75</v>
      </c>
      <c r="S79" s="12">
        <v>0.85</v>
      </c>
      <c r="T79" s="12">
        <v>0.75</v>
      </c>
      <c r="U79" s="12">
        <v>0.8</v>
      </c>
      <c r="V79" s="12"/>
      <c r="W79" s="12"/>
      <c r="X79" s="12"/>
      <c r="Y79" s="12">
        <v>2600</v>
      </c>
      <c r="Z79" s="12">
        <v>7.5</v>
      </c>
      <c r="AA79" s="12"/>
      <c r="AB79" s="12" t="s">
        <v>1875</v>
      </c>
    </row>
    <row r="80" spans="1:28" x14ac:dyDescent="0.3">
      <c r="A80" s="12" t="s">
        <v>1966</v>
      </c>
      <c r="B80" s="12" t="s">
        <v>96</v>
      </c>
      <c r="C80" s="12" t="s">
        <v>96</v>
      </c>
      <c r="D80" s="12" t="s">
        <v>97</v>
      </c>
      <c r="E80" s="12" t="s">
        <v>1886</v>
      </c>
      <c r="F80" s="12" t="s">
        <v>832</v>
      </c>
      <c r="G80" s="12" t="s">
        <v>832</v>
      </c>
      <c r="H80" s="12" t="b">
        <v>0</v>
      </c>
      <c r="I80" s="12" t="b">
        <v>0</v>
      </c>
      <c r="J80" s="12" t="b">
        <v>0</v>
      </c>
      <c r="K80" s="12" t="b">
        <v>0</v>
      </c>
      <c r="L80" s="12">
        <v>623.15</v>
      </c>
      <c r="M80" s="12">
        <v>300.032917</v>
      </c>
      <c r="N80" s="12">
        <v>3000</v>
      </c>
      <c r="O80" s="12">
        <v>400</v>
      </c>
      <c r="P80" s="12">
        <v>0.5</v>
      </c>
      <c r="Q80" s="12">
        <v>0.85</v>
      </c>
      <c r="R80" s="12">
        <v>0.75</v>
      </c>
      <c r="S80" s="12">
        <v>0.85</v>
      </c>
      <c r="T80" s="12">
        <v>0.75</v>
      </c>
      <c r="U80" s="12">
        <v>0.8</v>
      </c>
      <c r="V80" s="12"/>
      <c r="W80" s="12"/>
      <c r="X80" s="12"/>
      <c r="Y80" s="12">
        <v>2600</v>
      </c>
      <c r="Z80" s="12">
        <v>7.5</v>
      </c>
      <c r="AA80" s="12"/>
      <c r="AB80" s="12" t="s">
        <v>1875</v>
      </c>
    </row>
    <row r="81" spans="1:28" x14ac:dyDescent="0.3">
      <c r="A81" s="12" t="s">
        <v>1967</v>
      </c>
      <c r="B81" s="12" t="s">
        <v>96</v>
      </c>
      <c r="C81" s="12" t="s">
        <v>96</v>
      </c>
      <c r="D81" s="12" t="s">
        <v>97</v>
      </c>
      <c r="E81" s="12" t="s">
        <v>1886</v>
      </c>
      <c r="F81" s="12" t="s">
        <v>832</v>
      </c>
      <c r="G81" s="12" t="s">
        <v>832</v>
      </c>
      <c r="H81" s="12" t="b">
        <v>0</v>
      </c>
      <c r="I81" s="12" t="b">
        <v>0</v>
      </c>
      <c r="J81" s="12" t="b">
        <v>0</v>
      </c>
      <c r="K81" s="12" t="b">
        <v>0</v>
      </c>
      <c r="L81" s="12">
        <v>623.15</v>
      </c>
      <c r="M81" s="12">
        <v>300.032917</v>
      </c>
      <c r="N81" s="12">
        <v>3000</v>
      </c>
      <c r="O81" s="12">
        <v>400</v>
      </c>
      <c r="P81" s="12">
        <v>0.5</v>
      </c>
      <c r="Q81" s="12">
        <v>0.8666666666666667</v>
      </c>
      <c r="R81" s="12">
        <v>0.75</v>
      </c>
      <c r="S81" s="12">
        <v>0.85</v>
      </c>
      <c r="T81" s="12">
        <v>0.75</v>
      </c>
      <c r="U81" s="12">
        <v>0.8</v>
      </c>
      <c r="V81" s="12"/>
      <c r="W81" s="12"/>
      <c r="X81" s="12"/>
      <c r="Y81" s="12">
        <v>2600</v>
      </c>
      <c r="Z81" s="12">
        <v>7.5</v>
      </c>
      <c r="AA81" s="12"/>
      <c r="AB81" s="12" t="s">
        <v>1875</v>
      </c>
    </row>
    <row r="82" spans="1:28" x14ac:dyDescent="0.3">
      <c r="A82" s="12" t="s">
        <v>1968</v>
      </c>
      <c r="B82" s="12" t="s">
        <v>96</v>
      </c>
      <c r="C82" s="12" t="s">
        <v>96</v>
      </c>
      <c r="D82" s="12" t="s">
        <v>97</v>
      </c>
      <c r="E82" s="12" t="s">
        <v>1886</v>
      </c>
      <c r="F82" s="12" t="s">
        <v>832</v>
      </c>
      <c r="G82" s="12" t="s">
        <v>832</v>
      </c>
      <c r="H82" s="12" t="b">
        <v>0</v>
      </c>
      <c r="I82" s="12" t="b">
        <v>0</v>
      </c>
      <c r="J82" s="12" t="b">
        <v>0</v>
      </c>
      <c r="K82" s="12" t="b">
        <v>0</v>
      </c>
      <c r="L82" s="12">
        <v>623.15</v>
      </c>
      <c r="M82" s="12">
        <v>300.032917</v>
      </c>
      <c r="N82" s="12">
        <v>3000</v>
      </c>
      <c r="O82" s="12">
        <v>400</v>
      </c>
      <c r="P82" s="12">
        <v>0.5</v>
      </c>
      <c r="Q82" s="12">
        <v>0.8833333333333333</v>
      </c>
      <c r="R82" s="12">
        <v>0.75</v>
      </c>
      <c r="S82" s="12">
        <v>0.85</v>
      </c>
      <c r="T82" s="12">
        <v>0.75</v>
      </c>
      <c r="U82" s="12">
        <v>0.8</v>
      </c>
      <c r="V82" s="12"/>
      <c r="W82" s="12"/>
      <c r="X82" s="12"/>
      <c r="Y82" s="12">
        <v>2600</v>
      </c>
      <c r="Z82" s="12">
        <v>7.5</v>
      </c>
      <c r="AA82" s="12"/>
      <c r="AB82" s="12" t="s">
        <v>1875</v>
      </c>
    </row>
    <row r="83" spans="1:28" x14ac:dyDescent="0.3">
      <c r="A83" s="12" t="s">
        <v>1969</v>
      </c>
      <c r="B83" s="12" t="s">
        <v>96</v>
      </c>
      <c r="C83" s="12" t="s">
        <v>96</v>
      </c>
      <c r="D83" s="12" t="s">
        <v>97</v>
      </c>
      <c r="E83" s="12" t="s">
        <v>1886</v>
      </c>
      <c r="F83" s="12" t="s">
        <v>832</v>
      </c>
      <c r="G83" s="12" t="s">
        <v>832</v>
      </c>
      <c r="H83" s="12" t="b">
        <v>0</v>
      </c>
      <c r="I83" s="12" t="b">
        <v>0</v>
      </c>
      <c r="J83" s="12" t="b">
        <v>0</v>
      </c>
      <c r="K83" s="12" t="b">
        <v>0</v>
      </c>
      <c r="L83" s="12">
        <v>623.15</v>
      </c>
      <c r="M83" s="12">
        <v>300.032917</v>
      </c>
      <c r="N83" s="12">
        <v>3000</v>
      </c>
      <c r="O83" s="12">
        <v>400</v>
      </c>
      <c r="P83" s="12">
        <v>0.5</v>
      </c>
      <c r="Q83" s="12">
        <v>0.85</v>
      </c>
      <c r="R83" s="12">
        <v>0.65</v>
      </c>
      <c r="S83" s="12">
        <v>0.85</v>
      </c>
      <c r="T83" s="12">
        <v>0.75</v>
      </c>
      <c r="U83" s="12">
        <v>0.8</v>
      </c>
      <c r="V83" s="12"/>
      <c r="W83" s="12"/>
      <c r="X83" s="12"/>
      <c r="Y83" s="12">
        <v>2600</v>
      </c>
      <c r="Z83" s="12">
        <v>7.5</v>
      </c>
      <c r="AA83" s="12"/>
      <c r="AB83" s="12" t="s">
        <v>1876</v>
      </c>
    </row>
    <row r="84" spans="1:28" x14ac:dyDescent="0.3">
      <c r="A84" s="12" t="s">
        <v>1970</v>
      </c>
      <c r="B84" s="12" t="s">
        <v>96</v>
      </c>
      <c r="C84" s="12" t="s">
        <v>96</v>
      </c>
      <c r="D84" s="12" t="s">
        <v>97</v>
      </c>
      <c r="E84" s="12" t="s">
        <v>1886</v>
      </c>
      <c r="F84" s="12" t="s">
        <v>832</v>
      </c>
      <c r="G84" s="12" t="s">
        <v>832</v>
      </c>
      <c r="H84" s="12" t="b">
        <v>0</v>
      </c>
      <c r="I84" s="12" t="b">
        <v>0</v>
      </c>
      <c r="J84" s="12" t="b">
        <v>0</v>
      </c>
      <c r="K84" s="12" t="b">
        <v>0</v>
      </c>
      <c r="L84" s="12">
        <v>623.15</v>
      </c>
      <c r="M84" s="12">
        <v>300.032917</v>
      </c>
      <c r="N84" s="12">
        <v>3000</v>
      </c>
      <c r="O84" s="12">
        <v>400</v>
      </c>
      <c r="P84" s="12">
        <v>0.5</v>
      </c>
      <c r="Q84" s="12">
        <v>0.9</v>
      </c>
      <c r="R84" s="12">
        <v>0.75</v>
      </c>
      <c r="S84" s="12">
        <v>0.85</v>
      </c>
      <c r="T84" s="12">
        <v>0.75</v>
      </c>
      <c r="U84" s="12">
        <v>0.8</v>
      </c>
      <c r="V84" s="12"/>
      <c r="W84" s="12"/>
      <c r="X84" s="12"/>
      <c r="Y84" s="12">
        <v>2600</v>
      </c>
      <c r="Z84" s="12">
        <v>7.5</v>
      </c>
      <c r="AA84" s="12"/>
      <c r="AB84" s="12" t="s">
        <v>1875</v>
      </c>
    </row>
    <row r="85" spans="1:28" x14ac:dyDescent="0.3">
      <c r="A85" s="12" t="s">
        <v>1971</v>
      </c>
      <c r="B85" s="12" t="s">
        <v>96</v>
      </c>
      <c r="C85" s="12" t="s">
        <v>96</v>
      </c>
      <c r="D85" s="12" t="s">
        <v>97</v>
      </c>
      <c r="E85" s="12" t="s">
        <v>1886</v>
      </c>
      <c r="F85" s="12" t="s">
        <v>832</v>
      </c>
      <c r="G85" s="12" t="s">
        <v>832</v>
      </c>
      <c r="H85" s="12" t="b">
        <v>0</v>
      </c>
      <c r="I85" s="12" t="b">
        <v>0</v>
      </c>
      <c r="J85" s="12" t="b">
        <v>0</v>
      </c>
      <c r="K85" s="12" t="b">
        <v>0</v>
      </c>
      <c r="L85" s="12">
        <v>623.15</v>
      </c>
      <c r="M85" s="12">
        <v>300.032917</v>
      </c>
      <c r="N85" s="12">
        <v>3000</v>
      </c>
      <c r="O85" s="12">
        <v>400</v>
      </c>
      <c r="P85" s="12">
        <v>0.5</v>
      </c>
      <c r="Q85" s="12">
        <v>0.85</v>
      </c>
      <c r="R85" s="12">
        <v>0.67222222222222228</v>
      </c>
      <c r="S85" s="12">
        <v>0.85</v>
      </c>
      <c r="T85" s="12">
        <v>0.75</v>
      </c>
      <c r="U85" s="12">
        <v>0.8</v>
      </c>
      <c r="V85" s="12"/>
      <c r="W85" s="12"/>
      <c r="X85" s="12"/>
      <c r="Y85" s="12">
        <v>2600</v>
      </c>
      <c r="Z85" s="12">
        <v>7.5</v>
      </c>
      <c r="AA85" s="12"/>
      <c r="AB85" s="12" t="s">
        <v>1876</v>
      </c>
    </row>
    <row r="86" spans="1:28" x14ac:dyDescent="0.3">
      <c r="A86" s="12" t="s">
        <v>1972</v>
      </c>
      <c r="B86" s="12" t="s">
        <v>96</v>
      </c>
      <c r="C86" s="12" t="s">
        <v>96</v>
      </c>
      <c r="D86" s="12" t="s">
        <v>97</v>
      </c>
      <c r="E86" s="12" t="s">
        <v>1886</v>
      </c>
      <c r="F86" s="12" t="s">
        <v>832</v>
      </c>
      <c r="G86" s="12" t="s">
        <v>832</v>
      </c>
      <c r="H86" s="12" t="b">
        <v>0</v>
      </c>
      <c r="I86" s="12" t="b">
        <v>0</v>
      </c>
      <c r="J86" s="12" t="b">
        <v>0</v>
      </c>
      <c r="K86" s="12" t="b">
        <v>0</v>
      </c>
      <c r="L86" s="12">
        <v>623.15</v>
      </c>
      <c r="M86" s="12">
        <v>300.032917</v>
      </c>
      <c r="N86" s="12">
        <v>3000</v>
      </c>
      <c r="O86" s="12">
        <v>400</v>
      </c>
      <c r="P86" s="12">
        <v>0.5</v>
      </c>
      <c r="Q86" s="12">
        <v>0.85</v>
      </c>
      <c r="R86" s="12">
        <v>0.69444444444444442</v>
      </c>
      <c r="S86" s="12">
        <v>0.85</v>
      </c>
      <c r="T86" s="12">
        <v>0.75</v>
      </c>
      <c r="U86" s="12">
        <v>0.8</v>
      </c>
      <c r="V86" s="12"/>
      <c r="W86" s="12"/>
      <c r="X86" s="12"/>
      <c r="Y86" s="12">
        <v>2600</v>
      </c>
      <c r="Z86" s="12">
        <v>7.5</v>
      </c>
      <c r="AA86" s="12"/>
      <c r="AB86" s="12" t="s">
        <v>1876</v>
      </c>
    </row>
    <row r="87" spans="1:28" x14ac:dyDescent="0.3">
      <c r="A87" s="12" t="s">
        <v>1973</v>
      </c>
      <c r="B87" s="12" t="s">
        <v>96</v>
      </c>
      <c r="C87" s="12" t="s">
        <v>96</v>
      </c>
      <c r="D87" s="12" t="s">
        <v>97</v>
      </c>
      <c r="E87" s="12" t="s">
        <v>1886</v>
      </c>
      <c r="F87" s="12" t="s">
        <v>832</v>
      </c>
      <c r="G87" s="12" t="s">
        <v>832</v>
      </c>
      <c r="H87" s="12" t="b">
        <v>0</v>
      </c>
      <c r="I87" s="12" t="b">
        <v>0</v>
      </c>
      <c r="J87" s="12" t="b">
        <v>0</v>
      </c>
      <c r="K87" s="12" t="b">
        <v>0</v>
      </c>
      <c r="L87" s="12">
        <v>623.15</v>
      </c>
      <c r="M87" s="12">
        <v>300.032917</v>
      </c>
      <c r="N87" s="12">
        <v>3000</v>
      </c>
      <c r="O87" s="12">
        <v>400</v>
      </c>
      <c r="P87" s="12">
        <v>0.5</v>
      </c>
      <c r="Q87" s="12">
        <v>0.85</v>
      </c>
      <c r="R87" s="12">
        <v>0.73888888888888893</v>
      </c>
      <c r="S87" s="12">
        <v>0.85</v>
      </c>
      <c r="T87" s="12">
        <v>0.75</v>
      </c>
      <c r="U87" s="12">
        <v>0.8</v>
      </c>
      <c r="V87" s="12"/>
      <c r="W87" s="12"/>
      <c r="X87" s="12"/>
      <c r="Y87" s="12">
        <v>2600</v>
      </c>
      <c r="Z87" s="12">
        <v>7.5</v>
      </c>
      <c r="AA87" s="12"/>
      <c r="AB87" s="12" t="s">
        <v>1876</v>
      </c>
    </row>
    <row r="88" spans="1:28" x14ac:dyDescent="0.3">
      <c r="A88" s="12" t="s">
        <v>1974</v>
      </c>
      <c r="B88" s="12" t="s">
        <v>96</v>
      </c>
      <c r="C88" s="12" t="s">
        <v>96</v>
      </c>
      <c r="D88" s="12" t="s">
        <v>97</v>
      </c>
      <c r="E88" s="12" t="s">
        <v>1886</v>
      </c>
      <c r="F88" s="12" t="s">
        <v>832</v>
      </c>
      <c r="G88" s="12" t="s">
        <v>832</v>
      </c>
      <c r="H88" s="12" t="b">
        <v>0</v>
      </c>
      <c r="I88" s="12" t="b">
        <v>0</v>
      </c>
      <c r="J88" s="12" t="b">
        <v>0</v>
      </c>
      <c r="K88" s="12" t="b">
        <v>0</v>
      </c>
      <c r="L88" s="12">
        <v>623.15</v>
      </c>
      <c r="M88" s="12">
        <v>300.032917</v>
      </c>
      <c r="N88" s="12">
        <v>3000</v>
      </c>
      <c r="O88" s="12">
        <v>400</v>
      </c>
      <c r="P88" s="12">
        <v>0.5</v>
      </c>
      <c r="Q88" s="12">
        <v>0.85</v>
      </c>
      <c r="R88" s="12">
        <v>0.71666666666666667</v>
      </c>
      <c r="S88" s="12">
        <v>0.85</v>
      </c>
      <c r="T88" s="12">
        <v>0.75</v>
      </c>
      <c r="U88" s="12">
        <v>0.8</v>
      </c>
      <c r="V88" s="12"/>
      <c r="W88" s="12"/>
      <c r="X88" s="12"/>
      <c r="Y88" s="12">
        <v>2600</v>
      </c>
      <c r="Z88" s="12">
        <v>7.5</v>
      </c>
      <c r="AA88" s="12"/>
      <c r="AB88" s="12" t="s">
        <v>1876</v>
      </c>
    </row>
    <row r="89" spans="1:28" x14ac:dyDescent="0.3">
      <c r="A89" s="12" t="s">
        <v>1975</v>
      </c>
      <c r="B89" s="12" t="s">
        <v>96</v>
      </c>
      <c r="C89" s="12" t="s">
        <v>96</v>
      </c>
      <c r="D89" s="12" t="s">
        <v>97</v>
      </c>
      <c r="E89" s="12" t="s">
        <v>1886</v>
      </c>
      <c r="F89" s="12" t="s">
        <v>832</v>
      </c>
      <c r="G89" s="12" t="s">
        <v>832</v>
      </c>
      <c r="H89" s="12" t="b">
        <v>0</v>
      </c>
      <c r="I89" s="12" t="b">
        <v>0</v>
      </c>
      <c r="J89" s="12" t="b">
        <v>0</v>
      </c>
      <c r="K89" s="12" t="b">
        <v>0</v>
      </c>
      <c r="L89" s="12">
        <v>623.15</v>
      </c>
      <c r="M89" s="12">
        <v>300.032917</v>
      </c>
      <c r="N89" s="12">
        <v>3000</v>
      </c>
      <c r="O89" s="12">
        <v>400</v>
      </c>
      <c r="P89" s="12">
        <v>0.5</v>
      </c>
      <c r="Q89" s="12">
        <v>0.85</v>
      </c>
      <c r="R89" s="12">
        <v>0.76111111111111107</v>
      </c>
      <c r="S89" s="12">
        <v>0.85</v>
      </c>
      <c r="T89" s="12">
        <v>0.75</v>
      </c>
      <c r="U89" s="12">
        <v>0.8</v>
      </c>
      <c r="V89" s="12"/>
      <c r="W89" s="12"/>
      <c r="X89" s="12"/>
      <c r="Y89" s="12">
        <v>2600</v>
      </c>
      <c r="Z89" s="12">
        <v>7.5</v>
      </c>
      <c r="AA89" s="12"/>
      <c r="AB89" s="12" t="s">
        <v>1876</v>
      </c>
    </row>
    <row r="90" spans="1:28" x14ac:dyDescent="0.3">
      <c r="A90" s="12" t="s">
        <v>1976</v>
      </c>
      <c r="B90" s="12" t="s">
        <v>96</v>
      </c>
      <c r="C90" s="12" t="s">
        <v>96</v>
      </c>
      <c r="D90" s="12" t="s">
        <v>97</v>
      </c>
      <c r="E90" s="12" t="s">
        <v>1886</v>
      </c>
      <c r="F90" s="12" t="s">
        <v>832</v>
      </c>
      <c r="G90" s="12" t="s">
        <v>832</v>
      </c>
      <c r="H90" s="12" t="b">
        <v>0</v>
      </c>
      <c r="I90" s="12" t="b">
        <v>0</v>
      </c>
      <c r="J90" s="12" t="b">
        <v>0</v>
      </c>
      <c r="K90" s="12" t="b">
        <v>0</v>
      </c>
      <c r="L90" s="12">
        <v>623.15</v>
      </c>
      <c r="M90" s="12">
        <v>300.032917</v>
      </c>
      <c r="N90" s="12">
        <v>3000</v>
      </c>
      <c r="O90" s="12">
        <v>400</v>
      </c>
      <c r="P90" s="12">
        <v>0.5</v>
      </c>
      <c r="Q90" s="12">
        <v>0.85</v>
      </c>
      <c r="R90" s="12">
        <v>0.78333333333333333</v>
      </c>
      <c r="S90" s="12">
        <v>0.85</v>
      </c>
      <c r="T90" s="12">
        <v>0.75</v>
      </c>
      <c r="U90" s="12">
        <v>0.8</v>
      </c>
      <c r="V90" s="12"/>
      <c r="W90" s="12"/>
      <c r="X90" s="12"/>
      <c r="Y90" s="12">
        <v>2600</v>
      </c>
      <c r="Z90" s="12">
        <v>7.5</v>
      </c>
      <c r="AA90" s="12"/>
      <c r="AB90" s="12" t="s">
        <v>1876</v>
      </c>
    </row>
    <row r="91" spans="1:28" x14ac:dyDescent="0.3">
      <c r="A91" s="12" t="s">
        <v>1977</v>
      </c>
      <c r="B91" s="12" t="s">
        <v>96</v>
      </c>
      <c r="C91" s="12" t="s">
        <v>96</v>
      </c>
      <c r="D91" s="12" t="s">
        <v>97</v>
      </c>
      <c r="E91" s="12" t="s">
        <v>1886</v>
      </c>
      <c r="F91" s="12" t="s">
        <v>832</v>
      </c>
      <c r="G91" s="12" t="s">
        <v>832</v>
      </c>
      <c r="H91" s="12" t="b">
        <v>0</v>
      </c>
      <c r="I91" s="12" t="b">
        <v>0</v>
      </c>
      <c r="J91" s="12" t="b">
        <v>0</v>
      </c>
      <c r="K91" s="12" t="b">
        <v>0</v>
      </c>
      <c r="L91" s="12">
        <v>623.15</v>
      </c>
      <c r="M91" s="12">
        <v>300.032917</v>
      </c>
      <c r="N91" s="12">
        <v>3000</v>
      </c>
      <c r="O91" s="12">
        <v>400</v>
      </c>
      <c r="P91" s="12">
        <v>0.5</v>
      </c>
      <c r="Q91" s="12">
        <v>0.85</v>
      </c>
      <c r="R91" s="12">
        <v>0.80555555555555558</v>
      </c>
      <c r="S91" s="12">
        <v>0.85</v>
      </c>
      <c r="T91" s="12">
        <v>0.75</v>
      </c>
      <c r="U91" s="12">
        <v>0.8</v>
      </c>
      <c r="V91" s="12"/>
      <c r="W91" s="12"/>
      <c r="X91" s="12"/>
      <c r="Y91" s="12">
        <v>2600</v>
      </c>
      <c r="Z91" s="12">
        <v>7.5</v>
      </c>
      <c r="AA91" s="12"/>
      <c r="AB91" s="12" t="s">
        <v>1876</v>
      </c>
    </row>
    <row r="92" spans="1:28" x14ac:dyDescent="0.3">
      <c r="A92" s="12" t="s">
        <v>1978</v>
      </c>
      <c r="B92" s="12" t="s">
        <v>96</v>
      </c>
      <c r="C92" s="12" t="s">
        <v>96</v>
      </c>
      <c r="D92" s="12" t="s">
        <v>97</v>
      </c>
      <c r="E92" s="12" t="s">
        <v>1886</v>
      </c>
      <c r="F92" s="12" t="s">
        <v>832</v>
      </c>
      <c r="G92" s="12" t="s">
        <v>832</v>
      </c>
      <c r="H92" s="12" t="b">
        <v>0</v>
      </c>
      <c r="I92" s="12" t="b">
        <v>0</v>
      </c>
      <c r="J92" s="12" t="b">
        <v>0</v>
      </c>
      <c r="K92" s="12" t="b">
        <v>0</v>
      </c>
      <c r="L92" s="12">
        <v>623.15</v>
      </c>
      <c r="M92" s="12">
        <v>300.032917</v>
      </c>
      <c r="N92" s="12">
        <v>3000</v>
      </c>
      <c r="O92" s="12">
        <v>400</v>
      </c>
      <c r="P92" s="12">
        <v>0.5</v>
      </c>
      <c r="Q92" s="12">
        <v>0.85</v>
      </c>
      <c r="R92" s="12">
        <v>0.85</v>
      </c>
      <c r="S92" s="12">
        <v>0.85</v>
      </c>
      <c r="T92" s="12">
        <v>0.75</v>
      </c>
      <c r="U92" s="12">
        <v>0.8</v>
      </c>
      <c r="V92" s="12"/>
      <c r="W92" s="12"/>
      <c r="X92" s="12"/>
      <c r="Y92" s="12">
        <v>2600</v>
      </c>
      <c r="Z92" s="12">
        <v>7.5</v>
      </c>
      <c r="AA92" s="12"/>
      <c r="AB92" s="12" t="s">
        <v>1876</v>
      </c>
    </row>
    <row r="93" spans="1:28" x14ac:dyDescent="0.3">
      <c r="A93" s="12" t="s">
        <v>1979</v>
      </c>
      <c r="B93" s="12" t="s">
        <v>96</v>
      </c>
      <c r="C93" s="12" t="s">
        <v>96</v>
      </c>
      <c r="D93" s="12" t="s">
        <v>97</v>
      </c>
      <c r="E93" s="12" t="s">
        <v>1886</v>
      </c>
      <c r="F93" s="12" t="s">
        <v>832</v>
      </c>
      <c r="G93" s="12" t="s">
        <v>832</v>
      </c>
      <c r="H93" s="12" t="b">
        <v>0</v>
      </c>
      <c r="I93" s="12" t="b">
        <v>0</v>
      </c>
      <c r="J93" s="12" t="b">
        <v>0</v>
      </c>
      <c r="K93" s="12" t="b">
        <v>0</v>
      </c>
      <c r="L93" s="12">
        <v>623.15</v>
      </c>
      <c r="M93" s="12">
        <v>300.032917</v>
      </c>
      <c r="N93" s="12">
        <v>3000</v>
      </c>
      <c r="O93" s="12">
        <v>400</v>
      </c>
      <c r="P93" s="12">
        <v>0.5</v>
      </c>
      <c r="Q93" s="12">
        <v>0.85</v>
      </c>
      <c r="R93" s="12">
        <v>0.82777777777777772</v>
      </c>
      <c r="S93" s="12">
        <v>0.85</v>
      </c>
      <c r="T93" s="12">
        <v>0.75</v>
      </c>
      <c r="U93" s="12">
        <v>0.8</v>
      </c>
      <c r="V93" s="12"/>
      <c r="W93" s="12"/>
      <c r="X93" s="12"/>
      <c r="Y93" s="12">
        <v>2600</v>
      </c>
      <c r="Z93" s="12">
        <v>7.5</v>
      </c>
      <c r="AA93" s="12"/>
      <c r="AB93" s="12" t="s">
        <v>1876</v>
      </c>
    </row>
    <row r="94" spans="1:28" x14ac:dyDescent="0.3">
      <c r="A94" s="12" t="s">
        <v>1980</v>
      </c>
      <c r="B94" s="12" t="s">
        <v>96</v>
      </c>
      <c r="C94" s="12" t="s">
        <v>96</v>
      </c>
      <c r="D94" s="12" t="s">
        <v>97</v>
      </c>
      <c r="E94" s="12" t="s">
        <v>1886</v>
      </c>
      <c r="F94" s="12" t="s">
        <v>1861</v>
      </c>
      <c r="G94" s="12" t="s">
        <v>1861</v>
      </c>
      <c r="H94" s="12" t="b">
        <v>1</v>
      </c>
      <c r="I94" s="12" t="b">
        <v>0</v>
      </c>
      <c r="J94" s="12" t="b">
        <v>1</v>
      </c>
      <c r="K94" s="12" t="b">
        <v>0</v>
      </c>
      <c r="L94" s="12">
        <v>623.15</v>
      </c>
      <c r="M94" s="12">
        <v>300.032917</v>
      </c>
      <c r="N94" s="12">
        <v>3000</v>
      </c>
      <c r="O94" s="12">
        <v>400</v>
      </c>
      <c r="P94" s="12">
        <v>0.5</v>
      </c>
      <c r="Q94" s="12">
        <v>0.85</v>
      </c>
      <c r="R94" s="12">
        <v>0.75</v>
      </c>
      <c r="S94" s="12">
        <v>0.75</v>
      </c>
      <c r="T94" s="12">
        <v>0.75</v>
      </c>
      <c r="U94" s="12">
        <v>0.8</v>
      </c>
      <c r="V94" s="12"/>
      <c r="W94" s="12">
        <v>13.08893763816603</v>
      </c>
      <c r="X94" s="12">
        <v>224.76952656674331</v>
      </c>
      <c r="Y94" s="12">
        <v>2600</v>
      </c>
      <c r="Z94" s="12">
        <v>7.5</v>
      </c>
      <c r="AA94" s="12" t="s">
        <v>1981</v>
      </c>
      <c r="AB94" s="12" t="s">
        <v>1877</v>
      </c>
    </row>
    <row r="95" spans="1:28" x14ac:dyDescent="0.3">
      <c r="A95" s="12" t="s">
        <v>1982</v>
      </c>
      <c r="B95" s="12" t="s">
        <v>96</v>
      </c>
      <c r="C95" s="12" t="s">
        <v>96</v>
      </c>
      <c r="D95" s="12" t="s">
        <v>97</v>
      </c>
      <c r="E95" s="12" t="s">
        <v>1886</v>
      </c>
      <c r="F95" s="12" t="s">
        <v>1861</v>
      </c>
      <c r="G95" s="12" t="s">
        <v>1861</v>
      </c>
      <c r="H95" s="12" t="b">
        <v>1</v>
      </c>
      <c r="I95" s="12" t="b">
        <v>0</v>
      </c>
      <c r="J95" s="12" t="b">
        <v>1</v>
      </c>
      <c r="K95" s="12" t="b">
        <v>0</v>
      </c>
      <c r="L95" s="12">
        <v>623.15</v>
      </c>
      <c r="M95" s="12">
        <v>300.032917</v>
      </c>
      <c r="N95" s="12">
        <v>3000</v>
      </c>
      <c r="O95" s="12">
        <v>400</v>
      </c>
      <c r="P95" s="12">
        <v>0.5</v>
      </c>
      <c r="Q95" s="12">
        <v>0.85</v>
      </c>
      <c r="R95" s="12">
        <v>0.75</v>
      </c>
      <c r="S95" s="12">
        <v>0.77222222222222225</v>
      </c>
      <c r="T95" s="12">
        <v>0.75</v>
      </c>
      <c r="U95" s="12">
        <v>0.8</v>
      </c>
      <c r="V95" s="12"/>
      <c r="W95" s="12">
        <v>13.07196466438397</v>
      </c>
      <c r="X95" s="12">
        <v>230.6144156301188</v>
      </c>
      <c r="Y95" s="12">
        <v>2600</v>
      </c>
      <c r="Z95" s="12">
        <v>7.5</v>
      </c>
      <c r="AA95" s="12" t="s">
        <v>1981</v>
      </c>
      <c r="AB95" s="12" t="s">
        <v>1877</v>
      </c>
    </row>
    <row r="96" spans="1:28" x14ac:dyDescent="0.3">
      <c r="A96" s="12" t="s">
        <v>1983</v>
      </c>
      <c r="B96" s="12" t="s">
        <v>96</v>
      </c>
      <c r="C96" s="12" t="s">
        <v>96</v>
      </c>
      <c r="D96" s="12" t="s">
        <v>97</v>
      </c>
      <c r="E96" s="12" t="s">
        <v>1886</v>
      </c>
      <c r="F96" s="12" t="s">
        <v>1861</v>
      </c>
      <c r="G96" s="12" t="s">
        <v>1861</v>
      </c>
      <c r="H96" s="12" t="b">
        <v>1</v>
      </c>
      <c r="I96" s="12" t="b">
        <v>0</v>
      </c>
      <c r="J96" s="12" t="b">
        <v>1</v>
      </c>
      <c r="K96" s="12" t="b">
        <v>0</v>
      </c>
      <c r="L96" s="12">
        <v>623.15</v>
      </c>
      <c r="M96" s="12">
        <v>300.032917</v>
      </c>
      <c r="N96" s="12">
        <v>3000</v>
      </c>
      <c r="O96" s="12">
        <v>400</v>
      </c>
      <c r="P96" s="12">
        <v>0.5</v>
      </c>
      <c r="Q96" s="12">
        <v>0.85</v>
      </c>
      <c r="R96" s="12">
        <v>0.75</v>
      </c>
      <c r="S96" s="12">
        <v>0.76111111111111107</v>
      </c>
      <c r="T96" s="12">
        <v>0.75</v>
      </c>
      <c r="U96" s="12">
        <v>0.8</v>
      </c>
      <c r="V96" s="12"/>
      <c r="W96" s="12">
        <v>13.08033619564443</v>
      </c>
      <c r="X96" s="12">
        <v>227.69466520599849</v>
      </c>
      <c r="Y96" s="12">
        <v>2600</v>
      </c>
      <c r="Z96" s="12">
        <v>7.5</v>
      </c>
      <c r="AA96" s="12" t="s">
        <v>1981</v>
      </c>
      <c r="AB96" s="12" t="s">
        <v>1877</v>
      </c>
    </row>
    <row r="97" spans="1:28" x14ac:dyDescent="0.3">
      <c r="A97" s="12" t="s">
        <v>1984</v>
      </c>
      <c r="B97" s="12" t="s">
        <v>96</v>
      </c>
      <c r="C97" s="12" t="s">
        <v>96</v>
      </c>
      <c r="D97" s="12" t="s">
        <v>97</v>
      </c>
      <c r="E97" s="12" t="s">
        <v>1886</v>
      </c>
      <c r="F97" s="12" t="s">
        <v>1861</v>
      </c>
      <c r="G97" s="12" t="s">
        <v>1861</v>
      </c>
      <c r="H97" s="12" t="b">
        <v>1</v>
      </c>
      <c r="I97" s="12" t="b">
        <v>0</v>
      </c>
      <c r="J97" s="12" t="b">
        <v>1</v>
      </c>
      <c r="K97" s="12" t="b">
        <v>0</v>
      </c>
      <c r="L97" s="12">
        <v>623.15</v>
      </c>
      <c r="M97" s="12">
        <v>300.032917</v>
      </c>
      <c r="N97" s="12">
        <v>3000</v>
      </c>
      <c r="O97" s="12">
        <v>400</v>
      </c>
      <c r="P97" s="12">
        <v>0.5</v>
      </c>
      <c r="Q97" s="12">
        <v>0.85</v>
      </c>
      <c r="R97" s="12">
        <v>0.75</v>
      </c>
      <c r="S97" s="12">
        <v>0.78333333333333333</v>
      </c>
      <c r="T97" s="12">
        <v>0.75</v>
      </c>
      <c r="U97" s="12">
        <v>0.8</v>
      </c>
      <c r="V97" s="12"/>
      <c r="W97" s="12">
        <v>13.06394577938044</v>
      </c>
      <c r="X97" s="12">
        <v>233.5312795363553</v>
      </c>
      <c r="Y97" s="12">
        <v>2600</v>
      </c>
      <c r="Z97" s="12">
        <v>7.5</v>
      </c>
      <c r="AA97" s="12" t="s">
        <v>1981</v>
      </c>
      <c r="AB97" s="12" t="s">
        <v>1877</v>
      </c>
    </row>
    <row r="98" spans="1:28" x14ac:dyDescent="0.3">
      <c r="A98" s="12" t="s">
        <v>1985</v>
      </c>
      <c r="B98" s="12" t="s">
        <v>96</v>
      </c>
      <c r="C98" s="12" t="s">
        <v>96</v>
      </c>
      <c r="D98" s="12" t="s">
        <v>97</v>
      </c>
      <c r="E98" s="12" t="s">
        <v>1886</v>
      </c>
      <c r="F98" s="12" t="s">
        <v>832</v>
      </c>
      <c r="G98" s="12" t="s">
        <v>832</v>
      </c>
      <c r="H98" s="12" t="b">
        <v>0</v>
      </c>
      <c r="I98" s="12" t="b">
        <v>0</v>
      </c>
      <c r="J98" s="12" t="b">
        <v>0</v>
      </c>
      <c r="K98" s="12" t="b">
        <v>0</v>
      </c>
      <c r="L98" s="12">
        <v>623.15</v>
      </c>
      <c r="M98" s="12">
        <v>300.032917</v>
      </c>
      <c r="N98" s="12">
        <v>3000</v>
      </c>
      <c r="O98" s="12">
        <v>400</v>
      </c>
      <c r="P98" s="12">
        <v>0.5</v>
      </c>
      <c r="Q98" s="12">
        <v>0.85</v>
      </c>
      <c r="R98" s="12">
        <v>0.75</v>
      </c>
      <c r="S98" s="12">
        <v>0.82777777777777772</v>
      </c>
      <c r="T98" s="12">
        <v>0.75</v>
      </c>
      <c r="U98" s="12">
        <v>0.8</v>
      </c>
      <c r="V98" s="12"/>
      <c r="W98" s="12"/>
      <c r="X98" s="12"/>
      <c r="Y98" s="12">
        <v>2600</v>
      </c>
      <c r="Z98" s="12">
        <v>7.5</v>
      </c>
      <c r="AA98" s="12"/>
      <c r="AB98" s="12" t="s">
        <v>1877</v>
      </c>
    </row>
    <row r="99" spans="1:28" x14ac:dyDescent="0.3">
      <c r="A99" s="12" t="s">
        <v>1986</v>
      </c>
      <c r="B99" s="12" t="s">
        <v>96</v>
      </c>
      <c r="C99" s="12" t="s">
        <v>96</v>
      </c>
      <c r="D99" s="12" t="s">
        <v>97</v>
      </c>
      <c r="E99" s="12" t="s">
        <v>1886</v>
      </c>
      <c r="F99" s="12" t="s">
        <v>1861</v>
      </c>
      <c r="G99" s="12" t="s">
        <v>1861</v>
      </c>
      <c r="H99" s="12" t="b">
        <v>1</v>
      </c>
      <c r="I99" s="12" t="b">
        <v>0</v>
      </c>
      <c r="J99" s="12" t="b">
        <v>1</v>
      </c>
      <c r="K99" s="12" t="b">
        <v>0</v>
      </c>
      <c r="L99" s="12">
        <v>623.15</v>
      </c>
      <c r="M99" s="12">
        <v>300.032917</v>
      </c>
      <c r="N99" s="12">
        <v>3000</v>
      </c>
      <c r="O99" s="12">
        <v>400</v>
      </c>
      <c r="P99" s="12">
        <v>0.5</v>
      </c>
      <c r="Q99" s="12">
        <v>0.85</v>
      </c>
      <c r="R99" s="12">
        <v>0.75</v>
      </c>
      <c r="S99" s="12">
        <v>0.80555555555555558</v>
      </c>
      <c r="T99" s="12">
        <v>0.75</v>
      </c>
      <c r="U99" s="12">
        <v>0.8</v>
      </c>
      <c r="V99" s="12"/>
      <c r="W99" s="12">
        <v>13.048949130584591</v>
      </c>
      <c r="X99" s="12">
        <v>239.35667244006041</v>
      </c>
      <c r="Y99" s="12">
        <v>2600</v>
      </c>
      <c r="Z99" s="12">
        <v>7.5</v>
      </c>
      <c r="AA99" s="12" t="s">
        <v>1981</v>
      </c>
      <c r="AB99" s="12" t="s">
        <v>1877</v>
      </c>
    </row>
    <row r="100" spans="1:28" x14ac:dyDescent="0.3">
      <c r="A100" s="12" t="s">
        <v>1987</v>
      </c>
      <c r="B100" s="12" t="s">
        <v>96</v>
      </c>
      <c r="C100" s="12" t="s">
        <v>96</v>
      </c>
      <c r="D100" s="12" t="s">
        <v>97</v>
      </c>
      <c r="E100" s="12" t="s">
        <v>1886</v>
      </c>
      <c r="F100" s="12" t="s">
        <v>1861</v>
      </c>
      <c r="G100" s="12" t="s">
        <v>1861</v>
      </c>
      <c r="H100" s="12" t="b">
        <v>1</v>
      </c>
      <c r="I100" s="12" t="b">
        <v>0</v>
      </c>
      <c r="J100" s="12" t="b">
        <v>1</v>
      </c>
      <c r="K100" s="12" t="b">
        <v>0</v>
      </c>
      <c r="L100" s="12">
        <v>623.15</v>
      </c>
      <c r="M100" s="12">
        <v>300.032917</v>
      </c>
      <c r="N100" s="12">
        <v>3000</v>
      </c>
      <c r="O100" s="12">
        <v>400</v>
      </c>
      <c r="P100" s="12">
        <v>0.5</v>
      </c>
      <c r="Q100" s="12">
        <v>0.85</v>
      </c>
      <c r="R100" s="12">
        <v>0.75</v>
      </c>
      <c r="S100" s="12">
        <v>0.7944444444444444</v>
      </c>
      <c r="T100" s="12">
        <v>0.75</v>
      </c>
      <c r="U100" s="12">
        <v>0.8</v>
      </c>
      <c r="V100" s="12"/>
      <c r="W100" s="12">
        <v>13.05627553796046</v>
      </c>
      <c r="X100" s="12">
        <v>236.44534293275731</v>
      </c>
      <c r="Y100" s="12">
        <v>2600</v>
      </c>
      <c r="Z100" s="12">
        <v>7.5</v>
      </c>
      <c r="AA100" s="12" t="s">
        <v>1981</v>
      </c>
      <c r="AB100" s="12" t="s">
        <v>1877</v>
      </c>
    </row>
    <row r="101" spans="1:28" x14ac:dyDescent="0.3">
      <c r="A101" s="12" t="s">
        <v>1988</v>
      </c>
      <c r="B101" s="12" t="s">
        <v>96</v>
      </c>
      <c r="C101" s="12" t="s">
        <v>96</v>
      </c>
      <c r="D101" s="12" t="s">
        <v>97</v>
      </c>
      <c r="E101" s="12" t="s">
        <v>1886</v>
      </c>
      <c r="F101" s="12" t="s">
        <v>832</v>
      </c>
      <c r="G101" s="12" t="s">
        <v>832</v>
      </c>
      <c r="H101" s="12" t="b">
        <v>0</v>
      </c>
      <c r="I101" s="12" t="b">
        <v>0</v>
      </c>
      <c r="J101" s="12" t="b">
        <v>0</v>
      </c>
      <c r="K101" s="12" t="b">
        <v>0</v>
      </c>
      <c r="L101" s="12">
        <v>623.15</v>
      </c>
      <c r="M101" s="12">
        <v>300.032917</v>
      </c>
      <c r="N101" s="12">
        <v>3000</v>
      </c>
      <c r="O101" s="12">
        <v>400</v>
      </c>
      <c r="P101" s="12">
        <v>0.5</v>
      </c>
      <c r="Q101" s="12">
        <v>0.85</v>
      </c>
      <c r="R101" s="12">
        <v>0.75</v>
      </c>
      <c r="S101" s="12">
        <v>0.83888888888888891</v>
      </c>
      <c r="T101" s="12">
        <v>0.75</v>
      </c>
      <c r="U101" s="12">
        <v>0.8</v>
      </c>
      <c r="V101" s="12"/>
      <c r="W101" s="12"/>
      <c r="X101" s="12"/>
      <c r="Y101" s="12">
        <v>2600</v>
      </c>
      <c r="Z101" s="12">
        <v>7.5</v>
      </c>
      <c r="AA101" s="12"/>
      <c r="AB101" s="12" t="s">
        <v>1877</v>
      </c>
    </row>
    <row r="102" spans="1:28" x14ac:dyDescent="0.3">
      <c r="A102" s="12" t="s">
        <v>1989</v>
      </c>
      <c r="B102" s="12" t="s">
        <v>96</v>
      </c>
      <c r="C102" s="12" t="s">
        <v>96</v>
      </c>
      <c r="D102" s="12" t="s">
        <v>97</v>
      </c>
      <c r="E102" s="12" t="s">
        <v>1886</v>
      </c>
      <c r="F102" s="12" t="s">
        <v>832</v>
      </c>
      <c r="G102" s="12" t="s">
        <v>832</v>
      </c>
      <c r="H102" s="12" t="b">
        <v>0</v>
      </c>
      <c r="I102" s="12" t="b">
        <v>0</v>
      </c>
      <c r="J102" s="12" t="b">
        <v>0</v>
      </c>
      <c r="K102" s="12" t="b">
        <v>0</v>
      </c>
      <c r="L102" s="12">
        <v>623.15</v>
      </c>
      <c r="M102" s="12">
        <v>300.032917</v>
      </c>
      <c r="N102" s="12">
        <v>3000</v>
      </c>
      <c r="O102" s="12">
        <v>400</v>
      </c>
      <c r="P102" s="12">
        <v>0.5</v>
      </c>
      <c r="Q102" s="12">
        <v>0.85</v>
      </c>
      <c r="R102" s="12">
        <v>0.75</v>
      </c>
      <c r="S102" s="12">
        <v>0.85</v>
      </c>
      <c r="T102" s="12">
        <v>0.75</v>
      </c>
      <c r="U102" s="12">
        <v>0.8</v>
      </c>
      <c r="V102" s="12"/>
      <c r="W102" s="12"/>
      <c r="X102" s="12"/>
      <c r="Y102" s="12">
        <v>2600</v>
      </c>
      <c r="Z102" s="12">
        <v>7.5</v>
      </c>
      <c r="AA102" s="12"/>
      <c r="AB102" s="12" t="s">
        <v>1877</v>
      </c>
    </row>
    <row r="103" spans="1:28" x14ac:dyDescent="0.3">
      <c r="A103" s="12" t="s">
        <v>1990</v>
      </c>
      <c r="B103" s="12" t="s">
        <v>96</v>
      </c>
      <c r="C103" s="12" t="s">
        <v>96</v>
      </c>
      <c r="D103" s="12" t="s">
        <v>97</v>
      </c>
      <c r="E103" s="12" t="s">
        <v>1886</v>
      </c>
      <c r="F103" s="12" t="s">
        <v>832</v>
      </c>
      <c r="G103" s="12" t="s">
        <v>832</v>
      </c>
      <c r="H103" s="12" t="b">
        <v>0</v>
      </c>
      <c r="I103" s="12" t="b">
        <v>0</v>
      </c>
      <c r="J103" s="12" t="b">
        <v>0</v>
      </c>
      <c r="K103" s="12" t="b">
        <v>0</v>
      </c>
      <c r="L103" s="12">
        <v>623.15</v>
      </c>
      <c r="M103" s="12">
        <v>300.032917</v>
      </c>
      <c r="N103" s="12">
        <v>3000</v>
      </c>
      <c r="O103" s="12">
        <v>400</v>
      </c>
      <c r="P103" s="12">
        <v>0.5</v>
      </c>
      <c r="Q103" s="12">
        <v>0.85</v>
      </c>
      <c r="R103" s="12">
        <v>0.75</v>
      </c>
      <c r="S103" s="12">
        <v>0.85</v>
      </c>
      <c r="T103" s="12">
        <v>0.76111111111111107</v>
      </c>
      <c r="U103" s="12">
        <v>0.8</v>
      </c>
      <c r="V103" s="12"/>
      <c r="W103" s="12"/>
      <c r="X103" s="12"/>
      <c r="Y103" s="12">
        <v>2600</v>
      </c>
      <c r="Z103" s="12">
        <v>7.5</v>
      </c>
      <c r="AA103" s="12"/>
      <c r="AB103" s="12" t="s">
        <v>1878</v>
      </c>
    </row>
    <row r="104" spans="1:28" x14ac:dyDescent="0.3">
      <c r="A104" s="12" t="s">
        <v>1991</v>
      </c>
      <c r="B104" s="12" t="s">
        <v>96</v>
      </c>
      <c r="C104" s="12" t="s">
        <v>96</v>
      </c>
      <c r="D104" s="12" t="s">
        <v>97</v>
      </c>
      <c r="E104" s="12" t="s">
        <v>1886</v>
      </c>
      <c r="F104" s="12" t="s">
        <v>1861</v>
      </c>
      <c r="G104" s="12" t="s">
        <v>1861</v>
      </c>
      <c r="H104" s="12" t="b">
        <v>1</v>
      </c>
      <c r="I104" s="12" t="b">
        <v>0</v>
      </c>
      <c r="J104" s="12" t="b">
        <v>1</v>
      </c>
      <c r="K104" s="12" t="b">
        <v>0</v>
      </c>
      <c r="L104" s="12">
        <v>623.15</v>
      </c>
      <c r="M104" s="12">
        <v>300.032917</v>
      </c>
      <c r="N104" s="12">
        <v>3000</v>
      </c>
      <c r="O104" s="12">
        <v>400</v>
      </c>
      <c r="P104" s="12">
        <v>0.5</v>
      </c>
      <c r="Q104" s="12">
        <v>0.85</v>
      </c>
      <c r="R104" s="12">
        <v>0.75</v>
      </c>
      <c r="S104" s="12">
        <v>0.81666666666666665</v>
      </c>
      <c r="T104" s="12">
        <v>0.75</v>
      </c>
      <c r="U104" s="12">
        <v>0.8</v>
      </c>
      <c r="V104" s="12"/>
      <c r="W104" s="12">
        <v>13.041962542811479</v>
      </c>
      <c r="X104" s="12">
        <v>242.26533547335549</v>
      </c>
      <c r="Y104" s="12">
        <v>2600</v>
      </c>
      <c r="Z104" s="12">
        <v>7.5</v>
      </c>
      <c r="AA104" s="12" t="s">
        <v>1981</v>
      </c>
      <c r="AB104" s="12" t="s">
        <v>1877</v>
      </c>
    </row>
    <row r="105" spans="1:28" x14ac:dyDescent="0.3">
      <c r="A105" s="12" t="s">
        <v>1992</v>
      </c>
      <c r="B105" s="12" t="s">
        <v>96</v>
      </c>
      <c r="C105" s="12" t="s">
        <v>96</v>
      </c>
      <c r="D105" s="12" t="s">
        <v>97</v>
      </c>
      <c r="E105" s="12" t="s">
        <v>1886</v>
      </c>
      <c r="F105" s="12" t="s">
        <v>832</v>
      </c>
      <c r="G105" s="12" t="s">
        <v>832</v>
      </c>
      <c r="H105" s="12" t="b">
        <v>0</v>
      </c>
      <c r="I105" s="12" t="b">
        <v>0</v>
      </c>
      <c r="J105" s="12" t="b">
        <v>0</v>
      </c>
      <c r="K105" s="12" t="b">
        <v>0</v>
      </c>
      <c r="L105" s="12">
        <v>623.15</v>
      </c>
      <c r="M105" s="12">
        <v>300.032917</v>
      </c>
      <c r="N105" s="12">
        <v>3000</v>
      </c>
      <c r="O105" s="12">
        <v>400</v>
      </c>
      <c r="P105" s="12">
        <v>0.5</v>
      </c>
      <c r="Q105" s="12">
        <v>0.85</v>
      </c>
      <c r="R105" s="12">
        <v>0.75</v>
      </c>
      <c r="S105" s="12">
        <v>0.85</v>
      </c>
      <c r="T105" s="12">
        <v>0.75</v>
      </c>
      <c r="U105" s="12">
        <v>0.8</v>
      </c>
      <c r="V105" s="12"/>
      <c r="W105" s="12"/>
      <c r="X105" s="12"/>
      <c r="Y105" s="12">
        <v>2600</v>
      </c>
      <c r="Z105" s="12">
        <v>7.5</v>
      </c>
      <c r="AA105" s="12"/>
      <c r="AB105" s="12" t="s">
        <v>1878</v>
      </c>
    </row>
    <row r="106" spans="1:28" x14ac:dyDescent="0.3">
      <c r="A106" s="12" t="s">
        <v>1993</v>
      </c>
      <c r="B106" s="12" t="s">
        <v>96</v>
      </c>
      <c r="C106" s="12" t="s">
        <v>96</v>
      </c>
      <c r="D106" s="12" t="s">
        <v>97</v>
      </c>
      <c r="E106" s="12" t="s">
        <v>1886</v>
      </c>
      <c r="F106" s="12" t="s">
        <v>832</v>
      </c>
      <c r="G106" s="12" t="s">
        <v>832</v>
      </c>
      <c r="H106" s="12" t="b">
        <v>0</v>
      </c>
      <c r="I106" s="12" t="b">
        <v>0</v>
      </c>
      <c r="J106" s="12" t="b">
        <v>0</v>
      </c>
      <c r="K106" s="12" t="b">
        <v>0</v>
      </c>
      <c r="L106" s="12">
        <v>623.15</v>
      </c>
      <c r="M106" s="12">
        <v>300.032917</v>
      </c>
      <c r="N106" s="12">
        <v>3000</v>
      </c>
      <c r="O106" s="12">
        <v>400</v>
      </c>
      <c r="P106" s="12">
        <v>0.5</v>
      </c>
      <c r="Q106" s="12">
        <v>0.85</v>
      </c>
      <c r="R106" s="12">
        <v>0.75</v>
      </c>
      <c r="S106" s="12">
        <v>0.85</v>
      </c>
      <c r="T106" s="12">
        <v>0.77222222222222225</v>
      </c>
      <c r="U106" s="12">
        <v>0.8</v>
      </c>
      <c r="V106" s="12"/>
      <c r="W106" s="12"/>
      <c r="X106" s="12"/>
      <c r="Y106" s="12">
        <v>2600</v>
      </c>
      <c r="Z106" s="12">
        <v>7.5</v>
      </c>
      <c r="AA106" s="12"/>
      <c r="AB106" s="12" t="s">
        <v>1878</v>
      </c>
    </row>
    <row r="107" spans="1:28" x14ac:dyDescent="0.3">
      <c r="A107" s="12" t="s">
        <v>1994</v>
      </c>
      <c r="B107" s="12" t="s">
        <v>96</v>
      </c>
      <c r="C107" s="12" t="s">
        <v>96</v>
      </c>
      <c r="D107" s="12" t="s">
        <v>97</v>
      </c>
      <c r="E107" s="12" t="s">
        <v>1886</v>
      </c>
      <c r="F107" s="12" t="s">
        <v>832</v>
      </c>
      <c r="G107" s="12" t="s">
        <v>832</v>
      </c>
      <c r="H107" s="12" t="b">
        <v>0</v>
      </c>
      <c r="I107" s="12" t="b">
        <v>0</v>
      </c>
      <c r="J107" s="12" t="b">
        <v>0</v>
      </c>
      <c r="K107" s="12" t="b">
        <v>0</v>
      </c>
      <c r="L107" s="12">
        <v>623.15</v>
      </c>
      <c r="M107" s="12">
        <v>300.032917</v>
      </c>
      <c r="N107" s="12">
        <v>3000</v>
      </c>
      <c r="O107" s="12">
        <v>400</v>
      </c>
      <c r="P107" s="12">
        <v>0.5</v>
      </c>
      <c r="Q107" s="12">
        <v>0.85</v>
      </c>
      <c r="R107" s="12">
        <v>0.75</v>
      </c>
      <c r="S107" s="12">
        <v>0.85</v>
      </c>
      <c r="T107" s="12">
        <v>0.78333333333333333</v>
      </c>
      <c r="U107" s="12">
        <v>0.8</v>
      </c>
      <c r="V107" s="12"/>
      <c r="W107" s="12"/>
      <c r="X107" s="12"/>
      <c r="Y107" s="12">
        <v>2600</v>
      </c>
      <c r="Z107" s="12">
        <v>7.5</v>
      </c>
      <c r="AA107" s="12"/>
      <c r="AB107" s="12" t="s">
        <v>1878</v>
      </c>
    </row>
    <row r="108" spans="1:28" x14ac:dyDescent="0.3">
      <c r="A108" s="12" t="s">
        <v>1995</v>
      </c>
      <c r="B108" s="12" t="s">
        <v>96</v>
      </c>
      <c r="C108" s="12" t="s">
        <v>96</v>
      </c>
      <c r="D108" s="12" t="s">
        <v>97</v>
      </c>
      <c r="E108" s="12" t="s">
        <v>1886</v>
      </c>
      <c r="F108" s="12" t="s">
        <v>832</v>
      </c>
      <c r="G108" s="12" t="s">
        <v>832</v>
      </c>
      <c r="H108" s="12" t="b">
        <v>0</v>
      </c>
      <c r="I108" s="12" t="b">
        <v>0</v>
      </c>
      <c r="J108" s="12" t="b">
        <v>0</v>
      </c>
      <c r="K108" s="12" t="b">
        <v>0</v>
      </c>
      <c r="L108" s="12">
        <v>623.15</v>
      </c>
      <c r="M108" s="12">
        <v>300.032917</v>
      </c>
      <c r="N108" s="12">
        <v>3000</v>
      </c>
      <c r="O108" s="12">
        <v>400</v>
      </c>
      <c r="P108" s="12">
        <v>0.5</v>
      </c>
      <c r="Q108" s="12">
        <v>0.85</v>
      </c>
      <c r="R108" s="12">
        <v>0.75</v>
      </c>
      <c r="S108" s="12">
        <v>0.85</v>
      </c>
      <c r="T108" s="12">
        <v>0.7944444444444444</v>
      </c>
      <c r="U108" s="12">
        <v>0.8</v>
      </c>
      <c r="V108" s="12"/>
      <c r="W108" s="12"/>
      <c r="X108" s="12"/>
      <c r="Y108" s="12">
        <v>2600</v>
      </c>
      <c r="Z108" s="12">
        <v>7.5</v>
      </c>
      <c r="AA108" s="12"/>
      <c r="AB108" s="12" t="s">
        <v>1878</v>
      </c>
    </row>
    <row r="109" spans="1:28" x14ac:dyDescent="0.3">
      <c r="A109" s="12" t="s">
        <v>1996</v>
      </c>
      <c r="B109" s="12" t="s">
        <v>96</v>
      </c>
      <c r="C109" s="12" t="s">
        <v>96</v>
      </c>
      <c r="D109" s="12" t="s">
        <v>97</v>
      </c>
      <c r="E109" s="12" t="s">
        <v>1886</v>
      </c>
      <c r="F109" s="12" t="s">
        <v>832</v>
      </c>
      <c r="G109" s="12" t="s">
        <v>832</v>
      </c>
      <c r="H109" s="12" t="b">
        <v>0</v>
      </c>
      <c r="I109" s="12" t="b">
        <v>0</v>
      </c>
      <c r="J109" s="12" t="b">
        <v>0</v>
      </c>
      <c r="K109" s="12" t="b">
        <v>0</v>
      </c>
      <c r="L109" s="12">
        <v>623.15</v>
      </c>
      <c r="M109" s="12">
        <v>300.032917</v>
      </c>
      <c r="N109" s="12">
        <v>3000</v>
      </c>
      <c r="O109" s="12">
        <v>400</v>
      </c>
      <c r="P109" s="12">
        <v>0.5</v>
      </c>
      <c r="Q109" s="12">
        <v>0.85</v>
      </c>
      <c r="R109" s="12">
        <v>0.75</v>
      </c>
      <c r="S109" s="12">
        <v>0.85</v>
      </c>
      <c r="T109" s="12">
        <v>0.80555555555555558</v>
      </c>
      <c r="U109" s="12">
        <v>0.8</v>
      </c>
      <c r="V109" s="12"/>
      <c r="W109" s="12"/>
      <c r="X109" s="12"/>
      <c r="Y109" s="12">
        <v>2600</v>
      </c>
      <c r="Z109" s="12">
        <v>7.5</v>
      </c>
      <c r="AA109" s="12"/>
      <c r="AB109" s="12" t="s">
        <v>1878</v>
      </c>
    </row>
    <row r="110" spans="1:28" x14ac:dyDescent="0.3">
      <c r="A110" s="12" t="s">
        <v>1997</v>
      </c>
      <c r="B110" s="12" t="s">
        <v>96</v>
      </c>
      <c r="C110" s="12" t="s">
        <v>96</v>
      </c>
      <c r="D110" s="12" t="s">
        <v>97</v>
      </c>
      <c r="E110" s="12" t="s">
        <v>1886</v>
      </c>
      <c r="F110" s="12" t="s">
        <v>832</v>
      </c>
      <c r="G110" s="12" t="s">
        <v>832</v>
      </c>
      <c r="H110" s="12" t="b">
        <v>0</v>
      </c>
      <c r="I110" s="12" t="b">
        <v>0</v>
      </c>
      <c r="J110" s="12" t="b">
        <v>0</v>
      </c>
      <c r="K110" s="12" t="b">
        <v>0</v>
      </c>
      <c r="L110" s="12">
        <v>623.15</v>
      </c>
      <c r="M110" s="12">
        <v>300.032917</v>
      </c>
      <c r="N110" s="12">
        <v>3000</v>
      </c>
      <c r="O110" s="12">
        <v>400</v>
      </c>
      <c r="P110" s="12">
        <v>0.5</v>
      </c>
      <c r="Q110" s="12">
        <v>0.85</v>
      </c>
      <c r="R110" s="12">
        <v>0.75</v>
      </c>
      <c r="S110" s="12">
        <v>0.85</v>
      </c>
      <c r="T110" s="12">
        <v>0.82777777777777772</v>
      </c>
      <c r="U110" s="12">
        <v>0.8</v>
      </c>
      <c r="V110" s="12"/>
      <c r="W110" s="12"/>
      <c r="X110" s="12"/>
      <c r="Y110" s="12">
        <v>2600</v>
      </c>
      <c r="Z110" s="12">
        <v>7.5</v>
      </c>
      <c r="AA110" s="12"/>
      <c r="AB110" s="12" t="s">
        <v>1878</v>
      </c>
    </row>
    <row r="111" spans="1:28" x14ac:dyDescent="0.3">
      <c r="A111" s="12" t="s">
        <v>1998</v>
      </c>
      <c r="B111" s="12" t="s">
        <v>96</v>
      </c>
      <c r="C111" s="12" t="s">
        <v>96</v>
      </c>
      <c r="D111" s="12" t="s">
        <v>97</v>
      </c>
      <c r="E111" s="12" t="s">
        <v>1886</v>
      </c>
      <c r="F111" s="12" t="s">
        <v>832</v>
      </c>
      <c r="G111" s="12" t="s">
        <v>832</v>
      </c>
      <c r="H111" s="12" t="b">
        <v>0</v>
      </c>
      <c r="I111" s="12" t="b">
        <v>0</v>
      </c>
      <c r="J111" s="12" t="b">
        <v>0</v>
      </c>
      <c r="K111" s="12" t="b">
        <v>0</v>
      </c>
      <c r="L111" s="12">
        <v>623.15</v>
      </c>
      <c r="M111" s="12">
        <v>300.032917</v>
      </c>
      <c r="N111" s="12">
        <v>3000</v>
      </c>
      <c r="O111" s="12">
        <v>400</v>
      </c>
      <c r="P111" s="12">
        <v>0.5</v>
      </c>
      <c r="Q111" s="12">
        <v>0.85</v>
      </c>
      <c r="R111" s="12">
        <v>0.75</v>
      </c>
      <c r="S111" s="12">
        <v>0.85</v>
      </c>
      <c r="T111" s="12">
        <v>0.83888888888888891</v>
      </c>
      <c r="U111" s="12">
        <v>0.8</v>
      </c>
      <c r="V111" s="12"/>
      <c r="W111" s="12"/>
      <c r="X111" s="12"/>
      <c r="Y111" s="12">
        <v>2600</v>
      </c>
      <c r="Z111" s="12">
        <v>7.5</v>
      </c>
      <c r="AA111" s="12"/>
      <c r="AB111" s="12" t="s">
        <v>1878</v>
      </c>
    </row>
    <row r="112" spans="1:28" x14ac:dyDescent="0.3">
      <c r="A112" s="12" t="s">
        <v>1999</v>
      </c>
      <c r="B112" s="12" t="s">
        <v>96</v>
      </c>
      <c r="C112" s="12" t="s">
        <v>96</v>
      </c>
      <c r="D112" s="12" t="s">
        <v>97</v>
      </c>
      <c r="E112" s="12" t="s">
        <v>1886</v>
      </c>
      <c r="F112" s="12" t="s">
        <v>832</v>
      </c>
      <c r="G112" s="12" t="s">
        <v>832</v>
      </c>
      <c r="H112" s="12" t="b">
        <v>0</v>
      </c>
      <c r="I112" s="12" t="b">
        <v>0</v>
      </c>
      <c r="J112" s="12" t="b">
        <v>0</v>
      </c>
      <c r="K112" s="12" t="b">
        <v>0</v>
      </c>
      <c r="L112" s="12">
        <v>623.15</v>
      </c>
      <c r="M112" s="12">
        <v>300.032917</v>
      </c>
      <c r="N112" s="12">
        <v>3000</v>
      </c>
      <c r="O112" s="12">
        <v>400</v>
      </c>
      <c r="P112" s="12">
        <v>0.5</v>
      </c>
      <c r="Q112" s="12">
        <v>0.85</v>
      </c>
      <c r="R112" s="12">
        <v>0.75</v>
      </c>
      <c r="S112" s="12">
        <v>0.85</v>
      </c>
      <c r="T112" s="12">
        <v>0.81666666666666665</v>
      </c>
      <c r="U112" s="12">
        <v>0.8</v>
      </c>
      <c r="V112" s="12"/>
      <c r="W112" s="12"/>
      <c r="X112" s="12"/>
      <c r="Y112" s="12">
        <v>2600</v>
      </c>
      <c r="Z112" s="12">
        <v>7.5</v>
      </c>
      <c r="AA112" s="12"/>
      <c r="AB112" s="12" t="s">
        <v>1878</v>
      </c>
    </row>
    <row r="113" spans="1:28" x14ac:dyDescent="0.3">
      <c r="A113" s="12" t="s">
        <v>2000</v>
      </c>
      <c r="B113" s="12" t="s">
        <v>96</v>
      </c>
      <c r="C113" s="12" t="s">
        <v>96</v>
      </c>
      <c r="D113" s="12" t="s">
        <v>97</v>
      </c>
      <c r="E113" s="12" t="s">
        <v>1886</v>
      </c>
      <c r="F113" s="12" t="s">
        <v>832</v>
      </c>
      <c r="G113" s="12" t="s">
        <v>832</v>
      </c>
      <c r="H113" s="12" t="b">
        <v>0</v>
      </c>
      <c r="I113" s="12" t="b">
        <v>0</v>
      </c>
      <c r="J113" s="12" t="b">
        <v>0</v>
      </c>
      <c r="K113" s="12" t="b">
        <v>0</v>
      </c>
      <c r="L113" s="12">
        <v>623.15</v>
      </c>
      <c r="M113" s="12">
        <v>300.032917</v>
      </c>
      <c r="N113" s="12">
        <v>3000</v>
      </c>
      <c r="O113" s="12">
        <v>400</v>
      </c>
      <c r="P113" s="12">
        <v>0.5</v>
      </c>
      <c r="Q113" s="12">
        <v>0.85</v>
      </c>
      <c r="R113" s="12">
        <v>0.75</v>
      </c>
      <c r="S113" s="12">
        <v>0.85</v>
      </c>
      <c r="T113" s="12">
        <v>0.85</v>
      </c>
      <c r="U113" s="12">
        <v>0.8</v>
      </c>
      <c r="V113" s="12"/>
      <c r="W113" s="12"/>
      <c r="X113" s="12"/>
      <c r="Y113" s="12">
        <v>2600</v>
      </c>
      <c r="Z113" s="12">
        <v>7.5</v>
      </c>
      <c r="AA113" s="12"/>
      <c r="AB113" s="12" t="s">
        <v>1878</v>
      </c>
    </row>
    <row r="114" spans="1:28" x14ac:dyDescent="0.3">
      <c r="A114" s="12" t="s">
        <v>2001</v>
      </c>
      <c r="B114" s="12" t="s">
        <v>96</v>
      </c>
      <c r="C114" s="12" t="s">
        <v>96</v>
      </c>
      <c r="D114" s="12" t="s">
        <v>97</v>
      </c>
      <c r="E114" s="12" t="s">
        <v>1886</v>
      </c>
      <c r="F114" s="12" t="s">
        <v>832</v>
      </c>
      <c r="G114" s="12" t="s">
        <v>832</v>
      </c>
      <c r="H114" s="12" t="b">
        <v>0</v>
      </c>
      <c r="I114" s="12" t="b">
        <v>0</v>
      </c>
      <c r="J114" s="12" t="b">
        <v>0</v>
      </c>
      <c r="K114" s="12" t="b">
        <v>0</v>
      </c>
      <c r="L114" s="12">
        <v>623.15</v>
      </c>
      <c r="M114" s="12">
        <v>300.032917</v>
      </c>
      <c r="N114" s="12">
        <v>3000</v>
      </c>
      <c r="O114" s="12">
        <v>400</v>
      </c>
      <c r="P114" s="12">
        <v>0.5</v>
      </c>
      <c r="Q114" s="12">
        <v>0.85</v>
      </c>
      <c r="R114" s="12">
        <v>0.75</v>
      </c>
      <c r="S114" s="12">
        <v>0.85</v>
      </c>
      <c r="T114" s="12">
        <v>0.75</v>
      </c>
      <c r="U114" s="12">
        <v>0.75</v>
      </c>
      <c r="V114" s="12"/>
      <c r="W114" s="12"/>
      <c r="X114" s="12"/>
      <c r="Y114" s="12">
        <v>2600</v>
      </c>
      <c r="Z114" s="12">
        <v>7.5</v>
      </c>
      <c r="AA114" s="12"/>
      <c r="AB114" s="12" t="s">
        <v>1879</v>
      </c>
    </row>
    <row r="115" spans="1:28" x14ac:dyDescent="0.3">
      <c r="A115" s="12" t="s">
        <v>2002</v>
      </c>
      <c r="B115" s="12" t="s">
        <v>96</v>
      </c>
      <c r="C115" s="12" t="s">
        <v>96</v>
      </c>
      <c r="D115" s="12" t="s">
        <v>97</v>
      </c>
      <c r="E115" s="12" t="s">
        <v>1886</v>
      </c>
      <c r="F115" s="12" t="s">
        <v>832</v>
      </c>
      <c r="G115" s="12" t="s">
        <v>832</v>
      </c>
      <c r="H115" s="12" t="b">
        <v>0</v>
      </c>
      <c r="I115" s="12" t="b">
        <v>0</v>
      </c>
      <c r="J115" s="12" t="b">
        <v>0</v>
      </c>
      <c r="K115" s="12" t="b">
        <v>0</v>
      </c>
      <c r="L115" s="12">
        <v>623.15</v>
      </c>
      <c r="M115" s="12">
        <v>300.032917</v>
      </c>
      <c r="N115" s="12">
        <v>3000</v>
      </c>
      <c r="O115" s="12">
        <v>400</v>
      </c>
      <c r="P115" s="12">
        <v>0.5</v>
      </c>
      <c r="Q115" s="12">
        <v>0.85</v>
      </c>
      <c r="R115" s="12">
        <v>0.75</v>
      </c>
      <c r="S115" s="12">
        <v>0.85</v>
      </c>
      <c r="T115" s="12">
        <v>0.75</v>
      </c>
      <c r="U115" s="12">
        <v>0.76111111111111107</v>
      </c>
      <c r="V115" s="12"/>
      <c r="W115" s="12"/>
      <c r="X115" s="12"/>
      <c r="Y115" s="12">
        <v>2600</v>
      </c>
      <c r="Z115" s="12">
        <v>7.5</v>
      </c>
      <c r="AA115" s="12"/>
      <c r="AB115" s="12" t="s">
        <v>1879</v>
      </c>
    </row>
    <row r="116" spans="1:28" x14ac:dyDescent="0.3">
      <c r="A116" s="12" t="s">
        <v>2003</v>
      </c>
      <c r="B116" s="12" t="s">
        <v>96</v>
      </c>
      <c r="C116" s="12" t="s">
        <v>96</v>
      </c>
      <c r="D116" s="12" t="s">
        <v>97</v>
      </c>
      <c r="E116" s="12" t="s">
        <v>1886</v>
      </c>
      <c r="F116" s="12" t="s">
        <v>832</v>
      </c>
      <c r="G116" s="12" t="s">
        <v>832</v>
      </c>
      <c r="H116" s="12" t="b">
        <v>0</v>
      </c>
      <c r="I116" s="12" t="b">
        <v>0</v>
      </c>
      <c r="J116" s="12" t="b">
        <v>0</v>
      </c>
      <c r="K116" s="12" t="b">
        <v>0</v>
      </c>
      <c r="L116" s="12">
        <v>623.15</v>
      </c>
      <c r="M116" s="12">
        <v>300.032917</v>
      </c>
      <c r="N116" s="12">
        <v>3000</v>
      </c>
      <c r="O116" s="12">
        <v>400</v>
      </c>
      <c r="P116" s="12">
        <v>0.5</v>
      </c>
      <c r="Q116" s="12">
        <v>0.85</v>
      </c>
      <c r="R116" s="12">
        <v>0.75</v>
      </c>
      <c r="S116" s="12">
        <v>0.85</v>
      </c>
      <c r="T116" s="12">
        <v>0.75</v>
      </c>
      <c r="U116" s="12">
        <v>0.78333333333333333</v>
      </c>
      <c r="V116" s="12"/>
      <c r="W116" s="12"/>
      <c r="X116" s="12"/>
      <c r="Y116" s="12">
        <v>2600</v>
      </c>
      <c r="Z116" s="12">
        <v>7.5</v>
      </c>
      <c r="AA116" s="12"/>
      <c r="AB116" s="12" t="s">
        <v>1879</v>
      </c>
    </row>
    <row r="117" spans="1:28" x14ac:dyDescent="0.3">
      <c r="A117" s="12" t="s">
        <v>2004</v>
      </c>
      <c r="B117" s="12" t="s">
        <v>96</v>
      </c>
      <c r="C117" s="12" t="s">
        <v>96</v>
      </c>
      <c r="D117" s="12" t="s">
        <v>97</v>
      </c>
      <c r="E117" s="12" t="s">
        <v>1886</v>
      </c>
      <c r="F117" s="12" t="s">
        <v>832</v>
      </c>
      <c r="G117" s="12" t="s">
        <v>832</v>
      </c>
      <c r="H117" s="12" t="b">
        <v>0</v>
      </c>
      <c r="I117" s="12" t="b">
        <v>0</v>
      </c>
      <c r="J117" s="12" t="b">
        <v>0</v>
      </c>
      <c r="K117" s="12" t="b">
        <v>0</v>
      </c>
      <c r="L117" s="12">
        <v>623.15</v>
      </c>
      <c r="M117" s="12">
        <v>300.032917</v>
      </c>
      <c r="N117" s="12">
        <v>3000</v>
      </c>
      <c r="O117" s="12">
        <v>400</v>
      </c>
      <c r="P117" s="12">
        <v>0.5</v>
      </c>
      <c r="Q117" s="12">
        <v>0.85</v>
      </c>
      <c r="R117" s="12">
        <v>0.75</v>
      </c>
      <c r="S117" s="12">
        <v>0.85</v>
      </c>
      <c r="T117" s="12">
        <v>0.75</v>
      </c>
      <c r="U117" s="12">
        <v>0.77222222222222225</v>
      </c>
      <c r="V117" s="12"/>
      <c r="W117" s="12"/>
      <c r="X117" s="12"/>
      <c r="Y117" s="12">
        <v>2600</v>
      </c>
      <c r="Z117" s="12">
        <v>7.5</v>
      </c>
      <c r="AA117" s="12"/>
      <c r="AB117" s="12" t="s">
        <v>1879</v>
      </c>
    </row>
    <row r="118" spans="1:28" x14ac:dyDescent="0.3">
      <c r="A118" s="12" t="s">
        <v>2005</v>
      </c>
      <c r="B118" s="12" t="s">
        <v>96</v>
      </c>
      <c r="C118" s="12" t="s">
        <v>96</v>
      </c>
      <c r="D118" s="12" t="s">
        <v>97</v>
      </c>
      <c r="E118" s="12" t="s">
        <v>1886</v>
      </c>
      <c r="F118" s="12" t="s">
        <v>832</v>
      </c>
      <c r="G118" s="12" t="s">
        <v>832</v>
      </c>
      <c r="H118" s="12" t="b">
        <v>0</v>
      </c>
      <c r="I118" s="12" t="b">
        <v>0</v>
      </c>
      <c r="J118" s="12" t="b">
        <v>0</v>
      </c>
      <c r="K118" s="12" t="b">
        <v>0</v>
      </c>
      <c r="L118" s="12">
        <v>623.15</v>
      </c>
      <c r="M118" s="12">
        <v>300.032917</v>
      </c>
      <c r="N118" s="12">
        <v>3000</v>
      </c>
      <c r="O118" s="12">
        <v>400</v>
      </c>
      <c r="P118" s="12">
        <v>0.5</v>
      </c>
      <c r="Q118" s="12">
        <v>0.85</v>
      </c>
      <c r="R118" s="12">
        <v>0.75</v>
      </c>
      <c r="S118" s="12">
        <v>0.85</v>
      </c>
      <c r="T118" s="12">
        <v>0.75</v>
      </c>
      <c r="U118" s="12">
        <v>0.7944444444444444</v>
      </c>
      <c r="V118" s="12"/>
      <c r="W118" s="12"/>
      <c r="X118" s="12"/>
      <c r="Y118" s="12">
        <v>2600</v>
      </c>
      <c r="Z118" s="12">
        <v>7.5</v>
      </c>
      <c r="AA118" s="12"/>
      <c r="AB118" s="12" t="s">
        <v>1879</v>
      </c>
    </row>
    <row r="119" spans="1:28" x14ac:dyDescent="0.3">
      <c r="A119" s="12" t="s">
        <v>2006</v>
      </c>
      <c r="B119" s="12" t="s">
        <v>96</v>
      </c>
      <c r="C119" s="12" t="s">
        <v>96</v>
      </c>
      <c r="D119" s="12" t="s">
        <v>97</v>
      </c>
      <c r="E119" s="12" t="s">
        <v>1886</v>
      </c>
      <c r="F119" s="12" t="s">
        <v>832</v>
      </c>
      <c r="G119" s="12" t="s">
        <v>832</v>
      </c>
      <c r="H119" s="12" t="b">
        <v>0</v>
      </c>
      <c r="I119" s="12" t="b">
        <v>0</v>
      </c>
      <c r="J119" s="12" t="b">
        <v>0</v>
      </c>
      <c r="K119" s="12" t="b">
        <v>0</v>
      </c>
      <c r="L119" s="12">
        <v>623.15</v>
      </c>
      <c r="M119" s="12">
        <v>300.032917</v>
      </c>
      <c r="N119" s="12">
        <v>3000</v>
      </c>
      <c r="O119" s="12">
        <v>400</v>
      </c>
      <c r="P119" s="12">
        <v>0.5</v>
      </c>
      <c r="Q119" s="12">
        <v>0.85</v>
      </c>
      <c r="R119" s="12">
        <v>0.75</v>
      </c>
      <c r="S119" s="12">
        <v>0.85</v>
      </c>
      <c r="T119" s="12">
        <v>0.75</v>
      </c>
      <c r="U119" s="12">
        <v>0.80555555555555558</v>
      </c>
      <c r="V119" s="12"/>
      <c r="W119" s="12"/>
      <c r="X119" s="12"/>
      <c r="Y119" s="12">
        <v>2600</v>
      </c>
      <c r="Z119" s="12">
        <v>7.5</v>
      </c>
      <c r="AA119" s="12"/>
      <c r="AB119" s="12" t="s">
        <v>1879</v>
      </c>
    </row>
    <row r="120" spans="1:28" x14ac:dyDescent="0.3">
      <c r="A120" s="12" t="s">
        <v>2007</v>
      </c>
      <c r="B120" s="12" t="s">
        <v>96</v>
      </c>
      <c r="C120" s="12" t="s">
        <v>96</v>
      </c>
      <c r="D120" s="12" t="s">
        <v>97</v>
      </c>
      <c r="E120" s="12" t="s">
        <v>1886</v>
      </c>
      <c r="F120" s="12" t="s">
        <v>832</v>
      </c>
      <c r="G120" s="12" t="s">
        <v>832</v>
      </c>
      <c r="H120" s="12" t="b">
        <v>0</v>
      </c>
      <c r="I120" s="12" t="b">
        <v>0</v>
      </c>
      <c r="J120" s="12" t="b">
        <v>0</v>
      </c>
      <c r="K120" s="12" t="b">
        <v>0</v>
      </c>
      <c r="L120" s="12">
        <v>340</v>
      </c>
      <c r="M120" s="12">
        <v>300.032917</v>
      </c>
      <c r="N120" s="12">
        <v>3000</v>
      </c>
      <c r="O120" s="12">
        <v>400</v>
      </c>
      <c r="P120" s="12">
        <v>0.5</v>
      </c>
      <c r="Q120" s="12">
        <v>0.85</v>
      </c>
      <c r="R120" s="12">
        <v>0.75</v>
      </c>
      <c r="S120" s="12">
        <v>0.85</v>
      </c>
      <c r="T120" s="12">
        <v>0.75</v>
      </c>
      <c r="U120" s="12">
        <v>0.8</v>
      </c>
      <c r="V120" s="12"/>
      <c r="W120" s="12"/>
      <c r="X120" s="12"/>
      <c r="Y120" s="12">
        <v>2600</v>
      </c>
      <c r="Z120" s="12">
        <v>7.5</v>
      </c>
      <c r="AA120" s="12"/>
      <c r="AB120" s="12" t="s">
        <v>274</v>
      </c>
    </row>
    <row r="121" spans="1:28" x14ac:dyDescent="0.3">
      <c r="A121" s="12" t="s">
        <v>2008</v>
      </c>
      <c r="B121" s="12" t="s">
        <v>96</v>
      </c>
      <c r="C121" s="12" t="s">
        <v>96</v>
      </c>
      <c r="D121" s="12" t="s">
        <v>97</v>
      </c>
      <c r="E121" s="12" t="s">
        <v>1886</v>
      </c>
      <c r="F121" s="12" t="s">
        <v>832</v>
      </c>
      <c r="G121" s="12" t="s">
        <v>832</v>
      </c>
      <c r="H121" s="12" t="b">
        <v>0</v>
      </c>
      <c r="I121" s="12" t="b">
        <v>0</v>
      </c>
      <c r="J121" s="12" t="b">
        <v>0</v>
      </c>
      <c r="K121" s="12" t="b">
        <v>0</v>
      </c>
      <c r="L121" s="12">
        <v>623.15</v>
      </c>
      <c r="M121" s="12">
        <v>300.032917</v>
      </c>
      <c r="N121" s="12">
        <v>3000</v>
      </c>
      <c r="O121" s="12">
        <v>400</v>
      </c>
      <c r="P121" s="12">
        <v>0.5</v>
      </c>
      <c r="Q121" s="12">
        <v>0.85</v>
      </c>
      <c r="R121" s="12">
        <v>0.75</v>
      </c>
      <c r="S121" s="12">
        <v>0.85</v>
      </c>
      <c r="T121" s="12">
        <v>0.75</v>
      </c>
      <c r="U121" s="12">
        <v>0.81666666666666665</v>
      </c>
      <c r="V121" s="12"/>
      <c r="W121" s="12"/>
      <c r="X121" s="12"/>
      <c r="Y121" s="12">
        <v>2600</v>
      </c>
      <c r="Z121" s="12">
        <v>7.5</v>
      </c>
      <c r="AA121" s="12"/>
      <c r="AB121" s="12" t="s">
        <v>1879</v>
      </c>
    </row>
    <row r="122" spans="1:28" x14ac:dyDescent="0.3">
      <c r="A122" s="12" t="s">
        <v>2009</v>
      </c>
      <c r="B122" s="12" t="s">
        <v>96</v>
      </c>
      <c r="C122" s="12" t="s">
        <v>96</v>
      </c>
      <c r="D122" s="12" t="s">
        <v>97</v>
      </c>
      <c r="E122" s="12" t="s">
        <v>1886</v>
      </c>
      <c r="F122" s="12" t="s">
        <v>832</v>
      </c>
      <c r="G122" s="12" t="s">
        <v>832</v>
      </c>
      <c r="H122" s="12" t="b">
        <v>0</v>
      </c>
      <c r="I122" s="12" t="b">
        <v>0</v>
      </c>
      <c r="J122" s="12" t="b">
        <v>0</v>
      </c>
      <c r="K122" s="12" t="b">
        <v>0</v>
      </c>
      <c r="L122" s="12">
        <v>623.15</v>
      </c>
      <c r="M122" s="12">
        <v>300.032917</v>
      </c>
      <c r="N122" s="12">
        <v>3000</v>
      </c>
      <c r="O122" s="12">
        <v>400</v>
      </c>
      <c r="P122" s="12">
        <v>0.5</v>
      </c>
      <c r="Q122" s="12">
        <v>0.85</v>
      </c>
      <c r="R122" s="12">
        <v>0.75</v>
      </c>
      <c r="S122" s="12">
        <v>0.85</v>
      </c>
      <c r="T122" s="12">
        <v>0.75</v>
      </c>
      <c r="U122" s="12">
        <v>0.82777777777777772</v>
      </c>
      <c r="V122" s="12"/>
      <c r="W122" s="12"/>
      <c r="X122" s="12"/>
      <c r="Y122" s="12">
        <v>2600</v>
      </c>
      <c r="Z122" s="12">
        <v>7.5</v>
      </c>
      <c r="AA122" s="12"/>
      <c r="AB122" s="12" t="s">
        <v>1879</v>
      </c>
    </row>
    <row r="123" spans="1:28" x14ac:dyDescent="0.3">
      <c r="A123" s="12" t="s">
        <v>2010</v>
      </c>
      <c r="B123" s="12" t="s">
        <v>96</v>
      </c>
      <c r="C123" s="12" t="s">
        <v>96</v>
      </c>
      <c r="D123" s="12" t="s">
        <v>97</v>
      </c>
      <c r="E123" s="12" t="s">
        <v>1886</v>
      </c>
      <c r="F123" s="12" t="s">
        <v>832</v>
      </c>
      <c r="G123" s="12" t="s">
        <v>832</v>
      </c>
      <c r="H123" s="12" t="b">
        <v>0</v>
      </c>
      <c r="I123" s="12" t="b">
        <v>0</v>
      </c>
      <c r="J123" s="12" t="b">
        <v>0</v>
      </c>
      <c r="K123" s="12" t="b">
        <v>0</v>
      </c>
      <c r="L123" s="12">
        <v>623.15</v>
      </c>
      <c r="M123" s="12">
        <v>300.032917</v>
      </c>
      <c r="N123" s="12">
        <v>3000</v>
      </c>
      <c r="O123" s="12">
        <v>400</v>
      </c>
      <c r="P123" s="12">
        <v>0.5</v>
      </c>
      <c r="Q123" s="12">
        <v>0.85</v>
      </c>
      <c r="R123" s="12">
        <v>0.75</v>
      </c>
      <c r="S123" s="12">
        <v>0.85</v>
      </c>
      <c r="T123" s="12">
        <v>0.75</v>
      </c>
      <c r="U123" s="12">
        <v>0.83888888888888891</v>
      </c>
      <c r="V123" s="12"/>
      <c r="W123" s="12"/>
      <c r="X123" s="12"/>
      <c r="Y123" s="12">
        <v>2600</v>
      </c>
      <c r="Z123" s="12">
        <v>7.5</v>
      </c>
      <c r="AA123" s="12"/>
      <c r="AB123" s="12" t="s">
        <v>1879</v>
      </c>
    </row>
    <row r="124" spans="1:28" x14ac:dyDescent="0.3">
      <c r="A124" s="12" t="s">
        <v>2011</v>
      </c>
      <c r="B124" s="12" t="s">
        <v>96</v>
      </c>
      <c r="C124" s="12" t="s">
        <v>96</v>
      </c>
      <c r="D124" s="12" t="s">
        <v>97</v>
      </c>
      <c r="E124" s="12" t="s">
        <v>1886</v>
      </c>
      <c r="F124" s="12" t="s">
        <v>832</v>
      </c>
      <c r="G124" s="12" t="s">
        <v>832</v>
      </c>
      <c r="H124" s="12" t="b">
        <v>0</v>
      </c>
      <c r="I124" s="12" t="b">
        <v>0</v>
      </c>
      <c r="J124" s="12" t="b">
        <v>0</v>
      </c>
      <c r="K124" s="12" t="b">
        <v>0</v>
      </c>
      <c r="L124" s="12">
        <v>623.15</v>
      </c>
      <c r="M124" s="12">
        <v>300.032917</v>
      </c>
      <c r="N124" s="12">
        <v>3000</v>
      </c>
      <c r="O124" s="12">
        <v>400</v>
      </c>
      <c r="P124" s="12">
        <v>0.5</v>
      </c>
      <c r="Q124" s="12">
        <v>0.85</v>
      </c>
      <c r="R124" s="12">
        <v>0.75</v>
      </c>
      <c r="S124" s="12">
        <v>0.85</v>
      </c>
      <c r="T124" s="12">
        <v>0.75</v>
      </c>
      <c r="U124" s="12">
        <v>0.85</v>
      </c>
      <c r="V124" s="12"/>
      <c r="W124" s="12"/>
      <c r="X124" s="12"/>
      <c r="Y124" s="12">
        <v>2600</v>
      </c>
      <c r="Z124" s="12">
        <v>7.5</v>
      </c>
      <c r="AA124" s="12"/>
      <c r="AB124" s="12" t="s">
        <v>1879</v>
      </c>
    </row>
    <row r="125" spans="1:28" x14ac:dyDescent="0.3">
      <c r="A125" s="12" t="s">
        <v>2012</v>
      </c>
      <c r="B125" s="12" t="s">
        <v>96</v>
      </c>
      <c r="C125" s="12" t="s">
        <v>96</v>
      </c>
      <c r="D125" s="12" t="s">
        <v>97</v>
      </c>
      <c r="E125" s="12" t="s">
        <v>1886</v>
      </c>
      <c r="F125" s="12" t="s">
        <v>1861</v>
      </c>
      <c r="G125" s="12" t="s">
        <v>1861</v>
      </c>
      <c r="H125" s="12" t="b">
        <v>1</v>
      </c>
      <c r="I125" s="12" t="b">
        <v>0</v>
      </c>
      <c r="J125" s="12" t="b">
        <v>0</v>
      </c>
      <c r="K125" s="12" t="b">
        <v>0</v>
      </c>
      <c r="L125" s="12">
        <v>402.92222222222222</v>
      </c>
      <c r="M125" s="12">
        <v>300.032917</v>
      </c>
      <c r="N125" s="12">
        <v>3000</v>
      </c>
      <c r="O125" s="12">
        <v>400</v>
      </c>
      <c r="P125" s="12">
        <v>0.5</v>
      </c>
      <c r="Q125" s="12">
        <v>0.85</v>
      </c>
      <c r="R125" s="12">
        <v>0.75</v>
      </c>
      <c r="S125" s="12">
        <v>0.85</v>
      </c>
      <c r="T125" s="12">
        <v>0.75</v>
      </c>
      <c r="U125" s="12">
        <v>0.8</v>
      </c>
      <c r="V125" s="12"/>
      <c r="W125" s="12">
        <v>9.8550442904897508</v>
      </c>
      <c r="X125" s="12">
        <v>30.053682597947319</v>
      </c>
      <c r="Y125" s="12">
        <v>2600</v>
      </c>
      <c r="Z125" s="12">
        <v>7.5</v>
      </c>
      <c r="AA125" s="12" t="s">
        <v>1268</v>
      </c>
      <c r="AB125" s="12" t="s">
        <v>274</v>
      </c>
    </row>
    <row r="126" spans="1:28" x14ac:dyDescent="0.3">
      <c r="A126" s="12" t="s">
        <v>2013</v>
      </c>
      <c r="B126" s="12" t="s">
        <v>96</v>
      </c>
      <c r="C126" s="12" t="s">
        <v>96</v>
      </c>
      <c r="D126" s="12" t="s">
        <v>97</v>
      </c>
      <c r="E126" s="12" t="s">
        <v>1886</v>
      </c>
      <c r="F126" s="12" t="s">
        <v>1861</v>
      </c>
      <c r="G126" s="12" t="s">
        <v>1861</v>
      </c>
      <c r="H126" s="12" t="b">
        <v>1</v>
      </c>
      <c r="I126" s="12" t="b">
        <v>0</v>
      </c>
      <c r="J126" s="12" t="b">
        <v>1</v>
      </c>
      <c r="K126" s="12" t="b">
        <v>0</v>
      </c>
      <c r="L126" s="12">
        <v>434.38333333333333</v>
      </c>
      <c r="M126" s="12">
        <v>300.032917</v>
      </c>
      <c r="N126" s="12">
        <v>3000</v>
      </c>
      <c r="O126" s="12">
        <v>400</v>
      </c>
      <c r="P126" s="12">
        <v>0.5</v>
      </c>
      <c r="Q126" s="12">
        <v>0.85</v>
      </c>
      <c r="R126" s="12">
        <v>0.75</v>
      </c>
      <c r="S126" s="12">
        <v>0.85</v>
      </c>
      <c r="T126" s="12">
        <v>0.75</v>
      </c>
      <c r="U126" s="12">
        <v>0.8</v>
      </c>
      <c r="V126" s="12"/>
      <c r="W126" s="12">
        <v>13.034189114857799</v>
      </c>
      <c r="X126" s="12">
        <v>89.87198723802976</v>
      </c>
      <c r="Y126" s="12">
        <v>2600</v>
      </c>
      <c r="Z126" s="12">
        <v>7.5</v>
      </c>
      <c r="AA126" s="12" t="s">
        <v>1268</v>
      </c>
      <c r="AB126" s="12" t="s">
        <v>274</v>
      </c>
    </row>
    <row r="127" spans="1:28" x14ac:dyDescent="0.3">
      <c r="A127" s="12" t="s">
        <v>2014</v>
      </c>
      <c r="B127" s="12" t="s">
        <v>96</v>
      </c>
      <c r="C127" s="12" t="s">
        <v>96</v>
      </c>
      <c r="D127" s="12" t="s">
        <v>97</v>
      </c>
      <c r="E127" s="12" t="s">
        <v>1886</v>
      </c>
      <c r="F127" s="12" t="s">
        <v>1861</v>
      </c>
      <c r="G127" s="12" t="s">
        <v>1861</v>
      </c>
      <c r="H127" s="12" t="b">
        <v>1</v>
      </c>
      <c r="I127" s="12" t="b">
        <v>0</v>
      </c>
      <c r="J127" s="12" t="b">
        <v>1</v>
      </c>
      <c r="K127" s="12" t="b">
        <v>0</v>
      </c>
      <c r="L127" s="12">
        <v>528.76666666666665</v>
      </c>
      <c r="M127" s="12">
        <v>300.032917</v>
      </c>
      <c r="N127" s="12">
        <v>3000</v>
      </c>
      <c r="O127" s="12">
        <v>400</v>
      </c>
      <c r="P127" s="12">
        <v>0.5</v>
      </c>
      <c r="Q127" s="12">
        <v>0.85</v>
      </c>
      <c r="R127" s="12">
        <v>0.75</v>
      </c>
      <c r="S127" s="12">
        <v>0.85</v>
      </c>
      <c r="T127" s="12">
        <v>0.75</v>
      </c>
      <c r="U127" s="12">
        <v>0.8</v>
      </c>
      <c r="V127" s="12"/>
      <c r="W127" s="12">
        <v>13.082101530127231</v>
      </c>
      <c r="X127" s="12">
        <v>227.09475958739489</v>
      </c>
      <c r="Y127" s="12">
        <v>2600</v>
      </c>
      <c r="Z127" s="12">
        <v>7.5</v>
      </c>
      <c r="AA127" s="12" t="s">
        <v>1981</v>
      </c>
      <c r="AB127" s="12" t="s">
        <v>274</v>
      </c>
    </row>
    <row r="128" spans="1:28" x14ac:dyDescent="0.3">
      <c r="A128" s="12" t="s">
        <v>2015</v>
      </c>
      <c r="B128" s="12" t="s">
        <v>96</v>
      </c>
      <c r="C128" s="12" t="s">
        <v>96</v>
      </c>
      <c r="D128" s="12" t="s">
        <v>97</v>
      </c>
      <c r="E128" s="12" t="s">
        <v>1886</v>
      </c>
      <c r="F128" s="12" t="s">
        <v>1861</v>
      </c>
      <c r="G128" s="12" t="s">
        <v>1861</v>
      </c>
      <c r="H128" s="12" t="b">
        <v>1</v>
      </c>
      <c r="I128" s="12" t="b">
        <v>0</v>
      </c>
      <c r="J128" s="12" t="b">
        <v>1</v>
      </c>
      <c r="K128" s="12" t="b">
        <v>0</v>
      </c>
      <c r="L128" s="12">
        <v>465.84444444444438</v>
      </c>
      <c r="M128" s="12">
        <v>300.032917</v>
      </c>
      <c r="N128" s="12">
        <v>3000</v>
      </c>
      <c r="O128" s="12">
        <v>400</v>
      </c>
      <c r="P128" s="12">
        <v>0.5</v>
      </c>
      <c r="Q128" s="12">
        <v>0.85</v>
      </c>
      <c r="R128" s="12">
        <v>0.75</v>
      </c>
      <c r="S128" s="12">
        <v>0.85</v>
      </c>
      <c r="T128" s="12">
        <v>0.75</v>
      </c>
      <c r="U128" s="12">
        <v>0.8</v>
      </c>
      <c r="V128" s="12"/>
      <c r="W128" s="12">
        <v>13.23893393241748</v>
      </c>
      <c r="X128" s="12">
        <v>181.92905152882321</v>
      </c>
      <c r="Y128" s="12">
        <v>2600</v>
      </c>
      <c r="Z128" s="12">
        <v>7.5</v>
      </c>
      <c r="AA128" s="12" t="s">
        <v>1268</v>
      </c>
      <c r="AB128" s="12" t="s">
        <v>274</v>
      </c>
    </row>
    <row r="129" spans="1:28" x14ac:dyDescent="0.3">
      <c r="A129" s="12" t="s">
        <v>2016</v>
      </c>
      <c r="B129" s="12" t="s">
        <v>96</v>
      </c>
      <c r="C129" s="12" t="s">
        <v>96</v>
      </c>
      <c r="D129" s="12" t="s">
        <v>97</v>
      </c>
      <c r="E129" s="12" t="s">
        <v>1886</v>
      </c>
      <c r="F129" s="12" t="s">
        <v>1861</v>
      </c>
      <c r="G129" s="12" t="s">
        <v>1861</v>
      </c>
      <c r="H129" s="12" t="b">
        <v>1</v>
      </c>
      <c r="I129" s="12" t="b">
        <v>0</v>
      </c>
      <c r="J129" s="12" t="b">
        <v>1</v>
      </c>
      <c r="K129" s="12" t="b">
        <v>0</v>
      </c>
      <c r="L129" s="12">
        <v>497.30555555555549</v>
      </c>
      <c r="M129" s="12">
        <v>300.032917</v>
      </c>
      <c r="N129" s="12">
        <v>3000</v>
      </c>
      <c r="O129" s="12">
        <v>400</v>
      </c>
      <c r="P129" s="12">
        <v>0.5</v>
      </c>
      <c r="Q129" s="12">
        <v>0.85</v>
      </c>
      <c r="R129" s="12">
        <v>0.75</v>
      </c>
      <c r="S129" s="12">
        <v>0.85</v>
      </c>
      <c r="T129" s="12">
        <v>0.75</v>
      </c>
      <c r="U129" s="12">
        <v>0.8</v>
      </c>
      <c r="V129" s="12"/>
      <c r="W129" s="12">
        <v>13.10697051383622</v>
      </c>
      <c r="X129" s="12">
        <v>218.64759729569769</v>
      </c>
      <c r="Y129" s="12">
        <v>2600</v>
      </c>
      <c r="Z129" s="12">
        <v>7.5</v>
      </c>
      <c r="AA129" s="12" t="s">
        <v>1268</v>
      </c>
      <c r="AB129" s="12" t="s">
        <v>274</v>
      </c>
    </row>
    <row r="130" spans="1:28" x14ac:dyDescent="0.3">
      <c r="A130" s="12" t="s">
        <v>2017</v>
      </c>
      <c r="B130" s="12" t="s">
        <v>96</v>
      </c>
      <c r="C130" s="12" t="s">
        <v>96</v>
      </c>
      <c r="D130" s="12" t="s">
        <v>97</v>
      </c>
      <c r="E130" s="12" t="s">
        <v>1886</v>
      </c>
      <c r="F130" s="12" t="s">
        <v>1863</v>
      </c>
      <c r="G130" s="12" t="s">
        <v>832</v>
      </c>
      <c r="H130" s="12" t="b">
        <v>0</v>
      </c>
      <c r="I130" s="12" t="b">
        <v>0</v>
      </c>
      <c r="J130" s="12" t="b">
        <v>0</v>
      </c>
      <c r="K130" s="12" t="b">
        <v>0</v>
      </c>
      <c r="L130" s="12">
        <v>371.46111111111111</v>
      </c>
      <c r="M130" s="12">
        <v>300.032917</v>
      </c>
      <c r="N130" s="12">
        <v>3000</v>
      </c>
      <c r="O130" s="12">
        <v>400</v>
      </c>
      <c r="P130" s="12">
        <v>0.5</v>
      </c>
      <c r="Q130" s="12">
        <v>0.85</v>
      </c>
      <c r="R130" s="12">
        <v>0.75</v>
      </c>
      <c r="S130" s="12">
        <v>0.85</v>
      </c>
      <c r="T130" s="12">
        <v>0.75</v>
      </c>
      <c r="U130" s="12">
        <v>0.8</v>
      </c>
      <c r="V130" s="12"/>
      <c r="W130" s="12">
        <v>-263.49224777415662</v>
      </c>
      <c r="X130" s="12">
        <v>-56.978084768050103</v>
      </c>
      <c r="Y130" s="12">
        <v>2600</v>
      </c>
      <c r="Z130" s="12">
        <v>7.5</v>
      </c>
      <c r="AA130" s="12" t="s">
        <v>2018</v>
      </c>
      <c r="AB130" s="12" t="s">
        <v>274</v>
      </c>
    </row>
    <row r="131" spans="1:28" x14ac:dyDescent="0.3">
      <c r="A131" s="12" t="s">
        <v>2019</v>
      </c>
      <c r="B131" s="12" t="s">
        <v>96</v>
      </c>
      <c r="C131" s="12" t="s">
        <v>96</v>
      </c>
      <c r="D131" s="12" t="s">
        <v>97</v>
      </c>
      <c r="E131" s="12" t="s">
        <v>1886</v>
      </c>
      <c r="F131" s="12" t="s">
        <v>1861</v>
      </c>
      <c r="G131" s="12" t="s">
        <v>1861</v>
      </c>
      <c r="H131" s="12" t="b">
        <v>1</v>
      </c>
      <c r="I131" s="12" t="b">
        <v>0</v>
      </c>
      <c r="J131" s="12" t="b">
        <v>1</v>
      </c>
      <c r="K131" s="12" t="b">
        <v>0</v>
      </c>
      <c r="L131" s="12">
        <v>560.22777777777776</v>
      </c>
      <c r="M131" s="12">
        <v>300.032917</v>
      </c>
      <c r="N131" s="12">
        <v>3000</v>
      </c>
      <c r="O131" s="12">
        <v>400</v>
      </c>
      <c r="P131" s="12">
        <v>0.5</v>
      </c>
      <c r="Q131" s="12">
        <v>0.85</v>
      </c>
      <c r="R131" s="12">
        <v>0.75</v>
      </c>
      <c r="S131" s="12">
        <v>0.85</v>
      </c>
      <c r="T131" s="12">
        <v>0.75</v>
      </c>
      <c r="U131" s="12">
        <v>0.8</v>
      </c>
      <c r="V131" s="12"/>
      <c r="W131" s="12">
        <v>13.05959417804741</v>
      </c>
      <c r="X131" s="12">
        <v>235.16926873592661</v>
      </c>
      <c r="Y131" s="12">
        <v>2600</v>
      </c>
      <c r="Z131" s="12">
        <v>7.5</v>
      </c>
      <c r="AA131" s="12" t="s">
        <v>1981</v>
      </c>
      <c r="AB131" s="12" t="s">
        <v>274</v>
      </c>
    </row>
    <row r="132" spans="1:28" x14ac:dyDescent="0.3">
      <c r="A132" s="12" t="s">
        <v>2020</v>
      </c>
      <c r="B132" s="12" t="s">
        <v>96</v>
      </c>
      <c r="C132" s="12" t="s">
        <v>96</v>
      </c>
      <c r="D132" s="12" t="s">
        <v>97</v>
      </c>
      <c r="E132" s="12" t="s">
        <v>1886</v>
      </c>
      <c r="F132" s="12" t="s">
        <v>832</v>
      </c>
      <c r="G132" s="12" t="s">
        <v>832</v>
      </c>
      <c r="H132" s="12" t="b">
        <v>0</v>
      </c>
      <c r="I132" s="12" t="b">
        <v>0</v>
      </c>
      <c r="J132" s="12" t="b">
        <v>0</v>
      </c>
      <c r="K132" s="12" t="b">
        <v>0</v>
      </c>
      <c r="L132" s="12">
        <v>623.15</v>
      </c>
      <c r="M132" s="12">
        <v>300.032917</v>
      </c>
      <c r="N132" s="12">
        <v>3000</v>
      </c>
      <c r="O132" s="12">
        <v>400</v>
      </c>
      <c r="P132" s="12">
        <v>0.5</v>
      </c>
      <c r="Q132" s="12">
        <v>0.85</v>
      </c>
      <c r="R132" s="12">
        <v>0.75</v>
      </c>
      <c r="S132" s="12">
        <v>0.85</v>
      </c>
      <c r="T132" s="12">
        <v>0.75</v>
      </c>
      <c r="U132" s="12">
        <v>0.8</v>
      </c>
      <c r="V132" s="12"/>
      <c r="W132" s="12"/>
      <c r="X132" s="12"/>
      <c r="Y132" s="12">
        <v>2600</v>
      </c>
      <c r="Z132" s="12">
        <v>7.5</v>
      </c>
      <c r="AA132" s="12"/>
      <c r="AB132" s="12" t="s">
        <v>274</v>
      </c>
    </row>
    <row r="133" spans="1:28" x14ac:dyDescent="0.3">
      <c r="A133" s="12" t="s">
        <v>2021</v>
      </c>
      <c r="B133" s="12" t="s">
        <v>96</v>
      </c>
      <c r="C133" s="12" t="s">
        <v>96</v>
      </c>
      <c r="D133" s="12" t="s">
        <v>97</v>
      </c>
      <c r="E133" s="12" t="s">
        <v>1886</v>
      </c>
      <c r="F133" s="12" t="s">
        <v>832</v>
      </c>
      <c r="G133" s="12" t="s">
        <v>832</v>
      </c>
      <c r="H133" s="12" t="b">
        <v>0</v>
      </c>
      <c r="I133" s="12" t="b">
        <v>0</v>
      </c>
      <c r="J133" s="12" t="b">
        <v>0</v>
      </c>
      <c r="K133" s="12" t="b">
        <v>0</v>
      </c>
      <c r="L133" s="12">
        <v>623.15</v>
      </c>
      <c r="M133" s="12">
        <v>283.14999999999998</v>
      </c>
      <c r="N133" s="12">
        <v>3000</v>
      </c>
      <c r="O133" s="12">
        <v>400</v>
      </c>
      <c r="P133" s="12">
        <v>0.5</v>
      </c>
      <c r="Q133" s="12">
        <v>0.85</v>
      </c>
      <c r="R133" s="12">
        <v>0.75</v>
      </c>
      <c r="S133" s="12">
        <v>0.85</v>
      </c>
      <c r="T133" s="12">
        <v>0.75</v>
      </c>
      <c r="U133" s="12">
        <v>0.8</v>
      </c>
      <c r="V133" s="12"/>
      <c r="W133" s="12"/>
      <c r="X133" s="12"/>
      <c r="Y133" s="12">
        <v>2600</v>
      </c>
      <c r="Z133" s="12">
        <v>7.5</v>
      </c>
      <c r="AA133" s="12"/>
      <c r="AB133" s="12" t="s">
        <v>276</v>
      </c>
    </row>
    <row r="134" spans="1:28" x14ac:dyDescent="0.3">
      <c r="A134" s="12" t="s">
        <v>2022</v>
      </c>
      <c r="B134" s="12" t="s">
        <v>96</v>
      </c>
      <c r="C134" s="12" t="s">
        <v>96</v>
      </c>
      <c r="D134" s="12" t="s">
        <v>97</v>
      </c>
      <c r="E134" s="12" t="s">
        <v>1886</v>
      </c>
      <c r="F134" s="12" t="s">
        <v>1862</v>
      </c>
      <c r="G134" s="12" t="s">
        <v>1862</v>
      </c>
      <c r="H134" s="12" t="b">
        <v>1</v>
      </c>
      <c r="I134" s="12" t="b">
        <v>0</v>
      </c>
      <c r="J134" s="12" t="b">
        <v>1</v>
      </c>
      <c r="K134" s="12" t="b">
        <v>0</v>
      </c>
      <c r="L134" s="12">
        <v>591.68888888888887</v>
      </c>
      <c r="M134" s="12">
        <v>300.032917</v>
      </c>
      <c r="N134" s="12">
        <v>3000</v>
      </c>
      <c r="O134" s="12">
        <v>400</v>
      </c>
      <c r="P134" s="12">
        <v>0.5</v>
      </c>
      <c r="Q134" s="12">
        <v>0.85</v>
      </c>
      <c r="R134" s="12">
        <v>0.75</v>
      </c>
      <c r="S134" s="12">
        <v>0.85</v>
      </c>
      <c r="T134" s="12">
        <v>0.75</v>
      </c>
      <c r="U134" s="12">
        <v>0.8</v>
      </c>
      <c r="V134" s="12"/>
      <c r="W134" s="12">
        <v>13.04002337508707</v>
      </c>
      <c r="X134" s="12">
        <v>243.09725591575199</v>
      </c>
      <c r="Y134" s="12">
        <v>2600</v>
      </c>
      <c r="Z134" s="12">
        <v>7.5</v>
      </c>
      <c r="AA134" s="12" t="s">
        <v>1959</v>
      </c>
      <c r="AB134" s="12" t="s">
        <v>274</v>
      </c>
    </row>
    <row r="135" spans="1:28" x14ac:dyDescent="0.3">
      <c r="A135" s="12" t="s">
        <v>2023</v>
      </c>
      <c r="B135" s="12" t="s">
        <v>96</v>
      </c>
      <c r="C135" s="12" t="s">
        <v>96</v>
      </c>
      <c r="D135" s="12" t="s">
        <v>97</v>
      </c>
      <c r="E135" s="12" t="s">
        <v>1886</v>
      </c>
      <c r="F135" s="12" t="s">
        <v>832</v>
      </c>
      <c r="G135" s="12" t="s">
        <v>832</v>
      </c>
      <c r="H135" s="12" t="b">
        <v>0</v>
      </c>
      <c r="I135" s="12" t="b">
        <v>0</v>
      </c>
      <c r="J135" s="12" t="b">
        <v>0</v>
      </c>
      <c r="K135" s="12" t="b">
        <v>0</v>
      </c>
      <c r="L135" s="12">
        <v>623.15</v>
      </c>
      <c r="M135" s="12">
        <v>285.41666666666657</v>
      </c>
      <c r="N135" s="12">
        <v>3000</v>
      </c>
      <c r="O135" s="12">
        <v>400</v>
      </c>
      <c r="P135" s="12">
        <v>0.5</v>
      </c>
      <c r="Q135" s="12">
        <v>0.85</v>
      </c>
      <c r="R135" s="12">
        <v>0.75</v>
      </c>
      <c r="S135" s="12">
        <v>0.85</v>
      </c>
      <c r="T135" s="12">
        <v>0.75</v>
      </c>
      <c r="U135" s="12">
        <v>0.8</v>
      </c>
      <c r="V135" s="12"/>
      <c r="W135" s="12"/>
      <c r="X135" s="12"/>
      <c r="Y135" s="12">
        <v>2600</v>
      </c>
      <c r="Z135" s="12">
        <v>7.5</v>
      </c>
      <c r="AA135" s="12"/>
      <c r="AB135" s="12" t="s">
        <v>276</v>
      </c>
    </row>
    <row r="136" spans="1:28" x14ac:dyDescent="0.3">
      <c r="A136" s="12" t="s">
        <v>2024</v>
      </c>
      <c r="B136" s="12" t="s">
        <v>96</v>
      </c>
      <c r="C136" s="12" t="s">
        <v>96</v>
      </c>
      <c r="D136" s="12" t="s">
        <v>97</v>
      </c>
      <c r="E136" s="12" t="s">
        <v>1886</v>
      </c>
      <c r="F136" s="12" t="s">
        <v>832</v>
      </c>
      <c r="G136" s="12" t="s">
        <v>832</v>
      </c>
      <c r="H136" s="12" t="b">
        <v>0</v>
      </c>
      <c r="I136" s="12" t="b">
        <v>0</v>
      </c>
      <c r="J136" s="12" t="b">
        <v>0</v>
      </c>
      <c r="K136" s="12" t="b">
        <v>0</v>
      </c>
      <c r="L136" s="12">
        <v>623.15</v>
      </c>
      <c r="M136" s="12">
        <v>287.68333333333328</v>
      </c>
      <c r="N136" s="12">
        <v>3000</v>
      </c>
      <c r="O136" s="12">
        <v>400</v>
      </c>
      <c r="P136" s="12">
        <v>0.5</v>
      </c>
      <c r="Q136" s="12">
        <v>0.85</v>
      </c>
      <c r="R136" s="12">
        <v>0.75</v>
      </c>
      <c r="S136" s="12">
        <v>0.85</v>
      </c>
      <c r="T136" s="12">
        <v>0.75</v>
      </c>
      <c r="U136" s="12">
        <v>0.8</v>
      </c>
      <c r="V136" s="12"/>
      <c r="W136" s="12"/>
      <c r="X136" s="12"/>
      <c r="Y136" s="12">
        <v>2600</v>
      </c>
      <c r="Z136" s="12">
        <v>7.5</v>
      </c>
      <c r="AA136" s="12"/>
      <c r="AB136" s="12" t="s">
        <v>276</v>
      </c>
    </row>
    <row r="137" spans="1:28" x14ac:dyDescent="0.3">
      <c r="A137" s="12" t="s">
        <v>2025</v>
      </c>
      <c r="B137" s="12" t="s">
        <v>96</v>
      </c>
      <c r="C137" s="12" t="s">
        <v>96</v>
      </c>
      <c r="D137" s="12" t="s">
        <v>97</v>
      </c>
      <c r="E137" s="12" t="s">
        <v>1886</v>
      </c>
      <c r="F137" s="12" t="s">
        <v>832</v>
      </c>
      <c r="G137" s="12" t="s">
        <v>832</v>
      </c>
      <c r="H137" s="12" t="b">
        <v>0</v>
      </c>
      <c r="I137" s="12" t="b">
        <v>0</v>
      </c>
      <c r="J137" s="12" t="b">
        <v>0</v>
      </c>
      <c r="K137" s="12" t="b">
        <v>0</v>
      </c>
      <c r="L137" s="12">
        <v>623.15</v>
      </c>
      <c r="M137" s="12">
        <v>289.95</v>
      </c>
      <c r="N137" s="12">
        <v>3000</v>
      </c>
      <c r="O137" s="12">
        <v>400</v>
      </c>
      <c r="P137" s="12">
        <v>0.5</v>
      </c>
      <c r="Q137" s="12">
        <v>0.85</v>
      </c>
      <c r="R137" s="12">
        <v>0.75</v>
      </c>
      <c r="S137" s="12">
        <v>0.85</v>
      </c>
      <c r="T137" s="12">
        <v>0.75</v>
      </c>
      <c r="U137" s="12">
        <v>0.8</v>
      </c>
      <c r="V137" s="12"/>
      <c r="W137" s="12"/>
      <c r="X137" s="12"/>
      <c r="Y137" s="12">
        <v>2600</v>
      </c>
      <c r="Z137" s="12">
        <v>7.5</v>
      </c>
      <c r="AA137" s="12"/>
      <c r="AB137" s="12" t="s">
        <v>276</v>
      </c>
    </row>
    <row r="138" spans="1:28" x14ac:dyDescent="0.3">
      <c r="A138" s="12" t="s">
        <v>2026</v>
      </c>
      <c r="B138" s="12" t="s">
        <v>96</v>
      </c>
      <c r="C138" s="12" t="s">
        <v>96</v>
      </c>
      <c r="D138" s="12" t="s">
        <v>97</v>
      </c>
      <c r="E138" s="12" t="s">
        <v>1886</v>
      </c>
      <c r="F138" s="12" t="s">
        <v>832</v>
      </c>
      <c r="G138" s="12" t="s">
        <v>832</v>
      </c>
      <c r="H138" s="12" t="b">
        <v>0</v>
      </c>
      <c r="I138" s="12" t="b">
        <v>0</v>
      </c>
      <c r="J138" s="12" t="b">
        <v>0</v>
      </c>
      <c r="K138" s="12" t="b">
        <v>0</v>
      </c>
      <c r="L138" s="12">
        <v>623.15</v>
      </c>
      <c r="M138" s="12">
        <v>292.21666666666658</v>
      </c>
      <c r="N138" s="12">
        <v>3000</v>
      </c>
      <c r="O138" s="12">
        <v>400</v>
      </c>
      <c r="P138" s="12">
        <v>0.5</v>
      </c>
      <c r="Q138" s="12">
        <v>0.85</v>
      </c>
      <c r="R138" s="12">
        <v>0.75</v>
      </c>
      <c r="S138" s="12">
        <v>0.85</v>
      </c>
      <c r="T138" s="12">
        <v>0.75</v>
      </c>
      <c r="U138" s="12">
        <v>0.8</v>
      </c>
      <c r="V138" s="12"/>
      <c r="W138" s="12"/>
      <c r="X138" s="12"/>
      <c r="Y138" s="12">
        <v>2600</v>
      </c>
      <c r="Z138" s="12">
        <v>7.5</v>
      </c>
      <c r="AA138" s="12"/>
      <c r="AB138" s="12" t="s">
        <v>276</v>
      </c>
    </row>
    <row r="139" spans="1:28" x14ac:dyDescent="0.3">
      <c r="A139" s="12" t="s">
        <v>2027</v>
      </c>
      <c r="B139" s="12" t="s">
        <v>96</v>
      </c>
      <c r="C139" s="12" t="s">
        <v>96</v>
      </c>
      <c r="D139" s="12" t="s">
        <v>97</v>
      </c>
      <c r="E139" s="12" t="s">
        <v>1886</v>
      </c>
      <c r="F139" s="12" t="s">
        <v>832</v>
      </c>
      <c r="G139" s="12" t="s">
        <v>832</v>
      </c>
      <c r="H139" s="12" t="b">
        <v>0</v>
      </c>
      <c r="I139" s="12" t="b">
        <v>0</v>
      </c>
      <c r="J139" s="12" t="b">
        <v>0</v>
      </c>
      <c r="K139" s="12" t="b">
        <v>0</v>
      </c>
      <c r="L139" s="12">
        <v>623.15</v>
      </c>
      <c r="M139" s="12">
        <v>294.48333333333329</v>
      </c>
      <c r="N139" s="12">
        <v>3000</v>
      </c>
      <c r="O139" s="12">
        <v>400</v>
      </c>
      <c r="P139" s="12">
        <v>0.5</v>
      </c>
      <c r="Q139" s="12">
        <v>0.85</v>
      </c>
      <c r="R139" s="12">
        <v>0.75</v>
      </c>
      <c r="S139" s="12">
        <v>0.85</v>
      </c>
      <c r="T139" s="12">
        <v>0.75</v>
      </c>
      <c r="U139" s="12">
        <v>0.8</v>
      </c>
      <c r="V139" s="12"/>
      <c r="W139" s="12"/>
      <c r="X139" s="12"/>
      <c r="Y139" s="12">
        <v>2600</v>
      </c>
      <c r="Z139" s="12">
        <v>7.5</v>
      </c>
      <c r="AA139" s="12"/>
      <c r="AB139" s="12" t="s">
        <v>276</v>
      </c>
    </row>
    <row r="140" spans="1:28" x14ac:dyDescent="0.3">
      <c r="A140" s="12" t="s">
        <v>2028</v>
      </c>
      <c r="B140" s="12" t="s">
        <v>96</v>
      </c>
      <c r="C140" s="12" t="s">
        <v>96</v>
      </c>
      <c r="D140" s="12" t="s">
        <v>97</v>
      </c>
      <c r="E140" s="12" t="s">
        <v>1886</v>
      </c>
      <c r="F140" s="12" t="s">
        <v>832</v>
      </c>
      <c r="G140" s="12" t="s">
        <v>832</v>
      </c>
      <c r="H140" s="12" t="b">
        <v>0</v>
      </c>
      <c r="I140" s="12" t="b">
        <v>0</v>
      </c>
      <c r="J140" s="12" t="b">
        <v>0</v>
      </c>
      <c r="K140" s="12" t="b">
        <v>0</v>
      </c>
      <c r="L140" s="12">
        <v>623.15</v>
      </c>
      <c r="M140" s="12">
        <v>296.75</v>
      </c>
      <c r="N140" s="12">
        <v>3000</v>
      </c>
      <c r="O140" s="12">
        <v>400</v>
      </c>
      <c r="P140" s="12">
        <v>0.5</v>
      </c>
      <c r="Q140" s="12">
        <v>0.85</v>
      </c>
      <c r="R140" s="12">
        <v>0.75</v>
      </c>
      <c r="S140" s="12">
        <v>0.85</v>
      </c>
      <c r="T140" s="12">
        <v>0.75</v>
      </c>
      <c r="U140" s="12">
        <v>0.8</v>
      </c>
      <c r="V140" s="12"/>
      <c r="W140" s="12"/>
      <c r="X140" s="12"/>
      <c r="Y140" s="12">
        <v>2600</v>
      </c>
      <c r="Z140" s="12">
        <v>7.5</v>
      </c>
      <c r="AA140" s="12"/>
      <c r="AB140" s="12" t="s">
        <v>276</v>
      </c>
    </row>
    <row r="141" spans="1:28" x14ac:dyDescent="0.3">
      <c r="A141" s="12" t="s">
        <v>2029</v>
      </c>
      <c r="B141" s="12" t="s">
        <v>96</v>
      </c>
      <c r="C141" s="12" t="s">
        <v>96</v>
      </c>
      <c r="D141" s="12" t="s">
        <v>97</v>
      </c>
      <c r="E141" s="12" t="s">
        <v>1886</v>
      </c>
      <c r="F141" s="12" t="s">
        <v>832</v>
      </c>
      <c r="G141" s="12" t="s">
        <v>832</v>
      </c>
      <c r="H141" s="12" t="b">
        <v>0</v>
      </c>
      <c r="I141" s="12" t="b">
        <v>0</v>
      </c>
      <c r="J141" s="12" t="b">
        <v>0</v>
      </c>
      <c r="K141" s="12" t="b">
        <v>0</v>
      </c>
      <c r="L141" s="12">
        <v>623.15</v>
      </c>
      <c r="M141" s="12">
        <v>299.01666666666671</v>
      </c>
      <c r="N141" s="12">
        <v>3000</v>
      </c>
      <c r="O141" s="12">
        <v>400</v>
      </c>
      <c r="P141" s="12">
        <v>0.5</v>
      </c>
      <c r="Q141" s="12">
        <v>0.85</v>
      </c>
      <c r="R141" s="12">
        <v>0.75</v>
      </c>
      <c r="S141" s="12">
        <v>0.85</v>
      </c>
      <c r="T141" s="12">
        <v>0.75</v>
      </c>
      <c r="U141" s="12">
        <v>0.8</v>
      </c>
      <c r="V141" s="12"/>
      <c r="W141" s="12"/>
      <c r="X141" s="12"/>
      <c r="Y141" s="12">
        <v>2600</v>
      </c>
      <c r="Z141" s="12">
        <v>7.5</v>
      </c>
      <c r="AA141" s="12"/>
      <c r="AB141" s="12" t="s">
        <v>276</v>
      </c>
    </row>
    <row r="142" spans="1:28" x14ac:dyDescent="0.3">
      <c r="A142" s="12" t="s">
        <v>2030</v>
      </c>
      <c r="B142" s="12" t="s">
        <v>96</v>
      </c>
      <c r="C142" s="12" t="s">
        <v>96</v>
      </c>
      <c r="D142" s="12" t="s">
        <v>97</v>
      </c>
      <c r="E142" s="12" t="s">
        <v>1886</v>
      </c>
      <c r="F142" s="12" t="s">
        <v>832</v>
      </c>
      <c r="G142" s="12" t="s">
        <v>832</v>
      </c>
      <c r="H142" s="12" t="b">
        <v>0</v>
      </c>
      <c r="I142" s="12" t="b">
        <v>0</v>
      </c>
      <c r="J142" s="12" t="b">
        <v>0</v>
      </c>
      <c r="K142" s="12" t="b">
        <v>0</v>
      </c>
      <c r="L142" s="12">
        <v>623.15</v>
      </c>
      <c r="M142" s="12">
        <v>301.28333333333342</v>
      </c>
      <c r="N142" s="12">
        <v>3000</v>
      </c>
      <c r="O142" s="12">
        <v>400</v>
      </c>
      <c r="P142" s="12">
        <v>0.5</v>
      </c>
      <c r="Q142" s="12">
        <v>0.85</v>
      </c>
      <c r="R142" s="12">
        <v>0.75</v>
      </c>
      <c r="S142" s="12">
        <v>0.85</v>
      </c>
      <c r="T142" s="12">
        <v>0.75</v>
      </c>
      <c r="U142" s="12">
        <v>0.8</v>
      </c>
      <c r="V142" s="12"/>
      <c r="W142" s="12"/>
      <c r="X142" s="12"/>
      <c r="Y142" s="12">
        <v>2600</v>
      </c>
      <c r="Z142" s="12">
        <v>7.5</v>
      </c>
      <c r="AA142" s="12"/>
      <c r="AB142" s="12" t="s">
        <v>276</v>
      </c>
    </row>
    <row r="143" spans="1:28" x14ac:dyDescent="0.3">
      <c r="A143" s="12" t="s">
        <v>2031</v>
      </c>
      <c r="B143" s="12" t="s">
        <v>96</v>
      </c>
      <c r="C143" s="12" t="s">
        <v>96</v>
      </c>
      <c r="D143" s="12" t="s">
        <v>97</v>
      </c>
      <c r="E143" s="12" t="s">
        <v>1886</v>
      </c>
      <c r="F143" s="12" t="s">
        <v>832</v>
      </c>
      <c r="G143" s="12" t="s">
        <v>832</v>
      </c>
      <c r="H143" s="12" t="b">
        <v>0</v>
      </c>
      <c r="I143" s="12" t="b">
        <v>0</v>
      </c>
      <c r="J143" s="12" t="b">
        <v>0</v>
      </c>
      <c r="K143" s="12" t="b">
        <v>0</v>
      </c>
      <c r="L143" s="12">
        <v>623.15</v>
      </c>
      <c r="M143" s="12">
        <v>303.55</v>
      </c>
      <c r="N143" s="12">
        <v>3000</v>
      </c>
      <c r="O143" s="12">
        <v>400</v>
      </c>
      <c r="P143" s="12">
        <v>0.5</v>
      </c>
      <c r="Q143" s="12">
        <v>0.85</v>
      </c>
      <c r="R143" s="12">
        <v>0.75</v>
      </c>
      <c r="S143" s="12">
        <v>0.85</v>
      </c>
      <c r="T143" s="12">
        <v>0.75</v>
      </c>
      <c r="U143" s="12">
        <v>0.8</v>
      </c>
      <c r="V143" s="12"/>
      <c r="W143" s="12"/>
      <c r="X143" s="12"/>
      <c r="Y143" s="12">
        <v>2600</v>
      </c>
      <c r="Z143" s="12">
        <v>7.5</v>
      </c>
      <c r="AA143" s="12"/>
      <c r="AB143" s="12" t="s">
        <v>276</v>
      </c>
    </row>
    <row r="144" spans="1:28" x14ac:dyDescent="0.3">
      <c r="A144" s="12" t="s">
        <v>2032</v>
      </c>
      <c r="B144" s="12" t="s">
        <v>96</v>
      </c>
      <c r="C144" s="12" t="s">
        <v>96</v>
      </c>
      <c r="D144" s="12" t="s">
        <v>97</v>
      </c>
      <c r="E144" s="12" t="s">
        <v>2033</v>
      </c>
      <c r="F144" s="12" t="s">
        <v>832</v>
      </c>
      <c r="G144" s="12" t="s">
        <v>832</v>
      </c>
      <c r="H144" s="12" t="b">
        <v>0</v>
      </c>
      <c r="I144" s="12" t="b">
        <v>0</v>
      </c>
      <c r="J144" s="12" t="b">
        <v>0</v>
      </c>
      <c r="K144" s="12" t="b">
        <v>0</v>
      </c>
      <c r="L144" s="12">
        <v>607.41944444444448</v>
      </c>
      <c r="M144" s="12">
        <v>300.032917</v>
      </c>
      <c r="N144" s="12">
        <v>3000</v>
      </c>
      <c r="O144" s="12">
        <v>400</v>
      </c>
      <c r="P144" s="12">
        <v>0.5</v>
      </c>
      <c r="Q144" s="12">
        <v>0.85</v>
      </c>
      <c r="R144" s="12">
        <v>0.75</v>
      </c>
      <c r="S144" s="12">
        <v>0.85</v>
      </c>
      <c r="T144" s="12">
        <v>0.75</v>
      </c>
      <c r="U144" s="12">
        <v>0.8</v>
      </c>
      <c r="V144" s="12"/>
      <c r="W144" s="12"/>
      <c r="X144" s="12"/>
      <c r="Y144" s="12">
        <v>2600</v>
      </c>
      <c r="Z144" s="12">
        <v>7.5</v>
      </c>
      <c r="AA144" s="12"/>
      <c r="AB144" s="12" t="s">
        <v>274</v>
      </c>
    </row>
    <row r="145" spans="1:28" x14ac:dyDescent="0.3">
      <c r="A145" s="12" t="s">
        <v>2034</v>
      </c>
      <c r="B145" s="12" t="s">
        <v>96</v>
      </c>
      <c r="C145" s="12" t="s">
        <v>96</v>
      </c>
      <c r="D145" s="12" t="s">
        <v>97</v>
      </c>
      <c r="E145" s="12" t="s">
        <v>2033</v>
      </c>
      <c r="F145" s="12" t="s">
        <v>832</v>
      </c>
      <c r="G145" s="12" t="s">
        <v>832</v>
      </c>
      <c r="H145" s="12" t="b">
        <v>0</v>
      </c>
      <c r="I145" s="12" t="b">
        <v>0</v>
      </c>
      <c r="J145" s="12" t="b">
        <v>0</v>
      </c>
      <c r="K145" s="12" t="b">
        <v>0</v>
      </c>
      <c r="L145" s="12">
        <v>623.15</v>
      </c>
      <c r="M145" s="12">
        <v>300.032917</v>
      </c>
      <c r="N145" s="12">
        <v>3000</v>
      </c>
      <c r="O145" s="12">
        <v>400</v>
      </c>
      <c r="P145" s="12">
        <v>0.33333333333333331</v>
      </c>
      <c r="Q145" s="12">
        <v>0.85</v>
      </c>
      <c r="R145" s="12">
        <v>0.75</v>
      </c>
      <c r="S145" s="12">
        <v>0.85</v>
      </c>
      <c r="T145" s="12">
        <v>0.75</v>
      </c>
      <c r="U145" s="12">
        <v>0.8</v>
      </c>
      <c r="V145" s="12"/>
      <c r="W145" s="12"/>
      <c r="X145" s="12"/>
      <c r="Y145" s="12">
        <v>2600</v>
      </c>
      <c r="Z145" s="12">
        <v>7.5</v>
      </c>
      <c r="AA145" s="12"/>
      <c r="AB145" s="12" t="s">
        <v>272</v>
      </c>
    </row>
    <row r="146" spans="1:28" x14ac:dyDescent="0.3">
      <c r="A146" s="12" t="s">
        <v>2035</v>
      </c>
      <c r="B146" s="12" t="s">
        <v>96</v>
      </c>
      <c r="C146" s="12" t="s">
        <v>96</v>
      </c>
      <c r="D146" s="12" t="s">
        <v>97</v>
      </c>
      <c r="E146" s="12" t="s">
        <v>2033</v>
      </c>
      <c r="F146" s="12" t="s">
        <v>1863</v>
      </c>
      <c r="G146" s="12" t="s">
        <v>832</v>
      </c>
      <c r="H146" s="12" t="b">
        <v>0</v>
      </c>
      <c r="I146" s="12" t="b">
        <v>0</v>
      </c>
      <c r="J146" s="12" t="b">
        <v>1</v>
      </c>
      <c r="K146" s="12" t="b">
        <v>0</v>
      </c>
      <c r="L146" s="12">
        <v>623.15</v>
      </c>
      <c r="M146" s="12">
        <v>300.032917</v>
      </c>
      <c r="N146" s="12">
        <v>3000</v>
      </c>
      <c r="O146" s="12">
        <v>400</v>
      </c>
      <c r="P146" s="12">
        <v>0.5</v>
      </c>
      <c r="Q146" s="12">
        <v>0.85</v>
      </c>
      <c r="R146" s="12">
        <v>0.75</v>
      </c>
      <c r="S146" s="12">
        <v>0.82222222222222219</v>
      </c>
      <c r="T146" s="12">
        <v>0.75</v>
      </c>
      <c r="U146" s="12">
        <v>0.8</v>
      </c>
      <c r="V146" s="12"/>
      <c r="W146" s="12">
        <v>13.72300979723606</v>
      </c>
      <c r="X146" s="12">
        <v>255.4064758813642</v>
      </c>
      <c r="Y146" s="12">
        <v>2600</v>
      </c>
      <c r="Z146" s="12">
        <v>7.5</v>
      </c>
      <c r="AA146" s="12" t="s">
        <v>1934</v>
      </c>
      <c r="AB146" s="12" t="s">
        <v>1877</v>
      </c>
    </row>
    <row r="147" spans="1:28" x14ac:dyDescent="0.3">
      <c r="A147" s="12" t="s">
        <v>2036</v>
      </c>
      <c r="B147" s="12" t="s">
        <v>96</v>
      </c>
      <c r="C147" s="12" t="s">
        <v>96</v>
      </c>
      <c r="D147" s="12" t="s">
        <v>97</v>
      </c>
      <c r="E147" s="12" t="s">
        <v>2033</v>
      </c>
      <c r="F147" s="12" t="s">
        <v>1863</v>
      </c>
      <c r="G147" s="12" t="s">
        <v>832</v>
      </c>
      <c r="H147" s="12" t="b">
        <v>0</v>
      </c>
      <c r="I147" s="12" t="b">
        <v>0</v>
      </c>
      <c r="J147" s="12" t="b">
        <v>1</v>
      </c>
      <c r="K147" s="12" t="b">
        <v>0</v>
      </c>
      <c r="L147" s="12">
        <v>623.15</v>
      </c>
      <c r="M147" s="12">
        <v>300.032917</v>
      </c>
      <c r="N147" s="12">
        <v>5500</v>
      </c>
      <c r="O147" s="12">
        <v>400</v>
      </c>
      <c r="P147" s="12">
        <v>0.5</v>
      </c>
      <c r="Q147" s="12">
        <v>0.85</v>
      </c>
      <c r="R147" s="12">
        <v>0.75</v>
      </c>
      <c r="S147" s="12">
        <v>0.85</v>
      </c>
      <c r="T147" s="12">
        <v>0.75</v>
      </c>
      <c r="U147" s="12">
        <v>0.8</v>
      </c>
      <c r="V147" s="12"/>
      <c r="W147" s="12">
        <v>24.144660433744491</v>
      </c>
      <c r="X147" s="12">
        <v>452.37544985395323</v>
      </c>
      <c r="Y147" s="12">
        <v>5100</v>
      </c>
      <c r="Z147" s="12">
        <v>13.75</v>
      </c>
      <c r="AA147" s="12" t="s">
        <v>1934</v>
      </c>
      <c r="AB147" s="12" t="s">
        <v>269</v>
      </c>
    </row>
    <row r="148" spans="1:28" x14ac:dyDescent="0.3">
      <c r="A148" s="12" t="s">
        <v>2037</v>
      </c>
      <c r="B148" s="12" t="s">
        <v>96</v>
      </c>
      <c r="C148" s="12" t="s">
        <v>96</v>
      </c>
      <c r="D148" s="12" t="s">
        <v>97</v>
      </c>
      <c r="E148" s="12" t="s">
        <v>2033</v>
      </c>
      <c r="F148" s="12" t="s">
        <v>1863</v>
      </c>
      <c r="G148" s="12" t="s">
        <v>832</v>
      </c>
      <c r="H148" s="12" t="b">
        <v>0</v>
      </c>
      <c r="I148" s="12" t="b">
        <v>0</v>
      </c>
      <c r="J148" s="12" t="b">
        <v>1</v>
      </c>
      <c r="K148" s="12" t="b">
        <v>0</v>
      </c>
      <c r="L148" s="12">
        <v>623.15</v>
      </c>
      <c r="M148" s="12">
        <v>300.032917</v>
      </c>
      <c r="N148" s="12">
        <v>9500</v>
      </c>
      <c r="O148" s="12">
        <v>400</v>
      </c>
      <c r="P148" s="12">
        <v>0.5</v>
      </c>
      <c r="Q148" s="12">
        <v>0.85</v>
      </c>
      <c r="R148" s="12">
        <v>0.75</v>
      </c>
      <c r="S148" s="12">
        <v>0.85</v>
      </c>
      <c r="T148" s="12">
        <v>0.75</v>
      </c>
      <c r="U148" s="12">
        <v>0.8</v>
      </c>
      <c r="V148" s="12"/>
      <c r="W148" s="12">
        <v>22.348476680005589</v>
      </c>
      <c r="X148" s="12">
        <v>421.22581866110102</v>
      </c>
      <c r="Y148" s="12">
        <v>9100</v>
      </c>
      <c r="Z148" s="12">
        <v>23.75</v>
      </c>
      <c r="AA148" s="12" t="s">
        <v>1934</v>
      </c>
      <c r="AB148" s="12" t="s">
        <v>269</v>
      </c>
    </row>
    <row r="149" spans="1:28" x14ac:dyDescent="0.3">
      <c r="A149" s="12" t="s">
        <v>2038</v>
      </c>
      <c r="B149" s="12" t="s">
        <v>96</v>
      </c>
      <c r="C149" s="12" t="s">
        <v>96</v>
      </c>
      <c r="D149" s="12" t="s">
        <v>97</v>
      </c>
      <c r="E149" s="12" t="s">
        <v>2033</v>
      </c>
      <c r="F149" s="12" t="s">
        <v>832</v>
      </c>
      <c r="G149" s="12" t="s">
        <v>832</v>
      </c>
      <c r="H149" s="12" t="b">
        <v>0</v>
      </c>
      <c r="I149" s="12" t="b">
        <v>0</v>
      </c>
      <c r="J149" s="12" t="b">
        <v>0</v>
      </c>
      <c r="K149" s="12" t="b">
        <v>0</v>
      </c>
      <c r="L149" s="12">
        <v>355.73055555555561</v>
      </c>
      <c r="M149" s="12">
        <v>300.032917</v>
      </c>
      <c r="N149" s="12">
        <v>3000</v>
      </c>
      <c r="O149" s="12">
        <v>400</v>
      </c>
      <c r="P149" s="12">
        <v>0.5</v>
      </c>
      <c r="Q149" s="12">
        <v>0.85</v>
      </c>
      <c r="R149" s="12">
        <v>0.75</v>
      </c>
      <c r="S149" s="12">
        <v>0.85</v>
      </c>
      <c r="T149" s="12">
        <v>0.75</v>
      </c>
      <c r="U149" s="12">
        <v>0.8</v>
      </c>
      <c r="V149" s="12"/>
      <c r="W149" s="12"/>
      <c r="X149" s="12"/>
      <c r="Y149" s="12">
        <v>2600</v>
      </c>
      <c r="Z149" s="12">
        <v>7.5</v>
      </c>
      <c r="AA149" s="12"/>
      <c r="AB149" s="12" t="s">
        <v>274</v>
      </c>
    </row>
    <row r="150" spans="1:28" x14ac:dyDescent="0.3">
      <c r="A150" s="12" t="s">
        <v>2039</v>
      </c>
      <c r="B150" s="12" t="s">
        <v>96</v>
      </c>
      <c r="C150" s="12" t="s">
        <v>96</v>
      </c>
      <c r="D150" s="12" t="s">
        <v>97</v>
      </c>
      <c r="E150" s="12" t="s">
        <v>2033</v>
      </c>
      <c r="F150" s="12" t="s">
        <v>832</v>
      </c>
      <c r="G150" s="12" t="s">
        <v>832</v>
      </c>
      <c r="H150" s="12" t="b">
        <v>0</v>
      </c>
      <c r="I150" s="12" t="b">
        <v>0</v>
      </c>
      <c r="J150" s="12" t="b">
        <v>0</v>
      </c>
      <c r="K150" s="12" t="b">
        <v>0</v>
      </c>
      <c r="L150" s="12">
        <v>363.5958333333333</v>
      </c>
      <c r="M150" s="12">
        <v>300.032917</v>
      </c>
      <c r="N150" s="12">
        <v>3000</v>
      </c>
      <c r="O150" s="12">
        <v>400</v>
      </c>
      <c r="P150" s="12">
        <v>0.5</v>
      </c>
      <c r="Q150" s="12">
        <v>0.85</v>
      </c>
      <c r="R150" s="12">
        <v>0.75</v>
      </c>
      <c r="S150" s="12">
        <v>0.85</v>
      </c>
      <c r="T150" s="12">
        <v>0.75</v>
      </c>
      <c r="U150" s="12">
        <v>0.8</v>
      </c>
      <c r="V150" s="12"/>
      <c r="W150" s="12"/>
      <c r="X150" s="12"/>
      <c r="Y150" s="12">
        <v>2600</v>
      </c>
      <c r="Z150" s="12">
        <v>7.5</v>
      </c>
      <c r="AA150" s="12"/>
      <c r="AB150" s="12" t="s">
        <v>274</v>
      </c>
    </row>
    <row r="151" spans="1:28" x14ac:dyDescent="0.3">
      <c r="A151" s="12" t="s">
        <v>2040</v>
      </c>
      <c r="B151" s="12" t="s">
        <v>96</v>
      </c>
      <c r="C151" s="12" t="s">
        <v>96</v>
      </c>
      <c r="D151" s="12" t="s">
        <v>97</v>
      </c>
      <c r="E151" s="12" t="s">
        <v>2033</v>
      </c>
      <c r="F151" s="12" t="s">
        <v>832</v>
      </c>
      <c r="G151" s="12" t="s">
        <v>832</v>
      </c>
      <c r="H151" s="12" t="b">
        <v>0</v>
      </c>
      <c r="I151" s="12" t="b">
        <v>0</v>
      </c>
      <c r="J151" s="12" t="b">
        <v>0</v>
      </c>
      <c r="K151" s="12" t="b">
        <v>0</v>
      </c>
      <c r="L151" s="12">
        <v>623.15</v>
      </c>
      <c r="M151" s="12">
        <v>300.032917</v>
      </c>
      <c r="N151" s="12">
        <v>5250</v>
      </c>
      <c r="O151" s="12">
        <v>400</v>
      </c>
      <c r="P151" s="12">
        <v>0.5</v>
      </c>
      <c r="Q151" s="12">
        <v>0.85</v>
      </c>
      <c r="R151" s="12">
        <v>0.75</v>
      </c>
      <c r="S151" s="12">
        <v>0.85</v>
      </c>
      <c r="T151" s="12">
        <v>0.75</v>
      </c>
      <c r="U151" s="12">
        <v>0.8</v>
      </c>
      <c r="V151" s="12"/>
      <c r="W151" s="12"/>
      <c r="X151" s="12"/>
      <c r="Y151" s="12">
        <v>4850</v>
      </c>
      <c r="Z151" s="12">
        <v>13.125</v>
      </c>
      <c r="AA151" s="12"/>
      <c r="AB151" s="12" t="s">
        <v>269</v>
      </c>
    </row>
    <row r="152" spans="1:28" x14ac:dyDescent="0.3">
      <c r="A152" s="12" t="s">
        <v>2041</v>
      </c>
      <c r="B152" s="12" t="s">
        <v>96</v>
      </c>
      <c r="C152" s="12" t="s">
        <v>96</v>
      </c>
      <c r="D152" s="12" t="s">
        <v>97</v>
      </c>
      <c r="E152" s="12" t="s">
        <v>2033</v>
      </c>
      <c r="F152" s="12" t="s">
        <v>1863</v>
      </c>
      <c r="G152" s="12" t="s">
        <v>832</v>
      </c>
      <c r="H152" s="12" t="b">
        <v>0</v>
      </c>
      <c r="I152" s="12" t="b">
        <v>0</v>
      </c>
      <c r="J152" s="12" t="b">
        <v>1</v>
      </c>
      <c r="K152" s="12" t="b">
        <v>0</v>
      </c>
      <c r="L152" s="12">
        <v>599.55416666666667</v>
      </c>
      <c r="M152" s="12">
        <v>300.032917</v>
      </c>
      <c r="N152" s="12">
        <v>3000</v>
      </c>
      <c r="O152" s="12">
        <v>400</v>
      </c>
      <c r="P152" s="12">
        <v>0.5</v>
      </c>
      <c r="Q152" s="12">
        <v>0.85</v>
      </c>
      <c r="R152" s="12">
        <v>0.75</v>
      </c>
      <c r="S152" s="12">
        <v>0.85</v>
      </c>
      <c r="T152" s="12">
        <v>0.75</v>
      </c>
      <c r="U152" s="12">
        <v>0.8</v>
      </c>
      <c r="V152" s="12"/>
      <c r="W152" s="12">
        <v>16.570830029236038</v>
      </c>
      <c r="X152" s="12">
        <v>304.5503190089446</v>
      </c>
      <c r="Y152" s="12">
        <v>2600</v>
      </c>
      <c r="Z152" s="12">
        <v>7.5</v>
      </c>
      <c r="AA152" s="12" t="s">
        <v>1934</v>
      </c>
      <c r="AB152" s="12" t="s">
        <v>274</v>
      </c>
    </row>
    <row r="153" spans="1:28" x14ac:dyDescent="0.3">
      <c r="A153" s="12" t="s">
        <v>2042</v>
      </c>
      <c r="B153" s="12" t="s">
        <v>96</v>
      </c>
      <c r="C153" s="12" t="s">
        <v>96</v>
      </c>
      <c r="D153" s="12" t="s">
        <v>97</v>
      </c>
      <c r="E153" s="12" t="s">
        <v>2033</v>
      </c>
      <c r="F153" s="12" t="s">
        <v>1863</v>
      </c>
      <c r="G153" s="12" t="s">
        <v>832</v>
      </c>
      <c r="H153" s="12" t="b">
        <v>0</v>
      </c>
      <c r="I153" s="12" t="b">
        <v>0</v>
      </c>
      <c r="J153" s="12" t="b">
        <v>1</v>
      </c>
      <c r="K153" s="12" t="b">
        <v>0</v>
      </c>
      <c r="L153" s="12">
        <v>623.15</v>
      </c>
      <c r="M153" s="12">
        <v>300.032917</v>
      </c>
      <c r="N153" s="12">
        <v>3000</v>
      </c>
      <c r="O153" s="12">
        <v>400</v>
      </c>
      <c r="P153" s="12">
        <v>0.5</v>
      </c>
      <c r="Q153" s="12">
        <v>0.85</v>
      </c>
      <c r="R153" s="12">
        <v>0.75</v>
      </c>
      <c r="S153" s="12">
        <v>0.82499999999999996</v>
      </c>
      <c r="T153" s="12">
        <v>0.75</v>
      </c>
      <c r="U153" s="12">
        <v>0.8</v>
      </c>
      <c r="V153" s="12"/>
      <c r="W153" s="12">
        <v>15.17983580619754</v>
      </c>
      <c r="X153" s="12">
        <v>280.83448947497709</v>
      </c>
      <c r="Y153" s="12">
        <v>2600</v>
      </c>
      <c r="Z153" s="12">
        <v>7.5</v>
      </c>
      <c r="AA153" s="12" t="s">
        <v>1934</v>
      </c>
      <c r="AB153" s="12" t="s">
        <v>1877</v>
      </c>
    </row>
    <row r="154" spans="1:28" x14ac:dyDescent="0.3">
      <c r="A154" s="12" t="s">
        <v>2043</v>
      </c>
      <c r="B154" s="12" t="s">
        <v>96</v>
      </c>
      <c r="C154" s="12" t="s">
        <v>96</v>
      </c>
      <c r="D154" s="12" t="s">
        <v>97</v>
      </c>
      <c r="E154" s="12" t="s">
        <v>2033</v>
      </c>
      <c r="F154" s="12" t="s">
        <v>832</v>
      </c>
      <c r="G154" s="12" t="s">
        <v>832</v>
      </c>
      <c r="H154" s="12" t="b">
        <v>0</v>
      </c>
      <c r="I154" s="12" t="b">
        <v>0</v>
      </c>
      <c r="J154" s="12" t="b">
        <v>0</v>
      </c>
      <c r="K154" s="12" t="b">
        <v>0</v>
      </c>
      <c r="L154" s="12">
        <v>623.15</v>
      </c>
      <c r="M154" s="12">
        <v>300.032917</v>
      </c>
      <c r="N154" s="12">
        <v>9750</v>
      </c>
      <c r="O154" s="12">
        <v>400</v>
      </c>
      <c r="P154" s="12">
        <v>0.5</v>
      </c>
      <c r="Q154" s="12">
        <v>0.85</v>
      </c>
      <c r="R154" s="12">
        <v>0.75</v>
      </c>
      <c r="S154" s="12">
        <v>0.85</v>
      </c>
      <c r="T154" s="12">
        <v>0.75</v>
      </c>
      <c r="U154" s="12">
        <v>0.8</v>
      </c>
      <c r="V154" s="12"/>
      <c r="W154" s="12"/>
      <c r="X154" s="12"/>
      <c r="Y154" s="12">
        <v>9350</v>
      </c>
      <c r="Z154" s="12">
        <v>24.375</v>
      </c>
      <c r="AA154" s="12"/>
      <c r="AB154" s="12" t="s">
        <v>269</v>
      </c>
    </row>
    <row r="155" spans="1:28" x14ac:dyDescent="0.3">
      <c r="A155" s="12" t="s">
        <v>2044</v>
      </c>
      <c r="B155" s="12" t="s">
        <v>96</v>
      </c>
      <c r="C155" s="12" t="s">
        <v>96</v>
      </c>
      <c r="D155" s="12" t="s">
        <v>97</v>
      </c>
      <c r="E155" s="12" t="s">
        <v>2033</v>
      </c>
      <c r="F155" s="12" t="s">
        <v>1863</v>
      </c>
      <c r="G155" s="12" t="s">
        <v>832</v>
      </c>
      <c r="H155" s="12" t="b">
        <v>0</v>
      </c>
      <c r="I155" s="12" t="b">
        <v>0</v>
      </c>
      <c r="J155" s="12" t="b">
        <v>1</v>
      </c>
      <c r="K155" s="12" t="b">
        <v>0</v>
      </c>
      <c r="L155" s="12">
        <v>623.15</v>
      </c>
      <c r="M155" s="12">
        <v>300.032917</v>
      </c>
      <c r="N155" s="12">
        <v>3000</v>
      </c>
      <c r="O155" s="12">
        <v>400</v>
      </c>
      <c r="P155" s="12">
        <v>0.3166666666666666</v>
      </c>
      <c r="Q155" s="12">
        <v>0.85</v>
      </c>
      <c r="R155" s="12">
        <v>0.75</v>
      </c>
      <c r="S155" s="12">
        <v>0.85</v>
      </c>
      <c r="T155" s="12">
        <v>0.75</v>
      </c>
      <c r="U155" s="12">
        <v>0.8</v>
      </c>
      <c r="V155" s="12"/>
      <c r="W155" s="12">
        <v>15.347574802727751</v>
      </c>
      <c r="X155" s="12">
        <v>312.2328656863279</v>
      </c>
      <c r="Y155" s="12">
        <v>2600</v>
      </c>
      <c r="Z155" s="12">
        <v>7.5</v>
      </c>
      <c r="AA155" s="12" t="s">
        <v>1934</v>
      </c>
      <c r="AB155" s="12" t="s">
        <v>272</v>
      </c>
    </row>
    <row r="156" spans="1:28" x14ac:dyDescent="0.3">
      <c r="A156" s="12" t="s">
        <v>2045</v>
      </c>
      <c r="B156" s="12" t="s">
        <v>96</v>
      </c>
      <c r="C156" s="12" t="s">
        <v>96</v>
      </c>
      <c r="D156" s="12" t="s">
        <v>97</v>
      </c>
      <c r="E156" s="12" t="s">
        <v>2033</v>
      </c>
      <c r="F156" s="12" t="s">
        <v>832</v>
      </c>
      <c r="G156" s="12" t="s">
        <v>832</v>
      </c>
      <c r="H156" s="12" t="b">
        <v>0</v>
      </c>
      <c r="I156" s="12" t="b">
        <v>0</v>
      </c>
      <c r="J156" s="12" t="b">
        <v>0</v>
      </c>
      <c r="K156" s="12" t="b">
        <v>0</v>
      </c>
      <c r="L156" s="12">
        <v>603.48680555555552</v>
      </c>
      <c r="M156" s="12">
        <v>300.032917</v>
      </c>
      <c r="N156" s="12">
        <v>3000</v>
      </c>
      <c r="O156" s="12">
        <v>400</v>
      </c>
      <c r="P156" s="12">
        <v>0.5</v>
      </c>
      <c r="Q156" s="12">
        <v>0.85</v>
      </c>
      <c r="R156" s="12">
        <v>0.75</v>
      </c>
      <c r="S156" s="12">
        <v>0.85</v>
      </c>
      <c r="T156" s="12">
        <v>0.75</v>
      </c>
      <c r="U156" s="12">
        <v>0.8</v>
      </c>
      <c r="V156" s="12"/>
      <c r="W156" s="12"/>
      <c r="X156" s="12"/>
      <c r="Y156" s="12">
        <v>2600</v>
      </c>
      <c r="Z156" s="12">
        <v>7.5</v>
      </c>
      <c r="AA156" s="12"/>
      <c r="AB156" s="12" t="s">
        <v>274</v>
      </c>
    </row>
    <row r="157" spans="1:28" x14ac:dyDescent="0.3">
      <c r="A157" s="12" t="s">
        <v>2046</v>
      </c>
      <c r="B157" s="12" t="s">
        <v>96</v>
      </c>
      <c r="C157" s="12" t="s">
        <v>96</v>
      </c>
      <c r="D157" s="12" t="s">
        <v>97</v>
      </c>
      <c r="E157" s="12" t="s">
        <v>2033</v>
      </c>
      <c r="F157" s="12" t="s">
        <v>832</v>
      </c>
      <c r="G157" s="12" t="s">
        <v>832</v>
      </c>
      <c r="H157" s="12" t="b">
        <v>0</v>
      </c>
      <c r="I157" s="12" t="b">
        <v>0</v>
      </c>
      <c r="J157" s="12" t="b">
        <v>0</v>
      </c>
      <c r="K157" s="12" t="b">
        <v>0</v>
      </c>
      <c r="L157" s="12">
        <v>623.15</v>
      </c>
      <c r="M157" s="12">
        <v>300.032917</v>
      </c>
      <c r="N157" s="12">
        <v>3000</v>
      </c>
      <c r="O157" s="12">
        <v>400</v>
      </c>
      <c r="P157" s="12">
        <v>0.32500000000000001</v>
      </c>
      <c r="Q157" s="12">
        <v>0.85</v>
      </c>
      <c r="R157" s="12">
        <v>0.75</v>
      </c>
      <c r="S157" s="12">
        <v>0.85</v>
      </c>
      <c r="T157" s="12">
        <v>0.75</v>
      </c>
      <c r="U157" s="12">
        <v>0.8</v>
      </c>
      <c r="V157" s="12"/>
      <c r="W157" s="12"/>
      <c r="X157" s="12"/>
      <c r="Y157" s="12">
        <v>2600</v>
      </c>
      <c r="Z157" s="12">
        <v>7.5</v>
      </c>
      <c r="AA157" s="12"/>
      <c r="AB157" s="12" t="s">
        <v>272</v>
      </c>
    </row>
    <row r="158" spans="1:28" x14ac:dyDescent="0.3">
      <c r="A158" s="12" t="s">
        <v>2047</v>
      </c>
      <c r="B158" s="12" t="s">
        <v>96</v>
      </c>
      <c r="C158" s="12" t="s">
        <v>96</v>
      </c>
      <c r="D158" s="12" t="s">
        <v>97</v>
      </c>
      <c r="E158" s="12" t="s">
        <v>2033</v>
      </c>
      <c r="F158" s="12" t="s">
        <v>832</v>
      </c>
      <c r="G158" s="12" t="s">
        <v>832</v>
      </c>
      <c r="H158" s="12" t="b">
        <v>0</v>
      </c>
      <c r="I158" s="12" t="b">
        <v>0</v>
      </c>
      <c r="J158" s="12" t="b">
        <v>0</v>
      </c>
      <c r="K158" s="12" t="b">
        <v>0</v>
      </c>
      <c r="L158" s="12">
        <v>367.52847222222221</v>
      </c>
      <c r="M158" s="12">
        <v>300.032917</v>
      </c>
      <c r="N158" s="12">
        <v>3000</v>
      </c>
      <c r="O158" s="12">
        <v>400</v>
      </c>
      <c r="P158" s="12">
        <v>0.5</v>
      </c>
      <c r="Q158" s="12">
        <v>0.85</v>
      </c>
      <c r="R158" s="12">
        <v>0.75</v>
      </c>
      <c r="S158" s="12">
        <v>0.85</v>
      </c>
      <c r="T158" s="12">
        <v>0.75</v>
      </c>
      <c r="U158" s="12">
        <v>0.8</v>
      </c>
      <c r="V158" s="12"/>
      <c r="W158" s="12"/>
      <c r="X158" s="12"/>
      <c r="Y158" s="12">
        <v>2600</v>
      </c>
      <c r="Z158" s="12">
        <v>7.5</v>
      </c>
      <c r="AA158" s="12"/>
      <c r="AB158" s="12" t="s">
        <v>274</v>
      </c>
    </row>
    <row r="159" spans="1:28" x14ac:dyDescent="0.3">
      <c r="A159" s="12" t="s">
        <v>2048</v>
      </c>
      <c r="B159" s="12" t="s">
        <v>96</v>
      </c>
      <c r="C159" s="12" t="s">
        <v>96</v>
      </c>
      <c r="D159" s="12" t="s">
        <v>97</v>
      </c>
      <c r="E159" s="12" t="s">
        <v>2033</v>
      </c>
      <c r="F159" s="12" t="s">
        <v>832</v>
      </c>
      <c r="G159" s="12" t="s">
        <v>832</v>
      </c>
      <c r="H159" s="12" t="b">
        <v>0</v>
      </c>
      <c r="I159" s="12" t="b">
        <v>0</v>
      </c>
      <c r="J159" s="12" t="b">
        <v>0</v>
      </c>
      <c r="K159" s="12" t="b">
        <v>0</v>
      </c>
      <c r="L159" s="12">
        <v>623.15</v>
      </c>
      <c r="M159" s="12">
        <v>300.032917</v>
      </c>
      <c r="N159" s="12">
        <v>5375</v>
      </c>
      <c r="O159" s="12">
        <v>400</v>
      </c>
      <c r="P159" s="12">
        <v>0.5</v>
      </c>
      <c r="Q159" s="12">
        <v>0.85</v>
      </c>
      <c r="R159" s="12">
        <v>0.75</v>
      </c>
      <c r="S159" s="12">
        <v>0.85</v>
      </c>
      <c r="T159" s="12">
        <v>0.75</v>
      </c>
      <c r="U159" s="12">
        <v>0.8</v>
      </c>
      <c r="V159" s="12"/>
      <c r="W159" s="12"/>
      <c r="X159" s="12"/>
      <c r="Y159" s="12">
        <v>4975</v>
      </c>
      <c r="Z159" s="12">
        <v>13.4375</v>
      </c>
      <c r="AA159" s="12"/>
      <c r="AB159" s="12" t="s">
        <v>269</v>
      </c>
    </row>
    <row r="160" spans="1:28" x14ac:dyDescent="0.3">
      <c r="A160" s="12" t="s">
        <v>2049</v>
      </c>
      <c r="B160" s="12" t="s">
        <v>96</v>
      </c>
      <c r="C160" s="12" t="s">
        <v>96</v>
      </c>
      <c r="D160" s="12" t="s">
        <v>97</v>
      </c>
      <c r="E160" s="12" t="s">
        <v>2033</v>
      </c>
      <c r="F160" s="12" t="s">
        <v>832</v>
      </c>
      <c r="G160" s="12" t="s">
        <v>832</v>
      </c>
      <c r="H160" s="12" t="b">
        <v>0</v>
      </c>
      <c r="I160" s="12" t="b">
        <v>0</v>
      </c>
      <c r="J160" s="12" t="b">
        <v>0</v>
      </c>
      <c r="K160" s="12" t="b">
        <v>0</v>
      </c>
      <c r="L160" s="12">
        <v>623.15</v>
      </c>
      <c r="M160" s="12">
        <v>300.032917</v>
      </c>
      <c r="N160" s="12">
        <v>9625</v>
      </c>
      <c r="O160" s="12">
        <v>400</v>
      </c>
      <c r="P160" s="12">
        <v>0.5</v>
      </c>
      <c r="Q160" s="12">
        <v>0.85</v>
      </c>
      <c r="R160" s="12">
        <v>0.75</v>
      </c>
      <c r="S160" s="12">
        <v>0.85</v>
      </c>
      <c r="T160" s="12">
        <v>0.75</v>
      </c>
      <c r="U160" s="12">
        <v>0.8</v>
      </c>
      <c r="V160" s="12"/>
      <c r="W160" s="12"/>
      <c r="X160" s="12"/>
      <c r="Y160" s="12">
        <v>9225</v>
      </c>
      <c r="Z160" s="12">
        <v>24.0625</v>
      </c>
      <c r="AA160" s="12"/>
      <c r="AB160" s="12" t="s">
        <v>269</v>
      </c>
    </row>
    <row r="161" spans="1:28" x14ac:dyDescent="0.3">
      <c r="A161" s="12" t="s">
        <v>2050</v>
      </c>
      <c r="B161" s="12" t="s">
        <v>96</v>
      </c>
      <c r="C161" s="12" t="s">
        <v>96</v>
      </c>
      <c r="D161" s="12" t="s">
        <v>97</v>
      </c>
      <c r="E161" s="12" t="s">
        <v>2033</v>
      </c>
      <c r="F161" s="12" t="s">
        <v>832</v>
      </c>
      <c r="G161" s="12" t="s">
        <v>832</v>
      </c>
      <c r="H161" s="12" t="b">
        <v>0</v>
      </c>
      <c r="I161" s="12" t="b">
        <v>0</v>
      </c>
      <c r="J161" s="12" t="b">
        <v>0</v>
      </c>
      <c r="K161" s="12" t="b">
        <v>0</v>
      </c>
      <c r="L161" s="12">
        <v>601.52048611111104</v>
      </c>
      <c r="M161" s="12">
        <v>300.032917</v>
      </c>
      <c r="N161" s="12">
        <v>3000</v>
      </c>
      <c r="O161" s="12">
        <v>400</v>
      </c>
      <c r="P161" s="12">
        <v>0.5</v>
      </c>
      <c r="Q161" s="12">
        <v>0.85</v>
      </c>
      <c r="R161" s="12">
        <v>0.75</v>
      </c>
      <c r="S161" s="12">
        <v>0.85</v>
      </c>
      <c r="T161" s="12">
        <v>0.75</v>
      </c>
      <c r="U161" s="12">
        <v>0.8</v>
      </c>
      <c r="V161" s="12"/>
      <c r="W161" s="12"/>
      <c r="X161" s="12"/>
      <c r="Y161" s="12">
        <v>2600</v>
      </c>
      <c r="Z161" s="12">
        <v>7.5</v>
      </c>
      <c r="AA161" s="12"/>
      <c r="AB161" s="12" t="s">
        <v>274</v>
      </c>
    </row>
    <row r="162" spans="1:28" x14ac:dyDescent="0.3">
      <c r="A162" s="12" t="s">
        <v>2051</v>
      </c>
      <c r="B162" s="12" t="s">
        <v>96</v>
      </c>
      <c r="C162" s="12" t="s">
        <v>96</v>
      </c>
      <c r="D162" s="12" t="s">
        <v>97</v>
      </c>
      <c r="E162" s="12" t="s">
        <v>2033</v>
      </c>
      <c r="F162" s="12" t="s">
        <v>1863</v>
      </c>
      <c r="G162" s="12" t="s">
        <v>832</v>
      </c>
      <c r="H162" s="12" t="b">
        <v>0</v>
      </c>
      <c r="I162" s="12" t="b">
        <v>0</v>
      </c>
      <c r="J162" s="12" t="b">
        <v>1</v>
      </c>
      <c r="K162" s="12" t="b">
        <v>0</v>
      </c>
      <c r="L162" s="12">
        <v>623.15</v>
      </c>
      <c r="M162" s="12">
        <v>300.032917</v>
      </c>
      <c r="N162" s="12">
        <v>5437.5</v>
      </c>
      <c r="O162" s="12">
        <v>400</v>
      </c>
      <c r="P162" s="12">
        <v>0.5</v>
      </c>
      <c r="Q162" s="12">
        <v>0.85</v>
      </c>
      <c r="R162" s="12">
        <v>0.75</v>
      </c>
      <c r="S162" s="12">
        <v>0.85</v>
      </c>
      <c r="T162" s="12">
        <v>0.75</v>
      </c>
      <c r="U162" s="12">
        <v>0.8</v>
      </c>
      <c r="V162" s="12"/>
      <c r="W162" s="12">
        <v>24.333860570990161</v>
      </c>
      <c r="X162" s="12">
        <v>455.37890873575321</v>
      </c>
      <c r="Y162" s="12">
        <v>5037.5</v>
      </c>
      <c r="Z162" s="12">
        <v>13.59375</v>
      </c>
      <c r="AA162" s="12" t="s">
        <v>1934</v>
      </c>
      <c r="AB162" s="12" t="s">
        <v>269</v>
      </c>
    </row>
    <row r="163" spans="1:28" x14ac:dyDescent="0.3">
      <c r="A163" s="12" t="s">
        <v>2052</v>
      </c>
      <c r="B163" s="12" t="s">
        <v>96</v>
      </c>
      <c r="C163" s="12" t="s">
        <v>96</v>
      </c>
      <c r="D163" s="12" t="s">
        <v>97</v>
      </c>
      <c r="E163" s="12" t="s">
        <v>2033</v>
      </c>
      <c r="F163" s="12" t="s">
        <v>1863</v>
      </c>
      <c r="G163" s="12" t="s">
        <v>832</v>
      </c>
      <c r="H163" s="12" t="b">
        <v>0</v>
      </c>
      <c r="I163" s="12" t="b">
        <v>0</v>
      </c>
      <c r="J163" s="12" t="b">
        <v>0</v>
      </c>
      <c r="K163" s="12" t="b">
        <v>0</v>
      </c>
      <c r="L163" s="12">
        <v>369.49479166666657</v>
      </c>
      <c r="M163" s="12">
        <v>300.032917</v>
      </c>
      <c r="N163" s="12">
        <v>3000</v>
      </c>
      <c r="O163" s="12">
        <v>400</v>
      </c>
      <c r="P163" s="12">
        <v>0.5</v>
      </c>
      <c r="Q163" s="12">
        <v>0.85</v>
      </c>
      <c r="R163" s="12">
        <v>0.75</v>
      </c>
      <c r="S163" s="12">
        <v>0.85</v>
      </c>
      <c r="T163" s="12">
        <v>0.75</v>
      </c>
      <c r="U163" s="12">
        <v>0.8</v>
      </c>
      <c r="V163" s="12"/>
      <c r="W163" s="12">
        <v>-610.74738956002545</v>
      </c>
      <c r="X163" s="12">
        <v>-64.638955222069768</v>
      </c>
      <c r="Y163" s="12">
        <v>2600</v>
      </c>
      <c r="Z163" s="12">
        <v>7.5</v>
      </c>
      <c r="AA163" s="12" t="s">
        <v>2018</v>
      </c>
      <c r="AB163" s="12" t="s">
        <v>274</v>
      </c>
    </row>
    <row r="164" spans="1:28" x14ac:dyDescent="0.3">
      <c r="A164" s="12" t="s">
        <v>2053</v>
      </c>
      <c r="B164" s="12" t="s">
        <v>96</v>
      </c>
      <c r="C164" s="12" t="s">
        <v>96</v>
      </c>
      <c r="D164" s="12" t="s">
        <v>97</v>
      </c>
      <c r="E164" s="12" t="s">
        <v>2033</v>
      </c>
      <c r="F164" s="12" t="s">
        <v>1863</v>
      </c>
      <c r="G164" s="12" t="s">
        <v>832</v>
      </c>
      <c r="H164" s="12" t="b">
        <v>0</v>
      </c>
      <c r="I164" s="12" t="b">
        <v>0</v>
      </c>
      <c r="J164" s="12" t="b">
        <v>1</v>
      </c>
      <c r="K164" s="12" t="b">
        <v>0</v>
      </c>
      <c r="L164" s="12">
        <v>623.15</v>
      </c>
      <c r="M164" s="12">
        <v>300.032917</v>
      </c>
      <c r="N164" s="12">
        <v>9562.5</v>
      </c>
      <c r="O164" s="12">
        <v>400</v>
      </c>
      <c r="P164" s="12">
        <v>0.5</v>
      </c>
      <c r="Q164" s="12">
        <v>0.85</v>
      </c>
      <c r="R164" s="12">
        <v>0.75</v>
      </c>
      <c r="S164" s="12">
        <v>0.85</v>
      </c>
      <c r="T164" s="12">
        <v>0.75</v>
      </c>
      <c r="U164" s="12">
        <v>0.8</v>
      </c>
      <c r="V164" s="12"/>
      <c r="W164" s="12">
        <v>22.371071745471632</v>
      </c>
      <c r="X164" s="12">
        <v>421.5398504494122</v>
      </c>
      <c r="Y164" s="12">
        <v>9162.5</v>
      </c>
      <c r="Z164" s="12">
        <v>23.90625</v>
      </c>
      <c r="AA164" s="12" t="s">
        <v>1934</v>
      </c>
      <c r="AB164" s="12" t="s">
        <v>269</v>
      </c>
    </row>
    <row r="165" spans="1:28" x14ac:dyDescent="0.3">
      <c r="A165" s="12" t="s">
        <v>2054</v>
      </c>
      <c r="B165" s="12" t="s">
        <v>96</v>
      </c>
      <c r="C165" s="12" t="s">
        <v>96</v>
      </c>
      <c r="D165" s="12" t="s">
        <v>97</v>
      </c>
      <c r="E165" s="12" t="s">
        <v>2033</v>
      </c>
      <c r="F165" s="12" t="s">
        <v>832</v>
      </c>
      <c r="G165" s="12" t="s">
        <v>832</v>
      </c>
      <c r="H165" s="12" t="b">
        <v>0</v>
      </c>
      <c r="I165" s="12" t="b">
        <v>0</v>
      </c>
      <c r="J165" s="12" t="b">
        <v>0</v>
      </c>
      <c r="K165" s="12" t="b">
        <v>0</v>
      </c>
      <c r="L165" s="12">
        <v>623.15</v>
      </c>
      <c r="M165" s="12">
        <v>300.032917</v>
      </c>
      <c r="N165" s="12">
        <v>3000</v>
      </c>
      <c r="O165" s="12">
        <v>400</v>
      </c>
      <c r="P165" s="12">
        <v>0.3208333333333333</v>
      </c>
      <c r="Q165" s="12">
        <v>0.85</v>
      </c>
      <c r="R165" s="12">
        <v>0.75</v>
      </c>
      <c r="S165" s="12">
        <v>0.85</v>
      </c>
      <c r="T165" s="12">
        <v>0.75</v>
      </c>
      <c r="U165" s="12">
        <v>0.8</v>
      </c>
      <c r="V165" s="12"/>
      <c r="W165" s="12"/>
      <c r="X165" s="12"/>
      <c r="Y165" s="12">
        <v>2600</v>
      </c>
      <c r="Z165" s="12">
        <v>7.5</v>
      </c>
      <c r="AA165" s="12"/>
      <c r="AB165" s="12" t="s">
        <v>272</v>
      </c>
    </row>
    <row r="166" spans="1:28" x14ac:dyDescent="0.3">
      <c r="A166" s="12" t="s">
        <v>2055</v>
      </c>
      <c r="B166" s="12" t="s">
        <v>96</v>
      </c>
      <c r="C166" s="12" t="s">
        <v>96</v>
      </c>
      <c r="D166" s="12" t="s">
        <v>97</v>
      </c>
      <c r="E166" s="12" t="s">
        <v>2033</v>
      </c>
      <c r="F166" s="12" t="s">
        <v>832</v>
      </c>
      <c r="G166" s="12" t="s">
        <v>832</v>
      </c>
      <c r="H166" s="12" t="b">
        <v>0</v>
      </c>
      <c r="I166" s="12" t="b">
        <v>0</v>
      </c>
      <c r="J166" s="12" t="b">
        <v>0</v>
      </c>
      <c r="K166" s="12" t="b">
        <v>0</v>
      </c>
      <c r="L166" s="12">
        <v>623.15</v>
      </c>
      <c r="M166" s="12">
        <v>300.032917</v>
      </c>
      <c r="N166" s="12">
        <v>5406.25</v>
      </c>
      <c r="O166" s="12">
        <v>400</v>
      </c>
      <c r="P166" s="12">
        <v>0.5</v>
      </c>
      <c r="Q166" s="12">
        <v>0.85</v>
      </c>
      <c r="R166" s="12">
        <v>0.75</v>
      </c>
      <c r="S166" s="12">
        <v>0.85</v>
      </c>
      <c r="T166" s="12">
        <v>0.75</v>
      </c>
      <c r="U166" s="12">
        <v>0.8</v>
      </c>
      <c r="V166" s="12"/>
      <c r="W166" s="12"/>
      <c r="X166" s="12"/>
      <c r="Y166" s="12">
        <v>5006.25</v>
      </c>
      <c r="Z166" s="12">
        <v>13.515625</v>
      </c>
      <c r="AA166" s="12"/>
      <c r="AB166" s="12" t="s">
        <v>269</v>
      </c>
    </row>
    <row r="167" spans="1:28" x14ac:dyDescent="0.3">
      <c r="A167" s="12" t="s">
        <v>2056</v>
      </c>
      <c r="B167" s="12" t="s">
        <v>96</v>
      </c>
      <c r="C167" s="12" t="s">
        <v>96</v>
      </c>
      <c r="D167" s="12" t="s">
        <v>97</v>
      </c>
      <c r="E167" s="12" t="s">
        <v>2033</v>
      </c>
      <c r="F167" s="12" t="s">
        <v>832</v>
      </c>
      <c r="G167" s="12" t="s">
        <v>832</v>
      </c>
      <c r="H167" s="12" t="b">
        <v>0</v>
      </c>
      <c r="I167" s="12" t="b">
        <v>0</v>
      </c>
      <c r="J167" s="12" t="b">
        <v>0</v>
      </c>
      <c r="K167" s="12" t="b">
        <v>0</v>
      </c>
      <c r="L167" s="12">
        <v>600.53732638888891</v>
      </c>
      <c r="M167" s="12">
        <v>300.032917</v>
      </c>
      <c r="N167" s="12">
        <v>3000</v>
      </c>
      <c r="O167" s="12">
        <v>400</v>
      </c>
      <c r="P167" s="12">
        <v>0.5</v>
      </c>
      <c r="Q167" s="12">
        <v>0.85</v>
      </c>
      <c r="R167" s="12">
        <v>0.75</v>
      </c>
      <c r="S167" s="12">
        <v>0.85</v>
      </c>
      <c r="T167" s="12">
        <v>0.75</v>
      </c>
      <c r="U167" s="12">
        <v>0.8</v>
      </c>
      <c r="V167" s="12"/>
      <c r="W167" s="12"/>
      <c r="X167" s="12"/>
      <c r="Y167" s="12">
        <v>2600</v>
      </c>
      <c r="Z167" s="12">
        <v>7.5</v>
      </c>
      <c r="AA167" s="12"/>
      <c r="AB167" s="12" t="s">
        <v>274</v>
      </c>
    </row>
    <row r="168" spans="1:28" x14ac:dyDescent="0.3">
      <c r="A168" s="12" t="s">
        <v>2057</v>
      </c>
      <c r="B168" s="12" t="s">
        <v>96</v>
      </c>
      <c r="C168" s="12" t="s">
        <v>96</v>
      </c>
      <c r="D168" s="12" t="s">
        <v>97</v>
      </c>
      <c r="E168" s="12" t="s">
        <v>2033</v>
      </c>
      <c r="F168" s="12" t="s">
        <v>1863</v>
      </c>
      <c r="G168" s="12" t="s">
        <v>832</v>
      </c>
      <c r="H168" s="12" t="b">
        <v>0</v>
      </c>
      <c r="I168" s="12" t="b">
        <v>0</v>
      </c>
      <c r="J168" s="12" t="b">
        <v>0</v>
      </c>
      <c r="K168" s="12" t="b">
        <v>0</v>
      </c>
      <c r="L168" s="12">
        <v>368.51163194444439</v>
      </c>
      <c r="M168" s="12">
        <v>300.032917</v>
      </c>
      <c r="N168" s="12">
        <v>3000</v>
      </c>
      <c r="O168" s="12">
        <v>400</v>
      </c>
      <c r="P168" s="12">
        <v>0.5</v>
      </c>
      <c r="Q168" s="12">
        <v>0.85</v>
      </c>
      <c r="R168" s="12">
        <v>0.75</v>
      </c>
      <c r="S168" s="12">
        <v>0.85</v>
      </c>
      <c r="T168" s="12">
        <v>0.75</v>
      </c>
      <c r="U168" s="12">
        <v>0.8</v>
      </c>
      <c r="V168" s="12"/>
      <c r="W168" s="12">
        <v>-1455.6129939326979</v>
      </c>
      <c r="X168" s="12">
        <v>-68.651670509437139</v>
      </c>
      <c r="Y168" s="12">
        <v>2600</v>
      </c>
      <c r="Z168" s="12">
        <v>7.5</v>
      </c>
      <c r="AA168" s="12" t="s">
        <v>2018</v>
      </c>
      <c r="AB168" s="12" t="s">
        <v>274</v>
      </c>
    </row>
    <row r="169" spans="1:28" x14ac:dyDescent="0.3">
      <c r="A169" s="12" t="s">
        <v>2058</v>
      </c>
      <c r="B169" s="12" t="s">
        <v>96</v>
      </c>
      <c r="C169" s="12" t="s">
        <v>96</v>
      </c>
      <c r="D169" s="12" t="s">
        <v>97</v>
      </c>
      <c r="E169" s="12" t="s">
        <v>2033</v>
      </c>
      <c r="F169" s="12" t="s">
        <v>1863</v>
      </c>
      <c r="G169" s="12" t="s">
        <v>832</v>
      </c>
      <c r="H169" s="12" t="b">
        <v>0</v>
      </c>
      <c r="I169" s="12" t="b">
        <v>0</v>
      </c>
      <c r="J169" s="12" t="b">
        <v>1</v>
      </c>
      <c r="K169" s="12" t="b">
        <v>0</v>
      </c>
      <c r="L169" s="12">
        <v>623.15</v>
      </c>
      <c r="M169" s="12">
        <v>300.032917</v>
      </c>
      <c r="N169" s="12">
        <v>9593.75</v>
      </c>
      <c r="O169" s="12">
        <v>400</v>
      </c>
      <c r="P169" s="12">
        <v>0.5</v>
      </c>
      <c r="Q169" s="12">
        <v>0.85</v>
      </c>
      <c r="R169" s="12">
        <v>0.75</v>
      </c>
      <c r="S169" s="12">
        <v>0.85</v>
      </c>
      <c r="T169" s="12">
        <v>0.75</v>
      </c>
      <c r="U169" s="12">
        <v>0.8</v>
      </c>
      <c r="V169" s="12"/>
      <c r="W169" s="12">
        <v>22.38250510573555</v>
      </c>
      <c r="X169" s="12">
        <v>421.69934918800072</v>
      </c>
      <c r="Y169" s="12">
        <v>9193.75</v>
      </c>
      <c r="Z169" s="12">
        <v>23.984375</v>
      </c>
      <c r="AA169" s="12" t="s">
        <v>1934</v>
      </c>
      <c r="AB169" s="12" t="s">
        <v>269</v>
      </c>
    </row>
    <row r="170" spans="1:28" x14ac:dyDescent="0.3">
      <c r="A170" s="12" t="s">
        <v>2059</v>
      </c>
      <c r="B170" s="12" t="s">
        <v>96</v>
      </c>
      <c r="C170" s="12" t="s">
        <v>96</v>
      </c>
      <c r="D170" s="12" t="s">
        <v>97</v>
      </c>
      <c r="E170" s="12" t="s">
        <v>2033</v>
      </c>
      <c r="F170" s="12" t="s">
        <v>832</v>
      </c>
      <c r="G170" s="12" t="s">
        <v>832</v>
      </c>
      <c r="H170" s="12" t="b">
        <v>0</v>
      </c>
      <c r="I170" s="12" t="b">
        <v>0</v>
      </c>
      <c r="J170" s="12" t="b">
        <v>0</v>
      </c>
      <c r="K170" s="12" t="b">
        <v>0</v>
      </c>
      <c r="L170" s="12">
        <v>368.02005208333333</v>
      </c>
      <c r="M170" s="12">
        <v>300.032917</v>
      </c>
      <c r="N170" s="12">
        <v>3000</v>
      </c>
      <c r="O170" s="12">
        <v>400</v>
      </c>
      <c r="P170" s="12">
        <v>0.5</v>
      </c>
      <c r="Q170" s="12">
        <v>0.85</v>
      </c>
      <c r="R170" s="12">
        <v>0.75</v>
      </c>
      <c r="S170" s="12">
        <v>0.85</v>
      </c>
      <c r="T170" s="12">
        <v>0.75</v>
      </c>
      <c r="U170" s="12">
        <v>0.8</v>
      </c>
      <c r="V170" s="12"/>
      <c r="W170" s="12"/>
      <c r="X170" s="12"/>
      <c r="Y170" s="12">
        <v>2600</v>
      </c>
      <c r="Z170" s="12">
        <v>7.5</v>
      </c>
      <c r="AA170" s="12"/>
      <c r="AB170" s="12" t="s">
        <v>274</v>
      </c>
    </row>
    <row r="171" spans="1:28" x14ac:dyDescent="0.3">
      <c r="A171" s="12" t="s">
        <v>2060</v>
      </c>
      <c r="B171" s="12" t="s">
        <v>96</v>
      </c>
      <c r="C171" s="12" t="s">
        <v>96</v>
      </c>
      <c r="D171" s="12" t="s">
        <v>97</v>
      </c>
      <c r="E171" s="12" t="s">
        <v>2033</v>
      </c>
      <c r="F171" s="12" t="s">
        <v>1863</v>
      </c>
      <c r="G171" s="12" t="s">
        <v>832</v>
      </c>
      <c r="H171" s="12" t="b">
        <v>0</v>
      </c>
      <c r="I171" s="12" t="b">
        <v>0</v>
      </c>
      <c r="J171" s="12" t="b">
        <v>1</v>
      </c>
      <c r="K171" s="12" t="b">
        <v>0</v>
      </c>
      <c r="L171" s="12">
        <v>600.04574652777774</v>
      </c>
      <c r="M171" s="12">
        <v>300.032917</v>
      </c>
      <c r="N171" s="12">
        <v>3000</v>
      </c>
      <c r="O171" s="12">
        <v>400</v>
      </c>
      <c r="P171" s="12">
        <v>0.5</v>
      </c>
      <c r="Q171" s="12">
        <v>0.85</v>
      </c>
      <c r="R171" s="12">
        <v>0.75</v>
      </c>
      <c r="S171" s="12">
        <v>0.85</v>
      </c>
      <c r="T171" s="12">
        <v>0.75</v>
      </c>
      <c r="U171" s="12">
        <v>0.8</v>
      </c>
      <c r="V171" s="12"/>
      <c r="W171" s="12">
        <v>16.969506587672139</v>
      </c>
      <c r="X171" s="12">
        <v>311.24031783981491</v>
      </c>
      <c r="Y171" s="12">
        <v>2600</v>
      </c>
      <c r="Z171" s="12">
        <v>7.5</v>
      </c>
      <c r="AA171" s="12" t="s">
        <v>1934</v>
      </c>
      <c r="AB171" s="12" t="s">
        <v>274</v>
      </c>
    </row>
    <row r="172" spans="1:28" x14ac:dyDescent="0.3">
      <c r="A172" s="12" t="s">
        <v>2061</v>
      </c>
      <c r="B172" s="12" t="s">
        <v>96</v>
      </c>
      <c r="C172" s="12" t="s">
        <v>96</v>
      </c>
      <c r="D172" s="12" t="s">
        <v>97</v>
      </c>
      <c r="E172" s="12" t="s">
        <v>2033</v>
      </c>
      <c r="F172" s="12" t="s">
        <v>1863</v>
      </c>
      <c r="G172" s="12" t="s">
        <v>832</v>
      </c>
      <c r="H172" s="12" t="b">
        <v>0</v>
      </c>
      <c r="I172" s="12" t="b">
        <v>0</v>
      </c>
      <c r="J172" s="12" t="b">
        <v>1</v>
      </c>
      <c r="K172" s="12" t="b">
        <v>0</v>
      </c>
      <c r="L172" s="12">
        <v>623.15</v>
      </c>
      <c r="M172" s="12">
        <v>300.032917</v>
      </c>
      <c r="N172" s="12">
        <v>5421.875</v>
      </c>
      <c r="O172" s="12">
        <v>400</v>
      </c>
      <c r="P172" s="12">
        <v>0.5</v>
      </c>
      <c r="Q172" s="12">
        <v>0.85</v>
      </c>
      <c r="R172" s="12">
        <v>0.75</v>
      </c>
      <c r="S172" s="12">
        <v>0.85</v>
      </c>
      <c r="T172" s="12">
        <v>0.75</v>
      </c>
      <c r="U172" s="12">
        <v>0.8</v>
      </c>
      <c r="V172" s="12"/>
      <c r="W172" s="12">
        <v>24.384604785706369</v>
      </c>
      <c r="X172" s="12">
        <v>456.18427913587351</v>
      </c>
      <c r="Y172" s="12">
        <v>5021.875</v>
      </c>
      <c r="Z172" s="12">
        <v>13.5546875</v>
      </c>
      <c r="AA172" s="12" t="s">
        <v>1934</v>
      </c>
      <c r="AB172" s="12" t="s">
        <v>269</v>
      </c>
    </row>
    <row r="173" spans="1:28" x14ac:dyDescent="0.3">
      <c r="A173" s="12" t="s">
        <v>2062</v>
      </c>
      <c r="B173" s="12" t="s">
        <v>96</v>
      </c>
      <c r="C173" s="12" t="s">
        <v>96</v>
      </c>
      <c r="D173" s="12" t="s">
        <v>97</v>
      </c>
      <c r="E173" s="12" t="s">
        <v>2033</v>
      </c>
      <c r="F173" s="12" t="s">
        <v>1863</v>
      </c>
      <c r="G173" s="12" t="s">
        <v>832</v>
      </c>
      <c r="H173" s="12" t="b">
        <v>0</v>
      </c>
      <c r="I173" s="12" t="b">
        <v>0</v>
      </c>
      <c r="J173" s="12" t="b">
        <v>1</v>
      </c>
      <c r="K173" s="12" t="b">
        <v>0</v>
      </c>
      <c r="L173" s="12">
        <v>623.15</v>
      </c>
      <c r="M173" s="12">
        <v>300.032917</v>
      </c>
      <c r="N173" s="12">
        <v>9609.375</v>
      </c>
      <c r="O173" s="12">
        <v>400</v>
      </c>
      <c r="P173" s="12">
        <v>0.5</v>
      </c>
      <c r="Q173" s="12">
        <v>0.85</v>
      </c>
      <c r="R173" s="12">
        <v>0.75</v>
      </c>
      <c r="S173" s="12">
        <v>0.85</v>
      </c>
      <c r="T173" s="12">
        <v>0.75</v>
      </c>
      <c r="U173" s="12">
        <v>0.8</v>
      </c>
      <c r="V173" s="12"/>
      <c r="W173" s="12">
        <v>22.388254855479701</v>
      </c>
      <c r="X173" s="12">
        <v>421.77970562082851</v>
      </c>
      <c r="Y173" s="12">
        <v>9209.375</v>
      </c>
      <c r="Z173" s="12">
        <v>24.0234375</v>
      </c>
      <c r="AA173" s="12" t="s">
        <v>1934</v>
      </c>
      <c r="AB173" s="12" t="s">
        <v>269</v>
      </c>
    </row>
    <row r="174" spans="1:28" x14ac:dyDescent="0.3">
      <c r="A174" s="12" t="s">
        <v>2063</v>
      </c>
      <c r="B174" s="12" t="s">
        <v>96</v>
      </c>
      <c r="C174" s="12" t="s">
        <v>96</v>
      </c>
      <c r="D174" s="12" t="s">
        <v>97</v>
      </c>
      <c r="E174" s="12" t="s">
        <v>2033</v>
      </c>
      <c r="F174" s="12" t="s">
        <v>1863</v>
      </c>
      <c r="G174" s="12" t="s">
        <v>832</v>
      </c>
      <c r="H174" s="12" t="b">
        <v>0</v>
      </c>
      <c r="I174" s="12" t="b">
        <v>0</v>
      </c>
      <c r="J174" s="12" t="b">
        <v>1</v>
      </c>
      <c r="K174" s="12" t="b">
        <v>0</v>
      </c>
      <c r="L174" s="12">
        <v>623.15</v>
      </c>
      <c r="M174" s="12">
        <v>300.032917</v>
      </c>
      <c r="N174" s="12">
        <v>5414.0625</v>
      </c>
      <c r="O174" s="12">
        <v>400</v>
      </c>
      <c r="P174" s="12">
        <v>0.5</v>
      </c>
      <c r="Q174" s="12">
        <v>0.85</v>
      </c>
      <c r="R174" s="12">
        <v>0.75</v>
      </c>
      <c r="S174" s="12">
        <v>0.85</v>
      </c>
      <c r="T174" s="12">
        <v>0.75</v>
      </c>
      <c r="U174" s="12">
        <v>0.8</v>
      </c>
      <c r="V174" s="12"/>
      <c r="W174" s="12">
        <v>24.410557260938329</v>
      </c>
      <c r="X174" s="12">
        <v>456.59608884054171</v>
      </c>
      <c r="Y174" s="12">
        <v>5014.0625</v>
      </c>
      <c r="Z174" s="12">
        <v>13.53515625</v>
      </c>
      <c r="AA174" s="12" t="s">
        <v>1934</v>
      </c>
      <c r="AB174" s="12" t="s">
        <v>269</v>
      </c>
    </row>
    <row r="175" spans="1:28" x14ac:dyDescent="0.3">
      <c r="A175" s="12" t="s">
        <v>2064</v>
      </c>
      <c r="B175" s="12" t="s">
        <v>96</v>
      </c>
      <c r="C175" s="12" t="s">
        <v>96</v>
      </c>
      <c r="D175" s="12" t="s">
        <v>97</v>
      </c>
      <c r="E175" s="12" t="s">
        <v>2033</v>
      </c>
      <c r="F175" s="12" t="s">
        <v>1863</v>
      </c>
      <c r="G175" s="12" t="s">
        <v>832</v>
      </c>
      <c r="H175" s="12" t="b">
        <v>0</v>
      </c>
      <c r="I175" s="12" t="b">
        <v>0</v>
      </c>
      <c r="J175" s="12" t="b">
        <v>1</v>
      </c>
      <c r="K175" s="12" t="b">
        <v>0</v>
      </c>
      <c r="L175" s="12">
        <v>623.15</v>
      </c>
      <c r="M175" s="12">
        <v>300.032917</v>
      </c>
      <c r="N175" s="12">
        <v>9617.1875</v>
      </c>
      <c r="O175" s="12">
        <v>400</v>
      </c>
      <c r="P175" s="12">
        <v>0.5</v>
      </c>
      <c r="Q175" s="12">
        <v>0.85</v>
      </c>
      <c r="R175" s="12">
        <v>0.75</v>
      </c>
      <c r="S175" s="12">
        <v>0.85</v>
      </c>
      <c r="T175" s="12">
        <v>0.75</v>
      </c>
      <c r="U175" s="12">
        <v>0.8</v>
      </c>
      <c r="V175" s="12"/>
      <c r="W175" s="12">
        <v>22.39113791258745</v>
      </c>
      <c r="X175" s="12">
        <v>421.82003437855968</v>
      </c>
      <c r="Y175" s="12">
        <v>9217.1875</v>
      </c>
      <c r="Z175" s="12">
        <v>24.04296875</v>
      </c>
      <c r="AA175" s="12" t="s">
        <v>1934</v>
      </c>
      <c r="AB175" s="12" t="s">
        <v>269</v>
      </c>
    </row>
    <row r="176" spans="1:28" x14ac:dyDescent="0.3">
      <c r="A176" s="12" t="s">
        <v>2065</v>
      </c>
      <c r="B176" s="12" t="s">
        <v>104</v>
      </c>
      <c r="C176" s="12" t="s">
        <v>379</v>
      </c>
      <c r="D176" s="12" t="s">
        <v>2066</v>
      </c>
      <c r="E176" s="12" t="s">
        <v>1886</v>
      </c>
      <c r="F176" s="12" t="s">
        <v>1861</v>
      </c>
      <c r="G176" s="12" t="s">
        <v>1861</v>
      </c>
      <c r="H176" s="12" t="b">
        <v>1</v>
      </c>
      <c r="I176" s="12" t="b">
        <v>0</v>
      </c>
      <c r="J176" s="12" t="b">
        <v>1</v>
      </c>
      <c r="K176" s="12" t="b">
        <v>0</v>
      </c>
      <c r="L176" s="12">
        <v>623.15</v>
      </c>
      <c r="M176" s="12">
        <v>300.032917</v>
      </c>
      <c r="N176" s="12">
        <v>3000</v>
      </c>
      <c r="O176" s="12">
        <v>400</v>
      </c>
      <c r="P176" s="12">
        <v>0.5</v>
      </c>
      <c r="Q176" s="12">
        <v>0.85</v>
      </c>
      <c r="R176" s="12">
        <v>0.75</v>
      </c>
      <c r="S176" s="12">
        <v>0.75</v>
      </c>
      <c r="T176" s="12">
        <v>0.75</v>
      </c>
      <c r="U176" s="12">
        <v>0.8</v>
      </c>
      <c r="V176" s="12"/>
      <c r="W176" s="12">
        <v>13.08893763816603</v>
      </c>
      <c r="X176" s="12">
        <v>224.76952656674331</v>
      </c>
      <c r="Y176" s="12">
        <v>2600</v>
      </c>
      <c r="Z176" s="12">
        <v>7.5</v>
      </c>
      <c r="AA176" s="12" t="s">
        <v>1981</v>
      </c>
      <c r="AB176" s="12"/>
    </row>
    <row r="177" spans="1:28" x14ac:dyDescent="0.3">
      <c r="A177" s="12" t="s">
        <v>2067</v>
      </c>
      <c r="B177" s="12" t="s">
        <v>104</v>
      </c>
      <c r="C177" s="12" t="s">
        <v>379</v>
      </c>
      <c r="D177" s="12" t="s">
        <v>2066</v>
      </c>
      <c r="E177" s="12" t="s">
        <v>1886</v>
      </c>
      <c r="F177" s="12" t="s">
        <v>1861</v>
      </c>
      <c r="G177" s="12" t="s">
        <v>1861</v>
      </c>
      <c r="H177" s="12" t="b">
        <v>1</v>
      </c>
      <c r="I177" s="12" t="b">
        <v>0</v>
      </c>
      <c r="J177" s="12" t="b">
        <v>1</v>
      </c>
      <c r="K177" s="12" t="b">
        <v>0</v>
      </c>
      <c r="L177" s="12">
        <v>623.15</v>
      </c>
      <c r="M177" s="12">
        <v>300.032917</v>
      </c>
      <c r="N177" s="12">
        <v>3000</v>
      </c>
      <c r="O177" s="12">
        <v>545.4545454545455</v>
      </c>
      <c r="P177" s="12">
        <v>0.5</v>
      </c>
      <c r="Q177" s="12">
        <v>0.85</v>
      </c>
      <c r="R177" s="12">
        <v>0.75</v>
      </c>
      <c r="S177" s="12">
        <v>0.75</v>
      </c>
      <c r="T177" s="12">
        <v>0.75</v>
      </c>
      <c r="U177" s="12">
        <v>0.8</v>
      </c>
      <c r="V177" s="12"/>
      <c r="W177" s="12">
        <v>11.48659119248236</v>
      </c>
      <c r="X177" s="12">
        <v>197.57499224556011</v>
      </c>
      <c r="Y177" s="12">
        <v>2454.545454545455</v>
      </c>
      <c r="Z177" s="12">
        <v>5.5</v>
      </c>
      <c r="AA177" s="12" t="s">
        <v>1268</v>
      </c>
      <c r="AB177" s="12"/>
    </row>
    <row r="178" spans="1:28" x14ac:dyDescent="0.3">
      <c r="A178" s="12" t="s">
        <v>2068</v>
      </c>
      <c r="B178" s="12" t="s">
        <v>104</v>
      </c>
      <c r="C178" s="12" t="s">
        <v>379</v>
      </c>
      <c r="D178" s="12" t="s">
        <v>2066</v>
      </c>
      <c r="E178" s="12" t="s">
        <v>1886</v>
      </c>
      <c r="F178" s="12" t="s">
        <v>1861</v>
      </c>
      <c r="G178" s="12" t="s">
        <v>1861</v>
      </c>
      <c r="H178" s="12" t="b">
        <v>1</v>
      </c>
      <c r="I178" s="12" t="b">
        <v>0</v>
      </c>
      <c r="J178" s="12" t="b">
        <v>1</v>
      </c>
      <c r="K178" s="12" t="b">
        <v>0</v>
      </c>
      <c r="L178" s="12">
        <v>623.15</v>
      </c>
      <c r="M178" s="12">
        <v>300.032917</v>
      </c>
      <c r="N178" s="12">
        <v>3000</v>
      </c>
      <c r="O178" s="12">
        <v>690.90909090909099</v>
      </c>
      <c r="P178" s="12">
        <v>0.5</v>
      </c>
      <c r="Q178" s="12">
        <v>0.85</v>
      </c>
      <c r="R178" s="12">
        <v>0.75</v>
      </c>
      <c r="S178" s="12">
        <v>0.75</v>
      </c>
      <c r="T178" s="12">
        <v>0.75</v>
      </c>
      <c r="U178" s="12">
        <v>0.8</v>
      </c>
      <c r="V178" s="12"/>
      <c r="W178" s="12">
        <v>10.180432122309121</v>
      </c>
      <c r="X178" s="12">
        <v>175.2529216676665</v>
      </c>
      <c r="Y178" s="12">
        <v>2309.090909090909</v>
      </c>
      <c r="Z178" s="12">
        <v>4.3421052631578938</v>
      </c>
      <c r="AA178" s="12" t="s">
        <v>1268</v>
      </c>
      <c r="AB178" s="12"/>
    </row>
    <row r="179" spans="1:28" x14ac:dyDescent="0.3">
      <c r="A179" s="12" t="s">
        <v>2069</v>
      </c>
      <c r="B179" s="12" t="s">
        <v>104</v>
      </c>
      <c r="C179" s="12" t="s">
        <v>379</v>
      </c>
      <c r="D179" s="12" t="s">
        <v>2066</v>
      </c>
      <c r="E179" s="12" t="s">
        <v>1886</v>
      </c>
      <c r="F179" s="12" t="s">
        <v>1861</v>
      </c>
      <c r="G179" s="12" t="s">
        <v>1861</v>
      </c>
      <c r="H179" s="12" t="b">
        <v>1</v>
      </c>
      <c r="I179" s="12" t="b">
        <v>0</v>
      </c>
      <c r="J179" s="12" t="b">
        <v>1</v>
      </c>
      <c r="K179" s="12" t="b">
        <v>0</v>
      </c>
      <c r="L179" s="12">
        <v>623.15</v>
      </c>
      <c r="M179" s="12">
        <v>300.032917</v>
      </c>
      <c r="N179" s="12">
        <v>3000</v>
      </c>
      <c r="O179" s="12">
        <v>981.81818181818198</v>
      </c>
      <c r="P179" s="12">
        <v>0.5</v>
      </c>
      <c r="Q179" s="12">
        <v>0.85</v>
      </c>
      <c r="R179" s="12">
        <v>0.75</v>
      </c>
      <c r="S179" s="12">
        <v>0.75</v>
      </c>
      <c r="T179" s="12">
        <v>0.75</v>
      </c>
      <c r="U179" s="12">
        <v>0.8</v>
      </c>
      <c r="V179" s="12"/>
      <c r="W179" s="12">
        <v>8.0893959391726007</v>
      </c>
      <c r="X179" s="12">
        <v>139.3249915257438</v>
      </c>
      <c r="Y179" s="12">
        <v>2018.181818181818</v>
      </c>
      <c r="Z179" s="12">
        <v>3.0555555555555549</v>
      </c>
      <c r="AA179" s="12" t="s">
        <v>1268</v>
      </c>
      <c r="AB179" s="12"/>
    </row>
    <row r="180" spans="1:28" x14ac:dyDescent="0.3">
      <c r="A180" s="12" t="s">
        <v>2070</v>
      </c>
      <c r="B180" s="12" t="s">
        <v>104</v>
      </c>
      <c r="C180" s="12" t="s">
        <v>379</v>
      </c>
      <c r="D180" s="12" t="s">
        <v>2066</v>
      </c>
      <c r="E180" s="12" t="s">
        <v>1886</v>
      </c>
      <c r="F180" s="12" t="s">
        <v>1861</v>
      </c>
      <c r="G180" s="12" t="s">
        <v>1861</v>
      </c>
      <c r="H180" s="12" t="b">
        <v>1</v>
      </c>
      <c r="I180" s="12" t="b">
        <v>0</v>
      </c>
      <c r="J180" s="12" t="b">
        <v>1</v>
      </c>
      <c r="K180" s="12" t="b">
        <v>0</v>
      </c>
      <c r="L180" s="12">
        <v>623.15</v>
      </c>
      <c r="M180" s="12">
        <v>300.032917</v>
      </c>
      <c r="N180" s="12">
        <v>3000</v>
      </c>
      <c r="O180" s="12">
        <v>836.36363636363637</v>
      </c>
      <c r="P180" s="12">
        <v>0.5</v>
      </c>
      <c r="Q180" s="12">
        <v>0.85</v>
      </c>
      <c r="R180" s="12">
        <v>0.75</v>
      </c>
      <c r="S180" s="12">
        <v>0.75</v>
      </c>
      <c r="T180" s="12">
        <v>0.75</v>
      </c>
      <c r="U180" s="12">
        <v>0.8</v>
      </c>
      <c r="V180" s="12"/>
      <c r="W180" s="12">
        <v>9.0667370016321804</v>
      </c>
      <c r="X180" s="12">
        <v>156.140615273159</v>
      </c>
      <c r="Y180" s="12">
        <v>2163.636363636364</v>
      </c>
      <c r="Z180" s="12">
        <v>3.5869565217391299</v>
      </c>
      <c r="AA180" s="12" t="s">
        <v>1268</v>
      </c>
      <c r="AB180" s="12"/>
    </row>
    <row r="181" spans="1:28" x14ac:dyDescent="0.3">
      <c r="A181" s="12" t="s">
        <v>2071</v>
      </c>
      <c r="B181" s="12" t="s">
        <v>104</v>
      </c>
      <c r="C181" s="12" t="s">
        <v>379</v>
      </c>
      <c r="D181" s="12" t="s">
        <v>2066</v>
      </c>
      <c r="E181" s="12" t="s">
        <v>1886</v>
      </c>
      <c r="F181" s="12" t="s">
        <v>1861</v>
      </c>
      <c r="G181" s="12" t="s">
        <v>1861</v>
      </c>
      <c r="H181" s="12" t="b">
        <v>1</v>
      </c>
      <c r="I181" s="12" t="b">
        <v>0</v>
      </c>
      <c r="J181" s="12" t="b">
        <v>1</v>
      </c>
      <c r="K181" s="12" t="b">
        <v>0</v>
      </c>
      <c r="L181" s="12">
        <v>623.15</v>
      </c>
      <c r="M181" s="12">
        <v>300.032917</v>
      </c>
      <c r="N181" s="12">
        <v>3000</v>
      </c>
      <c r="O181" s="12">
        <v>1127.2727272727279</v>
      </c>
      <c r="P181" s="12">
        <v>0.5</v>
      </c>
      <c r="Q181" s="12">
        <v>0.85</v>
      </c>
      <c r="R181" s="12">
        <v>0.75</v>
      </c>
      <c r="S181" s="12">
        <v>0.75</v>
      </c>
      <c r="T181" s="12">
        <v>0.75</v>
      </c>
      <c r="U181" s="12">
        <v>0.8</v>
      </c>
      <c r="V181" s="12"/>
      <c r="W181" s="12">
        <v>7.2143424880452001</v>
      </c>
      <c r="X181" s="12">
        <v>124.2454692123675</v>
      </c>
      <c r="Y181" s="12">
        <v>1872.7272727272721</v>
      </c>
      <c r="Z181" s="12">
        <v>2.6612903225806441</v>
      </c>
      <c r="AA181" s="12" t="s">
        <v>1268</v>
      </c>
      <c r="AB181" s="12"/>
    </row>
    <row r="182" spans="1:28" x14ac:dyDescent="0.3">
      <c r="A182" s="12" t="s">
        <v>2072</v>
      </c>
      <c r="B182" s="12" t="s">
        <v>104</v>
      </c>
      <c r="C182" s="12" t="s">
        <v>379</v>
      </c>
      <c r="D182" s="12" t="s">
        <v>2066</v>
      </c>
      <c r="E182" s="12" t="s">
        <v>1886</v>
      </c>
      <c r="F182" s="12" t="s">
        <v>1861</v>
      </c>
      <c r="G182" s="12" t="s">
        <v>1861</v>
      </c>
      <c r="H182" s="12" t="b">
        <v>1</v>
      </c>
      <c r="I182" s="12" t="b">
        <v>0</v>
      </c>
      <c r="J182" s="12" t="b">
        <v>1</v>
      </c>
      <c r="K182" s="12" t="b">
        <v>0</v>
      </c>
      <c r="L182" s="12">
        <v>623.15</v>
      </c>
      <c r="M182" s="12">
        <v>300.032917</v>
      </c>
      <c r="N182" s="12">
        <v>3000</v>
      </c>
      <c r="O182" s="12">
        <v>1418.181818181818</v>
      </c>
      <c r="P182" s="12">
        <v>0.5</v>
      </c>
      <c r="Q182" s="12">
        <v>0.85</v>
      </c>
      <c r="R182" s="12">
        <v>0.75</v>
      </c>
      <c r="S182" s="12">
        <v>0.75</v>
      </c>
      <c r="T182" s="12">
        <v>0.75</v>
      </c>
      <c r="U182" s="12">
        <v>0.8</v>
      </c>
      <c r="V182" s="12"/>
      <c r="W182" s="12">
        <v>5.6885112813138514</v>
      </c>
      <c r="X182" s="12">
        <v>97.921977105897767</v>
      </c>
      <c r="Y182" s="12">
        <v>1581.818181818182</v>
      </c>
      <c r="Z182" s="12">
        <v>2.115384615384615</v>
      </c>
      <c r="AA182" s="12" t="s">
        <v>1268</v>
      </c>
      <c r="AB182" s="12"/>
    </row>
    <row r="183" spans="1:28" x14ac:dyDescent="0.3">
      <c r="A183" s="12" t="s">
        <v>2073</v>
      </c>
      <c r="B183" s="12" t="s">
        <v>104</v>
      </c>
      <c r="C183" s="12" t="s">
        <v>379</v>
      </c>
      <c r="D183" s="12" t="s">
        <v>2066</v>
      </c>
      <c r="E183" s="12" t="s">
        <v>1886</v>
      </c>
      <c r="F183" s="12" t="s">
        <v>1861</v>
      </c>
      <c r="G183" s="12" t="s">
        <v>1861</v>
      </c>
      <c r="H183" s="12" t="b">
        <v>1</v>
      </c>
      <c r="I183" s="12" t="b">
        <v>0</v>
      </c>
      <c r="J183" s="12" t="b">
        <v>1</v>
      </c>
      <c r="K183" s="12" t="b">
        <v>0</v>
      </c>
      <c r="L183" s="12">
        <v>623.15</v>
      </c>
      <c r="M183" s="12">
        <v>300.032917</v>
      </c>
      <c r="N183" s="12">
        <v>3000</v>
      </c>
      <c r="O183" s="12">
        <v>1272.727272727273</v>
      </c>
      <c r="P183" s="12">
        <v>0.5</v>
      </c>
      <c r="Q183" s="12">
        <v>0.85</v>
      </c>
      <c r="R183" s="12">
        <v>0.75</v>
      </c>
      <c r="S183" s="12">
        <v>0.75</v>
      </c>
      <c r="T183" s="12">
        <v>0.75</v>
      </c>
      <c r="U183" s="12">
        <v>0.8</v>
      </c>
      <c r="V183" s="12"/>
      <c r="W183" s="12">
        <v>6.4192208015129397</v>
      </c>
      <c r="X183" s="12">
        <v>110.53094695087</v>
      </c>
      <c r="Y183" s="12">
        <v>1727.272727272727</v>
      </c>
      <c r="Z183" s="12">
        <v>2.3571428571428572</v>
      </c>
      <c r="AA183" s="12" t="s">
        <v>1268</v>
      </c>
      <c r="AB183" s="12"/>
    </row>
    <row r="184" spans="1:28" x14ac:dyDescent="0.3">
      <c r="A184" s="12" t="s">
        <v>2074</v>
      </c>
      <c r="B184" s="12" t="s">
        <v>104</v>
      </c>
      <c r="C184" s="12" t="s">
        <v>379</v>
      </c>
      <c r="D184" s="12" t="s">
        <v>2066</v>
      </c>
      <c r="E184" s="12" t="s">
        <v>1886</v>
      </c>
      <c r="F184" s="12" t="s">
        <v>1861</v>
      </c>
      <c r="G184" s="12" t="s">
        <v>1861</v>
      </c>
      <c r="H184" s="12" t="b">
        <v>1</v>
      </c>
      <c r="I184" s="12" t="b">
        <v>0</v>
      </c>
      <c r="J184" s="12" t="b">
        <v>1</v>
      </c>
      <c r="K184" s="12" t="b">
        <v>0</v>
      </c>
      <c r="L184" s="12">
        <v>623.15</v>
      </c>
      <c r="M184" s="12">
        <v>300.032917</v>
      </c>
      <c r="N184" s="12">
        <v>3000</v>
      </c>
      <c r="O184" s="12">
        <v>1709.090909090909</v>
      </c>
      <c r="P184" s="12">
        <v>0.5</v>
      </c>
      <c r="Q184" s="12">
        <v>0.85</v>
      </c>
      <c r="R184" s="12">
        <v>0.75</v>
      </c>
      <c r="S184" s="12">
        <v>0.75</v>
      </c>
      <c r="T184" s="12">
        <v>0.75</v>
      </c>
      <c r="U184" s="12">
        <v>0.8</v>
      </c>
      <c r="V184" s="12"/>
      <c r="W184" s="12">
        <v>4.3782131879970398</v>
      </c>
      <c r="X184" s="12">
        <v>75.311776811686684</v>
      </c>
      <c r="Y184" s="12">
        <v>1290.909090909091</v>
      </c>
      <c r="Z184" s="12">
        <v>1.7553191489361699</v>
      </c>
      <c r="AA184" s="12" t="s">
        <v>1268</v>
      </c>
      <c r="AB184" s="12"/>
    </row>
    <row r="185" spans="1:28" x14ac:dyDescent="0.3">
      <c r="A185" s="12" t="s">
        <v>2075</v>
      </c>
      <c r="B185" s="12" t="s">
        <v>104</v>
      </c>
      <c r="C185" s="12" t="s">
        <v>379</v>
      </c>
      <c r="D185" s="12" t="s">
        <v>2066</v>
      </c>
      <c r="E185" s="12" t="s">
        <v>1886</v>
      </c>
      <c r="F185" s="12" t="s">
        <v>1861</v>
      </c>
      <c r="G185" s="12" t="s">
        <v>1861</v>
      </c>
      <c r="H185" s="12" t="b">
        <v>1</v>
      </c>
      <c r="I185" s="12" t="b">
        <v>0</v>
      </c>
      <c r="J185" s="12" t="b">
        <v>1</v>
      </c>
      <c r="K185" s="12" t="b">
        <v>0</v>
      </c>
      <c r="L185" s="12">
        <v>623.15</v>
      </c>
      <c r="M185" s="12">
        <v>300.032917</v>
      </c>
      <c r="N185" s="12">
        <v>3000</v>
      </c>
      <c r="O185" s="12">
        <v>1563.636363636364</v>
      </c>
      <c r="P185" s="12">
        <v>0.5</v>
      </c>
      <c r="Q185" s="12">
        <v>0.85</v>
      </c>
      <c r="R185" s="12">
        <v>0.75</v>
      </c>
      <c r="S185" s="12">
        <v>0.75</v>
      </c>
      <c r="T185" s="12">
        <v>0.75</v>
      </c>
      <c r="U185" s="12">
        <v>0.8</v>
      </c>
      <c r="V185" s="12"/>
      <c r="W185" s="12">
        <v>5.0109884164443503</v>
      </c>
      <c r="X185" s="12">
        <v>86.229804917873096</v>
      </c>
      <c r="Y185" s="12">
        <v>1436.363636363636</v>
      </c>
      <c r="Z185" s="12">
        <v>1.918604651162791</v>
      </c>
      <c r="AA185" s="12" t="s">
        <v>1268</v>
      </c>
      <c r="AB185" s="12"/>
    </row>
    <row r="186" spans="1:28" x14ac:dyDescent="0.3">
      <c r="A186" s="12" t="s">
        <v>2076</v>
      </c>
      <c r="B186" s="12" t="s">
        <v>104</v>
      </c>
      <c r="C186" s="12" t="s">
        <v>379</v>
      </c>
      <c r="D186" s="12" t="s">
        <v>2066</v>
      </c>
      <c r="E186" s="12" t="s">
        <v>1886</v>
      </c>
      <c r="F186" s="12" t="s">
        <v>1861</v>
      </c>
      <c r="G186" s="12" t="s">
        <v>1861</v>
      </c>
      <c r="H186" s="12" t="b">
        <v>1</v>
      </c>
      <c r="I186" s="12" t="b">
        <v>0</v>
      </c>
      <c r="J186" s="12" t="b">
        <v>1</v>
      </c>
      <c r="K186" s="12" t="b">
        <v>0</v>
      </c>
      <c r="L186" s="12">
        <v>623.15</v>
      </c>
      <c r="M186" s="12">
        <v>300.032917</v>
      </c>
      <c r="N186" s="12">
        <v>3000</v>
      </c>
      <c r="O186" s="12">
        <v>1854.545454545455</v>
      </c>
      <c r="P186" s="12">
        <v>0.5</v>
      </c>
      <c r="Q186" s="12">
        <v>0.85</v>
      </c>
      <c r="R186" s="12">
        <v>0.75</v>
      </c>
      <c r="S186" s="12">
        <v>0.75</v>
      </c>
      <c r="T186" s="12">
        <v>0.75</v>
      </c>
      <c r="U186" s="12">
        <v>0.8</v>
      </c>
      <c r="V186" s="12"/>
      <c r="W186" s="12">
        <v>3.7836762434478302</v>
      </c>
      <c r="X186" s="12">
        <v>65.057367404817739</v>
      </c>
      <c r="Y186" s="12">
        <v>1145.454545454545</v>
      </c>
      <c r="Z186" s="12">
        <v>1.617647058823529</v>
      </c>
      <c r="AA186" s="12" t="s">
        <v>1268</v>
      </c>
      <c r="AB186" s="12"/>
    </row>
    <row r="187" spans="1:28" x14ac:dyDescent="0.3">
      <c r="A187" s="12" t="s">
        <v>2077</v>
      </c>
      <c r="B187" s="12" t="s">
        <v>104</v>
      </c>
      <c r="C187" s="12" t="s">
        <v>379</v>
      </c>
      <c r="D187" s="12" t="s">
        <v>2066</v>
      </c>
      <c r="E187" s="12" t="s">
        <v>1886</v>
      </c>
      <c r="F187" s="12" t="s">
        <v>1861</v>
      </c>
      <c r="G187" s="12" t="s">
        <v>1861</v>
      </c>
      <c r="H187" s="12" t="b">
        <v>1</v>
      </c>
      <c r="I187" s="12" t="b">
        <v>0</v>
      </c>
      <c r="J187" s="12" t="b">
        <v>1</v>
      </c>
      <c r="K187" s="12" t="b">
        <v>0</v>
      </c>
      <c r="L187" s="12">
        <v>623.15</v>
      </c>
      <c r="M187" s="12">
        <v>300.032917</v>
      </c>
      <c r="N187" s="12">
        <v>3000</v>
      </c>
      <c r="O187" s="12">
        <v>2000</v>
      </c>
      <c r="P187" s="12">
        <v>0.5</v>
      </c>
      <c r="Q187" s="12">
        <v>0.85</v>
      </c>
      <c r="R187" s="12">
        <v>0.75</v>
      </c>
      <c r="S187" s="12">
        <v>0.75</v>
      </c>
      <c r="T187" s="12">
        <v>0.75</v>
      </c>
      <c r="U187" s="12">
        <v>0.8</v>
      </c>
      <c r="V187" s="12"/>
      <c r="W187" s="12">
        <v>3.2222449257921002</v>
      </c>
      <c r="X187" s="12">
        <v>55.379088477587523</v>
      </c>
      <c r="Y187" s="12">
        <v>1000</v>
      </c>
      <c r="Z187" s="12">
        <v>1.5</v>
      </c>
      <c r="AA187" s="12" t="s">
        <v>1268</v>
      </c>
      <c r="AB187" s="12"/>
    </row>
    <row r="188" spans="1:28" x14ac:dyDescent="0.3">
      <c r="A188" s="12" t="s">
        <v>2078</v>
      </c>
      <c r="B188" s="12" t="s">
        <v>104</v>
      </c>
      <c r="C188" s="12" t="s">
        <v>379</v>
      </c>
      <c r="D188" s="12" t="s">
        <v>2066</v>
      </c>
      <c r="E188" s="12" t="s">
        <v>1886</v>
      </c>
      <c r="F188" s="12" t="s">
        <v>1861</v>
      </c>
      <c r="G188" s="12" t="s">
        <v>1861</v>
      </c>
      <c r="H188" s="12" t="b">
        <v>1</v>
      </c>
      <c r="I188" s="12" t="b">
        <v>0</v>
      </c>
      <c r="J188" s="12" t="b">
        <v>1</v>
      </c>
      <c r="K188" s="12" t="b">
        <v>0</v>
      </c>
      <c r="L188" s="12">
        <v>623.15</v>
      </c>
      <c r="M188" s="12">
        <v>300.032917</v>
      </c>
      <c r="N188" s="12">
        <v>3000</v>
      </c>
      <c r="O188" s="12">
        <v>400</v>
      </c>
      <c r="P188" s="12">
        <v>0.5</v>
      </c>
      <c r="Q188" s="12">
        <v>0.85</v>
      </c>
      <c r="R188" s="12">
        <v>0.75</v>
      </c>
      <c r="S188" s="12">
        <v>0.78</v>
      </c>
      <c r="T188" s="12">
        <v>0.75</v>
      </c>
      <c r="U188" s="12">
        <v>0.8</v>
      </c>
      <c r="V188" s="12"/>
      <c r="W188" s="12">
        <v>13.066314626811829</v>
      </c>
      <c r="X188" s="12">
        <v>232.6565179233497</v>
      </c>
      <c r="Y188" s="12">
        <v>2600</v>
      </c>
      <c r="Z188" s="12">
        <v>7.5</v>
      </c>
      <c r="AA188" s="12" t="s">
        <v>1981</v>
      </c>
      <c r="AB188" s="12"/>
    </row>
    <row r="189" spans="1:28" x14ac:dyDescent="0.3">
      <c r="A189" s="12" t="s">
        <v>2079</v>
      </c>
      <c r="B189" s="12" t="s">
        <v>104</v>
      </c>
      <c r="C189" s="12" t="s">
        <v>379</v>
      </c>
      <c r="D189" s="12" t="s">
        <v>2066</v>
      </c>
      <c r="E189" s="12" t="s">
        <v>1886</v>
      </c>
      <c r="F189" s="12" t="s">
        <v>1861</v>
      </c>
      <c r="G189" s="12" t="s">
        <v>1861</v>
      </c>
      <c r="H189" s="12" t="b">
        <v>1</v>
      </c>
      <c r="I189" s="12" t="b">
        <v>0</v>
      </c>
      <c r="J189" s="12" t="b">
        <v>1</v>
      </c>
      <c r="K189" s="12" t="b">
        <v>0</v>
      </c>
      <c r="L189" s="12">
        <v>623.15</v>
      </c>
      <c r="M189" s="12">
        <v>300.032917</v>
      </c>
      <c r="N189" s="12">
        <v>3000</v>
      </c>
      <c r="O189" s="12">
        <v>545.4545454545455</v>
      </c>
      <c r="P189" s="12">
        <v>0.5</v>
      </c>
      <c r="Q189" s="12">
        <v>0.85</v>
      </c>
      <c r="R189" s="12">
        <v>0.75</v>
      </c>
      <c r="S189" s="12">
        <v>0.78</v>
      </c>
      <c r="T189" s="12">
        <v>0.75</v>
      </c>
      <c r="U189" s="12">
        <v>0.8</v>
      </c>
      <c r="V189" s="12"/>
      <c r="W189" s="12">
        <v>11.456033911709961</v>
      </c>
      <c r="X189" s="12">
        <v>204.3318635702077</v>
      </c>
      <c r="Y189" s="12">
        <v>2454.545454545455</v>
      </c>
      <c r="Z189" s="12">
        <v>5.5</v>
      </c>
      <c r="AA189" s="12" t="s">
        <v>1268</v>
      </c>
      <c r="AB189" s="12"/>
    </row>
    <row r="190" spans="1:28" x14ac:dyDescent="0.3">
      <c r="A190" s="12" t="s">
        <v>2080</v>
      </c>
      <c r="B190" s="12" t="s">
        <v>104</v>
      </c>
      <c r="C190" s="12" t="s">
        <v>379</v>
      </c>
      <c r="D190" s="12" t="s">
        <v>2066</v>
      </c>
      <c r="E190" s="12" t="s">
        <v>1886</v>
      </c>
      <c r="F190" s="12" t="s">
        <v>1861</v>
      </c>
      <c r="G190" s="12" t="s">
        <v>1861</v>
      </c>
      <c r="H190" s="12" t="b">
        <v>1</v>
      </c>
      <c r="I190" s="12" t="b">
        <v>0</v>
      </c>
      <c r="J190" s="12" t="b">
        <v>1</v>
      </c>
      <c r="K190" s="12" t="b">
        <v>0</v>
      </c>
      <c r="L190" s="12">
        <v>623.15</v>
      </c>
      <c r="M190" s="12">
        <v>300.032917</v>
      </c>
      <c r="N190" s="12">
        <v>3000</v>
      </c>
      <c r="O190" s="12">
        <v>690.90909090909099</v>
      </c>
      <c r="P190" s="12">
        <v>0.5</v>
      </c>
      <c r="Q190" s="12">
        <v>0.85</v>
      </c>
      <c r="R190" s="12">
        <v>0.75</v>
      </c>
      <c r="S190" s="12">
        <v>0.78</v>
      </c>
      <c r="T190" s="12">
        <v>0.75</v>
      </c>
      <c r="U190" s="12">
        <v>0.8</v>
      </c>
      <c r="V190" s="12"/>
      <c r="W190" s="12">
        <v>10.14589750199819</v>
      </c>
      <c r="X190" s="12">
        <v>181.12391451985499</v>
      </c>
      <c r="Y190" s="12">
        <v>2309.090909090909</v>
      </c>
      <c r="Z190" s="12">
        <v>4.3421052631578938</v>
      </c>
      <c r="AA190" s="12" t="s">
        <v>1268</v>
      </c>
      <c r="AB190" s="12"/>
    </row>
    <row r="191" spans="1:28" x14ac:dyDescent="0.3">
      <c r="A191" s="12" t="s">
        <v>2081</v>
      </c>
      <c r="B191" s="12" t="s">
        <v>104</v>
      </c>
      <c r="C191" s="12" t="s">
        <v>379</v>
      </c>
      <c r="D191" s="12" t="s">
        <v>2066</v>
      </c>
      <c r="E191" s="12" t="s">
        <v>1886</v>
      </c>
      <c r="F191" s="12" t="s">
        <v>1861</v>
      </c>
      <c r="G191" s="12" t="s">
        <v>1861</v>
      </c>
      <c r="H191" s="12" t="b">
        <v>1</v>
      </c>
      <c r="I191" s="12" t="b">
        <v>0</v>
      </c>
      <c r="J191" s="12" t="b">
        <v>1</v>
      </c>
      <c r="K191" s="12" t="b">
        <v>0</v>
      </c>
      <c r="L191" s="12">
        <v>623.15</v>
      </c>
      <c r="M191" s="12">
        <v>300.032917</v>
      </c>
      <c r="N191" s="12">
        <v>3000</v>
      </c>
      <c r="O191" s="12">
        <v>1127.2727272727279</v>
      </c>
      <c r="P191" s="12">
        <v>0.5</v>
      </c>
      <c r="Q191" s="12">
        <v>0.85</v>
      </c>
      <c r="R191" s="12">
        <v>0.75</v>
      </c>
      <c r="S191" s="12">
        <v>0.78</v>
      </c>
      <c r="T191" s="12">
        <v>0.75</v>
      </c>
      <c r="U191" s="12">
        <v>0.8</v>
      </c>
      <c r="V191" s="12"/>
      <c r="W191" s="12">
        <v>7.1783957591660492</v>
      </c>
      <c r="X191" s="12">
        <v>128.21916424244179</v>
      </c>
      <c r="Y191" s="12">
        <v>1872.7272727272721</v>
      </c>
      <c r="Z191" s="12">
        <v>2.6612903225806441</v>
      </c>
      <c r="AA191" s="12" t="s">
        <v>1268</v>
      </c>
      <c r="AB191" s="12"/>
    </row>
    <row r="192" spans="1:28" x14ac:dyDescent="0.3">
      <c r="A192" s="12" t="s">
        <v>2082</v>
      </c>
      <c r="B192" s="12" t="s">
        <v>104</v>
      </c>
      <c r="C192" s="12" t="s">
        <v>379</v>
      </c>
      <c r="D192" s="12" t="s">
        <v>2066</v>
      </c>
      <c r="E192" s="12" t="s">
        <v>1886</v>
      </c>
      <c r="F192" s="12" t="s">
        <v>1861</v>
      </c>
      <c r="G192" s="12" t="s">
        <v>1861</v>
      </c>
      <c r="H192" s="12" t="b">
        <v>1</v>
      </c>
      <c r="I192" s="12" t="b">
        <v>0</v>
      </c>
      <c r="J192" s="12" t="b">
        <v>1</v>
      </c>
      <c r="K192" s="12" t="b">
        <v>0</v>
      </c>
      <c r="L192" s="12">
        <v>623.15</v>
      </c>
      <c r="M192" s="12">
        <v>300.032917</v>
      </c>
      <c r="N192" s="12">
        <v>3000</v>
      </c>
      <c r="O192" s="12">
        <v>836.36363636363637</v>
      </c>
      <c r="P192" s="12">
        <v>0.5</v>
      </c>
      <c r="Q192" s="12">
        <v>0.85</v>
      </c>
      <c r="R192" s="12">
        <v>0.75</v>
      </c>
      <c r="S192" s="12">
        <v>0.78</v>
      </c>
      <c r="T192" s="12">
        <v>0.75</v>
      </c>
      <c r="U192" s="12">
        <v>0.8</v>
      </c>
      <c r="V192" s="12"/>
      <c r="W192" s="12">
        <v>9.0304614367555107</v>
      </c>
      <c r="X192" s="12">
        <v>161.2806077509465</v>
      </c>
      <c r="Y192" s="12">
        <v>2163.636363636364</v>
      </c>
      <c r="Z192" s="12">
        <v>3.5869565217391299</v>
      </c>
      <c r="AA192" s="12" t="s">
        <v>1268</v>
      </c>
      <c r="AB192" s="12"/>
    </row>
    <row r="193" spans="1:28" x14ac:dyDescent="0.3">
      <c r="A193" s="12" t="s">
        <v>2083</v>
      </c>
      <c r="B193" s="12" t="s">
        <v>104</v>
      </c>
      <c r="C193" s="12" t="s">
        <v>379</v>
      </c>
      <c r="D193" s="12" t="s">
        <v>2066</v>
      </c>
      <c r="E193" s="12" t="s">
        <v>1886</v>
      </c>
      <c r="F193" s="12" t="s">
        <v>1861</v>
      </c>
      <c r="G193" s="12" t="s">
        <v>1861</v>
      </c>
      <c r="H193" s="12" t="b">
        <v>1</v>
      </c>
      <c r="I193" s="12" t="b">
        <v>0</v>
      </c>
      <c r="J193" s="12" t="b">
        <v>1</v>
      </c>
      <c r="K193" s="12" t="b">
        <v>0</v>
      </c>
      <c r="L193" s="12">
        <v>623.15</v>
      </c>
      <c r="M193" s="12">
        <v>300.032917</v>
      </c>
      <c r="N193" s="12">
        <v>3000</v>
      </c>
      <c r="O193" s="12">
        <v>981.81818181818198</v>
      </c>
      <c r="P193" s="12">
        <v>0.5</v>
      </c>
      <c r="Q193" s="12">
        <v>0.85</v>
      </c>
      <c r="R193" s="12">
        <v>0.75</v>
      </c>
      <c r="S193" s="12">
        <v>0.78</v>
      </c>
      <c r="T193" s="12">
        <v>0.75</v>
      </c>
      <c r="U193" s="12">
        <v>0.8</v>
      </c>
      <c r="V193" s="12"/>
      <c r="W193" s="12">
        <v>8.0527977986833204</v>
      </c>
      <c r="X193" s="12">
        <v>143.84185807902759</v>
      </c>
      <c r="Y193" s="12">
        <v>2018.181818181818</v>
      </c>
      <c r="Z193" s="12">
        <v>3.0555555555555549</v>
      </c>
      <c r="AA193" s="12" t="s">
        <v>1268</v>
      </c>
      <c r="AB193" s="12"/>
    </row>
    <row r="194" spans="1:28" x14ac:dyDescent="0.3">
      <c r="A194" s="12" t="s">
        <v>2084</v>
      </c>
      <c r="B194" s="12" t="s">
        <v>104</v>
      </c>
      <c r="C194" s="12" t="s">
        <v>379</v>
      </c>
      <c r="D194" s="12" t="s">
        <v>2066</v>
      </c>
      <c r="E194" s="12" t="s">
        <v>1886</v>
      </c>
      <c r="F194" s="12" t="s">
        <v>1861</v>
      </c>
      <c r="G194" s="12" t="s">
        <v>1861</v>
      </c>
      <c r="H194" s="12" t="b">
        <v>1</v>
      </c>
      <c r="I194" s="12" t="b">
        <v>0</v>
      </c>
      <c r="J194" s="12" t="b">
        <v>1</v>
      </c>
      <c r="K194" s="12" t="b">
        <v>0</v>
      </c>
      <c r="L194" s="12">
        <v>623.15</v>
      </c>
      <c r="M194" s="12">
        <v>300.032917</v>
      </c>
      <c r="N194" s="12">
        <v>3000</v>
      </c>
      <c r="O194" s="12">
        <v>1272.727272727273</v>
      </c>
      <c r="P194" s="12">
        <v>0.5</v>
      </c>
      <c r="Q194" s="12">
        <v>0.85</v>
      </c>
      <c r="R194" s="12">
        <v>0.75</v>
      </c>
      <c r="S194" s="12">
        <v>0.78</v>
      </c>
      <c r="T194" s="12">
        <v>0.75</v>
      </c>
      <c r="U194" s="12">
        <v>0.8</v>
      </c>
      <c r="V194" s="12"/>
      <c r="W194" s="12">
        <v>6.3846282786616904</v>
      </c>
      <c r="X194" s="12">
        <v>114.0232999814878</v>
      </c>
      <c r="Y194" s="12">
        <v>1727.272727272727</v>
      </c>
      <c r="Z194" s="12">
        <v>2.3571428571428572</v>
      </c>
      <c r="AA194" s="12" t="s">
        <v>1268</v>
      </c>
      <c r="AB194" s="12"/>
    </row>
    <row r="195" spans="1:28" x14ac:dyDescent="0.3">
      <c r="A195" s="12" t="s">
        <v>2085</v>
      </c>
      <c r="B195" s="12" t="s">
        <v>104</v>
      </c>
      <c r="C195" s="12" t="s">
        <v>379</v>
      </c>
      <c r="D195" s="12" t="s">
        <v>2066</v>
      </c>
      <c r="E195" s="12" t="s">
        <v>1886</v>
      </c>
      <c r="F195" s="12" t="s">
        <v>1861</v>
      </c>
      <c r="G195" s="12" t="s">
        <v>1861</v>
      </c>
      <c r="H195" s="12" t="b">
        <v>1</v>
      </c>
      <c r="I195" s="12" t="b">
        <v>0</v>
      </c>
      <c r="J195" s="12" t="b">
        <v>1</v>
      </c>
      <c r="K195" s="12" t="b">
        <v>0</v>
      </c>
      <c r="L195" s="12">
        <v>623.15</v>
      </c>
      <c r="M195" s="12">
        <v>300.032917</v>
      </c>
      <c r="N195" s="12">
        <v>3000</v>
      </c>
      <c r="O195" s="12">
        <v>1418.181818181818</v>
      </c>
      <c r="P195" s="12">
        <v>0.5</v>
      </c>
      <c r="Q195" s="12">
        <v>0.85</v>
      </c>
      <c r="R195" s="12">
        <v>0.75</v>
      </c>
      <c r="S195" s="12">
        <v>0.78</v>
      </c>
      <c r="T195" s="12">
        <v>0.75</v>
      </c>
      <c r="U195" s="12">
        <v>0.8</v>
      </c>
      <c r="V195" s="12"/>
      <c r="W195" s="12">
        <v>5.6557928461291196</v>
      </c>
      <c r="X195" s="12">
        <v>100.98222735932259</v>
      </c>
      <c r="Y195" s="12">
        <v>1581.818181818182</v>
      </c>
      <c r="Z195" s="12">
        <v>2.115384615384615</v>
      </c>
      <c r="AA195" s="12" t="s">
        <v>1268</v>
      </c>
      <c r="AB195" s="12"/>
    </row>
    <row r="196" spans="1:28" x14ac:dyDescent="0.3">
      <c r="A196" s="12" t="s">
        <v>2086</v>
      </c>
      <c r="B196" s="12" t="s">
        <v>104</v>
      </c>
      <c r="C196" s="12" t="s">
        <v>379</v>
      </c>
      <c r="D196" s="12" t="s">
        <v>2066</v>
      </c>
      <c r="E196" s="12" t="s">
        <v>1886</v>
      </c>
      <c r="F196" s="12" t="s">
        <v>1861</v>
      </c>
      <c r="G196" s="12" t="s">
        <v>1861</v>
      </c>
      <c r="H196" s="12" t="b">
        <v>1</v>
      </c>
      <c r="I196" s="12" t="b">
        <v>0</v>
      </c>
      <c r="J196" s="12" t="b">
        <v>1</v>
      </c>
      <c r="K196" s="12" t="b">
        <v>0</v>
      </c>
      <c r="L196" s="12">
        <v>623.15</v>
      </c>
      <c r="M196" s="12">
        <v>300.032917</v>
      </c>
      <c r="N196" s="12">
        <v>3000</v>
      </c>
      <c r="O196" s="12">
        <v>1563.636363636364</v>
      </c>
      <c r="P196" s="12">
        <v>0.5</v>
      </c>
      <c r="Q196" s="12">
        <v>0.85</v>
      </c>
      <c r="R196" s="12">
        <v>0.75</v>
      </c>
      <c r="S196" s="12">
        <v>0.78</v>
      </c>
      <c r="T196" s="12">
        <v>0.75</v>
      </c>
      <c r="U196" s="12">
        <v>0.8</v>
      </c>
      <c r="V196" s="12"/>
      <c r="W196" s="12">
        <v>4.98051091335652</v>
      </c>
      <c r="X196" s="12">
        <v>88.897641671471774</v>
      </c>
      <c r="Y196" s="12">
        <v>1436.363636363636</v>
      </c>
      <c r="Z196" s="12">
        <v>1.918604651162791</v>
      </c>
      <c r="AA196" s="12" t="s">
        <v>1268</v>
      </c>
      <c r="AB196" s="12"/>
    </row>
    <row r="197" spans="1:28" x14ac:dyDescent="0.3">
      <c r="A197" s="12" t="s">
        <v>2087</v>
      </c>
      <c r="B197" s="12" t="s">
        <v>104</v>
      </c>
      <c r="C197" s="12" t="s">
        <v>379</v>
      </c>
      <c r="D197" s="12" t="s">
        <v>2066</v>
      </c>
      <c r="E197" s="12" t="s">
        <v>1886</v>
      </c>
      <c r="F197" s="12" t="s">
        <v>1861</v>
      </c>
      <c r="G197" s="12" t="s">
        <v>1861</v>
      </c>
      <c r="H197" s="12" t="b">
        <v>1</v>
      </c>
      <c r="I197" s="12" t="b">
        <v>0</v>
      </c>
      <c r="J197" s="12" t="b">
        <v>1</v>
      </c>
      <c r="K197" s="12" t="b">
        <v>0</v>
      </c>
      <c r="L197" s="12">
        <v>623.15</v>
      </c>
      <c r="M197" s="12">
        <v>300.032917</v>
      </c>
      <c r="N197" s="12">
        <v>3000</v>
      </c>
      <c r="O197" s="12">
        <v>1854.545454545455</v>
      </c>
      <c r="P197" s="12">
        <v>0.5</v>
      </c>
      <c r="Q197" s="12">
        <v>0.85</v>
      </c>
      <c r="R197" s="12">
        <v>0.75</v>
      </c>
      <c r="S197" s="12">
        <v>0.78</v>
      </c>
      <c r="T197" s="12">
        <v>0.75</v>
      </c>
      <c r="U197" s="12">
        <v>0.8</v>
      </c>
      <c r="V197" s="12"/>
      <c r="W197" s="12">
        <v>3.7584465713342801</v>
      </c>
      <c r="X197" s="12">
        <v>67.03406841885743</v>
      </c>
      <c r="Y197" s="12">
        <v>1145.454545454545</v>
      </c>
      <c r="Z197" s="12">
        <v>1.617647058823529</v>
      </c>
      <c r="AA197" s="12" t="s">
        <v>1268</v>
      </c>
      <c r="AB197" s="12"/>
    </row>
    <row r="198" spans="1:28" x14ac:dyDescent="0.3">
      <c r="A198" s="12" t="s">
        <v>2088</v>
      </c>
      <c r="B198" s="12" t="s">
        <v>104</v>
      </c>
      <c r="C198" s="12" t="s">
        <v>379</v>
      </c>
      <c r="D198" s="12" t="s">
        <v>2066</v>
      </c>
      <c r="E198" s="12" t="s">
        <v>1886</v>
      </c>
      <c r="F198" s="12" t="s">
        <v>1861</v>
      </c>
      <c r="G198" s="12" t="s">
        <v>1861</v>
      </c>
      <c r="H198" s="12" t="b">
        <v>1</v>
      </c>
      <c r="I198" s="12" t="b">
        <v>0</v>
      </c>
      <c r="J198" s="12" t="b">
        <v>1</v>
      </c>
      <c r="K198" s="12" t="b">
        <v>0</v>
      </c>
      <c r="L198" s="12">
        <v>623.15</v>
      </c>
      <c r="M198" s="12">
        <v>300.032917</v>
      </c>
      <c r="N198" s="12">
        <v>3000</v>
      </c>
      <c r="O198" s="12">
        <v>1709.090909090909</v>
      </c>
      <c r="P198" s="12">
        <v>0.5</v>
      </c>
      <c r="Q198" s="12">
        <v>0.85</v>
      </c>
      <c r="R198" s="12">
        <v>0.75</v>
      </c>
      <c r="S198" s="12">
        <v>0.78</v>
      </c>
      <c r="T198" s="12">
        <v>0.75</v>
      </c>
      <c r="U198" s="12">
        <v>0.8</v>
      </c>
      <c r="V198" s="12"/>
      <c r="W198" s="12">
        <v>4.3502528299421703</v>
      </c>
      <c r="X198" s="12">
        <v>77.620131636118643</v>
      </c>
      <c r="Y198" s="12">
        <v>1290.909090909091</v>
      </c>
      <c r="Z198" s="12">
        <v>1.7553191489361699</v>
      </c>
      <c r="AA198" s="12" t="s">
        <v>1268</v>
      </c>
      <c r="AB198" s="12"/>
    </row>
    <row r="199" spans="1:28" x14ac:dyDescent="0.3">
      <c r="A199" s="12" t="s">
        <v>2089</v>
      </c>
      <c r="B199" s="12" t="s">
        <v>104</v>
      </c>
      <c r="C199" s="12" t="s">
        <v>379</v>
      </c>
      <c r="D199" s="12" t="s">
        <v>2066</v>
      </c>
      <c r="E199" s="12" t="s">
        <v>1886</v>
      </c>
      <c r="F199" s="12" t="s">
        <v>1861</v>
      </c>
      <c r="G199" s="12" t="s">
        <v>1861</v>
      </c>
      <c r="H199" s="12" t="b">
        <v>1</v>
      </c>
      <c r="I199" s="12" t="b">
        <v>0</v>
      </c>
      <c r="J199" s="12" t="b">
        <v>1</v>
      </c>
      <c r="K199" s="12" t="b">
        <v>0</v>
      </c>
      <c r="L199" s="12">
        <v>623.15</v>
      </c>
      <c r="M199" s="12">
        <v>300.032917</v>
      </c>
      <c r="N199" s="12">
        <v>3000</v>
      </c>
      <c r="O199" s="12">
        <v>2000</v>
      </c>
      <c r="P199" s="12">
        <v>0.5</v>
      </c>
      <c r="Q199" s="12">
        <v>0.85</v>
      </c>
      <c r="R199" s="12">
        <v>0.75</v>
      </c>
      <c r="S199" s="12">
        <v>0.78</v>
      </c>
      <c r="T199" s="12">
        <v>0.75</v>
      </c>
      <c r="U199" s="12">
        <v>0.8</v>
      </c>
      <c r="V199" s="12"/>
      <c r="W199" s="12">
        <v>3.1999119973203398</v>
      </c>
      <c r="X199" s="12">
        <v>57.047958728540699</v>
      </c>
      <c r="Y199" s="12">
        <v>1000</v>
      </c>
      <c r="Z199" s="12">
        <v>1.5</v>
      </c>
      <c r="AA199" s="12" t="s">
        <v>1268</v>
      </c>
      <c r="AB199" s="12"/>
    </row>
    <row r="200" spans="1:28" x14ac:dyDescent="0.3">
      <c r="A200" s="12" t="s">
        <v>2090</v>
      </c>
      <c r="B200" s="12" t="s">
        <v>104</v>
      </c>
      <c r="C200" s="12" t="s">
        <v>379</v>
      </c>
      <c r="D200" s="12" t="s">
        <v>2066</v>
      </c>
      <c r="E200" s="12" t="s">
        <v>1886</v>
      </c>
      <c r="F200" s="12" t="s">
        <v>1861</v>
      </c>
      <c r="G200" s="12" t="s">
        <v>1861</v>
      </c>
      <c r="H200" s="12" t="b">
        <v>1</v>
      </c>
      <c r="I200" s="12" t="b">
        <v>0</v>
      </c>
      <c r="J200" s="12" t="b">
        <v>1</v>
      </c>
      <c r="K200" s="12" t="b">
        <v>0</v>
      </c>
      <c r="L200" s="12">
        <v>623.15</v>
      </c>
      <c r="M200" s="12">
        <v>300.032917</v>
      </c>
      <c r="N200" s="12">
        <v>3000</v>
      </c>
      <c r="O200" s="12">
        <v>400</v>
      </c>
      <c r="P200" s="12">
        <v>0.5</v>
      </c>
      <c r="Q200" s="12">
        <v>0.85</v>
      </c>
      <c r="R200" s="12">
        <v>0.75</v>
      </c>
      <c r="S200" s="12">
        <v>0.81</v>
      </c>
      <c r="T200" s="12">
        <v>0.75</v>
      </c>
      <c r="U200" s="12">
        <v>0.8</v>
      </c>
      <c r="V200" s="12"/>
      <c r="W200" s="12">
        <v>13.046113854325769</v>
      </c>
      <c r="X200" s="12">
        <v>240.5204537741912</v>
      </c>
      <c r="Y200" s="12">
        <v>2600</v>
      </c>
      <c r="Z200" s="12">
        <v>7.5</v>
      </c>
      <c r="AA200" s="12" t="s">
        <v>1981</v>
      </c>
      <c r="AB200" s="12"/>
    </row>
    <row r="201" spans="1:28" x14ac:dyDescent="0.3">
      <c r="A201" s="12" t="s">
        <v>2091</v>
      </c>
      <c r="B201" s="12" t="s">
        <v>104</v>
      </c>
      <c r="C201" s="12" t="s">
        <v>379</v>
      </c>
      <c r="D201" s="12" t="s">
        <v>2066</v>
      </c>
      <c r="E201" s="12" t="s">
        <v>1886</v>
      </c>
      <c r="F201" s="12" t="s">
        <v>1861</v>
      </c>
      <c r="G201" s="12" t="s">
        <v>1861</v>
      </c>
      <c r="H201" s="12" t="b">
        <v>1</v>
      </c>
      <c r="I201" s="12" t="b">
        <v>0</v>
      </c>
      <c r="J201" s="12" t="b">
        <v>1</v>
      </c>
      <c r="K201" s="12" t="b">
        <v>0</v>
      </c>
      <c r="L201" s="12">
        <v>623.15</v>
      </c>
      <c r="M201" s="12">
        <v>300.032917</v>
      </c>
      <c r="N201" s="12">
        <v>3000</v>
      </c>
      <c r="O201" s="12">
        <v>545.4545454545455</v>
      </c>
      <c r="P201" s="12">
        <v>0.5</v>
      </c>
      <c r="Q201" s="12">
        <v>0.85</v>
      </c>
      <c r="R201" s="12">
        <v>0.75</v>
      </c>
      <c r="S201" s="12">
        <v>0.81</v>
      </c>
      <c r="T201" s="12">
        <v>0.75</v>
      </c>
      <c r="U201" s="12">
        <v>0.8</v>
      </c>
      <c r="V201" s="12"/>
      <c r="W201" s="12">
        <v>11.428287873565081</v>
      </c>
      <c r="X201" s="12">
        <v>211.06853740245441</v>
      </c>
      <c r="Y201" s="12">
        <v>2454.545454545455</v>
      </c>
      <c r="Z201" s="12">
        <v>5.5</v>
      </c>
      <c r="AA201" s="12" t="s">
        <v>1268</v>
      </c>
      <c r="AB201" s="12"/>
    </row>
    <row r="202" spans="1:28" x14ac:dyDescent="0.3">
      <c r="A202" s="12" t="s">
        <v>2092</v>
      </c>
      <c r="B202" s="12" t="s">
        <v>104</v>
      </c>
      <c r="C202" s="12" t="s">
        <v>379</v>
      </c>
      <c r="D202" s="12" t="s">
        <v>2066</v>
      </c>
      <c r="E202" s="12" t="s">
        <v>1886</v>
      </c>
      <c r="F202" s="12" t="s">
        <v>1861</v>
      </c>
      <c r="G202" s="12" t="s">
        <v>1861</v>
      </c>
      <c r="H202" s="12" t="b">
        <v>1</v>
      </c>
      <c r="I202" s="12" t="b">
        <v>0</v>
      </c>
      <c r="J202" s="12" t="b">
        <v>1</v>
      </c>
      <c r="K202" s="12" t="b">
        <v>0</v>
      </c>
      <c r="L202" s="12">
        <v>623.15</v>
      </c>
      <c r="M202" s="12">
        <v>300.032917</v>
      </c>
      <c r="N202" s="12">
        <v>3000</v>
      </c>
      <c r="O202" s="12">
        <v>690.90909090909099</v>
      </c>
      <c r="P202" s="12">
        <v>0.5</v>
      </c>
      <c r="Q202" s="12">
        <v>0.85</v>
      </c>
      <c r="R202" s="12">
        <v>0.75</v>
      </c>
      <c r="S202" s="12">
        <v>0.81</v>
      </c>
      <c r="T202" s="12">
        <v>0.75</v>
      </c>
      <c r="U202" s="12">
        <v>0.8</v>
      </c>
      <c r="V202" s="12"/>
      <c r="W202" s="12">
        <v>10.114380024753791</v>
      </c>
      <c r="X202" s="12">
        <v>186.9780110327473</v>
      </c>
      <c r="Y202" s="12">
        <v>2309.090909090909</v>
      </c>
      <c r="Z202" s="12">
        <v>4.3421052631578938</v>
      </c>
      <c r="AA202" s="12" t="s">
        <v>1268</v>
      </c>
      <c r="AB202" s="12"/>
    </row>
    <row r="203" spans="1:28" x14ac:dyDescent="0.3">
      <c r="A203" s="12" t="s">
        <v>2093</v>
      </c>
      <c r="B203" s="12" t="s">
        <v>104</v>
      </c>
      <c r="C203" s="12" t="s">
        <v>379</v>
      </c>
      <c r="D203" s="12" t="s">
        <v>2066</v>
      </c>
      <c r="E203" s="12" t="s">
        <v>1886</v>
      </c>
      <c r="F203" s="12" t="s">
        <v>1861</v>
      </c>
      <c r="G203" s="12" t="s">
        <v>1861</v>
      </c>
      <c r="H203" s="12" t="b">
        <v>1</v>
      </c>
      <c r="I203" s="12" t="b">
        <v>0</v>
      </c>
      <c r="J203" s="12" t="b">
        <v>1</v>
      </c>
      <c r="K203" s="12" t="b">
        <v>0</v>
      </c>
      <c r="L203" s="12">
        <v>623.15</v>
      </c>
      <c r="M203" s="12">
        <v>300.032917</v>
      </c>
      <c r="N203" s="12">
        <v>3000</v>
      </c>
      <c r="O203" s="12">
        <v>836.36363636363637</v>
      </c>
      <c r="P203" s="12">
        <v>0.5</v>
      </c>
      <c r="Q203" s="12">
        <v>0.85</v>
      </c>
      <c r="R203" s="12">
        <v>0.75</v>
      </c>
      <c r="S203" s="12">
        <v>0.81</v>
      </c>
      <c r="T203" s="12">
        <v>0.75</v>
      </c>
      <c r="U203" s="12">
        <v>0.8</v>
      </c>
      <c r="V203" s="12"/>
      <c r="W203" s="12">
        <v>8.9973105401286997</v>
      </c>
      <c r="X203" s="12">
        <v>166.40724009757949</v>
      </c>
      <c r="Y203" s="12">
        <v>2163.636363636364</v>
      </c>
      <c r="Z203" s="12">
        <v>3.5869565217391299</v>
      </c>
      <c r="AA203" s="12" t="s">
        <v>1268</v>
      </c>
      <c r="AB203" s="12"/>
    </row>
    <row r="204" spans="1:28" x14ac:dyDescent="0.3">
      <c r="A204" s="12" t="s">
        <v>2094</v>
      </c>
      <c r="B204" s="12" t="s">
        <v>104</v>
      </c>
      <c r="C204" s="12" t="s">
        <v>379</v>
      </c>
      <c r="D204" s="12" t="s">
        <v>2066</v>
      </c>
      <c r="E204" s="12" t="s">
        <v>1886</v>
      </c>
      <c r="F204" s="12" t="s">
        <v>1861</v>
      </c>
      <c r="G204" s="12" t="s">
        <v>1861</v>
      </c>
      <c r="H204" s="12" t="b">
        <v>1</v>
      </c>
      <c r="I204" s="12" t="b">
        <v>0</v>
      </c>
      <c r="J204" s="12" t="b">
        <v>1</v>
      </c>
      <c r="K204" s="12" t="b">
        <v>0</v>
      </c>
      <c r="L204" s="12">
        <v>623.15</v>
      </c>
      <c r="M204" s="12">
        <v>300.032917</v>
      </c>
      <c r="N204" s="12">
        <v>3000</v>
      </c>
      <c r="O204" s="12">
        <v>981.81818181818198</v>
      </c>
      <c r="P204" s="12">
        <v>0.5</v>
      </c>
      <c r="Q204" s="12">
        <v>0.85</v>
      </c>
      <c r="R204" s="12">
        <v>0.75</v>
      </c>
      <c r="S204" s="12">
        <v>0.81</v>
      </c>
      <c r="T204" s="12">
        <v>0.75</v>
      </c>
      <c r="U204" s="12">
        <v>0.8</v>
      </c>
      <c r="V204" s="12"/>
      <c r="W204" s="12">
        <v>8.0193535121649706</v>
      </c>
      <c r="X204" s="12">
        <v>148.3486718312671</v>
      </c>
      <c r="Y204" s="12">
        <v>2018.181818181818</v>
      </c>
      <c r="Z204" s="12">
        <v>3.0555555555555549</v>
      </c>
      <c r="AA204" s="12" t="s">
        <v>1268</v>
      </c>
      <c r="AB204" s="12"/>
    </row>
    <row r="205" spans="1:28" x14ac:dyDescent="0.3">
      <c r="A205" s="12" t="s">
        <v>2095</v>
      </c>
      <c r="B205" s="12" t="s">
        <v>104</v>
      </c>
      <c r="C205" s="12" t="s">
        <v>379</v>
      </c>
      <c r="D205" s="12" t="s">
        <v>2066</v>
      </c>
      <c r="E205" s="12" t="s">
        <v>1886</v>
      </c>
      <c r="F205" s="12" t="s">
        <v>1861</v>
      </c>
      <c r="G205" s="12" t="s">
        <v>1861</v>
      </c>
      <c r="H205" s="12" t="b">
        <v>1</v>
      </c>
      <c r="I205" s="12" t="b">
        <v>0</v>
      </c>
      <c r="J205" s="12" t="b">
        <v>1</v>
      </c>
      <c r="K205" s="12" t="b">
        <v>0</v>
      </c>
      <c r="L205" s="12">
        <v>623.15</v>
      </c>
      <c r="M205" s="12">
        <v>300.032917</v>
      </c>
      <c r="N205" s="12">
        <v>3000</v>
      </c>
      <c r="O205" s="12">
        <v>1127.2727272727279</v>
      </c>
      <c r="P205" s="12">
        <v>0.5</v>
      </c>
      <c r="Q205" s="12">
        <v>0.85</v>
      </c>
      <c r="R205" s="12">
        <v>0.75</v>
      </c>
      <c r="S205" s="12">
        <v>0.81</v>
      </c>
      <c r="T205" s="12">
        <v>0.75</v>
      </c>
      <c r="U205" s="12">
        <v>0.8</v>
      </c>
      <c r="V205" s="12"/>
      <c r="W205" s="12">
        <v>7.1455552084337404</v>
      </c>
      <c r="X205" s="12">
        <v>132.1854770973047</v>
      </c>
      <c r="Y205" s="12">
        <v>1872.7272727272721</v>
      </c>
      <c r="Z205" s="12">
        <v>2.6612903225806441</v>
      </c>
      <c r="AA205" s="12" t="s">
        <v>1268</v>
      </c>
      <c r="AB205" s="12"/>
    </row>
    <row r="206" spans="1:28" x14ac:dyDescent="0.3">
      <c r="A206" s="12" t="s">
        <v>2096</v>
      </c>
      <c r="B206" s="12" t="s">
        <v>104</v>
      </c>
      <c r="C206" s="12" t="s">
        <v>379</v>
      </c>
      <c r="D206" s="12" t="s">
        <v>2066</v>
      </c>
      <c r="E206" s="12" t="s">
        <v>1886</v>
      </c>
      <c r="F206" s="12" t="s">
        <v>1861</v>
      </c>
      <c r="G206" s="12" t="s">
        <v>1861</v>
      </c>
      <c r="H206" s="12" t="b">
        <v>1</v>
      </c>
      <c r="I206" s="12" t="b">
        <v>0</v>
      </c>
      <c r="J206" s="12" t="b">
        <v>1</v>
      </c>
      <c r="K206" s="12" t="b">
        <v>0</v>
      </c>
      <c r="L206" s="12">
        <v>623.15</v>
      </c>
      <c r="M206" s="12">
        <v>300.032917</v>
      </c>
      <c r="N206" s="12">
        <v>3000</v>
      </c>
      <c r="O206" s="12">
        <v>1272.727272727273</v>
      </c>
      <c r="P206" s="12">
        <v>0.5</v>
      </c>
      <c r="Q206" s="12">
        <v>0.85</v>
      </c>
      <c r="R206" s="12">
        <v>0.75</v>
      </c>
      <c r="S206" s="12">
        <v>0.81</v>
      </c>
      <c r="T206" s="12">
        <v>0.75</v>
      </c>
      <c r="U206" s="12">
        <v>0.8</v>
      </c>
      <c r="V206" s="12"/>
      <c r="W206" s="12">
        <v>6.3530207816808204</v>
      </c>
      <c r="X206" s="12">
        <v>117.5101168376202</v>
      </c>
      <c r="Y206" s="12">
        <v>1727.272727272727</v>
      </c>
      <c r="Z206" s="12">
        <v>2.3571428571428572</v>
      </c>
      <c r="AA206" s="12" t="s">
        <v>1268</v>
      </c>
      <c r="AB206" s="12"/>
    </row>
    <row r="207" spans="1:28" x14ac:dyDescent="0.3">
      <c r="A207" s="12" t="s">
        <v>2097</v>
      </c>
      <c r="B207" s="12" t="s">
        <v>104</v>
      </c>
      <c r="C207" s="12" t="s">
        <v>379</v>
      </c>
      <c r="D207" s="12" t="s">
        <v>2066</v>
      </c>
      <c r="E207" s="12" t="s">
        <v>1886</v>
      </c>
      <c r="F207" s="12" t="s">
        <v>1861</v>
      </c>
      <c r="G207" s="12" t="s">
        <v>1861</v>
      </c>
      <c r="H207" s="12" t="b">
        <v>1</v>
      </c>
      <c r="I207" s="12" t="b">
        <v>0</v>
      </c>
      <c r="J207" s="12" t="b">
        <v>1</v>
      </c>
      <c r="K207" s="12" t="b">
        <v>0</v>
      </c>
      <c r="L207" s="12">
        <v>623.15</v>
      </c>
      <c r="M207" s="12">
        <v>300.032917</v>
      </c>
      <c r="N207" s="12">
        <v>3000</v>
      </c>
      <c r="O207" s="12">
        <v>1418.181818181818</v>
      </c>
      <c r="P207" s="12">
        <v>0.5</v>
      </c>
      <c r="Q207" s="12">
        <v>0.85</v>
      </c>
      <c r="R207" s="12">
        <v>0.75</v>
      </c>
      <c r="S207" s="12">
        <v>0.81</v>
      </c>
      <c r="T207" s="12">
        <v>0.75</v>
      </c>
      <c r="U207" s="12">
        <v>0.8</v>
      </c>
      <c r="V207" s="12"/>
      <c r="W207" s="12">
        <v>5.6258755686389401</v>
      </c>
      <c r="X207" s="12">
        <v>104.03800921699739</v>
      </c>
      <c r="Y207" s="12">
        <v>1581.818181818182</v>
      </c>
      <c r="Z207" s="12">
        <v>2.115384615384615</v>
      </c>
      <c r="AA207" s="12" t="s">
        <v>1268</v>
      </c>
      <c r="AB207" s="12"/>
    </row>
    <row r="208" spans="1:28" x14ac:dyDescent="0.3">
      <c r="A208" s="12" t="s">
        <v>2098</v>
      </c>
      <c r="B208" s="12" t="s">
        <v>104</v>
      </c>
      <c r="C208" s="12" t="s">
        <v>379</v>
      </c>
      <c r="D208" s="12" t="s">
        <v>2066</v>
      </c>
      <c r="E208" s="12" t="s">
        <v>1886</v>
      </c>
      <c r="F208" s="12" t="s">
        <v>1861</v>
      </c>
      <c r="G208" s="12" t="s">
        <v>1861</v>
      </c>
      <c r="H208" s="12" t="b">
        <v>1</v>
      </c>
      <c r="I208" s="12" t="b">
        <v>0</v>
      </c>
      <c r="J208" s="12" t="b">
        <v>1</v>
      </c>
      <c r="K208" s="12" t="b">
        <v>0</v>
      </c>
      <c r="L208" s="12">
        <v>623.15</v>
      </c>
      <c r="M208" s="12">
        <v>300.032917</v>
      </c>
      <c r="N208" s="12">
        <v>3000</v>
      </c>
      <c r="O208" s="12">
        <v>1563.636363636364</v>
      </c>
      <c r="P208" s="12">
        <v>0.5</v>
      </c>
      <c r="Q208" s="12">
        <v>0.85</v>
      </c>
      <c r="R208" s="12">
        <v>0.75</v>
      </c>
      <c r="S208" s="12">
        <v>0.81</v>
      </c>
      <c r="T208" s="12">
        <v>0.75</v>
      </c>
      <c r="U208" s="12">
        <v>0.8</v>
      </c>
      <c r="V208" s="12"/>
      <c r="W208" s="12">
        <v>4.9526247505326202</v>
      </c>
      <c r="X208" s="12">
        <v>91.561863610675317</v>
      </c>
      <c r="Y208" s="12">
        <v>1436.363636363636</v>
      </c>
      <c r="Z208" s="12">
        <v>1.918604651162791</v>
      </c>
      <c r="AA208" s="12" t="s">
        <v>1268</v>
      </c>
      <c r="AB208" s="12"/>
    </row>
    <row r="209" spans="1:28" x14ac:dyDescent="0.3">
      <c r="A209" s="12" t="s">
        <v>2099</v>
      </c>
      <c r="B209" s="12" t="s">
        <v>104</v>
      </c>
      <c r="C209" s="12" t="s">
        <v>379</v>
      </c>
      <c r="D209" s="12" t="s">
        <v>2066</v>
      </c>
      <c r="E209" s="12" t="s">
        <v>1886</v>
      </c>
      <c r="F209" s="12" t="s">
        <v>1861</v>
      </c>
      <c r="G209" s="12" t="s">
        <v>1861</v>
      </c>
      <c r="H209" s="12" t="b">
        <v>1</v>
      </c>
      <c r="I209" s="12" t="b">
        <v>0</v>
      </c>
      <c r="J209" s="12" t="b">
        <v>1</v>
      </c>
      <c r="K209" s="12" t="b">
        <v>0</v>
      </c>
      <c r="L209" s="12">
        <v>623.15</v>
      </c>
      <c r="M209" s="12">
        <v>300.032917</v>
      </c>
      <c r="N209" s="12">
        <v>3000</v>
      </c>
      <c r="O209" s="12">
        <v>1709.090909090909</v>
      </c>
      <c r="P209" s="12">
        <v>0.5</v>
      </c>
      <c r="Q209" s="12">
        <v>0.85</v>
      </c>
      <c r="R209" s="12">
        <v>0.75</v>
      </c>
      <c r="S209" s="12">
        <v>0.81</v>
      </c>
      <c r="T209" s="12">
        <v>0.75</v>
      </c>
      <c r="U209" s="12">
        <v>0.8</v>
      </c>
      <c r="V209" s="12"/>
      <c r="W209" s="12">
        <v>4.3246561975807003</v>
      </c>
      <c r="X209" s="12">
        <v>79.92558408542773</v>
      </c>
      <c r="Y209" s="12">
        <v>1290.909090909091</v>
      </c>
      <c r="Z209" s="12">
        <v>1.7553191489361699</v>
      </c>
      <c r="AA209" s="12" t="s">
        <v>1268</v>
      </c>
      <c r="AB209" s="12"/>
    </row>
    <row r="210" spans="1:28" x14ac:dyDescent="0.3">
      <c r="A210" s="12" t="s">
        <v>2100</v>
      </c>
      <c r="B210" s="12" t="s">
        <v>104</v>
      </c>
      <c r="C210" s="12" t="s">
        <v>379</v>
      </c>
      <c r="D210" s="12" t="s">
        <v>2066</v>
      </c>
      <c r="E210" s="12" t="s">
        <v>1886</v>
      </c>
      <c r="F210" s="12" t="s">
        <v>1861</v>
      </c>
      <c r="G210" s="12" t="s">
        <v>1861</v>
      </c>
      <c r="H210" s="12" t="b">
        <v>1</v>
      </c>
      <c r="I210" s="12" t="b">
        <v>0</v>
      </c>
      <c r="J210" s="12" t="b">
        <v>1</v>
      </c>
      <c r="K210" s="12" t="b">
        <v>0</v>
      </c>
      <c r="L210" s="12">
        <v>623.15</v>
      </c>
      <c r="M210" s="12">
        <v>300.032917</v>
      </c>
      <c r="N210" s="12">
        <v>3000</v>
      </c>
      <c r="O210" s="12">
        <v>1854.545454545455</v>
      </c>
      <c r="P210" s="12">
        <v>0.5</v>
      </c>
      <c r="Q210" s="12">
        <v>0.85</v>
      </c>
      <c r="R210" s="12">
        <v>0.75</v>
      </c>
      <c r="S210" s="12">
        <v>0.81</v>
      </c>
      <c r="T210" s="12">
        <v>0.75</v>
      </c>
      <c r="U210" s="12">
        <v>0.8</v>
      </c>
      <c r="V210" s="12"/>
      <c r="W210" s="12">
        <v>3.7353393604470999</v>
      </c>
      <c r="X210" s="12">
        <v>69.008461891231661</v>
      </c>
      <c r="Y210" s="12">
        <v>1145.454545454545</v>
      </c>
      <c r="Z210" s="12">
        <v>1.617647058823529</v>
      </c>
      <c r="AA210" s="12" t="s">
        <v>1268</v>
      </c>
      <c r="AB210" s="12"/>
    </row>
    <row r="211" spans="1:28" x14ac:dyDescent="0.3">
      <c r="A211" s="12" t="s">
        <v>2101</v>
      </c>
      <c r="B211" s="12" t="s">
        <v>104</v>
      </c>
      <c r="C211" s="12" t="s">
        <v>379</v>
      </c>
      <c r="D211" s="12" t="s">
        <v>2066</v>
      </c>
      <c r="E211" s="12" t="s">
        <v>1886</v>
      </c>
      <c r="F211" s="12" t="s">
        <v>1861</v>
      </c>
      <c r="G211" s="12" t="s">
        <v>1861</v>
      </c>
      <c r="H211" s="12" t="b">
        <v>1</v>
      </c>
      <c r="I211" s="12" t="b">
        <v>0</v>
      </c>
      <c r="J211" s="12" t="b">
        <v>1</v>
      </c>
      <c r="K211" s="12" t="b">
        <v>0</v>
      </c>
      <c r="L211" s="12">
        <v>623.15</v>
      </c>
      <c r="M211" s="12">
        <v>300.032917</v>
      </c>
      <c r="N211" s="12">
        <v>3000</v>
      </c>
      <c r="O211" s="12">
        <v>2000</v>
      </c>
      <c r="P211" s="12">
        <v>0.5</v>
      </c>
      <c r="Q211" s="12">
        <v>0.85</v>
      </c>
      <c r="R211" s="12">
        <v>0.75</v>
      </c>
      <c r="S211" s="12">
        <v>0.81</v>
      </c>
      <c r="T211" s="12">
        <v>0.75</v>
      </c>
      <c r="U211" s="12">
        <v>0.8</v>
      </c>
      <c r="V211" s="12"/>
      <c r="W211" s="12">
        <v>3.1794500687284302</v>
      </c>
      <c r="X211" s="12">
        <v>58.715024371916911</v>
      </c>
      <c r="Y211" s="12">
        <v>1000</v>
      </c>
      <c r="Z211" s="12">
        <v>1.5</v>
      </c>
      <c r="AA211" s="12" t="s">
        <v>1268</v>
      </c>
      <c r="AB211" s="12"/>
    </row>
    <row r="212" spans="1:28" x14ac:dyDescent="0.3">
      <c r="A212" s="12" t="s">
        <v>2102</v>
      </c>
      <c r="B212" s="12" t="s">
        <v>104</v>
      </c>
      <c r="C212" s="12" t="s">
        <v>382</v>
      </c>
      <c r="D212" s="12" t="s">
        <v>2103</v>
      </c>
      <c r="E212" s="12" t="s">
        <v>1886</v>
      </c>
      <c r="F212" s="12" t="s">
        <v>1863</v>
      </c>
      <c r="G212" s="12" t="s">
        <v>832</v>
      </c>
      <c r="H212" s="12" t="b">
        <v>0</v>
      </c>
      <c r="I212" s="12" t="b">
        <v>0</v>
      </c>
      <c r="J212" s="12" t="b">
        <v>0</v>
      </c>
      <c r="K212" s="12" t="b">
        <v>0</v>
      </c>
      <c r="L212" s="12">
        <v>380</v>
      </c>
      <c r="M212" s="12">
        <v>300.032917</v>
      </c>
      <c r="N212" s="12">
        <v>3000</v>
      </c>
      <c r="O212" s="12">
        <v>400</v>
      </c>
      <c r="P212" s="12">
        <v>0.5</v>
      </c>
      <c r="Q212" s="12">
        <v>0.85</v>
      </c>
      <c r="R212" s="12">
        <v>0.75</v>
      </c>
      <c r="S212" s="12">
        <v>0.85</v>
      </c>
      <c r="T212" s="12">
        <v>0.75</v>
      </c>
      <c r="U212" s="12">
        <v>0.8</v>
      </c>
      <c r="V212" s="12"/>
      <c r="W212" s="12">
        <v>-45.927871938625209</v>
      </c>
      <c r="X212" s="12">
        <v>-28.399233217248469</v>
      </c>
      <c r="Y212" s="12">
        <v>2600</v>
      </c>
      <c r="Z212" s="12">
        <v>7.5</v>
      </c>
      <c r="AA212" s="12" t="s">
        <v>2018</v>
      </c>
      <c r="AB212" s="12"/>
    </row>
    <row r="213" spans="1:28" x14ac:dyDescent="0.3">
      <c r="A213" s="12" t="s">
        <v>2104</v>
      </c>
      <c r="B213" s="12" t="s">
        <v>104</v>
      </c>
      <c r="C213" s="12" t="s">
        <v>382</v>
      </c>
      <c r="D213" s="12" t="s">
        <v>2103</v>
      </c>
      <c r="E213" s="12" t="s">
        <v>1886</v>
      </c>
      <c r="F213" s="12" t="s">
        <v>1863</v>
      </c>
      <c r="G213" s="12" t="s">
        <v>832</v>
      </c>
      <c r="H213" s="12" t="b">
        <v>0</v>
      </c>
      <c r="I213" s="12" t="b">
        <v>0</v>
      </c>
      <c r="J213" s="12" t="b">
        <v>0</v>
      </c>
      <c r="K213" s="12" t="b">
        <v>0</v>
      </c>
      <c r="L213" s="12">
        <v>380</v>
      </c>
      <c r="M213" s="12">
        <v>300.032917</v>
      </c>
      <c r="N213" s="12">
        <v>3000</v>
      </c>
      <c r="O213" s="12">
        <v>1127.2727272727279</v>
      </c>
      <c r="P213" s="12">
        <v>0.5</v>
      </c>
      <c r="Q213" s="12">
        <v>0.85</v>
      </c>
      <c r="R213" s="12">
        <v>0.75</v>
      </c>
      <c r="S213" s="12">
        <v>0.85</v>
      </c>
      <c r="T213" s="12">
        <v>0.75</v>
      </c>
      <c r="U213" s="12">
        <v>0.8</v>
      </c>
      <c r="V213" s="12"/>
      <c r="W213" s="12">
        <v>-25.182792153982199</v>
      </c>
      <c r="X213" s="12">
        <v>-15.6998782847889</v>
      </c>
      <c r="Y213" s="12">
        <v>1872.7272727272721</v>
      </c>
      <c r="Z213" s="12">
        <v>2.6612903225806441</v>
      </c>
      <c r="AA213" s="12" t="s">
        <v>2018</v>
      </c>
      <c r="AB213" s="12"/>
    </row>
    <row r="214" spans="1:28" x14ac:dyDescent="0.3">
      <c r="A214" s="12" t="s">
        <v>2105</v>
      </c>
      <c r="B214" s="12" t="s">
        <v>104</v>
      </c>
      <c r="C214" s="12" t="s">
        <v>382</v>
      </c>
      <c r="D214" s="12" t="s">
        <v>2103</v>
      </c>
      <c r="E214" s="12" t="s">
        <v>1886</v>
      </c>
      <c r="F214" s="12" t="s">
        <v>1863</v>
      </c>
      <c r="G214" s="12" t="s">
        <v>832</v>
      </c>
      <c r="H214" s="12" t="b">
        <v>0</v>
      </c>
      <c r="I214" s="12" t="b">
        <v>0</v>
      </c>
      <c r="J214" s="12" t="b">
        <v>0</v>
      </c>
      <c r="K214" s="12" t="b">
        <v>0</v>
      </c>
      <c r="L214" s="12">
        <v>380</v>
      </c>
      <c r="M214" s="12">
        <v>300.032917</v>
      </c>
      <c r="N214" s="12">
        <v>3000</v>
      </c>
      <c r="O214" s="12">
        <v>545.4545454545455</v>
      </c>
      <c r="P214" s="12">
        <v>0.5</v>
      </c>
      <c r="Q214" s="12">
        <v>0.85</v>
      </c>
      <c r="R214" s="12">
        <v>0.75</v>
      </c>
      <c r="S214" s="12">
        <v>0.85</v>
      </c>
      <c r="T214" s="12">
        <v>0.75</v>
      </c>
      <c r="U214" s="12">
        <v>0.8</v>
      </c>
      <c r="V214" s="12"/>
      <c r="W214" s="12">
        <v>-40.191226612307062</v>
      </c>
      <c r="X214" s="12">
        <v>-24.905951123320602</v>
      </c>
      <c r="Y214" s="12">
        <v>2454.545454545455</v>
      </c>
      <c r="Z214" s="12">
        <v>5.5</v>
      </c>
      <c r="AA214" s="12" t="s">
        <v>2018</v>
      </c>
      <c r="AB214" s="12"/>
    </row>
    <row r="215" spans="1:28" x14ac:dyDescent="0.3">
      <c r="A215" s="12" t="s">
        <v>2106</v>
      </c>
      <c r="B215" s="12" t="s">
        <v>104</v>
      </c>
      <c r="C215" s="12" t="s">
        <v>382</v>
      </c>
      <c r="D215" s="12" t="s">
        <v>2103</v>
      </c>
      <c r="E215" s="12" t="s">
        <v>1886</v>
      </c>
      <c r="F215" s="12" t="s">
        <v>1863</v>
      </c>
      <c r="G215" s="12" t="s">
        <v>832</v>
      </c>
      <c r="H215" s="12" t="b">
        <v>0</v>
      </c>
      <c r="I215" s="12" t="b">
        <v>0</v>
      </c>
      <c r="J215" s="12" t="b">
        <v>0</v>
      </c>
      <c r="K215" s="12" t="b">
        <v>0</v>
      </c>
      <c r="L215" s="12">
        <v>380</v>
      </c>
      <c r="M215" s="12">
        <v>300.032917</v>
      </c>
      <c r="N215" s="12">
        <v>3000</v>
      </c>
      <c r="O215" s="12">
        <v>836.36363636363637</v>
      </c>
      <c r="P215" s="12">
        <v>0.5</v>
      </c>
      <c r="Q215" s="12">
        <v>0.85</v>
      </c>
      <c r="R215" s="12">
        <v>0.75</v>
      </c>
      <c r="S215" s="12">
        <v>0.85</v>
      </c>
      <c r="T215" s="12">
        <v>0.75</v>
      </c>
      <c r="U215" s="12">
        <v>0.8</v>
      </c>
      <c r="V215" s="12"/>
      <c r="W215" s="12">
        <v>-31.65859509535214</v>
      </c>
      <c r="X215" s="12">
        <v>-19.684409961133639</v>
      </c>
      <c r="Y215" s="12">
        <v>2163.636363636364</v>
      </c>
      <c r="Z215" s="12">
        <v>3.5869565217391299</v>
      </c>
      <c r="AA215" s="12" t="s">
        <v>2018</v>
      </c>
      <c r="AB215" s="12"/>
    </row>
    <row r="216" spans="1:28" x14ac:dyDescent="0.3">
      <c r="A216" s="12" t="s">
        <v>2107</v>
      </c>
      <c r="B216" s="12" t="s">
        <v>104</v>
      </c>
      <c r="C216" s="12" t="s">
        <v>382</v>
      </c>
      <c r="D216" s="12" t="s">
        <v>2103</v>
      </c>
      <c r="E216" s="12" t="s">
        <v>1886</v>
      </c>
      <c r="F216" s="12" t="s">
        <v>1863</v>
      </c>
      <c r="G216" s="12" t="s">
        <v>832</v>
      </c>
      <c r="H216" s="12" t="b">
        <v>0</v>
      </c>
      <c r="I216" s="12" t="b">
        <v>0</v>
      </c>
      <c r="J216" s="12" t="b">
        <v>0</v>
      </c>
      <c r="K216" s="12" t="b">
        <v>0</v>
      </c>
      <c r="L216" s="12">
        <v>380</v>
      </c>
      <c r="M216" s="12">
        <v>300.032917</v>
      </c>
      <c r="N216" s="12">
        <v>3000</v>
      </c>
      <c r="O216" s="12">
        <v>981.81818181818198</v>
      </c>
      <c r="P216" s="12">
        <v>0.5</v>
      </c>
      <c r="Q216" s="12">
        <v>0.85</v>
      </c>
      <c r="R216" s="12">
        <v>0.75</v>
      </c>
      <c r="S216" s="12">
        <v>0.85</v>
      </c>
      <c r="T216" s="12">
        <v>0.75</v>
      </c>
      <c r="U216" s="12">
        <v>0.8</v>
      </c>
      <c r="V216" s="12"/>
      <c r="W216" s="12">
        <v>-28.238118882382359</v>
      </c>
      <c r="X216" s="12">
        <v>-17.582222302450511</v>
      </c>
      <c r="Y216" s="12">
        <v>2018.181818181818</v>
      </c>
      <c r="Z216" s="12">
        <v>3.0555555555555549</v>
      </c>
      <c r="AA216" s="12" t="s">
        <v>2018</v>
      </c>
      <c r="AB216" s="12"/>
    </row>
    <row r="217" spans="1:28" x14ac:dyDescent="0.3">
      <c r="A217" s="12" t="s">
        <v>2108</v>
      </c>
      <c r="B217" s="12" t="s">
        <v>104</v>
      </c>
      <c r="C217" s="12" t="s">
        <v>382</v>
      </c>
      <c r="D217" s="12" t="s">
        <v>2103</v>
      </c>
      <c r="E217" s="12" t="s">
        <v>1886</v>
      </c>
      <c r="F217" s="12" t="s">
        <v>1863</v>
      </c>
      <c r="G217" s="12" t="s">
        <v>832</v>
      </c>
      <c r="H217" s="12" t="b">
        <v>0</v>
      </c>
      <c r="I217" s="12" t="b">
        <v>0</v>
      </c>
      <c r="J217" s="12" t="b">
        <v>0</v>
      </c>
      <c r="K217" s="12" t="b">
        <v>0</v>
      </c>
      <c r="L217" s="12">
        <v>380</v>
      </c>
      <c r="M217" s="12">
        <v>300.032917</v>
      </c>
      <c r="N217" s="12">
        <v>3000</v>
      </c>
      <c r="O217" s="12">
        <v>690.90909090909099</v>
      </c>
      <c r="P217" s="12">
        <v>0.5</v>
      </c>
      <c r="Q217" s="12">
        <v>0.85</v>
      </c>
      <c r="R217" s="12">
        <v>0.75</v>
      </c>
      <c r="S217" s="12">
        <v>0.85</v>
      </c>
      <c r="T217" s="12">
        <v>0.75</v>
      </c>
      <c r="U217" s="12">
        <v>0.8</v>
      </c>
      <c r="V217" s="12"/>
      <c r="W217" s="12">
        <v>-35.571404341705978</v>
      </c>
      <c r="X217" s="12">
        <v>-22.082760518920779</v>
      </c>
      <c r="Y217" s="12">
        <v>2309.090909090909</v>
      </c>
      <c r="Z217" s="12">
        <v>4.3421052631578938</v>
      </c>
      <c r="AA217" s="12" t="s">
        <v>2018</v>
      </c>
      <c r="AB217" s="12"/>
    </row>
    <row r="218" spans="1:28" x14ac:dyDescent="0.3">
      <c r="A218" s="12" t="s">
        <v>2109</v>
      </c>
      <c r="B218" s="12" t="s">
        <v>104</v>
      </c>
      <c r="C218" s="12" t="s">
        <v>382</v>
      </c>
      <c r="D218" s="12" t="s">
        <v>2103</v>
      </c>
      <c r="E218" s="12" t="s">
        <v>1886</v>
      </c>
      <c r="F218" s="12" t="s">
        <v>1863</v>
      </c>
      <c r="G218" s="12" t="s">
        <v>832</v>
      </c>
      <c r="H218" s="12" t="b">
        <v>0</v>
      </c>
      <c r="I218" s="12" t="b">
        <v>0</v>
      </c>
      <c r="J218" s="12" t="b">
        <v>0</v>
      </c>
      <c r="K218" s="12" t="b">
        <v>0</v>
      </c>
      <c r="L218" s="12">
        <v>380</v>
      </c>
      <c r="M218" s="12">
        <v>300.032917</v>
      </c>
      <c r="N218" s="12">
        <v>3000</v>
      </c>
      <c r="O218" s="12">
        <v>1272.727272727273</v>
      </c>
      <c r="P218" s="12">
        <v>0.5</v>
      </c>
      <c r="Q218" s="12">
        <v>0.85</v>
      </c>
      <c r="R218" s="12">
        <v>0.75</v>
      </c>
      <c r="S218" s="12">
        <v>0.85</v>
      </c>
      <c r="T218" s="12">
        <v>0.75</v>
      </c>
      <c r="U218" s="12">
        <v>0.8</v>
      </c>
      <c r="V218" s="12"/>
      <c r="W218" s="12">
        <v>-22.410539217235922</v>
      </c>
      <c r="X218" s="12">
        <v>-13.988079844389119</v>
      </c>
      <c r="Y218" s="12">
        <v>1727.272727272727</v>
      </c>
      <c r="Z218" s="12">
        <v>2.3571428571428572</v>
      </c>
      <c r="AA218" s="12" t="s">
        <v>2018</v>
      </c>
      <c r="AB218" s="12"/>
    </row>
    <row r="219" spans="1:28" x14ac:dyDescent="0.3">
      <c r="A219" s="12" t="s">
        <v>2110</v>
      </c>
      <c r="B219" s="12" t="s">
        <v>104</v>
      </c>
      <c r="C219" s="12" t="s">
        <v>382</v>
      </c>
      <c r="D219" s="12" t="s">
        <v>2103</v>
      </c>
      <c r="E219" s="12" t="s">
        <v>1886</v>
      </c>
      <c r="F219" s="12" t="s">
        <v>1863</v>
      </c>
      <c r="G219" s="12" t="s">
        <v>832</v>
      </c>
      <c r="H219" s="12" t="b">
        <v>0</v>
      </c>
      <c r="I219" s="12" t="b">
        <v>0</v>
      </c>
      <c r="J219" s="12" t="b">
        <v>0</v>
      </c>
      <c r="K219" s="12" t="b">
        <v>0</v>
      </c>
      <c r="L219" s="12">
        <v>380</v>
      </c>
      <c r="M219" s="12">
        <v>300.032917</v>
      </c>
      <c r="N219" s="12">
        <v>3000</v>
      </c>
      <c r="O219" s="12">
        <v>1418.181818181818</v>
      </c>
      <c r="P219" s="12">
        <v>0.5</v>
      </c>
      <c r="Q219" s="12">
        <v>0.85</v>
      </c>
      <c r="R219" s="12">
        <v>0.75</v>
      </c>
      <c r="S219" s="12">
        <v>0.85</v>
      </c>
      <c r="T219" s="12">
        <v>0.75</v>
      </c>
      <c r="U219" s="12">
        <v>0.8</v>
      </c>
      <c r="V219" s="12"/>
      <c r="W219" s="12">
        <v>-19.86498657033729</v>
      </c>
      <c r="X219" s="12">
        <v>-12.41293766512589</v>
      </c>
      <c r="Y219" s="12">
        <v>1581.818181818182</v>
      </c>
      <c r="Z219" s="12">
        <v>2.115384615384615</v>
      </c>
      <c r="AA219" s="12" t="s">
        <v>2018</v>
      </c>
      <c r="AB219" s="12"/>
    </row>
    <row r="220" spans="1:28" x14ac:dyDescent="0.3">
      <c r="A220" s="12" t="s">
        <v>2111</v>
      </c>
      <c r="B220" s="12" t="s">
        <v>104</v>
      </c>
      <c r="C220" s="12" t="s">
        <v>382</v>
      </c>
      <c r="D220" s="12" t="s">
        <v>2103</v>
      </c>
      <c r="E220" s="12" t="s">
        <v>1886</v>
      </c>
      <c r="F220" s="12" t="s">
        <v>1863</v>
      </c>
      <c r="G220" s="12" t="s">
        <v>832</v>
      </c>
      <c r="H220" s="12" t="b">
        <v>0</v>
      </c>
      <c r="I220" s="12" t="b">
        <v>0</v>
      </c>
      <c r="J220" s="12" t="b">
        <v>0</v>
      </c>
      <c r="K220" s="12" t="b">
        <v>0</v>
      </c>
      <c r="L220" s="12">
        <v>380</v>
      </c>
      <c r="M220" s="12">
        <v>300.032917</v>
      </c>
      <c r="N220" s="12">
        <v>3000</v>
      </c>
      <c r="O220" s="12">
        <v>1563.636363636364</v>
      </c>
      <c r="P220" s="12">
        <v>0.5</v>
      </c>
      <c r="Q220" s="12">
        <v>0.85</v>
      </c>
      <c r="R220" s="12">
        <v>0.75</v>
      </c>
      <c r="S220" s="12">
        <v>0.85</v>
      </c>
      <c r="T220" s="12">
        <v>0.75</v>
      </c>
      <c r="U220" s="12">
        <v>0.8</v>
      </c>
      <c r="V220" s="12"/>
      <c r="W220" s="12">
        <v>-17.50555563379363</v>
      </c>
      <c r="X220" s="12">
        <v>-10.9500397031226</v>
      </c>
      <c r="Y220" s="12">
        <v>1436.363636363636</v>
      </c>
      <c r="Z220" s="12">
        <v>1.918604651162791</v>
      </c>
      <c r="AA220" s="12" t="s">
        <v>2018</v>
      </c>
      <c r="AB220" s="12"/>
    </row>
    <row r="221" spans="1:28" x14ac:dyDescent="0.3">
      <c r="A221" s="12" t="s">
        <v>2112</v>
      </c>
      <c r="B221" s="12" t="s">
        <v>104</v>
      </c>
      <c r="C221" s="12" t="s">
        <v>382</v>
      </c>
      <c r="D221" s="12" t="s">
        <v>2103</v>
      </c>
      <c r="E221" s="12" t="s">
        <v>1886</v>
      </c>
      <c r="F221" s="12" t="s">
        <v>1863</v>
      </c>
      <c r="G221" s="12" t="s">
        <v>832</v>
      </c>
      <c r="H221" s="12" t="b">
        <v>0</v>
      </c>
      <c r="I221" s="12" t="b">
        <v>0</v>
      </c>
      <c r="J221" s="12" t="b">
        <v>0</v>
      </c>
      <c r="K221" s="12" t="b">
        <v>0</v>
      </c>
      <c r="L221" s="12">
        <v>380</v>
      </c>
      <c r="M221" s="12">
        <v>300.032917</v>
      </c>
      <c r="N221" s="12">
        <v>3000</v>
      </c>
      <c r="O221" s="12">
        <v>1854.545454545455</v>
      </c>
      <c r="P221" s="12">
        <v>0.5</v>
      </c>
      <c r="Q221" s="12">
        <v>0.85</v>
      </c>
      <c r="R221" s="12">
        <v>0.75</v>
      </c>
      <c r="S221" s="12">
        <v>0.85</v>
      </c>
      <c r="T221" s="12">
        <v>0.75</v>
      </c>
      <c r="U221" s="12">
        <v>0.8</v>
      </c>
      <c r="V221" s="12"/>
      <c r="W221" s="12">
        <v>-13.23095201093067</v>
      </c>
      <c r="X221" s="12">
        <v>-8.2922672516120635</v>
      </c>
      <c r="Y221" s="12">
        <v>1145.454545454545</v>
      </c>
      <c r="Z221" s="12">
        <v>1.617647058823529</v>
      </c>
      <c r="AA221" s="12" t="s">
        <v>2018</v>
      </c>
      <c r="AB221" s="12"/>
    </row>
    <row r="222" spans="1:28" x14ac:dyDescent="0.3">
      <c r="A222" s="12" t="s">
        <v>2113</v>
      </c>
      <c r="B222" s="12" t="s">
        <v>104</v>
      </c>
      <c r="C222" s="12" t="s">
        <v>382</v>
      </c>
      <c r="D222" s="12" t="s">
        <v>2103</v>
      </c>
      <c r="E222" s="12" t="s">
        <v>1886</v>
      </c>
      <c r="F222" s="12" t="s">
        <v>1863</v>
      </c>
      <c r="G222" s="12" t="s">
        <v>832</v>
      </c>
      <c r="H222" s="12" t="b">
        <v>0</v>
      </c>
      <c r="I222" s="12" t="b">
        <v>0</v>
      </c>
      <c r="J222" s="12" t="b">
        <v>0</v>
      </c>
      <c r="K222" s="12" t="b">
        <v>0</v>
      </c>
      <c r="L222" s="12">
        <v>380</v>
      </c>
      <c r="M222" s="12">
        <v>300.032917</v>
      </c>
      <c r="N222" s="12">
        <v>3000</v>
      </c>
      <c r="O222" s="12">
        <v>1709.090909090909</v>
      </c>
      <c r="P222" s="12">
        <v>0.5</v>
      </c>
      <c r="Q222" s="12">
        <v>0.85</v>
      </c>
      <c r="R222" s="12">
        <v>0.75</v>
      </c>
      <c r="S222" s="12">
        <v>0.85</v>
      </c>
      <c r="T222" s="12">
        <v>0.75</v>
      </c>
      <c r="U222" s="12">
        <v>0.8</v>
      </c>
      <c r="V222" s="12"/>
      <c r="W222" s="12">
        <v>-15.301963584553681</v>
      </c>
      <c r="X222" s="12">
        <v>-9.5811536346623445</v>
      </c>
      <c r="Y222" s="12">
        <v>1290.909090909091</v>
      </c>
      <c r="Z222" s="12">
        <v>1.7553191489361699</v>
      </c>
      <c r="AA222" s="12" t="s">
        <v>2018</v>
      </c>
      <c r="AB222" s="12"/>
    </row>
    <row r="223" spans="1:28" x14ac:dyDescent="0.3">
      <c r="A223" s="12" t="s">
        <v>2114</v>
      </c>
      <c r="B223" s="12" t="s">
        <v>104</v>
      </c>
      <c r="C223" s="12" t="s">
        <v>382</v>
      </c>
      <c r="D223" s="12" t="s">
        <v>2103</v>
      </c>
      <c r="E223" s="12" t="s">
        <v>1886</v>
      </c>
      <c r="F223" s="12" t="s">
        <v>1863</v>
      </c>
      <c r="G223" s="12" t="s">
        <v>832</v>
      </c>
      <c r="H223" s="12" t="b">
        <v>0</v>
      </c>
      <c r="I223" s="12" t="b">
        <v>0</v>
      </c>
      <c r="J223" s="12" t="b">
        <v>0</v>
      </c>
      <c r="K223" s="12" t="b">
        <v>0</v>
      </c>
      <c r="L223" s="12">
        <v>380</v>
      </c>
      <c r="M223" s="12">
        <v>300.032917</v>
      </c>
      <c r="N223" s="12">
        <v>3000</v>
      </c>
      <c r="O223" s="12">
        <v>2000</v>
      </c>
      <c r="P223" s="12">
        <v>0.5</v>
      </c>
      <c r="Q223" s="12">
        <v>0.85</v>
      </c>
      <c r="R223" s="12">
        <v>0.75</v>
      </c>
      <c r="S223" s="12">
        <v>0.85</v>
      </c>
      <c r="T223" s="12">
        <v>0.75</v>
      </c>
      <c r="U223" s="12">
        <v>0.8</v>
      </c>
      <c r="V223" s="12"/>
      <c r="W223" s="12">
        <v>-11.27423659791978</v>
      </c>
      <c r="X223" s="12">
        <v>-7.0723581991954561</v>
      </c>
      <c r="Y223" s="12">
        <v>1000</v>
      </c>
      <c r="Z223" s="12">
        <v>1.5</v>
      </c>
      <c r="AA223" s="12" t="s">
        <v>2018</v>
      </c>
      <c r="AB223" s="12"/>
    </row>
    <row r="224" spans="1:28" x14ac:dyDescent="0.3">
      <c r="A224" s="12" t="s">
        <v>2115</v>
      </c>
      <c r="B224" s="12" t="s">
        <v>104</v>
      </c>
      <c r="C224" s="12" t="s">
        <v>382</v>
      </c>
      <c r="D224" s="12" t="s">
        <v>2103</v>
      </c>
      <c r="E224" s="12" t="s">
        <v>1886</v>
      </c>
      <c r="F224" s="12" t="s">
        <v>1861</v>
      </c>
      <c r="G224" s="12" t="s">
        <v>1861</v>
      </c>
      <c r="H224" s="12" t="b">
        <v>1</v>
      </c>
      <c r="I224" s="12" t="b">
        <v>0</v>
      </c>
      <c r="J224" s="12" t="b">
        <v>0</v>
      </c>
      <c r="K224" s="12" t="b">
        <v>0</v>
      </c>
      <c r="L224" s="12">
        <v>390</v>
      </c>
      <c r="M224" s="12">
        <v>300.032917</v>
      </c>
      <c r="N224" s="12">
        <v>3000</v>
      </c>
      <c r="O224" s="12">
        <v>400</v>
      </c>
      <c r="P224" s="12">
        <v>0.5</v>
      </c>
      <c r="Q224" s="12">
        <v>0.85</v>
      </c>
      <c r="R224" s="12">
        <v>0.75</v>
      </c>
      <c r="S224" s="12">
        <v>0.85</v>
      </c>
      <c r="T224" s="12">
        <v>0.75</v>
      </c>
      <c r="U224" s="12">
        <v>0.8</v>
      </c>
      <c r="V224" s="12"/>
      <c r="W224" s="12">
        <v>2.60108461023257</v>
      </c>
      <c r="X224" s="12">
        <v>3.7704745443863832</v>
      </c>
      <c r="Y224" s="12">
        <v>2600</v>
      </c>
      <c r="Z224" s="12">
        <v>7.5</v>
      </c>
      <c r="AA224" s="12" t="s">
        <v>1268</v>
      </c>
      <c r="AB224" s="12"/>
    </row>
    <row r="225" spans="1:28" x14ac:dyDescent="0.3">
      <c r="A225" s="12" t="s">
        <v>2116</v>
      </c>
      <c r="B225" s="12" t="s">
        <v>104</v>
      </c>
      <c r="C225" s="12" t="s">
        <v>382</v>
      </c>
      <c r="D225" s="12" t="s">
        <v>2103</v>
      </c>
      <c r="E225" s="12" t="s">
        <v>1886</v>
      </c>
      <c r="F225" s="12" t="s">
        <v>32</v>
      </c>
      <c r="G225" s="12" t="s">
        <v>32</v>
      </c>
      <c r="H225" s="12" t="b">
        <v>1</v>
      </c>
      <c r="I225" s="12" t="b">
        <v>1</v>
      </c>
      <c r="J225" s="12" t="b">
        <v>0</v>
      </c>
      <c r="K225" s="12" t="b">
        <v>0</v>
      </c>
      <c r="L225" s="12">
        <v>390</v>
      </c>
      <c r="M225" s="12">
        <v>300.032917</v>
      </c>
      <c r="N225" s="12">
        <v>3000</v>
      </c>
      <c r="O225" s="12">
        <v>545.4545454545455</v>
      </c>
      <c r="P225" s="12">
        <v>0.5</v>
      </c>
      <c r="Q225" s="12">
        <v>0.85</v>
      </c>
      <c r="R225" s="12">
        <v>0.75</v>
      </c>
      <c r="S225" s="12">
        <v>0.85</v>
      </c>
      <c r="T225" s="12">
        <v>0.75</v>
      </c>
      <c r="U225" s="12">
        <v>0.8</v>
      </c>
      <c r="V225" s="12"/>
      <c r="W225" s="12">
        <v>2.0586199460505501</v>
      </c>
      <c r="X225" s="12">
        <v>2.984151131279785</v>
      </c>
      <c r="Y225" s="12">
        <v>2454.545454545455</v>
      </c>
      <c r="Z225" s="12">
        <v>5.5</v>
      </c>
      <c r="AA225" s="12"/>
      <c r="AB225" s="12"/>
    </row>
    <row r="226" spans="1:28" x14ac:dyDescent="0.3">
      <c r="A226" s="12" t="s">
        <v>2117</v>
      </c>
      <c r="B226" s="12" t="s">
        <v>104</v>
      </c>
      <c r="C226" s="12" t="s">
        <v>382</v>
      </c>
      <c r="D226" s="12" t="s">
        <v>2103</v>
      </c>
      <c r="E226" s="12" t="s">
        <v>1886</v>
      </c>
      <c r="F226" s="12" t="s">
        <v>32</v>
      </c>
      <c r="G226" s="12" t="s">
        <v>32</v>
      </c>
      <c r="H226" s="12" t="b">
        <v>1</v>
      </c>
      <c r="I226" s="12" t="b">
        <v>1</v>
      </c>
      <c r="J226" s="12" t="b">
        <v>0</v>
      </c>
      <c r="K226" s="12" t="b">
        <v>0</v>
      </c>
      <c r="L226" s="12">
        <v>390</v>
      </c>
      <c r="M226" s="12">
        <v>300.032917</v>
      </c>
      <c r="N226" s="12">
        <v>3000</v>
      </c>
      <c r="O226" s="12">
        <v>836.36363636363637</v>
      </c>
      <c r="P226" s="12">
        <v>0.5</v>
      </c>
      <c r="Q226" s="12">
        <v>0.85</v>
      </c>
      <c r="R226" s="12">
        <v>0.75</v>
      </c>
      <c r="S226" s="12">
        <v>0.85</v>
      </c>
      <c r="T226" s="12">
        <v>0.75</v>
      </c>
      <c r="U226" s="12">
        <v>0.8</v>
      </c>
      <c r="V226" s="12"/>
      <c r="W226" s="12">
        <v>1.27810257818241</v>
      </c>
      <c r="X226" s="12">
        <v>1.852613184259928</v>
      </c>
      <c r="Y226" s="12">
        <v>2163.636363636364</v>
      </c>
      <c r="Z226" s="12">
        <v>3.5869565217391299</v>
      </c>
      <c r="AA226" s="12"/>
      <c r="AB226" s="12"/>
    </row>
    <row r="227" spans="1:28" x14ac:dyDescent="0.3">
      <c r="A227" s="12" t="s">
        <v>2118</v>
      </c>
      <c r="B227" s="12" t="s">
        <v>104</v>
      </c>
      <c r="C227" s="12" t="s">
        <v>382</v>
      </c>
      <c r="D227" s="12" t="s">
        <v>2103</v>
      </c>
      <c r="E227" s="12" t="s">
        <v>1886</v>
      </c>
      <c r="F227" s="12" t="s">
        <v>32</v>
      </c>
      <c r="G227" s="12" t="s">
        <v>32</v>
      </c>
      <c r="H227" s="12" t="b">
        <v>1</v>
      </c>
      <c r="I227" s="12" t="b">
        <v>1</v>
      </c>
      <c r="J227" s="12" t="b">
        <v>0</v>
      </c>
      <c r="K227" s="12" t="b">
        <v>0</v>
      </c>
      <c r="L227" s="12">
        <v>390</v>
      </c>
      <c r="M227" s="12">
        <v>300.032917</v>
      </c>
      <c r="N227" s="12">
        <v>3000</v>
      </c>
      <c r="O227" s="12">
        <v>981.81818181818198</v>
      </c>
      <c r="P227" s="12">
        <v>0.5</v>
      </c>
      <c r="Q227" s="12">
        <v>0.85</v>
      </c>
      <c r="R227" s="12">
        <v>0.75</v>
      </c>
      <c r="S227" s="12">
        <v>0.85</v>
      </c>
      <c r="T227" s="12">
        <v>0.75</v>
      </c>
      <c r="U227" s="12">
        <v>0.8</v>
      </c>
      <c r="V227" s="12"/>
      <c r="W227" s="12">
        <v>1.00799513750807</v>
      </c>
      <c r="X227" s="12">
        <v>1.4611466021315169</v>
      </c>
      <c r="Y227" s="12">
        <v>2018.181818181818</v>
      </c>
      <c r="Z227" s="12">
        <v>3.0555555555555549</v>
      </c>
      <c r="AA227" s="12"/>
      <c r="AB227" s="12"/>
    </row>
    <row r="228" spans="1:28" x14ac:dyDescent="0.3">
      <c r="A228" s="12" t="s">
        <v>2119</v>
      </c>
      <c r="B228" s="12" t="s">
        <v>104</v>
      </c>
      <c r="C228" s="12" t="s">
        <v>382</v>
      </c>
      <c r="D228" s="12" t="s">
        <v>2103</v>
      </c>
      <c r="E228" s="12" t="s">
        <v>1886</v>
      </c>
      <c r="F228" s="12" t="s">
        <v>32</v>
      </c>
      <c r="G228" s="12" t="s">
        <v>32</v>
      </c>
      <c r="H228" s="12" t="b">
        <v>1</v>
      </c>
      <c r="I228" s="12" t="b">
        <v>1</v>
      </c>
      <c r="J228" s="12" t="b">
        <v>0</v>
      </c>
      <c r="K228" s="12" t="b">
        <v>0</v>
      </c>
      <c r="L228" s="12">
        <v>390</v>
      </c>
      <c r="M228" s="12">
        <v>300.032917</v>
      </c>
      <c r="N228" s="12">
        <v>3000</v>
      </c>
      <c r="O228" s="12">
        <v>1127.2727272727279</v>
      </c>
      <c r="P228" s="12">
        <v>0.5</v>
      </c>
      <c r="Q228" s="12">
        <v>0.85</v>
      </c>
      <c r="R228" s="12">
        <v>0.75</v>
      </c>
      <c r="S228" s="12">
        <v>0.85</v>
      </c>
      <c r="T228" s="12">
        <v>0.75</v>
      </c>
      <c r="U228" s="12">
        <v>0.8</v>
      </c>
      <c r="V228" s="12"/>
      <c r="W228" s="12">
        <v>0.79009657282552992</v>
      </c>
      <c r="X228" s="12">
        <v>1.1453665123728769</v>
      </c>
      <c r="Y228" s="12">
        <v>1872.7272727272721</v>
      </c>
      <c r="Z228" s="12">
        <v>2.6612903225806441</v>
      </c>
      <c r="AA228" s="12"/>
      <c r="AB228" s="12"/>
    </row>
    <row r="229" spans="1:28" x14ac:dyDescent="0.3">
      <c r="A229" s="12" t="s">
        <v>2120</v>
      </c>
      <c r="B229" s="12" t="s">
        <v>104</v>
      </c>
      <c r="C229" s="12" t="s">
        <v>382</v>
      </c>
      <c r="D229" s="12" t="s">
        <v>2103</v>
      </c>
      <c r="E229" s="12" t="s">
        <v>1886</v>
      </c>
      <c r="F229" s="12" t="s">
        <v>32</v>
      </c>
      <c r="G229" s="12" t="s">
        <v>32</v>
      </c>
      <c r="H229" s="12" t="b">
        <v>1</v>
      </c>
      <c r="I229" s="12" t="b">
        <v>1</v>
      </c>
      <c r="J229" s="12" t="b">
        <v>0</v>
      </c>
      <c r="K229" s="12" t="b">
        <v>0</v>
      </c>
      <c r="L229" s="12">
        <v>390</v>
      </c>
      <c r="M229" s="12">
        <v>300.032917</v>
      </c>
      <c r="N229" s="12">
        <v>3000</v>
      </c>
      <c r="O229" s="12">
        <v>690.90909090909099</v>
      </c>
      <c r="P229" s="12">
        <v>0.5</v>
      </c>
      <c r="Q229" s="12">
        <v>0.85</v>
      </c>
      <c r="R229" s="12">
        <v>0.75</v>
      </c>
      <c r="S229" s="12">
        <v>0.85</v>
      </c>
      <c r="T229" s="12">
        <v>0.75</v>
      </c>
      <c r="U229" s="12">
        <v>0.8</v>
      </c>
      <c r="V229" s="12"/>
      <c r="W229" s="12">
        <v>1.61837077153163</v>
      </c>
      <c r="X229" s="12">
        <v>2.345836525562905</v>
      </c>
      <c r="Y229" s="12">
        <v>2309.090909090909</v>
      </c>
      <c r="Z229" s="12">
        <v>4.3421052631578938</v>
      </c>
      <c r="AA229" s="12"/>
      <c r="AB229" s="12"/>
    </row>
    <row r="230" spans="1:28" x14ac:dyDescent="0.3">
      <c r="A230" s="12" t="s">
        <v>2121</v>
      </c>
      <c r="B230" s="12" t="s">
        <v>104</v>
      </c>
      <c r="C230" s="12" t="s">
        <v>382</v>
      </c>
      <c r="D230" s="12" t="s">
        <v>2103</v>
      </c>
      <c r="E230" s="12" t="s">
        <v>1886</v>
      </c>
      <c r="F230" s="12" t="s">
        <v>32</v>
      </c>
      <c r="G230" s="12" t="s">
        <v>32</v>
      </c>
      <c r="H230" s="12" t="b">
        <v>1</v>
      </c>
      <c r="I230" s="12" t="b">
        <v>1</v>
      </c>
      <c r="J230" s="12" t="b">
        <v>0</v>
      </c>
      <c r="K230" s="12" t="b">
        <v>0</v>
      </c>
      <c r="L230" s="12">
        <v>390</v>
      </c>
      <c r="M230" s="12">
        <v>300.032917</v>
      </c>
      <c r="N230" s="12">
        <v>3000</v>
      </c>
      <c r="O230" s="12">
        <v>1272.727272727273</v>
      </c>
      <c r="P230" s="12">
        <v>0.5</v>
      </c>
      <c r="Q230" s="12">
        <v>0.85</v>
      </c>
      <c r="R230" s="12">
        <v>0.75</v>
      </c>
      <c r="S230" s="12">
        <v>0.85</v>
      </c>
      <c r="T230" s="12">
        <v>0.75</v>
      </c>
      <c r="U230" s="12">
        <v>0.8</v>
      </c>
      <c r="V230" s="12"/>
      <c r="W230" s="12">
        <v>0.61268755555983001</v>
      </c>
      <c r="X230" s="12">
        <v>0.88826654971832175</v>
      </c>
      <c r="Y230" s="12">
        <v>1727.272727272727</v>
      </c>
      <c r="Z230" s="12">
        <v>2.3571428571428572</v>
      </c>
      <c r="AA230" s="12"/>
      <c r="AB230" s="12"/>
    </row>
    <row r="231" spans="1:28" x14ac:dyDescent="0.3">
      <c r="A231" s="12" t="s">
        <v>2122</v>
      </c>
      <c r="B231" s="12" t="s">
        <v>104</v>
      </c>
      <c r="C231" s="12" t="s">
        <v>382</v>
      </c>
      <c r="D231" s="12" t="s">
        <v>2103</v>
      </c>
      <c r="E231" s="12" t="s">
        <v>1886</v>
      </c>
      <c r="F231" s="12" t="s">
        <v>32</v>
      </c>
      <c r="G231" s="12" t="s">
        <v>32</v>
      </c>
      <c r="H231" s="12" t="b">
        <v>1</v>
      </c>
      <c r="I231" s="12" t="b">
        <v>1</v>
      </c>
      <c r="J231" s="12" t="b">
        <v>0</v>
      </c>
      <c r="K231" s="12" t="b">
        <v>0</v>
      </c>
      <c r="L231" s="12">
        <v>390</v>
      </c>
      <c r="M231" s="12">
        <v>300.032917</v>
      </c>
      <c r="N231" s="12">
        <v>3000</v>
      </c>
      <c r="O231" s="12">
        <v>1418.181818181818</v>
      </c>
      <c r="P231" s="12">
        <v>0.5</v>
      </c>
      <c r="Q231" s="12">
        <v>0.85</v>
      </c>
      <c r="R231" s="12">
        <v>0.75</v>
      </c>
      <c r="S231" s="12">
        <v>0.85</v>
      </c>
      <c r="T231" s="12">
        <v>0.75</v>
      </c>
      <c r="U231" s="12">
        <v>0.8</v>
      </c>
      <c r="V231" s="12"/>
      <c r="W231" s="12">
        <v>0.46768597584949001</v>
      </c>
      <c r="X231" s="12">
        <v>0.67811591698154583</v>
      </c>
      <c r="Y231" s="12">
        <v>1581.818181818182</v>
      </c>
      <c r="Z231" s="12">
        <v>2.115384615384615</v>
      </c>
      <c r="AA231" s="12"/>
      <c r="AB231" s="12"/>
    </row>
    <row r="232" spans="1:28" x14ac:dyDescent="0.3">
      <c r="A232" s="12" t="s">
        <v>2123</v>
      </c>
      <c r="B232" s="12" t="s">
        <v>104</v>
      </c>
      <c r="C232" s="12" t="s">
        <v>382</v>
      </c>
      <c r="D232" s="12" t="s">
        <v>2103</v>
      </c>
      <c r="E232" s="12" t="s">
        <v>1886</v>
      </c>
      <c r="F232" s="12" t="s">
        <v>32</v>
      </c>
      <c r="G232" s="12" t="s">
        <v>32</v>
      </c>
      <c r="H232" s="12" t="b">
        <v>1</v>
      </c>
      <c r="I232" s="12" t="b">
        <v>1</v>
      </c>
      <c r="J232" s="12" t="b">
        <v>0</v>
      </c>
      <c r="K232" s="12" t="b">
        <v>0</v>
      </c>
      <c r="L232" s="12">
        <v>390</v>
      </c>
      <c r="M232" s="12">
        <v>300.032917</v>
      </c>
      <c r="N232" s="12">
        <v>3000</v>
      </c>
      <c r="O232" s="12">
        <v>1563.636363636364</v>
      </c>
      <c r="P232" s="12">
        <v>0.5</v>
      </c>
      <c r="Q232" s="12">
        <v>0.85</v>
      </c>
      <c r="R232" s="12">
        <v>0.75</v>
      </c>
      <c r="S232" s="12">
        <v>0.85</v>
      </c>
      <c r="T232" s="12">
        <v>0.75</v>
      </c>
      <c r="U232" s="12">
        <v>0.8</v>
      </c>
      <c r="V232" s="12"/>
      <c r="W232" s="12">
        <v>0.34922952965096998</v>
      </c>
      <c r="X232" s="12">
        <v>0.50642309516721262</v>
      </c>
      <c r="Y232" s="12">
        <v>1436.363636363636</v>
      </c>
      <c r="Z232" s="12">
        <v>1.918604651162791</v>
      </c>
      <c r="AA232" s="12"/>
      <c r="AB232" s="12"/>
    </row>
    <row r="233" spans="1:28" x14ac:dyDescent="0.3">
      <c r="A233" s="12" t="s">
        <v>2124</v>
      </c>
      <c r="B233" s="12" t="s">
        <v>104</v>
      </c>
      <c r="C233" s="12" t="s">
        <v>382</v>
      </c>
      <c r="D233" s="12" t="s">
        <v>2103</v>
      </c>
      <c r="E233" s="12" t="s">
        <v>1886</v>
      </c>
      <c r="F233" s="12" t="s">
        <v>32</v>
      </c>
      <c r="G233" s="12" t="s">
        <v>32</v>
      </c>
      <c r="H233" s="12" t="b">
        <v>1</v>
      </c>
      <c r="I233" s="12" t="b">
        <v>1</v>
      </c>
      <c r="J233" s="12" t="b">
        <v>0</v>
      </c>
      <c r="K233" s="12" t="b">
        <v>0</v>
      </c>
      <c r="L233" s="12">
        <v>390</v>
      </c>
      <c r="M233" s="12">
        <v>300.032917</v>
      </c>
      <c r="N233" s="12">
        <v>3000</v>
      </c>
      <c r="O233" s="12">
        <v>1709.090909090909</v>
      </c>
      <c r="P233" s="12">
        <v>0.5</v>
      </c>
      <c r="Q233" s="12">
        <v>0.85</v>
      </c>
      <c r="R233" s="12">
        <v>0.75</v>
      </c>
      <c r="S233" s="12">
        <v>0.85</v>
      </c>
      <c r="T233" s="12">
        <v>0.75</v>
      </c>
      <c r="U233" s="12">
        <v>0.8</v>
      </c>
      <c r="V233" s="12"/>
      <c r="W233" s="12">
        <v>0.25295580489196001</v>
      </c>
      <c r="X233" s="12">
        <v>0.3668643288327153</v>
      </c>
      <c r="Y233" s="12">
        <v>1290.909090909091</v>
      </c>
      <c r="Z233" s="12">
        <v>1.7553191489361699</v>
      </c>
      <c r="AA233" s="12"/>
      <c r="AB233" s="12"/>
    </row>
    <row r="234" spans="1:28" x14ac:dyDescent="0.3">
      <c r="A234" s="12" t="s">
        <v>2125</v>
      </c>
      <c r="B234" s="12" t="s">
        <v>104</v>
      </c>
      <c r="C234" s="12" t="s">
        <v>382</v>
      </c>
      <c r="D234" s="12" t="s">
        <v>2103</v>
      </c>
      <c r="E234" s="12" t="s">
        <v>1886</v>
      </c>
      <c r="F234" s="12" t="s">
        <v>32</v>
      </c>
      <c r="G234" s="12" t="s">
        <v>32</v>
      </c>
      <c r="H234" s="12" t="b">
        <v>1</v>
      </c>
      <c r="I234" s="12" t="b">
        <v>1</v>
      </c>
      <c r="J234" s="12" t="b">
        <v>0</v>
      </c>
      <c r="K234" s="12" t="b">
        <v>0</v>
      </c>
      <c r="L234" s="12">
        <v>390</v>
      </c>
      <c r="M234" s="12">
        <v>300.032917</v>
      </c>
      <c r="N234" s="12">
        <v>3000</v>
      </c>
      <c r="O234" s="12">
        <v>1854.545454545455</v>
      </c>
      <c r="P234" s="12">
        <v>0.5</v>
      </c>
      <c r="Q234" s="12">
        <v>0.85</v>
      </c>
      <c r="R234" s="12">
        <v>0.75</v>
      </c>
      <c r="S234" s="12">
        <v>0.85</v>
      </c>
      <c r="T234" s="12">
        <v>0.75</v>
      </c>
      <c r="U234" s="12">
        <v>0.8</v>
      </c>
      <c r="V234" s="12"/>
      <c r="W234" s="12">
        <v>0.17551123679891001</v>
      </c>
      <c r="X234" s="12">
        <v>0.25458251892020511</v>
      </c>
      <c r="Y234" s="12">
        <v>1145.454545454545</v>
      </c>
      <c r="Z234" s="12">
        <v>1.617647058823529</v>
      </c>
      <c r="AA234" s="12"/>
      <c r="AB234" s="12"/>
    </row>
    <row r="235" spans="1:28" x14ac:dyDescent="0.3">
      <c r="A235" s="12" t="s">
        <v>2126</v>
      </c>
      <c r="B235" s="12" t="s">
        <v>104</v>
      </c>
      <c r="C235" s="12" t="s">
        <v>382</v>
      </c>
      <c r="D235" s="12" t="s">
        <v>2103</v>
      </c>
      <c r="E235" s="12" t="s">
        <v>1886</v>
      </c>
      <c r="F235" s="12" t="s">
        <v>32</v>
      </c>
      <c r="G235" s="12" t="s">
        <v>32</v>
      </c>
      <c r="H235" s="12" t="b">
        <v>1</v>
      </c>
      <c r="I235" s="12" t="b">
        <v>1</v>
      </c>
      <c r="J235" s="12" t="b">
        <v>0</v>
      </c>
      <c r="K235" s="12" t="b">
        <v>0</v>
      </c>
      <c r="L235" s="12">
        <v>390</v>
      </c>
      <c r="M235" s="12">
        <v>300.032917</v>
      </c>
      <c r="N235" s="12">
        <v>3000</v>
      </c>
      <c r="O235" s="12">
        <v>2000</v>
      </c>
      <c r="P235" s="12">
        <v>0.5</v>
      </c>
      <c r="Q235" s="12">
        <v>0.85</v>
      </c>
      <c r="R235" s="12">
        <v>0.75</v>
      </c>
      <c r="S235" s="12">
        <v>0.85</v>
      </c>
      <c r="T235" s="12">
        <v>0.75</v>
      </c>
      <c r="U235" s="12">
        <v>0.8</v>
      </c>
      <c r="V235" s="12"/>
      <c r="W235" s="12">
        <v>0.11426186213978989</v>
      </c>
      <c r="X235" s="12">
        <v>0.16576454726985901</v>
      </c>
      <c r="Y235" s="12">
        <v>1000</v>
      </c>
      <c r="Z235" s="12">
        <v>1.5</v>
      </c>
      <c r="AA235" s="12"/>
      <c r="AB235" s="12"/>
    </row>
    <row r="236" spans="1:28" x14ac:dyDescent="0.3">
      <c r="A236" s="12" t="s">
        <v>2127</v>
      </c>
      <c r="B236" s="12" t="s">
        <v>104</v>
      </c>
      <c r="C236" s="12" t="s">
        <v>382</v>
      </c>
      <c r="D236" s="12" t="s">
        <v>2103</v>
      </c>
      <c r="E236" s="12" t="s">
        <v>1886</v>
      </c>
      <c r="F236" s="12" t="s">
        <v>1861</v>
      </c>
      <c r="G236" s="12" t="s">
        <v>1861</v>
      </c>
      <c r="H236" s="12" t="b">
        <v>1</v>
      </c>
      <c r="I236" s="12" t="b">
        <v>0</v>
      </c>
      <c r="J236" s="12" t="b">
        <v>0</v>
      </c>
      <c r="K236" s="12" t="b">
        <v>0</v>
      </c>
      <c r="L236" s="12">
        <v>403</v>
      </c>
      <c r="M236" s="12">
        <v>300.032917</v>
      </c>
      <c r="N236" s="12">
        <v>3000</v>
      </c>
      <c r="O236" s="12">
        <v>400</v>
      </c>
      <c r="P236" s="12">
        <v>0.5</v>
      </c>
      <c r="Q236" s="12">
        <v>0.85</v>
      </c>
      <c r="R236" s="12">
        <v>0.75</v>
      </c>
      <c r="S236" s="12">
        <v>0.85</v>
      </c>
      <c r="T236" s="12">
        <v>0.75</v>
      </c>
      <c r="U236" s="12">
        <v>0.8</v>
      </c>
      <c r="V236" s="12"/>
      <c r="W236" s="12">
        <v>9.8742044633692192</v>
      </c>
      <c r="X236" s="12">
        <v>30.20164854840726</v>
      </c>
      <c r="Y236" s="12">
        <v>2600</v>
      </c>
      <c r="Z236" s="12">
        <v>7.5</v>
      </c>
      <c r="AA236" s="12" t="s">
        <v>1268</v>
      </c>
      <c r="AB236" s="12"/>
    </row>
    <row r="237" spans="1:28" x14ac:dyDescent="0.3">
      <c r="A237" s="12" t="s">
        <v>2128</v>
      </c>
      <c r="B237" s="12" t="s">
        <v>104</v>
      </c>
      <c r="C237" s="12" t="s">
        <v>382</v>
      </c>
      <c r="D237" s="12" t="s">
        <v>2103</v>
      </c>
      <c r="E237" s="12" t="s">
        <v>1886</v>
      </c>
      <c r="F237" s="12" t="s">
        <v>1861</v>
      </c>
      <c r="G237" s="12" t="s">
        <v>1861</v>
      </c>
      <c r="H237" s="12" t="b">
        <v>1</v>
      </c>
      <c r="I237" s="12" t="b">
        <v>0</v>
      </c>
      <c r="J237" s="12" t="b">
        <v>0</v>
      </c>
      <c r="K237" s="12" t="b">
        <v>0</v>
      </c>
      <c r="L237" s="12">
        <v>403</v>
      </c>
      <c r="M237" s="12">
        <v>300.032917</v>
      </c>
      <c r="N237" s="12">
        <v>3000</v>
      </c>
      <c r="O237" s="12">
        <v>545.4545454545455</v>
      </c>
      <c r="P237" s="12">
        <v>0.5</v>
      </c>
      <c r="Q237" s="12">
        <v>0.85</v>
      </c>
      <c r="R237" s="12">
        <v>0.75</v>
      </c>
      <c r="S237" s="12">
        <v>0.85</v>
      </c>
      <c r="T237" s="12">
        <v>0.75</v>
      </c>
      <c r="U237" s="12">
        <v>0.8</v>
      </c>
      <c r="V237" s="12"/>
      <c r="W237" s="12">
        <v>8.6422582834846615</v>
      </c>
      <c r="X237" s="12">
        <v>26.43494173629173</v>
      </c>
      <c r="Y237" s="12">
        <v>2454.545454545455</v>
      </c>
      <c r="Z237" s="12">
        <v>5.5</v>
      </c>
      <c r="AA237" s="12" t="s">
        <v>1268</v>
      </c>
      <c r="AB237" s="12"/>
    </row>
    <row r="238" spans="1:28" x14ac:dyDescent="0.3">
      <c r="A238" s="12" t="s">
        <v>2129</v>
      </c>
      <c r="B238" s="12" t="s">
        <v>104</v>
      </c>
      <c r="C238" s="12" t="s">
        <v>382</v>
      </c>
      <c r="D238" s="12" t="s">
        <v>2103</v>
      </c>
      <c r="E238" s="12" t="s">
        <v>1886</v>
      </c>
      <c r="F238" s="12" t="s">
        <v>32</v>
      </c>
      <c r="G238" s="12" t="s">
        <v>32</v>
      </c>
      <c r="H238" s="12" t="b">
        <v>1</v>
      </c>
      <c r="I238" s="12" t="b">
        <v>1</v>
      </c>
      <c r="J238" s="12" t="b">
        <v>0</v>
      </c>
      <c r="K238" s="12" t="b">
        <v>0</v>
      </c>
      <c r="L238" s="12">
        <v>403</v>
      </c>
      <c r="M238" s="12">
        <v>300.032917</v>
      </c>
      <c r="N238" s="12">
        <v>3000</v>
      </c>
      <c r="O238" s="12">
        <v>690.90909090909099</v>
      </c>
      <c r="P238" s="12">
        <v>0.5</v>
      </c>
      <c r="Q238" s="12">
        <v>0.85</v>
      </c>
      <c r="R238" s="12">
        <v>0.75</v>
      </c>
      <c r="S238" s="12">
        <v>0.85</v>
      </c>
      <c r="T238" s="12">
        <v>0.75</v>
      </c>
      <c r="U238" s="12">
        <v>0.8</v>
      </c>
      <c r="V238" s="12"/>
      <c r="W238" s="12">
        <v>7.4673276125524204</v>
      </c>
      <c r="X238" s="12">
        <v>22.82439179483821</v>
      </c>
      <c r="Y238" s="12">
        <v>2309.090909090909</v>
      </c>
      <c r="Z238" s="12">
        <v>4.3421052631578938</v>
      </c>
      <c r="AA238" s="12"/>
      <c r="AB238" s="12"/>
    </row>
    <row r="239" spans="1:28" x14ac:dyDescent="0.3">
      <c r="A239" s="12" t="s">
        <v>2130</v>
      </c>
      <c r="B239" s="12" t="s">
        <v>104</v>
      </c>
      <c r="C239" s="12" t="s">
        <v>382</v>
      </c>
      <c r="D239" s="12" t="s">
        <v>2103</v>
      </c>
      <c r="E239" s="12" t="s">
        <v>1886</v>
      </c>
      <c r="F239" s="12" t="s">
        <v>32</v>
      </c>
      <c r="G239" s="12" t="s">
        <v>32</v>
      </c>
      <c r="H239" s="12" t="b">
        <v>1</v>
      </c>
      <c r="I239" s="12" t="b">
        <v>1</v>
      </c>
      <c r="J239" s="12" t="b">
        <v>0</v>
      </c>
      <c r="K239" s="12" t="b">
        <v>0</v>
      </c>
      <c r="L239" s="12">
        <v>403</v>
      </c>
      <c r="M239" s="12">
        <v>300.032917</v>
      </c>
      <c r="N239" s="12">
        <v>3000</v>
      </c>
      <c r="O239" s="12">
        <v>836.36363636363637</v>
      </c>
      <c r="P239" s="12">
        <v>0.5</v>
      </c>
      <c r="Q239" s="12">
        <v>0.85</v>
      </c>
      <c r="R239" s="12">
        <v>0.75</v>
      </c>
      <c r="S239" s="12">
        <v>0.85</v>
      </c>
      <c r="T239" s="12">
        <v>0.75</v>
      </c>
      <c r="U239" s="12">
        <v>0.8</v>
      </c>
      <c r="V239" s="12"/>
      <c r="W239" s="12">
        <v>6.5010061953411098</v>
      </c>
      <c r="X239" s="12">
        <v>19.859195099126829</v>
      </c>
      <c r="Y239" s="12">
        <v>2163.636363636364</v>
      </c>
      <c r="Z239" s="12">
        <v>3.5869565217391299</v>
      </c>
      <c r="AA239" s="12"/>
      <c r="AB239" s="12"/>
    </row>
    <row r="240" spans="1:28" x14ac:dyDescent="0.3">
      <c r="A240" s="12" t="s">
        <v>2131</v>
      </c>
      <c r="B240" s="12" t="s">
        <v>104</v>
      </c>
      <c r="C240" s="12" t="s">
        <v>382</v>
      </c>
      <c r="D240" s="12" t="s">
        <v>2103</v>
      </c>
      <c r="E240" s="12" t="s">
        <v>1886</v>
      </c>
      <c r="F240" s="12" t="s">
        <v>32</v>
      </c>
      <c r="G240" s="12" t="s">
        <v>32</v>
      </c>
      <c r="H240" s="12" t="b">
        <v>1</v>
      </c>
      <c r="I240" s="12" t="b">
        <v>1</v>
      </c>
      <c r="J240" s="12" t="b">
        <v>0</v>
      </c>
      <c r="K240" s="12" t="b">
        <v>0</v>
      </c>
      <c r="L240" s="12">
        <v>403</v>
      </c>
      <c r="M240" s="12">
        <v>300.032917</v>
      </c>
      <c r="N240" s="12">
        <v>3000</v>
      </c>
      <c r="O240" s="12">
        <v>981.81818181818198</v>
      </c>
      <c r="P240" s="12">
        <v>0.5</v>
      </c>
      <c r="Q240" s="12">
        <v>0.85</v>
      </c>
      <c r="R240" s="12">
        <v>0.75</v>
      </c>
      <c r="S240" s="12">
        <v>0.85</v>
      </c>
      <c r="T240" s="12">
        <v>0.75</v>
      </c>
      <c r="U240" s="12">
        <v>0.8</v>
      </c>
      <c r="V240" s="12"/>
      <c r="W240" s="12">
        <v>5.6815518342659699</v>
      </c>
      <c r="X240" s="12">
        <v>17.3476836673501</v>
      </c>
      <c r="Y240" s="12">
        <v>2018.181818181818</v>
      </c>
      <c r="Z240" s="12">
        <v>3.0555555555555549</v>
      </c>
      <c r="AA240" s="12"/>
      <c r="AB240" s="12"/>
    </row>
    <row r="241" spans="1:28" x14ac:dyDescent="0.3">
      <c r="A241" s="12" t="s">
        <v>2132</v>
      </c>
      <c r="B241" s="12" t="s">
        <v>104</v>
      </c>
      <c r="C241" s="12" t="s">
        <v>382</v>
      </c>
      <c r="D241" s="12" t="s">
        <v>2103</v>
      </c>
      <c r="E241" s="12" t="s">
        <v>1886</v>
      </c>
      <c r="F241" s="12" t="s">
        <v>32</v>
      </c>
      <c r="G241" s="12" t="s">
        <v>32</v>
      </c>
      <c r="H241" s="12" t="b">
        <v>1</v>
      </c>
      <c r="I241" s="12" t="b">
        <v>1</v>
      </c>
      <c r="J241" s="12" t="b">
        <v>0</v>
      </c>
      <c r="K241" s="12" t="b">
        <v>0</v>
      </c>
      <c r="L241" s="12">
        <v>403</v>
      </c>
      <c r="M241" s="12">
        <v>300.032917</v>
      </c>
      <c r="N241" s="12">
        <v>3000</v>
      </c>
      <c r="O241" s="12">
        <v>1127.2727272727279</v>
      </c>
      <c r="P241" s="12">
        <v>0.5</v>
      </c>
      <c r="Q241" s="12">
        <v>0.85</v>
      </c>
      <c r="R241" s="12">
        <v>0.75</v>
      </c>
      <c r="S241" s="12">
        <v>0.85</v>
      </c>
      <c r="T241" s="12">
        <v>0.75</v>
      </c>
      <c r="U241" s="12">
        <v>0.8</v>
      </c>
      <c r="V241" s="12"/>
      <c r="W241" s="12">
        <v>4.9710235574175314</v>
      </c>
      <c r="X241" s="12">
        <v>15.172197763520391</v>
      </c>
      <c r="Y241" s="12">
        <v>1872.7272727272721</v>
      </c>
      <c r="Z241" s="12">
        <v>2.6612903225806441</v>
      </c>
      <c r="AA241" s="12"/>
      <c r="AB241" s="12"/>
    </row>
    <row r="242" spans="1:28" x14ac:dyDescent="0.3">
      <c r="A242" s="12" t="s">
        <v>2133</v>
      </c>
      <c r="B242" s="12" t="s">
        <v>104</v>
      </c>
      <c r="C242" s="12" t="s">
        <v>382</v>
      </c>
      <c r="D242" s="12" t="s">
        <v>2103</v>
      </c>
      <c r="E242" s="12" t="s">
        <v>1886</v>
      </c>
      <c r="F242" s="12" t="s">
        <v>32</v>
      </c>
      <c r="G242" s="12" t="s">
        <v>32</v>
      </c>
      <c r="H242" s="12" t="b">
        <v>1</v>
      </c>
      <c r="I242" s="12" t="b">
        <v>1</v>
      </c>
      <c r="J242" s="12" t="b">
        <v>0</v>
      </c>
      <c r="K242" s="12" t="b">
        <v>0</v>
      </c>
      <c r="L242" s="12">
        <v>403</v>
      </c>
      <c r="M242" s="12">
        <v>300.032917</v>
      </c>
      <c r="N242" s="12">
        <v>3000</v>
      </c>
      <c r="O242" s="12">
        <v>1272.727272727273</v>
      </c>
      <c r="P242" s="12">
        <v>0.5</v>
      </c>
      <c r="Q242" s="12">
        <v>0.85</v>
      </c>
      <c r="R242" s="12">
        <v>0.75</v>
      </c>
      <c r="S242" s="12">
        <v>0.85</v>
      </c>
      <c r="T242" s="12">
        <v>0.75</v>
      </c>
      <c r="U242" s="12">
        <v>0.8</v>
      </c>
      <c r="V242" s="12"/>
      <c r="W242" s="12">
        <v>4.34475077649327</v>
      </c>
      <c r="X242" s="12">
        <v>13.25628967026665</v>
      </c>
      <c r="Y242" s="12">
        <v>1727.272727272727</v>
      </c>
      <c r="Z242" s="12">
        <v>2.3571428571428572</v>
      </c>
      <c r="AA242" s="12"/>
      <c r="AB242" s="12"/>
    </row>
    <row r="243" spans="1:28" x14ac:dyDescent="0.3">
      <c r="A243" s="12" t="s">
        <v>2134</v>
      </c>
      <c r="B243" s="12" t="s">
        <v>104</v>
      </c>
      <c r="C243" s="12" t="s">
        <v>382</v>
      </c>
      <c r="D243" s="12" t="s">
        <v>2103</v>
      </c>
      <c r="E243" s="12" t="s">
        <v>1886</v>
      </c>
      <c r="F243" s="12" t="s">
        <v>32</v>
      </c>
      <c r="G243" s="12" t="s">
        <v>32</v>
      </c>
      <c r="H243" s="12" t="b">
        <v>1</v>
      </c>
      <c r="I243" s="12" t="b">
        <v>1</v>
      </c>
      <c r="J243" s="12" t="b">
        <v>0</v>
      </c>
      <c r="K243" s="12" t="b">
        <v>0</v>
      </c>
      <c r="L243" s="12">
        <v>403</v>
      </c>
      <c r="M243" s="12">
        <v>300.032917</v>
      </c>
      <c r="N243" s="12">
        <v>3000</v>
      </c>
      <c r="O243" s="12">
        <v>1418.181818181818</v>
      </c>
      <c r="P243" s="12">
        <v>0.5</v>
      </c>
      <c r="Q243" s="12">
        <v>0.85</v>
      </c>
      <c r="R243" s="12">
        <v>0.75</v>
      </c>
      <c r="S243" s="12">
        <v>0.85</v>
      </c>
      <c r="T243" s="12">
        <v>0.75</v>
      </c>
      <c r="U243" s="12">
        <v>0.8</v>
      </c>
      <c r="V243" s="12"/>
      <c r="W243" s="12">
        <v>3.7857257921308198</v>
      </c>
      <c r="X243" s="12">
        <v>11.54733918697598</v>
      </c>
      <c r="Y243" s="12">
        <v>1581.818181818182</v>
      </c>
      <c r="Z243" s="12">
        <v>2.115384615384615</v>
      </c>
      <c r="AA243" s="12"/>
      <c r="AB243" s="12"/>
    </row>
    <row r="244" spans="1:28" x14ac:dyDescent="0.3">
      <c r="A244" s="12" t="s">
        <v>2135</v>
      </c>
      <c r="B244" s="12" t="s">
        <v>104</v>
      </c>
      <c r="C244" s="12" t="s">
        <v>382</v>
      </c>
      <c r="D244" s="12" t="s">
        <v>2103</v>
      </c>
      <c r="E244" s="12" t="s">
        <v>1886</v>
      </c>
      <c r="F244" s="12" t="s">
        <v>32</v>
      </c>
      <c r="G244" s="12" t="s">
        <v>32</v>
      </c>
      <c r="H244" s="12" t="b">
        <v>1</v>
      </c>
      <c r="I244" s="12" t="b">
        <v>1</v>
      </c>
      <c r="J244" s="12" t="b">
        <v>0</v>
      </c>
      <c r="K244" s="12" t="b">
        <v>0</v>
      </c>
      <c r="L244" s="12">
        <v>403</v>
      </c>
      <c r="M244" s="12">
        <v>300.032917</v>
      </c>
      <c r="N244" s="12">
        <v>3000</v>
      </c>
      <c r="O244" s="12">
        <v>1854.545454545455</v>
      </c>
      <c r="P244" s="12">
        <v>0.5</v>
      </c>
      <c r="Q244" s="12">
        <v>0.85</v>
      </c>
      <c r="R244" s="12">
        <v>0.75</v>
      </c>
      <c r="S244" s="12">
        <v>0.85</v>
      </c>
      <c r="T244" s="12">
        <v>0.75</v>
      </c>
      <c r="U244" s="12">
        <v>0.8</v>
      </c>
      <c r="V244" s="12"/>
      <c r="W244" s="12">
        <v>2.4044010286208799</v>
      </c>
      <c r="X244" s="12">
        <v>7.3292545452575641</v>
      </c>
      <c r="Y244" s="12">
        <v>1145.454545454545</v>
      </c>
      <c r="Z244" s="12">
        <v>1.617647058823529</v>
      </c>
      <c r="AA244" s="12"/>
      <c r="AB244" s="12"/>
    </row>
    <row r="245" spans="1:28" x14ac:dyDescent="0.3">
      <c r="A245" s="12" t="s">
        <v>2136</v>
      </c>
      <c r="B245" s="12" t="s">
        <v>104</v>
      </c>
      <c r="C245" s="12" t="s">
        <v>382</v>
      </c>
      <c r="D245" s="12" t="s">
        <v>2103</v>
      </c>
      <c r="E245" s="12" t="s">
        <v>1886</v>
      </c>
      <c r="F245" s="12" t="s">
        <v>32</v>
      </c>
      <c r="G245" s="12" t="s">
        <v>32</v>
      </c>
      <c r="H245" s="12" t="b">
        <v>1</v>
      </c>
      <c r="I245" s="12" t="b">
        <v>1</v>
      </c>
      <c r="J245" s="12" t="b">
        <v>0</v>
      </c>
      <c r="K245" s="12" t="b">
        <v>0</v>
      </c>
      <c r="L245" s="12">
        <v>403</v>
      </c>
      <c r="M245" s="12">
        <v>300.032917</v>
      </c>
      <c r="N245" s="12">
        <v>3000</v>
      </c>
      <c r="O245" s="12">
        <v>1709.090909090909</v>
      </c>
      <c r="P245" s="12">
        <v>0.5</v>
      </c>
      <c r="Q245" s="12">
        <v>0.85</v>
      </c>
      <c r="R245" s="12">
        <v>0.75</v>
      </c>
      <c r="S245" s="12">
        <v>0.85</v>
      </c>
      <c r="T245" s="12">
        <v>0.75</v>
      </c>
      <c r="U245" s="12">
        <v>0.8</v>
      </c>
      <c r="V245" s="12"/>
      <c r="W245" s="12">
        <v>2.82359733610553</v>
      </c>
      <c r="X245" s="12">
        <v>8.6086681620453778</v>
      </c>
      <c r="Y245" s="12">
        <v>1290.909090909091</v>
      </c>
      <c r="Z245" s="12">
        <v>1.7553191489361699</v>
      </c>
      <c r="AA245" s="12"/>
      <c r="AB245" s="12"/>
    </row>
    <row r="246" spans="1:28" x14ac:dyDescent="0.3">
      <c r="A246" s="12" t="s">
        <v>2137</v>
      </c>
      <c r="B246" s="12" t="s">
        <v>104</v>
      </c>
      <c r="C246" s="12" t="s">
        <v>382</v>
      </c>
      <c r="D246" s="12" t="s">
        <v>2103</v>
      </c>
      <c r="E246" s="12" t="s">
        <v>1886</v>
      </c>
      <c r="F246" s="12" t="s">
        <v>32</v>
      </c>
      <c r="G246" s="12" t="s">
        <v>32</v>
      </c>
      <c r="H246" s="12" t="b">
        <v>1</v>
      </c>
      <c r="I246" s="12" t="b">
        <v>1</v>
      </c>
      <c r="J246" s="12" t="b">
        <v>0</v>
      </c>
      <c r="K246" s="12" t="b">
        <v>0</v>
      </c>
      <c r="L246" s="12">
        <v>403</v>
      </c>
      <c r="M246" s="12">
        <v>300.032917</v>
      </c>
      <c r="N246" s="12">
        <v>3000</v>
      </c>
      <c r="O246" s="12">
        <v>1563.636363636364</v>
      </c>
      <c r="P246" s="12">
        <v>0.5</v>
      </c>
      <c r="Q246" s="12">
        <v>0.85</v>
      </c>
      <c r="R246" s="12">
        <v>0.75</v>
      </c>
      <c r="S246" s="12">
        <v>0.85</v>
      </c>
      <c r="T246" s="12">
        <v>0.75</v>
      </c>
      <c r="U246" s="12">
        <v>0.8</v>
      </c>
      <c r="V246" s="12"/>
      <c r="W246" s="12">
        <v>3.28171252812382</v>
      </c>
      <c r="X246" s="12">
        <v>10.007515985341101</v>
      </c>
      <c r="Y246" s="12">
        <v>1436.363636363636</v>
      </c>
      <c r="Z246" s="12">
        <v>1.918604651162791</v>
      </c>
      <c r="AA246" s="12"/>
      <c r="AB246" s="12"/>
    </row>
    <row r="247" spans="1:28" x14ac:dyDescent="0.3">
      <c r="A247" s="12" t="s">
        <v>2138</v>
      </c>
      <c r="B247" s="12" t="s">
        <v>104</v>
      </c>
      <c r="C247" s="12" t="s">
        <v>382</v>
      </c>
      <c r="D247" s="12" t="s">
        <v>2103</v>
      </c>
      <c r="E247" s="12" t="s">
        <v>1886</v>
      </c>
      <c r="F247" s="12" t="s">
        <v>32</v>
      </c>
      <c r="G247" s="12" t="s">
        <v>32</v>
      </c>
      <c r="H247" s="12" t="b">
        <v>1</v>
      </c>
      <c r="I247" s="12" t="b">
        <v>1</v>
      </c>
      <c r="J247" s="12" t="b">
        <v>0</v>
      </c>
      <c r="K247" s="12" t="b">
        <v>0</v>
      </c>
      <c r="L247" s="12">
        <v>403</v>
      </c>
      <c r="M247" s="12">
        <v>300.032917</v>
      </c>
      <c r="N247" s="12">
        <v>3000</v>
      </c>
      <c r="O247" s="12">
        <v>2000</v>
      </c>
      <c r="P247" s="12">
        <v>0.5</v>
      </c>
      <c r="Q247" s="12">
        <v>0.85</v>
      </c>
      <c r="R247" s="12">
        <v>0.75</v>
      </c>
      <c r="S247" s="12">
        <v>0.85</v>
      </c>
      <c r="T247" s="12">
        <v>0.75</v>
      </c>
      <c r="U247" s="12">
        <v>0.8</v>
      </c>
      <c r="V247" s="12"/>
      <c r="W247" s="12">
        <v>2.0186548049913902</v>
      </c>
      <c r="X247" s="12">
        <v>6.152408714327831</v>
      </c>
      <c r="Y247" s="12">
        <v>1000</v>
      </c>
      <c r="Z247" s="12">
        <v>1.5</v>
      </c>
      <c r="AA247" s="12"/>
      <c r="AB247" s="12"/>
    </row>
    <row r="248" spans="1:28" x14ac:dyDescent="0.3">
      <c r="A248" s="12" t="s">
        <v>2139</v>
      </c>
      <c r="B248" s="12" t="s">
        <v>104</v>
      </c>
      <c r="C248" s="12" t="s">
        <v>382</v>
      </c>
      <c r="D248" s="12" t="s">
        <v>2103</v>
      </c>
      <c r="E248" s="12" t="s">
        <v>1886</v>
      </c>
      <c r="F248" s="12" t="s">
        <v>1861</v>
      </c>
      <c r="G248" s="12" t="s">
        <v>1861</v>
      </c>
      <c r="H248" s="12" t="b">
        <v>1</v>
      </c>
      <c r="I248" s="12" t="b">
        <v>0</v>
      </c>
      <c r="J248" s="12" t="b">
        <v>0</v>
      </c>
      <c r="K248" s="12" t="b">
        <v>0</v>
      </c>
      <c r="L248" s="12">
        <v>420</v>
      </c>
      <c r="M248" s="12">
        <v>300.032917</v>
      </c>
      <c r="N248" s="12">
        <v>3000</v>
      </c>
      <c r="O248" s="12">
        <v>400</v>
      </c>
      <c r="P248" s="12">
        <v>0.5</v>
      </c>
      <c r="Q248" s="12">
        <v>0.85</v>
      </c>
      <c r="R248" s="12">
        <v>0.75</v>
      </c>
      <c r="S248" s="12">
        <v>0.85</v>
      </c>
      <c r="T248" s="12">
        <v>0.75</v>
      </c>
      <c r="U248" s="12">
        <v>0.8</v>
      </c>
      <c r="V248" s="12"/>
      <c r="W248" s="12">
        <v>12.26793903753299</v>
      </c>
      <c r="X248" s="12">
        <v>61.697189438045271</v>
      </c>
      <c r="Y248" s="12">
        <v>2600</v>
      </c>
      <c r="Z248" s="12">
        <v>7.5</v>
      </c>
      <c r="AA248" s="12" t="s">
        <v>1268</v>
      </c>
      <c r="AB248" s="12"/>
    </row>
    <row r="249" spans="1:28" x14ac:dyDescent="0.3">
      <c r="A249" s="12" t="s">
        <v>2140</v>
      </c>
      <c r="B249" s="12" t="s">
        <v>104</v>
      </c>
      <c r="C249" s="12" t="s">
        <v>382</v>
      </c>
      <c r="D249" s="12" t="s">
        <v>2103</v>
      </c>
      <c r="E249" s="12" t="s">
        <v>1886</v>
      </c>
      <c r="F249" s="12" t="s">
        <v>1861</v>
      </c>
      <c r="G249" s="12" t="s">
        <v>1861</v>
      </c>
      <c r="H249" s="12" t="b">
        <v>1</v>
      </c>
      <c r="I249" s="12" t="b">
        <v>0</v>
      </c>
      <c r="J249" s="12" t="b">
        <v>0</v>
      </c>
      <c r="K249" s="12" t="b">
        <v>0</v>
      </c>
      <c r="L249" s="12">
        <v>420</v>
      </c>
      <c r="M249" s="12">
        <v>300.032917</v>
      </c>
      <c r="N249" s="12">
        <v>3000</v>
      </c>
      <c r="O249" s="12">
        <v>545.4545454545455</v>
      </c>
      <c r="P249" s="12">
        <v>0.5</v>
      </c>
      <c r="Q249" s="12">
        <v>0.85</v>
      </c>
      <c r="R249" s="12">
        <v>0.75</v>
      </c>
      <c r="S249" s="12">
        <v>0.85</v>
      </c>
      <c r="T249" s="12">
        <v>0.75</v>
      </c>
      <c r="U249" s="12">
        <v>0.8</v>
      </c>
      <c r="V249" s="12"/>
      <c r="W249" s="12">
        <v>10.847952311252561</v>
      </c>
      <c r="X249" s="12">
        <v>54.580113440073262</v>
      </c>
      <c r="Y249" s="12">
        <v>2454.545454545455</v>
      </c>
      <c r="Z249" s="12">
        <v>5.5</v>
      </c>
      <c r="AA249" s="12" t="s">
        <v>1268</v>
      </c>
      <c r="AB249" s="12"/>
    </row>
    <row r="250" spans="1:28" x14ac:dyDescent="0.3">
      <c r="A250" s="12" t="s">
        <v>2141</v>
      </c>
      <c r="B250" s="12" t="s">
        <v>104</v>
      </c>
      <c r="C250" s="12" t="s">
        <v>382</v>
      </c>
      <c r="D250" s="12" t="s">
        <v>2103</v>
      </c>
      <c r="E250" s="12" t="s">
        <v>1886</v>
      </c>
      <c r="F250" s="12" t="s">
        <v>1861</v>
      </c>
      <c r="G250" s="12" t="s">
        <v>1861</v>
      </c>
      <c r="H250" s="12" t="b">
        <v>1</v>
      </c>
      <c r="I250" s="12" t="b">
        <v>0</v>
      </c>
      <c r="J250" s="12" t="b">
        <v>0</v>
      </c>
      <c r="K250" s="12" t="b">
        <v>0</v>
      </c>
      <c r="L250" s="12">
        <v>420</v>
      </c>
      <c r="M250" s="12">
        <v>300.032917</v>
      </c>
      <c r="N250" s="12">
        <v>3000</v>
      </c>
      <c r="O250" s="12">
        <v>690.90909090909099</v>
      </c>
      <c r="P250" s="12">
        <v>0.5</v>
      </c>
      <c r="Q250" s="12">
        <v>0.85</v>
      </c>
      <c r="R250" s="12">
        <v>0.75</v>
      </c>
      <c r="S250" s="12">
        <v>0.85</v>
      </c>
      <c r="T250" s="12">
        <v>0.75</v>
      </c>
      <c r="U250" s="12">
        <v>0.8</v>
      </c>
      <c r="V250" s="12"/>
      <c r="W250" s="12">
        <v>9.5390173852444402</v>
      </c>
      <c r="X250" s="12">
        <v>47.966959595949803</v>
      </c>
      <c r="Y250" s="12">
        <v>2309.090909090909</v>
      </c>
      <c r="Z250" s="12">
        <v>4.3421052631578938</v>
      </c>
      <c r="AA250" s="12" t="s">
        <v>1268</v>
      </c>
      <c r="AB250" s="12"/>
    </row>
    <row r="251" spans="1:28" x14ac:dyDescent="0.3">
      <c r="A251" s="12" t="s">
        <v>2142</v>
      </c>
      <c r="B251" s="12" t="s">
        <v>104</v>
      </c>
      <c r="C251" s="12" t="s">
        <v>382</v>
      </c>
      <c r="D251" s="12" t="s">
        <v>2103</v>
      </c>
      <c r="E251" s="12" t="s">
        <v>1886</v>
      </c>
      <c r="F251" s="12" t="s">
        <v>32</v>
      </c>
      <c r="G251" s="12" t="s">
        <v>32</v>
      </c>
      <c r="H251" s="12" t="b">
        <v>1</v>
      </c>
      <c r="I251" s="12" t="b">
        <v>1</v>
      </c>
      <c r="J251" s="12" t="b">
        <v>0</v>
      </c>
      <c r="K251" s="12" t="b">
        <v>0</v>
      </c>
      <c r="L251" s="12">
        <v>420</v>
      </c>
      <c r="M251" s="12">
        <v>300.032917</v>
      </c>
      <c r="N251" s="12">
        <v>3000</v>
      </c>
      <c r="O251" s="12">
        <v>836.36363636363637</v>
      </c>
      <c r="P251" s="12">
        <v>0.5</v>
      </c>
      <c r="Q251" s="12">
        <v>0.85</v>
      </c>
      <c r="R251" s="12">
        <v>0.75</v>
      </c>
      <c r="S251" s="12">
        <v>0.85</v>
      </c>
      <c r="T251" s="12">
        <v>0.75</v>
      </c>
      <c r="U251" s="12">
        <v>0.8</v>
      </c>
      <c r="V251" s="12"/>
      <c r="W251" s="12">
        <v>8.3538949334796602</v>
      </c>
      <c r="X251" s="12">
        <v>41.967632068505353</v>
      </c>
      <c r="Y251" s="12">
        <v>2163.636363636364</v>
      </c>
      <c r="Z251" s="12">
        <v>3.5869565217391299</v>
      </c>
      <c r="AA251" s="12"/>
      <c r="AB251" s="12"/>
    </row>
    <row r="252" spans="1:28" x14ac:dyDescent="0.3">
      <c r="A252" s="12" t="s">
        <v>2143</v>
      </c>
      <c r="B252" s="12" t="s">
        <v>104</v>
      </c>
      <c r="C252" s="12" t="s">
        <v>382</v>
      </c>
      <c r="D252" s="12" t="s">
        <v>2103</v>
      </c>
      <c r="E252" s="12" t="s">
        <v>1886</v>
      </c>
      <c r="F252" s="12" t="s">
        <v>32</v>
      </c>
      <c r="G252" s="12" t="s">
        <v>32</v>
      </c>
      <c r="H252" s="12" t="b">
        <v>1</v>
      </c>
      <c r="I252" s="12" t="b">
        <v>1</v>
      </c>
      <c r="J252" s="12" t="b">
        <v>0</v>
      </c>
      <c r="K252" s="12" t="b">
        <v>0</v>
      </c>
      <c r="L252" s="12">
        <v>420</v>
      </c>
      <c r="M252" s="12">
        <v>300.032917</v>
      </c>
      <c r="N252" s="12">
        <v>3000</v>
      </c>
      <c r="O252" s="12">
        <v>1127.2727272727279</v>
      </c>
      <c r="P252" s="12">
        <v>0.5</v>
      </c>
      <c r="Q252" s="12">
        <v>0.85</v>
      </c>
      <c r="R252" s="12">
        <v>0.75</v>
      </c>
      <c r="S252" s="12">
        <v>0.85</v>
      </c>
      <c r="T252" s="12">
        <v>0.75</v>
      </c>
      <c r="U252" s="12">
        <v>0.8</v>
      </c>
      <c r="V252" s="12"/>
      <c r="W252" s="12">
        <v>6.4522555281882807</v>
      </c>
      <c r="X252" s="12">
        <v>32.364870895317758</v>
      </c>
      <c r="Y252" s="12">
        <v>1872.7272727272721</v>
      </c>
      <c r="Z252" s="12">
        <v>2.6612903225806441</v>
      </c>
      <c r="AA252" s="12"/>
      <c r="AB252" s="12"/>
    </row>
    <row r="253" spans="1:28" x14ac:dyDescent="0.3">
      <c r="A253" s="12" t="s">
        <v>2144</v>
      </c>
      <c r="B253" s="12" t="s">
        <v>104</v>
      </c>
      <c r="C253" s="12" t="s">
        <v>382</v>
      </c>
      <c r="D253" s="12" t="s">
        <v>2103</v>
      </c>
      <c r="E253" s="12" t="s">
        <v>1886</v>
      </c>
      <c r="F253" s="12" t="s">
        <v>32</v>
      </c>
      <c r="G253" s="12" t="s">
        <v>32</v>
      </c>
      <c r="H253" s="12" t="b">
        <v>1</v>
      </c>
      <c r="I253" s="12" t="b">
        <v>1</v>
      </c>
      <c r="J253" s="12" t="b">
        <v>0</v>
      </c>
      <c r="K253" s="12" t="b">
        <v>0</v>
      </c>
      <c r="L253" s="12">
        <v>420</v>
      </c>
      <c r="M253" s="12">
        <v>300.032917</v>
      </c>
      <c r="N253" s="12">
        <v>3000</v>
      </c>
      <c r="O253" s="12">
        <v>981.81818181818198</v>
      </c>
      <c r="P253" s="12">
        <v>0.5</v>
      </c>
      <c r="Q253" s="12">
        <v>0.85</v>
      </c>
      <c r="R253" s="12">
        <v>0.75</v>
      </c>
      <c r="S253" s="12">
        <v>0.85</v>
      </c>
      <c r="T253" s="12">
        <v>0.75</v>
      </c>
      <c r="U253" s="12">
        <v>0.8</v>
      </c>
      <c r="V253" s="12"/>
      <c r="W253" s="12">
        <v>7.3381112237872399</v>
      </c>
      <c r="X253" s="12">
        <v>36.834320477934327</v>
      </c>
      <c r="Y253" s="12">
        <v>2018.181818181818</v>
      </c>
      <c r="Z253" s="12">
        <v>3.0555555555555549</v>
      </c>
      <c r="AA253" s="12"/>
      <c r="AB253" s="12"/>
    </row>
    <row r="254" spans="1:28" x14ac:dyDescent="0.3">
      <c r="A254" s="12" t="s">
        <v>2145</v>
      </c>
      <c r="B254" s="12" t="s">
        <v>104</v>
      </c>
      <c r="C254" s="12" t="s">
        <v>382</v>
      </c>
      <c r="D254" s="12" t="s">
        <v>2103</v>
      </c>
      <c r="E254" s="12" t="s">
        <v>1886</v>
      </c>
      <c r="F254" s="12" t="s">
        <v>32</v>
      </c>
      <c r="G254" s="12" t="s">
        <v>32</v>
      </c>
      <c r="H254" s="12" t="b">
        <v>1</v>
      </c>
      <c r="I254" s="12" t="b">
        <v>1</v>
      </c>
      <c r="J254" s="12" t="b">
        <v>0</v>
      </c>
      <c r="K254" s="12" t="b">
        <v>0</v>
      </c>
      <c r="L254" s="12">
        <v>420</v>
      </c>
      <c r="M254" s="12">
        <v>300.032917</v>
      </c>
      <c r="N254" s="12">
        <v>3000</v>
      </c>
      <c r="O254" s="12">
        <v>1272.727272727273</v>
      </c>
      <c r="P254" s="12">
        <v>0.5</v>
      </c>
      <c r="Q254" s="12">
        <v>0.85</v>
      </c>
      <c r="R254" s="12">
        <v>0.75</v>
      </c>
      <c r="S254" s="12">
        <v>0.85</v>
      </c>
      <c r="T254" s="12">
        <v>0.75</v>
      </c>
      <c r="U254" s="12">
        <v>0.8</v>
      </c>
      <c r="V254" s="12"/>
      <c r="W254" s="12">
        <v>5.6666442790313498</v>
      </c>
      <c r="X254" s="12">
        <v>28.406751395900159</v>
      </c>
      <c r="Y254" s="12">
        <v>1727.272727272727</v>
      </c>
      <c r="Z254" s="12">
        <v>2.3571428571428572</v>
      </c>
      <c r="AA254" s="12"/>
      <c r="AB254" s="12"/>
    </row>
    <row r="255" spans="1:28" x14ac:dyDescent="0.3">
      <c r="A255" s="12" t="s">
        <v>2146</v>
      </c>
      <c r="B255" s="12" t="s">
        <v>104</v>
      </c>
      <c r="C255" s="12" t="s">
        <v>382</v>
      </c>
      <c r="D255" s="12" t="s">
        <v>2103</v>
      </c>
      <c r="E255" s="12" t="s">
        <v>1886</v>
      </c>
      <c r="F255" s="12" t="s">
        <v>32</v>
      </c>
      <c r="G255" s="12" t="s">
        <v>32</v>
      </c>
      <c r="H255" s="12" t="b">
        <v>1</v>
      </c>
      <c r="I255" s="12" t="b">
        <v>1</v>
      </c>
      <c r="J255" s="12" t="b">
        <v>0</v>
      </c>
      <c r="K255" s="12" t="b">
        <v>0</v>
      </c>
      <c r="L255" s="12">
        <v>420</v>
      </c>
      <c r="M255" s="12">
        <v>300.032917</v>
      </c>
      <c r="N255" s="12">
        <v>3000</v>
      </c>
      <c r="O255" s="12">
        <v>1418.181818181818</v>
      </c>
      <c r="P255" s="12">
        <v>0.5</v>
      </c>
      <c r="Q255" s="12">
        <v>0.85</v>
      </c>
      <c r="R255" s="12">
        <v>0.75</v>
      </c>
      <c r="S255" s="12">
        <v>0.85</v>
      </c>
      <c r="T255" s="12">
        <v>0.75</v>
      </c>
      <c r="U255" s="12">
        <v>0.8</v>
      </c>
      <c r="V255" s="12"/>
      <c r="W255" s="12">
        <v>4.9608955211710599</v>
      </c>
      <c r="X255" s="12">
        <v>24.85537538706869</v>
      </c>
      <c r="Y255" s="12">
        <v>1581.818181818182</v>
      </c>
      <c r="Z255" s="12">
        <v>2.115384615384615</v>
      </c>
      <c r="AA255" s="12"/>
      <c r="AB255" s="12"/>
    </row>
    <row r="256" spans="1:28" x14ac:dyDescent="0.3">
      <c r="A256" s="12" t="s">
        <v>2147</v>
      </c>
      <c r="B256" s="12" t="s">
        <v>104</v>
      </c>
      <c r="C256" s="12" t="s">
        <v>382</v>
      </c>
      <c r="D256" s="12" t="s">
        <v>2103</v>
      </c>
      <c r="E256" s="12" t="s">
        <v>1886</v>
      </c>
      <c r="F256" s="12" t="s">
        <v>32</v>
      </c>
      <c r="G256" s="12" t="s">
        <v>32</v>
      </c>
      <c r="H256" s="12" t="b">
        <v>1</v>
      </c>
      <c r="I256" s="12" t="b">
        <v>1</v>
      </c>
      <c r="J256" s="12" t="b">
        <v>0</v>
      </c>
      <c r="K256" s="12" t="b">
        <v>0</v>
      </c>
      <c r="L256" s="12">
        <v>420</v>
      </c>
      <c r="M256" s="12">
        <v>300.032917</v>
      </c>
      <c r="N256" s="12">
        <v>3000</v>
      </c>
      <c r="O256" s="12">
        <v>1563.636363636364</v>
      </c>
      <c r="P256" s="12">
        <v>0.5</v>
      </c>
      <c r="Q256" s="12">
        <v>0.85</v>
      </c>
      <c r="R256" s="12">
        <v>0.75</v>
      </c>
      <c r="S256" s="12">
        <v>0.85</v>
      </c>
      <c r="T256" s="12">
        <v>0.75</v>
      </c>
      <c r="U256" s="12">
        <v>0.8</v>
      </c>
      <c r="V256" s="12"/>
      <c r="W256" s="12">
        <v>4.32038018190255</v>
      </c>
      <c r="X256" s="12">
        <v>21.635772569283851</v>
      </c>
      <c r="Y256" s="12">
        <v>1436.363636363636</v>
      </c>
      <c r="Z256" s="12">
        <v>1.918604651162791</v>
      </c>
      <c r="AA256" s="12"/>
      <c r="AB256" s="12"/>
    </row>
    <row r="257" spans="1:28" x14ac:dyDescent="0.3">
      <c r="A257" s="12" t="s">
        <v>2148</v>
      </c>
      <c r="B257" s="12" t="s">
        <v>104</v>
      </c>
      <c r="C257" s="12" t="s">
        <v>382</v>
      </c>
      <c r="D257" s="12" t="s">
        <v>2103</v>
      </c>
      <c r="E257" s="12" t="s">
        <v>1886</v>
      </c>
      <c r="F257" s="12" t="s">
        <v>32</v>
      </c>
      <c r="G257" s="12" t="s">
        <v>32</v>
      </c>
      <c r="H257" s="12" t="b">
        <v>1</v>
      </c>
      <c r="I257" s="12" t="b">
        <v>1</v>
      </c>
      <c r="J257" s="12" t="b">
        <v>0</v>
      </c>
      <c r="K257" s="12" t="b">
        <v>0</v>
      </c>
      <c r="L257" s="12">
        <v>420</v>
      </c>
      <c r="M257" s="12">
        <v>300.032917</v>
      </c>
      <c r="N257" s="12">
        <v>3000</v>
      </c>
      <c r="O257" s="12">
        <v>1709.090909090909</v>
      </c>
      <c r="P257" s="12">
        <v>0.5</v>
      </c>
      <c r="Q257" s="12">
        <v>0.85</v>
      </c>
      <c r="R257" s="12">
        <v>0.75</v>
      </c>
      <c r="S257" s="12">
        <v>0.85</v>
      </c>
      <c r="T257" s="12">
        <v>0.75</v>
      </c>
      <c r="U257" s="12">
        <v>0.8</v>
      </c>
      <c r="V257" s="12"/>
      <c r="W257" s="12">
        <v>3.734226266405249</v>
      </c>
      <c r="X257" s="12">
        <v>18.69229231868978</v>
      </c>
      <c r="Y257" s="12">
        <v>1290.909090909091</v>
      </c>
      <c r="Z257" s="12">
        <v>1.7553191489361699</v>
      </c>
      <c r="AA257" s="12"/>
      <c r="AB257" s="12"/>
    </row>
    <row r="258" spans="1:28" x14ac:dyDescent="0.3">
      <c r="A258" s="12" t="s">
        <v>2149</v>
      </c>
      <c r="B258" s="12" t="s">
        <v>104</v>
      </c>
      <c r="C258" s="12" t="s">
        <v>382</v>
      </c>
      <c r="D258" s="12" t="s">
        <v>2103</v>
      </c>
      <c r="E258" s="12" t="s">
        <v>1886</v>
      </c>
      <c r="F258" s="12" t="s">
        <v>32</v>
      </c>
      <c r="G258" s="12" t="s">
        <v>32</v>
      </c>
      <c r="H258" s="12" t="b">
        <v>1</v>
      </c>
      <c r="I258" s="12" t="b">
        <v>1</v>
      </c>
      <c r="J258" s="12" t="b">
        <v>0</v>
      </c>
      <c r="K258" s="12" t="b">
        <v>0</v>
      </c>
      <c r="L258" s="12">
        <v>420</v>
      </c>
      <c r="M258" s="12">
        <v>300.032917</v>
      </c>
      <c r="N258" s="12">
        <v>3000</v>
      </c>
      <c r="O258" s="12">
        <v>1854.545454545455</v>
      </c>
      <c r="P258" s="12">
        <v>0.5</v>
      </c>
      <c r="Q258" s="12">
        <v>0.85</v>
      </c>
      <c r="R258" s="12">
        <v>0.75</v>
      </c>
      <c r="S258" s="12">
        <v>0.85</v>
      </c>
      <c r="T258" s="12">
        <v>0.75</v>
      </c>
      <c r="U258" s="12">
        <v>0.8</v>
      </c>
      <c r="V258" s="12"/>
      <c r="W258" s="12">
        <v>3.19412251185007</v>
      </c>
      <c r="X258" s="12">
        <v>15.982437929916969</v>
      </c>
      <c r="Y258" s="12">
        <v>1145.454545454545</v>
      </c>
      <c r="Z258" s="12">
        <v>1.617647058823529</v>
      </c>
      <c r="AA258" s="12"/>
      <c r="AB258" s="12"/>
    </row>
    <row r="259" spans="1:28" x14ac:dyDescent="0.3">
      <c r="A259" s="12" t="s">
        <v>2150</v>
      </c>
      <c r="B259" s="12" t="s">
        <v>104</v>
      </c>
      <c r="C259" s="12" t="s">
        <v>382</v>
      </c>
      <c r="D259" s="12" t="s">
        <v>2103</v>
      </c>
      <c r="E259" s="12" t="s">
        <v>1886</v>
      </c>
      <c r="F259" s="12" t="s">
        <v>32</v>
      </c>
      <c r="G259" s="12" t="s">
        <v>32</v>
      </c>
      <c r="H259" s="12" t="b">
        <v>1</v>
      </c>
      <c r="I259" s="12" t="b">
        <v>1</v>
      </c>
      <c r="J259" s="12" t="b">
        <v>0</v>
      </c>
      <c r="K259" s="12" t="b">
        <v>0</v>
      </c>
      <c r="L259" s="12">
        <v>420</v>
      </c>
      <c r="M259" s="12">
        <v>300.032917</v>
      </c>
      <c r="N259" s="12">
        <v>3000</v>
      </c>
      <c r="O259" s="12">
        <v>2000</v>
      </c>
      <c r="P259" s="12">
        <v>0.5</v>
      </c>
      <c r="Q259" s="12">
        <v>0.85</v>
      </c>
      <c r="R259" s="12">
        <v>0.75</v>
      </c>
      <c r="S259" s="12">
        <v>0.85</v>
      </c>
      <c r="T259" s="12">
        <v>0.75</v>
      </c>
      <c r="U259" s="12">
        <v>0.8</v>
      </c>
      <c r="V259" s="12"/>
      <c r="W259" s="12">
        <v>2.6935664751593298</v>
      </c>
      <c r="X259" s="12">
        <v>13.472995119469401</v>
      </c>
      <c r="Y259" s="12">
        <v>1000</v>
      </c>
      <c r="Z259" s="12">
        <v>1.5</v>
      </c>
      <c r="AA259" s="12"/>
      <c r="AB259" s="12"/>
    </row>
    <row r="260" spans="1:28" x14ac:dyDescent="0.3">
      <c r="A260" s="12" t="s">
        <v>2151</v>
      </c>
      <c r="B260" s="12" t="s">
        <v>104</v>
      </c>
      <c r="C260" s="12" t="s">
        <v>382</v>
      </c>
      <c r="D260" s="12" t="s">
        <v>2103</v>
      </c>
      <c r="E260" s="12" t="s">
        <v>1886</v>
      </c>
      <c r="F260" s="12" t="s">
        <v>1861</v>
      </c>
      <c r="G260" s="12" t="s">
        <v>1861</v>
      </c>
      <c r="H260" s="12" t="b">
        <v>1</v>
      </c>
      <c r="I260" s="12" t="b">
        <v>0</v>
      </c>
      <c r="J260" s="12" t="b">
        <v>1</v>
      </c>
      <c r="K260" s="12" t="b">
        <v>0</v>
      </c>
      <c r="L260" s="12">
        <v>434</v>
      </c>
      <c r="M260" s="12">
        <v>300.032917</v>
      </c>
      <c r="N260" s="12">
        <v>3000</v>
      </c>
      <c r="O260" s="12">
        <v>400</v>
      </c>
      <c r="P260" s="12">
        <v>0.5</v>
      </c>
      <c r="Q260" s="12">
        <v>0.85</v>
      </c>
      <c r="R260" s="12">
        <v>0.75</v>
      </c>
      <c r="S260" s="12">
        <v>0.85</v>
      </c>
      <c r="T260" s="12">
        <v>0.75</v>
      </c>
      <c r="U260" s="12">
        <v>0.8</v>
      </c>
      <c r="V260" s="12"/>
      <c r="W260" s="12">
        <v>13.02121102249091</v>
      </c>
      <c r="X260" s="12">
        <v>89.067960444719844</v>
      </c>
      <c r="Y260" s="12">
        <v>2600</v>
      </c>
      <c r="Z260" s="12">
        <v>7.5</v>
      </c>
      <c r="AA260" s="12" t="s">
        <v>1268</v>
      </c>
      <c r="AB260" s="12"/>
    </row>
    <row r="261" spans="1:28" x14ac:dyDescent="0.3">
      <c r="A261" s="12" t="s">
        <v>2152</v>
      </c>
      <c r="B261" s="12" t="s">
        <v>104</v>
      </c>
      <c r="C261" s="12" t="s">
        <v>382</v>
      </c>
      <c r="D261" s="12" t="s">
        <v>2103</v>
      </c>
      <c r="E261" s="12" t="s">
        <v>1886</v>
      </c>
      <c r="F261" s="12" t="s">
        <v>1861</v>
      </c>
      <c r="G261" s="12" t="s">
        <v>1861</v>
      </c>
      <c r="H261" s="12" t="b">
        <v>1</v>
      </c>
      <c r="I261" s="12" t="b">
        <v>0</v>
      </c>
      <c r="J261" s="12" t="b">
        <v>1</v>
      </c>
      <c r="K261" s="12" t="b">
        <v>0</v>
      </c>
      <c r="L261" s="12">
        <v>434</v>
      </c>
      <c r="M261" s="12">
        <v>300.032917</v>
      </c>
      <c r="N261" s="12">
        <v>3000</v>
      </c>
      <c r="O261" s="12">
        <v>545.4545454545455</v>
      </c>
      <c r="P261" s="12">
        <v>0.5</v>
      </c>
      <c r="Q261" s="12">
        <v>0.85</v>
      </c>
      <c r="R261" s="12">
        <v>0.75</v>
      </c>
      <c r="S261" s="12">
        <v>0.85</v>
      </c>
      <c r="T261" s="12">
        <v>0.75</v>
      </c>
      <c r="U261" s="12">
        <v>0.8</v>
      </c>
      <c r="V261" s="12"/>
      <c r="W261" s="12">
        <v>11.53241000737917</v>
      </c>
      <c r="X261" s="12">
        <v>78.94026195912366</v>
      </c>
      <c r="Y261" s="12">
        <v>2454.545454545455</v>
      </c>
      <c r="Z261" s="12">
        <v>5.5</v>
      </c>
      <c r="AA261" s="12" t="s">
        <v>1268</v>
      </c>
      <c r="AB261" s="12"/>
    </row>
    <row r="262" spans="1:28" x14ac:dyDescent="0.3">
      <c r="A262" s="12" t="s">
        <v>2153</v>
      </c>
      <c r="B262" s="12" t="s">
        <v>104</v>
      </c>
      <c r="C262" s="12" t="s">
        <v>382</v>
      </c>
      <c r="D262" s="12" t="s">
        <v>2103</v>
      </c>
      <c r="E262" s="12" t="s">
        <v>1886</v>
      </c>
      <c r="F262" s="12" t="s">
        <v>1861</v>
      </c>
      <c r="G262" s="12" t="s">
        <v>1861</v>
      </c>
      <c r="H262" s="12" t="b">
        <v>1</v>
      </c>
      <c r="I262" s="12" t="b">
        <v>0</v>
      </c>
      <c r="J262" s="12" t="b">
        <v>1</v>
      </c>
      <c r="K262" s="12" t="b">
        <v>0</v>
      </c>
      <c r="L262" s="12">
        <v>434</v>
      </c>
      <c r="M262" s="12">
        <v>300.032917</v>
      </c>
      <c r="N262" s="12">
        <v>3000</v>
      </c>
      <c r="O262" s="12">
        <v>690.90909090909099</v>
      </c>
      <c r="P262" s="12">
        <v>0.5</v>
      </c>
      <c r="Q262" s="12">
        <v>0.85</v>
      </c>
      <c r="R262" s="12">
        <v>0.75</v>
      </c>
      <c r="S262" s="12">
        <v>0.85</v>
      </c>
      <c r="T262" s="12">
        <v>0.75</v>
      </c>
      <c r="U262" s="12">
        <v>0.8</v>
      </c>
      <c r="V262" s="12"/>
      <c r="W262" s="12">
        <v>10.224386727207809</v>
      </c>
      <c r="X262" s="12">
        <v>69.971293037321942</v>
      </c>
      <c r="Y262" s="12">
        <v>2309.090909090909</v>
      </c>
      <c r="Z262" s="12">
        <v>4.3421052631578938</v>
      </c>
      <c r="AA262" s="12" t="s">
        <v>1268</v>
      </c>
      <c r="AB262" s="12"/>
    </row>
    <row r="263" spans="1:28" x14ac:dyDescent="0.3">
      <c r="A263" s="12" t="s">
        <v>2154</v>
      </c>
      <c r="B263" s="12" t="s">
        <v>104</v>
      </c>
      <c r="C263" s="12" t="s">
        <v>382</v>
      </c>
      <c r="D263" s="12" t="s">
        <v>2103</v>
      </c>
      <c r="E263" s="12" t="s">
        <v>1886</v>
      </c>
      <c r="F263" s="12" t="s">
        <v>1861</v>
      </c>
      <c r="G263" s="12" t="s">
        <v>1861</v>
      </c>
      <c r="H263" s="12" t="b">
        <v>1</v>
      </c>
      <c r="I263" s="12" t="b">
        <v>0</v>
      </c>
      <c r="J263" s="12" t="b">
        <v>1</v>
      </c>
      <c r="K263" s="12" t="b">
        <v>0</v>
      </c>
      <c r="L263" s="12">
        <v>434</v>
      </c>
      <c r="M263" s="12">
        <v>300.032917</v>
      </c>
      <c r="N263" s="12">
        <v>3000</v>
      </c>
      <c r="O263" s="12">
        <v>836.36363636363637</v>
      </c>
      <c r="P263" s="12">
        <v>0.5</v>
      </c>
      <c r="Q263" s="12">
        <v>0.85</v>
      </c>
      <c r="R263" s="12">
        <v>0.75</v>
      </c>
      <c r="S263" s="12">
        <v>0.85</v>
      </c>
      <c r="T263" s="12">
        <v>0.75</v>
      </c>
      <c r="U263" s="12">
        <v>0.8</v>
      </c>
      <c r="V263" s="12"/>
      <c r="W263" s="12">
        <v>9.0485207588158794</v>
      </c>
      <c r="X263" s="12">
        <v>61.880982848852973</v>
      </c>
      <c r="Y263" s="12">
        <v>2163.636363636364</v>
      </c>
      <c r="Z263" s="12">
        <v>3.5869565217391299</v>
      </c>
      <c r="AA263" s="12" t="s">
        <v>1268</v>
      </c>
      <c r="AB263" s="12"/>
    </row>
    <row r="264" spans="1:28" x14ac:dyDescent="0.3">
      <c r="A264" s="12" t="s">
        <v>2155</v>
      </c>
      <c r="B264" s="12" t="s">
        <v>104</v>
      </c>
      <c r="C264" s="12" t="s">
        <v>382</v>
      </c>
      <c r="D264" s="12" t="s">
        <v>2103</v>
      </c>
      <c r="E264" s="12" t="s">
        <v>1886</v>
      </c>
      <c r="F264" s="12" t="s">
        <v>32</v>
      </c>
      <c r="G264" s="12" t="s">
        <v>32</v>
      </c>
      <c r="H264" s="12" t="b">
        <v>1</v>
      </c>
      <c r="I264" s="12" t="b">
        <v>0</v>
      </c>
      <c r="J264" s="12" t="b">
        <v>1</v>
      </c>
      <c r="K264" s="12" t="b">
        <v>0</v>
      </c>
      <c r="L264" s="12">
        <v>434</v>
      </c>
      <c r="M264" s="12">
        <v>300.032917</v>
      </c>
      <c r="N264" s="12">
        <v>3000</v>
      </c>
      <c r="O264" s="12">
        <v>1272.727272727273</v>
      </c>
      <c r="P264" s="12">
        <v>0.5</v>
      </c>
      <c r="Q264" s="12">
        <v>0.85</v>
      </c>
      <c r="R264" s="12">
        <v>0.75</v>
      </c>
      <c r="S264" s="12">
        <v>0.85</v>
      </c>
      <c r="T264" s="12">
        <v>0.75</v>
      </c>
      <c r="U264" s="12">
        <v>0.8</v>
      </c>
      <c r="V264" s="12"/>
      <c r="W264" s="12">
        <v>6.1782971435301404</v>
      </c>
      <c r="X264" s="12">
        <v>42.140102320629808</v>
      </c>
      <c r="Y264" s="12">
        <v>1727.272727272727</v>
      </c>
      <c r="Z264" s="12">
        <v>2.3571428571428572</v>
      </c>
      <c r="AA264" s="12"/>
      <c r="AB264" s="12"/>
    </row>
    <row r="265" spans="1:28" x14ac:dyDescent="0.3">
      <c r="A265" s="12" t="s">
        <v>2156</v>
      </c>
      <c r="B265" s="12" t="s">
        <v>104</v>
      </c>
      <c r="C265" s="12" t="s">
        <v>382</v>
      </c>
      <c r="D265" s="12" t="s">
        <v>2103</v>
      </c>
      <c r="E265" s="12" t="s">
        <v>1886</v>
      </c>
      <c r="F265" s="12" t="s">
        <v>32</v>
      </c>
      <c r="G265" s="12" t="s">
        <v>32</v>
      </c>
      <c r="H265" s="12" t="b">
        <v>1</v>
      </c>
      <c r="I265" s="12" t="b">
        <v>0</v>
      </c>
      <c r="J265" s="12" t="b">
        <v>1</v>
      </c>
      <c r="K265" s="12" t="b">
        <v>0</v>
      </c>
      <c r="L265" s="12">
        <v>434</v>
      </c>
      <c r="M265" s="12">
        <v>300.032917</v>
      </c>
      <c r="N265" s="12">
        <v>3000</v>
      </c>
      <c r="O265" s="12">
        <v>1127.2727272727279</v>
      </c>
      <c r="P265" s="12">
        <v>0.5</v>
      </c>
      <c r="Q265" s="12">
        <v>0.85</v>
      </c>
      <c r="R265" s="12">
        <v>0.75</v>
      </c>
      <c r="S265" s="12">
        <v>0.85</v>
      </c>
      <c r="T265" s="12">
        <v>0.75</v>
      </c>
      <c r="U265" s="12">
        <v>0.8</v>
      </c>
      <c r="V265" s="12"/>
      <c r="W265" s="12">
        <v>7.0243739327929999</v>
      </c>
      <c r="X265" s="12">
        <v>47.949008581350363</v>
      </c>
      <c r="Y265" s="12">
        <v>1872.7272727272721</v>
      </c>
      <c r="Z265" s="12">
        <v>2.6612903225806441</v>
      </c>
      <c r="AA265" s="12"/>
      <c r="AB265" s="12"/>
    </row>
    <row r="266" spans="1:28" x14ac:dyDescent="0.3">
      <c r="A266" s="12" t="s">
        <v>2157</v>
      </c>
      <c r="B266" s="12" t="s">
        <v>104</v>
      </c>
      <c r="C266" s="12" t="s">
        <v>382</v>
      </c>
      <c r="D266" s="12" t="s">
        <v>2103</v>
      </c>
      <c r="E266" s="12" t="s">
        <v>1886</v>
      </c>
      <c r="F266" s="12" t="s">
        <v>32</v>
      </c>
      <c r="G266" s="12" t="s">
        <v>32</v>
      </c>
      <c r="H266" s="12" t="b">
        <v>1</v>
      </c>
      <c r="I266" s="12" t="b">
        <v>0</v>
      </c>
      <c r="J266" s="12" t="b">
        <v>1</v>
      </c>
      <c r="K266" s="12" t="b">
        <v>0</v>
      </c>
      <c r="L266" s="12">
        <v>434</v>
      </c>
      <c r="M266" s="12">
        <v>300.032917</v>
      </c>
      <c r="N266" s="12">
        <v>3000</v>
      </c>
      <c r="O266" s="12">
        <v>981.81818181818198</v>
      </c>
      <c r="P266" s="12">
        <v>0.5</v>
      </c>
      <c r="Q266" s="12">
        <v>0.85</v>
      </c>
      <c r="R266" s="12">
        <v>0.75</v>
      </c>
      <c r="S266" s="12">
        <v>0.85</v>
      </c>
      <c r="T266" s="12">
        <v>0.75</v>
      </c>
      <c r="U266" s="12">
        <v>0.8</v>
      </c>
      <c r="V266" s="12"/>
      <c r="W266" s="12">
        <v>7.97645936528993</v>
      </c>
      <c r="X266" s="12">
        <v>54.497370918294408</v>
      </c>
      <c r="Y266" s="12">
        <v>2018.181818181818</v>
      </c>
      <c r="Z266" s="12">
        <v>3.0555555555555549</v>
      </c>
      <c r="AA266" s="12"/>
      <c r="AB266" s="12"/>
    </row>
    <row r="267" spans="1:28" x14ac:dyDescent="0.3">
      <c r="A267" s="12" t="s">
        <v>2158</v>
      </c>
      <c r="B267" s="12" t="s">
        <v>104</v>
      </c>
      <c r="C267" s="12" t="s">
        <v>382</v>
      </c>
      <c r="D267" s="12" t="s">
        <v>2103</v>
      </c>
      <c r="E267" s="12" t="s">
        <v>1886</v>
      </c>
      <c r="F267" s="12" t="s">
        <v>32</v>
      </c>
      <c r="G267" s="12" t="s">
        <v>32</v>
      </c>
      <c r="H267" s="12" t="b">
        <v>1</v>
      </c>
      <c r="I267" s="12" t="b">
        <v>0</v>
      </c>
      <c r="J267" s="12" t="b">
        <v>1</v>
      </c>
      <c r="K267" s="12" t="b">
        <v>0</v>
      </c>
      <c r="L267" s="12">
        <v>434</v>
      </c>
      <c r="M267" s="12">
        <v>300.032917</v>
      </c>
      <c r="N267" s="12">
        <v>3000</v>
      </c>
      <c r="O267" s="12">
        <v>1418.181818181818</v>
      </c>
      <c r="P267" s="12">
        <v>0.5</v>
      </c>
      <c r="Q267" s="12">
        <v>0.85</v>
      </c>
      <c r="R267" s="12">
        <v>0.75</v>
      </c>
      <c r="S267" s="12">
        <v>0.85</v>
      </c>
      <c r="T267" s="12">
        <v>0.75</v>
      </c>
      <c r="U267" s="12">
        <v>0.8</v>
      </c>
      <c r="V267" s="12"/>
      <c r="W267" s="12">
        <v>5.4166391368906401</v>
      </c>
      <c r="X267" s="12">
        <v>36.918963280561201</v>
      </c>
      <c r="Y267" s="12">
        <v>1581.818181818182</v>
      </c>
      <c r="Z267" s="12">
        <v>2.115384615384615</v>
      </c>
      <c r="AA267" s="12"/>
      <c r="AB267" s="12"/>
    </row>
    <row r="268" spans="1:28" x14ac:dyDescent="0.3">
      <c r="A268" s="12" t="s">
        <v>2159</v>
      </c>
      <c r="B268" s="12" t="s">
        <v>104</v>
      </c>
      <c r="C268" s="12" t="s">
        <v>382</v>
      </c>
      <c r="D268" s="12" t="s">
        <v>2103</v>
      </c>
      <c r="E268" s="12" t="s">
        <v>1886</v>
      </c>
      <c r="F268" s="12" t="s">
        <v>832</v>
      </c>
      <c r="G268" s="12" t="s">
        <v>832</v>
      </c>
      <c r="H268" s="12" t="b">
        <v>0</v>
      </c>
      <c r="I268" s="12" t="b">
        <v>0</v>
      </c>
      <c r="J268" s="12" t="b">
        <v>0</v>
      </c>
      <c r="K268" s="12" t="b">
        <v>0</v>
      </c>
      <c r="L268" s="12">
        <v>434</v>
      </c>
      <c r="M268" s="12">
        <v>300.032917</v>
      </c>
      <c r="N268" s="12">
        <v>3000</v>
      </c>
      <c r="O268" s="12">
        <v>1854.545454545455</v>
      </c>
      <c r="P268" s="12">
        <v>0.5</v>
      </c>
      <c r="Q268" s="12">
        <v>0.85</v>
      </c>
      <c r="R268" s="12">
        <v>0.75</v>
      </c>
      <c r="S268" s="12">
        <v>0.85</v>
      </c>
      <c r="T268" s="12">
        <v>0.75</v>
      </c>
      <c r="U268" s="12">
        <v>0.8</v>
      </c>
      <c r="V268" s="12"/>
      <c r="W268" s="12"/>
      <c r="X268" s="12"/>
      <c r="Y268" s="12">
        <v>1145.454545454545</v>
      </c>
      <c r="Z268" s="12">
        <v>1.617647058823529</v>
      </c>
      <c r="AA268" s="12"/>
      <c r="AB268" s="12"/>
    </row>
    <row r="269" spans="1:28" x14ac:dyDescent="0.3">
      <c r="A269" s="12" t="s">
        <v>2160</v>
      </c>
      <c r="B269" s="12" t="s">
        <v>104</v>
      </c>
      <c r="C269" s="12" t="s">
        <v>382</v>
      </c>
      <c r="D269" s="12" t="s">
        <v>2103</v>
      </c>
      <c r="E269" s="12" t="s">
        <v>1886</v>
      </c>
      <c r="F269" s="12" t="s">
        <v>832</v>
      </c>
      <c r="G269" s="12" t="s">
        <v>832</v>
      </c>
      <c r="H269" s="12" t="b">
        <v>0</v>
      </c>
      <c r="I269" s="12" t="b">
        <v>0</v>
      </c>
      <c r="J269" s="12" t="b">
        <v>0</v>
      </c>
      <c r="K269" s="12" t="b">
        <v>0</v>
      </c>
      <c r="L269" s="12">
        <v>434</v>
      </c>
      <c r="M269" s="12">
        <v>300.032917</v>
      </c>
      <c r="N269" s="12">
        <v>3000</v>
      </c>
      <c r="O269" s="12">
        <v>2000</v>
      </c>
      <c r="P269" s="12">
        <v>0.5</v>
      </c>
      <c r="Q269" s="12">
        <v>0.85</v>
      </c>
      <c r="R269" s="12">
        <v>0.75</v>
      </c>
      <c r="S269" s="12">
        <v>0.85</v>
      </c>
      <c r="T269" s="12">
        <v>0.75</v>
      </c>
      <c r="U269" s="12">
        <v>0.8</v>
      </c>
      <c r="V269" s="12"/>
      <c r="W269" s="12"/>
      <c r="X269" s="12"/>
      <c r="Y269" s="12">
        <v>1000</v>
      </c>
      <c r="Z269" s="12">
        <v>1.5</v>
      </c>
      <c r="AA269" s="12"/>
      <c r="AB269" s="12"/>
    </row>
    <row r="270" spans="1:28" x14ac:dyDescent="0.3">
      <c r="A270" s="12" t="s">
        <v>2161</v>
      </c>
      <c r="B270" s="12" t="s">
        <v>104</v>
      </c>
      <c r="C270" s="12" t="s">
        <v>382</v>
      </c>
      <c r="D270" s="12" t="s">
        <v>2103</v>
      </c>
      <c r="E270" s="12" t="s">
        <v>1886</v>
      </c>
      <c r="F270" s="12" t="s">
        <v>32</v>
      </c>
      <c r="G270" s="12" t="s">
        <v>32</v>
      </c>
      <c r="H270" s="12" t="b">
        <v>1</v>
      </c>
      <c r="I270" s="12" t="b">
        <v>0</v>
      </c>
      <c r="J270" s="12" t="b">
        <v>1</v>
      </c>
      <c r="K270" s="12" t="b">
        <v>0</v>
      </c>
      <c r="L270" s="12">
        <v>434</v>
      </c>
      <c r="M270" s="12">
        <v>300.032917</v>
      </c>
      <c r="N270" s="12">
        <v>3000</v>
      </c>
      <c r="O270" s="12">
        <v>1563.636363636364</v>
      </c>
      <c r="P270" s="12">
        <v>0.5</v>
      </c>
      <c r="Q270" s="12">
        <v>0.85</v>
      </c>
      <c r="R270" s="12">
        <v>0.75</v>
      </c>
      <c r="S270" s="12">
        <v>0.85</v>
      </c>
      <c r="T270" s="12">
        <v>0.75</v>
      </c>
      <c r="U270" s="12">
        <v>0.8</v>
      </c>
      <c r="V270" s="12"/>
      <c r="W270" s="12">
        <v>4.7239083557742294</v>
      </c>
      <c r="X270" s="12">
        <v>32.176958254887602</v>
      </c>
      <c r="Y270" s="12">
        <v>1436.363636363636</v>
      </c>
      <c r="Z270" s="12">
        <v>1.918604651162791</v>
      </c>
      <c r="AA270" s="12"/>
      <c r="AB270" s="12"/>
    </row>
    <row r="271" spans="1:28" x14ac:dyDescent="0.3">
      <c r="A271" s="12" t="s">
        <v>2162</v>
      </c>
      <c r="B271" s="12" t="s">
        <v>104</v>
      </c>
      <c r="C271" s="12" t="s">
        <v>382</v>
      </c>
      <c r="D271" s="12" t="s">
        <v>2103</v>
      </c>
      <c r="E271" s="12" t="s">
        <v>1886</v>
      </c>
      <c r="F271" s="12" t="s">
        <v>32</v>
      </c>
      <c r="G271" s="12" t="s">
        <v>32</v>
      </c>
      <c r="H271" s="12" t="b">
        <v>1</v>
      </c>
      <c r="I271" s="12" t="b">
        <v>0</v>
      </c>
      <c r="J271" s="12" t="b">
        <v>1</v>
      </c>
      <c r="K271" s="12" t="b">
        <v>0</v>
      </c>
      <c r="L271" s="12">
        <v>434</v>
      </c>
      <c r="M271" s="12">
        <v>300.032917</v>
      </c>
      <c r="N271" s="12">
        <v>3000</v>
      </c>
      <c r="O271" s="12">
        <v>1709.090909090909</v>
      </c>
      <c r="P271" s="12">
        <v>0.5</v>
      </c>
      <c r="Q271" s="12">
        <v>0.85</v>
      </c>
      <c r="R271" s="12">
        <v>0.75</v>
      </c>
      <c r="S271" s="12">
        <v>0.85</v>
      </c>
      <c r="T271" s="12">
        <v>0.75</v>
      </c>
      <c r="U271" s="12">
        <v>0.8</v>
      </c>
      <c r="V271" s="12"/>
      <c r="W271" s="12">
        <v>4.0885998891008404</v>
      </c>
      <c r="X271" s="12">
        <v>27.833510374733049</v>
      </c>
      <c r="Y271" s="12">
        <v>1290.909090909091</v>
      </c>
      <c r="Z271" s="12">
        <v>1.7553191489361699</v>
      </c>
      <c r="AA271" s="12"/>
      <c r="AB271" s="12"/>
    </row>
    <row r="272" spans="1:28" x14ac:dyDescent="0.3">
      <c r="A272" s="12" t="s">
        <v>2163</v>
      </c>
      <c r="B272" s="12" t="s">
        <v>104</v>
      </c>
      <c r="C272" s="12" t="s">
        <v>382</v>
      </c>
      <c r="D272" s="12" t="s">
        <v>2103</v>
      </c>
      <c r="E272" s="12" t="s">
        <v>1886</v>
      </c>
      <c r="F272" s="12" t="s">
        <v>1861</v>
      </c>
      <c r="G272" s="12" t="s">
        <v>1861</v>
      </c>
      <c r="H272" s="12" t="b">
        <v>1</v>
      </c>
      <c r="I272" s="12" t="b">
        <v>0</v>
      </c>
      <c r="J272" s="12" t="b">
        <v>1</v>
      </c>
      <c r="K272" s="12" t="b">
        <v>0</v>
      </c>
      <c r="L272" s="12">
        <v>466</v>
      </c>
      <c r="M272" s="12">
        <v>300.032917</v>
      </c>
      <c r="N272" s="12">
        <v>3000</v>
      </c>
      <c r="O272" s="12">
        <v>400</v>
      </c>
      <c r="P272" s="12">
        <v>0.5</v>
      </c>
      <c r="Q272" s="12">
        <v>0.85</v>
      </c>
      <c r="R272" s="12">
        <v>0.75</v>
      </c>
      <c r="S272" s="12">
        <v>0.85</v>
      </c>
      <c r="T272" s="12">
        <v>0.75</v>
      </c>
      <c r="U272" s="12">
        <v>0.8</v>
      </c>
      <c r="V272" s="12"/>
      <c r="W272" s="12">
        <v>13.23660705562134</v>
      </c>
      <c r="X272" s="12">
        <v>182.61256601010589</v>
      </c>
      <c r="Y272" s="12">
        <v>2600</v>
      </c>
      <c r="Z272" s="12">
        <v>7.5</v>
      </c>
      <c r="AA272" s="12" t="s">
        <v>1268</v>
      </c>
      <c r="AB272" s="12"/>
    </row>
    <row r="273" spans="1:28" x14ac:dyDescent="0.3">
      <c r="A273" s="12" t="s">
        <v>2164</v>
      </c>
      <c r="B273" s="12" t="s">
        <v>104</v>
      </c>
      <c r="C273" s="12" t="s">
        <v>382</v>
      </c>
      <c r="D273" s="12" t="s">
        <v>2103</v>
      </c>
      <c r="E273" s="12" t="s">
        <v>1886</v>
      </c>
      <c r="F273" s="12" t="s">
        <v>1861</v>
      </c>
      <c r="G273" s="12" t="s">
        <v>1861</v>
      </c>
      <c r="H273" s="12" t="b">
        <v>1</v>
      </c>
      <c r="I273" s="12" t="b">
        <v>0</v>
      </c>
      <c r="J273" s="12" t="b">
        <v>1</v>
      </c>
      <c r="K273" s="12" t="b">
        <v>0</v>
      </c>
      <c r="L273" s="12">
        <v>466</v>
      </c>
      <c r="M273" s="12">
        <v>300.032917</v>
      </c>
      <c r="N273" s="12">
        <v>3000</v>
      </c>
      <c r="O273" s="12">
        <v>545.4545454545455</v>
      </c>
      <c r="P273" s="12">
        <v>0.5</v>
      </c>
      <c r="Q273" s="12">
        <v>0.85</v>
      </c>
      <c r="R273" s="12">
        <v>0.75</v>
      </c>
      <c r="S273" s="12">
        <v>0.85</v>
      </c>
      <c r="T273" s="12">
        <v>0.75</v>
      </c>
      <c r="U273" s="12">
        <v>0.8</v>
      </c>
      <c r="V273" s="12"/>
      <c r="W273" s="12">
        <v>11.67128689067591</v>
      </c>
      <c r="X273" s="12">
        <v>161.25727343867311</v>
      </c>
      <c r="Y273" s="12">
        <v>2454.545454545455</v>
      </c>
      <c r="Z273" s="12">
        <v>5.5</v>
      </c>
      <c r="AA273" s="12" t="s">
        <v>1268</v>
      </c>
      <c r="AB273" s="12"/>
    </row>
    <row r="274" spans="1:28" x14ac:dyDescent="0.3">
      <c r="A274" s="12" t="s">
        <v>2165</v>
      </c>
      <c r="B274" s="12" t="s">
        <v>104</v>
      </c>
      <c r="C274" s="12" t="s">
        <v>382</v>
      </c>
      <c r="D274" s="12" t="s">
        <v>2103</v>
      </c>
      <c r="E274" s="12" t="s">
        <v>1886</v>
      </c>
      <c r="F274" s="12" t="s">
        <v>1861</v>
      </c>
      <c r="G274" s="12" t="s">
        <v>1861</v>
      </c>
      <c r="H274" s="12" t="b">
        <v>1</v>
      </c>
      <c r="I274" s="12" t="b">
        <v>0</v>
      </c>
      <c r="J274" s="12" t="b">
        <v>1</v>
      </c>
      <c r="K274" s="12" t="b">
        <v>0</v>
      </c>
      <c r="L274" s="12">
        <v>466</v>
      </c>
      <c r="M274" s="12">
        <v>300.032917</v>
      </c>
      <c r="N274" s="12">
        <v>3000</v>
      </c>
      <c r="O274" s="12">
        <v>690.90909090909099</v>
      </c>
      <c r="P274" s="12">
        <v>0.5</v>
      </c>
      <c r="Q274" s="12">
        <v>0.85</v>
      </c>
      <c r="R274" s="12">
        <v>0.75</v>
      </c>
      <c r="S274" s="12">
        <v>0.85</v>
      </c>
      <c r="T274" s="12">
        <v>0.75</v>
      </c>
      <c r="U274" s="12">
        <v>0.8</v>
      </c>
      <c r="V274" s="12"/>
      <c r="W274" s="12">
        <v>10.37860610350595</v>
      </c>
      <c r="X274" s="12">
        <v>143.4860789454001</v>
      </c>
      <c r="Y274" s="12">
        <v>2309.090909090909</v>
      </c>
      <c r="Z274" s="12">
        <v>4.3421052631578938</v>
      </c>
      <c r="AA274" s="12" t="s">
        <v>1268</v>
      </c>
      <c r="AB274" s="12"/>
    </row>
    <row r="275" spans="1:28" x14ac:dyDescent="0.3">
      <c r="A275" s="12" t="s">
        <v>2166</v>
      </c>
      <c r="B275" s="12" t="s">
        <v>104</v>
      </c>
      <c r="C275" s="12" t="s">
        <v>382</v>
      </c>
      <c r="D275" s="12" t="s">
        <v>2103</v>
      </c>
      <c r="E275" s="12" t="s">
        <v>1886</v>
      </c>
      <c r="F275" s="12" t="s">
        <v>1861</v>
      </c>
      <c r="G275" s="12" t="s">
        <v>1861</v>
      </c>
      <c r="H275" s="12" t="b">
        <v>1</v>
      </c>
      <c r="I275" s="12" t="b">
        <v>0</v>
      </c>
      <c r="J275" s="12" t="b">
        <v>1</v>
      </c>
      <c r="K275" s="12" t="b">
        <v>0</v>
      </c>
      <c r="L275" s="12">
        <v>466</v>
      </c>
      <c r="M275" s="12">
        <v>300.032917</v>
      </c>
      <c r="N275" s="12">
        <v>3000</v>
      </c>
      <c r="O275" s="12">
        <v>836.36363636363637</v>
      </c>
      <c r="P275" s="12">
        <v>0.5</v>
      </c>
      <c r="Q275" s="12">
        <v>0.85</v>
      </c>
      <c r="R275" s="12">
        <v>0.75</v>
      </c>
      <c r="S275" s="12">
        <v>0.85</v>
      </c>
      <c r="T275" s="12">
        <v>0.75</v>
      </c>
      <c r="U275" s="12">
        <v>0.8</v>
      </c>
      <c r="V275" s="12"/>
      <c r="W275" s="12">
        <v>9.2657530982995002</v>
      </c>
      <c r="X275" s="12">
        <v>128.12034009142911</v>
      </c>
      <c r="Y275" s="12">
        <v>2163.636363636364</v>
      </c>
      <c r="Z275" s="12">
        <v>3.5869565217391299</v>
      </c>
      <c r="AA275" s="12" t="s">
        <v>1268</v>
      </c>
      <c r="AB275" s="12"/>
    </row>
    <row r="276" spans="1:28" x14ac:dyDescent="0.3">
      <c r="A276" s="12" t="s">
        <v>2167</v>
      </c>
      <c r="B276" s="12" t="s">
        <v>104</v>
      </c>
      <c r="C276" s="12" t="s">
        <v>382</v>
      </c>
      <c r="D276" s="12" t="s">
        <v>2103</v>
      </c>
      <c r="E276" s="12" t="s">
        <v>1886</v>
      </c>
      <c r="F276" s="12" t="s">
        <v>1861</v>
      </c>
      <c r="G276" s="12" t="s">
        <v>1861</v>
      </c>
      <c r="H276" s="12" t="b">
        <v>1</v>
      </c>
      <c r="I276" s="12" t="b">
        <v>0</v>
      </c>
      <c r="J276" s="12" t="b">
        <v>1</v>
      </c>
      <c r="K276" s="12" t="b">
        <v>0</v>
      </c>
      <c r="L276" s="12">
        <v>466</v>
      </c>
      <c r="M276" s="12">
        <v>300.032917</v>
      </c>
      <c r="N276" s="12">
        <v>3000</v>
      </c>
      <c r="O276" s="12">
        <v>981.81818181818198</v>
      </c>
      <c r="P276" s="12">
        <v>0.5</v>
      </c>
      <c r="Q276" s="12">
        <v>0.85</v>
      </c>
      <c r="R276" s="12">
        <v>0.75</v>
      </c>
      <c r="S276" s="12">
        <v>0.85</v>
      </c>
      <c r="T276" s="12">
        <v>0.75</v>
      </c>
      <c r="U276" s="12">
        <v>0.8</v>
      </c>
      <c r="V276" s="12"/>
      <c r="W276" s="12">
        <v>8.2817101780989599</v>
      </c>
      <c r="X276" s="12">
        <v>114.499000434134</v>
      </c>
      <c r="Y276" s="12">
        <v>2018.181818181818</v>
      </c>
      <c r="Z276" s="12">
        <v>3.0555555555555549</v>
      </c>
      <c r="AA276" s="12" t="s">
        <v>1268</v>
      </c>
      <c r="AB276" s="12"/>
    </row>
    <row r="277" spans="1:28" x14ac:dyDescent="0.3">
      <c r="A277" s="12" t="s">
        <v>2168</v>
      </c>
      <c r="B277" s="12" t="s">
        <v>104</v>
      </c>
      <c r="C277" s="12" t="s">
        <v>382</v>
      </c>
      <c r="D277" s="12" t="s">
        <v>2103</v>
      </c>
      <c r="E277" s="12" t="s">
        <v>1886</v>
      </c>
      <c r="F277" s="12" t="s">
        <v>1861</v>
      </c>
      <c r="G277" s="12" t="s">
        <v>1861</v>
      </c>
      <c r="H277" s="12" t="b">
        <v>1</v>
      </c>
      <c r="I277" s="12" t="b">
        <v>0</v>
      </c>
      <c r="J277" s="12" t="b">
        <v>1</v>
      </c>
      <c r="K277" s="12" t="b">
        <v>0</v>
      </c>
      <c r="L277" s="12">
        <v>466</v>
      </c>
      <c r="M277" s="12">
        <v>300.032917</v>
      </c>
      <c r="N277" s="12">
        <v>3000</v>
      </c>
      <c r="O277" s="12">
        <v>1127.2727272727279</v>
      </c>
      <c r="P277" s="12">
        <v>0.5</v>
      </c>
      <c r="Q277" s="12">
        <v>0.85</v>
      </c>
      <c r="R277" s="12">
        <v>0.75</v>
      </c>
      <c r="S277" s="12">
        <v>0.85</v>
      </c>
      <c r="T277" s="12">
        <v>0.75</v>
      </c>
      <c r="U277" s="12">
        <v>0.8</v>
      </c>
      <c r="V277" s="12"/>
      <c r="W277" s="12">
        <v>7.3951334347294893</v>
      </c>
      <c r="X277" s="12">
        <v>102.2099832395387</v>
      </c>
      <c r="Y277" s="12">
        <v>1872.7272727272721</v>
      </c>
      <c r="Z277" s="12">
        <v>2.6612903225806441</v>
      </c>
      <c r="AA277" s="12" t="s">
        <v>1268</v>
      </c>
      <c r="AB277" s="12"/>
    </row>
    <row r="278" spans="1:28" x14ac:dyDescent="0.3">
      <c r="A278" s="12" t="s">
        <v>2169</v>
      </c>
      <c r="B278" s="12" t="s">
        <v>104</v>
      </c>
      <c r="C278" s="12" t="s">
        <v>382</v>
      </c>
      <c r="D278" s="12" t="s">
        <v>2103</v>
      </c>
      <c r="E278" s="12" t="s">
        <v>1886</v>
      </c>
      <c r="F278" s="12" t="s">
        <v>1861</v>
      </c>
      <c r="G278" s="12" t="s">
        <v>1861</v>
      </c>
      <c r="H278" s="12" t="b">
        <v>1</v>
      </c>
      <c r="I278" s="12" t="b">
        <v>0</v>
      </c>
      <c r="J278" s="12" t="b">
        <v>1</v>
      </c>
      <c r="K278" s="12" t="b">
        <v>0</v>
      </c>
      <c r="L278" s="12">
        <v>466</v>
      </c>
      <c r="M278" s="12">
        <v>300.032917</v>
      </c>
      <c r="N278" s="12">
        <v>3000</v>
      </c>
      <c r="O278" s="12">
        <v>1272.727272727273</v>
      </c>
      <c r="P278" s="12">
        <v>0.5</v>
      </c>
      <c r="Q278" s="12">
        <v>0.85</v>
      </c>
      <c r="R278" s="12">
        <v>0.75</v>
      </c>
      <c r="S278" s="12">
        <v>0.85</v>
      </c>
      <c r="T278" s="12">
        <v>0.75</v>
      </c>
      <c r="U278" s="12">
        <v>0.8</v>
      </c>
      <c r="V278" s="12"/>
      <c r="W278" s="12">
        <v>6.5852570615971704</v>
      </c>
      <c r="X278" s="12">
        <v>90.977217286071337</v>
      </c>
      <c r="Y278" s="12">
        <v>1727.272727272727</v>
      </c>
      <c r="Z278" s="12">
        <v>2.3571428571428572</v>
      </c>
      <c r="AA278" s="12" t="s">
        <v>1268</v>
      </c>
      <c r="AB278" s="12"/>
    </row>
    <row r="279" spans="1:28" x14ac:dyDescent="0.3">
      <c r="A279" s="12" t="s">
        <v>2170</v>
      </c>
      <c r="B279" s="12" t="s">
        <v>104</v>
      </c>
      <c r="C279" s="12" t="s">
        <v>382</v>
      </c>
      <c r="D279" s="12" t="s">
        <v>2103</v>
      </c>
      <c r="E279" s="12" t="s">
        <v>1886</v>
      </c>
      <c r="F279" s="12" t="s">
        <v>1861</v>
      </c>
      <c r="G279" s="12" t="s">
        <v>1861</v>
      </c>
      <c r="H279" s="12" t="b">
        <v>1</v>
      </c>
      <c r="I279" s="12" t="b">
        <v>0</v>
      </c>
      <c r="J279" s="12" t="b">
        <v>1</v>
      </c>
      <c r="K279" s="12" t="b">
        <v>0</v>
      </c>
      <c r="L279" s="12">
        <v>466</v>
      </c>
      <c r="M279" s="12">
        <v>300.032917</v>
      </c>
      <c r="N279" s="12">
        <v>3000</v>
      </c>
      <c r="O279" s="12">
        <v>1418.181818181818</v>
      </c>
      <c r="P279" s="12">
        <v>0.5</v>
      </c>
      <c r="Q279" s="12">
        <v>0.85</v>
      </c>
      <c r="R279" s="12">
        <v>0.75</v>
      </c>
      <c r="S279" s="12">
        <v>0.85</v>
      </c>
      <c r="T279" s="12">
        <v>0.75</v>
      </c>
      <c r="U279" s="12">
        <v>0.8</v>
      </c>
      <c r="V279" s="12"/>
      <c r="W279" s="12">
        <v>5.8375418015896896</v>
      </c>
      <c r="X279" s="12">
        <v>80.605670165491361</v>
      </c>
      <c r="Y279" s="12">
        <v>1581.818181818182</v>
      </c>
      <c r="Z279" s="12">
        <v>2.115384615384615</v>
      </c>
      <c r="AA279" s="12" t="s">
        <v>1268</v>
      </c>
      <c r="AB279" s="12"/>
    </row>
    <row r="280" spans="1:28" x14ac:dyDescent="0.3">
      <c r="A280" s="12" t="s">
        <v>2171</v>
      </c>
      <c r="B280" s="12" t="s">
        <v>104</v>
      </c>
      <c r="C280" s="12" t="s">
        <v>382</v>
      </c>
      <c r="D280" s="12" t="s">
        <v>2103</v>
      </c>
      <c r="E280" s="12" t="s">
        <v>1886</v>
      </c>
      <c r="F280" s="12" t="s">
        <v>1861</v>
      </c>
      <c r="G280" s="12" t="s">
        <v>1861</v>
      </c>
      <c r="H280" s="12" t="b">
        <v>1</v>
      </c>
      <c r="I280" s="12" t="b">
        <v>0</v>
      </c>
      <c r="J280" s="12" t="b">
        <v>1</v>
      </c>
      <c r="K280" s="12" t="b">
        <v>0</v>
      </c>
      <c r="L280" s="12">
        <v>466</v>
      </c>
      <c r="M280" s="12">
        <v>300.032917</v>
      </c>
      <c r="N280" s="12">
        <v>3000</v>
      </c>
      <c r="O280" s="12">
        <v>1563.636363636364</v>
      </c>
      <c r="P280" s="12">
        <v>0.5</v>
      </c>
      <c r="Q280" s="12">
        <v>0.85</v>
      </c>
      <c r="R280" s="12">
        <v>0.75</v>
      </c>
      <c r="S280" s="12">
        <v>0.85</v>
      </c>
      <c r="T280" s="12">
        <v>0.75</v>
      </c>
      <c r="U280" s="12">
        <v>0.8</v>
      </c>
      <c r="V280" s="12"/>
      <c r="W280" s="12">
        <v>5.14137984288101</v>
      </c>
      <c r="X280" s="12">
        <v>70.951994390738307</v>
      </c>
      <c r="Y280" s="12">
        <v>1436.363636363636</v>
      </c>
      <c r="Z280" s="12">
        <v>1.918604651162791</v>
      </c>
      <c r="AA280" s="12" t="s">
        <v>1268</v>
      </c>
      <c r="AB280" s="12"/>
    </row>
    <row r="281" spans="1:28" x14ac:dyDescent="0.3">
      <c r="A281" s="12" t="s">
        <v>2172</v>
      </c>
      <c r="B281" s="12" t="s">
        <v>104</v>
      </c>
      <c r="C281" s="12" t="s">
        <v>382</v>
      </c>
      <c r="D281" s="12" t="s">
        <v>2103</v>
      </c>
      <c r="E281" s="12" t="s">
        <v>1886</v>
      </c>
      <c r="F281" s="12" t="s">
        <v>1861</v>
      </c>
      <c r="G281" s="12" t="s">
        <v>1861</v>
      </c>
      <c r="H281" s="12" t="b">
        <v>1</v>
      </c>
      <c r="I281" s="12" t="b">
        <v>0</v>
      </c>
      <c r="J281" s="12" t="b">
        <v>1</v>
      </c>
      <c r="K281" s="12" t="b">
        <v>0</v>
      </c>
      <c r="L281" s="12">
        <v>466</v>
      </c>
      <c r="M281" s="12">
        <v>300.032917</v>
      </c>
      <c r="N281" s="12">
        <v>3000</v>
      </c>
      <c r="O281" s="12">
        <v>1709.090909090909</v>
      </c>
      <c r="P281" s="12">
        <v>0.5</v>
      </c>
      <c r="Q281" s="12">
        <v>0.85</v>
      </c>
      <c r="R281" s="12">
        <v>0.75</v>
      </c>
      <c r="S281" s="12">
        <v>0.85</v>
      </c>
      <c r="T281" s="12">
        <v>0.75</v>
      </c>
      <c r="U281" s="12">
        <v>0.8</v>
      </c>
      <c r="V281" s="12"/>
      <c r="W281" s="12">
        <v>4.48876666074759</v>
      </c>
      <c r="X281" s="12">
        <v>61.907343837763257</v>
      </c>
      <c r="Y281" s="12">
        <v>1290.909090909091</v>
      </c>
      <c r="Z281" s="12">
        <v>1.7553191489361699</v>
      </c>
      <c r="AA281" s="12" t="s">
        <v>1268</v>
      </c>
      <c r="AB281" s="12"/>
    </row>
    <row r="282" spans="1:28" x14ac:dyDescent="0.3">
      <c r="A282" s="12" t="s">
        <v>2173</v>
      </c>
      <c r="B282" s="12" t="s">
        <v>104</v>
      </c>
      <c r="C282" s="12" t="s">
        <v>382</v>
      </c>
      <c r="D282" s="12" t="s">
        <v>2103</v>
      </c>
      <c r="E282" s="12" t="s">
        <v>1886</v>
      </c>
      <c r="F282" s="12" t="s">
        <v>1861</v>
      </c>
      <c r="G282" s="12" t="s">
        <v>1861</v>
      </c>
      <c r="H282" s="12" t="b">
        <v>1</v>
      </c>
      <c r="I282" s="12" t="b">
        <v>0</v>
      </c>
      <c r="J282" s="12" t="b">
        <v>1</v>
      </c>
      <c r="K282" s="12" t="b">
        <v>0</v>
      </c>
      <c r="L282" s="12">
        <v>466</v>
      </c>
      <c r="M282" s="12">
        <v>300.032917</v>
      </c>
      <c r="N282" s="12">
        <v>3000</v>
      </c>
      <c r="O282" s="12">
        <v>1854.545454545455</v>
      </c>
      <c r="P282" s="12">
        <v>0.5</v>
      </c>
      <c r="Q282" s="12">
        <v>0.85</v>
      </c>
      <c r="R282" s="12">
        <v>0.75</v>
      </c>
      <c r="S282" s="12">
        <v>0.85</v>
      </c>
      <c r="T282" s="12">
        <v>0.75</v>
      </c>
      <c r="U282" s="12">
        <v>0.8</v>
      </c>
      <c r="V282" s="12"/>
      <c r="W282" s="12">
        <v>3.8735021091521298</v>
      </c>
      <c r="X282" s="12">
        <v>53.386956817793298</v>
      </c>
      <c r="Y282" s="12">
        <v>1145.454545454545</v>
      </c>
      <c r="Z282" s="12">
        <v>1.617647058823529</v>
      </c>
      <c r="AA282" s="12" t="s">
        <v>1268</v>
      </c>
      <c r="AB282" s="12"/>
    </row>
    <row r="283" spans="1:28" x14ac:dyDescent="0.3">
      <c r="A283" s="12" t="s">
        <v>2174</v>
      </c>
      <c r="B283" s="12" t="s">
        <v>104</v>
      </c>
      <c r="C283" s="12" t="s">
        <v>382</v>
      </c>
      <c r="D283" s="12" t="s">
        <v>2103</v>
      </c>
      <c r="E283" s="12" t="s">
        <v>1886</v>
      </c>
      <c r="F283" s="12" t="s">
        <v>1861</v>
      </c>
      <c r="G283" s="12" t="s">
        <v>1861</v>
      </c>
      <c r="H283" s="12" t="b">
        <v>1</v>
      </c>
      <c r="I283" s="12" t="b">
        <v>0</v>
      </c>
      <c r="J283" s="12" t="b">
        <v>1</v>
      </c>
      <c r="K283" s="12" t="b">
        <v>0</v>
      </c>
      <c r="L283" s="12">
        <v>466</v>
      </c>
      <c r="M283" s="12">
        <v>300.032917</v>
      </c>
      <c r="N283" s="12">
        <v>3000</v>
      </c>
      <c r="O283" s="12">
        <v>2000</v>
      </c>
      <c r="P283" s="12">
        <v>0.5</v>
      </c>
      <c r="Q283" s="12">
        <v>0.85</v>
      </c>
      <c r="R283" s="12">
        <v>0.75</v>
      </c>
      <c r="S283" s="12">
        <v>0.85</v>
      </c>
      <c r="T283" s="12">
        <v>0.75</v>
      </c>
      <c r="U283" s="12">
        <v>0.8</v>
      </c>
      <c r="V283" s="12"/>
      <c r="W283" s="12">
        <v>3.2906744076442398</v>
      </c>
      <c r="X283" s="12">
        <v>45.323370975150347</v>
      </c>
      <c r="Y283" s="12">
        <v>1000</v>
      </c>
      <c r="Z283" s="12">
        <v>1.5</v>
      </c>
      <c r="AA283" s="12" t="s">
        <v>1268</v>
      </c>
      <c r="AB283" s="12"/>
    </row>
    <row r="284" spans="1:28" x14ac:dyDescent="0.3">
      <c r="A284" s="12" t="s">
        <v>2175</v>
      </c>
      <c r="B284" s="12" t="s">
        <v>104</v>
      </c>
      <c r="C284" s="12" t="s">
        <v>382</v>
      </c>
      <c r="D284" s="12" t="s">
        <v>2103</v>
      </c>
      <c r="E284" s="12" t="s">
        <v>1886</v>
      </c>
      <c r="F284" s="12" t="s">
        <v>1861</v>
      </c>
      <c r="G284" s="12" t="s">
        <v>1861</v>
      </c>
      <c r="H284" s="12" t="b">
        <v>1</v>
      </c>
      <c r="I284" s="12" t="b">
        <v>0</v>
      </c>
      <c r="J284" s="12" t="b">
        <v>1</v>
      </c>
      <c r="K284" s="12" t="b">
        <v>0</v>
      </c>
      <c r="L284" s="12">
        <v>497</v>
      </c>
      <c r="M284" s="12">
        <v>300.032917</v>
      </c>
      <c r="N284" s="12">
        <v>3000</v>
      </c>
      <c r="O284" s="12">
        <v>400</v>
      </c>
      <c r="P284" s="12">
        <v>0.5</v>
      </c>
      <c r="Q284" s="12">
        <v>0.85</v>
      </c>
      <c r="R284" s="12">
        <v>0.75</v>
      </c>
      <c r="S284" s="12">
        <v>0.85</v>
      </c>
      <c r="T284" s="12">
        <v>0.75</v>
      </c>
      <c r="U284" s="12">
        <v>0.8</v>
      </c>
      <c r="V284" s="12"/>
      <c r="W284" s="12">
        <v>13.10727299800692</v>
      </c>
      <c r="X284" s="12">
        <v>218.56279097554361</v>
      </c>
      <c r="Y284" s="12">
        <v>2600</v>
      </c>
      <c r="Z284" s="12">
        <v>7.5</v>
      </c>
      <c r="AA284" s="12" t="s">
        <v>1268</v>
      </c>
      <c r="AB284" s="12"/>
    </row>
    <row r="285" spans="1:28" x14ac:dyDescent="0.3">
      <c r="A285" s="12" t="s">
        <v>2176</v>
      </c>
      <c r="B285" s="12" t="s">
        <v>104</v>
      </c>
      <c r="C285" s="12" t="s">
        <v>382</v>
      </c>
      <c r="D285" s="12" t="s">
        <v>2103</v>
      </c>
      <c r="E285" s="12" t="s">
        <v>1886</v>
      </c>
      <c r="F285" s="12" t="s">
        <v>1861</v>
      </c>
      <c r="G285" s="12" t="s">
        <v>1861</v>
      </c>
      <c r="H285" s="12" t="b">
        <v>1</v>
      </c>
      <c r="I285" s="12" t="b">
        <v>0</v>
      </c>
      <c r="J285" s="12" t="b">
        <v>1</v>
      </c>
      <c r="K285" s="12" t="b">
        <v>0</v>
      </c>
      <c r="L285" s="12">
        <v>497</v>
      </c>
      <c r="M285" s="12">
        <v>300.032917</v>
      </c>
      <c r="N285" s="12">
        <v>3000</v>
      </c>
      <c r="O285" s="12">
        <v>545.4545454545455</v>
      </c>
      <c r="P285" s="12">
        <v>0.5</v>
      </c>
      <c r="Q285" s="12">
        <v>0.85</v>
      </c>
      <c r="R285" s="12">
        <v>0.75</v>
      </c>
      <c r="S285" s="12">
        <v>0.85</v>
      </c>
      <c r="T285" s="12">
        <v>0.75</v>
      </c>
      <c r="U285" s="12">
        <v>0.8</v>
      </c>
      <c r="V285" s="12"/>
      <c r="W285" s="12">
        <v>11.51235162788436</v>
      </c>
      <c r="X285" s="12">
        <v>192.30042878786861</v>
      </c>
      <c r="Y285" s="12">
        <v>2454.545454545455</v>
      </c>
      <c r="Z285" s="12">
        <v>5.5</v>
      </c>
      <c r="AA285" s="12" t="s">
        <v>1268</v>
      </c>
      <c r="AB285" s="12"/>
    </row>
    <row r="286" spans="1:28" x14ac:dyDescent="0.3">
      <c r="A286" s="12" t="s">
        <v>2177</v>
      </c>
      <c r="B286" s="12" t="s">
        <v>104</v>
      </c>
      <c r="C286" s="12" t="s">
        <v>382</v>
      </c>
      <c r="D286" s="12" t="s">
        <v>2103</v>
      </c>
      <c r="E286" s="12" t="s">
        <v>1886</v>
      </c>
      <c r="F286" s="12" t="s">
        <v>1861</v>
      </c>
      <c r="G286" s="12" t="s">
        <v>1861</v>
      </c>
      <c r="H286" s="12" t="b">
        <v>1</v>
      </c>
      <c r="I286" s="12" t="b">
        <v>0</v>
      </c>
      <c r="J286" s="12" t="b">
        <v>1</v>
      </c>
      <c r="K286" s="12" t="b">
        <v>0</v>
      </c>
      <c r="L286" s="12">
        <v>497</v>
      </c>
      <c r="M286" s="12">
        <v>300.032917</v>
      </c>
      <c r="N286" s="12">
        <v>3000</v>
      </c>
      <c r="O286" s="12">
        <v>690.90909090909099</v>
      </c>
      <c r="P286" s="12">
        <v>0.5</v>
      </c>
      <c r="Q286" s="12">
        <v>0.85</v>
      </c>
      <c r="R286" s="12">
        <v>0.75</v>
      </c>
      <c r="S286" s="12">
        <v>0.85</v>
      </c>
      <c r="T286" s="12">
        <v>0.75</v>
      </c>
      <c r="U286" s="12">
        <v>0.8</v>
      </c>
      <c r="V286" s="12"/>
      <c r="W286" s="12">
        <v>10.2096164617051</v>
      </c>
      <c r="X286" s="12">
        <v>170.6863666701027</v>
      </c>
      <c r="Y286" s="12">
        <v>2309.090909090909</v>
      </c>
      <c r="Z286" s="12">
        <v>4.3421052631578938</v>
      </c>
      <c r="AA286" s="12" t="s">
        <v>1268</v>
      </c>
      <c r="AB286" s="12"/>
    </row>
    <row r="287" spans="1:28" x14ac:dyDescent="0.3">
      <c r="A287" s="12" t="s">
        <v>2178</v>
      </c>
      <c r="B287" s="12" t="s">
        <v>104</v>
      </c>
      <c r="C287" s="12" t="s">
        <v>382</v>
      </c>
      <c r="D287" s="12" t="s">
        <v>2103</v>
      </c>
      <c r="E287" s="12" t="s">
        <v>1886</v>
      </c>
      <c r="F287" s="12" t="s">
        <v>1861</v>
      </c>
      <c r="G287" s="12" t="s">
        <v>1861</v>
      </c>
      <c r="H287" s="12" t="b">
        <v>1</v>
      </c>
      <c r="I287" s="12" t="b">
        <v>0</v>
      </c>
      <c r="J287" s="12" t="b">
        <v>1</v>
      </c>
      <c r="K287" s="12" t="b">
        <v>0</v>
      </c>
      <c r="L287" s="12">
        <v>497</v>
      </c>
      <c r="M287" s="12">
        <v>300.032917</v>
      </c>
      <c r="N287" s="12">
        <v>3000</v>
      </c>
      <c r="O287" s="12">
        <v>836.36363636363637</v>
      </c>
      <c r="P287" s="12">
        <v>0.5</v>
      </c>
      <c r="Q287" s="12">
        <v>0.85</v>
      </c>
      <c r="R287" s="12">
        <v>0.75</v>
      </c>
      <c r="S287" s="12">
        <v>0.85</v>
      </c>
      <c r="T287" s="12">
        <v>0.75</v>
      </c>
      <c r="U287" s="12">
        <v>0.8</v>
      </c>
      <c r="V287" s="12"/>
      <c r="W287" s="12">
        <v>9.0972519389685793</v>
      </c>
      <c r="X287" s="12">
        <v>152.14746274849369</v>
      </c>
      <c r="Y287" s="12">
        <v>2163.636363636364</v>
      </c>
      <c r="Z287" s="12">
        <v>3.5869565217391299</v>
      </c>
      <c r="AA287" s="12" t="s">
        <v>1268</v>
      </c>
      <c r="AB287" s="12"/>
    </row>
    <row r="288" spans="1:28" x14ac:dyDescent="0.3">
      <c r="A288" s="12" t="s">
        <v>2179</v>
      </c>
      <c r="B288" s="12" t="s">
        <v>104</v>
      </c>
      <c r="C288" s="12" t="s">
        <v>382</v>
      </c>
      <c r="D288" s="12" t="s">
        <v>2103</v>
      </c>
      <c r="E288" s="12" t="s">
        <v>1886</v>
      </c>
      <c r="F288" s="12" t="s">
        <v>1861</v>
      </c>
      <c r="G288" s="12" t="s">
        <v>1861</v>
      </c>
      <c r="H288" s="12" t="b">
        <v>1</v>
      </c>
      <c r="I288" s="12" t="b">
        <v>0</v>
      </c>
      <c r="J288" s="12" t="b">
        <v>1</v>
      </c>
      <c r="K288" s="12" t="b">
        <v>0</v>
      </c>
      <c r="L288" s="12">
        <v>497</v>
      </c>
      <c r="M288" s="12">
        <v>300.032917</v>
      </c>
      <c r="N288" s="12">
        <v>3000</v>
      </c>
      <c r="O288" s="12">
        <v>981.81818181818198</v>
      </c>
      <c r="P288" s="12">
        <v>0.5</v>
      </c>
      <c r="Q288" s="12">
        <v>0.85</v>
      </c>
      <c r="R288" s="12">
        <v>0.75</v>
      </c>
      <c r="S288" s="12">
        <v>0.85</v>
      </c>
      <c r="T288" s="12">
        <v>0.75</v>
      </c>
      <c r="U288" s="12">
        <v>0.8</v>
      </c>
      <c r="V288" s="12"/>
      <c r="W288" s="12">
        <v>8.1200175183397398</v>
      </c>
      <c r="X288" s="12">
        <v>135.81556378838189</v>
      </c>
      <c r="Y288" s="12">
        <v>2018.181818181818</v>
      </c>
      <c r="Z288" s="12">
        <v>3.0555555555555549</v>
      </c>
      <c r="AA288" s="12" t="s">
        <v>1268</v>
      </c>
      <c r="AB288" s="12"/>
    </row>
    <row r="289" spans="1:28" x14ac:dyDescent="0.3">
      <c r="A289" s="12" t="s">
        <v>2180</v>
      </c>
      <c r="B289" s="12" t="s">
        <v>104</v>
      </c>
      <c r="C289" s="12" t="s">
        <v>382</v>
      </c>
      <c r="D289" s="12" t="s">
        <v>2103</v>
      </c>
      <c r="E289" s="12" t="s">
        <v>1886</v>
      </c>
      <c r="F289" s="12" t="s">
        <v>1861</v>
      </c>
      <c r="G289" s="12" t="s">
        <v>1861</v>
      </c>
      <c r="H289" s="12" t="b">
        <v>1</v>
      </c>
      <c r="I289" s="12" t="b">
        <v>0</v>
      </c>
      <c r="J289" s="12" t="b">
        <v>1</v>
      </c>
      <c r="K289" s="12" t="b">
        <v>0</v>
      </c>
      <c r="L289" s="12">
        <v>497</v>
      </c>
      <c r="M289" s="12">
        <v>300.032917</v>
      </c>
      <c r="N289" s="12">
        <v>3000</v>
      </c>
      <c r="O289" s="12">
        <v>1127.2727272727279</v>
      </c>
      <c r="P289" s="12">
        <v>0.5</v>
      </c>
      <c r="Q289" s="12">
        <v>0.85</v>
      </c>
      <c r="R289" s="12">
        <v>0.75</v>
      </c>
      <c r="S289" s="12">
        <v>0.85</v>
      </c>
      <c r="T289" s="12">
        <v>0.75</v>
      </c>
      <c r="U289" s="12">
        <v>0.8</v>
      </c>
      <c r="V289" s="12"/>
      <c r="W289" s="12">
        <v>7.2443036743863596</v>
      </c>
      <c r="X289" s="12">
        <v>121.155814004116</v>
      </c>
      <c r="Y289" s="12">
        <v>1872.7272727272721</v>
      </c>
      <c r="Z289" s="12">
        <v>2.6612903225806441</v>
      </c>
      <c r="AA289" s="12" t="s">
        <v>1268</v>
      </c>
      <c r="AB289" s="12"/>
    </row>
    <row r="290" spans="1:28" x14ac:dyDescent="0.3">
      <c r="A290" s="12" t="s">
        <v>2181</v>
      </c>
      <c r="B290" s="12" t="s">
        <v>104</v>
      </c>
      <c r="C290" s="12" t="s">
        <v>382</v>
      </c>
      <c r="D290" s="12" t="s">
        <v>2103</v>
      </c>
      <c r="E290" s="12" t="s">
        <v>1886</v>
      </c>
      <c r="F290" s="12" t="s">
        <v>1861</v>
      </c>
      <c r="G290" s="12" t="s">
        <v>1861</v>
      </c>
      <c r="H290" s="12" t="b">
        <v>1</v>
      </c>
      <c r="I290" s="12" t="b">
        <v>0</v>
      </c>
      <c r="J290" s="12" t="b">
        <v>1</v>
      </c>
      <c r="K290" s="12" t="b">
        <v>0</v>
      </c>
      <c r="L290" s="12">
        <v>497</v>
      </c>
      <c r="M290" s="12">
        <v>300.032917</v>
      </c>
      <c r="N290" s="12">
        <v>3000</v>
      </c>
      <c r="O290" s="12">
        <v>1272.727272727273</v>
      </c>
      <c r="P290" s="12">
        <v>0.5</v>
      </c>
      <c r="Q290" s="12">
        <v>0.85</v>
      </c>
      <c r="R290" s="12">
        <v>0.75</v>
      </c>
      <c r="S290" s="12">
        <v>0.85</v>
      </c>
      <c r="T290" s="12">
        <v>0.75</v>
      </c>
      <c r="U290" s="12">
        <v>0.8</v>
      </c>
      <c r="V290" s="12"/>
      <c r="W290" s="12">
        <v>6.4480144611244796</v>
      </c>
      <c r="X290" s="12">
        <v>107.8131349580682</v>
      </c>
      <c r="Y290" s="12">
        <v>1727.272727272727</v>
      </c>
      <c r="Z290" s="12">
        <v>2.3571428571428572</v>
      </c>
      <c r="AA290" s="12" t="s">
        <v>1268</v>
      </c>
      <c r="AB290" s="12"/>
    </row>
    <row r="291" spans="1:28" x14ac:dyDescent="0.3">
      <c r="A291" s="12" t="s">
        <v>2182</v>
      </c>
      <c r="B291" s="12" t="s">
        <v>104</v>
      </c>
      <c r="C291" s="12" t="s">
        <v>382</v>
      </c>
      <c r="D291" s="12" t="s">
        <v>2103</v>
      </c>
      <c r="E291" s="12" t="s">
        <v>1886</v>
      </c>
      <c r="F291" s="12" t="s">
        <v>1861</v>
      </c>
      <c r="G291" s="12" t="s">
        <v>1861</v>
      </c>
      <c r="H291" s="12" t="b">
        <v>1</v>
      </c>
      <c r="I291" s="12" t="b">
        <v>0</v>
      </c>
      <c r="J291" s="12" t="b">
        <v>1</v>
      </c>
      <c r="K291" s="12" t="b">
        <v>0</v>
      </c>
      <c r="L291" s="12">
        <v>497</v>
      </c>
      <c r="M291" s="12">
        <v>300.032917</v>
      </c>
      <c r="N291" s="12">
        <v>3000</v>
      </c>
      <c r="O291" s="12">
        <v>1418.181818181818</v>
      </c>
      <c r="P291" s="12">
        <v>0.5</v>
      </c>
      <c r="Q291" s="12">
        <v>0.85</v>
      </c>
      <c r="R291" s="12">
        <v>0.75</v>
      </c>
      <c r="S291" s="12">
        <v>0.85</v>
      </c>
      <c r="T291" s="12">
        <v>0.75</v>
      </c>
      <c r="U291" s="12">
        <v>0.8</v>
      </c>
      <c r="V291" s="12"/>
      <c r="W291" s="12">
        <v>5.7157805694116597</v>
      </c>
      <c r="X291" s="12">
        <v>95.538581286194258</v>
      </c>
      <c r="Y291" s="12">
        <v>1581.818181818182</v>
      </c>
      <c r="Z291" s="12">
        <v>2.115384615384615</v>
      </c>
      <c r="AA291" s="12" t="s">
        <v>1268</v>
      </c>
      <c r="AB291" s="12"/>
    </row>
    <row r="292" spans="1:28" x14ac:dyDescent="0.3">
      <c r="A292" s="12" t="s">
        <v>2183</v>
      </c>
      <c r="B292" s="12" t="s">
        <v>104</v>
      </c>
      <c r="C292" s="12" t="s">
        <v>382</v>
      </c>
      <c r="D292" s="12" t="s">
        <v>2103</v>
      </c>
      <c r="E292" s="12" t="s">
        <v>1886</v>
      </c>
      <c r="F292" s="12" t="s">
        <v>1861</v>
      </c>
      <c r="G292" s="12" t="s">
        <v>1861</v>
      </c>
      <c r="H292" s="12" t="b">
        <v>1</v>
      </c>
      <c r="I292" s="12" t="b">
        <v>0</v>
      </c>
      <c r="J292" s="12" t="b">
        <v>1</v>
      </c>
      <c r="K292" s="12" t="b">
        <v>0</v>
      </c>
      <c r="L292" s="12">
        <v>497</v>
      </c>
      <c r="M292" s="12">
        <v>300.032917</v>
      </c>
      <c r="N292" s="12">
        <v>3000</v>
      </c>
      <c r="O292" s="12">
        <v>1563.636363636364</v>
      </c>
      <c r="P292" s="12">
        <v>0.5</v>
      </c>
      <c r="Q292" s="12">
        <v>0.85</v>
      </c>
      <c r="R292" s="12">
        <v>0.75</v>
      </c>
      <c r="S292" s="12">
        <v>0.85</v>
      </c>
      <c r="T292" s="12">
        <v>0.75</v>
      </c>
      <c r="U292" s="12">
        <v>0.8</v>
      </c>
      <c r="V292" s="12"/>
      <c r="W292" s="12">
        <v>5.0364433439507899</v>
      </c>
      <c r="X292" s="12">
        <v>84.150214067241677</v>
      </c>
      <c r="Y292" s="12">
        <v>1436.363636363636</v>
      </c>
      <c r="Z292" s="12">
        <v>1.918604651162791</v>
      </c>
      <c r="AA292" s="12" t="s">
        <v>1268</v>
      </c>
      <c r="AB292" s="12"/>
    </row>
    <row r="293" spans="1:28" x14ac:dyDescent="0.3">
      <c r="A293" s="12" t="s">
        <v>2184</v>
      </c>
      <c r="B293" s="12" t="s">
        <v>104</v>
      </c>
      <c r="C293" s="12" t="s">
        <v>382</v>
      </c>
      <c r="D293" s="12" t="s">
        <v>2103</v>
      </c>
      <c r="E293" s="12" t="s">
        <v>1886</v>
      </c>
      <c r="F293" s="12" t="s">
        <v>1861</v>
      </c>
      <c r="G293" s="12" t="s">
        <v>1861</v>
      </c>
      <c r="H293" s="12" t="b">
        <v>1</v>
      </c>
      <c r="I293" s="12" t="b">
        <v>0</v>
      </c>
      <c r="J293" s="12" t="b">
        <v>1</v>
      </c>
      <c r="K293" s="12" t="b">
        <v>0</v>
      </c>
      <c r="L293" s="12">
        <v>497</v>
      </c>
      <c r="M293" s="12">
        <v>300.032917</v>
      </c>
      <c r="N293" s="12">
        <v>3000</v>
      </c>
      <c r="O293" s="12">
        <v>1709.090909090909</v>
      </c>
      <c r="P293" s="12">
        <v>0.5</v>
      </c>
      <c r="Q293" s="12">
        <v>0.85</v>
      </c>
      <c r="R293" s="12">
        <v>0.75</v>
      </c>
      <c r="S293" s="12">
        <v>0.85</v>
      </c>
      <c r="T293" s="12">
        <v>0.75</v>
      </c>
      <c r="U293" s="12">
        <v>0.8</v>
      </c>
      <c r="V293" s="12"/>
      <c r="W293" s="12">
        <v>4.40162662861181</v>
      </c>
      <c r="X293" s="12">
        <v>73.510695554803632</v>
      </c>
      <c r="Y293" s="12">
        <v>1290.909090909091</v>
      </c>
      <c r="Z293" s="12">
        <v>1.7553191489361699</v>
      </c>
      <c r="AA293" s="12" t="s">
        <v>1268</v>
      </c>
      <c r="AB293" s="12"/>
    </row>
    <row r="294" spans="1:28" x14ac:dyDescent="0.3">
      <c r="A294" s="12" t="s">
        <v>2185</v>
      </c>
      <c r="B294" s="12" t="s">
        <v>104</v>
      </c>
      <c r="C294" s="12" t="s">
        <v>382</v>
      </c>
      <c r="D294" s="12" t="s">
        <v>2103</v>
      </c>
      <c r="E294" s="12" t="s">
        <v>1886</v>
      </c>
      <c r="F294" s="12" t="s">
        <v>1861</v>
      </c>
      <c r="G294" s="12" t="s">
        <v>1861</v>
      </c>
      <c r="H294" s="12" t="b">
        <v>1</v>
      </c>
      <c r="I294" s="12" t="b">
        <v>0</v>
      </c>
      <c r="J294" s="12" t="b">
        <v>1</v>
      </c>
      <c r="K294" s="12" t="b">
        <v>0</v>
      </c>
      <c r="L294" s="12">
        <v>497</v>
      </c>
      <c r="M294" s="12">
        <v>300.032917</v>
      </c>
      <c r="N294" s="12">
        <v>3000</v>
      </c>
      <c r="O294" s="12">
        <v>1854.545454545455</v>
      </c>
      <c r="P294" s="12">
        <v>0.5</v>
      </c>
      <c r="Q294" s="12">
        <v>0.85</v>
      </c>
      <c r="R294" s="12">
        <v>0.75</v>
      </c>
      <c r="S294" s="12">
        <v>0.85</v>
      </c>
      <c r="T294" s="12">
        <v>0.75</v>
      </c>
      <c r="U294" s="12">
        <v>0.8</v>
      </c>
      <c r="V294" s="12"/>
      <c r="W294" s="12">
        <v>3.8048663271653602</v>
      </c>
      <c r="X294" s="12">
        <v>63.513523474325311</v>
      </c>
      <c r="Y294" s="12">
        <v>1145.454545454545</v>
      </c>
      <c r="Z294" s="12">
        <v>1.617647058823529</v>
      </c>
      <c r="AA294" s="12" t="s">
        <v>1268</v>
      </c>
      <c r="AB294" s="12"/>
    </row>
    <row r="295" spans="1:28" x14ac:dyDescent="0.3">
      <c r="A295" s="12" t="s">
        <v>2186</v>
      </c>
      <c r="B295" s="12" t="s">
        <v>104</v>
      </c>
      <c r="C295" s="12" t="s">
        <v>382</v>
      </c>
      <c r="D295" s="12" t="s">
        <v>2103</v>
      </c>
      <c r="E295" s="12" t="s">
        <v>1886</v>
      </c>
      <c r="F295" s="12" t="s">
        <v>1861</v>
      </c>
      <c r="G295" s="12" t="s">
        <v>1861</v>
      </c>
      <c r="H295" s="12" t="b">
        <v>1</v>
      </c>
      <c r="I295" s="12" t="b">
        <v>0</v>
      </c>
      <c r="J295" s="12" t="b">
        <v>1</v>
      </c>
      <c r="K295" s="12" t="b">
        <v>0</v>
      </c>
      <c r="L295" s="12">
        <v>529</v>
      </c>
      <c r="M295" s="12">
        <v>300.032917</v>
      </c>
      <c r="N295" s="12">
        <v>3000</v>
      </c>
      <c r="O295" s="12">
        <v>400</v>
      </c>
      <c r="P295" s="12">
        <v>0.5</v>
      </c>
      <c r="Q295" s="12">
        <v>0.85</v>
      </c>
      <c r="R295" s="12">
        <v>0.75</v>
      </c>
      <c r="S295" s="12">
        <v>0.85</v>
      </c>
      <c r="T295" s="12">
        <v>0.75</v>
      </c>
      <c r="U295" s="12">
        <v>0.8</v>
      </c>
      <c r="V295" s="12"/>
      <c r="W295" s="12">
        <v>13.081921353392531</v>
      </c>
      <c r="X295" s="12">
        <v>227.15554090193359</v>
      </c>
      <c r="Y295" s="12">
        <v>2600</v>
      </c>
      <c r="Z295" s="12">
        <v>7.5</v>
      </c>
      <c r="AA295" s="12" t="s">
        <v>1981</v>
      </c>
      <c r="AB295" s="12"/>
    </row>
    <row r="296" spans="1:28" x14ac:dyDescent="0.3">
      <c r="A296" s="12" t="s">
        <v>2187</v>
      </c>
      <c r="B296" s="12" t="s">
        <v>104</v>
      </c>
      <c r="C296" s="12" t="s">
        <v>382</v>
      </c>
      <c r="D296" s="12" t="s">
        <v>2103</v>
      </c>
      <c r="E296" s="12" t="s">
        <v>1886</v>
      </c>
      <c r="F296" s="12" t="s">
        <v>1861</v>
      </c>
      <c r="G296" s="12" t="s">
        <v>1861</v>
      </c>
      <c r="H296" s="12" t="b">
        <v>1</v>
      </c>
      <c r="I296" s="12" t="b">
        <v>0</v>
      </c>
      <c r="J296" s="12" t="b">
        <v>1</v>
      </c>
      <c r="K296" s="12" t="b">
        <v>0</v>
      </c>
      <c r="L296" s="12">
        <v>497</v>
      </c>
      <c r="M296" s="12">
        <v>300.032917</v>
      </c>
      <c r="N296" s="12">
        <v>3000</v>
      </c>
      <c r="O296" s="12">
        <v>2000</v>
      </c>
      <c r="P296" s="12">
        <v>0.5</v>
      </c>
      <c r="Q296" s="12">
        <v>0.85</v>
      </c>
      <c r="R296" s="12">
        <v>0.75</v>
      </c>
      <c r="S296" s="12">
        <v>0.85</v>
      </c>
      <c r="T296" s="12">
        <v>0.75</v>
      </c>
      <c r="U296" s="12">
        <v>0.8</v>
      </c>
      <c r="V296" s="12"/>
      <c r="W296" s="12">
        <v>3.2410618971930498</v>
      </c>
      <c r="X296" s="12">
        <v>54.074304352823233</v>
      </c>
      <c r="Y296" s="12">
        <v>1000</v>
      </c>
      <c r="Z296" s="12">
        <v>1.5</v>
      </c>
      <c r="AA296" s="12" t="s">
        <v>1268</v>
      </c>
      <c r="AB296" s="12"/>
    </row>
    <row r="297" spans="1:28" x14ac:dyDescent="0.3">
      <c r="A297" s="12" t="s">
        <v>2188</v>
      </c>
      <c r="B297" s="12" t="s">
        <v>104</v>
      </c>
      <c r="C297" s="12" t="s">
        <v>382</v>
      </c>
      <c r="D297" s="12" t="s">
        <v>2103</v>
      </c>
      <c r="E297" s="12" t="s">
        <v>1886</v>
      </c>
      <c r="F297" s="12" t="s">
        <v>1861</v>
      </c>
      <c r="G297" s="12" t="s">
        <v>1861</v>
      </c>
      <c r="H297" s="12" t="b">
        <v>1</v>
      </c>
      <c r="I297" s="12" t="b">
        <v>0</v>
      </c>
      <c r="J297" s="12" t="b">
        <v>1</v>
      </c>
      <c r="K297" s="12" t="b">
        <v>0</v>
      </c>
      <c r="L297" s="12">
        <v>529</v>
      </c>
      <c r="M297" s="12">
        <v>300.032917</v>
      </c>
      <c r="N297" s="12">
        <v>3000</v>
      </c>
      <c r="O297" s="12">
        <v>545.4545454545455</v>
      </c>
      <c r="P297" s="12">
        <v>0.5</v>
      </c>
      <c r="Q297" s="12">
        <v>0.85</v>
      </c>
      <c r="R297" s="12">
        <v>0.75</v>
      </c>
      <c r="S297" s="12">
        <v>0.85</v>
      </c>
      <c r="T297" s="12">
        <v>0.75</v>
      </c>
      <c r="U297" s="12">
        <v>0.8</v>
      </c>
      <c r="V297" s="12"/>
      <c r="W297" s="12">
        <v>11.477036591090981</v>
      </c>
      <c r="X297" s="12">
        <v>199.65399059497619</v>
      </c>
      <c r="Y297" s="12">
        <v>2454.545454545455</v>
      </c>
      <c r="Z297" s="12">
        <v>5.5</v>
      </c>
      <c r="AA297" s="12" t="s">
        <v>1268</v>
      </c>
      <c r="AB297" s="12"/>
    </row>
    <row r="298" spans="1:28" x14ac:dyDescent="0.3">
      <c r="A298" s="12" t="s">
        <v>2189</v>
      </c>
      <c r="B298" s="12" t="s">
        <v>104</v>
      </c>
      <c r="C298" s="12" t="s">
        <v>382</v>
      </c>
      <c r="D298" s="12" t="s">
        <v>2103</v>
      </c>
      <c r="E298" s="12" t="s">
        <v>1886</v>
      </c>
      <c r="F298" s="12" t="s">
        <v>1861</v>
      </c>
      <c r="G298" s="12" t="s">
        <v>1861</v>
      </c>
      <c r="H298" s="12" t="b">
        <v>1</v>
      </c>
      <c r="I298" s="12" t="b">
        <v>0</v>
      </c>
      <c r="J298" s="12" t="b">
        <v>1</v>
      </c>
      <c r="K298" s="12" t="b">
        <v>0</v>
      </c>
      <c r="L298" s="12">
        <v>529</v>
      </c>
      <c r="M298" s="12">
        <v>300.032917</v>
      </c>
      <c r="N298" s="12">
        <v>3000</v>
      </c>
      <c r="O298" s="12">
        <v>690.90909090909099</v>
      </c>
      <c r="P298" s="12">
        <v>0.5</v>
      </c>
      <c r="Q298" s="12">
        <v>0.85</v>
      </c>
      <c r="R298" s="12">
        <v>0.75</v>
      </c>
      <c r="S298" s="12">
        <v>0.85</v>
      </c>
      <c r="T298" s="12">
        <v>0.75</v>
      </c>
      <c r="U298" s="12">
        <v>0.8</v>
      </c>
      <c r="V298" s="12"/>
      <c r="W298" s="12">
        <v>10.16954105836602</v>
      </c>
      <c r="X298" s="12">
        <v>177.07442695498071</v>
      </c>
      <c r="Y298" s="12">
        <v>2309.090909090909</v>
      </c>
      <c r="Z298" s="12">
        <v>4.3421052631578938</v>
      </c>
      <c r="AA298" s="12" t="s">
        <v>1268</v>
      </c>
      <c r="AB298" s="12"/>
    </row>
    <row r="299" spans="1:28" x14ac:dyDescent="0.3">
      <c r="A299" s="12" t="s">
        <v>2190</v>
      </c>
      <c r="B299" s="12" t="s">
        <v>104</v>
      </c>
      <c r="C299" s="12" t="s">
        <v>382</v>
      </c>
      <c r="D299" s="12" t="s">
        <v>2103</v>
      </c>
      <c r="E299" s="12" t="s">
        <v>1886</v>
      </c>
      <c r="F299" s="12" t="s">
        <v>1861</v>
      </c>
      <c r="G299" s="12" t="s">
        <v>1861</v>
      </c>
      <c r="H299" s="12" t="b">
        <v>1</v>
      </c>
      <c r="I299" s="12" t="b">
        <v>0</v>
      </c>
      <c r="J299" s="12" t="b">
        <v>1</v>
      </c>
      <c r="K299" s="12" t="b">
        <v>0</v>
      </c>
      <c r="L299" s="12">
        <v>529</v>
      </c>
      <c r="M299" s="12">
        <v>300.032917</v>
      </c>
      <c r="N299" s="12">
        <v>3000</v>
      </c>
      <c r="O299" s="12">
        <v>836.36363636363637</v>
      </c>
      <c r="P299" s="12">
        <v>0.5</v>
      </c>
      <c r="Q299" s="12">
        <v>0.85</v>
      </c>
      <c r="R299" s="12">
        <v>0.75</v>
      </c>
      <c r="S299" s="12">
        <v>0.85</v>
      </c>
      <c r="T299" s="12">
        <v>0.75</v>
      </c>
      <c r="U299" s="12">
        <v>0.8</v>
      </c>
      <c r="V299" s="12"/>
      <c r="W299" s="12">
        <v>9.0552168241124473</v>
      </c>
      <c r="X299" s="12">
        <v>157.7409529669381</v>
      </c>
      <c r="Y299" s="12">
        <v>2163.636363636364</v>
      </c>
      <c r="Z299" s="12">
        <v>3.5869565217391299</v>
      </c>
      <c r="AA299" s="12" t="s">
        <v>1268</v>
      </c>
      <c r="AB299" s="12"/>
    </row>
    <row r="300" spans="1:28" x14ac:dyDescent="0.3">
      <c r="A300" s="12" t="s">
        <v>2191</v>
      </c>
      <c r="B300" s="12" t="s">
        <v>104</v>
      </c>
      <c r="C300" s="12" t="s">
        <v>382</v>
      </c>
      <c r="D300" s="12" t="s">
        <v>2103</v>
      </c>
      <c r="E300" s="12" t="s">
        <v>1886</v>
      </c>
      <c r="F300" s="12" t="s">
        <v>1861</v>
      </c>
      <c r="G300" s="12" t="s">
        <v>1861</v>
      </c>
      <c r="H300" s="12" t="b">
        <v>1</v>
      </c>
      <c r="I300" s="12" t="b">
        <v>0</v>
      </c>
      <c r="J300" s="12" t="b">
        <v>1</v>
      </c>
      <c r="K300" s="12" t="b">
        <v>0</v>
      </c>
      <c r="L300" s="12">
        <v>529</v>
      </c>
      <c r="M300" s="12">
        <v>300.032917</v>
      </c>
      <c r="N300" s="12">
        <v>3000</v>
      </c>
      <c r="O300" s="12">
        <v>981.81818181818198</v>
      </c>
      <c r="P300" s="12">
        <v>0.5</v>
      </c>
      <c r="Q300" s="12">
        <v>0.85</v>
      </c>
      <c r="R300" s="12">
        <v>0.75</v>
      </c>
      <c r="S300" s="12">
        <v>0.85</v>
      </c>
      <c r="T300" s="12">
        <v>0.75</v>
      </c>
      <c r="U300" s="12">
        <v>0.8</v>
      </c>
      <c r="V300" s="12"/>
      <c r="W300" s="12">
        <v>8.0777141581546008</v>
      </c>
      <c r="X300" s="12">
        <v>140.7322139652546</v>
      </c>
      <c r="Y300" s="12">
        <v>2018.181818181818</v>
      </c>
      <c r="Z300" s="12">
        <v>3.0555555555555549</v>
      </c>
      <c r="AA300" s="12" t="s">
        <v>1268</v>
      </c>
      <c r="AB300" s="12"/>
    </row>
    <row r="301" spans="1:28" x14ac:dyDescent="0.3">
      <c r="A301" s="12" t="s">
        <v>2192</v>
      </c>
      <c r="B301" s="12" t="s">
        <v>104</v>
      </c>
      <c r="C301" s="12" t="s">
        <v>382</v>
      </c>
      <c r="D301" s="12" t="s">
        <v>2103</v>
      </c>
      <c r="E301" s="12" t="s">
        <v>1886</v>
      </c>
      <c r="F301" s="12" t="s">
        <v>1861</v>
      </c>
      <c r="G301" s="12" t="s">
        <v>1861</v>
      </c>
      <c r="H301" s="12" t="b">
        <v>1</v>
      </c>
      <c r="I301" s="12" t="b">
        <v>0</v>
      </c>
      <c r="J301" s="12" t="b">
        <v>1</v>
      </c>
      <c r="K301" s="12" t="b">
        <v>0</v>
      </c>
      <c r="L301" s="12">
        <v>529</v>
      </c>
      <c r="M301" s="12">
        <v>300.032917</v>
      </c>
      <c r="N301" s="12">
        <v>3000</v>
      </c>
      <c r="O301" s="12">
        <v>1127.2727272727279</v>
      </c>
      <c r="P301" s="12">
        <v>0.5</v>
      </c>
      <c r="Q301" s="12">
        <v>0.85</v>
      </c>
      <c r="R301" s="12">
        <v>0.75</v>
      </c>
      <c r="S301" s="12">
        <v>0.85</v>
      </c>
      <c r="T301" s="12">
        <v>0.75</v>
      </c>
      <c r="U301" s="12">
        <v>0.8</v>
      </c>
      <c r="V301" s="12"/>
      <c r="W301" s="12">
        <v>7.2028391526997604</v>
      </c>
      <c r="X301" s="12">
        <v>125.4821183912989</v>
      </c>
      <c r="Y301" s="12">
        <v>1872.7272727272721</v>
      </c>
      <c r="Z301" s="12">
        <v>2.6612903225806441</v>
      </c>
      <c r="AA301" s="12" t="s">
        <v>1268</v>
      </c>
      <c r="AB301" s="12"/>
    </row>
    <row r="302" spans="1:28" x14ac:dyDescent="0.3">
      <c r="A302" s="12" t="s">
        <v>2193</v>
      </c>
      <c r="B302" s="12" t="s">
        <v>104</v>
      </c>
      <c r="C302" s="12" t="s">
        <v>382</v>
      </c>
      <c r="D302" s="12" t="s">
        <v>2103</v>
      </c>
      <c r="E302" s="12" t="s">
        <v>1886</v>
      </c>
      <c r="F302" s="12" t="s">
        <v>1861</v>
      </c>
      <c r="G302" s="12" t="s">
        <v>1861</v>
      </c>
      <c r="H302" s="12" t="b">
        <v>1</v>
      </c>
      <c r="I302" s="12" t="b">
        <v>0</v>
      </c>
      <c r="J302" s="12" t="b">
        <v>1</v>
      </c>
      <c r="K302" s="12" t="b">
        <v>0</v>
      </c>
      <c r="L302" s="12">
        <v>529</v>
      </c>
      <c r="M302" s="12">
        <v>300.032917</v>
      </c>
      <c r="N302" s="12">
        <v>3000</v>
      </c>
      <c r="O302" s="12">
        <v>1272.727272727273</v>
      </c>
      <c r="P302" s="12">
        <v>0.5</v>
      </c>
      <c r="Q302" s="12">
        <v>0.85</v>
      </c>
      <c r="R302" s="12">
        <v>0.75</v>
      </c>
      <c r="S302" s="12">
        <v>0.85</v>
      </c>
      <c r="T302" s="12">
        <v>0.75</v>
      </c>
      <c r="U302" s="12">
        <v>0.8</v>
      </c>
      <c r="V302" s="12"/>
      <c r="W302" s="12">
        <v>6.4081511591651807</v>
      </c>
      <c r="X302" s="12">
        <v>111.61551221852309</v>
      </c>
      <c r="Y302" s="12">
        <v>1727.272727272727</v>
      </c>
      <c r="Z302" s="12">
        <v>2.3571428571428572</v>
      </c>
      <c r="AA302" s="12" t="s">
        <v>1268</v>
      </c>
      <c r="AB302" s="12"/>
    </row>
    <row r="303" spans="1:28" x14ac:dyDescent="0.3">
      <c r="A303" s="12" t="s">
        <v>2194</v>
      </c>
      <c r="B303" s="12" t="s">
        <v>104</v>
      </c>
      <c r="C303" s="12" t="s">
        <v>382</v>
      </c>
      <c r="D303" s="12" t="s">
        <v>2103</v>
      </c>
      <c r="E303" s="12" t="s">
        <v>1886</v>
      </c>
      <c r="F303" s="12" t="s">
        <v>1861</v>
      </c>
      <c r="G303" s="12" t="s">
        <v>1861</v>
      </c>
      <c r="H303" s="12" t="b">
        <v>1</v>
      </c>
      <c r="I303" s="12" t="b">
        <v>0</v>
      </c>
      <c r="J303" s="12" t="b">
        <v>1</v>
      </c>
      <c r="K303" s="12" t="b">
        <v>0</v>
      </c>
      <c r="L303" s="12">
        <v>529</v>
      </c>
      <c r="M303" s="12">
        <v>300.032917</v>
      </c>
      <c r="N303" s="12">
        <v>3000</v>
      </c>
      <c r="O303" s="12">
        <v>1418.181818181818</v>
      </c>
      <c r="P303" s="12">
        <v>0.5</v>
      </c>
      <c r="Q303" s="12">
        <v>0.85</v>
      </c>
      <c r="R303" s="12">
        <v>0.75</v>
      </c>
      <c r="S303" s="12">
        <v>0.85</v>
      </c>
      <c r="T303" s="12">
        <v>0.75</v>
      </c>
      <c r="U303" s="12">
        <v>0.8</v>
      </c>
      <c r="V303" s="12"/>
      <c r="W303" s="12">
        <v>5.6780688675010502</v>
      </c>
      <c r="X303" s="12">
        <v>98.869840650170843</v>
      </c>
      <c r="Y303" s="12">
        <v>1581.818181818182</v>
      </c>
      <c r="Z303" s="12">
        <v>2.115384615384615</v>
      </c>
      <c r="AA303" s="12" t="s">
        <v>1268</v>
      </c>
      <c r="AB303" s="12"/>
    </row>
    <row r="304" spans="1:28" x14ac:dyDescent="0.3">
      <c r="A304" s="12" t="s">
        <v>2195</v>
      </c>
      <c r="B304" s="12" t="s">
        <v>104</v>
      </c>
      <c r="C304" s="12" t="s">
        <v>382</v>
      </c>
      <c r="D304" s="12" t="s">
        <v>2103</v>
      </c>
      <c r="E304" s="12" t="s">
        <v>1886</v>
      </c>
      <c r="F304" s="12" t="s">
        <v>1861</v>
      </c>
      <c r="G304" s="12" t="s">
        <v>1861</v>
      </c>
      <c r="H304" s="12" t="b">
        <v>1</v>
      </c>
      <c r="I304" s="12" t="b">
        <v>0</v>
      </c>
      <c r="J304" s="12" t="b">
        <v>1</v>
      </c>
      <c r="K304" s="12" t="b">
        <v>0</v>
      </c>
      <c r="L304" s="12">
        <v>529</v>
      </c>
      <c r="M304" s="12">
        <v>300.032917</v>
      </c>
      <c r="N304" s="12">
        <v>3000</v>
      </c>
      <c r="O304" s="12">
        <v>1563.636363636364</v>
      </c>
      <c r="P304" s="12">
        <v>0.5</v>
      </c>
      <c r="Q304" s="12">
        <v>0.85</v>
      </c>
      <c r="R304" s="12">
        <v>0.75</v>
      </c>
      <c r="S304" s="12">
        <v>0.85</v>
      </c>
      <c r="T304" s="12">
        <v>0.75</v>
      </c>
      <c r="U304" s="12">
        <v>0.8</v>
      </c>
      <c r="V304" s="12"/>
      <c r="W304" s="12">
        <v>5.0012937039717</v>
      </c>
      <c r="X304" s="12">
        <v>87.053445681846895</v>
      </c>
      <c r="Y304" s="12">
        <v>1436.363636363636</v>
      </c>
      <c r="Z304" s="12">
        <v>1.918604651162791</v>
      </c>
      <c r="AA304" s="12" t="s">
        <v>1268</v>
      </c>
      <c r="AB304" s="12"/>
    </row>
    <row r="305" spans="1:28" x14ac:dyDescent="0.3">
      <c r="A305" s="12" t="s">
        <v>2196</v>
      </c>
      <c r="B305" s="12" t="s">
        <v>104</v>
      </c>
      <c r="C305" s="12" t="s">
        <v>382</v>
      </c>
      <c r="D305" s="12" t="s">
        <v>2103</v>
      </c>
      <c r="E305" s="12" t="s">
        <v>1886</v>
      </c>
      <c r="F305" s="12" t="s">
        <v>1861</v>
      </c>
      <c r="G305" s="12" t="s">
        <v>1861</v>
      </c>
      <c r="H305" s="12" t="b">
        <v>1</v>
      </c>
      <c r="I305" s="12" t="b">
        <v>0</v>
      </c>
      <c r="J305" s="12" t="b">
        <v>1</v>
      </c>
      <c r="K305" s="12" t="b">
        <v>0</v>
      </c>
      <c r="L305" s="12">
        <v>529</v>
      </c>
      <c r="M305" s="12">
        <v>300.032917</v>
      </c>
      <c r="N305" s="12">
        <v>3000</v>
      </c>
      <c r="O305" s="12">
        <v>1709.090909090909</v>
      </c>
      <c r="P305" s="12">
        <v>0.5</v>
      </c>
      <c r="Q305" s="12">
        <v>0.85</v>
      </c>
      <c r="R305" s="12">
        <v>0.75</v>
      </c>
      <c r="S305" s="12">
        <v>0.85</v>
      </c>
      <c r="T305" s="12">
        <v>0.75</v>
      </c>
      <c r="U305" s="12">
        <v>0.8</v>
      </c>
      <c r="V305" s="12"/>
      <c r="W305" s="12">
        <v>4.3693526587418301</v>
      </c>
      <c r="X305" s="12">
        <v>76.021784387050204</v>
      </c>
      <c r="Y305" s="12">
        <v>1290.909090909091</v>
      </c>
      <c r="Z305" s="12">
        <v>1.7553191489361699</v>
      </c>
      <c r="AA305" s="12" t="s">
        <v>1268</v>
      </c>
      <c r="AB305" s="12"/>
    </row>
    <row r="306" spans="1:28" x14ac:dyDescent="0.3">
      <c r="A306" s="12" t="s">
        <v>2197</v>
      </c>
      <c r="B306" s="12" t="s">
        <v>104</v>
      </c>
      <c r="C306" s="12" t="s">
        <v>382</v>
      </c>
      <c r="D306" s="12" t="s">
        <v>2103</v>
      </c>
      <c r="E306" s="12" t="s">
        <v>1886</v>
      </c>
      <c r="F306" s="12" t="s">
        <v>1861</v>
      </c>
      <c r="G306" s="12" t="s">
        <v>1861</v>
      </c>
      <c r="H306" s="12" t="b">
        <v>1</v>
      </c>
      <c r="I306" s="12" t="b">
        <v>0</v>
      </c>
      <c r="J306" s="12" t="b">
        <v>1</v>
      </c>
      <c r="K306" s="12" t="b">
        <v>0</v>
      </c>
      <c r="L306" s="12">
        <v>560</v>
      </c>
      <c r="M306" s="12">
        <v>300.032917</v>
      </c>
      <c r="N306" s="12">
        <v>3000</v>
      </c>
      <c r="O306" s="12">
        <v>400</v>
      </c>
      <c r="P306" s="12">
        <v>0.5</v>
      </c>
      <c r="Q306" s="12">
        <v>0.85</v>
      </c>
      <c r="R306" s="12">
        <v>0.75</v>
      </c>
      <c r="S306" s="12">
        <v>0.85</v>
      </c>
      <c r="T306" s="12">
        <v>0.75</v>
      </c>
      <c r="U306" s="12">
        <v>0.8</v>
      </c>
      <c r="V306" s="12"/>
      <c r="W306" s="12">
        <v>13.05974664104891</v>
      </c>
      <c r="X306" s="12">
        <v>235.11148903254519</v>
      </c>
      <c r="Y306" s="12">
        <v>2600</v>
      </c>
      <c r="Z306" s="12">
        <v>7.5</v>
      </c>
      <c r="AA306" s="12" t="s">
        <v>1981</v>
      </c>
      <c r="AB306" s="12"/>
    </row>
    <row r="307" spans="1:28" x14ac:dyDescent="0.3">
      <c r="A307" s="12" t="s">
        <v>2198</v>
      </c>
      <c r="B307" s="12" t="s">
        <v>104</v>
      </c>
      <c r="C307" s="12" t="s">
        <v>382</v>
      </c>
      <c r="D307" s="12" t="s">
        <v>2103</v>
      </c>
      <c r="E307" s="12" t="s">
        <v>1886</v>
      </c>
      <c r="F307" s="12" t="s">
        <v>1861</v>
      </c>
      <c r="G307" s="12" t="s">
        <v>1861</v>
      </c>
      <c r="H307" s="12" t="b">
        <v>1</v>
      </c>
      <c r="I307" s="12" t="b">
        <v>0</v>
      </c>
      <c r="J307" s="12" t="b">
        <v>1</v>
      </c>
      <c r="K307" s="12" t="b">
        <v>0</v>
      </c>
      <c r="L307" s="12">
        <v>529</v>
      </c>
      <c r="M307" s="12">
        <v>300.032917</v>
      </c>
      <c r="N307" s="12">
        <v>3000</v>
      </c>
      <c r="O307" s="12">
        <v>1854.545454545455</v>
      </c>
      <c r="P307" s="12">
        <v>0.5</v>
      </c>
      <c r="Q307" s="12">
        <v>0.85</v>
      </c>
      <c r="R307" s="12">
        <v>0.75</v>
      </c>
      <c r="S307" s="12">
        <v>0.85</v>
      </c>
      <c r="T307" s="12">
        <v>0.75</v>
      </c>
      <c r="U307" s="12">
        <v>0.8</v>
      </c>
      <c r="V307" s="12"/>
      <c r="W307" s="12">
        <v>3.77571403100991</v>
      </c>
      <c r="X307" s="12">
        <v>65.66288277216357</v>
      </c>
      <c r="Y307" s="12">
        <v>1145.454545454545</v>
      </c>
      <c r="Z307" s="12">
        <v>1.617647058823529</v>
      </c>
      <c r="AA307" s="12" t="s">
        <v>1268</v>
      </c>
      <c r="AB307" s="12"/>
    </row>
    <row r="308" spans="1:28" x14ac:dyDescent="0.3">
      <c r="A308" s="12" t="s">
        <v>2199</v>
      </c>
      <c r="B308" s="12" t="s">
        <v>104</v>
      </c>
      <c r="C308" s="12" t="s">
        <v>382</v>
      </c>
      <c r="D308" s="12" t="s">
        <v>2103</v>
      </c>
      <c r="E308" s="12" t="s">
        <v>1886</v>
      </c>
      <c r="F308" s="12" t="s">
        <v>1861</v>
      </c>
      <c r="G308" s="12" t="s">
        <v>1861</v>
      </c>
      <c r="H308" s="12" t="b">
        <v>1</v>
      </c>
      <c r="I308" s="12" t="b">
        <v>0</v>
      </c>
      <c r="J308" s="12" t="b">
        <v>1</v>
      </c>
      <c r="K308" s="12" t="b">
        <v>0</v>
      </c>
      <c r="L308" s="12">
        <v>529</v>
      </c>
      <c r="M308" s="12">
        <v>300.032917</v>
      </c>
      <c r="N308" s="12">
        <v>3000</v>
      </c>
      <c r="O308" s="12">
        <v>2000</v>
      </c>
      <c r="P308" s="12">
        <v>0.5</v>
      </c>
      <c r="Q308" s="12">
        <v>0.85</v>
      </c>
      <c r="R308" s="12">
        <v>0.75</v>
      </c>
      <c r="S308" s="12">
        <v>0.85</v>
      </c>
      <c r="T308" s="12">
        <v>0.75</v>
      </c>
      <c r="U308" s="12">
        <v>0.8</v>
      </c>
      <c r="V308" s="12"/>
      <c r="W308" s="12">
        <v>3.21522790934339</v>
      </c>
      <c r="X308" s="12">
        <v>55.888074518405567</v>
      </c>
      <c r="Y308" s="12">
        <v>1000</v>
      </c>
      <c r="Z308" s="12">
        <v>1.5</v>
      </c>
      <c r="AA308" s="12" t="s">
        <v>1268</v>
      </c>
      <c r="AB308" s="12"/>
    </row>
    <row r="309" spans="1:28" x14ac:dyDescent="0.3">
      <c r="A309" s="12" t="s">
        <v>2200</v>
      </c>
      <c r="B309" s="12" t="s">
        <v>104</v>
      </c>
      <c r="C309" s="12" t="s">
        <v>382</v>
      </c>
      <c r="D309" s="12" t="s">
        <v>2103</v>
      </c>
      <c r="E309" s="12" t="s">
        <v>1886</v>
      </c>
      <c r="F309" s="12" t="s">
        <v>1861</v>
      </c>
      <c r="G309" s="12" t="s">
        <v>1861</v>
      </c>
      <c r="H309" s="12" t="b">
        <v>1</v>
      </c>
      <c r="I309" s="12" t="b">
        <v>0</v>
      </c>
      <c r="J309" s="12" t="b">
        <v>1</v>
      </c>
      <c r="K309" s="12" t="b">
        <v>0</v>
      </c>
      <c r="L309" s="12">
        <v>560</v>
      </c>
      <c r="M309" s="12">
        <v>300.032917</v>
      </c>
      <c r="N309" s="12">
        <v>3000</v>
      </c>
      <c r="O309" s="12">
        <v>545.4545454545455</v>
      </c>
      <c r="P309" s="12">
        <v>0.5</v>
      </c>
      <c r="Q309" s="12">
        <v>0.85</v>
      </c>
      <c r="R309" s="12">
        <v>0.75</v>
      </c>
      <c r="S309" s="12">
        <v>0.85</v>
      </c>
      <c r="T309" s="12">
        <v>0.75</v>
      </c>
      <c r="U309" s="12">
        <v>0.8</v>
      </c>
      <c r="V309" s="12"/>
      <c r="W309" s="12">
        <v>11.446966265287431</v>
      </c>
      <c r="X309" s="12">
        <v>206.45810244131189</v>
      </c>
      <c r="Y309" s="12">
        <v>2454.545454545455</v>
      </c>
      <c r="Z309" s="12">
        <v>5.5</v>
      </c>
      <c r="AA309" s="12" t="s">
        <v>1268</v>
      </c>
      <c r="AB309" s="12"/>
    </row>
    <row r="310" spans="1:28" x14ac:dyDescent="0.3">
      <c r="A310" s="12" t="s">
        <v>2201</v>
      </c>
      <c r="B310" s="12" t="s">
        <v>104</v>
      </c>
      <c r="C310" s="12" t="s">
        <v>382</v>
      </c>
      <c r="D310" s="12" t="s">
        <v>2103</v>
      </c>
      <c r="E310" s="12" t="s">
        <v>1886</v>
      </c>
      <c r="F310" s="12" t="s">
        <v>1861</v>
      </c>
      <c r="G310" s="12" t="s">
        <v>1861</v>
      </c>
      <c r="H310" s="12" t="b">
        <v>1</v>
      </c>
      <c r="I310" s="12" t="b">
        <v>0</v>
      </c>
      <c r="J310" s="12" t="b">
        <v>1</v>
      </c>
      <c r="K310" s="12" t="b">
        <v>0</v>
      </c>
      <c r="L310" s="12">
        <v>560</v>
      </c>
      <c r="M310" s="12">
        <v>300.032917</v>
      </c>
      <c r="N310" s="12">
        <v>3000</v>
      </c>
      <c r="O310" s="12">
        <v>690.90909090909099</v>
      </c>
      <c r="P310" s="12">
        <v>0.5</v>
      </c>
      <c r="Q310" s="12">
        <v>0.85</v>
      </c>
      <c r="R310" s="12">
        <v>0.75</v>
      </c>
      <c r="S310" s="12">
        <v>0.85</v>
      </c>
      <c r="T310" s="12">
        <v>0.75</v>
      </c>
      <c r="U310" s="12">
        <v>0.8</v>
      </c>
      <c r="V310" s="12"/>
      <c r="W310" s="12">
        <v>10.135561317244701</v>
      </c>
      <c r="X310" s="12">
        <v>182.98204482169089</v>
      </c>
      <c r="Y310" s="12">
        <v>2309.090909090909</v>
      </c>
      <c r="Z310" s="12">
        <v>4.3421052631578938</v>
      </c>
      <c r="AA310" s="12" t="s">
        <v>1268</v>
      </c>
      <c r="AB310" s="12"/>
    </row>
    <row r="311" spans="1:28" x14ac:dyDescent="0.3">
      <c r="A311" s="12" t="s">
        <v>2202</v>
      </c>
      <c r="B311" s="12" t="s">
        <v>104</v>
      </c>
      <c r="C311" s="12" t="s">
        <v>382</v>
      </c>
      <c r="D311" s="12" t="s">
        <v>2103</v>
      </c>
      <c r="E311" s="12" t="s">
        <v>1886</v>
      </c>
      <c r="F311" s="12" t="s">
        <v>1861</v>
      </c>
      <c r="G311" s="12" t="s">
        <v>1861</v>
      </c>
      <c r="H311" s="12" t="b">
        <v>1</v>
      </c>
      <c r="I311" s="12" t="b">
        <v>0</v>
      </c>
      <c r="J311" s="12" t="b">
        <v>1</v>
      </c>
      <c r="K311" s="12" t="b">
        <v>0</v>
      </c>
      <c r="L311" s="12">
        <v>560</v>
      </c>
      <c r="M311" s="12">
        <v>300.032917</v>
      </c>
      <c r="N311" s="12">
        <v>3000</v>
      </c>
      <c r="O311" s="12">
        <v>836.36363636363637</v>
      </c>
      <c r="P311" s="12">
        <v>0.5</v>
      </c>
      <c r="Q311" s="12">
        <v>0.85</v>
      </c>
      <c r="R311" s="12">
        <v>0.75</v>
      </c>
      <c r="S311" s="12">
        <v>0.85</v>
      </c>
      <c r="T311" s="12">
        <v>0.75</v>
      </c>
      <c r="U311" s="12">
        <v>0.8</v>
      </c>
      <c r="V311" s="12"/>
      <c r="W311" s="12">
        <v>9.0195680453893594</v>
      </c>
      <c r="X311" s="12">
        <v>162.91231433112321</v>
      </c>
      <c r="Y311" s="12">
        <v>2163.636363636364</v>
      </c>
      <c r="Z311" s="12">
        <v>3.5869565217391299</v>
      </c>
      <c r="AA311" s="12" t="s">
        <v>1268</v>
      </c>
      <c r="AB311" s="12"/>
    </row>
    <row r="312" spans="1:28" x14ac:dyDescent="0.3">
      <c r="A312" s="12" t="s">
        <v>2203</v>
      </c>
      <c r="B312" s="12" t="s">
        <v>104</v>
      </c>
      <c r="C312" s="12" t="s">
        <v>382</v>
      </c>
      <c r="D312" s="12" t="s">
        <v>2103</v>
      </c>
      <c r="E312" s="12" t="s">
        <v>1886</v>
      </c>
      <c r="F312" s="12" t="s">
        <v>1861</v>
      </c>
      <c r="G312" s="12" t="s">
        <v>1861</v>
      </c>
      <c r="H312" s="12" t="b">
        <v>1</v>
      </c>
      <c r="I312" s="12" t="b">
        <v>0</v>
      </c>
      <c r="J312" s="12" t="b">
        <v>1</v>
      </c>
      <c r="K312" s="12" t="b">
        <v>0</v>
      </c>
      <c r="L312" s="12">
        <v>560</v>
      </c>
      <c r="M312" s="12">
        <v>300.032917</v>
      </c>
      <c r="N312" s="12">
        <v>3000</v>
      </c>
      <c r="O312" s="12">
        <v>1127.2727272727279</v>
      </c>
      <c r="P312" s="12">
        <v>0.5</v>
      </c>
      <c r="Q312" s="12">
        <v>0.85</v>
      </c>
      <c r="R312" s="12">
        <v>0.75</v>
      </c>
      <c r="S312" s="12">
        <v>0.85</v>
      </c>
      <c r="T312" s="12">
        <v>0.75</v>
      </c>
      <c r="U312" s="12">
        <v>0.8</v>
      </c>
      <c r="V312" s="12"/>
      <c r="W312" s="12">
        <v>7.1676089082440404</v>
      </c>
      <c r="X312" s="12">
        <v>129.48262003709809</v>
      </c>
      <c r="Y312" s="12">
        <v>1872.7272727272721</v>
      </c>
      <c r="Z312" s="12">
        <v>2.6612903225806441</v>
      </c>
      <c r="AA312" s="12" t="s">
        <v>1268</v>
      </c>
      <c r="AB312" s="12"/>
    </row>
    <row r="313" spans="1:28" x14ac:dyDescent="0.3">
      <c r="A313" s="12" t="s">
        <v>2204</v>
      </c>
      <c r="B313" s="12" t="s">
        <v>104</v>
      </c>
      <c r="C313" s="12" t="s">
        <v>382</v>
      </c>
      <c r="D313" s="12" t="s">
        <v>2103</v>
      </c>
      <c r="E313" s="12" t="s">
        <v>1886</v>
      </c>
      <c r="F313" s="12" t="s">
        <v>1861</v>
      </c>
      <c r="G313" s="12" t="s">
        <v>1861</v>
      </c>
      <c r="H313" s="12" t="b">
        <v>1</v>
      </c>
      <c r="I313" s="12" t="b">
        <v>0</v>
      </c>
      <c r="J313" s="12" t="b">
        <v>1</v>
      </c>
      <c r="K313" s="12" t="b">
        <v>0</v>
      </c>
      <c r="L313" s="12">
        <v>560</v>
      </c>
      <c r="M313" s="12">
        <v>300.032917</v>
      </c>
      <c r="N313" s="12">
        <v>3000</v>
      </c>
      <c r="O313" s="12">
        <v>981.81818181818198</v>
      </c>
      <c r="P313" s="12">
        <v>0.5</v>
      </c>
      <c r="Q313" s="12">
        <v>0.85</v>
      </c>
      <c r="R313" s="12">
        <v>0.75</v>
      </c>
      <c r="S313" s="12">
        <v>0.85</v>
      </c>
      <c r="T313" s="12">
        <v>0.75</v>
      </c>
      <c r="U313" s="12">
        <v>0.8</v>
      </c>
      <c r="V313" s="12"/>
      <c r="W313" s="12">
        <v>8.0418056258315893</v>
      </c>
      <c r="X313" s="12">
        <v>145.27772056076171</v>
      </c>
      <c r="Y313" s="12">
        <v>2018.181818181818</v>
      </c>
      <c r="Z313" s="12">
        <v>3.0555555555555549</v>
      </c>
      <c r="AA313" s="12" t="s">
        <v>1268</v>
      </c>
      <c r="AB313" s="12"/>
    </row>
    <row r="314" spans="1:28" x14ac:dyDescent="0.3">
      <c r="A314" s="12" t="s">
        <v>2205</v>
      </c>
      <c r="B314" s="12" t="s">
        <v>104</v>
      </c>
      <c r="C314" s="12" t="s">
        <v>382</v>
      </c>
      <c r="D314" s="12" t="s">
        <v>2103</v>
      </c>
      <c r="E314" s="12" t="s">
        <v>1886</v>
      </c>
      <c r="F314" s="12" t="s">
        <v>1861</v>
      </c>
      <c r="G314" s="12" t="s">
        <v>1861</v>
      </c>
      <c r="H314" s="12" t="b">
        <v>1</v>
      </c>
      <c r="I314" s="12" t="b">
        <v>0</v>
      </c>
      <c r="J314" s="12" t="b">
        <v>1</v>
      </c>
      <c r="K314" s="12" t="b">
        <v>0</v>
      </c>
      <c r="L314" s="12">
        <v>560</v>
      </c>
      <c r="M314" s="12">
        <v>300.032917</v>
      </c>
      <c r="N314" s="12">
        <v>3000</v>
      </c>
      <c r="O314" s="12">
        <v>1272.727272727273</v>
      </c>
      <c r="P314" s="12">
        <v>0.5</v>
      </c>
      <c r="Q314" s="12">
        <v>0.85</v>
      </c>
      <c r="R314" s="12">
        <v>0.75</v>
      </c>
      <c r="S314" s="12">
        <v>0.85</v>
      </c>
      <c r="T314" s="12">
        <v>0.75</v>
      </c>
      <c r="U314" s="12">
        <v>0.8</v>
      </c>
      <c r="V314" s="12"/>
      <c r="W314" s="12">
        <v>6.3742604219873407</v>
      </c>
      <c r="X314" s="12">
        <v>115.13296344630869</v>
      </c>
      <c r="Y314" s="12">
        <v>1727.272727272727</v>
      </c>
      <c r="Z314" s="12">
        <v>2.3571428571428572</v>
      </c>
      <c r="AA314" s="12" t="s">
        <v>1268</v>
      </c>
      <c r="AB314" s="12"/>
    </row>
    <row r="315" spans="1:28" x14ac:dyDescent="0.3">
      <c r="A315" s="12" t="s">
        <v>2206</v>
      </c>
      <c r="B315" s="12" t="s">
        <v>104</v>
      </c>
      <c r="C315" s="12" t="s">
        <v>382</v>
      </c>
      <c r="D315" s="12" t="s">
        <v>2103</v>
      </c>
      <c r="E315" s="12" t="s">
        <v>1886</v>
      </c>
      <c r="F315" s="12" t="s">
        <v>1861</v>
      </c>
      <c r="G315" s="12" t="s">
        <v>1861</v>
      </c>
      <c r="H315" s="12" t="b">
        <v>1</v>
      </c>
      <c r="I315" s="12" t="b">
        <v>0</v>
      </c>
      <c r="J315" s="12" t="b">
        <v>1</v>
      </c>
      <c r="K315" s="12" t="b">
        <v>0</v>
      </c>
      <c r="L315" s="12">
        <v>560</v>
      </c>
      <c r="M315" s="12">
        <v>300.032917</v>
      </c>
      <c r="N315" s="12">
        <v>3000</v>
      </c>
      <c r="O315" s="12">
        <v>1418.181818181818</v>
      </c>
      <c r="P315" s="12">
        <v>0.5</v>
      </c>
      <c r="Q315" s="12">
        <v>0.85</v>
      </c>
      <c r="R315" s="12">
        <v>0.75</v>
      </c>
      <c r="S315" s="12">
        <v>0.85</v>
      </c>
      <c r="T315" s="12">
        <v>0.75</v>
      </c>
      <c r="U315" s="12">
        <v>0.8</v>
      </c>
      <c r="V315" s="12"/>
      <c r="W315" s="12">
        <v>5.6459967944908396</v>
      </c>
      <c r="X315" s="12">
        <v>101.95323489171599</v>
      </c>
      <c r="Y315" s="12">
        <v>1581.818181818182</v>
      </c>
      <c r="Z315" s="12">
        <v>2.115384615384615</v>
      </c>
      <c r="AA315" s="12" t="s">
        <v>1268</v>
      </c>
      <c r="AB315" s="12"/>
    </row>
    <row r="316" spans="1:28" x14ac:dyDescent="0.3">
      <c r="A316" s="12" t="s">
        <v>2207</v>
      </c>
      <c r="B316" s="12" t="s">
        <v>104</v>
      </c>
      <c r="C316" s="12" t="s">
        <v>382</v>
      </c>
      <c r="D316" s="12" t="s">
        <v>2103</v>
      </c>
      <c r="E316" s="12" t="s">
        <v>1886</v>
      </c>
      <c r="F316" s="12" t="s">
        <v>1861</v>
      </c>
      <c r="G316" s="12" t="s">
        <v>1861</v>
      </c>
      <c r="H316" s="12" t="b">
        <v>1</v>
      </c>
      <c r="I316" s="12" t="b">
        <v>0</v>
      </c>
      <c r="J316" s="12" t="b">
        <v>1</v>
      </c>
      <c r="K316" s="12" t="b">
        <v>0</v>
      </c>
      <c r="L316" s="12">
        <v>560</v>
      </c>
      <c r="M316" s="12">
        <v>300.032917</v>
      </c>
      <c r="N316" s="12">
        <v>3000</v>
      </c>
      <c r="O316" s="12">
        <v>1563.636363636364</v>
      </c>
      <c r="P316" s="12">
        <v>0.5</v>
      </c>
      <c r="Q316" s="12">
        <v>0.85</v>
      </c>
      <c r="R316" s="12">
        <v>0.75</v>
      </c>
      <c r="S316" s="12">
        <v>0.85</v>
      </c>
      <c r="T316" s="12">
        <v>0.75</v>
      </c>
      <c r="U316" s="12">
        <v>0.8</v>
      </c>
      <c r="V316" s="12"/>
      <c r="W316" s="12">
        <v>4.9713992127374294</v>
      </c>
      <c r="X316" s="12">
        <v>89.74257907061309</v>
      </c>
      <c r="Y316" s="12">
        <v>1436.363636363636</v>
      </c>
      <c r="Z316" s="12">
        <v>1.918604651162791</v>
      </c>
      <c r="AA316" s="12" t="s">
        <v>1268</v>
      </c>
      <c r="AB316" s="12"/>
    </row>
    <row r="317" spans="1:28" x14ac:dyDescent="0.3">
      <c r="A317" s="12" t="s">
        <v>2208</v>
      </c>
      <c r="B317" s="12" t="s">
        <v>104</v>
      </c>
      <c r="C317" s="12" t="s">
        <v>382</v>
      </c>
      <c r="D317" s="12" t="s">
        <v>2103</v>
      </c>
      <c r="E317" s="12" t="s">
        <v>1886</v>
      </c>
      <c r="F317" s="12" t="s">
        <v>1861</v>
      </c>
      <c r="G317" s="12" t="s">
        <v>1861</v>
      </c>
      <c r="H317" s="12" t="b">
        <v>1</v>
      </c>
      <c r="I317" s="12" t="b">
        <v>0</v>
      </c>
      <c r="J317" s="12" t="b">
        <v>1</v>
      </c>
      <c r="K317" s="12" t="b">
        <v>0</v>
      </c>
      <c r="L317" s="12">
        <v>560</v>
      </c>
      <c r="M317" s="12">
        <v>300.032917</v>
      </c>
      <c r="N317" s="12">
        <v>3000</v>
      </c>
      <c r="O317" s="12">
        <v>1709.090909090909</v>
      </c>
      <c r="P317" s="12">
        <v>0.5</v>
      </c>
      <c r="Q317" s="12">
        <v>0.85</v>
      </c>
      <c r="R317" s="12">
        <v>0.75</v>
      </c>
      <c r="S317" s="12">
        <v>0.85</v>
      </c>
      <c r="T317" s="12">
        <v>0.75</v>
      </c>
      <c r="U317" s="12">
        <v>0.8</v>
      </c>
      <c r="V317" s="12"/>
      <c r="W317" s="12">
        <v>4.34190933211638</v>
      </c>
      <c r="X317" s="12">
        <v>78.349635856266957</v>
      </c>
      <c r="Y317" s="12">
        <v>1290.909090909091</v>
      </c>
      <c r="Z317" s="12">
        <v>1.7553191489361699</v>
      </c>
      <c r="AA317" s="12" t="s">
        <v>1268</v>
      </c>
      <c r="AB317" s="12"/>
    </row>
    <row r="318" spans="1:28" x14ac:dyDescent="0.3">
      <c r="A318" s="12" t="s">
        <v>2209</v>
      </c>
      <c r="B318" s="12" t="s">
        <v>104</v>
      </c>
      <c r="C318" s="12" t="s">
        <v>382</v>
      </c>
      <c r="D318" s="12" t="s">
        <v>2103</v>
      </c>
      <c r="E318" s="12" t="s">
        <v>1886</v>
      </c>
      <c r="F318" s="12" t="s">
        <v>1861</v>
      </c>
      <c r="G318" s="12" t="s">
        <v>1861</v>
      </c>
      <c r="H318" s="12" t="b">
        <v>1</v>
      </c>
      <c r="I318" s="12" t="b">
        <v>0</v>
      </c>
      <c r="J318" s="12" t="b">
        <v>1</v>
      </c>
      <c r="K318" s="12" t="b">
        <v>0</v>
      </c>
      <c r="L318" s="12">
        <v>560</v>
      </c>
      <c r="M318" s="12">
        <v>300.032917</v>
      </c>
      <c r="N318" s="12">
        <v>3000</v>
      </c>
      <c r="O318" s="12">
        <v>1854.545454545455</v>
      </c>
      <c r="P318" s="12">
        <v>0.5</v>
      </c>
      <c r="Q318" s="12">
        <v>0.85</v>
      </c>
      <c r="R318" s="12">
        <v>0.75</v>
      </c>
      <c r="S318" s="12">
        <v>0.85</v>
      </c>
      <c r="T318" s="12">
        <v>0.75</v>
      </c>
      <c r="U318" s="12">
        <v>0.8</v>
      </c>
      <c r="V318" s="12"/>
      <c r="W318" s="12">
        <v>3.7509346700953698</v>
      </c>
      <c r="X318" s="12">
        <v>67.657252892774608</v>
      </c>
      <c r="Y318" s="12">
        <v>1145.454545454545</v>
      </c>
      <c r="Z318" s="12">
        <v>1.617647058823529</v>
      </c>
      <c r="AA318" s="12" t="s">
        <v>1268</v>
      </c>
      <c r="AB318" s="12"/>
    </row>
    <row r="319" spans="1:28" x14ac:dyDescent="0.3">
      <c r="A319" s="12" t="s">
        <v>2210</v>
      </c>
      <c r="B319" s="12" t="s">
        <v>104</v>
      </c>
      <c r="C319" s="12" t="s">
        <v>382</v>
      </c>
      <c r="D319" s="12" t="s">
        <v>2103</v>
      </c>
      <c r="E319" s="12" t="s">
        <v>1886</v>
      </c>
      <c r="F319" s="12" t="s">
        <v>1861</v>
      </c>
      <c r="G319" s="12" t="s">
        <v>1861</v>
      </c>
      <c r="H319" s="12" t="b">
        <v>1</v>
      </c>
      <c r="I319" s="12" t="b">
        <v>0</v>
      </c>
      <c r="J319" s="12" t="b">
        <v>1</v>
      </c>
      <c r="K319" s="12" t="b">
        <v>0</v>
      </c>
      <c r="L319" s="12">
        <v>560</v>
      </c>
      <c r="M319" s="12">
        <v>300.032917</v>
      </c>
      <c r="N319" s="12">
        <v>3000</v>
      </c>
      <c r="O319" s="12">
        <v>2000</v>
      </c>
      <c r="P319" s="12">
        <v>0.5</v>
      </c>
      <c r="Q319" s="12">
        <v>0.85</v>
      </c>
      <c r="R319" s="12">
        <v>0.75</v>
      </c>
      <c r="S319" s="12">
        <v>0.85</v>
      </c>
      <c r="T319" s="12">
        <v>0.75</v>
      </c>
      <c r="U319" s="12">
        <v>0.8</v>
      </c>
      <c r="V319" s="12"/>
      <c r="W319" s="12">
        <v>3.1932786339681898</v>
      </c>
      <c r="X319" s="12">
        <v>57.572724745350243</v>
      </c>
      <c r="Y319" s="12">
        <v>1000</v>
      </c>
      <c r="Z319" s="12">
        <v>1.5</v>
      </c>
      <c r="AA319" s="12" t="s">
        <v>1268</v>
      </c>
      <c r="AB319" s="12"/>
    </row>
    <row r="320" spans="1:28" x14ac:dyDescent="0.3">
      <c r="A320" s="12" t="s">
        <v>2211</v>
      </c>
      <c r="B320" s="12" t="s">
        <v>104</v>
      </c>
      <c r="C320" s="12" t="s">
        <v>382</v>
      </c>
      <c r="D320" s="12" t="s">
        <v>2103</v>
      </c>
      <c r="E320" s="12" t="s">
        <v>2033</v>
      </c>
      <c r="F320" s="12" t="s">
        <v>32</v>
      </c>
      <c r="G320" s="12" t="s">
        <v>32</v>
      </c>
      <c r="H320" s="12" t="b">
        <v>1</v>
      </c>
      <c r="I320" s="12" t="b">
        <v>1</v>
      </c>
      <c r="J320" s="12" t="b">
        <v>0</v>
      </c>
      <c r="K320" s="12" t="b">
        <v>0</v>
      </c>
      <c r="L320" s="12">
        <v>403</v>
      </c>
      <c r="M320" s="12">
        <v>300.032917</v>
      </c>
      <c r="N320" s="12">
        <v>3000</v>
      </c>
      <c r="O320" s="12">
        <v>618.18181818181824</v>
      </c>
      <c r="P320" s="12">
        <v>0.5</v>
      </c>
      <c r="Q320" s="12">
        <v>0.85</v>
      </c>
      <c r="R320" s="12">
        <v>0.75</v>
      </c>
      <c r="S320" s="12">
        <v>0.85</v>
      </c>
      <c r="T320" s="12">
        <v>0.75</v>
      </c>
      <c r="U320" s="12">
        <v>0.8</v>
      </c>
      <c r="V320" s="12"/>
      <c r="W320" s="12">
        <v>8.0237149515084294</v>
      </c>
      <c r="X320" s="12">
        <v>24.53347814378921</v>
      </c>
      <c r="Y320" s="12">
        <v>2381.818181818182</v>
      </c>
      <c r="Z320" s="12">
        <v>4.8529411764705879</v>
      </c>
      <c r="AA320" s="12"/>
      <c r="AB320" s="12"/>
    </row>
    <row r="321" spans="1:28" x14ac:dyDescent="0.3">
      <c r="A321" s="12" t="s">
        <v>2212</v>
      </c>
      <c r="B321" s="12" t="s">
        <v>104</v>
      </c>
      <c r="C321" s="12" t="s">
        <v>382</v>
      </c>
      <c r="D321" s="12" t="s">
        <v>2103</v>
      </c>
      <c r="E321" s="12" t="s">
        <v>2033</v>
      </c>
      <c r="F321" s="12" t="s">
        <v>32</v>
      </c>
      <c r="G321" s="12" t="s">
        <v>32</v>
      </c>
      <c r="H321" s="12" t="b">
        <v>1</v>
      </c>
      <c r="I321" s="12" t="b">
        <v>1</v>
      </c>
      <c r="J321" s="12" t="b">
        <v>0</v>
      </c>
      <c r="K321" s="12" t="b">
        <v>0</v>
      </c>
      <c r="L321" s="12">
        <v>403</v>
      </c>
      <c r="M321" s="12">
        <v>300.032917</v>
      </c>
      <c r="N321" s="12">
        <v>3000</v>
      </c>
      <c r="O321" s="12">
        <v>618.18181818181824</v>
      </c>
      <c r="P321" s="12">
        <v>0.5</v>
      </c>
      <c r="Q321" s="12">
        <v>0.85</v>
      </c>
      <c r="R321" s="12">
        <v>0.75</v>
      </c>
      <c r="S321" s="12">
        <v>0.85</v>
      </c>
      <c r="T321" s="12">
        <v>0.75</v>
      </c>
      <c r="U321" s="12">
        <v>0.8</v>
      </c>
      <c r="V321" s="12"/>
      <c r="W321" s="12">
        <v>8.0237149515084294</v>
      </c>
      <c r="X321" s="12">
        <v>24.53347814378921</v>
      </c>
      <c r="Y321" s="12">
        <v>2381.818181818182</v>
      </c>
      <c r="Z321" s="12">
        <v>4.8529411764705879</v>
      </c>
      <c r="AA321" s="12"/>
      <c r="AB321" s="12"/>
    </row>
    <row r="322" spans="1:28" x14ac:dyDescent="0.3">
      <c r="A322" s="12" t="s">
        <v>2213</v>
      </c>
      <c r="B322" s="12" t="s">
        <v>104</v>
      </c>
      <c r="C322" s="12" t="s">
        <v>382</v>
      </c>
      <c r="D322" s="12" t="s">
        <v>2103</v>
      </c>
      <c r="E322" s="12" t="s">
        <v>2033</v>
      </c>
      <c r="F322" s="12" t="s">
        <v>32</v>
      </c>
      <c r="G322" s="12" t="s">
        <v>32</v>
      </c>
      <c r="H322" s="12" t="b">
        <v>1</v>
      </c>
      <c r="I322" s="12" t="b">
        <v>1</v>
      </c>
      <c r="J322" s="12" t="b">
        <v>0</v>
      </c>
      <c r="K322" s="12" t="b">
        <v>0</v>
      </c>
      <c r="L322" s="12">
        <v>390</v>
      </c>
      <c r="M322" s="12">
        <v>300.032917</v>
      </c>
      <c r="N322" s="12">
        <v>3000</v>
      </c>
      <c r="O322" s="12">
        <v>472.7272727272728</v>
      </c>
      <c r="P322" s="12">
        <v>0.5</v>
      </c>
      <c r="Q322" s="12">
        <v>0.85</v>
      </c>
      <c r="R322" s="12">
        <v>0.75</v>
      </c>
      <c r="S322" s="12">
        <v>0.85</v>
      </c>
      <c r="T322" s="12">
        <v>0.75</v>
      </c>
      <c r="U322" s="12">
        <v>0.8</v>
      </c>
      <c r="V322" s="12"/>
      <c r="W322" s="12">
        <v>2.3318917185975598</v>
      </c>
      <c r="X322" s="12">
        <v>3.3804800267326578</v>
      </c>
      <c r="Y322" s="12">
        <v>2527.272727272727</v>
      </c>
      <c r="Z322" s="12">
        <v>6.3461538461538449</v>
      </c>
      <c r="AA322" s="12"/>
      <c r="AB322" s="12"/>
    </row>
    <row r="323" spans="1:28" x14ac:dyDescent="0.3">
      <c r="A323" s="12" t="s">
        <v>2214</v>
      </c>
      <c r="B323" s="12" t="s">
        <v>104</v>
      </c>
      <c r="C323" s="12" t="s">
        <v>382</v>
      </c>
      <c r="D323" s="12" t="s">
        <v>2103</v>
      </c>
      <c r="E323" s="12" t="s">
        <v>2033</v>
      </c>
      <c r="F323" s="12" t="s">
        <v>32</v>
      </c>
      <c r="G323" s="12" t="s">
        <v>32</v>
      </c>
      <c r="H323" s="12" t="b">
        <v>1</v>
      </c>
      <c r="I323" s="12" t="b">
        <v>1</v>
      </c>
      <c r="J323" s="12" t="b">
        <v>0</v>
      </c>
      <c r="K323" s="12" t="b">
        <v>0</v>
      </c>
      <c r="L323" s="12">
        <v>390</v>
      </c>
      <c r="M323" s="12">
        <v>300.032917</v>
      </c>
      <c r="N323" s="12">
        <v>3000</v>
      </c>
      <c r="O323" s="12">
        <v>472.7272727272728</v>
      </c>
      <c r="P323" s="12">
        <v>0.5</v>
      </c>
      <c r="Q323" s="12">
        <v>0.85</v>
      </c>
      <c r="R323" s="12">
        <v>0.75</v>
      </c>
      <c r="S323" s="12">
        <v>0.85</v>
      </c>
      <c r="T323" s="12">
        <v>0.75</v>
      </c>
      <c r="U323" s="12">
        <v>0.8</v>
      </c>
      <c r="V323" s="12"/>
      <c r="W323" s="12">
        <v>2.3318917185975598</v>
      </c>
      <c r="X323" s="12">
        <v>3.3804800267326578</v>
      </c>
      <c r="Y323" s="12">
        <v>2527.272727272727</v>
      </c>
      <c r="Z323" s="12">
        <v>6.3461538461538449</v>
      </c>
      <c r="AA323" s="12"/>
      <c r="AB323" s="12"/>
    </row>
    <row r="324" spans="1:28" x14ac:dyDescent="0.3">
      <c r="A324" s="12" t="s">
        <v>2215</v>
      </c>
      <c r="B324" s="12" t="s">
        <v>104</v>
      </c>
      <c r="C324" s="12" t="s">
        <v>382</v>
      </c>
      <c r="D324" s="12" t="s">
        <v>2103</v>
      </c>
      <c r="E324" s="12" t="s">
        <v>2033</v>
      </c>
      <c r="F324" s="12" t="s">
        <v>32</v>
      </c>
      <c r="G324" s="12" t="s">
        <v>32</v>
      </c>
      <c r="H324" s="12" t="b">
        <v>1</v>
      </c>
      <c r="I324" s="12" t="b">
        <v>1</v>
      </c>
      <c r="J324" s="12" t="b">
        <v>0</v>
      </c>
      <c r="K324" s="12" t="b">
        <v>0</v>
      </c>
      <c r="L324" s="12">
        <v>420</v>
      </c>
      <c r="M324" s="12">
        <v>300.032917</v>
      </c>
      <c r="N324" s="12">
        <v>3000</v>
      </c>
      <c r="O324" s="12">
        <v>763.63636363636374</v>
      </c>
      <c r="P324" s="12">
        <v>0.5</v>
      </c>
      <c r="Q324" s="12">
        <v>0.85</v>
      </c>
      <c r="R324" s="12">
        <v>0.75</v>
      </c>
      <c r="S324" s="12">
        <v>0.85</v>
      </c>
      <c r="T324" s="12">
        <v>0.75</v>
      </c>
      <c r="U324" s="12">
        <v>0.8</v>
      </c>
      <c r="V324" s="12"/>
      <c r="W324" s="12">
        <v>8.9238882898589686</v>
      </c>
      <c r="X324" s="12">
        <v>44.852074027457633</v>
      </c>
      <c r="Y324" s="12">
        <v>2236.363636363636</v>
      </c>
      <c r="Z324" s="12">
        <v>3.9285714285714279</v>
      </c>
      <c r="AA324" s="12"/>
      <c r="AB324" s="12"/>
    </row>
    <row r="325" spans="1:28" x14ac:dyDescent="0.3">
      <c r="A325" s="12" t="s">
        <v>2216</v>
      </c>
      <c r="B325" s="12" t="s">
        <v>104</v>
      </c>
      <c r="C325" s="12" t="s">
        <v>382</v>
      </c>
      <c r="D325" s="12" t="s">
        <v>2103</v>
      </c>
      <c r="E325" s="12" t="s">
        <v>2033</v>
      </c>
      <c r="F325" s="12" t="s">
        <v>32</v>
      </c>
      <c r="G325" s="12" t="s">
        <v>32</v>
      </c>
      <c r="H325" s="12" t="b">
        <v>1</v>
      </c>
      <c r="I325" s="12" t="b">
        <v>1</v>
      </c>
      <c r="J325" s="12" t="b">
        <v>0</v>
      </c>
      <c r="K325" s="12" t="b">
        <v>0</v>
      </c>
      <c r="L325" s="12">
        <v>420</v>
      </c>
      <c r="M325" s="12">
        <v>300.032917</v>
      </c>
      <c r="N325" s="12">
        <v>3000</v>
      </c>
      <c r="O325" s="12">
        <v>763.63636363636374</v>
      </c>
      <c r="P325" s="12">
        <v>0.5</v>
      </c>
      <c r="Q325" s="12">
        <v>0.85</v>
      </c>
      <c r="R325" s="12">
        <v>0.75</v>
      </c>
      <c r="S325" s="12">
        <v>0.85</v>
      </c>
      <c r="T325" s="12">
        <v>0.75</v>
      </c>
      <c r="U325" s="12">
        <v>0.8</v>
      </c>
      <c r="V325" s="12"/>
      <c r="W325" s="12">
        <v>8.9238882898589686</v>
      </c>
      <c r="X325" s="12">
        <v>44.852074027457633</v>
      </c>
      <c r="Y325" s="12">
        <v>2236.363636363636</v>
      </c>
      <c r="Z325" s="12">
        <v>3.9285714285714279</v>
      </c>
      <c r="AA325" s="12"/>
      <c r="AB325" s="12"/>
    </row>
    <row r="326" spans="1:28" x14ac:dyDescent="0.3">
      <c r="A326" s="12" t="s">
        <v>2217</v>
      </c>
      <c r="B326" s="12" t="s">
        <v>104</v>
      </c>
      <c r="C326" s="12" t="s">
        <v>382</v>
      </c>
      <c r="D326" s="12" t="s">
        <v>2103</v>
      </c>
      <c r="E326" s="12" t="s">
        <v>2033</v>
      </c>
      <c r="F326" s="12" t="s">
        <v>1861</v>
      </c>
      <c r="G326" s="12" t="s">
        <v>1861</v>
      </c>
      <c r="H326" s="12" t="b">
        <v>1</v>
      </c>
      <c r="I326" s="12" t="b">
        <v>0</v>
      </c>
      <c r="J326" s="12" t="b">
        <v>1</v>
      </c>
      <c r="K326" s="12" t="b">
        <v>0</v>
      </c>
      <c r="L326" s="12">
        <v>434</v>
      </c>
      <c r="M326" s="12">
        <v>300.032917</v>
      </c>
      <c r="N326" s="12">
        <v>3000</v>
      </c>
      <c r="O326" s="12">
        <v>909.09090909090924</v>
      </c>
      <c r="P326" s="12">
        <v>0.5</v>
      </c>
      <c r="Q326" s="12">
        <v>0.85</v>
      </c>
      <c r="R326" s="12">
        <v>0.75</v>
      </c>
      <c r="S326" s="12">
        <v>0.85</v>
      </c>
      <c r="T326" s="12">
        <v>0.75</v>
      </c>
      <c r="U326" s="12">
        <v>0.8</v>
      </c>
      <c r="V326" s="12"/>
      <c r="W326" s="12">
        <v>8.5000702880861887</v>
      </c>
      <c r="X326" s="12">
        <v>58.10362460974347</v>
      </c>
      <c r="Y326" s="12">
        <v>2090.909090909091</v>
      </c>
      <c r="Z326" s="12">
        <v>3.2999999999999989</v>
      </c>
      <c r="AA326" s="12" t="s">
        <v>1268</v>
      </c>
      <c r="AB326" s="12"/>
    </row>
    <row r="327" spans="1:28" x14ac:dyDescent="0.3">
      <c r="A327" s="12" t="s">
        <v>2218</v>
      </c>
      <c r="B327" s="12" t="s">
        <v>104</v>
      </c>
      <c r="C327" s="12" t="s">
        <v>382</v>
      </c>
      <c r="D327" s="12" t="s">
        <v>2103</v>
      </c>
      <c r="E327" s="12" t="s">
        <v>2033</v>
      </c>
      <c r="F327" s="12" t="s">
        <v>1861</v>
      </c>
      <c r="G327" s="12" t="s">
        <v>1861</v>
      </c>
      <c r="H327" s="12" t="b">
        <v>1</v>
      </c>
      <c r="I327" s="12" t="b">
        <v>0</v>
      </c>
      <c r="J327" s="12" t="b">
        <v>1</v>
      </c>
      <c r="K327" s="12" t="b">
        <v>0</v>
      </c>
      <c r="L327" s="12">
        <v>434</v>
      </c>
      <c r="M327" s="12">
        <v>300.032917</v>
      </c>
      <c r="N327" s="12">
        <v>3000</v>
      </c>
      <c r="O327" s="12">
        <v>909.09090909090924</v>
      </c>
      <c r="P327" s="12">
        <v>0.5</v>
      </c>
      <c r="Q327" s="12">
        <v>0.85</v>
      </c>
      <c r="R327" s="12">
        <v>0.75</v>
      </c>
      <c r="S327" s="12">
        <v>0.85</v>
      </c>
      <c r="T327" s="12">
        <v>0.75</v>
      </c>
      <c r="U327" s="12">
        <v>0.8</v>
      </c>
      <c r="V327" s="12"/>
      <c r="W327" s="12">
        <v>8.5000702880861887</v>
      </c>
      <c r="X327" s="12">
        <v>58.10362460974347</v>
      </c>
      <c r="Y327" s="12">
        <v>2090.909090909091</v>
      </c>
      <c r="Z327" s="12">
        <v>3.2999999999999989</v>
      </c>
      <c r="AA327" s="12" t="s">
        <v>1268</v>
      </c>
      <c r="AB327" s="12"/>
    </row>
    <row r="328" spans="1:28" x14ac:dyDescent="0.3">
      <c r="A328" s="12" t="s">
        <v>2219</v>
      </c>
      <c r="B328" s="12" t="s">
        <v>104</v>
      </c>
      <c r="C328" s="12" t="s">
        <v>382</v>
      </c>
      <c r="D328" s="12" t="s">
        <v>2103</v>
      </c>
      <c r="E328" s="12" t="s">
        <v>2033</v>
      </c>
      <c r="F328" s="12" t="s">
        <v>32</v>
      </c>
      <c r="G328" s="12" t="s">
        <v>32</v>
      </c>
      <c r="H328" s="12" t="b">
        <v>1</v>
      </c>
      <c r="I328" s="12" t="b">
        <v>0</v>
      </c>
      <c r="J328" s="12" t="b">
        <v>1</v>
      </c>
      <c r="K328" s="12" t="b">
        <v>0</v>
      </c>
      <c r="L328" s="12">
        <v>434</v>
      </c>
      <c r="M328" s="12">
        <v>300.032917</v>
      </c>
      <c r="N328" s="12">
        <v>3000</v>
      </c>
      <c r="O328" s="12">
        <v>1781.818181818182</v>
      </c>
      <c r="P328" s="12">
        <v>0.5</v>
      </c>
      <c r="Q328" s="12">
        <v>0.85</v>
      </c>
      <c r="R328" s="12">
        <v>0.75</v>
      </c>
      <c r="S328" s="12">
        <v>0.85</v>
      </c>
      <c r="T328" s="12">
        <v>0.75</v>
      </c>
      <c r="U328" s="12">
        <v>0.8</v>
      </c>
      <c r="V328" s="12"/>
      <c r="W328" s="12">
        <v>3.7896501237301101</v>
      </c>
      <c r="X328" s="12">
        <v>25.791455309998732</v>
      </c>
      <c r="Y328" s="12">
        <v>1218.181818181818</v>
      </c>
      <c r="Z328" s="12">
        <v>1.6836734693877551</v>
      </c>
      <c r="AA328" s="12"/>
      <c r="AB328" s="12"/>
    </row>
    <row r="329" spans="1:28" x14ac:dyDescent="0.3">
      <c r="A329" s="12" t="s">
        <v>2220</v>
      </c>
      <c r="B329" s="12" t="s">
        <v>104</v>
      </c>
      <c r="C329" s="12" t="s">
        <v>382</v>
      </c>
      <c r="D329" s="12" t="s">
        <v>2103</v>
      </c>
      <c r="E329" s="12" t="s">
        <v>2033</v>
      </c>
      <c r="F329" s="12" t="s">
        <v>32</v>
      </c>
      <c r="G329" s="12" t="s">
        <v>32</v>
      </c>
      <c r="H329" s="12" t="b">
        <v>1</v>
      </c>
      <c r="I329" s="12" t="b">
        <v>1</v>
      </c>
      <c r="J329" s="12" t="b">
        <v>0</v>
      </c>
      <c r="K329" s="12" t="b">
        <v>0</v>
      </c>
      <c r="L329" s="12">
        <v>403</v>
      </c>
      <c r="M329" s="12">
        <v>300.032917</v>
      </c>
      <c r="N329" s="12">
        <v>3000</v>
      </c>
      <c r="O329" s="12">
        <v>581.81818181818187</v>
      </c>
      <c r="P329" s="12">
        <v>0.5</v>
      </c>
      <c r="Q329" s="12">
        <v>0.85</v>
      </c>
      <c r="R329" s="12">
        <v>0.75</v>
      </c>
      <c r="S329" s="12">
        <v>0.85</v>
      </c>
      <c r="T329" s="12">
        <v>0.75</v>
      </c>
      <c r="U329" s="12">
        <v>0.8</v>
      </c>
      <c r="V329" s="12"/>
      <c r="W329" s="12">
        <v>8.3248338524957006</v>
      </c>
      <c r="X329" s="12">
        <v>25.458995706406341</v>
      </c>
      <c r="Y329" s="12">
        <v>2418.181818181818</v>
      </c>
      <c r="Z329" s="12">
        <v>5.1562499999999991</v>
      </c>
      <c r="AA329" s="12"/>
      <c r="AB329" s="12"/>
    </row>
    <row r="330" spans="1:28" x14ac:dyDescent="0.3">
      <c r="A330" s="12" t="s">
        <v>2221</v>
      </c>
      <c r="B330" s="12" t="s">
        <v>104</v>
      </c>
      <c r="C330" s="12" t="s">
        <v>382</v>
      </c>
      <c r="D330" s="12" t="s">
        <v>2103</v>
      </c>
      <c r="E330" s="12" t="s">
        <v>2033</v>
      </c>
      <c r="F330" s="12" t="s">
        <v>32</v>
      </c>
      <c r="G330" s="12" t="s">
        <v>32</v>
      </c>
      <c r="H330" s="12" t="b">
        <v>1</v>
      </c>
      <c r="I330" s="12" t="b">
        <v>1</v>
      </c>
      <c r="J330" s="12" t="b">
        <v>0</v>
      </c>
      <c r="K330" s="12" t="b">
        <v>0</v>
      </c>
      <c r="L330" s="12">
        <v>403</v>
      </c>
      <c r="M330" s="12">
        <v>300.032917</v>
      </c>
      <c r="N330" s="12">
        <v>3000</v>
      </c>
      <c r="O330" s="12">
        <v>581.81818181818187</v>
      </c>
      <c r="P330" s="12">
        <v>0.5</v>
      </c>
      <c r="Q330" s="12">
        <v>0.85</v>
      </c>
      <c r="R330" s="12">
        <v>0.75</v>
      </c>
      <c r="S330" s="12">
        <v>0.85</v>
      </c>
      <c r="T330" s="12">
        <v>0.75</v>
      </c>
      <c r="U330" s="12">
        <v>0.8</v>
      </c>
      <c r="V330" s="12"/>
      <c r="W330" s="12">
        <v>8.3248338524957006</v>
      </c>
      <c r="X330" s="12">
        <v>25.458995706406341</v>
      </c>
      <c r="Y330" s="12">
        <v>2418.181818181818</v>
      </c>
      <c r="Z330" s="12">
        <v>5.1562499999999991</v>
      </c>
      <c r="AA330" s="12"/>
      <c r="AB330" s="12"/>
    </row>
    <row r="331" spans="1:28" x14ac:dyDescent="0.3">
      <c r="A331" s="12" t="s">
        <v>2222</v>
      </c>
      <c r="B331" s="12" t="s">
        <v>104</v>
      </c>
      <c r="C331" s="12" t="s">
        <v>382</v>
      </c>
      <c r="D331" s="12" t="s">
        <v>2103</v>
      </c>
      <c r="E331" s="12" t="s">
        <v>2033</v>
      </c>
      <c r="F331" s="12" t="s">
        <v>1861</v>
      </c>
      <c r="G331" s="12" t="s">
        <v>1861</v>
      </c>
      <c r="H331" s="12" t="b">
        <v>1</v>
      </c>
      <c r="I331" s="12" t="b">
        <v>0</v>
      </c>
      <c r="J331" s="12" t="b">
        <v>0</v>
      </c>
      <c r="K331" s="12" t="b">
        <v>0</v>
      </c>
      <c r="L331" s="12">
        <v>390</v>
      </c>
      <c r="M331" s="12">
        <v>300.032917</v>
      </c>
      <c r="N331" s="12">
        <v>3000</v>
      </c>
      <c r="O331" s="12">
        <v>436.36363636363637</v>
      </c>
      <c r="P331" s="12">
        <v>0.5</v>
      </c>
      <c r="Q331" s="12">
        <v>0.85</v>
      </c>
      <c r="R331" s="12">
        <v>0.75</v>
      </c>
      <c r="S331" s="12">
        <v>0.85</v>
      </c>
      <c r="T331" s="12">
        <v>0.75</v>
      </c>
      <c r="U331" s="12">
        <v>0.8</v>
      </c>
      <c r="V331" s="12"/>
      <c r="W331" s="12">
        <v>2.4851035507924899</v>
      </c>
      <c r="X331" s="12">
        <v>3.602716710468346</v>
      </c>
      <c r="Y331" s="12">
        <v>2563.636363636364</v>
      </c>
      <c r="Z331" s="12">
        <v>6.875</v>
      </c>
      <c r="AA331" s="12" t="s">
        <v>1268</v>
      </c>
      <c r="AB331" s="12"/>
    </row>
    <row r="332" spans="1:28" x14ac:dyDescent="0.3">
      <c r="A332" s="12" t="s">
        <v>2223</v>
      </c>
      <c r="B332" s="12" t="s">
        <v>104</v>
      </c>
      <c r="C332" s="12" t="s">
        <v>382</v>
      </c>
      <c r="D332" s="12" t="s">
        <v>2103</v>
      </c>
      <c r="E332" s="12" t="s">
        <v>2033</v>
      </c>
      <c r="F332" s="12" t="s">
        <v>1861</v>
      </c>
      <c r="G332" s="12" t="s">
        <v>1861</v>
      </c>
      <c r="H332" s="12" t="b">
        <v>1</v>
      </c>
      <c r="I332" s="12" t="b">
        <v>0</v>
      </c>
      <c r="J332" s="12" t="b">
        <v>0</v>
      </c>
      <c r="K332" s="12" t="b">
        <v>0</v>
      </c>
      <c r="L332" s="12">
        <v>390</v>
      </c>
      <c r="M332" s="12">
        <v>300.032917</v>
      </c>
      <c r="N332" s="12">
        <v>3000</v>
      </c>
      <c r="O332" s="12">
        <v>436.36363636363637</v>
      </c>
      <c r="P332" s="12">
        <v>0.5</v>
      </c>
      <c r="Q332" s="12">
        <v>0.85</v>
      </c>
      <c r="R332" s="12">
        <v>0.75</v>
      </c>
      <c r="S332" s="12">
        <v>0.85</v>
      </c>
      <c r="T332" s="12">
        <v>0.75</v>
      </c>
      <c r="U332" s="12">
        <v>0.8</v>
      </c>
      <c r="V332" s="12"/>
      <c r="W332" s="12">
        <v>2.4851035507924899</v>
      </c>
      <c r="X332" s="12">
        <v>3.602716710468346</v>
      </c>
      <c r="Y332" s="12">
        <v>2563.636363636364</v>
      </c>
      <c r="Z332" s="12">
        <v>6.875</v>
      </c>
      <c r="AA332" s="12" t="s">
        <v>1268</v>
      </c>
      <c r="AB332" s="12"/>
    </row>
    <row r="333" spans="1:28" x14ac:dyDescent="0.3">
      <c r="A333" s="12" t="s">
        <v>2224</v>
      </c>
      <c r="B333" s="12" t="s">
        <v>104</v>
      </c>
      <c r="C333" s="12" t="s">
        <v>382</v>
      </c>
      <c r="D333" s="12" t="s">
        <v>2103</v>
      </c>
      <c r="E333" s="12" t="s">
        <v>2033</v>
      </c>
      <c r="F333" s="12" t="s">
        <v>1861</v>
      </c>
      <c r="G333" s="12" t="s">
        <v>1861</v>
      </c>
      <c r="H333" s="12" t="b">
        <v>1</v>
      </c>
      <c r="I333" s="12" t="b">
        <v>0</v>
      </c>
      <c r="J333" s="12" t="b">
        <v>0</v>
      </c>
      <c r="K333" s="12" t="b">
        <v>0</v>
      </c>
      <c r="L333" s="12">
        <v>420</v>
      </c>
      <c r="M333" s="12">
        <v>300.032917</v>
      </c>
      <c r="N333" s="12">
        <v>3000</v>
      </c>
      <c r="O333" s="12">
        <v>727.27272727272737</v>
      </c>
      <c r="P333" s="12">
        <v>0.5</v>
      </c>
      <c r="Q333" s="12">
        <v>0.85</v>
      </c>
      <c r="R333" s="12">
        <v>0.75</v>
      </c>
      <c r="S333" s="12">
        <v>0.85</v>
      </c>
      <c r="T333" s="12">
        <v>0.75</v>
      </c>
      <c r="U333" s="12">
        <v>0.8</v>
      </c>
      <c r="V333" s="12"/>
      <c r="W333" s="12">
        <v>9.2274145499420293</v>
      </c>
      <c r="X333" s="12">
        <v>46.38919673324552</v>
      </c>
      <c r="Y333" s="12">
        <v>2272.727272727273</v>
      </c>
      <c r="Z333" s="12">
        <v>4.1249999999999991</v>
      </c>
      <c r="AA333" s="12" t="s">
        <v>1268</v>
      </c>
      <c r="AB333" s="12"/>
    </row>
    <row r="334" spans="1:28" x14ac:dyDescent="0.3">
      <c r="A334" s="12" t="s">
        <v>2225</v>
      </c>
      <c r="B334" s="12" t="s">
        <v>104</v>
      </c>
      <c r="C334" s="12" t="s">
        <v>382</v>
      </c>
      <c r="D334" s="12" t="s">
        <v>2103</v>
      </c>
      <c r="E334" s="12" t="s">
        <v>2033</v>
      </c>
      <c r="F334" s="12" t="s">
        <v>1861</v>
      </c>
      <c r="G334" s="12" t="s">
        <v>1861</v>
      </c>
      <c r="H334" s="12" t="b">
        <v>1</v>
      </c>
      <c r="I334" s="12" t="b">
        <v>0</v>
      </c>
      <c r="J334" s="12" t="b">
        <v>0</v>
      </c>
      <c r="K334" s="12" t="b">
        <v>0</v>
      </c>
      <c r="L334" s="12">
        <v>420</v>
      </c>
      <c r="M334" s="12">
        <v>300.032917</v>
      </c>
      <c r="N334" s="12">
        <v>3000</v>
      </c>
      <c r="O334" s="12">
        <v>727.27272727272737</v>
      </c>
      <c r="P334" s="12">
        <v>0.5</v>
      </c>
      <c r="Q334" s="12">
        <v>0.85</v>
      </c>
      <c r="R334" s="12">
        <v>0.75</v>
      </c>
      <c r="S334" s="12">
        <v>0.85</v>
      </c>
      <c r="T334" s="12">
        <v>0.75</v>
      </c>
      <c r="U334" s="12">
        <v>0.8</v>
      </c>
      <c r="V334" s="12"/>
      <c r="W334" s="12">
        <v>9.2274145499420293</v>
      </c>
      <c r="X334" s="12">
        <v>46.38919673324552</v>
      </c>
      <c r="Y334" s="12">
        <v>2272.727272727273</v>
      </c>
      <c r="Z334" s="12">
        <v>4.1249999999999991</v>
      </c>
      <c r="AA334" s="12" t="s">
        <v>1268</v>
      </c>
      <c r="AB334" s="12"/>
    </row>
    <row r="335" spans="1:28" x14ac:dyDescent="0.3">
      <c r="A335" s="12" t="s">
        <v>2226</v>
      </c>
      <c r="B335" s="12" t="s">
        <v>104</v>
      </c>
      <c r="C335" s="12" t="s">
        <v>382</v>
      </c>
      <c r="D335" s="12" t="s">
        <v>2103</v>
      </c>
      <c r="E335" s="12" t="s">
        <v>2033</v>
      </c>
      <c r="F335" s="12" t="s">
        <v>32</v>
      </c>
      <c r="G335" s="12" t="s">
        <v>32</v>
      </c>
      <c r="H335" s="12" t="b">
        <v>1</v>
      </c>
      <c r="I335" s="12" t="b">
        <v>0</v>
      </c>
      <c r="J335" s="12" t="b">
        <v>1</v>
      </c>
      <c r="K335" s="12" t="b">
        <v>0</v>
      </c>
      <c r="L335" s="12">
        <v>434</v>
      </c>
      <c r="M335" s="12">
        <v>300.032917</v>
      </c>
      <c r="N335" s="12">
        <v>3000</v>
      </c>
      <c r="O335" s="12">
        <v>945.45454545454561</v>
      </c>
      <c r="P335" s="12">
        <v>0.5</v>
      </c>
      <c r="Q335" s="12">
        <v>0.85</v>
      </c>
      <c r="R335" s="12">
        <v>0.75</v>
      </c>
      <c r="S335" s="12">
        <v>0.85</v>
      </c>
      <c r="T335" s="12">
        <v>0.75</v>
      </c>
      <c r="U335" s="12">
        <v>0.8</v>
      </c>
      <c r="V335" s="12"/>
      <c r="W335" s="12">
        <v>8.2344376259172307</v>
      </c>
      <c r="X335" s="12">
        <v>56.273849509791411</v>
      </c>
      <c r="Y335" s="12">
        <v>2054.545454545455</v>
      </c>
      <c r="Z335" s="12">
        <v>3.173076923076922</v>
      </c>
      <c r="AA335" s="12"/>
      <c r="AB335" s="12"/>
    </row>
    <row r="336" spans="1:28" x14ac:dyDescent="0.3">
      <c r="A336" s="12" t="s">
        <v>2227</v>
      </c>
      <c r="B336" s="12" t="s">
        <v>104</v>
      </c>
      <c r="C336" s="12" t="s">
        <v>382</v>
      </c>
      <c r="D336" s="12" t="s">
        <v>2103</v>
      </c>
      <c r="E336" s="12" t="s">
        <v>2033</v>
      </c>
      <c r="F336" s="12" t="s">
        <v>32</v>
      </c>
      <c r="G336" s="12" t="s">
        <v>32</v>
      </c>
      <c r="H336" s="12" t="b">
        <v>1</v>
      </c>
      <c r="I336" s="12" t="b">
        <v>0</v>
      </c>
      <c r="J336" s="12" t="b">
        <v>1</v>
      </c>
      <c r="K336" s="12" t="b">
        <v>0</v>
      </c>
      <c r="L336" s="12">
        <v>434</v>
      </c>
      <c r="M336" s="12">
        <v>300.032917</v>
      </c>
      <c r="N336" s="12">
        <v>3000</v>
      </c>
      <c r="O336" s="12">
        <v>945.45454545454561</v>
      </c>
      <c r="P336" s="12">
        <v>0.5</v>
      </c>
      <c r="Q336" s="12">
        <v>0.85</v>
      </c>
      <c r="R336" s="12">
        <v>0.75</v>
      </c>
      <c r="S336" s="12">
        <v>0.85</v>
      </c>
      <c r="T336" s="12">
        <v>0.75</v>
      </c>
      <c r="U336" s="12">
        <v>0.8</v>
      </c>
      <c r="V336" s="12"/>
      <c r="W336" s="12">
        <v>8.2344376259172307</v>
      </c>
      <c r="X336" s="12">
        <v>56.273849509791411</v>
      </c>
      <c r="Y336" s="12">
        <v>2054.545454545455</v>
      </c>
      <c r="Z336" s="12">
        <v>3.173076923076922</v>
      </c>
      <c r="AA336" s="12"/>
      <c r="AB336" s="12"/>
    </row>
    <row r="337" spans="1:28" x14ac:dyDescent="0.3">
      <c r="A337" s="12" t="s">
        <v>2228</v>
      </c>
      <c r="B337" s="12" t="s">
        <v>104</v>
      </c>
      <c r="C337" s="12" t="s">
        <v>382</v>
      </c>
      <c r="D337" s="12" t="s">
        <v>2103</v>
      </c>
      <c r="E337" s="12" t="s">
        <v>2033</v>
      </c>
      <c r="F337" s="12" t="s">
        <v>32</v>
      </c>
      <c r="G337" s="12" t="s">
        <v>32</v>
      </c>
      <c r="H337" s="12" t="b">
        <v>1</v>
      </c>
      <c r="I337" s="12" t="b">
        <v>0</v>
      </c>
      <c r="J337" s="12" t="b">
        <v>1</v>
      </c>
      <c r="K337" s="12" t="b">
        <v>0</v>
      </c>
      <c r="L337" s="12">
        <v>434</v>
      </c>
      <c r="M337" s="12">
        <v>300.032917</v>
      </c>
      <c r="N337" s="12">
        <v>3000</v>
      </c>
      <c r="O337" s="12">
        <v>1818.181818181818</v>
      </c>
      <c r="P337" s="12">
        <v>0.5</v>
      </c>
      <c r="Q337" s="12">
        <v>0.85</v>
      </c>
      <c r="R337" s="12">
        <v>0.75</v>
      </c>
      <c r="S337" s="12">
        <v>0.85</v>
      </c>
      <c r="T337" s="12">
        <v>0.75</v>
      </c>
      <c r="U337" s="12">
        <v>0.8</v>
      </c>
      <c r="V337" s="12"/>
      <c r="W337" s="12">
        <v>3.64443644389987</v>
      </c>
      <c r="X337" s="12">
        <v>24.799944895323399</v>
      </c>
      <c r="Y337" s="12">
        <v>1181.818181818182</v>
      </c>
      <c r="Z337" s="12">
        <v>1.65</v>
      </c>
      <c r="AA337" s="12"/>
      <c r="AB337" s="12"/>
    </row>
    <row r="338" spans="1:28" x14ac:dyDescent="0.3">
      <c r="A338" s="12" t="s">
        <v>2229</v>
      </c>
      <c r="B338" s="12" t="s">
        <v>104</v>
      </c>
      <c r="C338" s="12" t="s">
        <v>382</v>
      </c>
      <c r="D338" s="12" t="s">
        <v>2103</v>
      </c>
      <c r="E338" s="12" t="s">
        <v>2033</v>
      </c>
      <c r="F338" s="12" t="s">
        <v>32</v>
      </c>
      <c r="G338" s="12" t="s">
        <v>32</v>
      </c>
      <c r="H338" s="12" t="b">
        <v>1</v>
      </c>
      <c r="I338" s="12" t="b">
        <v>1</v>
      </c>
      <c r="J338" s="12" t="b">
        <v>0</v>
      </c>
      <c r="K338" s="12" t="b">
        <v>0</v>
      </c>
      <c r="L338" s="12">
        <v>403</v>
      </c>
      <c r="M338" s="12">
        <v>300.032917</v>
      </c>
      <c r="N338" s="12">
        <v>3000</v>
      </c>
      <c r="O338" s="12">
        <v>563.63636363636374</v>
      </c>
      <c r="P338" s="12">
        <v>0.5</v>
      </c>
      <c r="Q338" s="12">
        <v>0.85</v>
      </c>
      <c r="R338" s="12">
        <v>0.75</v>
      </c>
      <c r="S338" s="12">
        <v>0.85</v>
      </c>
      <c r="T338" s="12">
        <v>0.75</v>
      </c>
      <c r="U338" s="12">
        <v>0.8</v>
      </c>
      <c r="V338" s="12"/>
      <c r="W338" s="12">
        <v>8.4818912050065691</v>
      </c>
      <c r="X338" s="12">
        <v>25.941881729421411</v>
      </c>
      <c r="Y338" s="12">
        <v>2436.363636363636</v>
      </c>
      <c r="Z338" s="12">
        <v>5.3225806451612891</v>
      </c>
      <c r="AA338" s="12"/>
      <c r="AB338" s="12"/>
    </row>
    <row r="339" spans="1:28" x14ac:dyDescent="0.3">
      <c r="A339" s="12" t="s">
        <v>2230</v>
      </c>
      <c r="B339" s="12" t="s">
        <v>104</v>
      </c>
      <c r="C339" s="12" t="s">
        <v>382</v>
      </c>
      <c r="D339" s="12" t="s">
        <v>2103</v>
      </c>
      <c r="E339" s="12" t="s">
        <v>2033</v>
      </c>
      <c r="F339" s="12" t="s">
        <v>32</v>
      </c>
      <c r="G339" s="12" t="s">
        <v>32</v>
      </c>
      <c r="H339" s="12" t="b">
        <v>1</v>
      </c>
      <c r="I339" s="12" t="b">
        <v>1</v>
      </c>
      <c r="J339" s="12" t="b">
        <v>0</v>
      </c>
      <c r="K339" s="12" t="b">
        <v>0</v>
      </c>
      <c r="L339" s="12">
        <v>403</v>
      </c>
      <c r="M339" s="12">
        <v>300.032917</v>
      </c>
      <c r="N339" s="12">
        <v>3000</v>
      </c>
      <c r="O339" s="12">
        <v>563.63636363636374</v>
      </c>
      <c r="P339" s="12">
        <v>0.5</v>
      </c>
      <c r="Q339" s="12">
        <v>0.85</v>
      </c>
      <c r="R339" s="12">
        <v>0.75</v>
      </c>
      <c r="S339" s="12">
        <v>0.85</v>
      </c>
      <c r="T339" s="12">
        <v>0.75</v>
      </c>
      <c r="U339" s="12">
        <v>0.8</v>
      </c>
      <c r="V339" s="12"/>
      <c r="W339" s="12">
        <v>8.4818912050065691</v>
      </c>
      <c r="X339" s="12">
        <v>25.941881729421411</v>
      </c>
      <c r="Y339" s="12">
        <v>2436.363636363636</v>
      </c>
      <c r="Z339" s="12">
        <v>5.3225806451612891</v>
      </c>
      <c r="AA339" s="12"/>
      <c r="AB339" s="12"/>
    </row>
    <row r="340" spans="1:28" x14ac:dyDescent="0.3">
      <c r="A340" s="12" t="s">
        <v>2231</v>
      </c>
      <c r="B340" s="12" t="s">
        <v>104</v>
      </c>
      <c r="C340" s="12" t="s">
        <v>382</v>
      </c>
      <c r="D340" s="12" t="s">
        <v>2103</v>
      </c>
      <c r="E340" s="12" t="s">
        <v>2033</v>
      </c>
      <c r="F340" s="12" t="s">
        <v>32</v>
      </c>
      <c r="G340" s="12" t="s">
        <v>32</v>
      </c>
      <c r="H340" s="12" t="b">
        <v>1</v>
      </c>
      <c r="I340" s="12" t="b">
        <v>1</v>
      </c>
      <c r="J340" s="12" t="b">
        <v>0</v>
      </c>
      <c r="K340" s="12" t="b">
        <v>0</v>
      </c>
      <c r="L340" s="12">
        <v>390</v>
      </c>
      <c r="M340" s="12">
        <v>300.032917</v>
      </c>
      <c r="N340" s="12">
        <v>3000</v>
      </c>
      <c r="O340" s="12">
        <v>454.54545454545462</v>
      </c>
      <c r="P340" s="12">
        <v>0.5</v>
      </c>
      <c r="Q340" s="12">
        <v>0.85</v>
      </c>
      <c r="R340" s="12">
        <v>0.75</v>
      </c>
      <c r="S340" s="12">
        <v>0.85</v>
      </c>
      <c r="T340" s="12">
        <v>0.75</v>
      </c>
      <c r="U340" s="12">
        <v>0.8</v>
      </c>
      <c r="V340" s="12"/>
      <c r="W340" s="12">
        <v>2.4073931615139399</v>
      </c>
      <c r="X340" s="12">
        <v>3.4899973622581002</v>
      </c>
      <c r="Y340" s="12">
        <v>2545.454545454545</v>
      </c>
      <c r="Z340" s="12">
        <v>6.6</v>
      </c>
      <c r="AA340" s="12"/>
      <c r="AB340" s="12"/>
    </row>
    <row r="341" spans="1:28" x14ac:dyDescent="0.3">
      <c r="A341" s="12" t="s">
        <v>2232</v>
      </c>
      <c r="B341" s="12" t="s">
        <v>104</v>
      </c>
      <c r="C341" s="12" t="s">
        <v>382</v>
      </c>
      <c r="D341" s="12" t="s">
        <v>2103</v>
      </c>
      <c r="E341" s="12" t="s">
        <v>2033</v>
      </c>
      <c r="F341" s="12" t="s">
        <v>32</v>
      </c>
      <c r="G341" s="12" t="s">
        <v>32</v>
      </c>
      <c r="H341" s="12" t="b">
        <v>1</v>
      </c>
      <c r="I341" s="12" t="b">
        <v>1</v>
      </c>
      <c r="J341" s="12" t="b">
        <v>0</v>
      </c>
      <c r="K341" s="12" t="b">
        <v>0</v>
      </c>
      <c r="L341" s="12">
        <v>390</v>
      </c>
      <c r="M341" s="12">
        <v>300.032917</v>
      </c>
      <c r="N341" s="12">
        <v>3000</v>
      </c>
      <c r="O341" s="12">
        <v>454.54545454545462</v>
      </c>
      <c r="P341" s="12">
        <v>0.5</v>
      </c>
      <c r="Q341" s="12">
        <v>0.85</v>
      </c>
      <c r="R341" s="12">
        <v>0.75</v>
      </c>
      <c r="S341" s="12">
        <v>0.85</v>
      </c>
      <c r="T341" s="12">
        <v>0.75</v>
      </c>
      <c r="U341" s="12">
        <v>0.8</v>
      </c>
      <c r="V341" s="12"/>
      <c r="W341" s="12">
        <v>2.4073931615139399</v>
      </c>
      <c r="X341" s="12">
        <v>3.4899973622581002</v>
      </c>
      <c r="Y341" s="12">
        <v>2545.454545454545</v>
      </c>
      <c r="Z341" s="12">
        <v>6.6</v>
      </c>
      <c r="AA341" s="12"/>
      <c r="AB341" s="12"/>
    </row>
    <row r="342" spans="1:28" x14ac:dyDescent="0.3">
      <c r="A342" s="12" t="s">
        <v>2233</v>
      </c>
      <c r="B342" s="12" t="s">
        <v>104</v>
      </c>
      <c r="C342" s="12" t="s">
        <v>382</v>
      </c>
      <c r="D342" s="12" t="s">
        <v>2103</v>
      </c>
      <c r="E342" s="12" t="s">
        <v>2033</v>
      </c>
      <c r="F342" s="12" t="s">
        <v>32</v>
      </c>
      <c r="G342" s="12" t="s">
        <v>32</v>
      </c>
      <c r="H342" s="12" t="b">
        <v>1</v>
      </c>
      <c r="I342" s="12" t="b">
        <v>1</v>
      </c>
      <c r="J342" s="12" t="b">
        <v>0</v>
      </c>
      <c r="K342" s="12" t="b">
        <v>0</v>
      </c>
      <c r="L342" s="12">
        <v>420</v>
      </c>
      <c r="M342" s="12">
        <v>300.032917</v>
      </c>
      <c r="N342" s="12">
        <v>3000</v>
      </c>
      <c r="O342" s="12">
        <v>745.4545454545455</v>
      </c>
      <c r="P342" s="12">
        <v>0.5</v>
      </c>
      <c r="Q342" s="12">
        <v>0.85</v>
      </c>
      <c r="R342" s="12">
        <v>0.75</v>
      </c>
      <c r="S342" s="12">
        <v>0.85</v>
      </c>
      <c r="T342" s="12">
        <v>0.75</v>
      </c>
      <c r="U342" s="12">
        <v>0.8</v>
      </c>
      <c r="V342" s="12"/>
      <c r="W342" s="12">
        <v>9.0740774910140303</v>
      </c>
      <c r="X342" s="12">
        <v>45.612581150827793</v>
      </c>
      <c r="Y342" s="12">
        <v>2254.545454545455</v>
      </c>
      <c r="Z342" s="12">
        <v>4.024390243902439</v>
      </c>
      <c r="AA342" s="12"/>
      <c r="AB342" s="12"/>
    </row>
    <row r="343" spans="1:28" x14ac:dyDescent="0.3">
      <c r="A343" s="12" t="s">
        <v>2234</v>
      </c>
      <c r="B343" s="12" t="s">
        <v>104</v>
      </c>
      <c r="C343" s="12" t="s">
        <v>382</v>
      </c>
      <c r="D343" s="12" t="s">
        <v>2103</v>
      </c>
      <c r="E343" s="12" t="s">
        <v>2033</v>
      </c>
      <c r="F343" s="12" t="s">
        <v>32</v>
      </c>
      <c r="G343" s="12" t="s">
        <v>32</v>
      </c>
      <c r="H343" s="12" t="b">
        <v>1</v>
      </c>
      <c r="I343" s="12" t="b">
        <v>1</v>
      </c>
      <c r="J343" s="12" t="b">
        <v>0</v>
      </c>
      <c r="K343" s="12" t="b">
        <v>0</v>
      </c>
      <c r="L343" s="12">
        <v>420</v>
      </c>
      <c r="M343" s="12">
        <v>300.032917</v>
      </c>
      <c r="N343" s="12">
        <v>3000</v>
      </c>
      <c r="O343" s="12">
        <v>745.4545454545455</v>
      </c>
      <c r="P343" s="12">
        <v>0.5</v>
      </c>
      <c r="Q343" s="12">
        <v>0.85</v>
      </c>
      <c r="R343" s="12">
        <v>0.75</v>
      </c>
      <c r="S343" s="12">
        <v>0.85</v>
      </c>
      <c r="T343" s="12">
        <v>0.75</v>
      </c>
      <c r="U343" s="12">
        <v>0.8</v>
      </c>
      <c r="V343" s="12"/>
      <c r="W343" s="12">
        <v>9.0740774910140303</v>
      </c>
      <c r="X343" s="12">
        <v>45.612581150827793</v>
      </c>
      <c r="Y343" s="12">
        <v>2254.545454545455</v>
      </c>
      <c r="Z343" s="12">
        <v>4.024390243902439</v>
      </c>
      <c r="AA343" s="12"/>
      <c r="AB343" s="12"/>
    </row>
    <row r="344" spans="1:28" x14ac:dyDescent="0.3">
      <c r="A344" s="12" t="s">
        <v>2235</v>
      </c>
      <c r="B344" s="12" t="s">
        <v>104</v>
      </c>
      <c r="C344" s="12" t="s">
        <v>382</v>
      </c>
      <c r="D344" s="12" t="s">
        <v>2103</v>
      </c>
      <c r="E344" s="12" t="s">
        <v>2033</v>
      </c>
      <c r="F344" s="12" t="s">
        <v>832</v>
      </c>
      <c r="G344" s="12" t="s">
        <v>832</v>
      </c>
      <c r="H344" s="12" t="b">
        <v>0</v>
      </c>
      <c r="I344" s="12" t="b">
        <v>0</v>
      </c>
      <c r="J344" s="12" t="b">
        <v>0</v>
      </c>
      <c r="K344" s="12" t="b">
        <v>0</v>
      </c>
      <c r="L344" s="12">
        <v>434</v>
      </c>
      <c r="M344" s="12">
        <v>300.032917</v>
      </c>
      <c r="N344" s="12">
        <v>3000</v>
      </c>
      <c r="O344" s="12">
        <v>1836.363636363636</v>
      </c>
      <c r="P344" s="12">
        <v>0.5</v>
      </c>
      <c r="Q344" s="12">
        <v>0.85</v>
      </c>
      <c r="R344" s="12">
        <v>0.75</v>
      </c>
      <c r="S344" s="12">
        <v>0.85</v>
      </c>
      <c r="T344" s="12">
        <v>0.75</v>
      </c>
      <c r="U344" s="12">
        <v>0.8</v>
      </c>
      <c r="V344" s="12"/>
      <c r="W344" s="12"/>
      <c r="X344" s="12"/>
      <c r="Y344" s="12">
        <v>1163.636363636364</v>
      </c>
      <c r="Z344" s="12">
        <v>1.633663366336634</v>
      </c>
      <c r="AA344" s="12"/>
      <c r="AB344" s="12"/>
    </row>
    <row r="345" spans="1:28" x14ac:dyDescent="0.3">
      <c r="A345" s="12" t="s">
        <v>2236</v>
      </c>
      <c r="B345" s="12" t="s">
        <v>104</v>
      </c>
      <c r="C345" s="12" t="s">
        <v>382</v>
      </c>
      <c r="D345" s="12" t="s">
        <v>2103</v>
      </c>
      <c r="E345" s="12" t="s">
        <v>2033</v>
      </c>
      <c r="F345" s="12" t="s">
        <v>1861</v>
      </c>
      <c r="G345" s="12" t="s">
        <v>1861</v>
      </c>
      <c r="H345" s="12" t="b">
        <v>1</v>
      </c>
      <c r="I345" s="12" t="b">
        <v>0</v>
      </c>
      <c r="J345" s="12" t="b">
        <v>1</v>
      </c>
      <c r="K345" s="12" t="b">
        <v>0</v>
      </c>
      <c r="L345" s="12">
        <v>434</v>
      </c>
      <c r="M345" s="12">
        <v>300.032917</v>
      </c>
      <c r="N345" s="12">
        <v>3000</v>
      </c>
      <c r="O345" s="12">
        <v>927.27272727272725</v>
      </c>
      <c r="P345" s="12">
        <v>0.5</v>
      </c>
      <c r="Q345" s="12">
        <v>0.85</v>
      </c>
      <c r="R345" s="12">
        <v>0.75</v>
      </c>
      <c r="S345" s="12">
        <v>0.85</v>
      </c>
      <c r="T345" s="12">
        <v>0.75</v>
      </c>
      <c r="U345" s="12">
        <v>0.8</v>
      </c>
      <c r="V345" s="12"/>
      <c r="W345" s="12">
        <v>8.3665554431090907</v>
      </c>
      <c r="X345" s="12">
        <v>57.183928695881932</v>
      </c>
      <c r="Y345" s="12">
        <v>2072.727272727273</v>
      </c>
      <c r="Z345" s="12">
        <v>3.2352941176470589</v>
      </c>
      <c r="AA345" s="12" t="s">
        <v>1268</v>
      </c>
      <c r="AB345" s="12"/>
    </row>
    <row r="346" spans="1:28" x14ac:dyDescent="0.3">
      <c r="A346" s="12" t="s">
        <v>2237</v>
      </c>
      <c r="B346" s="12" t="s">
        <v>104</v>
      </c>
      <c r="C346" s="12" t="s">
        <v>382</v>
      </c>
      <c r="D346" s="12" t="s">
        <v>2103</v>
      </c>
      <c r="E346" s="12" t="s">
        <v>2033</v>
      </c>
      <c r="F346" s="12" t="s">
        <v>1861</v>
      </c>
      <c r="G346" s="12" t="s">
        <v>1861</v>
      </c>
      <c r="H346" s="12" t="b">
        <v>1</v>
      </c>
      <c r="I346" s="12" t="b">
        <v>0</v>
      </c>
      <c r="J346" s="12" t="b">
        <v>1</v>
      </c>
      <c r="K346" s="12" t="b">
        <v>0</v>
      </c>
      <c r="L346" s="12">
        <v>434</v>
      </c>
      <c r="M346" s="12">
        <v>300.032917</v>
      </c>
      <c r="N346" s="12">
        <v>3000</v>
      </c>
      <c r="O346" s="12">
        <v>927.27272727272725</v>
      </c>
      <c r="P346" s="12">
        <v>0.5</v>
      </c>
      <c r="Q346" s="12">
        <v>0.85</v>
      </c>
      <c r="R346" s="12">
        <v>0.75</v>
      </c>
      <c r="S346" s="12">
        <v>0.85</v>
      </c>
      <c r="T346" s="12">
        <v>0.75</v>
      </c>
      <c r="U346" s="12">
        <v>0.8</v>
      </c>
      <c r="V346" s="12"/>
      <c r="W346" s="12">
        <v>8.3665554431090907</v>
      </c>
      <c r="X346" s="12">
        <v>57.183928695881932</v>
      </c>
      <c r="Y346" s="12">
        <v>2072.727272727273</v>
      </c>
      <c r="Z346" s="12">
        <v>3.2352941176470589</v>
      </c>
      <c r="AA346" s="12" t="s">
        <v>1268</v>
      </c>
      <c r="AB346" s="12"/>
    </row>
    <row r="347" spans="1:28" x14ac:dyDescent="0.3">
      <c r="A347" s="12" t="s">
        <v>2238</v>
      </c>
      <c r="B347" s="12" t="s">
        <v>104</v>
      </c>
      <c r="C347" s="12" t="s">
        <v>382</v>
      </c>
      <c r="D347" s="12" t="s">
        <v>2103</v>
      </c>
      <c r="E347" s="12" t="s">
        <v>2033</v>
      </c>
      <c r="F347" s="12" t="s">
        <v>1861</v>
      </c>
      <c r="G347" s="12" t="s">
        <v>1861</v>
      </c>
      <c r="H347" s="12" t="b">
        <v>1</v>
      </c>
      <c r="I347" s="12" t="b">
        <v>0</v>
      </c>
      <c r="J347" s="12" t="b">
        <v>0</v>
      </c>
      <c r="K347" s="12" t="b">
        <v>0</v>
      </c>
      <c r="L347" s="12">
        <v>403</v>
      </c>
      <c r="M347" s="12">
        <v>300.032917</v>
      </c>
      <c r="N347" s="12">
        <v>3000</v>
      </c>
      <c r="O347" s="12">
        <v>554.54545454545462</v>
      </c>
      <c r="P347" s="12">
        <v>0.5</v>
      </c>
      <c r="Q347" s="12">
        <v>0.85</v>
      </c>
      <c r="R347" s="12">
        <v>0.75</v>
      </c>
      <c r="S347" s="12">
        <v>0.85</v>
      </c>
      <c r="T347" s="12">
        <v>0.75</v>
      </c>
      <c r="U347" s="12">
        <v>0.8</v>
      </c>
      <c r="V347" s="12"/>
      <c r="W347" s="12">
        <v>8.5620460451061007</v>
      </c>
      <c r="X347" s="12">
        <v>26.188356713463651</v>
      </c>
      <c r="Y347" s="12">
        <v>2445.454545454545</v>
      </c>
      <c r="Z347" s="12">
        <v>5.4098360655737698</v>
      </c>
      <c r="AA347" s="12" t="s">
        <v>1268</v>
      </c>
      <c r="AB347" s="12"/>
    </row>
    <row r="348" spans="1:28" x14ac:dyDescent="0.3">
      <c r="A348" s="12" t="s">
        <v>2239</v>
      </c>
      <c r="B348" s="12" t="s">
        <v>104</v>
      </c>
      <c r="C348" s="12" t="s">
        <v>382</v>
      </c>
      <c r="D348" s="12" t="s">
        <v>2103</v>
      </c>
      <c r="E348" s="12" t="s">
        <v>2033</v>
      </c>
      <c r="F348" s="12" t="s">
        <v>1861</v>
      </c>
      <c r="G348" s="12" t="s">
        <v>1861</v>
      </c>
      <c r="H348" s="12" t="b">
        <v>1</v>
      </c>
      <c r="I348" s="12" t="b">
        <v>0</v>
      </c>
      <c r="J348" s="12" t="b">
        <v>0</v>
      </c>
      <c r="K348" s="12" t="b">
        <v>0</v>
      </c>
      <c r="L348" s="12">
        <v>403</v>
      </c>
      <c r="M348" s="12">
        <v>300.032917</v>
      </c>
      <c r="N348" s="12">
        <v>3000</v>
      </c>
      <c r="O348" s="12">
        <v>554.54545454545462</v>
      </c>
      <c r="P348" s="12">
        <v>0.5</v>
      </c>
      <c r="Q348" s="12">
        <v>0.85</v>
      </c>
      <c r="R348" s="12">
        <v>0.75</v>
      </c>
      <c r="S348" s="12">
        <v>0.85</v>
      </c>
      <c r="T348" s="12">
        <v>0.75</v>
      </c>
      <c r="U348" s="12">
        <v>0.8</v>
      </c>
      <c r="V348" s="12"/>
      <c r="W348" s="12">
        <v>8.5620460451061007</v>
      </c>
      <c r="X348" s="12">
        <v>26.188356713463651</v>
      </c>
      <c r="Y348" s="12">
        <v>2445.454545454545</v>
      </c>
      <c r="Z348" s="12">
        <v>5.4098360655737698</v>
      </c>
      <c r="AA348" s="12" t="s">
        <v>1268</v>
      </c>
      <c r="AB348" s="12"/>
    </row>
    <row r="349" spans="1:28" x14ac:dyDescent="0.3">
      <c r="A349" s="12" t="s">
        <v>2240</v>
      </c>
      <c r="B349" s="12" t="s">
        <v>104</v>
      </c>
      <c r="C349" s="12" t="s">
        <v>382</v>
      </c>
      <c r="D349" s="12" t="s">
        <v>2103</v>
      </c>
      <c r="E349" s="12" t="s">
        <v>2033</v>
      </c>
      <c r="F349" s="12" t="s">
        <v>32</v>
      </c>
      <c r="G349" s="12" t="s">
        <v>32</v>
      </c>
      <c r="H349" s="12" t="b">
        <v>1</v>
      </c>
      <c r="I349" s="12" t="b">
        <v>1</v>
      </c>
      <c r="J349" s="12" t="b">
        <v>0</v>
      </c>
      <c r="K349" s="12" t="b">
        <v>0</v>
      </c>
      <c r="L349" s="12">
        <v>390</v>
      </c>
      <c r="M349" s="12">
        <v>300.032917</v>
      </c>
      <c r="N349" s="12">
        <v>3000</v>
      </c>
      <c r="O349" s="12">
        <v>445.4545454545455</v>
      </c>
      <c r="P349" s="12">
        <v>0.5</v>
      </c>
      <c r="Q349" s="12">
        <v>0.85</v>
      </c>
      <c r="R349" s="12">
        <v>0.75</v>
      </c>
      <c r="S349" s="12">
        <v>0.85</v>
      </c>
      <c r="T349" s="12">
        <v>0.75</v>
      </c>
      <c r="U349" s="12">
        <v>0.8</v>
      </c>
      <c r="V349" s="12"/>
      <c r="W349" s="12">
        <v>2.4463661254811102</v>
      </c>
      <c r="X349" s="12">
        <v>3.5465318846570981</v>
      </c>
      <c r="Y349" s="12">
        <v>2554.545454545455</v>
      </c>
      <c r="Z349" s="12">
        <v>6.7346938775510186</v>
      </c>
      <c r="AA349" s="12"/>
      <c r="AB349" s="12"/>
    </row>
    <row r="350" spans="1:28" x14ac:dyDescent="0.3">
      <c r="A350" s="12" t="s">
        <v>2241</v>
      </c>
      <c r="B350" s="12" t="s">
        <v>104</v>
      </c>
      <c r="C350" s="12" t="s">
        <v>382</v>
      </c>
      <c r="D350" s="12" t="s">
        <v>2103</v>
      </c>
      <c r="E350" s="12" t="s">
        <v>2033</v>
      </c>
      <c r="F350" s="12" t="s">
        <v>32</v>
      </c>
      <c r="G350" s="12" t="s">
        <v>32</v>
      </c>
      <c r="H350" s="12" t="b">
        <v>1</v>
      </c>
      <c r="I350" s="12" t="b">
        <v>1</v>
      </c>
      <c r="J350" s="12" t="b">
        <v>0</v>
      </c>
      <c r="K350" s="12" t="b">
        <v>0</v>
      </c>
      <c r="L350" s="12">
        <v>390</v>
      </c>
      <c r="M350" s="12">
        <v>300.032917</v>
      </c>
      <c r="N350" s="12">
        <v>3000</v>
      </c>
      <c r="O350" s="12">
        <v>445.4545454545455</v>
      </c>
      <c r="P350" s="12">
        <v>0.5</v>
      </c>
      <c r="Q350" s="12">
        <v>0.85</v>
      </c>
      <c r="R350" s="12">
        <v>0.75</v>
      </c>
      <c r="S350" s="12">
        <v>0.85</v>
      </c>
      <c r="T350" s="12">
        <v>0.75</v>
      </c>
      <c r="U350" s="12">
        <v>0.8</v>
      </c>
      <c r="V350" s="12"/>
      <c r="W350" s="12">
        <v>2.4463661254811102</v>
      </c>
      <c r="X350" s="12">
        <v>3.5465318846570981</v>
      </c>
      <c r="Y350" s="12">
        <v>2554.545454545455</v>
      </c>
      <c r="Z350" s="12">
        <v>6.7346938775510186</v>
      </c>
      <c r="AA350" s="12"/>
      <c r="AB350" s="12"/>
    </row>
    <row r="351" spans="1:28" x14ac:dyDescent="0.3">
      <c r="A351" s="12" t="s">
        <v>2242</v>
      </c>
      <c r="B351" s="12" t="s">
        <v>104</v>
      </c>
      <c r="C351" s="12" t="s">
        <v>382</v>
      </c>
      <c r="D351" s="12" t="s">
        <v>2103</v>
      </c>
      <c r="E351" s="12" t="s">
        <v>2033</v>
      </c>
      <c r="F351" s="12" t="s">
        <v>32</v>
      </c>
      <c r="G351" s="12" t="s">
        <v>32</v>
      </c>
      <c r="H351" s="12" t="b">
        <v>1</v>
      </c>
      <c r="I351" s="12" t="b">
        <v>1</v>
      </c>
      <c r="J351" s="12" t="b">
        <v>0</v>
      </c>
      <c r="K351" s="12" t="b">
        <v>0</v>
      </c>
      <c r="L351" s="12">
        <v>420</v>
      </c>
      <c r="M351" s="12">
        <v>300.032917</v>
      </c>
      <c r="N351" s="12">
        <v>3000</v>
      </c>
      <c r="O351" s="12">
        <v>736.36363636363649</v>
      </c>
      <c r="P351" s="12">
        <v>0.5</v>
      </c>
      <c r="Q351" s="12">
        <v>0.85</v>
      </c>
      <c r="R351" s="12">
        <v>0.75</v>
      </c>
      <c r="S351" s="12">
        <v>0.85</v>
      </c>
      <c r="T351" s="12">
        <v>0.75</v>
      </c>
      <c r="U351" s="12">
        <v>0.8</v>
      </c>
      <c r="V351" s="12"/>
      <c r="W351" s="12">
        <v>9.15042106800243</v>
      </c>
      <c r="X351" s="12">
        <v>45.9992356419883</v>
      </c>
      <c r="Y351" s="12">
        <v>2263.636363636364</v>
      </c>
      <c r="Z351" s="12">
        <v>4.0740740740740744</v>
      </c>
      <c r="AA351" s="12"/>
      <c r="AB351" s="12"/>
    </row>
    <row r="352" spans="1:28" x14ac:dyDescent="0.3">
      <c r="A352" s="12" t="s">
        <v>2243</v>
      </c>
      <c r="B352" s="12" t="s">
        <v>104</v>
      </c>
      <c r="C352" s="12" t="s">
        <v>382</v>
      </c>
      <c r="D352" s="12" t="s">
        <v>2103</v>
      </c>
      <c r="E352" s="12" t="s">
        <v>2033</v>
      </c>
      <c r="F352" s="12" t="s">
        <v>32</v>
      </c>
      <c r="G352" s="12" t="s">
        <v>32</v>
      </c>
      <c r="H352" s="12" t="b">
        <v>1</v>
      </c>
      <c r="I352" s="12" t="b">
        <v>1</v>
      </c>
      <c r="J352" s="12" t="b">
        <v>0</v>
      </c>
      <c r="K352" s="12" t="b">
        <v>0</v>
      </c>
      <c r="L352" s="12">
        <v>420</v>
      </c>
      <c r="M352" s="12">
        <v>300.032917</v>
      </c>
      <c r="N352" s="12">
        <v>3000</v>
      </c>
      <c r="O352" s="12">
        <v>736.36363636363649</v>
      </c>
      <c r="P352" s="12">
        <v>0.5</v>
      </c>
      <c r="Q352" s="12">
        <v>0.85</v>
      </c>
      <c r="R352" s="12">
        <v>0.75</v>
      </c>
      <c r="S352" s="12">
        <v>0.85</v>
      </c>
      <c r="T352" s="12">
        <v>0.75</v>
      </c>
      <c r="U352" s="12">
        <v>0.8</v>
      </c>
      <c r="V352" s="12"/>
      <c r="W352" s="12">
        <v>9.15042106800243</v>
      </c>
      <c r="X352" s="12">
        <v>45.9992356419883</v>
      </c>
      <c r="Y352" s="12">
        <v>2263.636363636364</v>
      </c>
      <c r="Z352" s="12">
        <v>4.0740740740740744</v>
      </c>
      <c r="AA352" s="12"/>
      <c r="AB352" s="12"/>
    </row>
    <row r="353" spans="1:28" x14ac:dyDescent="0.3">
      <c r="A353" s="12" t="s">
        <v>2244</v>
      </c>
      <c r="B353" s="12" t="s">
        <v>104</v>
      </c>
      <c r="C353" s="12" t="s">
        <v>382</v>
      </c>
      <c r="D353" s="12" t="s">
        <v>2103</v>
      </c>
      <c r="E353" s="12" t="s">
        <v>2033</v>
      </c>
      <c r="F353" s="12" t="s">
        <v>1861</v>
      </c>
      <c r="G353" s="12" t="s">
        <v>1861</v>
      </c>
      <c r="H353" s="12" t="b">
        <v>1</v>
      </c>
      <c r="I353" s="12" t="b">
        <v>0</v>
      </c>
      <c r="J353" s="12" t="b">
        <v>1</v>
      </c>
      <c r="K353" s="12" t="b">
        <v>0</v>
      </c>
      <c r="L353" s="12">
        <v>434</v>
      </c>
      <c r="M353" s="12">
        <v>300.032917</v>
      </c>
      <c r="N353" s="12">
        <v>3000</v>
      </c>
      <c r="O353" s="12">
        <v>936.36363636363637</v>
      </c>
      <c r="P353" s="12">
        <v>0.5</v>
      </c>
      <c r="Q353" s="12">
        <v>0.85</v>
      </c>
      <c r="R353" s="12">
        <v>0.75</v>
      </c>
      <c r="S353" s="12">
        <v>0.85</v>
      </c>
      <c r="T353" s="12">
        <v>0.75</v>
      </c>
      <c r="U353" s="12">
        <v>0.8</v>
      </c>
      <c r="V353" s="12"/>
      <c r="W353" s="12">
        <v>8.3003099270638696</v>
      </c>
      <c r="X353" s="12">
        <v>56.72759985613434</v>
      </c>
      <c r="Y353" s="12">
        <v>2063.636363636364</v>
      </c>
      <c r="Z353" s="12">
        <v>3.203883495145631</v>
      </c>
      <c r="AA353" s="12" t="s">
        <v>1268</v>
      </c>
      <c r="AB353" s="12"/>
    </row>
    <row r="354" spans="1:28" x14ac:dyDescent="0.3">
      <c r="A354" s="12" t="s">
        <v>2245</v>
      </c>
      <c r="B354" s="12" t="s">
        <v>104</v>
      </c>
      <c r="C354" s="12" t="s">
        <v>382</v>
      </c>
      <c r="D354" s="12" t="s">
        <v>2103</v>
      </c>
      <c r="E354" s="12" t="s">
        <v>2033</v>
      </c>
      <c r="F354" s="12" t="s">
        <v>1861</v>
      </c>
      <c r="G354" s="12" t="s">
        <v>1861</v>
      </c>
      <c r="H354" s="12" t="b">
        <v>1</v>
      </c>
      <c r="I354" s="12" t="b">
        <v>0</v>
      </c>
      <c r="J354" s="12" t="b">
        <v>1</v>
      </c>
      <c r="K354" s="12" t="b">
        <v>0</v>
      </c>
      <c r="L354" s="12">
        <v>434</v>
      </c>
      <c r="M354" s="12">
        <v>300.032917</v>
      </c>
      <c r="N354" s="12">
        <v>3000</v>
      </c>
      <c r="O354" s="12">
        <v>936.36363636363637</v>
      </c>
      <c r="P354" s="12">
        <v>0.5</v>
      </c>
      <c r="Q354" s="12">
        <v>0.85</v>
      </c>
      <c r="R354" s="12">
        <v>0.75</v>
      </c>
      <c r="S354" s="12">
        <v>0.85</v>
      </c>
      <c r="T354" s="12">
        <v>0.75</v>
      </c>
      <c r="U354" s="12">
        <v>0.8</v>
      </c>
      <c r="V354" s="12"/>
      <c r="W354" s="12">
        <v>8.3003099270638696</v>
      </c>
      <c r="X354" s="12">
        <v>56.72759985613434</v>
      </c>
      <c r="Y354" s="12">
        <v>2063.636363636364</v>
      </c>
      <c r="Z354" s="12">
        <v>3.203883495145631</v>
      </c>
      <c r="AA354" s="12" t="s">
        <v>1268</v>
      </c>
      <c r="AB354" s="12"/>
    </row>
    <row r="355" spans="1:28" x14ac:dyDescent="0.3">
      <c r="A355" s="12" t="s">
        <v>2246</v>
      </c>
      <c r="B355" s="12" t="s">
        <v>104</v>
      </c>
      <c r="C355" s="12" t="s">
        <v>382</v>
      </c>
      <c r="D355" s="12" t="s">
        <v>2103</v>
      </c>
      <c r="E355" s="12" t="s">
        <v>2033</v>
      </c>
      <c r="F355" s="12" t="s">
        <v>32</v>
      </c>
      <c r="G355" s="12" t="s">
        <v>32</v>
      </c>
      <c r="H355" s="12" t="b">
        <v>1</v>
      </c>
      <c r="I355" s="12" t="b">
        <v>0</v>
      </c>
      <c r="J355" s="12" t="b">
        <v>1</v>
      </c>
      <c r="K355" s="12" t="b">
        <v>0</v>
      </c>
      <c r="L355" s="12">
        <v>434</v>
      </c>
      <c r="M355" s="12">
        <v>300.032917</v>
      </c>
      <c r="N355" s="12">
        <v>3000</v>
      </c>
      <c r="O355" s="12">
        <v>1827.2727272727279</v>
      </c>
      <c r="P355" s="12">
        <v>0.5</v>
      </c>
      <c r="Q355" s="12">
        <v>0.85</v>
      </c>
      <c r="R355" s="12">
        <v>0.75</v>
      </c>
      <c r="S355" s="12">
        <v>0.85</v>
      </c>
      <c r="T355" s="12">
        <v>0.75</v>
      </c>
      <c r="U355" s="12">
        <v>0.8</v>
      </c>
      <c r="V355" s="12"/>
      <c r="W355" s="12">
        <v>3.6085589365352901</v>
      </c>
      <c r="X355" s="12">
        <v>24.555016507130471</v>
      </c>
      <c r="Y355" s="12">
        <v>1172.7272727272721</v>
      </c>
      <c r="Z355" s="12">
        <v>1.641791044776119</v>
      </c>
      <c r="AA355" s="12"/>
      <c r="AB355" s="12"/>
    </row>
    <row r="356" spans="1:28" x14ac:dyDescent="0.3">
      <c r="A356" s="12" t="s">
        <v>2247</v>
      </c>
      <c r="B356" s="12" t="s">
        <v>112</v>
      </c>
      <c r="C356" s="12" t="s">
        <v>384</v>
      </c>
      <c r="D356" s="12" t="s">
        <v>2248</v>
      </c>
      <c r="E356" s="12" t="s">
        <v>1886</v>
      </c>
      <c r="F356" s="12" t="s">
        <v>832</v>
      </c>
      <c r="G356" s="12" t="s">
        <v>832</v>
      </c>
      <c r="H356" s="12" t="b">
        <v>0</v>
      </c>
      <c r="I356" s="12" t="b">
        <v>0</v>
      </c>
      <c r="J356" s="12" t="b">
        <v>0</v>
      </c>
      <c r="K356" s="12" t="b">
        <v>0</v>
      </c>
      <c r="L356" s="12">
        <v>623.15</v>
      </c>
      <c r="M356" s="12">
        <v>300.032917</v>
      </c>
      <c r="N356" s="12">
        <v>3000</v>
      </c>
      <c r="O356" s="12">
        <v>400</v>
      </c>
      <c r="P356" s="12">
        <v>0.5</v>
      </c>
      <c r="Q356" s="12">
        <v>0.85</v>
      </c>
      <c r="R356" s="12">
        <v>0.75</v>
      </c>
      <c r="S356" s="12">
        <v>0.5</v>
      </c>
      <c r="T356" s="12">
        <v>0.75</v>
      </c>
      <c r="U356" s="12">
        <v>0.8</v>
      </c>
      <c r="V356" s="12"/>
      <c r="W356" s="12"/>
      <c r="X356" s="12"/>
      <c r="Y356" s="12">
        <v>2600</v>
      </c>
      <c r="Z356" s="12">
        <v>7.5</v>
      </c>
      <c r="AA356" s="12"/>
      <c r="AB356" s="12"/>
    </row>
    <row r="357" spans="1:28" x14ac:dyDescent="0.3">
      <c r="A357" s="12" t="s">
        <v>2249</v>
      </c>
      <c r="B357" s="12" t="s">
        <v>112</v>
      </c>
      <c r="C357" s="12" t="s">
        <v>384</v>
      </c>
      <c r="D357" s="12" t="s">
        <v>2248</v>
      </c>
      <c r="E357" s="12" t="s">
        <v>1886</v>
      </c>
      <c r="F357" s="12" t="s">
        <v>1861</v>
      </c>
      <c r="G357" s="12" t="s">
        <v>1861</v>
      </c>
      <c r="H357" s="12" t="b">
        <v>1</v>
      </c>
      <c r="I357" s="12" t="b">
        <v>0</v>
      </c>
      <c r="J357" s="12" t="b">
        <v>1</v>
      </c>
      <c r="K357" s="12" t="b">
        <v>0</v>
      </c>
      <c r="L357" s="12">
        <v>623.15</v>
      </c>
      <c r="M357" s="12">
        <v>300.032917</v>
      </c>
      <c r="N357" s="12">
        <v>3000</v>
      </c>
      <c r="O357" s="12">
        <v>400</v>
      </c>
      <c r="P357" s="12">
        <v>0.5</v>
      </c>
      <c r="Q357" s="12">
        <v>0.85</v>
      </c>
      <c r="R357" s="12">
        <v>0.75</v>
      </c>
      <c r="S357" s="12">
        <v>0.6</v>
      </c>
      <c r="T357" s="12">
        <v>0.75</v>
      </c>
      <c r="U357" s="12">
        <v>0.8</v>
      </c>
      <c r="V357" s="12"/>
      <c r="W357" s="12">
        <v>13.23191576952518</v>
      </c>
      <c r="X357" s="12">
        <v>183.9792929010562</v>
      </c>
      <c r="Y357" s="12">
        <v>2600</v>
      </c>
      <c r="Z357" s="12">
        <v>7.5</v>
      </c>
      <c r="AA357" s="12" t="s">
        <v>1268</v>
      </c>
      <c r="AB357" s="12"/>
    </row>
    <row r="358" spans="1:28" x14ac:dyDescent="0.3">
      <c r="A358" s="12" t="s">
        <v>2250</v>
      </c>
      <c r="B358" s="12" t="s">
        <v>112</v>
      </c>
      <c r="C358" s="12" t="s">
        <v>384</v>
      </c>
      <c r="D358" s="12" t="s">
        <v>2248</v>
      </c>
      <c r="E358" s="12" t="s">
        <v>1886</v>
      </c>
      <c r="F358" s="12" t="s">
        <v>1861</v>
      </c>
      <c r="G358" s="12" t="s">
        <v>1861</v>
      </c>
      <c r="H358" s="12" t="b">
        <v>1</v>
      </c>
      <c r="I358" s="12" t="b">
        <v>0</v>
      </c>
      <c r="J358" s="12" t="b">
        <v>1</v>
      </c>
      <c r="K358" s="12" t="b">
        <v>0</v>
      </c>
      <c r="L358" s="12">
        <v>623.15</v>
      </c>
      <c r="M358" s="12">
        <v>300.032917</v>
      </c>
      <c r="N358" s="12">
        <v>3000</v>
      </c>
      <c r="O358" s="12">
        <v>400</v>
      </c>
      <c r="P358" s="12">
        <v>0.5</v>
      </c>
      <c r="Q358" s="12">
        <v>0.85</v>
      </c>
      <c r="R358" s="12">
        <v>0.75</v>
      </c>
      <c r="S358" s="12">
        <v>0.4</v>
      </c>
      <c r="T358" s="12">
        <v>0.75</v>
      </c>
      <c r="U358" s="12">
        <v>0.8</v>
      </c>
      <c r="V358" s="12"/>
      <c r="W358" s="12">
        <v>13.31771154737231</v>
      </c>
      <c r="X358" s="12">
        <v>124.9305023358619</v>
      </c>
      <c r="Y358" s="12">
        <v>2600</v>
      </c>
      <c r="Z358" s="12">
        <v>7.5</v>
      </c>
      <c r="AA358" s="12" t="s">
        <v>1268</v>
      </c>
      <c r="AB358" s="12"/>
    </row>
    <row r="359" spans="1:28" x14ac:dyDescent="0.3">
      <c r="A359" s="12" t="s">
        <v>2251</v>
      </c>
      <c r="B359" s="12" t="s">
        <v>112</v>
      </c>
      <c r="C359" s="12" t="s">
        <v>384</v>
      </c>
      <c r="D359" s="12" t="s">
        <v>2248</v>
      </c>
      <c r="E359" s="12" t="s">
        <v>1886</v>
      </c>
      <c r="F359" s="12" t="s">
        <v>1861</v>
      </c>
      <c r="G359" s="12" t="s">
        <v>1861</v>
      </c>
      <c r="H359" s="12" t="b">
        <v>1</v>
      </c>
      <c r="I359" s="12" t="b">
        <v>0</v>
      </c>
      <c r="J359" s="12" t="b">
        <v>1</v>
      </c>
      <c r="K359" s="12" t="b">
        <v>0</v>
      </c>
      <c r="L359" s="12">
        <v>623.15</v>
      </c>
      <c r="M359" s="12">
        <v>300.032917</v>
      </c>
      <c r="N359" s="12">
        <v>3000</v>
      </c>
      <c r="O359" s="12">
        <v>400</v>
      </c>
      <c r="P359" s="12">
        <v>0.5</v>
      </c>
      <c r="Q359" s="12">
        <v>0.85</v>
      </c>
      <c r="R359" s="12">
        <v>0.75</v>
      </c>
      <c r="S359" s="12">
        <v>0.55000000000000004</v>
      </c>
      <c r="T359" s="12">
        <v>0.75</v>
      </c>
      <c r="U359" s="12">
        <v>0.8</v>
      </c>
      <c r="V359" s="12"/>
      <c r="W359" s="12">
        <v>13.27777004320917</v>
      </c>
      <c r="X359" s="12">
        <v>169.7656550562661</v>
      </c>
      <c r="Y359" s="12">
        <v>2600</v>
      </c>
      <c r="Z359" s="12">
        <v>7.5</v>
      </c>
      <c r="AA359" s="12" t="s">
        <v>1268</v>
      </c>
      <c r="AB359" s="12"/>
    </row>
    <row r="360" spans="1:28" x14ac:dyDescent="0.3">
      <c r="A360" s="12" t="s">
        <v>2252</v>
      </c>
      <c r="B360" s="12" t="s">
        <v>112</v>
      </c>
      <c r="C360" s="12" t="s">
        <v>384</v>
      </c>
      <c r="D360" s="12" t="s">
        <v>2248</v>
      </c>
      <c r="E360" s="12" t="s">
        <v>1886</v>
      </c>
      <c r="F360" s="12" t="s">
        <v>1861</v>
      </c>
      <c r="G360" s="12" t="s">
        <v>1861</v>
      </c>
      <c r="H360" s="12" t="b">
        <v>1</v>
      </c>
      <c r="I360" s="12" t="b">
        <v>0</v>
      </c>
      <c r="J360" s="12" t="b">
        <v>1</v>
      </c>
      <c r="K360" s="12" t="b">
        <v>0</v>
      </c>
      <c r="L360" s="12">
        <v>623.15</v>
      </c>
      <c r="M360" s="12">
        <v>300.032917</v>
      </c>
      <c r="N360" s="12">
        <v>3000</v>
      </c>
      <c r="O360" s="12">
        <v>400</v>
      </c>
      <c r="P360" s="12">
        <v>0.5</v>
      </c>
      <c r="Q360" s="12">
        <v>0.85</v>
      </c>
      <c r="R360" s="12">
        <v>0.75</v>
      </c>
      <c r="S360" s="12">
        <v>0.45</v>
      </c>
      <c r="T360" s="12">
        <v>0.75</v>
      </c>
      <c r="U360" s="12">
        <v>0.8</v>
      </c>
      <c r="V360" s="12"/>
      <c r="W360" s="12">
        <v>13.332447790335481</v>
      </c>
      <c r="X360" s="12">
        <v>140.28166922288179</v>
      </c>
      <c r="Y360" s="12">
        <v>2600</v>
      </c>
      <c r="Z360" s="12">
        <v>7.5</v>
      </c>
      <c r="AA360" s="12" t="s">
        <v>1268</v>
      </c>
      <c r="AB360" s="12"/>
    </row>
    <row r="361" spans="1:28" x14ac:dyDescent="0.3">
      <c r="A361" s="12" t="s">
        <v>2253</v>
      </c>
      <c r="B361" s="12" t="s">
        <v>112</v>
      </c>
      <c r="C361" s="12" t="s">
        <v>384</v>
      </c>
      <c r="D361" s="12" t="s">
        <v>2248</v>
      </c>
      <c r="E361" s="12" t="s">
        <v>1886</v>
      </c>
      <c r="F361" s="12" t="s">
        <v>1861</v>
      </c>
      <c r="G361" s="12" t="s">
        <v>1861</v>
      </c>
      <c r="H361" s="12" t="b">
        <v>1</v>
      </c>
      <c r="I361" s="12" t="b">
        <v>0</v>
      </c>
      <c r="J361" s="12" t="b">
        <v>1</v>
      </c>
      <c r="K361" s="12" t="b">
        <v>0</v>
      </c>
      <c r="L361" s="12">
        <v>623.15</v>
      </c>
      <c r="M361" s="12">
        <v>300.032917</v>
      </c>
      <c r="N361" s="12">
        <v>3000</v>
      </c>
      <c r="O361" s="12">
        <v>400</v>
      </c>
      <c r="P361" s="12">
        <v>0.5</v>
      </c>
      <c r="Q361" s="12">
        <v>0.85</v>
      </c>
      <c r="R361" s="12">
        <v>0.75</v>
      </c>
      <c r="S361" s="12">
        <v>0.65</v>
      </c>
      <c r="T361" s="12">
        <v>0.75</v>
      </c>
      <c r="U361" s="12">
        <v>0.8</v>
      </c>
      <c r="V361" s="12"/>
      <c r="W361" s="12">
        <v>13.18240644492343</v>
      </c>
      <c r="X361" s="12">
        <v>197.8722219438576</v>
      </c>
      <c r="Y361" s="12">
        <v>2600</v>
      </c>
      <c r="Z361" s="12">
        <v>7.5</v>
      </c>
      <c r="AA361" s="12" t="s">
        <v>1268</v>
      </c>
      <c r="AB361" s="12"/>
    </row>
    <row r="362" spans="1:28" x14ac:dyDescent="0.3">
      <c r="A362" s="12" t="s">
        <v>2254</v>
      </c>
      <c r="B362" s="12" t="s">
        <v>112</v>
      </c>
      <c r="C362" s="12" t="s">
        <v>384</v>
      </c>
      <c r="D362" s="12" t="s">
        <v>2248</v>
      </c>
      <c r="E362" s="12" t="s">
        <v>1886</v>
      </c>
      <c r="F362" s="12" t="s">
        <v>832</v>
      </c>
      <c r="G362" s="12" t="s">
        <v>832</v>
      </c>
      <c r="H362" s="12" t="b">
        <v>0</v>
      </c>
      <c r="I362" s="12" t="b">
        <v>0</v>
      </c>
      <c r="J362" s="12" t="b">
        <v>0</v>
      </c>
      <c r="K362" s="12" t="b">
        <v>0</v>
      </c>
      <c r="L362" s="12">
        <v>623.15</v>
      </c>
      <c r="M362" s="12">
        <v>300.032917</v>
      </c>
      <c r="N362" s="12">
        <v>3000</v>
      </c>
      <c r="O362" s="12">
        <v>400</v>
      </c>
      <c r="P362" s="12">
        <v>0.5</v>
      </c>
      <c r="Q362" s="12">
        <v>0.85</v>
      </c>
      <c r="R362" s="12">
        <v>0.75</v>
      </c>
      <c r="S362" s="12">
        <v>0.89999999999999991</v>
      </c>
      <c r="T362" s="12">
        <v>0.75</v>
      </c>
      <c r="U362" s="12">
        <v>0.8</v>
      </c>
      <c r="V362" s="12"/>
      <c r="W362" s="12"/>
      <c r="X362" s="12"/>
      <c r="Y362" s="12">
        <v>2600</v>
      </c>
      <c r="Z362" s="12">
        <v>7.5</v>
      </c>
      <c r="AA362" s="12"/>
      <c r="AB362" s="12"/>
    </row>
    <row r="363" spans="1:28" x14ac:dyDescent="0.3">
      <c r="A363" s="12" t="s">
        <v>2255</v>
      </c>
      <c r="B363" s="12" t="s">
        <v>112</v>
      </c>
      <c r="C363" s="12" t="s">
        <v>384</v>
      </c>
      <c r="D363" s="12" t="s">
        <v>2248</v>
      </c>
      <c r="E363" s="12" t="s">
        <v>1886</v>
      </c>
      <c r="F363" s="12" t="s">
        <v>832</v>
      </c>
      <c r="G363" s="12" t="s">
        <v>832</v>
      </c>
      <c r="H363" s="12" t="b">
        <v>0</v>
      </c>
      <c r="I363" s="12" t="b">
        <v>0</v>
      </c>
      <c r="J363" s="12" t="b">
        <v>0</v>
      </c>
      <c r="K363" s="12" t="b">
        <v>0</v>
      </c>
      <c r="L363" s="12">
        <v>623.15</v>
      </c>
      <c r="M363" s="12">
        <v>300.032917</v>
      </c>
      <c r="N363" s="12">
        <v>3000</v>
      </c>
      <c r="O363" s="12">
        <v>400</v>
      </c>
      <c r="P363" s="12">
        <v>0.5</v>
      </c>
      <c r="Q363" s="12">
        <v>0.85</v>
      </c>
      <c r="R363" s="12">
        <v>0.75</v>
      </c>
      <c r="S363" s="12">
        <v>0.95</v>
      </c>
      <c r="T363" s="12">
        <v>0.75</v>
      </c>
      <c r="U363" s="12">
        <v>0.8</v>
      </c>
      <c r="V363" s="12"/>
      <c r="W363" s="12"/>
      <c r="X363" s="12"/>
      <c r="Y363" s="12">
        <v>2600</v>
      </c>
      <c r="Z363" s="12">
        <v>7.5</v>
      </c>
      <c r="AA363" s="12"/>
      <c r="AB363" s="12"/>
    </row>
    <row r="364" spans="1:28" x14ac:dyDescent="0.3">
      <c r="A364" s="12" t="s">
        <v>2256</v>
      </c>
      <c r="B364" s="12" t="s">
        <v>112</v>
      </c>
      <c r="C364" s="12" t="s">
        <v>384</v>
      </c>
      <c r="D364" s="12" t="s">
        <v>2248</v>
      </c>
      <c r="E364" s="12" t="s">
        <v>1886</v>
      </c>
      <c r="F364" s="12" t="s">
        <v>832</v>
      </c>
      <c r="G364" s="12" t="s">
        <v>832</v>
      </c>
      <c r="H364" s="12" t="b">
        <v>0</v>
      </c>
      <c r="I364" s="12" t="b">
        <v>0</v>
      </c>
      <c r="J364" s="12" t="b">
        <v>0</v>
      </c>
      <c r="K364" s="12" t="b">
        <v>0</v>
      </c>
      <c r="L364" s="12">
        <v>623.15</v>
      </c>
      <c r="M364" s="12">
        <v>300.032917</v>
      </c>
      <c r="N364" s="12">
        <v>3000</v>
      </c>
      <c r="O364" s="12">
        <v>400</v>
      </c>
      <c r="P364" s="12">
        <v>0.5</v>
      </c>
      <c r="Q364" s="12">
        <v>0.85</v>
      </c>
      <c r="R364" s="12">
        <v>0.75</v>
      </c>
      <c r="S364" s="12">
        <v>0.85</v>
      </c>
      <c r="T364" s="12">
        <v>0.75</v>
      </c>
      <c r="U364" s="12">
        <v>0.8</v>
      </c>
      <c r="V364" s="12"/>
      <c r="W364" s="12"/>
      <c r="X364" s="12"/>
      <c r="Y364" s="12">
        <v>2600</v>
      </c>
      <c r="Z364" s="12">
        <v>7.5</v>
      </c>
      <c r="AA364" s="12"/>
      <c r="AB364" s="12"/>
    </row>
    <row r="365" spans="1:28" x14ac:dyDescent="0.3">
      <c r="A365" s="12" t="s">
        <v>2257</v>
      </c>
      <c r="B365" s="12" t="s">
        <v>112</v>
      </c>
      <c r="C365" s="12" t="s">
        <v>384</v>
      </c>
      <c r="D365" s="12" t="s">
        <v>2248</v>
      </c>
      <c r="E365" s="12" t="s">
        <v>1886</v>
      </c>
      <c r="F365" s="12" t="s">
        <v>1861</v>
      </c>
      <c r="G365" s="12" t="s">
        <v>1861</v>
      </c>
      <c r="H365" s="12" t="b">
        <v>1</v>
      </c>
      <c r="I365" s="12" t="b">
        <v>0</v>
      </c>
      <c r="J365" s="12" t="b">
        <v>1</v>
      </c>
      <c r="K365" s="12" t="b">
        <v>0</v>
      </c>
      <c r="L365" s="12">
        <v>623.15</v>
      </c>
      <c r="M365" s="12">
        <v>300.032917</v>
      </c>
      <c r="N365" s="12">
        <v>3000</v>
      </c>
      <c r="O365" s="12">
        <v>400</v>
      </c>
      <c r="P365" s="12">
        <v>0.5</v>
      </c>
      <c r="Q365" s="12">
        <v>0.85</v>
      </c>
      <c r="R365" s="12">
        <v>0.75</v>
      </c>
      <c r="S365" s="12">
        <v>0.75</v>
      </c>
      <c r="T365" s="12">
        <v>0.75</v>
      </c>
      <c r="U365" s="12">
        <v>0.8</v>
      </c>
      <c r="V365" s="12"/>
      <c r="W365" s="12">
        <v>13.08893763816603</v>
      </c>
      <c r="X365" s="12">
        <v>224.76952656674331</v>
      </c>
      <c r="Y365" s="12">
        <v>2600</v>
      </c>
      <c r="Z365" s="12">
        <v>7.5</v>
      </c>
      <c r="AA365" s="12" t="s">
        <v>1981</v>
      </c>
      <c r="AB365" s="12"/>
    </row>
    <row r="366" spans="1:28" x14ac:dyDescent="0.3">
      <c r="A366" s="12" t="s">
        <v>2258</v>
      </c>
      <c r="B366" s="12" t="s">
        <v>112</v>
      </c>
      <c r="C366" s="12" t="s">
        <v>384</v>
      </c>
      <c r="D366" s="12" t="s">
        <v>2248</v>
      </c>
      <c r="E366" s="12" t="s">
        <v>1886</v>
      </c>
      <c r="F366" s="12" t="s">
        <v>1861</v>
      </c>
      <c r="G366" s="12" t="s">
        <v>1861</v>
      </c>
      <c r="H366" s="12" t="b">
        <v>1</v>
      </c>
      <c r="I366" s="12" t="b">
        <v>0</v>
      </c>
      <c r="J366" s="12" t="b">
        <v>1</v>
      </c>
      <c r="K366" s="12" t="b">
        <v>0</v>
      </c>
      <c r="L366" s="12">
        <v>623.15</v>
      </c>
      <c r="M366" s="12">
        <v>300.032917</v>
      </c>
      <c r="N366" s="12">
        <v>3000</v>
      </c>
      <c r="O366" s="12">
        <v>400</v>
      </c>
      <c r="P366" s="12">
        <v>0.5</v>
      </c>
      <c r="Q366" s="12">
        <v>0.85</v>
      </c>
      <c r="R366" s="12">
        <v>0.75</v>
      </c>
      <c r="S366" s="12">
        <v>0.8</v>
      </c>
      <c r="T366" s="12">
        <v>0.75</v>
      </c>
      <c r="U366" s="12">
        <v>0.8</v>
      </c>
      <c r="V366" s="12"/>
      <c r="W366" s="12">
        <v>13.052569558422119</v>
      </c>
      <c r="X366" s="12">
        <v>237.90134361503021</v>
      </c>
      <c r="Y366" s="12">
        <v>2600</v>
      </c>
      <c r="Z366" s="12">
        <v>7.5</v>
      </c>
      <c r="AA366" s="12" t="s">
        <v>1981</v>
      </c>
      <c r="AB366" s="12"/>
    </row>
    <row r="367" spans="1:28" x14ac:dyDescent="0.3">
      <c r="A367" s="12" t="s">
        <v>2259</v>
      </c>
      <c r="B367" s="12" t="s">
        <v>112</v>
      </c>
      <c r="C367" s="12" t="s">
        <v>384</v>
      </c>
      <c r="D367" s="12" t="s">
        <v>2248</v>
      </c>
      <c r="E367" s="12" t="s">
        <v>1886</v>
      </c>
      <c r="F367" s="12" t="s">
        <v>832</v>
      </c>
      <c r="G367" s="12" t="s">
        <v>832</v>
      </c>
      <c r="H367" s="12" t="b">
        <v>0</v>
      </c>
      <c r="I367" s="12" t="b">
        <v>0</v>
      </c>
      <c r="J367" s="12" t="b">
        <v>0</v>
      </c>
      <c r="K367" s="12" t="b">
        <v>0</v>
      </c>
      <c r="L367" s="12">
        <v>623.15</v>
      </c>
      <c r="M367" s="12">
        <v>300.032917</v>
      </c>
      <c r="N367" s="12">
        <v>3000</v>
      </c>
      <c r="O367" s="12">
        <v>400</v>
      </c>
      <c r="P367" s="12">
        <v>0.5</v>
      </c>
      <c r="Q367" s="12">
        <v>0.85</v>
      </c>
      <c r="R367" s="12">
        <v>0.75</v>
      </c>
      <c r="S367" s="12">
        <v>0.7</v>
      </c>
      <c r="T367" s="12">
        <v>0.75</v>
      </c>
      <c r="U367" s="12">
        <v>0.8</v>
      </c>
      <c r="V367" s="12"/>
      <c r="W367" s="12"/>
      <c r="X367" s="12"/>
      <c r="Y367" s="12">
        <v>2600</v>
      </c>
      <c r="Z367" s="12">
        <v>7.5</v>
      </c>
      <c r="AA367" s="12"/>
      <c r="AB367" s="12"/>
    </row>
    <row r="368" spans="1:28" x14ac:dyDescent="0.3">
      <c r="A368" s="12" t="s">
        <v>2260</v>
      </c>
      <c r="B368" s="12" t="s">
        <v>112</v>
      </c>
      <c r="C368" s="12" t="s">
        <v>384</v>
      </c>
      <c r="D368" s="12" t="s">
        <v>2248</v>
      </c>
      <c r="E368" s="12" t="s">
        <v>1886</v>
      </c>
      <c r="F368" s="12" t="s">
        <v>832</v>
      </c>
      <c r="G368" s="12" t="s">
        <v>832</v>
      </c>
      <c r="H368" s="12" t="b">
        <v>0</v>
      </c>
      <c r="I368" s="12" t="b">
        <v>0</v>
      </c>
      <c r="J368" s="12" t="b">
        <v>0</v>
      </c>
      <c r="K368" s="12" t="b">
        <v>0</v>
      </c>
      <c r="L368" s="12">
        <v>623.15</v>
      </c>
      <c r="M368" s="12">
        <v>300.032917</v>
      </c>
      <c r="N368" s="12">
        <v>3000</v>
      </c>
      <c r="O368" s="12">
        <v>400</v>
      </c>
      <c r="P368" s="12">
        <v>0.5</v>
      </c>
      <c r="Q368" s="12">
        <v>0.85</v>
      </c>
      <c r="R368" s="12">
        <v>0.75</v>
      </c>
      <c r="S368" s="12">
        <v>0.85</v>
      </c>
      <c r="T368" s="12">
        <v>0.45</v>
      </c>
      <c r="U368" s="12">
        <v>0.8</v>
      </c>
      <c r="V368" s="12"/>
      <c r="W368" s="12"/>
      <c r="X368" s="12"/>
      <c r="Y368" s="12">
        <v>2600</v>
      </c>
      <c r="Z368" s="12">
        <v>7.5</v>
      </c>
      <c r="AA368" s="12"/>
      <c r="AB368" s="12"/>
    </row>
    <row r="369" spans="1:28" x14ac:dyDescent="0.3">
      <c r="A369" s="12" t="s">
        <v>2261</v>
      </c>
      <c r="B369" s="12" t="s">
        <v>112</v>
      </c>
      <c r="C369" s="12" t="s">
        <v>384</v>
      </c>
      <c r="D369" s="12" t="s">
        <v>2248</v>
      </c>
      <c r="E369" s="12" t="s">
        <v>1886</v>
      </c>
      <c r="F369" s="12" t="s">
        <v>832</v>
      </c>
      <c r="G369" s="12" t="s">
        <v>832</v>
      </c>
      <c r="H369" s="12" t="b">
        <v>0</v>
      </c>
      <c r="I369" s="12" t="b">
        <v>0</v>
      </c>
      <c r="J369" s="12" t="b">
        <v>0</v>
      </c>
      <c r="K369" s="12" t="b">
        <v>0</v>
      </c>
      <c r="L369" s="12">
        <v>623.15</v>
      </c>
      <c r="M369" s="12">
        <v>300.032917</v>
      </c>
      <c r="N369" s="12">
        <v>3000</v>
      </c>
      <c r="O369" s="12">
        <v>400</v>
      </c>
      <c r="P369" s="12">
        <v>0.5</v>
      </c>
      <c r="Q369" s="12">
        <v>0.85</v>
      </c>
      <c r="R369" s="12">
        <v>0.75</v>
      </c>
      <c r="S369" s="12">
        <v>0.85</v>
      </c>
      <c r="T369" s="12">
        <v>0.4</v>
      </c>
      <c r="U369" s="12">
        <v>0.8</v>
      </c>
      <c r="V369" s="12"/>
      <c r="W369" s="12"/>
      <c r="X369" s="12"/>
      <c r="Y369" s="12">
        <v>2600</v>
      </c>
      <c r="Z369" s="12">
        <v>7.5</v>
      </c>
      <c r="AA369" s="12"/>
      <c r="AB369" s="12"/>
    </row>
    <row r="370" spans="1:28" x14ac:dyDescent="0.3">
      <c r="A370" s="12" t="s">
        <v>2262</v>
      </c>
      <c r="B370" s="12" t="s">
        <v>112</v>
      </c>
      <c r="C370" s="12" t="s">
        <v>384</v>
      </c>
      <c r="D370" s="12" t="s">
        <v>2248</v>
      </c>
      <c r="E370" s="12" t="s">
        <v>1886</v>
      </c>
      <c r="F370" s="12" t="s">
        <v>832</v>
      </c>
      <c r="G370" s="12" t="s">
        <v>832</v>
      </c>
      <c r="H370" s="12" t="b">
        <v>0</v>
      </c>
      <c r="I370" s="12" t="b">
        <v>0</v>
      </c>
      <c r="J370" s="12" t="b">
        <v>0</v>
      </c>
      <c r="K370" s="12" t="b">
        <v>0</v>
      </c>
      <c r="L370" s="12">
        <v>623.15</v>
      </c>
      <c r="M370" s="12">
        <v>300.032917</v>
      </c>
      <c r="N370" s="12">
        <v>3000</v>
      </c>
      <c r="O370" s="12">
        <v>400</v>
      </c>
      <c r="P370" s="12">
        <v>0.5</v>
      </c>
      <c r="Q370" s="12">
        <v>0.85</v>
      </c>
      <c r="R370" s="12">
        <v>0.75</v>
      </c>
      <c r="S370" s="12">
        <v>0.85</v>
      </c>
      <c r="T370" s="12">
        <v>0.5</v>
      </c>
      <c r="U370" s="12">
        <v>0.8</v>
      </c>
      <c r="V370" s="12"/>
      <c r="W370" s="12"/>
      <c r="X370" s="12"/>
      <c r="Y370" s="12">
        <v>2600</v>
      </c>
      <c r="Z370" s="12">
        <v>7.5</v>
      </c>
      <c r="AA370" s="12"/>
      <c r="AB370" s="12"/>
    </row>
    <row r="371" spans="1:28" x14ac:dyDescent="0.3">
      <c r="A371" s="12" t="s">
        <v>2263</v>
      </c>
      <c r="B371" s="12" t="s">
        <v>112</v>
      </c>
      <c r="C371" s="12" t="s">
        <v>384</v>
      </c>
      <c r="D371" s="12" t="s">
        <v>2248</v>
      </c>
      <c r="E371" s="12" t="s">
        <v>1886</v>
      </c>
      <c r="F371" s="12" t="s">
        <v>832</v>
      </c>
      <c r="G371" s="12" t="s">
        <v>832</v>
      </c>
      <c r="H371" s="12" t="b">
        <v>0</v>
      </c>
      <c r="I371" s="12" t="b">
        <v>0</v>
      </c>
      <c r="J371" s="12" t="b">
        <v>0</v>
      </c>
      <c r="K371" s="12" t="b">
        <v>0</v>
      </c>
      <c r="L371" s="12">
        <v>623.15</v>
      </c>
      <c r="M371" s="12">
        <v>300.032917</v>
      </c>
      <c r="N371" s="12">
        <v>3000</v>
      </c>
      <c r="O371" s="12">
        <v>400</v>
      </c>
      <c r="P371" s="12">
        <v>0.5</v>
      </c>
      <c r="Q371" s="12">
        <v>0.85</v>
      </c>
      <c r="R371" s="12">
        <v>0.75</v>
      </c>
      <c r="S371" s="12">
        <v>0.85</v>
      </c>
      <c r="T371" s="12">
        <v>0.6</v>
      </c>
      <c r="U371" s="12">
        <v>0.8</v>
      </c>
      <c r="V371" s="12"/>
      <c r="W371" s="12"/>
      <c r="X371" s="12"/>
      <c r="Y371" s="12">
        <v>2600</v>
      </c>
      <c r="Z371" s="12">
        <v>7.5</v>
      </c>
      <c r="AA371" s="12"/>
      <c r="AB371" s="12"/>
    </row>
    <row r="372" spans="1:28" x14ac:dyDescent="0.3">
      <c r="A372" s="12" t="s">
        <v>2264</v>
      </c>
      <c r="B372" s="12" t="s">
        <v>112</v>
      </c>
      <c r="C372" s="12" t="s">
        <v>384</v>
      </c>
      <c r="D372" s="12" t="s">
        <v>2248</v>
      </c>
      <c r="E372" s="12" t="s">
        <v>1886</v>
      </c>
      <c r="F372" s="12" t="s">
        <v>832</v>
      </c>
      <c r="G372" s="12" t="s">
        <v>832</v>
      </c>
      <c r="H372" s="12" t="b">
        <v>0</v>
      </c>
      <c r="I372" s="12" t="b">
        <v>0</v>
      </c>
      <c r="J372" s="12" t="b">
        <v>0</v>
      </c>
      <c r="K372" s="12" t="b">
        <v>0</v>
      </c>
      <c r="L372" s="12">
        <v>623.15</v>
      </c>
      <c r="M372" s="12">
        <v>300.032917</v>
      </c>
      <c r="N372" s="12">
        <v>3000</v>
      </c>
      <c r="O372" s="12">
        <v>400</v>
      </c>
      <c r="P372" s="12">
        <v>0.5</v>
      </c>
      <c r="Q372" s="12">
        <v>0.85</v>
      </c>
      <c r="R372" s="12">
        <v>0.75</v>
      </c>
      <c r="S372" s="12">
        <v>0.85</v>
      </c>
      <c r="T372" s="12">
        <v>0.55000000000000004</v>
      </c>
      <c r="U372" s="12">
        <v>0.8</v>
      </c>
      <c r="V372" s="12"/>
      <c r="W372" s="12"/>
      <c r="X372" s="12"/>
      <c r="Y372" s="12">
        <v>2600</v>
      </c>
      <c r="Z372" s="12">
        <v>7.5</v>
      </c>
      <c r="AA372" s="12"/>
      <c r="AB372" s="12"/>
    </row>
    <row r="373" spans="1:28" x14ac:dyDescent="0.3">
      <c r="A373" s="12" t="s">
        <v>2265</v>
      </c>
      <c r="B373" s="12" t="s">
        <v>112</v>
      </c>
      <c r="C373" s="12" t="s">
        <v>384</v>
      </c>
      <c r="D373" s="12" t="s">
        <v>2248</v>
      </c>
      <c r="E373" s="12" t="s">
        <v>1886</v>
      </c>
      <c r="F373" s="12" t="s">
        <v>832</v>
      </c>
      <c r="G373" s="12" t="s">
        <v>832</v>
      </c>
      <c r="H373" s="12" t="b">
        <v>0</v>
      </c>
      <c r="I373" s="12" t="b">
        <v>0</v>
      </c>
      <c r="J373" s="12" t="b">
        <v>0</v>
      </c>
      <c r="K373" s="12" t="b">
        <v>0</v>
      </c>
      <c r="L373" s="12">
        <v>623.15</v>
      </c>
      <c r="M373" s="12">
        <v>300.032917</v>
      </c>
      <c r="N373" s="12">
        <v>3000</v>
      </c>
      <c r="O373" s="12">
        <v>400</v>
      </c>
      <c r="P373" s="12">
        <v>0.5</v>
      </c>
      <c r="Q373" s="12">
        <v>0.85</v>
      </c>
      <c r="R373" s="12">
        <v>0.75</v>
      </c>
      <c r="S373" s="12">
        <v>0.85</v>
      </c>
      <c r="T373" s="12">
        <v>0.65</v>
      </c>
      <c r="U373" s="12">
        <v>0.8</v>
      </c>
      <c r="V373" s="12"/>
      <c r="W373" s="12"/>
      <c r="X373" s="12"/>
      <c r="Y373" s="12">
        <v>2600</v>
      </c>
      <c r="Z373" s="12">
        <v>7.5</v>
      </c>
      <c r="AA373" s="12"/>
      <c r="AB373" s="12"/>
    </row>
    <row r="374" spans="1:28" x14ac:dyDescent="0.3">
      <c r="A374" s="12" t="s">
        <v>2266</v>
      </c>
      <c r="B374" s="12" t="s">
        <v>112</v>
      </c>
      <c r="C374" s="12" t="s">
        <v>384</v>
      </c>
      <c r="D374" s="12" t="s">
        <v>2248</v>
      </c>
      <c r="E374" s="12" t="s">
        <v>1886</v>
      </c>
      <c r="F374" s="12" t="s">
        <v>832</v>
      </c>
      <c r="G374" s="12" t="s">
        <v>832</v>
      </c>
      <c r="H374" s="12" t="b">
        <v>0</v>
      </c>
      <c r="I374" s="12" t="b">
        <v>0</v>
      </c>
      <c r="J374" s="12" t="b">
        <v>0</v>
      </c>
      <c r="K374" s="12" t="b">
        <v>0</v>
      </c>
      <c r="L374" s="12">
        <v>623.15</v>
      </c>
      <c r="M374" s="12">
        <v>300.032917</v>
      </c>
      <c r="N374" s="12">
        <v>3000</v>
      </c>
      <c r="O374" s="12">
        <v>400</v>
      </c>
      <c r="P374" s="12">
        <v>0.5</v>
      </c>
      <c r="Q374" s="12">
        <v>0.85</v>
      </c>
      <c r="R374" s="12">
        <v>0.75</v>
      </c>
      <c r="S374" s="12">
        <v>0.85</v>
      </c>
      <c r="T374" s="12">
        <v>0.7</v>
      </c>
      <c r="U374" s="12">
        <v>0.8</v>
      </c>
      <c r="V374" s="12"/>
      <c r="W374" s="12"/>
      <c r="X374" s="12"/>
      <c r="Y374" s="12">
        <v>2600</v>
      </c>
      <c r="Z374" s="12">
        <v>7.5</v>
      </c>
      <c r="AA374" s="12"/>
      <c r="AB374" s="12"/>
    </row>
    <row r="375" spans="1:28" x14ac:dyDescent="0.3">
      <c r="A375" s="12" t="s">
        <v>2267</v>
      </c>
      <c r="B375" s="12" t="s">
        <v>112</v>
      </c>
      <c r="C375" s="12" t="s">
        <v>384</v>
      </c>
      <c r="D375" s="12" t="s">
        <v>2248</v>
      </c>
      <c r="E375" s="12" t="s">
        <v>1886</v>
      </c>
      <c r="F375" s="12" t="s">
        <v>832</v>
      </c>
      <c r="G375" s="12" t="s">
        <v>832</v>
      </c>
      <c r="H375" s="12" t="b">
        <v>0</v>
      </c>
      <c r="I375" s="12" t="b">
        <v>0</v>
      </c>
      <c r="J375" s="12" t="b">
        <v>0</v>
      </c>
      <c r="K375" s="12" t="b">
        <v>0</v>
      </c>
      <c r="L375" s="12">
        <v>623.15</v>
      </c>
      <c r="M375" s="12">
        <v>300.032917</v>
      </c>
      <c r="N375" s="12">
        <v>3000</v>
      </c>
      <c r="O375" s="12">
        <v>400</v>
      </c>
      <c r="P375" s="12">
        <v>0.5</v>
      </c>
      <c r="Q375" s="12">
        <v>0.85</v>
      </c>
      <c r="R375" s="12">
        <v>0.75</v>
      </c>
      <c r="S375" s="12">
        <v>0.85</v>
      </c>
      <c r="T375" s="12">
        <v>0.75</v>
      </c>
      <c r="U375" s="12">
        <v>0.8</v>
      </c>
      <c r="V375" s="12"/>
      <c r="W375" s="12"/>
      <c r="X375" s="12"/>
      <c r="Y375" s="12">
        <v>2600</v>
      </c>
      <c r="Z375" s="12">
        <v>7.5</v>
      </c>
      <c r="AA375" s="12"/>
      <c r="AB375" s="12"/>
    </row>
    <row r="376" spans="1:28" x14ac:dyDescent="0.3">
      <c r="A376" s="12" t="s">
        <v>2268</v>
      </c>
      <c r="B376" s="12" t="s">
        <v>112</v>
      </c>
      <c r="C376" s="12" t="s">
        <v>384</v>
      </c>
      <c r="D376" s="12" t="s">
        <v>2248</v>
      </c>
      <c r="E376" s="12" t="s">
        <v>1886</v>
      </c>
      <c r="F376" s="12" t="s">
        <v>832</v>
      </c>
      <c r="G376" s="12" t="s">
        <v>832</v>
      </c>
      <c r="H376" s="12" t="b">
        <v>0</v>
      </c>
      <c r="I376" s="12" t="b">
        <v>0</v>
      </c>
      <c r="J376" s="12" t="b">
        <v>0</v>
      </c>
      <c r="K376" s="12" t="b">
        <v>0</v>
      </c>
      <c r="L376" s="12">
        <v>623.15</v>
      </c>
      <c r="M376" s="12">
        <v>300.032917</v>
      </c>
      <c r="N376" s="12">
        <v>3000</v>
      </c>
      <c r="O376" s="12">
        <v>400</v>
      </c>
      <c r="P376" s="12">
        <v>0.5</v>
      </c>
      <c r="Q376" s="12">
        <v>0.85</v>
      </c>
      <c r="R376" s="12">
        <v>0.75</v>
      </c>
      <c r="S376" s="12">
        <v>0.85</v>
      </c>
      <c r="T376" s="12">
        <v>0.85</v>
      </c>
      <c r="U376" s="12">
        <v>0.8</v>
      </c>
      <c r="V376" s="12"/>
      <c r="W376" s="12"/>
      <c r="X376" s="12"/>
      <c r="Y376" s="12">
        <v>2600</v>
      </c>
      <c r="Z376" s="12">
        <v>7.5</v>
      </c>
      <c r="AA376" s="12"/>
      <c r="AB376" s="12"/>
    </row>
    <row r="377" spans="1:28" x14ac:dyDescent="0.3">
      <c r="A377" s="12" t="s">
        <v>2269</v>
      </c>
      <c r="B377" s="12" t="s">
        <v>112</v>
      </c>
      <c r="C377" s="12" t="s">
        <v>384</v>
      </c>
      <c r="D377" s="12" t="s">
        <v>2248</v>
      </c>
      <c r="E377" s="12" t="s">
        <v>1886</v>
      </c>
      <c r="F377" s="12" t="s">
        <v>832</v>
      </c>
      <c r="G377" s="12" t="s">
        <v>832</v>
      </c>
      <c r="H377" s="12" t="b">
        <v>0</v>
      </c>
      <c r="I377" s="12" t="b">
        <v>0</v>
      </c>
      <c r="J377" s="12" t="b">
        <v>0</v>
      </c>
      <c r="K377" s="12" t="b">
        <v>0</v>
      </c>
      <c r="L377" s="12">
        <v>623.15</v>
      </c>
      <c r="M377" s="12">
        <v>300.032917</v>
      </c>
      <c r="N377" s="12">
        <v>3000</v>
      </c>
      <c r="O377" s="12">
        <v>400</v>
      </c>
      <c r="P377" s="12">
        <v>0.5</v>
      </c>
      <c r="Q377" s="12">
        <v>0.85</v>
      </c>
      <c r="R377" s="12">
        <v>0.75</v>
      </c>
      <c r="S377" s="12">
        <v>0.85</v>
      </c>
      <c r="T377" s="12">
        <v>0.8</v>
      </c>
      <c r="U377" s="12">
        <v>0.8</v>
      </c>
      <c r="V377" s="12"/>
      <c r="W377" s="12"/>
      <c r="X377" s="12"/>
      <c r="Y377" s="12">
        <v>2600</v>
      </c>
      <c r="Z377" s="12">
        <v>7.5</v>
      </c>
      <c r="AA377" s="12"/>
      <c r="AB377" s="12"/>
    </row>
    <row r="378" spans="1:28" x14ac:dyDescent="0.3">
      <c r="A378" s="12" t="s">
        <v>2270</v>
      </c>
      <c r="B378" s="12" t="s">
        <v>112</v>
      </c>
      <c r="C378" s="12" t="s">
        <v>384</v>
      </c>
      <c r="D378" s="12" t="s">
        <v>2248</v>
      </c>
      <c r="E378" s="12" t="s">
        <v>1886</v>
      </c>
      <c r="F378" s="12" t="s">
        <v>832</v>
      </c>
      <c r="G378" s="12" t="s">
        <v>832</v>
      </c>
      <c r="H378" s="12" t="b">
        <v>0</v>
      </c>
      <c r="I378" s="12" t="b">
        <v>0</v>
      </c>
      <c r="J378" s="12" t="b">
        <v>0</v>
      </c>
      <c r="K378" s="12" t="b">
        <v>0</v>
      </c>
      <c r="L378" s="12">
        <v>623.15</v>
      </c>
      <c r="M378" s="12">
        <v>300.032917</v>
      </c>
      <c r="N378" s="12">
        <v>3000</v>
      </c>
      <c r="O378" s="12">
        <v>400</v>
      </c>
      <c r="P378" s="12">
        <v>0.5</v>
      </c>
      <c r="Q378" s="12">
        <v>0.85</v>
      </c>
      <c r="R378" s="12">
        <v>0.75</v>
      </c>
      <c r="S378" s="12">
        <v>0.85</v>
      </c>
      <c r="T378" s="12">
        <v>0.89999999999999991</v>
      </c>
      <c r="U378" s="12">
        <v>0.8</v>
      </c>
      <c r="V378" s="12"/>
      <c r="W378" s="12"/>
      <c r="X378" s="12"/>
      <c r="Y378" s="12">
        <v>2600</v>
      </c>
      <c r="Z378" s="12">
        <v>7.5</v>
      </c>
      <c r="AA378" s="12"/>
      <c r="AB378" s="12"/>
    </row>
    <row r="379" spans="1:28" x14ac:dyDescent="0.3">
      <c r="A379" s="12" t="s">
        <v>2271</v>
      </c>
      <c r="B379" s="12" t="s">
        <v>112</v>
      </c>
      <c r="C379" s="12" t="s">
        <v>384</v>
      </c>
      <c r="D379" s="12" t="s">
        <v>2248</v>
      </c>
      <c r="E379" s="12" t="s">
        <v>1886</v>
      </c>
      <c r="F379" s="12" t="s">
        <v>832</v>
      </c>
      <c r="G379" s="12" t="s">
        <v>832</v>
      </c>
      <c r="H379" s="12" t="b">
        <v>0</v>
      </c>
      <c r="I379" s="12" t="b">
        <v>0</v>
      </c>
      <c r="J379" s="12" t="b">
        <v>0</v>
      </c>
      <c r="K379" s="12" t="b">
        <v>0</v>
      </c>
      <c r="L379" s="12">
        <v>623.15</v>
      </c>
      <c r="M379" s="12">
        <v>300.032917</v>
      </c>
      <c r="N379" s="12">
        <v>3000</v>
      </c>
      <c r="O379" s="12">
        <v>400</v>
      </c>
      <c r="P379" s="12">
        <v>0.5</v>
      </c>
      <c r="Q379" s="12">
        <v>0.85</v>
      </c>
      <c r="R379" s="12">
        <v>0.75</v>
      </c>
      <c r="S379" s="12">
        <v>0.85</v>
      </c>
      <c r="T379" s="12">
        <v>0.95</v>
      </c>
      <c r="U379" s="12">
        <v>0.8</v>
      </c>
      <c r="V379" s="12"/>
      <c r="W379" s="12"/>
      <c r="X379" s="12"/>
      <c r="Y379" s="12">
        <v>2600</v>
      </c>
      <c r="Z379" s="12">
        <v>7.5</v>
      </c>
      <c r="AA379" s="12"/>
      <c r="AB379" s="12"/>
    </row>
    <row r="380" spans="1:28" x14ac:dyDescent="0.3">
      <c r="A380" s="12" t="s">
        <v>2272</v>
      </c>
      <c r="B380" s="12" t="s">
        <v>112</v>
      </c>
      <c r="C380" s="12" t="s">
        <v>384</v>
      </c>
      <c r="D380" s="12" t="s">
        <v>2248</v>
      </c>
      <c r="E380" s="12" t="s">
        <v>1886</v>
      </c>
      <c r="F380" s="12" t="s">
        <v>832</v>
      </c>
      <c r="G380" s="12" t="s">
        <v>832</v>
      </c>
      <c r="H380" s="12" t="b">
        <v>0</v>
      </c>
      <c r="I380" s="12" t="b">
        <v>0</v>
      </c>
      <c r="J380" s="12" t="b">
        <v>0</v>
      </c>
      <c r="K380" s="12" t="b">
        <v>0</v>
      </c>
      <c r="L380" s="12">
        <v>623.15</v>
      </c>
      <c r="M380" s="12">
        <v>300.032917</v>
      </c>
      <c r="N380" s="12">
        <v>3000</v>
      </c>
      <c r="O380" s="12">
        <v>400</v>
      </c>
      <c r="P380" s="12">
        <v>0.5</v>
      </c>
      <c r="Q380" s="12">
        <v>0.85</v>
      </c>
      <c r="R380" s="12">
        <v>0.75</v>
      </c>
      <c r="S380" s="12">
        <v>0.85</v>
      </c>
      <c r="T380" s="12">
        <v>0.75</v>
      </c>
      <c r="U380" s="12">
        <v>0.5</v>
      </c>
      <c r="V380" s="12"/>
      <c r="W380" s="12"/>
      <c r="X380" s="12"/>
      <c r="Y380" s="12">
        <v>2600</v>
      </c>
      <c r="Z380" s="12">
        <v>7.5</v>
      </c>
      <c r="AA380" s="12"/>
      <c r="AB380" s="12"/>
    </row>
    <row r="381" spans="1:28" x14ac:dyDescent="0.3">
      <c r="A381" s="12" t="s">
        <v>2273</v>
      </c>
      <c r="B381" s="12" t="s">
        <v>112</v>
      </c>
      <c r="C381" s="12" t="s">
        <v>384</v>
      </c>
      <c r="D381" s="12" t="s">
        <v>2248</v>
      </c>
      <c r="E381" s="12" t="s">
        <v>1886</v>
      </c>
      <c r="F381" s="12" t="s">
        <v>832</v>
      </c>
      <c r="G381" s="12" t="s">
        <v>832</v>
      </c>
      <c r="H381" s="12" t="b">
        <v>0</v>
      </c>
      <c r="I381" s="12" t="b">
        <v>0</v>
      </c>
      <c r="J381" s="12" t="b">
        <v>0</v>
      </c>
      <c r="K381" s="12" t="b">
        <v>0</v>
      </c>
      <c r="L381" s="12">
        <v>623.15</v>
      </c>
      <c r="M381" s="12">
        <v>300.032917</v>
      </c>
      <c r="N381" s="12">
        <v>3000</v>
      </c>
      <c r="O381" s="12">
        <v>400</v>
      </c>
      <c r="P381" s="12">
        <v>0.5</v>
      </c>
      <c r="Q381" s="12">
        <v>0.85</v>
      </c>
      <c r="R381" s="12">
        <v>0.75</v>
      </c>
      <c r="S381" s="12">
        <v>0.85</v>
      </c>
      <c r="T381" s="12">
        <v>0.75</v>
      </c>
      <c r="U381" s="12">
        <v>0.4</v>
      </c>
      <c r="V381" s="12"/>
      <c r="W381" s="12"/>
      <c r="X381" s="12"/>
      <c r="Y381" s="12">
        <v>2600</v>
      </c>
      <c r="Z381" s="12">
        <v>7.5</v>
      </c>
      <c r="AA381" s="12"/>
      <c r="AB381" s="12"/>
    </row>
    <row r="382" spans="1:28" x14ac:dyDescent="0.3">
      <c r="A382" s="12" t="s">
        <v>2274</v>
      </c>
      <c r="B382" s="12" t="s">
        <v>112</v>
      </c>
      <c r="C382" s="12" t="s">
        <v>384</v>
      </c>
      <c r="D382" s="12" t="s">
        <v>2248</v>
      </c>
      <c r="E382" s="12" t="s">
        <v>1886</v>
      </c>
      <c r="F382" s="12" t="s">
        <v>832</v>
      </c>
      <c r="G382" s="12" t="s">
        <v>832</v>
      </c>
      <c r="H382" s="12" t="b">
        <v>0</v>
      </c>
      <c r="I382" s="12" t="b">
        <v>0</v>
      </c>
      <c r="J382" s="12" t="b">
        <v>0</v>
      </c>
      <c r="K382" s="12" t="b">
        <v>0</v>
      </c>
      <c r="L382" s="12">
        <v>623.15</v>
      </c>
      <c r="M382" s="12">
        <v>300.032917</v>
      </c>
      <c r="N382" s="12">
        <v>3000</v>
      </c>
      <c r="O382" s="12">
        <v>400</v>
      </c>
      <c r="P382" s="12">
        <v>0.5</v>
      </c>
      <c r="Q382" s="12">
        <v>0.85</v>
      </c>
      <c r="R382" s="12">
        <v>0.75</v>
      </c>
      <c r="S382" s="12">
        <v>0.85</v>
      </c>
      <c r="T382" s="12">
        <v>0.75</v>
      </c>
      <c r="U382" s="12">
        <v>0.45</v>
      </c>
      <c r="V382" s="12"/>
      <c r="W382" s="12"/>
      <c r="X382" s="12"/>
      <c r="Y382" s="12">
        <v>2600</v>
      </c>
      <c r="Z382" s="12">
        <v>7.5</v>
      </c>
      <c r="AA382" s="12"/>
      <c r="AB382" s="12"/>
    </row>
    <row r="383" spans="1:28" x14ac:dyDescent="0.3">
      <c r="A383" s="12" t="s">
        <v>2275</v>
      </c>
      <c r="B383" s="12" t="s">
        <v>112</v>
      </c>
      <c r="C383" s="12" t="s">
        <v>384</v>
      </c>
      <c r="D383" s="12" t="s">
        <v>2248</v>
      </c>
      <c r="E383" s="12" t="s">
        <v>1886</v>
      </c>
      <c r="F383" s="12" t="s">
        <v>832</v>
      </c>
      <c r="G383" s="12" t="s">
        <v>832</v>
      </c>
      <c r="H383" s="12" t="b">
        <v>0</v>
      </c>
      <c r="I383" s="12" t="b">
        <v>0</v>
      </c>
      <c r="J383" s="12" t="b">
        <v>0</v>
      </c>
      <c r="K383" s="12" t="b">
        <v>0</v>
      </c>
      <c r="L383" s="12">
        <v>623.15</v>
      </c>
      <c r="M383" s="12">
        <v>300.032917</v>
      </c>
      <c r="N383" s="12">
        <v>3000</v>
      </c>
      <c r="O383" s="12">
        <v>400</v>
      </c>
      <c r="P383" s="12">
        <v>0.5</v>
      </c>
      <c r="Q383" s="12">
        <v>0.85</v>
      </c>
      <c r="R383" s="12">
        <v>0.75</v>
      </c>
      <c r="S383" s="12">
        <v>0.85</v>
      </c>
      <c r="T383" s="12">
        <v>0.75</v>
      </c>
      <c r="U383" s="12">
        <v>0.55000000000000004</v>
      </c>
      <c r="V383" s="12"/>
      <c r="W383" s="12"/>
      <c r="X383" s="12"/>
      <c r="Y383" s="12">
        <v>2600</v>
      </c>
      <c r="Z383" s="12">
        <v>7.5</v>
      </c>
      <c r="AA383" s="12"/>
      <c r="AB383" s="12"/>
    </row>
    <row r="384" spans="1:28" x14ac:dyDescent="0.3">
      <c r="A384" s="12" t="s">
        <v>2276</v>
      </c>
      <c r="B384" s="12" t="s">
        <v>112</v>
      </c>
      <c r="C384" s="12" t="s">
        <v>384</v>
      </c>
      <c r="D384" s="12" t="s">
        <v>2248</v>
      </c>
      <c r="E384" s="12" t="s">
        <v>1886</v>
      </c>
      <c r="F384" s="12" t="s">
        <v>832</v>
      </c>
      <c r="G384" s="12" t="s">
        <v>832</v>
      </c>
      <c r="H384" s="12" t="b">
        <v>0</v>
      </c>
      <c r="I384" s="12" t="b">
        <v>0</v>
      </c>
      <c r="J384" s="12" t="b">
        <v>0</v>
      </c>
      <c r="K384" s="12" t="b">
        <v>0</v>
      </c>
      <c r="L384" s="12">
        <v>623.15</v>
      </c>
      <c r="M384" s="12">
        <v>300.032917</v>
      </c>
      <c r="N384" s="12">
        <v>3000</v>
      </c>
      <c r="O384" s="12">
        <v>400</v>
      </c>
      <c r="P384" s="12">
        <v>0.5</v>
      </c>
      <c r="Q384" s="12">
        <v>0.85</v>
      </c>
      <c r="R384" s="12">
        <v>0.75</v>
      </c>
      <c r="S384" s="12">
        <v>0.85</v>
      </c>
      <c r="T384" s="12">
        <v>0.75</v>
      </c>
      <c r="U384" s="12">
        <v>0.6</v>
      </c>
      <c r="V384" s="12"/>
      <c r="W384" s="12"/>
      <c r="X384" s="12"/>
      <c r="Y384" s="12">
        <v>2600</v>
      </c>
      <c r="Z384" s="12">
        <v>7.5</v>
      </c>
      <c r="AA384" s="12"/>
      <c r="AB384" s="12"/>
    </row>
    <row r="385" spans="1:28" x14ac:dyDescent="0.3">
      <c r="A385" s="12" t="s">
        <v>2277</v>
      </c>
      <c r="B385" s="12" t="s">
        <v>112</v>
      </c>
      <c r="C385" s="12" t="s">
        <v>384</v>
      </c>
      <c r="D385" s="12" t="s">
        <v>2248</v>
      </c>
      <c r="E385" s="12" t="s">
        <v>1886</v>
      </c>
      <c r="F385" s="12" t="s">
        <v>832</v>
      </c>
      <c r="G385" s="12" t="s">
        <v>832</v>
      </c>
      <c r="H385" s="12" t="b">
        <v>0</v>
      </c>
      <c r="I385" s="12" t="b">
        <v>0</v>
      </c>
      <c r="J385" s="12" t="b">
        <v>0</v>
      </c>
      <c r="K385" s="12" t="b">
        <v>0</v>
      </c>
      <c r="L385" s="12">
        <v>623.15</v>
      </c>
      <c r="M385" s="12">
        <v>300.032917</v>
      </c>
      <c r="N385" s="12">
        <v>3000</v>
      </c>
      <c r="O385" s="12">
        <v>400</v>
      </c>
      <c r="P385" s="12">
        <v>0.5</v>
      </c>
      <c r="Q385" s="12">
        <v>0.85</v>
      </c>
      <c r="R385" s="12">
        <v>0.75</v>
      </c>
      <c r="S385" s="12">
        <v>0.85</v>
      </c>
      <c r="T385" s="12">
        <v>0.75</v>
      </c>
      <c r="U385" s="12">
        <v>0.7</v>
      </c>
      <c r="V385" s="12"/>
      <c r="W385" s="12"/>
      <c r="X385" s="12"/>
      <c r="Y385" s="12">
        <v>2600</v>
      </c>
      <c r="Z385" s="12">
        <v>7.5</v>
      </c>
      <c r="AA385" s="12"/>
      <c r="AB385" s="12"/>
    </row>
    <row r="386" spans="1:28" x14ac:dyDescent="0.3">
      <c r="A386" s="12" t="s">
        <v>2278</v>
      </c>
      <c r="B386" s="12" t="s">
        <v>112</v>
      </c>
      <c r="C386" s="12" t="s">
        <v>384</v>
      </c>
      <c r="D386" s="12" t="s">
        <v>2248</v>
      </c>
      <c r="E386" s="12" t="s">
        <v>1886</v>
      </c>
      <c r="F386" s="12" t="s">
        <v>832</v>
      </c>
      <c r="G386" s="12" t="s">
        <v>832</v>
      </c>
      <c r="H386" s="12" t="b">
        <v>0</v>
      </c>
      <c r="I386" s="12" t="b">
        <v>0</v>
      </c>
      <c r="J386" s="12" t="b">
        <v>0</v>
      </c>
      <c r="K386" s="12" t="b">
        <v>0</v>
      </c>
      <c r="L386" s="12">
        <v>623.15</v>
      </c>
      <c r="M386" s="12">
        <v>300.032917</v>
      </c>
      <c r="N386" s="12">
        <v>3000</v>
      </c>
      <c r="O386" s="12">
        <v>400</v>
      </c>
      <c r="P386" s="12">
        <v>0.5</v>
      </c>
      <c r="Q386" s="12">
        <v>0.85</v>
      </c>
      <c r="R386" s="12">
        <v>0.75</v>
      </c>
      <c r="S386" s="12">
        <v>0.85</v>
      </c>
      <c r="T386" s="12">
        <v>0.75</v>
      </c>
      <c r="U386" s="12">
        <v>0.75</v>
      </c>
      <c r="V386" s="12"/>
      <c r="W386" s="12"/>
      <c r="X386" s="12"/>
      <c r="Y386" s="12">
        <v>2600</v>
      </c>
      <c r="Z386" s="12">
        <v>7.5</v>
      </c>
      <c r="AA386" s="12"/>
      <c r="AB386" s="12"/>
    </row>
    <row r="387" spans="1:28" x14ac:dyDescent="0.3">
      <c r="A387" s="12" t="s">
        <v>2279</v>
      </c>
      <c r="B387" s="12" t="s">
        <v>112</v>
      </c>
      <c r="C387" s="12" t="s">
        <v>384</v>
      </c>
      <c r="D387" s="12" t="s">
        <v>2248</v>
      </c>
      <c r="E387" s="12" t="s">
        <v>1886</v>
      </c>
      <c r="F387" s="12" t="s">
        <v>832</v>
      </c>
      <c r="G387" s="12" t="s">
        <v>832</v>
      </c>
      <c r="H387" s="12" t="b">
        <v>0</v>
      </c>
      <c r="I387" s="12" t="b">
        <v>0</v>
      </c>
      <c r="J387" s="12" t="b">
        <v>0</v>
      </c>
      <c r="K387" s="12" t="b">
        <v>0</v>
      </c>
      <c r="L387" s="12">
        <v>623.15</v>
      </c>
      <c r="M387" s="12">
        <v>300.032917</v>
      </c>
      <c r="N387" s="12">
        <v>3000</v>
      </c>
      <c r="O387" s="12">
        <v>400</v>
      </c>
      <c r="P387" s="12">
        <v>0.5</v>
      </c>
      <c r="Q387" s="12">
        <v>0.85</v>
      </c>
      <c r="R387" s="12">
        <v>0.75</v>
      </c>
      <c r="S387" s="12">
        <v>0.85</v>
      </c>
      <c r="T387" s="12">
        <v>0.75</v>
      </c>
      <c r="U387" s="12">
        <v>0.65</v>
      </c>
      <c r="V387" s="12"/>
      <c r="W387" s="12"/>
      <c r="X387" s="12"/>
      <c r="Y387" s="12">
        <v>2600</v>
      </c>
      <c r="Z387" s="12">
        <v>7.5</v>
      </c>
      <c r="AA387" s="12"/>
      <c r="AB387" s="12"/>
    </row>
    <row r="388" spans="1:28" x14ac:dyDescent="0.3">
      <c r="A388" s="12" t="s">
        <v>2280</v>
      </c>
      <c r="B388" s="12" t="s">
        <v>112</v>
      </c>
      <c r="C388" s="12" t="s">
        <v>384</v>
      </c>
      <c r="D388" s="12" t="s">
        <v>2248</v>
      </c>
      <c r="E388" s="12" t="s">
        <v>1886</v>
      </c>
      <c r="F388" s="12" t="s">
        <v>832</v>
      </c>
      <c r="G388" s="12" t="s">
        <v>832</v>
      </c>
      <c r="H388" s="12" t="b">
        <v>0</v>
      </c>
      <c r="I388" s="12" t="b">
        <v>0</v>
      </c>
      <c r="J388" s="12" t="b">
        <v>0</v>
      </c>
      <c r="K388" s="12" t="b">
        <v>0</v>
      </c>
      <c r="L388" s="12">
        <v>623.15</v>
      </c>
      <c r="M388" s="12">
        <v>300.032917</v>
      </c>
      <c r="N388" s="12">
        <v>3000</v>
      </c>
      <c r="O388" s="12">
        <v>400</v>
      </c>
      <c r="P388" s="12">
        <v>0.5</v>
      </c>
      <c r="Q388" s="12">
        <v>0.85</v>
      </c>
      <c r="R388" s="12">
        <v>0.75</v>
      </c>
      <c r="S388" s="12">
        <v>0.85</v>
      </c>
      <c r="T388" s="12">
        <v>0.75</v>
      </c>
      <c r="U388" s="12">
        <v>0.8</v>
      </c>
      <c r="V388" s="12"/>
      <c r="W388" s="12"/>
      <c r="X388" s="12"/>
      <c r="Y388" s="12">
        <v>2600</v>
      </c>
      <c r="Z388" s="12">
        <v>7.5</v>
      </c>
      <c r="AA388" s="12"/>
      <c r="AB388" s="12"/>
    </row>
    <row r="389" spans="1:28" x14ac:dyDescent="0.3">
      <c r="A389" s="12" t="s">
        <v>2281</v>
      </c>
      <c r="B389" s="12" t="s">
        <v>112</v>
      </c>
      <c r="C389" s="12" t="s">
        <v>384</v>
      </c>
      <c r="D389" s="12" t="s">
        <v>2248</v>
      </c>
      <c r="E389" s="12" t="s">
        <v>1886</v>
      </c>
      <c r="F389" s="12" t="s">
        <v>832</v>
      </c>
      <c r="G389" s="12" t="s">
        <v>832</v>
      </c>
      <c r="H389" s="12" t="b">
        <v>0</v>
      </c>
      <c r="I389" s="12" t="b">
        <v>0</v>
      </c>
      <c r="J389" s="12" t="b">
        <v>0</v>
      </c>
      <c r="K389" s="12" t="b">
        <v>0</v>
      </c>
      <c r="L389" s="12">
        <v>623.15</v>
      </c>
      <c r="M389" s="12">
        <v>300.032917</v>
      </c>
      <c r="N389" s="12">
        <v>3000</v>
      </c>
      <c r="O389" s="12">
        <v>400</v>
      </c>
      <c r="P389" s="12">
        <v>0.5</v>
      </c>
      <c r="Q389" s="12">
        <v>0.85</v>
      </c>
      <c r="R389" s="12">
        <v>0.75</v>
      </c>
      <c r="S389" s="12">
        <v>0.85</v>
      </c>
      <c r="T389" s="12">
        <v>0.75</v>
      </c>
      <c r="U389" s="12">
        <v>0.85</v>
      </c>
      <c r="V389" s="12"/>
      <c r="W389" s="12"/>
      <c r="X389" s="12"/>
      <c r="Y389" s="12">
        <v>2600</v>
      </c>
      <c r="Z389" s="12">
        <v>7.5</v>
      </c>
      <c r="AA389" s="12"/>
      <c r="AB389" s="12"/>
    </row>
    <row r="390" spans="1:28" x14ac:dyDescent="0.3">
      <c r="A390" s="12" t="s">
        <v>2282</v>
      </c>
      <c r="B390" s="12" t="s">
        <v>112</v>
      </c>
      <c r="C390" s="12" t="s">
        <v>384</v>
      </c>
      <c r="D390" s="12" t="s">
        <v>2248</v>
      </c>
      <c r="E390" s="12" t="s">
        <v>1886</v>
      </c>
      <c r="F390" s="12" t="s">
        <v>832</v>
      </c>
      <c r="G390" s="12" t="s">
        <v>832</v>
      </c>
      <c r="H390" s="12" t="b">
        <v>0</v>
      </c>
      <c r="I390" s="12" t="b">
        <v>0</v>
      </c>
      <c r="J390" s="12" t="b">
        <v>0</v>
      </c>
      <c r="K390" s="12" t="b">
        <v>0</v>
      </c>
      <c r="L390" s="12">
        <v>623.15</v>
      </c>
      <c r="M390" s="12">
        <v>300.032917</v>
      </c>
      <c r="N390" s="12">
        <v>3000</v>
      </c>
      <c r="O390" s="12">
        <v>400</v>
      </c>
      <c r="P390" s="12">
        <v>0.5</v>
      </c>
      <c r="Q390" s="12">
        <v>0.4</v>
      </c>
      <c r="R390" s="12">
        <v>0.75</v>
      </c>
      <c r="S390" s="12">
        <v>0.85</v>
      </c>
      <c r="T390" s="12">
        <v>0.75</v>
      </c>
      <c r="U390" s="12">
        <v>0.8</v>
      </c>
      <c r="V390" s="12"/>
      <c r="W390" s="12"/>
      <c r="X390" s="12"/>
      <c r="Y390" s="12">
        <v>2600</v>
      </c>
      <c r="Z390" s="12">
        <v>7.5</v>
      </c>
      <c r="AA390" s="12"/>
      <c r="AB390" s="12"/>
    </row>
    <row r="391" spans="1:28" x14ac:dyDescent="0.3">
      <c r="A391" s="12" t="s">
        <v>2283</v>
      </c>
      <c r="B391" s="12" t="s">
        <v>112</v>
      </c>
      <c r="C391" s="12" t="s">
        <v>384</v>
      </c>
      <c r="D391" s="12" t="s">
        <v>2248</v>
      </c>
      <c r="E391" s="12" t="s">
        <v>1886</v>
      </c>
      <c r="F391" s="12" t="s">
        <v>832</v>
      </c>
      <c r="G391" s="12" t="s">
        <v>832</v>
      </c>
      <c r="H391" s="12" t="b">
        <v>0</v>
      </c>
      <c r="I391" s="12" t="b">
        <v>0</v>
      </c>
      <c r="J391" s="12" t="b">
        <v>0</v>
      </c>
      <c r="K391" s="12" t="b">
        <v>0</v>
      </c>
      <c r="L391" s="12">
        <v>623.15</v>
      </c>
      <c r="M391" s="12">
        <v>300.032917</v>
      </c>
      <c r="N391" s="12">
        <v>3000</v>
      </c>
      <c r="O391" s="12">
        <v>400</v>
      </c>
      <c r="P391" s="12">
        <v>0.5</v>
      </c>
      <c r="Q391" s="12">
        <v>0.45</v>
      </c>
      <c r="R391" s="12">
        <v>0.75</v>
      </c>
      <c r="S391" s="12">
        <v>0.85</v>
      </c>
      <c r="T391" s="12">
        <v>0.75</v>
      </c>
      <c r="U391" s="12">
        <v>0.8</v>
      </c>
      <c r="V391" s="12"/>
      <c r="W391" s="12"/>
      <c r="X391" s="12"/>
      <c r="Y391" s="12">
        <v>2600</v>
      </c>
      <c r="Z391" s="12">
        <v>7.5</v>
      </c>
      <c r="AA391" s="12"/>
      <c r="AB391" s="12"/>
    </row>
    <row r="392" spans="1:28" x14ac:dyDescent="0.3">
      <c r="A392" s="12" t="s">
        <v>2284</v>
      </c>
      <c r="B392" s="12" t="s">
        <v>112</v>
      </c>
      <c r="C392" s="12" t="s">
        <v>384</v>
      </c>
      <c r="D392" s="12" t="s">
        <v>2248</v>
      </c>
      <c r="E392" s="12" t="s">
        <v>1886</v>
      </c>
      <c r="F392" s="12" t="s">
        <v>832</v>
      </c>
      <c r="G392" s="12" t="s">
        <v>832</v>
      </c>
      <c r="H392" s="12" t="b">
        <v>0</v>
      </c>
      <c r="I392" s="12" t="b">
        <v>0</v>
      </c>
      <c r="J392" s="12" t="b">
        <v>0</v>
      </c>
      <c r="K392" s="12" t="b">
        <v>0</v>
      </c>
      <c r="L392" s="12">
        <v>623.15</v>
      </c>
      <c r="M392" s="12">
        <v>300.032917</v>
      </c>
      <c r="N392" s="12">
        <v>3000</v>
      </c>
      <c r="O392" s="12">
        <v>400</v>
      </c>
      <c r="P392" s="12">
        <v>0.5</v>
      </c>
      <c r="Q392" s="12">
        <v>0.5</v>
      </c>
      <c r="R392" s="12">
        <v>0.75</v>
      </c>
      <c r="S392" s="12">
        <v>0.85</v>
      </c>
      <c r="T392" s="12">
        <v>0.75</v>
      </c>
      <c r="U392" s="12">
        <v>0.8</v>
      </c>
      <c r="V392" s="12"/>
      <c r="W392" s="12"/>
      <c r="X392" s="12"/>
      <c r="Y392" s="12">
        <v>2600</v>
      </c>
      <c r="Z392" s="12">
        <v>7.5</v>
      </c>
      <c r="AA392" s="12"/>
      <c r="AB392" s="12"/>
    </row>
    <row r="393" spans="1:28" x14ac:dyDescent="0.3">
      <c r="A393" s="12" t="s">
        <v>2285</v>
      </c>
      <c r="B393" s="12" t="s">
        <v>112</v>
      </c>
      <c r="C393" s="12" t="s">
        <v>384</v>
      </c>
      <c r="D393" s="12" t="s">
        <v>2248</v>
      </c>
      <c r="E393" s="12" t="s">
        <v>1886</v>
      </c>
      <c r="F393" s="12" t="s">
        <v>1863</v>
      </c>
      <c r="G393" s="12" t="s">
        <v>832</v>
      </c>
      <c r="H393" s="12" t="b">
        <v>0</v>
      </c>
      <c r="I393" s="12" t="b">
        <v>0</v>
      </c>
      <c r="J393" s="12" t="b">
        <v>1</v>
      </c>
      <c r="K393" s="12" t="b">
        <v>0</v>
      </c>
      <c r="L393" s="12">
        <v>623.15</v>
      </c>
      <c r="M393" s="12">
        <v>300.032917</v>
      </c>
      <c r="N393" s="12">
        <v>3000</v>
      </c>
      <c r="O393" s="12">
        <v>400</v>
      </c>
      <c r="P393" s="12">
        <v>0.5</v>
      </c>
      <c r="Q393" s="12">
        <v>0.85</v>
      </c>
      <c r="R393" s="12">
        <v>0.75</v>
      </c>
      <c r="S393" s="12">
        <v>0.85</v>
      </c>
      <c r="T393" s="12">
        <v>0.75</v>
      </c>
      <c r="U393" s="12">
        <v>0.95</v>
      </c>
      <c r="V393" s="12"/>
      <c r="W393" s="12">
        <v>14.215385911165489</v>
      </c>
      <c r="X393" s="12">
        <v>321.9634812736881</v>
      </c>
      <c r="Y393" s="12">
        <v>2600</v>
      </c>
      <c r="Z393" s="12">
        <v>7.5</v>
      </c>
      <c r="AA393" s="12" t="s">
        <v>1934</v>
      </c>
      <c r="AB393" s="12"/>
    </row>
    <row r="394" spans="1:28" x14ac:dyDescent="0.3">
      <c r="A394" s="12" t="s">
        <v>2286</v>
      </c>
      <c r="B394" s="12" t="s">
        <v>112</v>
      </c>
      <c r="C394" s="12" t="s">
        <v>384</v>
      </c>
      <c r="D394" s="12" t="s">
        <v>2248</v>
      </c>
      <c r="E394" s="12" t="s">
        <v>1886</v>
      </c>
      <c r="F394" s="12" t="s">
        <v>1863</v>
      </c>
      <c r="G394" s="12" t="s">
        <v>832</v>
      </c>
      <c r="H394" s="12" t="b">
        <v>0</v>
      </c>
      <c r="I394" s="12" t="b">
        <v>0</v>
      </c>
      <c r="J394" s="12" t="b">
        <v>1</v>
      </c>
      <c r="K394" s="12" t="b">
        <v>0</v>
      </c>
      <c r="L394" s="12">
        <v>623.15</v>
      </c>
      <c r="M394" s="12">
        <v>300.032917</v>
      </c>
      <c r="N394" s="12">
        <v>3000</v>
      </c>
      <c r="O394" s="12">
        <v>400</v>
      </c>
      <c r="P394" s="12">
        <v>0.5</v>
      </c>
      <c r="Q394" s="12">
        <v>0.85</v>
      </c>
      <c r="R394" s="12">
        <v>0.75</v>
      </c>
      <c r="S394" s="12">
        <v>0.85</v>
      </c>
      <c r="T394" s="12">
        <v>0.75</v>
      </c>
      <c r="U394" s="12">
        <v>0.89999999999999991</v>
      </c>
      <c r="V394" s="12"/>
      <c r="W394" s="12">
        <v>16.6163392817652</v>
      </c>
      <c r="X394" s="12">
        <v>362.80015507278142</v>
      </c>
      <c r="Y394" s="12">
        <v>2600</v>
      </c>
      <c r="Z394" s="12">
        <v>7.5</v>
      </c>
      <c r="AA394" s="12" t="s">
        <v>1934</v>
      </c>
      <c r="AB394" s="12"/>
    </row>
    <row r="395" spans="1:28" x14ac:dyDescent="0.3">
      <c r="A395" s="12" t="s">
        <v>2287</v>
      </c>
      <c r="B395" s="12" t="s">
        <v>112</v>
      </c>
      <c r="C395" s="12" t="s">
        <v>384</v>
      </c>
      <c r="D395" s="12" t="s">
        <v>2248</v>
      </c>
      <c r="E395" s="12" t="s">
        <v>1886</v>
      </c>
      <c r="F395" s="12" t="s">
        <v>832</v>
      </c>
      <c r="G395" s="12" t="s">
        <v>832</v>
      </c>
      <c r="H395" s="12" t="b">
        <v>0</v>
      </c>
      <c r="I395" s="12" t="b">
        <v>0</v>
      </c>
      <c r="J395" s="12" t="b">
        <v>0</v>
      </c>
      <c r="K395" s="12" t="b">
        <v>0</v>
      </c>
      <c r="L395" s="12">
        <v>623.15</v>
      </c>
      <c r="M395" s="12">
        <v>300.032917</v>
      </c>
      <c r="N395" s="12">
        <v>3000</v>
      </c>
      <c r="O395" s="12">
        <v>400</v>
      </c>
      <c r="P395" s="12">
        <v>0.5</v>
      </c>
      <c r="Q395" s="12">
        <v>0.55000000000000004</v>
      </c>
      <c r="R395" s="12">
        <v>0.75</v>
      </c>
      <c r="S395" s="12">
        <v>0.85</v>
      </c>
      <c r="T395" s="12">
        <v>0.75</v>
      </c>
      <c r="U395" s="12">
        <v>0.8</v>
      </c>
      <c r="V395" s="12"/>
      <c r="W395" s="12"/>
      <c r="X395" s="12"/>
      <c r="Y395" s="12">
        <v>2600</v>
      </c>
      <c r="Z395" s="12">
        <v>7.5</v>
      </c>
      <c r="AA395" s="12"/>
      <c r="AB395" s="12"/>
    </row>
    <row r="396" spans="1:28" x14ac:dyDescent="0.3">
      <c r="A396" s="12" t="s">
        <v>2288</v>
      </c>
      <c r="B396" s="12" t="s">
        <v>112</v>
      </c>
      <c r="C396" s="12" t="s">
        <v>384</v>
      </c>
      <c r="D396" s="12" t="s">
        <v>2248</v>
      </c>
      <c r="E396" s="12" t="s">
        <v>1886</v>
      </c>
      <c r="F396" s="12" t="s">
        <v>832</v>
      </c>
      <c r="G396" s="12" t="s">
        <v>832</v>
      </c>
      <c r="H396" s="12" t="b">
        <v>0</v>
      </c>
      <c r="I396" s="12" t="b">
        <v>0</v>
      </c>
      <c r="J396" s="12" t="b">
        <v>0</v>
      </c>
      <c r="K396" s="12" t="b">
        <v>0</v>
      </c>
      <c r="L396" s="12">
        <v>623.15</v>
      </c>
      <c r="M396" s="12">
        <v>300.032917</v>
      </c>
      <c r="N396" s="12">
        <v>3000</v>
      </c>
      <c r="O396" s="12">
        <v>400</v>
      </c>
      <c r="P396" s="12">
        <v>0.5</v>
      </c>
      <c r="Q396" s="12">
        <v>0.6</v>
      </c>
      <c r="R396" s="12">
        <v>0.75</v>
      </c>
      <c r="S396" s="12">
        <v>0.85</v>
      </c>
      <c r="T396" s="12">
        <v>0.75</v>
      </c>
      <c r="U396" s="12">
        <v>0.8</v>
      </c>
      <c r="V396" s="12"/>
      <c r="W396" s="12"/>
      <c r="X396" s="12"/>
      <c r="Y396" s="12">
        <v>2600</v>
      </c>
      <c r="Z396" s="12">
        <v>7.5</v>
      </c>
      <c r="AA396" s="12"/>
      <c r="AB396" s="12"/>
    </row>
    <row r="397" spans="1:28" x14ac:dyDescent="0.3">
      <c r="A397" s="12" t="s">
        <v>2289</v>
      </c>
      <c r="B397" s="12" t="s">
        <v>112</v>
      </c>
      <c r="C397" s="12" t="s">
        <v>384</v>
      </c>
      <c r="D397" s="12" t="s">
        <v>2248</v>
      </c>
      <c r="E397" s="12" t="s">
        <v>1886</v>
      </c>
      <c r="F397" s="12" t="s">
        <v>832</v>
      </c>
      <c r="G397" s="12" t="s">
        <v>832</v>
      </c>
      <c r="H397" s="12" t="b">
        <v>0</v>
      </c>
      <c r="I397" s="12" t="b">
        <v>0</v>
      </c>
      <c r="J397" s="12" t="b">
        <v>0</v>
      </c>
      <c r="K397" s="12" t="b">
        <v>0</v>
      </c>
      <c r="L397" s="12">
        <v>623.15</v>
      </c>
      <c r="M397" s="12">
        <v>300.032917</v>
      </c>
      <c r="N397" s="12">
        <v>3000</v>
      </c>
      <c r="O397" s="12">
        <v>400</v>
      </c>
      <c r="P397" s="12">
        <v>0.5</v>
      </c>
      <c r="Q397" s="12">
        <v>0.65</v>
      </c>
      <c r="R397" s="12">
        <v>0.75</v>
      </c>
      <c r="S397" s="12">
        <v>0.85</v>
      </c>
      <c r="T397" s="12">
        <v>0.75</v>
      </c>
      <c r="U397" s="12">
        <v>0.8</v>
      </c>
      <c r="V397" s="12"/>
      <c r="W397" s="12"/>
      <c r="X397" s="12"/>
      <c r="Y397" s="12">
        <v>2600</v>
      </c>
      <c r="Z397" s="12">
        <v>7.5</v>
      </c>
      <c r="AA397" s="12"/>
      <c r="AB397" s="12"/>
    </row>
    <row r="398" spans="1:28" x14ac:dyDescent="0.3">
      <c r="A398" s="12" t="s">
        <v>2290</v>
      </c>
      <c r="B398" s="12" t="s">
        <v>112</v>
      </c>
      <c r="C398" s="12" t="s">
        <v>384</v>
      </c>
      <c r="D398" s="12" t="s">
        <v>2248</v>
      </c>
      <c r="E398" s="12" t="s">
        <v>1886</v>
      </c>
      <c r="F398" s="12" t="s">
        <v>832</v>
      </c>
      <c r="G398" s="12" t="s">
        <v>832</v>
      </c>
      <c r="H398" s="12" t="b">
        <v>0</v>
      </c>
      <c r="I398" s="12" t="b">
        <v>0</v>
      </c>
      <c r="J398" s="12" t="b">
        <v>0</v>
      </c>
      <c r="K398" s="12" t="b">
        <v>0</v>
      </c>
      <c r="L398" s="12">
        <v>623.15</v>
      </c>
      <c r="M398" s="12">
        <v>300.032917</v>
      </c>
      <c r="N398" s="12">
        <v>3000</v>
      </c>
      <c r="O398" s="12">
        <v>400</v>
      </c>
      <c r="P398" s="12">
        <v>0.5</v>
      </c>
      <c r="Q398" s="12">
        <v>0.7</v>
      </c>
      <c r="R398" s="12">
        <v>0.75</v>
      </c>
      <c r="S398" s="12">
        <v>0.85</v>
      </c>
      <c r="T398" s="12">
        <v>0.75</v>
      </c>
      <c r="U398" s="12">
        <v>0.8</v>
      </c>
      <c r="V398" s="12"/>
      <c r="W398" s="12"/>
      <c r="X398" s="12"/>
      <c r="Y398" s="12">
        <v>2600</v>
      </c>
      <c r="Z398" s="12">
        <v>7.5</v>
      </c>
      <c r="AA398" s="12"/>
      <c r="AB398" s="12"/>
    </row>
    <row r="399" spans="1:28" x14ac:dyDescent="0.3">
      <c r="A399" s="12" t="s">
        <v>2291</v>
      </c>
      <c r="B399" s="12" t="s">
        <v>112</v>
      </c>
      <c r="C399" s="12" t="s">
        <v>384</v>
      </c>
      <c r="D399" s="12" t="s">
        <v>2248</v>
      </c>
      <c r="E399" s="12" t="s">
        <v>1886</v>
      </c>
      <c r="F399" s="12" t="s">
        <v>832</v>
      </c>
      <c r="G399" s="12" t="s">
        <v>832</v>
      </c>
      <c r="H399" s="12" t="b">
        <v>0</v>
      </c>
      <c r="I399" s="12" t="b">
        <v>0</v>
      </c>
      <c r="J399" s="12" t="b">
        <v>0</v>
      </c>
      <c r="K399" s="12" t="b">
        <v>0</v>
      </c>
      <c r="L399" s="12">
        <v>623.15</v>
      </c>
      <c r="M399" s="12">
        <v>300.032917</v>
      </c>
      <c r="N399" s="12">
        <v>3000</v>
      </c>
      <c r="O399" s="12">
        <v>400</v>
      </c>
      <c r="P399" s="12">
        <v>0.5</v>
      </c>
      <c r="Q399" s="12">
        <v>0.75</v>
      </c>
      <c r="R399" s="12">
        <v>0.75</v>
      </c>
      <c r="S399" s="12">
        <v>0.85</v>
      </c>
      <c r="T399" s="12">
        <v>0.75</v>
      </c>
      <c r="U399" s="12">
        <v>0.8</v>
      </c>
      <c r="V399" s="12"/>
      <c r="W399" s="12"/>
      <c r="X399" s="12"/>
      <c r="Y399" s="12">
        <v>2600</v>
      </c>
      <c r="Z399" s="12">
        <v>7.5</v>
      </c>
      <c r="AA399" s="12"/>
      <c r="AB399" s="12"/>
    </row>
    <row r="400" spans="1:28" x14ac:dyDescent="0.3">
      <c r="A400" s="12" t="s">
        <v>2292</v>
      </c>
      <c r="B400" s="12" t="s">
        <v>112</v>
      </c>
      <c r="C400" s="12" t="s">
        <v>384</v>
      </c>
      <c r="D400" s="12" t="s">
        <v>2248</v>
      </c>
      <c r="E400" s="12" t="s">
        <v>1886</v>
      </c>
      <c r="F400" s="12" t="s">
        <v>832</v>
      </c>
      <c r="G400" s="12" t="s">
        <v>832</v>
      </c>
      <c r="H400" s="12" t="b">
        <v>0</v>
      </c>
      <c r="I400" s="12" t="b">
        <v>0</v>
      </c>
      <c r="J400" s="12" t="b">
        <v>0</v>
      </c>
      <c r="K400" s="12" t="b">
        <v>0</v>
      </c>
      <c r="L400" s="12">
        <v>623.15</v>
      </c>
      <c r="M400" s="12">
        <v>300.032917</v>
      </c>
      <c r="N400" s="12">
        <v>3000</v>
      </c>
      <c r="O400" s="12">
        <v>400</v>
      </c>
      <c r="P400" s="12">
        <v>0.5</v>
      </c>
      <c r="Q400" s="12">
        <v>0.8</v>
      </c>
      <c r="R400" s="12">
        <v>0.75</v>
      </c>
      <c r="S400" s="12">
        <v>0.85</v>
      </c>
      <c r="T400" s="12">
        <v>0.75</v>
      </c>
      <c r="U400" s="12">
        <v>0.8</v>
      </c>
      <c r="V400" s="12"/>
      <c r="W400" s="12"/>
      <c r="X400" s="12"/>
      <c r="Y400" s="12">
        <v>2600</v>
      </c>
      <c r="Z400" s="12">
        <v>7.5</v>
      </c>
      <c r="AA400" s="12"/>
      <c r="AB400" s="12"/>
    </row>
    <row r="401" spans="1:28" x14ac:dyDescent="0.3">
      <c r="A401" s="12" t="s">
        <v>2293</v>
      </c>
      <c r="B401" s="12" t="s">
        <v>112</v>
      </c>
      <c r="C401" s="12" t="s">
        <v>384</v>
      </c>
      <c r="D401" s="12" t="s">
        <v>2248</v>
      </c>
      <c r="E401" s="12" t="s">
        <v>1886</v>
      </c>
      <c r="F401" s="12" t="s">
        <v>832</v>
      </c>
      <c r="G401" s="12" t="s">
        <v>832</v>
      </c>
      <c r="H401" s="12" t="b">
        <v>0</v>
      </c>
      <c r="I401" s="12" t="b">
        <v>0</v>
      </c>
      <c r="J401" s="12" t="b">
        <v>0</v>
      </c>
      <c r="K401" s="12" t="b">
        <v>0</v>
      </c>
      <c r="L401" s="12">
        <v>623.15</v>
      </c>
      <c r="M401" s="12">
        <v>300.032917</v>
      </c>
      <c r="N401" s="12">
        <v>3000</v>
      </c>
      <c r="O401" s="12">
        <v>400</v>
      </c>
      <c r="P401" s="12">
        <v>0.5</v>
      </c>
      <c r="Q401" s="12">
        <v>0.85</v>
      </c>
      <c r="R401" s="12">
        <v>0.75</v>
      </c>
      <c r="S401" s="12">
        <v>0.85</v>
      </c>
      <c r="T401" s="12">
        <v>0.75</v>
      </c>
      <c r="U401" s="12">
        <v>0.8</v>
      </c>
      <c r="V401" s="12"/>
      <c r="W401" s="12"/>
      <c r="X401" s="12"/>
      <c r="Y401" s="12">
        <v>2600</v>
      </c>
      <c r="Z401" s="12">
        <v>7.5</v>
      </c>
      <c r="AA401" s="12"/>
      <c r="AB401" s="12"/>
    </row>
    <row r="402" spans="1:28" x14ac:dyDescent="0.3">
      <c r="A402" s="12" t="s">
        <v>2294</v>
      </c>
      <c r="B402" s="12" t="s">
        <v>112</v>
      </c>
      <c r="C402" s="12" t="s">
        <v>384</v>
      </c>
      <c r="D402" s="12" t="s">
        <v>2248</v>
      </c>
      <c r="E402" s="12" t="s">
        <v>1886</v>
      </c>
      <c r="F402" s="12" t="s">
        <v>832</v>
      </c>
      <c r="G402" s="12" t="s">
        <v>832</v>
      </c>
      <c r="H402" s="12" t="b">
        <v>0</v>
      </c>
      <c r="I402" s="12" t="b">
        <v>0</v>
      </c>
      <c r="J402" s="12" t="b">
        <v>0</v>
      </c>
      <c r="K402" s="12" t="b">
        <v>0</v>
      </c>
      <c r="L402" s="12">
        <v>623.15</v>
      </c>
      <c r="M402" s="12">
        <v>300.032917</v>
      </c>
      <c r="N402" s="12">
        <v>3000</v>
      </c>
      <c r="O402" s="12">
        <v>400</v>
      </c>
      <c r="P402" s="12">
        <v>0.5</v>
      </c>
      <c r="Q402" s="12">
        <v>0.89999999999999991</v>
      </c>
      <c r="R402" s="12">
        <v>0.75</v>
      </c>
      <c r="S402" s="12">
        <v>0.85</v>
      </c>
      <c r="T402" s="12">
        <v>0.75</v>
      </c>
      <c r="U402" s="12">
        <v>0.8</v>
      </c>
      <c r="V402" s="12"/>
      <c r="W402" s="12"/>
      <c r="X402" s="12"/>
      <c r="Y402" s="12">
        <v>2600</v>
      </c>
      <c r="Z402" s="12">
        <v>7.5</v>
      </c>
      <c r="AA402" s="12"/>
      <c r="AB402" s="12"/>
    </row>
    <row r="403" spans="1:28" x14ac:dyDescent="0.3">
      <c r="A403" s="12" t="s">
        <v>2295</v>
      </c>
      <c r="B403" s="12" t="s">
        <v>112</v>
      </c>
      <c r="C403" s="12" t="s">
        <v>384</v>
      </c>
      <c r="D403" s="12" t="s">
        <v>2248</v>
      </c>
      <c r="E403" s="12" t="s">
        <v>1886</v>
      </c>
      <c r="F403" s="12" t="s">
        <v>832</v>
      </c>
      <c r="G403" s="12" t="s">
        <v>832</v>
      </c>
      <c r="H403" s="12" t="b">
        <v>0</v>
      </c>
      <c r="I403" s="12" t="b">
        <v>0</v>
      </c>
      <c r="J403" s="12" t="b">
        <v>0</v>
      </c>
      <c r="K403" s="12" t="b">
        <v>0</v>
      </c>
      <c r="L403" s="12">
        <v>623.15</v>
      </c>
      <c r="M403" s="12">
        <v>300.032917</v>
      </c>
      <c r="N403" s="12">
        <v>3000</v>
      </c>
      <c r="O403" s="12">
        <v>400</v>
      </c>
      <c r="P403" s="12">
        <v>0.5</v>
      </c>
      <c r="Q403" s="12">
        <v>0.95</v>
      </c>
      <c r="R403" s="12">
        <v>0.75</v>
      </c>
      <c r="S403" s="12">
        <v>0.85</v>
      </c>
      <c r="T403" s="12">
        <v>0.75</v>
      </c>
      <c r="U403" s="12">
        <v>0.8</v>
      </c>
      <c r="V403" s="12"/>
      <c r="W403" s="12"/>
      <c r="X403" s="12"/>
      <c r="Y403" s="12">
        <v>2600</v>
      </c>
      <c r="Z403" s="12">
        <v>7.5</v>
      </c>
      <c r="AA403" s="12"/>
      <c r="AB403" s="12"/>
    </row>
    <row r="404" spans="1:28" x14ac:dyDescent="0.3">
      <c r="A404" s="12" t="s">
        <v>2296</v>
      </c>
      <c r="B404" s="12" t="s">
        <v>112</v>
      </c>
      <c r="C404" s="12" t="s">
        <v>384</v>
      </c>
      <c r="D404" s="12" t="s">
        <v>2248</v>
      </c>
      <c r="E404" s="12" t="s">
        <v>1886</v>
      </c>
      <c r="F404" s="12" t="s">
        <v>832</v>
      </c>
      <c r="G404" s="12" t="s">
        <v>832</v>
      </c>
      <c r="H404" s="12" t="b">
        <v>0</v>
      </c>
      <c r="I404" s="12" t="b">
        <v>0</v>
      </c>
      <c r="J404" s="12" t="b">
        <v>0</v>
      </c>
      <c r="K404" s="12" t="b">
        <v>0</v>
      </c>
      <c r="L404" s="12">
        <v>623.15</v>
      </c>
      <c r="M404" s="12">
        <v>300.032917</v>
      </c>
      <c r="N404" s="12">
        <v>3000</v>
      </c>
      <c r="O404" s="12">
        <v>400</v>
      </c>
      <c r="P404" s="12">
        <v>0.5</v>
      </c>
      <c r="Q404" s="12">
        <v>0.85</v>
      </c>
      <c r="R404" s="12">
        <v>0.4</v>
      </c>
      <c r="S404" s="12">
        <v>0.85</v>
      </c>
      <c r="T404" s="12">
        <v>0.75</v>
      </c>
      <c r="U404" s="12">
        <v>0.8</v>
      </c>
      <c r="V404" s="12"/>
      <c r="W404" s="12"/>
      <c r="X404" s="12"/>
      <c r="Y404" s="12">
        <v>2600</v>
      </c>
      <c r="Z404" s="12">
        <v>7.5</v>
      </c>
      <c r="AA404" s="12"/>
      <c r="AB404" s="12"/>
    </row>
    <row r="405" spans="1:28" x14ac:dyDescent="0.3">
      <c r="A405" s="12" t="s">
        <v>2297</v>
      </c>
      <c r="B405" s="12" t="s">
        <v>112</v>
      </c>
      <c r="C405" s="12" t="s">
        <v>384</v>
      </c>
      <c r="D405" s="12" t="s">
        <v>2248</v>
      </c>
      <c r="E405" s="12" t="s">
        <v>1886</v>
      </c>
      <c r="F405" s="12" t="s">
        <v>832</v>
      </c>
      <c r="G405" s="12" t="s">
        <v>832</v>
      </c>
      <c r="H405" s="12" t="b">
        <v>0</v>
      </c>
      <c r="I405" s="12" t="b">
        <v>0</v>
      </c>
      <c r="J405" s="12" t="b">
        <v>0</v>
      </c>
      <c r="K405" s="12" t="b">
        <v>0</v>
      </c>
      <c r="L405" s="12">
        <v>623.15</v>
      </c>
      <c r="M405" s="12">
        <v>300.032917</v>
      </c>
      <c r="N405" s="12">
        <v>3000</v>
      </c>
      <c r="O405" s="12">
        <v>400</v>
      </c>
      <c r="P405" s="12">
        <v>0.5</v>
      </c>
      <c r="Q405" s="12">
        <v>0.85</v>
      </c>
      <c r="R405" s="12">
        <v>0.45</v>
      </c>
      <c r="S405" s="12">
        <v>0.85</v>
      </c>
      <c r="T405" s="12">
        <v>0.75</v>
      </c>
      <c r="U405" s="12">
        <v>0.8</v>
      </c>
      <c r="V405" s="12"/>
      <c r="W405" s="12"/>
      <c r="X405" s="12"/>
      <c r="Y405" s="12">
        <v>2600</v>
      </c>
      <c r="Z405" s="12">
        <v>7.5</v>
      </c>
      <c r="AA405" s="12"/>
      <c r="AB405" s="12"/>
    </row>
    <row r="406" spans="1:28" x14ac:dyDescent="0.3">
      <c r="A406" s="12" t="s">
        <v>2298</v>
      </c>
      <c r="B406" s="12" t="s">
        <v>112</v>
      </c>
      <c r="C406" s="12" t="s">
        <v>384</v>
      </c>
      <c r="D406" s="12" t="s">
        <v>2248</v>
      </c>
      <c r="E406" s="12" t="s">
        <v>1886</v>
      </c>
      <c r="F406" s="12" t="s">
        <v>832</v>
      </c>
      <c r="G406" s="12" t="s">
        <v>832</v>
      </c>
      <c r="H406" s="12" t="b">
        <v>0</v>
      </c>
      <c r="I406" s="12" t="b">
        <v>0</v>
      </c>
      <c r="J406" s="12" t="b">
        <v>0</v>
      </c>
      <c r="K406" s="12" t="b">
        <v>0</v>
      </c>
      <c r="L406" s="12">
        <v>623.15</v>
      </c>
      <c r="M406" s="12">
        <v>300.032917</v>
      </c>
      <c r="N406" s="12">
        <v>3000</v>
      </c>
      <c r="O406" s="12">
        <v>400</v>
      </c>
      <c r="P406" s="12">
        <v>0.5</v>
      </c>
      <c r="Q406" s="12">
        <v>0.85</v>
      </c>
      <c r="R406" s="12">
        <v>0.5</v>
      </c>
      <c r="S406" s="12">
        <v>0.85</v>
      </c>
      <c r="T406" s="12">
        <v>0.75</v>
      </c>
      <c r="U406" s="12">
        <v>0.8</v>
      </c>
      <c r="V406" s="12"/>
      <c r="W406" s="12"/>
      <c r="X406" s="12"/>
      <c r="Y406" s="12">
        <v>2600</v>
      </c>
      <c r="Z406" s="12">
        <v>7.5</v>
      </c>
      <c r="AA406" s="12"/>
      <c r="AB406" s="12"/>
    </row>
    <row r="407" spans="1:28" x14ac:dyDescent="0.3">
      <c r="A407" s="12" t="s">
        <v>2299</v>
      </c>
      <c r="B407" s="12" t="s">
        <v>112</v>
      </c>
      <c r="C407" s="12" t="s">
        <v>384</v>
      </c>
      <c r="D407" s="12" t="s">
        <v>2248</v>
      </c>
      <c r="E407" s="12" t="s">
        <v>1886</v>
      </c>
      <c r="F407" s="12" t="s">
        <v>832</v>
      </c>
      <c r="G407" s="12" t="s">
        <v>832</v>
      </c>
      <c r="H407" s="12" t="b">
        <v>0</v>
      </c>
      <c r="I407" s="12" t="b">
        <v>0</v>
      </c>
      <c r="J407" s="12" t="b">
        <v>0</v>
      </c>
      <c r="K407" s="12" t="b">
        <v>0</v>
      </c>
      <c r="L407" s="12">
        <v>623.15</v>
      </c>
      <c r="M407" s="12">
        <v>300.032917</v>
      </c>
      <c r="N407" s="12">
        <v>3000</v>
      </c>
      <c r="O407" s="12">
        <v>400</v>
      </c>
      <c r="P407" s="12">
        <v>0.5</v>
      </c>
      <c r="Q407" s="12">
        <v>0.85</v>
      </c>
      <c r="R407" s="12">
        <v>0.55000000000000004</v>
      </c>
      <c r="S407" s="12">
        <v>0.85</v>
      </c>
      <c r="T407" s="12">
        <v>0.75</v>
      </c>
      <c r="U407" s="12">
        <v>0.8</v>
      </c>
      <c r="V407" s="12"/>
      <c r="W407" s="12"/>
      <c r="X407" s="12"/>
      <c r="Y407" s="12">
        <v>2600</v>
      </c>
      <c r="Z407" s="12">
        <v>7.5</v>
      </c>
      <c r="AA407" s="12"/>
      <c r="AB407" s="12"/>
    </row>
    <row r="408" spans="1:28" x14ac:dyDescent="0.3">
      <c r="A408" s="12" t="s">
        <v>2300</v>
      </c>
      <c r="B408" s="12" t="s">
        <v>112</v>
      </c>
      <c r="C408" s="12" t="s">
        <v>384</v>
      </c>
      <c r="D408" s="12" t="s">
        <v>2248</v>
      </c>
      <c r="E408" s="12" t="s">
        <v>1886</v>
      </c>
      <c r="F408" s="12" t="s">
        <v>832</v>
      </c>
      <c r="G408" s="12" t="s">
        <v>832</v>
      </c>
      <c r="H408" s="12" t="b">
        <v>0</v>
      </c>
      <c r="I408" s="12" t="b">
        <v>0</v>
      </c>
      <c r="J408" s="12" t="b">
        <v>0</v>
      </c>
      <c r="K408" s="12" t="b">
        <v>0</v>
      </c>
      <c r="L408" s="12">
        <v>623.15</v>
      </c>
      <c r="M408" s="12">
        <v>300.032917</v>
      </c>
      <c r="N408" s="12">
        <v>3000</v>
      </c>
      <c r="O408" s="12">
        <v>400</v>
      </c>
      <c r="P408" s="12">
        <v>0.5</v>
      </c>
      <c r="Q408" s="12">
        <v>0.85</v>
      </c>
      <c r="R408" s="12">
        <v>0.6</v>
      </c>
      <c r="S408" s="12">
        <v>0.85</v>
      </c>
      <c r="T408" s="12">
        <v>0.75</v>
      </c>
      <c r="U408" s="12">
        <v>0.8</v>
      </c>
      <c r="V408" s="12"/>
      <c r="W408" s="12"/>
      <c r="X408" s="12"/>
      <c r="Y408" s="12">
        <v>2600</v>
      </c>
      <c r="Z408" s="12">
        <v>7.5</v>
      </c>
      <c r="AA408" s="12"/>
      <c r="AB408" s="12"/>
    </row>
    <row r="409" spans="1:28" x14ac:dyDescent="0.3">
      <c r="A409" s="12" t="s">
        <v>2301</v>
      </c>
      <c r="B409" s="12" t="s">
        <v>112</v>
      </c>
      <c r="C409" s="12" t="s">
        <v>384</v>
      </c>
      <c r="D409" s="12" t="s">
        <v>2248</v>
      </c>
      <c r="E409" s="12" t="s">
        <v>1886</v>
      </c>
      <c r="F409" s="12" t="s">
        <v>832</v>
      </c>
      <c r="G409" s="12" t="s">
        <v>832</v>
      </c>
      <c r="H409" s="12" t="b">
        <v>0</v>
      </c>
      <c r="I409" s="12" t="b">
        <v>0</v>
      </c>
      <c r="J409" s="12" t="b">
        <v>0</v>
      </c>
      <c r="K409" s="12" t="b">
        <v>0</v>
      </c>
      <c r="L409" s="12">
        <v>623.15</v>
      </c>
      <c r="M409" s="12">
        <v>300.032917</v>
      </c>
      <c r="N409" s="12">
        <v>3000</v>
      </c>
      <c r="O409" s="12">
        <v>400</v>
      </c>
      <c r="P409" s="12">
        <v>0.5</v>
      </c>
      <c r="Q409" s="12">
        <v>0.85</v>
      </c>
      <c r="R409" s="12">
        <v>0.65</v>
      </c>
      <c r="S409" s="12">
        <v>0.85</v>
      </c>
      <c r="T409" s="12">
        <v>0.75</v>
      </c>
      <c r="U409" s="12">
        <v>0.8</v>
      </c>
      <c r="V409" s="12"/>
      <c r="W409" s="12"/>
      <c r="X409" s="12"/>
      <c r="Y409" s="12">
        <v>2600</v>
      </c>
      <c r="Z409" s="12">
        <v>7.5</v>
      </c>
      <c r="AA409" s="12"/>
      <c r="AB409" s="12"/>
    </row>
    <row r="410" spans="1:28" x14ac:dyDescent="0.3">
      <c r="A410" s="12" t="s">
        <v>2302</v>
      </c>
      <c r="B410" s="12" t="s">
        <v>112</v>
      </c>
      <c r="C410" s="12" t="s">
        <v>384</v>
      </c>
      <c r="D410" s="12" t="s">
        <v>2248</v>
      </c>
      <c r="E410" s="12" t="s">
        <v>1886</v>
      </c>
      <c r="F410" s="12" t="s">
        <v>832</v>
      </c>
      <c r="G410" s="12" t="s">
        <v>832</v>
      </c>
      <c r="H410" s="12" t="b">
        <v>0</v>
      </c>
      <c r="I410" s="12" t="b">
        <v>0</v>
      </c>
      <c r="J410" s="12" t="b">
        <v>0</v>
      </c>
      <c r="K410" s="12" t="b">
        <v>0</v>
      </c>
      <c r="L410" s="12">
        <v>623.15</v>
      </c>
      <c r="M410" s="12">
        <v>300.032917</v>
      </c>
      <c r="N410" s="12">
        <v>3000</v>
      </c>
      <c r="O410" s="12">
        <v>400</v>
      </c>
      <c r="P410" s="12">
        <v>0.5</v>
      </c>
      <c r="Q410" s="12">
        <v>0.85</v>
      </c>
      <c r="R410" s="12">
        <v>0.7</v>
      </c>
      <c r="S410" s="12">
        <v>0.85</v>
      </c>
      <c r="T410" s="12">
        <v>0.75</v>
      </c>
      <c r="U410" s="12">
        <v>0.8</v>
      </c>
      <c r="V410" s="12"/>
      <c r="W410" s="12"/>
      <c r="X410" s="12"/>
      <c r="Y410" s="12">
        <v>2600</v>
      </c>
      <c r="Z410" s="12">
        <v>7.5</v>
      </c>
      <c r="AA410" s="12"/>
      <c r="AB410" s="12"/>
    </row>
    <row r="411" spans="1:28" x14ac:dyDescent="0.3">
      <c r="A411" s="12" t="s">
        <v>2303</v>
      </c>
      <c r="B411" s="12" t="s">
        <v>112</v>
      </c>
      <c r="C411" s="12" t="s">
        <v>384</v>
      </c>
      <c r="D411" s="12" t="s">
        <v>2248</v>
      </c>
      <c r="E411" s="12" t="s">
        <v>1886</v>
      </c>
      <c r="F411" s="12" t="s">
        <v>832</v>
      </c>
      <c r="G411" s="12" t="s">
        <v>832</v>
      </c>
      <c r="H411" s="12" t="b">
        <v>0</v>
      </c>
      <c r="I411" s="12" t="b">
        <v>0</v>
      </c>
      <c r="J411" s="12" t="b">
        <v>0</v>
      </c>
      <c r="K411" s="12" t="b">
        <v>0</v>
      </c>
      <c r="L411" s="12">
        <v>623.15</v>
      </c>
      <c r="M411" s="12">
        <v>300.032917</v>
      </c>
      <c r="N411" s="12">
        <v>3000</v>
      </c>
      <c r="O411" s="12">
        <v>400</v>
      </c>
      <c r="P411" s="12">
        <v>0.5</v>
      </c>
      <c r="Q411" s="12">
        <v>0.85</v>
      </c>
      <c r="R411" s="12">
        <v>0.75</v>
      </c>
      <c r="S411" s="12">
        <v>0.85</v>
      </c>
      <c r="T411" s="12">
        <v>0.75</v>
      </c>
      <c r="U411" s="12">
        <v>0.8</v>
      </c>
      <c r="V411" s="12"/>
      <c r="W411" s="12"/>
      <c r="X411" s="12"/>
      <c r="Y411" s="12">
        <v>2600</v>
      </c>
      <c r="Z411" s="12">
        <v>7.5</v>
      </c>
      <c r="AA411" s="12"/>
      <c r="AB411" s="12"/>
    </row>
    <row r="412" spans="1:28" x14ac:dyDescent="0.3">
      <c r="A412" s="12" t="s">
        <v>2304</v>
      </c>
      <c r="B412" s="12" t="s">
        <v>112</v>
      </c>
      <c r="C412" s="12" t="s">
        <v>384</v>
      </c>
      <c r="D412" s="12" t="s">
        <v>2248</v>
      </c>
      <c r="E412" s="12" t="s">
        <v>1886</v>
      </c>
      <c r="F412" s="12" t="s">
        <v>832</v>
      </c>
      <c r="G412" s="12" t="s">
        <v>832</v>
      </c>
      <c r="H412" s="12" t="b">
        <v>0</v>
      </c>
      <c r="I412" s="12" t="b">
        <v>0</v>
      </c>
      <c r="J412" s="12" t="b">
        <v>0</v>
      </c>
      <c r="K412" s="12" t="b">
        <v>0</v>
      </c>
      <c r="L412" s="12">
        <v>623.15</v>
      </c>
      <c r="M412" s="12">
        <v>300.032917</v>
      </c>
      <c r="N412" s="12">
        <v>3000</v>
      </c>
      <c r="O412" s="12">
        <v>400</v>
      </c>
      <c r="P412" s="12">
        <v>0.5</v>
      </c>
      <c r="Q412" s="12">
        <v>0.85</v>
      </c>
      <c r="R412" s="12">
        <v>0.8</v>
      </c>
      <c r="S412" s="12">
        <v>0.85</v>
      </c>
      <c r="T412" s="12">
        <v>0.75</v>
      </c>
      <c r="U412" s="12">
        <v>0.8</v>
      </c>
      <c r="V412" s="12"/>
      <c r="W412" s="12"/>
      <c r="X412" s="12"/>
      <c r="Y412" s="12">
        <v>2600</v>
      </c>
      <c r="Z412" s="12">
        <v>7.5</v>
      </c>
      <c r="AA412" s="12"/>
      <c r="AB412" s="12"/>
    </row>
    <row r="413" spans="1:28" x14ac:dyDescent="0.3">
      <c r="A413" s="12" t="s">
        <v>2305</v>
      </c>
      <c r="B413" s="12" t="s">
        <v>112</v>
      </c>
      <c r="C413" s="12" t="s">
        <v>384</v>
      </c>
      <c r="D413" s="12" t="s">
        <v>2248</v>
      </c>
      <c r="E413" s="12" t="s">
        <v>1886</v>
      </c>
      <c r="F413" s="12" t="s">
        <v>832</v>
      </c>
      <c r="G413" s="12" t="s">
        <v>832</v>
      </c>
      <c r="H413" s="12" t="b">
        <v>0</v>
      </c>
      <c r="I413" s="12" t="b">
        <v>0</v>
      </c>
      <c r="J413" s="12" t="b">
        <v>0</v>
      </c>
      <c r="K413" s="12" t="b">
        <v>0</v>
      </c>
      <c r="L413" s="12">
        <v>623.15</v>
      </c>
      <c r="M413" s="12">
        <v>300.032917</v>
      </c>
      <c r="N413" s="12">
        <v>3000</v>
      </c>
      <c r="O413" s="12">
        <v>400</v>
      </c>
      <c r="P413" s="12">
        <v>0.5</v>
      </c>
      <c r="Q413" s="12">
        <v>0.85</v>
      </c>
      <c r="R413" s="12">
        <v>0.85</v>
      </c>
      <c r="S413" s="12">
        <v>0.85</v>
      </c>
      <c r="T413" s="12">
        <v>0.75</v>
      </c>
      <c r="U413" s="12">
        <v>0.8</v>
      </c>
      <c r="V413" s="12"/>
      <c r="W413" s="12"/>
      <c r="X413" s="12"/>
      <c r="Y413" s="12">
        <v>2600</v>
      </c>
      <c r="Z413" s="12">
        <v>7.5</v>
      </c>
      <c r="AA413" s="12"/>
      <c r="AB413" s="12"/>
    </row>
    <row r="414" spans="1:28" x14ac:dyDescent="0.3">
      <c r="A414" s="12" t="s">
        <v>2306</v>
      </c>
      <c r="B414" s="12" t="s">
        <v>112</v>
      </c>
      <c r="C414" s="12" t="s">
        <v>384</v>
      </c>
      <c r="D414" s="12" t="s">
        <v>2248</v>
      </c>
      <c r="E414" s="12" t="s">
        <v>1886</v>
      </c>
      <c r="F414" s="12" t="s">
        <v>832</v>
      </c>
      <c r="G414" s="12" t="s">
        <v>832</v>
      </c>
      <c r="H414" s="12" t="b">
        <v>0</v>
      </c>
      <c r="I414" s="12" t="b">
        <v>0</v>
      </c>
      <c r="J414" s="12" t="b">
        <v>0</v>
      </c>
      <c r="K414" s="12" t="b">
        <v>0</v>
      </c>
      <c r="L414" s="12">
        <v>623.15</v>
      </c>
      <c r="M414" s="12">
        <v>300.032917</v>
      </c>
      <c r="N414" s="12">
        <v>3000</v>
      </c>
      <c r="O414" s="12">
        <v>400</v>
      </c>
      <c r="P414" s="12">
        <v>0.5</v>
      </c>
      <c r="Q414" s="12">
        <v>0.85</v>
      </c>
      <c r="R414" s="12">
        <v>0.89999999999999991</v>
      </c>
      <c r="S414" s="12">
        <v>0.85</v>
      </c>
      <c r="T414" s="12">
        <v>0.75</v>
      </c>
      <c r="U414" s="12">
        <v>0.8</v>
      </c>
      <c r="V414" s="12"/>
      <c r="W414" s="12"/>
      <c r="X414" s="12"/>
      <c r="Y414" s="12">
        <v>2600</v>
      </c>
      <c r="Z414" s="12">
        <v>7.5</v>
      </c>
      <c r="AA414" s="12"/>
      <c r="AB414" s="12"/>
    </row>
    <row r="415" spans="1:28" x14ac:dyDescent="0.3">
      <c r="A415" s="12" t="s">
        <v>2307</v>
      </c>
      <c r="B415" s="12" t="s">
        <v>112</v>
      </c>
      <c r="C415" s="12" t="s">
        <v>384</v>
      </c>
      <c r="D415" s="12" t="s">
        <v>2248</v>
      </c>
      <c r="E415" s="12" t="s">
        <v>1886</v>
      </c>
      <c r="F415" s="12" t="s">
        <v>832</v>
      </c>
      <c r="G415" s="12" t="s">
        <v>832</v>
      </c>
      <c r="H415" s="12" t="b">
        <v>0</v>
      </c>
      <c r="I415" s="12" t="b">
        <v>0</v>
      </c>
      <c r="J415" s="12" t="b">
        <v>0</v>
      </c>
      <c r="K415" s="12" t="b">
        <v>0</v>
      </c>
      <c r="L415" s="12">
        <v>623.15</v>
      </c>
      <c r="M415" s="12">
        <v>300.032917</v>
      </c>
      <c r="N415" s="12">
        <v>3000</v>
      </c>
      <c r="O415" s="12">
        <v>400</v>
      </c>
      <c r="P415" s="12">
        <v>0.5</v>
      </c>
      <c r="Q415" s="12">
        <v>0.85</v>
      </c>
      <c r="R415" s="12">
        <v>0.95</v>
      </c>
      <c r="S415" s="12">
        <v>0.85</v>
      </c>
      <c r="T415" s="12">
        <v>0.75</v>
      </c>
      <c r="U415" s="12">
        <v>0.8</v>
      </c>
      <c r="V415" s="12"/>
      <c r="W415" s="12"/>
      <c r="X415" s="12"/>
      <c r="Y415" s="12">
        <v>2600</v>
      </c>
      <c r="Z415" s="12">
        <v>7.5</v>
      </c>
      <c r="AA415" s="12"/>
      <c r="AB415" s="12"/>
    </row>
    <row r="416" spans="1:28" x14ac:dyDescent="0.3">
      <c r="A416" s="12" t="s">
        <v>2308</v>
      </c>
      <c r="B416" s="12" t="s">
        <v>112</v>
      </c>
      <c r="C416" s="12" t="s">
        <v>384</v>
      </c>
      <c r="D416" s="12" t="s">
        <v>2248</v>
      </c>
      <c r="E416" s="12" t="s">
        <v>2033</v>
      </c>
      <c r="F416" s="12" t="s">
        <v>832</v>
      </c>
      <c r="G416" s="12" t="s">
        <v>832</v>
      </c>
      <c r="H416" s="12" t="b">
        <v>0</v>
      </c>
      <c r="I416" s="12" t="b">
        <v>0</v>
      </c>
      <c r="J416" s="12" t="b">
        <v>0</v>
      </c>
      <c r="K416" s="12" t="b">
        <v>0</v>
      </c>
      <c r="L416" s="12">
        <v>623.15</v>
      </c>
      <c r="M416" s="12">
        <v>300.032917</v>
      </c>
      <c r="N416" s="12">
        <v>3000</v>
      </c>
      <c r="O416" s="12">
        <v>400</v>
      </c>
      <c r="P416" s="12">
        <v>0.5</v>
      </c>
      <c r="Q416" s="12">
        <v>0.85</v>
      </c>
      <c r="R416" s="12">
        <v>0.75</v>
      </c>
      <c r="S416" s="12">
        <v>0.67500000000000004</v>
      </c>
      <c r="T416" s="12">
        <v>0.75</v>
      </c>
      <c r="U416" s="12">
        <v>0.8</v>
      </c>
      <c r="V416" s="12"/>
      <c r="W416" s="12"/>
      <c r="X416" s="12"/>
      <c r="Y416" s="12">
        <v>2600</v>
      </c>
      <c r="Z416" s="12">
        <v>7.5</v>
      </c>
      <c r="AA416" s="12"/>
      <c r="AB416" s="12"/>
    </row>
    <row r="417" spans="1:28" x14ac:dyDescent="0.3">
      <c r="A417" s="12" t="s">
        <v>2309</v>
      </c>
      <c r="B417" s="12" t="s">
        <v>112</v>
      </c>
      <c r="C417" s="12" t="s">
        <v>384</v>
      </c>
      <c r="D417" s="12" t="s">
        <v>2248</v>
      </c>
      <c r="E417" s="12" t="s">
        <v>2033</v>
      </c>
      <c r="F417" s="12" t="s">
        <v>1861</v>
      </c>
      <c r="G417" s="12" t="s">
        <v>1861</v>
      </c>
      <c r="H417" s="12" t="b">
        <v>1</v>
      </c>
      <c r="I417" s="12" t="b">
        <v>0</v>
      </c>
      <c r="J417" s="12" t="b">
        <v>1</v>
      </c>
      <c r="K417" s="12" t="b">
        <v>0</v>
      </c>
      <c r="L417" s="12">
        <v>623.15</v>
      </c>
      <c r="M417" s="12">
        <v>300.032917</v>
      </c>
      <c r="N417" s="12">
        <v>3000</v>
      </c>
      <c r="O417" s="12">
        <v>400</v>
      </c>
      <c r="P417" s="12">
        <v>0.5</v>
      </c>
      <c r="Q417" s="12">
        <v>0.85</v>
      </c>
      <c r="R417" s="12">
        <v>0.75</v>
      </c>
      <c r="S417" s="12">
        <v>0.72499999999999998</v>
      </c>
      <c r="T417" s="12">
        <v>0.75</v>
      </c>
      <c r="U417" s="12">
        <v>0.8</v>
      </c>
      <c r="V417" s="12"/>
      <c r="W417" s="12">
        <v>13.10879781251942</v>
      </c>
      <c r="X417" s="12">
        <v>218.136124230718</v>
      </c>
      <c r="Y417" s="12">
        <v>2600</v>
      </c>
      <c r="Z417" s="12">
        <v>7.5</v>
      </c>
      <c r="AA417" s="12" t="s">
        <v>1268</v>
      </c>
      <c r="AB417" s="12"/>
    </row>
    <row r="418" spans="1:28" x14ac:dyDescent="0.3">
      <c r="A418" s="12" t="s">
        <v>2310</v>
      </c>
      <c r="B418" s="12" t="s">
        <v>112</v>
      </c>
      <c r="C418" s="12" t="s">
        <v>384</v>
      </c>
      <c r="D418" s="12" t="s">
        <v>2248</v>
      </c>
      <c r="E418" s="12" t="s">
        <v>2033</v>
      </c>
      <c r="F418" s="12" t="s">
        <v>1861</v>
      </c>
      <c r="G418" s="12" t="s">
        <v>1861</v>
      </c>
      <c r="H418" s="12" t="b">
        <v>1</v>
      </c>
      <c r="I418" s="12" t="b">
        <v>0</v>
      </c>
      <c r="J418" s="12" t="b">
        <v>1</v>
      </c>
      <c r="K418" s="12" t="b">
        <v>0</v>
      </c>
      <c r="L418" s="12">
        <v>623.15</v>
      </c>
      <c r="M418" s="12">
        <v>300.032917</v>
      </c>
      <c r="N418" s="12">
        <v>3000</v>
      </c>
      <c r="O418" s="12">
        <v>400</v>
      </c>
      <c r="P418" s="12">
        <v>0.5</v>
      </c>
      <c r="Q418" s="12">
        <v>0.85</v>
      </c>
      <c r="R418" s="12">
        <v>0.75</v>
      </c>
      <c r="S418" s="12">
        <v>0.47499999999999998</v>
      </c>
      <c r="T418" s="12">
        <v>0.75</v>
      </c>
      <c r="U418" s="12">
        <v>0.8</v>
      </c>
      <c r="V418" s="12"/>
      <c r="W418" s="12">
        <v>13.3263989325274</v>
      </c>
      <c r="X418" s="12">
        <v>147.79541726942909</v>
      </c>
      <c r="Y418" s="12">
        <v>2600</v>
      </c>
      <c r="Z418" s="12">
        <v>7.5</v>
      </c>
      <c r="AA418" s="12" t="s">
        <v>1268</v>
      </c>
      <c r="AB418" s="12"/>
    </row>
    <row r="419" spans="1:28" x14ac:dyDescent="0.3">
      <c r="A419" s="12" t="s">
        <v>2311</v>
      </c>
      <c r="B419" s="12" t="s">
        <v>112</v>
      </c>
      <c r="C419" s="12" t="s">
        <v>384</v>
      </c>
      <c r="D419" s="12" t="s">
        <v>2248</v>
      </c>
      <c r="E419" s="12" t="s">
        <v>2033</v>
      </c>
      <c r="F419" s="12" t="s">
        <v>1861</v>
      </c>
      <c r="G419" s="12" t="s">
        <v>1861</v>
      </c>
      <c r="H419" s="12" t="b">
        <v>1</v>
      </c>
      <c r="I419" s="12" t="b">
        <v>0</v>
      </c>
      <c r="J419" s="12" t="b">
        <v>1</v>
      </c>
      <c r="K419" s="12" t="b">
        <v>0</v>
      </c>
      <c r="L419" s="12">
        <v>623.15</v>
      </c>
      <c r="M419" s="12">
        <v>300.032917</v>
      </c>
      <c r="N419" s="12">
        <v>3000</v>
      </c>
      <c r="O419" s="12">
        <v>400</v>
      </c>
      <c r="P419" s="12">
        <v>0.5</v>
      </c>
      <c r="Q419" s="12">
        <v>0.85</v>
      </c>
      <c r="R419" s="12">
        <v>0.75</v>
      </c>
      <c r="S419" s="12">
        <v>0.52500000000000002</v>
      </c>
      <c r="T419" s="12">
        <v>0.75</v>
      </c>
      <c r="U419" s="12">
        <v>0.8</v>
      </c>
      <c r="V419" s="12"/>
      <c r="W419" s="12">
        <v>13.29765859344454</v>
      </c>
      <c r="X419" s="12">
        <v>162.53249117749499</v>
      </c>
      <c r="Y419" s="12">
        <v>2600</v>
      </c>
      <c r="Z419" s="12">
        <v>7.5</v>
      </c>
      <c r="AA419" s="12" t="s">
        <v>1268</v>
      </c>
      <c r="AB419" s="12"/>
    </row>
    <row r="420" spans="1:28" x14ac:dyDescent="0.3">
      <c r="A420" s="12" t="s">
        <v>2312</v>
      </c>
      <c r="B420" s="12" t="s">
        <v>112</v>
      </c>
      <c r="C420" s="12" t="s">
        <v>384</v>
      </c>
      <c r="D420" s="12" t="s">
        <v>2248</v>
      </c>
      <c r="E420" s="12" t="s">
        <v>2033</v>
      </c>
      <c r="F420" s="12" t="s">
        <v>1863</v>
      </c>
      <c r="G420" s="12" t="s">
        <v>832</v>
      </c>
      <c r="H420" s="12" t="b">
        <v>0</v>
      </c>
      <c r="I420" s="12" t="b">
        <v>0</v>
      </c>
      <c r="J420" s="12" t="b">
        <v>1</v>
      </c>
      <c r="K420" s="12" t="b">
        <v>0</v>
      </c>
      <c r="L420" s="12">
        <v>623.15</v>
      </c>
      <c r="M420" s="12">
        <v>300.032917</v>
      </c>
      <c r="N420" s="12">
        <v>3000</v>
      </c>
      <c r="O420" s="12">
        <v>400</v>
      </c>
      <c r="P420" s="12">
        <v>0.5</v>
      </c>
      <c r="Q420" s="12">
        <v>0.85</v>
      </c>
      <c r="R420" s="12">
        <v>0.75</v>
      </c>
      <c r="S420" s="12">
        <v>0.82499999999999996</v>
      </c>
      <c r="T420" s="12">
        <v>0.75</v>
      </c>
      <c r="U420" s="12">
        <v>0.8</v>
      </c>
      <c r="V420" s="12"/>
      <c r="W420" s="12">
        <v>15.17983580619754</v>
      </c>
      <c r="X420" s="12">
        <v>280.83448947497709</v>
      </c>
      <c r="Y420" s="12">
        <v>2600</v>
      </c>
      <c r="Z420" s="12">
        <v>7.5</v>
      </c>
      <c r="AA420" s="12" t="s">
        <v>1934</v>
      </c>
      <c r="AB420" s="12"/>
    </row>
    <row r="421" spans="1:28" x14ac:dyDescent="0.3">
      <c r="A421" s="12" t="s">
        <v>2313</v>
      </c>
      <c r="B421" s="12" t="s">
        <v>112</v>
      </c>
      <c r="C421" s="12" t="s">
        <v>384</v>
      </c>
      <c r="D421" s="12" t="s">
        <v>2248</v>
      </c>
      <c r="E421" s="12" t="s">
        <v>2033</v>
      </c>
      <c r="F421" s="12" t="s">
        <v>1861</v>
      </c>
      <c r="G421" s="12" t="s">
        <v>1861</v>
      </c>
      <c r="H421" s="12" t="b">
        <v>1</v>
      </c>
      <c r="I421" s="12" t="b">
        <v>0</v>
      </c>
      <c r="J421" s="12" t="b">
        <v>1</v>
      </c>
      <c r="K421" s="12" t="b">
        <v>0</v>
      </c>
      <c r="L421" s="12">
        <v>623.15</v>
      </c>
      <c r="M421" s="12">
        <v>300.032917</v>
      </c>
      <c r="N421" s="12">
        <v>3000</v>
      </c>
      <c r="O421" s="12">
        <v>400</v>
      </c>
      <c r="P421" s="12">
        <v>0.5</v>
      </c>
      <c r="Q421" s="12">
        <v>0.85</v>
      </c>
      <c r="R421" s="12">
        <v>0.75</v>
      </c>
      <c r="S421" s="12">
        <v>0.8125</v>
      </c>
      <c r="T421" s="12">
        <v>0.75</v>
      </c>
      <c r="U421" s="12">
        <v>0.8</v>
      </c>
      <c r="V421" s="12"/>
      <c r="W421" s="12">
        <v>13.04454266510596</v>
      </c>
      <c r="X421" s="12">
        <v>241.17489328928721</v>
      </c>
      <c r="Y421" s="12">
        <v>2600</v>
      </c>
      <c r="Z421" s="12">
        <v>7.5</v>
      </c>
      <c r="AA421" s="12" t="s">
        <v>1981</v>
      </c>
      <c r="AB421" s="12"/>
    </row>
    <row r="422" spans="1:28" x14ac:dyDescent="0.3">
      <c r="A422" s="12" t="s">
        <v>2314</v>
      </c>
      <c r="B422" s="12" t="s">
        <v>112</v>
      </c>
      <c r="C422" s="12" t="s">
        <v>384</v>
      </c>
      <c r="D422" s="12" t="s">
        <v>2248</v>
      </c>
      <c r="E422" s="12" t="s">
        <v>2033</v>
      </c>
      <c r="F422" s="12" t="s">
        <v>1861</v>
      </c>
      <c r="G422" s="12" t="s">
        <v>1861</v>
      </c>
      <c r="H422" s="12" t="b">
        <v>1</v>
      </c>
      <c r="I422" s="12" t="b">
        <v>0</v>
      </c>
      <c r="J422" s="12" t="b">
        <v>1</v>
      </c>
      <c r="K422" s="12" t="b">
        <v>0</v>
      </c>
      <c r="L422" s="12">
        <v>623.15</v>
      </c>
      <c r="M422" s="12">
        <v>300.032917</v>
      </c>
      <c r="N422" s="12">
        <v>3000</v>
      </c>
      <c r="O422" s="12">
        <v>400</v>
      </c>
      <c r="P422" s="12">
        <v>0.5</v>
      </c>
      <c r="Q422" s="12">
        <v>0.85</v>
      </c>
      <c r="R422" s="12">
        <v>0.75</v>
      </c>
      <c r="S422" s="12">
        <v>0.71249999999999991</v>
      </c>
      <c r="T422" s="12">
        <v>0.75</v>
      </c>
      <c r="U422" s="12">
        <v>0.8</v>
      </c>
      <c r="V422" s="12"/>
      <c r="W422" s="12">
        <v>13.12073404060548</v>
      </c>
      <c r="X422" s="12">
        <v>214.8058957588257</v>
      </c>
      <c r="Y422" s="12">
        <v>2600</v>
      </c>
      <c r="Z422" s="12">
        <v>7.5</v>
      </c>
      <c r="AA422" s="12" t="s">
        <v>1268</v>
      </c>
      <c r="AB422" s="12"/>
    </row>
    <row r="423" spans="1:28" x14ac:dyDescent="0.3">
      <c r="A423" s="12" t="s">
        <v>2315</v>
      </c>
      <c r="B423" s="12" t="s">
        <v>112</v>
      </c>
      <c r="C423" s="12" t="s">
        <v>384</v>
      </c>
      <c r="D423" s="12" t="s">
        <v>2248</v>
      </c>
      <c r="E423" s="12" t="s">
        <v>2033</v>
      </c>
      <c r="F423" s="12" t="s">
        <v>1861</v>
      </c>
      <c r="G423" s="12" t="s">
        <v>1861</v>
      </c>
      <c r="H423" s="12" t="b">
        <v>1</v>
      </c>
      <c r="I423" s="12" t="b">
        <v>0</v>
      </c>
      <c r="J423" s="12" t="b">
        <v>1</v>
      </c>
      <c r="K423" s="12" t="b">
        <v>0</v>
      </c>
      <c r="L423" s="12">
        <v>623.15</v>
      </c>
      <c r="M423" s="12">
        <v>300.032917</v>
      </c>
      <c r="N423" s="12">
        <v>3000</v>
      </c>
      <c r="O423" s="12">
        <v>400</v>
      </c>
      <c r="P423" s="12">
        <v>0.5</v>
      </c>
      <c r="Q423" s="12">
        <v>0.85</v>
      </c>
      <c r="R423" s="12">
        <v>0.75</v>
      </c>
      <c r="S423" s="12">
        <v>0.66250000000000009</v>
      </c>
      <c r="T423" s="12">
        <v>0.75</v>
      </c>
      <c r="U423" s="12">
        <v>0.8</v>
      </c>
      <c r="V423" s="12"/>
      <c r="W423" s="12">
        <v>13.16991803119069</v>
      </c>
      <c r="X423" s="12">
        <v>201.2969687712513</v>
      </c>
      <c r="Y423" s="12">
        <v>2600</v>
      </c>
      <c r="Z423" s="12">
        <v>7.5</v>
      </c>
      <c r="AA423" s="12" t="s">
        <v>1268</v>
      </c>
      <c r="AB423" s="12"/>
    </row>
    <row r="424" spans="1:28" x14ac:dyDescent="0.3">
      <c r="A424" s="12" t="s">
        <v>2316</v>
      </c>
      <c r="B424" s="12" t="s">
        <v>112</v>
      </c>
      <c r="C424" s="12" t="s">
        <v>384</v>
      </c>
      <c r="D424" s="12" t="s">
        <v>2248</v>
      </c>
      <c r="E424" s="12" t="s">
        <v>2033</v>
      </c>
      <c r="F424" s="12" t="s">
        <v>1861</v>
      </c>
      <c r="G424" s="12" t="s">
        <v>1861</v>
      </c>
      <c r="H424" s="12" t="b">
        <v>1</v>
      </c>
      <c r="I424" s="12" t="b">
        <v>0</v>
      </c>
      <c r="J424" s="12" t="b">
        <v>1</v>
      </c>
      <c r="K424" s="12" t="b">
        <v>0</v>
      </c>
      <c r="L424" s="12">
        <v>623.15</v>
      </c>
      <c r="M424" s="12">
        <v>300.032917</v>
      </c>
      <c r="N424" s="12">
        <v>3000</v>
      </c>
      <c r="O424" s="12">
        <v>400</v>
      </c>
      <c r="P424" s="12">
        <v>0.5</v>
      </c>
      <c r="Q424" s="12">
        <v>0.85</v>
      </c>
      <c r="R424" s="12">
        <v>0.75</v>
      </c>
      <c r="S424" s="12">
        <v>0.51249999999999996</v>
      </c>
      <c r="T424" s="12">
        <v>0.75</v>
      </c>
      <c r="U424" s="12">
        <v>0.8</v>
      </c>
      <c r="V424" s="12"/>
      <c r="W424" s="12">
        <v>13.30644815595636</v>
      </c>
      <c r="X424" s="12">
        <v>158.88287392030239</v>
      </c>
      <c r="Y424" s="12">
        <v>2600</v>
      </c>
      <c r="Z424" s="12">
        <v>7.5</v>
      </c>
      <c r="AA424" s="12" t="s">
        <v>1268</v>
      </c>
      <c r="AB424" s="12"/>
    </row>
    <row r="425" spans="1:28" x14ac:dyDescent="0.3">
      <c r="A425" s="12" t="s">
        <v>2317</v>
      </c>
      <c r="B425" s="12" t="s">
        <v>112</v>
      </c>
      <c r="C425" s="12" t="s">
        <v>384</v>
      </c>
      <c r="D425" s="12" t="s">
        <v>2248</v>
      </c>
      <c r="E425" s="12" t="s">
        <v>2033</v>
      </c>
      <c r="F425" s="12" t="s">
        <v>1861</v>
      </c>
      <c r="G425" s="12" t="s">
        <v>1861</v>
      </c>
      <c r="H425" s="12" t="b">
        <v>1</v>
      </c>
      <c r="I425" s="12" t="b">
        <v>0</v>
      </c>
      <c r="J425" s="12" t="b">
        <v>1</v>
      </c>
      <c r="K425" s="12" t="b">
        <v>0</v>
      </c>
      <c r="L425" s="12">
        <v>623.15</v>
      </c>
      <c r="M425" s="12">
        <v>300.032917</v>
      </c>
      <c r="N425" s="12">
        <v>3000</v>
      </c>
      <c r="O425" s="12">
        <v>400</v>
      </c>
      <c r="P425" s="12">
        <v>0.5</v>
      </c>
      <c r="Q425" s="12">
        <v>0.85</v>
      </c>
      <c r="R425" s="12">
        <v>0.75</v>
      </c>
      <c r="S425" s="12">
        <v>0.48749999999999999</v>
      </c>
      <c r="T425" s="12">
        <v>0.75</v>
      </c>
      <c r="U425" s="12">
        <v>0.8</v>
      </c>
      <c r="V425" s="12"/>
      <c r="W425" s="12">
        <v>13.3209908375793</v>
      </c>
      <c r="X425" s="12">
        <v>151.51494401978809</v>
      </c>
      <c r="Y425" s="12">
        <v>2600</v>
      </c>
      <c r="Z425" s="12">
        <v>7.5</v>
      </c>
      <c r="AA425" s="12" t="s">
        <v>1268</v>
      </c>
      <c r="AB425" s="12"/>
    </row>
    <row r="426" spans="1:28" x14ac:dyDescent="0.3">
      <c r="A426" s="12" t="s">
        <v>2318</v>
      </c>
      <c r="B426" s="12" t="s">
        <v>112</v>
      </c>
      <c r="C426" s="12" t="s">
        <v>384</v>
      </c>
      <c r="D426" s="12" t="s">
        <v>2248</v>
      </c>
      <c r="E426" s="12" t="s">
        <v>2033</v>
      </c>
      <c r="F426" s="12" t="s">
        <v>1861</v>
      </c>
      <c r="G426" s="12" t="s">
        <v>1861</v>
      </c>
      <c r="H426" s="12" t="b">
        <v>1</v>
      </c>
      <c r="I426" s="12" t="b">
        <v>0</v>
      </c>
      <c r="J426" s="12" t="b">
        <v>1</v>
      </c>
      <c r="K426" s="12" t="b">
        <v>0</v>
      </c>
      <c r="L426" s="12">
        <v>623.15</v>
      </c>
      <c r="M426" s="12">
        <v>300.032917</v>
      </c>
      <c r="N426" s="12">
        <v>3000</v>
      </c>
      <c r="O426" s="12">
        <v>400</v>
      </c>
      <c r="P426" s="12">
        <v>0.5</v>
      </c>
      <c r="Q426" s="12">
        <v>0.85</v>
      </c>
      <c r="R426" s="12">
        <v>0.75</v>
      </c>
      <c r="S426" s="12">
        <v>0.81874999999999998</v>
      </c>
      <c r="T426" s="12">
        <v>0.75</v>
      </c>
      <c r="U426" s="12">
        <v>0.8</v>
      </c>
      <c r="V426" s="12"/>
      <c r="W426" s="12">
        <v>13.04068790808898</v>
      </c>
      <c r="X426" s="12">
        <v>242.81041238732359</v>
      </c>
      <c r="Y426" s="12">
        <v>2600</v>
      </c>
      <c r="Z426" s="12">
        <v>7.5</v>
      </c>
      <c r="AA426" s="12" t="s">
        <v>1981</v>
      </c>
      <c r="AB426" s="12"/>
    </row>
    <row r="427" spans="1:28" x14ac:dyDescent="0.3">
      <c r="A427" s="12" t="s">
        <v>2319</v>
      </c>
      <c r="B427" s="12" t="s">
        <v>112</v>
      </c>
      <c r="C427" s="12" t="s">
        <v>384</v>
      </c>
      <c r="D427" s="12" t="s">
        <v>2248</v>
      </c>
      <c r="E427" s="12" t="s">
        <v>2033</v>
      </c>
      <c r="F427" s="12" t="s">
        <v>1861</v>
      </c>
      <c r="G427" s="12" t="s">
        <v>1861</v>
      </c>
      <c r="H427" s="12" t="b">
        <v>1</v>
      </c>
      <c r="I427" s="12" t="b">
        <v>0</v>
      </c>
      <c r="J427" s="12" t="b">
        <v>1</v>
      </c>
      <c r="K427" s="12" t="b">
        <v>0</v>
      </c>
      <c r="L427" s="12">
        <v>623.15</v>
      </c>
      <c r="M427" s="12">
        <v>300.032917</v>
      </c>
      <c r="N427" s="12">
        <v>3000</v>
      </c>
      <c r="O427" s="12">
        <v>400</v>
      </c>
      <c r="P427" s="12">
        <v>0.5</v>
      </c>
      <c r="Q427" s="12">
        <v>0.85</v>
      </c>
      <c r="R427" s="12">
        <v>0.75</v>
      </c>
      <c r="S427" s="12">
        <v>0.70624999999999993</v>
      </c>
      <c r="T427" s="12">
        <v>0.75</v>
      </c>
      <c r="U427" s="12">
        <v>0.8</v>
      </c>
      <c r="V427" s="12"/>
      <c r="W427" s="12">
        <v>13.126771584715559</v>
      </c>
      <c r="X427" s="12">
        <v>213.13377899954099</v>
      </c>
      <c r="Y427" s="12">
        <v>2600</v>
      </c>
      <c r="Z427" s="12">
        <v>7.5</v>
      </c>
      <c r="AA427" s="12" t="s">
        <v>1268</v>
      </c>
      <c r="AB427" s="12"/>
    </row>
    <row r="428" spans="1:28" x14ac:dyDescent="0.3">
      <c r="A428" s="12" t="s">
        <v>2320</v>
      </c>
      <c r="B428" s="12" t="s">
        <v>112</v>
      </c>
      <c r="C428" s="12" t="s">
        <v>384</v>
      </c>
      <c r="D428" s="12" t="s">
        <v>2248</v>
      </c>
      <c r="E428" s="12" t="s">
        <v>2033</v>
      </c>
      <c r="F428" s="12" t="s">
        <v>1861</v>
      </c>
      <c r="G428" s="12" t="s">
        <v>1861</v>
      </c>
      <c r="H428" s="12" t="b">
        <v>1</v>
      </c>
      <c r="I428" s="12" t="b">
        <v>0</v>
      </c>
      <c r="J428" s="12" t="b">
        <v>1</v>
      </c>
      <c r="K428" s="12" t="b">
        <v>0</v>
      </c>
      <c r="L428" s="12">
        <v>623.15</v>
      </c>
      <c r="M428" s="12">
        <v>300.032917</v>
      </c>
      <c r="N428" s="12">
        <v>3000</v>
      </c>
      <c r="O428" s="12">
        <v>400</v>
      </c>
      <c r="P428" s="12">
        <v>0.5</v>
      </c>
      <c r="Q428" s="12">
        <v>0.85</v>
      </c>
      <c r="R428" s="12">
        <v>0.75</v>
      </c>
      <c r="S428" s="12">
        <v>0.66875000000000007</v>
      </c>
      <c r="T428" s="12">
        <v>0.75</v>
      </c>
      <c r="U428" s="12">
        <v>0.8</v>
      </c>
      <c r="V428" s="12"/>
      <c r="W428" s="12">
        <v>13.16368338763303</v>
      </c>
      <c r="X428" s="12">
        <v>203.00214923829839</v>
      </c>
      <c r="Y428" s="12">
        <v>2600</v>
      </c>
      <c r="Z428" s="12">
        <v>7.5</v>
      </c>
      <c r="AA428" s="12" t="s">
        <v>1268</v>
      </c>
      <c r="AB428" s="12"/>
    </row>
    <row r="429" spans="1:28" x14ac:dyDescent="0.3">
      <c r="A429" s="12" t="s">
        <v>2321</v>
      </c>
      <c r="B429" s="12" t="s">
        <v>112</v>
      </c>
      <c r="C429" s="12" t="s">
        <v>384</v>
      </c>
      <c r="D429" s="12" t="s">
        <v>2248</v>
      </c>
      <c r="E429" s="12" t="s">
        <v>2033</v>
      </c>
      <c r="F429" s="12" t="s">
        <v>1861</v>
      </c>
      <c r="G429" s="12" t="s">
        <v>1861</v>
      </c>
      <c r="H429" s="12" t="b">
        <v>1</v>
      </c>
      <c r="I429" s="12" t="b">
        <v>0</v>
      </c>
      <c r="J429" s="12" t="b">
        <v>1</v>
      </c>
      <c r="K429" s="12" t="b">
        <v>0</v>
      </c>
      <c r="L429" s="12">
        <v>623.15</v>
      </c>
      <c r="M429" s="12">
        <v>300.032917</v>
      </c>
      <c r="N429" s="12">
        <v>3000</v>
      </c>
      <c r="O429" s="12">
        <v>400</v>
      </c>
      <c r="P429" s="12">
        <v>0.5</v>
      </c>
      <c r="Q429" s="12">
        <v>0.85</v>
      </c>
      <c r="R429" s="12">
        <v>0.75</v>
      </c>
      <c r="S429" s="12">
        <v>0.50624999999999998</v>
      </c>
      <c r="T429" s="12">
        <v>0.75</v>
      </c>
      <c r="U429" s="12">
        <v>0.8</v>
      </c>
      <c r="V429" s="12"/>
      <c r="W429" s="12">
        <v>13.31049410441442</v>
      </c>
      <c r="X429" s="12">
        <v>157.0495892988755</v>
      </c>
      <c r="Y429" s="12">
        <v>2600</v>
      </c>
      <c r="Z429" s="12">
        <v>7.5</v>
      </c>
      <c r="AA429" s="12" t="s">
        <v>1268</v>
      </c>
      <c r="AB429" s="12"/>
    </row>
    <row r="430" spans="1:28" x14ac:dyDescent="0.3">
      <c r="A430" s="12" t="s">
        <v>2322</v>
      </c>
      <c r="B430" s="12" t="s">
        <v>112</v>
      </c>
      <c r="C430" s="12" t="s">
        <v>384</v>
      </c>
      <c r="D430" s="12" t="s">
        <v>2248</v>
      </c>
      <c r="E430" s="12" t="s">
        <v>2033</v>
      </c>
      <c r="F430" s="12" t="s">
        <v>1861</v>
      </c>
      <c r="G430" s="12" t="s">
        <v>1861</v>
      </c>
      <c r="H430" s="12" t="b">
        <v>1</v>
      </c>
      <c r="I430" s="12" t="b">
        <v>0</v>
      </c>
      <c r="J430" s="12" t="b">
        <v>1</v>
      </c>
      <c r="K430" s="12" t="b">
        <v>0</v>
      </c>
      <c r="L430" s="12">
        <v>623.15</v>
      </c>
      <c r="M430" s="12">
        <v>300.032917</v>
      </c>
      <c r="N430" s="12">
        <v>3000</v>
      </c>
      <c r="O430" s="12">
        <v>400</v>
      </c>
      <c r="P430" s="12">
        <v>0.5</v>
      </c>
      <c r="Q430" s="12">
        <v>0.85</v>
      </c>
      <c r="R430" s="12">
        <v>0.75</v>
      </c>
      <c r="S430" s="12">
        <v>0.49375000000000002</v>
      </c>
      <c r="T430" s="12">
        <v>0.75</v>
      </c>
      <c r="U430" s="12">
        <v>0.8</v>
      </c>
      <c r="V430" s="12"/>
      <c r="W430" s="12">
        <v>13.317785699196961</v>
      </c>
      <c r="X430" s="12">
        <v>153.36569325767891</v>
      </c>
      <c r="Y430" s="12">
        <v>2600</v>
      </c>
      <c r="Z430" s="12">
        <v>7.5</v>
      </c>
      <c r="AA430" s="12" t="s">
        <v>1268</v>
      </c>
      <c r="AB430" s="12"/>
    </row>
    <row r="431" spans="1:28" x14ac:dyDescent="0.3">
      <c r="A431" s="12" t="s">
        <v>2323</v>
      </c>
      <c r="B431" s="12" t="s">
        <v>112</v>
      </c>
      <c r="C431" s="12" t="s">
        <v>384</v>
      </c>
      <c r="D431" s="12" t="s">
        <v>2248</v>
      </c>
      <c r="E431" s="12" t="s">
        <v>2033</v>
      </c>
      <c r="F431" s="12" t="s">
        <v>1861</v>
      </c>
      <c r="G431" s="12" t="s">
        <v>1861</v>
      </c>
      <c r="H431" s="12" t="b">
        <v>1</v>
      </c>
      <c r="I431" s="12" t="b">
        <v>0</v>
      </c>
      <c r="J431" s="12" t="b">
        <v>1</v>
      </c>
      <c r="K431" s="12" t="b">
        <v>0</v>
      </c>
      <c r="L431" s="12">
        <v>623.15</v>
      </c>
      <c r="M431" s="12">
        <v>300.032917</v>
      </c>
      <c r="N431" s="12">
        <v>3000</v>
      </c>
      <c r="O431" s="12">
        <v>400</v>
      </c>
      <c r="P431" s="12">
        <v>0.5</v>
      </c>
      <c r="Q431" s="12">
        <v>0.85</v>
      </c>
      <c r="R431" s="12">
        <v>0.75</v>
      </c>
      <c r="S431" s="12">
        <v>0.703125</v>
      </c>
      <c r="T431" s="12">
        <v>0.75</v>
      </c>
      <c r="U431" s="12">
        <v>0.8</v>
      </c>
      <c r="V431" s="12"/>
      <c r="W431" s="12">
        <v>13.129803358047271</v>
      </c>
      <c r="X431" s="12">
        <v>212.29595409172941</v>
      </c>
      <c r="Y431" s="12">
        <v>2600</v>
      </c>
      <c r="Z431" s="12">
        <v>7.5</v>
      </c>
      <c r="AA431" s="12" t="s">
        <v>1268</v>
      </c>
      <c r="AB431" s="12"/>
    </row>
    <row r="432" spans="1:28" x14ac:dyDescent="0.3">
      <c r="A432" s="12" t="s">
        <v>2324</v>
      </c>
      <c r="B432" s="12" t="s">
        <v>112</v>
      </c>
      <c r="C432" s="12" t="s">
        <v>384</v>
      </c>
      <c r="D432" s="12" t="s">
        <v>2248</v>
      </c>
      <c r="E432" s="12" t="s">
        <v>2033</v>
      </c>
      <c r="F432" s="12" t="s">
        <v>1861</v>
      </c>
      <c r="G432" s="12" t="s">
        <v>1861</v>
      </c>
      <c r="H432" s="12" t="b">
        <v>1</v>
      </c>
      <c r="I432" s="12" t="b">
        <v>0</v>
      </c>
      <c r="J432" s="12" t="b">
        <v>1</v>
      </c>
      <c r="K432" s="12" t="b">
        <v>0</v>
      </c>
      <c r="L432" s="12">
        <v>623.15</v>
      </c>
      <c r="M432" s="12">
        <v>300.032917</v>
      </c>
      <c r="N432" s="12">
        <v>3000</v>
      </c>
      <c r="O432" s="12">
        <v>400</v>
      </c>
      <c r="P432" s="12">
        <v>0.5</v>
      </c>
      <c r="Q432" s="12">
        <v>0.85</v>
      </c>
      <c r="R432" s="12">
        <v>0.75</v>
      </c>
      <c r="S432" s="12">
        <v>0.671875</v>
      </c>
      <c r="T432" s="12">
        <v>0.75</v>
      </c>
      <c r="U432" s="12">
        <v>0.8</v>
      </c>
      <c r="V432" s="12"/>
      <c r="W432" s="12">
        <v>13.16057362711171</v>
      </c>
      <c r="X432" s="12">
        <v>203.8529619675019</v>
      </c>
      <c r="Y432" s="12">
        <v>2600</v>
      </c>
      <c r="Z432" s="12">
        <v>7.5</v>
      </c>
      <c r="AA432" s="12" t="s">
        <v>1268</v>
      </c>
      <c r="AB432" s="12"/>
    </row>
    <row r="433" spans="1:28" x14ac:dyDescent="0.3">
      <c r="A433" s="12" t="s">
        <v>2325</v>
      </c>
      <c r="B433" s="12" t="s">
        <v>112</v>
      </c>
      <c r="C433" s="12" t="s">
        <v>384</v>
      </c>
      <c r="D433" s="12" t="s">
        <v>2248</v>
      </c>
      <c r="E433" s="12" t="s">
        <v>2033</v>
      </c>
      <c r="F433" s="12" t="s">
        <v>1863</v>
      </c>
      <c r="G433" s="12" t="s">
        <v>832</v>
      </c>
      <c r="H433" s="12" t="b">
        <v>0</v>
      </c>
      <c r="I433" s="12" t="b">
        <v>0</v>
      </c>
      <c r="J433" s="12" t="b">
        <v>1</v>
      </c>
      <c r="K433" s="12" t="b">
        <v>0</v>
      </c>
      <c r="L433" s="12">
        <v>623.15</v>
      </c>
      <c r="M433" s="12">
        <v>300.032917</v>
      </c>
      <c r="N433" s="12">
        <v>3000</v>
      </c>
      <c r="O433" s="12">
        <v>400</v>
      </c>
      <c r="P433" s="12">
        <v>0.5</v>
      </c>
      <c r="Q433" s="12">
        <v>0.85</v>
      </c>
      <c r="R433" s="12">
        <v>0.75</v>
      </c>
      <c r="S433" s="12">
        <v>0.82187499999999991</v>
      </c>
      <c r="T433" s="12">
        <v>0.75</v>
      </c>
      <c r="U433" s="12">
        <v>0.8</v>
      </c>
      <c r="V433" s="12"/>
      <c r="W433" s="12">
        <v>13.57088828280941</v>
      </c>
      <c r="X433" s="12">
        <v>252.71862925897659</v>
      </c>
      <c r="Y433" s="12">
        <v>2600</v>
      </c>
      <c r="Z433" s="12">
        <v>7.5</v>
      </c>
      <c r="AA433" s="12" t="s">
        <v>1934</v>
      </c>
      <c r="AB433" s="12"/>
    </row>
    <row r="434" spans="1:28" x14ac:dyDescent="0.3">
      <c r="A434" s="12" t="s">
        <v>2326</v>
      </c>
      <c r="B434" s="12" t="s">
        <v>112</v>
      </c>
      <c r="C434" s="12" t="s">
        <v>384</v>
      </c>
      <c r="D434" s="12" t="s">
        <v>2248</v>
      </c>
      <c r="E434" s="12" t="s">
        <v>2033</v>
      </c>
      <c r="F434" s="12" t="s">
        <v>1861</v>
      </c>
      <c r="G434" s="12" t="s">
        <v>1861</v>
      </c>
      <c r="H434" s="12" t="b">
        <v>1</v>
      </c>
      <c r="I434" s="12" t="b">
        <v>0</v>
      </c>
      <c r="J434" s="12" t="b">
        <v>1</v>
      </c>
      <c r="K434" s="12" t="b">
        <v>0</v>
      </c>
      <c r="L434" s="12">
        <v>623.15</v>
      </c>
      <c r="M434" s="12">
        <v>300.032917</v>
      </c>
      <c r="N434" s="12">
        <v>3000</v>
      </c>
      <c r="O434" s="12">
        <v>400</v>
      </c>
      <c r="P434" s="12">
        <v>0.5</v>
      </c>
      <c r="Q434" s="12">
        <v>0.85</v>
      </c>
      <c r="R434" s="12">
        <v>0.75</v>
      </c>
      <c r="S434" s="12">
        <v>0.50312500000000004</v>
      </c>
      <c r="T434" s="12">
        <v>0.75</v>
      </c>
      <c r="U434" s="12">
        <v>0.8</v>
      </c>
      <c r="V434" s="12"/>
      <c r="W434" s="12">
        <v>13.312421142307279</v>
      </c>
      <c r="X434" s="12">
        <v>156.13079514982351</v>
      </c>
      <c r="Y434" s="12">
        <v>2600</v>
      </c>
      <c r="Z434" s="12">
        <v>7.5</v>
      </c>
      <c r="AA434" s="12" t="s">
        <v>1268</v>
      </c>
      <c r="AB434" s="12"/>
    </row>
    <row r="435" spans="1:28" x14ac:dyDescent="0.3">
      <c r="A435" s="12" t="s">
        <v>2327</v>
      </c>
      <c r="B435" s="12" t="s">
        <v>112</v>
      </c>
      <c r="C435" s="12" t="s">
        <v>384</v>
      </c>
      <c r="D435" s="12" t="s">
        <v>2248</v>
      </c>
      <c r="E435" s="12" t="s">
        <v>2033</v>
      </c>
      <c r="F435" s="12" t="s">
        <v>1861</v>
      </c>
      <c r="G435" s="12" t="s">
        <v>1861</v>
      </c>
      <c r="H435" s="12" t="b">
        <v>1</v>
      </c>
      <c r="I435" s="12" t="b">
        <v>0</v>
      </c>
      <c r="J435" s="12" t="b">
        <v>1</v>
      </c>
      <c r="K435" s="12" t="b">
        <v>0</v>
      </c>
      <c r="L435" s="12">
        <v>623.15</v>
      </c>
      <c r="M435" s="12">
        <v>300.032917</v>
      </c>
      <c r="N435" s="12">
        <v>3000</v>
      </c>
      <c r="O435" s="12">
        <v>400</v>
      </c>
      <c r="P435" s="12">
        <v>0.5</v>
      </c>
      <c r="Q435" s="12">
        <v>0.85</v>
      </c>
      <c r="R435" s="12">
        <v>0.75</v>
      </c>
      <c r="S435" s="12">
        <v>0.49687500000000001</v>
      </c>
      <c r="T435" s="12">
        <v>0.75</v>
      </c>
      <c r="U435" s="12">
        <v>0.8</v>
      </c>
      <c r="V435" s="12"/>
      <c r="W435" s="12">
        <v>13.31606837895476</v>
      </c>
      <c r="X435" s="12">
        <v>154.2888504128002</v>
      </c>
      <c r="Y435" s="12">
        <v>2600</v>
      </c>
      <c r="Z435" s="12">
        <v>7.5</v>
      </c>
      <c r="AA435" s="12" t="s">
        <v>1268</v>
      </c>
      <c r="AB435" s="12"/>
    </row>
    <row r="436" spans="1:28" x14ac:dyDescent="0.3">
      <c r="A436" s="12" t="s">
        <v>2328</v>
      </c>
      <c r="B436" s="12" t="s">
        <v>112</v>
      </c>
      <c r="C436" s="12" t="s">
        <v>386</v>
      </c>
      <c r="D436" s="12" t="s">
        <v>2329</v>
      </c>
      <c r="E436" s="12" t="s">
        <v>1886</v>
      </c>
      <c r="F436" s="12" t="s">
        <v>1861</v>
      </c>
      <c r="G436" s="12" t="s">
        <v>1861</v>
      </c>
      <c r="H436" s="12" t="b">
        <v>1</v>
      </c>
      <c r="I436" s="12" t="b">
        <v>0</v>
      </c>
      <c r="J436" s="12" t="b">
        <v>1</v>
      </c>
      <c r="K436" s="12" t="b">
        <v>0</v>
      </c>
      <c r="L436" s="12">
        <v>623.15</v>
      </c>
      <c r="M436" s="12">
        <v>300.032917</v>
      </c>
      <c r="N436" s="12">
        <v>3000</v>
      </c>
      <c r="O436" s="12">
        <v>400</v>
      </c>
      <c r="P436" s="12">
        <v>0.5</v>
      </c>
      <c r="Q436" s="12">
        <v>0.85</v>
      </c>
      <c r="R436" s="12">
        <v>0.75</v>
      </c>
      <c r="S436" s="12">
        <v>0.4</v>
      </c>
      <c r="T436" s="12">
        <v>0.75</v>
      </c>
      <c r="U436" s="12">
        <v>0.4</v>
      </c>
      <c r="V436" s="12"/>
      <c r="W436" s="12">
        <v>3.3817135401432998</v>
      </c>
      <c r="X436" s="12">
        <v>21.551342999134</v>
      </c>
      <c r="Y436" s="12">
        <v>2600</v>
      </c>
      <c r="Z436" s="12">
        <v>7.5</v>
      </c>
      <c r="AA436" s="12" t="s">
        <v>1268</v>
      </c>
      <c r="AB436" s="12"/>
    </row>
    <row r="437" spans="1:28" x14ac:dyDescent="0.3">
      <c r="A437" s="12" t="s">
        <v>2330</v>
      </c>
      <c r="B437" s="12" t="s">
        <v>112</v>
      </c>
      <c r="C437" s="12" t="s">
        <v>386</v>
      </c>
      <c r="D437" s="12" t="s">
        <v>2329</v>
      </c>
      <c r="E437" s="12" t="s">
        <v>1886</v>
      </c>
      <c r="F437" s="12" t="s">
        <v>1861</v>
      </c>
      <c r="G437" s="12" t="s">
        <v>1861</v>
      </c>
      <c r="H437" s="12" t="b">
        <v>1</v>
      </c>
      <c r="I437" s="12" t="b">
        <v>0</v>
      </c>
      <c r="J437" s="12" t="b">
        <v>1</v>
      </c>
      <c r="K437" s="12" t="b">
        <v>0</v>
      </c>
      <c r="L437" s="12">
        <v>623.15</v>
      </c>
      <c r="M437" s="12">
        <v>300.032917</v>
      </c>
      <c r="N437" s="12">
        <v>3000</v>
      </c>
      <c r="O437" s="12">
        <v>400</v>
      </c>
      <c r="P437" s="12">
        <v>0.5</v>
      </c>
      <c r="Q437" s="12">
        <v>0.85</v>
      </c>
      <c r="R437" s="12">
        <v>0.75</v>
      </c>
      <c r="S437" s="12">
        <v>0.4</v>
      </c>
      <c r="T437" s="12">
        <v>0.75</v>
      </c>
      <c r="U437" s="12">
        <v>0.55000000000000004</v>
      </c>
      <c r="V437" s="12"/>
      <c r="W437" s="12">
        <v>8.9845219363404496</v>
      </c>
      <c r="X437" s="12">
        <v>70.952145162736997</v>
      </c>
      <c r="Y437" s="12">
        <v>2600</v>
      </c>
      <c r="Z437" s="12">
        <v>7.5</v>
      </c>
      <c r="AA437" s="12" t="s">
        <v>1268</v>
      </c>
      <c r="AB437" s="12"/>
    </row>
    <row r="438" spans="1:28" x14ac:dyDescent="0.3">
      <c r="A438" s="12" t="s">
        <v>2331</v>
      </c>
      <c r="B438" s="12" t="s">
        <v>112</v>
      </c>
      <c r="C438" s="12" t="s">
        <v>386</v>
      </c>
      <c r="D438" s="12" t="s">
        <v>2329</v>
      </c>
      <c r="E438" s="12" t="s">
        <v>1886</v>
      </c>
      <c r="F438" s="12" t="s">
        <v>1861</v>
      </c>
      <c r="G438" s="12" t="s">
        <v>1861</v>
      </c>
      <c r="H438" s="12" t="b">
        <v>1</v>
      </c>
      <c r="I438" s="12" t="b">
        <v>0</v>
      </c>
      <c r="J438" s="12" t="b">
        <v>1</v>
      </c>
      <c r="K438" s="12" t="b">
        <v>0</v>
      </c>
      <c r="L438" s="12">
        <v>623.15</v>
      </c>
      <c r="M438" s="12">
        <v>300.032917</v>
      </c>
      <c r="N438" s="12">
        <v>3000</v>
      </c>
      <c r="O438" s="12">
        <v>400</v>
      </c>
      <c r="P438" s="12">
        <v>0.5</v>
      </c>
      <c r="Q438" s="12">
        <v>0.85</v>
      </c>
      <c r="R438" s="12">
        <v>0.75</v>
      </c>
      <c r="S438" s="12">
        <v>0.4</v>
      </c>
      <c r="T438" s="12">
        <v>0.75</v>
      </c>
      <c r="U438" s="12">
        <v>0.5</v>
      </c>
      <c r="V438" s="12"/>
      <c r="W438" s="12">
        <v>7.5181208087414797</v>
      </c>
      <c r="X438" s="12">
        <v>55.989486494396537</v>
      </c>
      <c r="Y438" s="12">
        <v>2600</v>
      </c>
      <c r="Z438" s="12">
        <v>7.5</v>
      </c>
      <c r="AA438" s="12" t="s">
        <v>1268</v>
      </c>
      <c r="AB438" s="12"/>
    </row>
    <row r="439" spans="1:28" x14ac:dyDescent="0.3">
      <c r="A439" s="12" t="s">
        <v>2332</v>
      </c>
      <c r="B439" s="12" t="s">
        <v>112</v>
      </c>
      <c r="C439" s="12" t="s">
        <v>386</v>
      </c>
      <c r="D439" s="12" t="s">
        <v>2329</v>
      </c>
      <c r="E439" s="12" t="s">
        <v>1886</v>
      </c>
      <c r="F439" s="12" t="s">
        <v>1861</v>
      </c>
      <c r="G439" s="12" t="s">
        <v>1861</v>
      </c>
      <c r="H439" s="12" t="b">
        <v>1</v>
      </c>
      <c r="I439" s="12" t="b">
        <v>0</v>
      </c>
      <c r="J439" s="12" t="b">
        <v>1</v>
      </c>
      <c r="K439" s="12" t="b">
        <v>0</v>
      </c>
      <c r="L439" s="12">
        <v>623.15</v>
      </c>
      <c r="M439" s="12">
        <v>300.032917</v>
      </c>
      <c r="N439" s="12">
        <v>3000</v>
      </c>
      <c r="O439" s="12">
        <v>400</v>
      </c>
      <c r="P439" s="12">
        <v>0.5</v>
      </c>
      <c r="Q439" s="12">
        <v>0.85</v>
      </c>
      <c r="R439" s="12">
        <v>0.75</v>
      </c>
      <c r="S439" s="12">
        <v>0.4</v>
      </c>
      <c r="T439" s="12">
        <v>0.75</v>
      </c>
      <c r="U439" s="12">
        <v>0.45</v>
      </c>
      <c r="V439" s="12"/>
      <c r="W439" s="12">
        <v>5.7020149848836503</v>
      </c>
      <c r="X439" s="12">
        <v>39.587621947881871</v>
      </c>
      <c r="Y439" s="12">
        <v>2600</v>
      </c>
      <c r="Z439" s="12">
        <v>7.5</v>
      </c>
      <c r="AA439" s="12" t="s">
        <v>1268</v>
      </c>
      <c r="AB439" s="12"/>
    </row>
    <row r="440" spans="1:28" x14ac:dyDescent="0.3">
      <c r="A440" s="12" t="s">
        <v>2333</v>
      </c>
      <c r="B440" s="12" t="s">
        <v>112</v>
      </c>
      <c r="C440" s="12" t="s">
        <v>386</v>
      </c>
      <c r="D440" s="12" t="s">
        <v>2329</v>
      </c>
      <c r="E440" s="12" t="s">
        <v>1886</v>
      </c>
      <c r="F440" s="12" t="s">
        <v>1861</v>
      </c>
      <c r="G440" s="12" t="s">
        <v>1861</v>
      </c>
      <c r="H440" s="12" t="b">
        <v>1</v>
      </c>
      <c r="I440" s="12" t="b">
        <v>0</v>
      </c>
      <c r="J440" s="12" t="b">
        <v>1</v>
      </c>
      <c r="K440" s="12" t="b">
        <v>0</v>
      </c>
      <c r="L440" s="12">
        <v>623.15</v>
      </c>
      <c r="M440" s="12">
        <v>300.032917</v>
      </c>
      <c r="N440" s="12">
        <v>3000</v>
      </c>
      <c r="O440" s="12">
        <v>400</v>
      </c>
      <c r="P440" s="12">
        <v>0.5</v>
      </c>
      <c r="Q440" s="12">
        <v>0.85</v>
      </c>
      <c r="R440" s="12">
        <v>0.75</v>
      </c>
      <c r="S440" s="12">
        <v>0.4</v>
      </c>
      <c r="T440" s="12">
        <v>0.75</v>
      </c>
      <c r="U440" s="12">
        <v>0.6</v>
      </c>
      <c r="V440" s="12"/>
      <c r="W440" s="12">
        <v>10.19500171365987</v>
      </c>
      <c r="X440" s="12">
        <v>84.637871224594249</v>
      </c>
      <c r="Y440" s="12">
        <v>2600</v>
      </c>
      <c r="Z440" s="12">
        <v>7.5</v>
      </c>
      <c r="AA440" s="12" t="s">
        <v>1268</v>
      </c>
      <c r="AB440" s="12"/>
    </row>
    <row r="441" spans="1:28" x14ac:dyDescent="0.3">
      <c r="A441" s="12" t="s">
        <v>2334</v>
      </c>
      <c r="B441" s="12" t="s">
        <v>112</v>
      </c>
      <c r="C441" s="12" t="s">
        <v>386</v>
      </c>
      <c r="D441" s="12" t="s">
        <v>2329</v>
      </c>
      <c r="E441" s="12" t="s">
        <v>1886</v>
      </c>
      <c r="F441" s="12" t="s">
        <v>1861</v>
      </c>
      <c r="G441" s="12" t="s">
        <v>1861</v>
      </c>
      <c r="H441" s="12" t="b">
        <v>1</v>
      </c>
      <c r="I441" s="12" t="b">
        <v>0</v>
      </c>
      <c r="J441" s="12" t="b">
        <v>1</v>
      </c>
      <c r="K441" s="12" t="b">
        <v>0</v>
      </c>
      <c r="L441" s="12">
        <v>623.15</v>
      </c>
      <c r="M441" s="12">
        <v>300.032917</v>
      </c>
      <c r="N441" s="12">
        <v>3000</v>
      </c>
      <c r="O441" s="12">
        <v>400</v>
      </c>
      <c r="P441" s="12">
        <v>0.5</v>
      </c>
      <c r="Q441" s="12">
        <v>0.85</v>
      </c>
      <c r="R441" s="12">
        <v>0.75</v>
      </c>
      <c r="S441" s="12">
        <v>0.4</v>
      </c>
      <c r="T441" s="12">
        <v>0.75</v>
      </c>
      <c r="U441" s="12">
        <v>0.65</v>
      </c>
      <c r="V441" s="12"/>
      <c r="W441" s="12">
        <v>11.21127407020348</v>
      </c>
      <c r="X441" s="12">
        <v>97.194998084239316</v>
      </c>
      <c r="Y441" s="12">
        <v>2600</v>
      </c>
      <c r="Z441" s="12">
        <v>7.5</v>
      </c>
      <c r="AA441" s="12" t="s">
        <v>1268</v>
      </c>
      <c r="AB441" s="12"/>
    </row>
    <row r="442" spans="1:28" x14ac:dyDescent="0.3">
      <c r="A442" s="12" t="s">
        <v>2335</v>
      </c>
      <c r="B442" s="12" t="s">
        <v>112</v>
      </c>
      <c r="C442" s="12" t="s">
        <v>386</v>
      </c>
      <c r="D442" s="12" t="s">
        <v>2329</v>
      </c>
      <c r="E442" s="12" t="s">
        <v>1886</v>
      </c>
      <c r="F442" s="12" t="s">
        <v>1861</v>
      </c>
      <c r="G442" s="12" t="s">
        <v>1861</v>
      </c>
      <c r="H442" s="12" t="b">
        <v>1</v>
      </c>
      <c r="I442" s="12" t="b">
        <v>0</v>
      </c>
      <c r="J442" s="12" t="b">
        <v>1</v>
      </c>
      <c r="K442" s="12" t="b">
        <v>0</v>
      </c>
      <c r="L442" s="12">
        <v>623.15</v>
      </c>
      <c r="M442" s="12">
        <v>300.032917</v>
      </c>
      <c r="N442" s="12">
        <v>3000</v>
      </c>
      <c r="O442" s="12">
        <v>400</v>
      </c>
      <c r="P442" s="12">
        <v>0.5</v>
      </c>
      <c r="Q442" s="12">
        <v>0.85</v>
      </c>
      <c r="R442" s="12">
        <v>0.75</v>
      </c>
      <c r="S442" s="12">
        <v>0.4</v>
      </c>
      <c r="T442" s="12">
        <v>0.75</v>
      </c>
      <c r="U442" s="12">
        <v>0.8</v>
      </c>
      <c r="V442" s="12"/>
      <c r="W442" s="12">
        <v>13.31771154737231</v>
      </c>
      <c r="X442" s="12">
        <v>124.9305023358619</v>
      </c>
      <c r="Y442" s="12">
        <v>2600</v>
      </c>
      <c r="Z442" s="12">
        <v>7.5</v>
      </c>
      <c r="AA442" s="12" t="s">
        <v>1268</v>
      </c>
      <c r="AB442" s="12"/>
    </row>
    <row r="443" spans="1:28" x14ac:dyDescent="0.3">
      <c r="A443" s="12" t="s">
        <v>2336</v>
      </c>
      <c r="B443" s="12" t="s">
        <v>112</v>
      </c>
      <c r="C443" s="12" t="s">
        <v>386</v>
      </c>
      <c r="D443" s="12" t="s">
        <v>2329</v>
      </c>
      <c r="E443" s="12" t="s">
        <v>1886</v>
      </c>
      <c r="F443" s="12" t="s">
        <v>1861</v>
      </c>
      <c r="G443" s="12" t="s">
        <v>1861</v>
      </c>
      <c r="H443" s="12" t="b">
        <v>1</v>
      </c>
      <c r="I443" s="12" t="b">
        <v>0</v>
      </c>
      <c r="J443" s="12" t="b">
        <v>1</v>
      </c>
      <c r="K443" s="12" t="b">
        <v>0</v>
      </c>
      <c r="L443" s="12">
        <v>623.15</v>
      </c>
      <c r="M443" s="12">
        <v>300.032917</v>
      </c>
      <c r="N443" s="12">
        <v>3000</v>
      </c>
      <c r="O443" s="12">
        <v>400</v>
      </c>
      <c r="P443" s="12">
        <v>0.5</v>
      </c>
      <c r="Q443" s="12">
        <v>0.85</v>
      </c>
      <c r="R443" s="12">
        <v>0.75</v>
      </c>
      <c r="S443" s="12">
        <v>0.4</v>
      </c>
      <c r="T443" s="12">
        <v>0.75</v>
      </c>
      <c r="U443" s="12">
        <v>0.85</v>
      </c>
      <c r="V443" s="12"/>
      <c r="W443" s="12">
        <v>13.42578696959958</v>
      </c>
      <c r="X443" s="12">
        <v>128.0276542286</v>
      </c>
      <c r="Y443" s="12">
        <v>2600</v>
      </c>
      <c r="Z443" s="12">
        <v>7.5</v>
      </c>
      <c r="AA443" s="12" t="s">
        <v>1268</v>
      </c>
      <c r="AB443" s="12"/>
    </row>
    <row r="444" spans="1:28" x14ac:dyDescent="0.3">
      <c r="A444" s="12" t="s">
        <v>2337</v>
      </c>
      <c r="B444" s="12" t="s">
        <v>112</v>
      </c>
      <c r="C444" s="12" t="s">
        <v>386</v>
      </c>
      <c r="D444" s="12" t="s">
        <v>2329</v>
      </c>
      <c r="E444" s="12" t="s">
        <v>1886</v>
      </c>
      <c r="F444" s="12" t="s">
        <v>1861</v>
      </c>
      <c r="G444" s="12" t="s">
        <v>1861</v>
      </c>
      <c r="H444" s="12" t="b">
        <v>1</v>
      </c>
      <c r="I444" s="12" t="b">
        <v>0</v>
      </c>
      <c r="J444" s="12" t="b">
        <v>1</v>
      </c>
      <c r="K444" s="12" t="b">
        <v>0</v>
      </c>
      <c r="L444" s="12">
        <v>623.15</v>
      </c>
      <c r="M444" s="12">
        <v>300.032917</v>
      </c>
      <c r="N444" s="12">
        <v>3000</v>
      </c>
      <c r="O444" s="12">
        <v>400</v>
      </c>
      <c r="P444" s="12">
        <v>0.5</v>
      </c>
      <c r="Q444" s="12">
        <v>0.85</v>
      </c>
      <c r="R444" s="12">
        <v>0.75</v>
      </c>
      <c r="S444" s="12">
        <v>0.4</v>
      </c>
      <c r="T444" s="12">
        <v>0.75</v>
      </c>
      <c r="U444" s="12">
        <v>0.7</v>
      </c>
      <c r="V444" s="12"/>
      <c r="W444" s="12">
        <v>12.17114741692302</v>
      </c>
      <c r="X444" s="12">
        <v>109.2739721044059</v>
      </c>
      <c r="Y444" s="12">
        <v>2600</v>
      </c>
      <c r="Z444" s="12">
        <v>7.5</v>
      </c>
      <c r="AA444" s="12" t="s">
        <v>1268</v>
      </c>
      <c r="AB444" s="12"/>
    </row>
    <row r="445" spans="1:28" x14ac:dyDescent="0.3">
      <c r="A445" s="12" t="s">
        <v>2338</v>
      </c>
      <c r="B445" s="12" t="s">
        <v>112</v>
      </c>
      <c r="C445" s="12" t="s">
        <v>386</v>
      </c>
      <c r="D445" s="12" t="s">
        <v>2329</v>
      </c>
      <c r="E445" s="12" t="s">
        <v>1886</v>
      </c>
      <c r="F445" s="12" t="s">
        <v>1861</v>
      </c>
      <c r="G445" s="12" t="s">
        <v>1861</v>
      </c>
      <c r="H445" s="12" t="b">
        <v>1</v>
      </c>
      <c r="I445" s="12" t="b">
        <v>0</v>
      </c>
      <c r="J445" s="12" t="b">
        <v>1</v>
      </c>
      <c r="K445" s="12" t="b">
        <v>0</v>
      </c>
      <c r="L445" s="12">
        <v>623.15</v>
      </c>
      <c r="M445" s="12">
        <v>300.032917</v>
      </c>
      <c r="N445" s="12">
        <v>3000</v>
      </c>
      <c r="O445" s="12">
        <v>400</v>
      </c>
      <c r="P445" s="12">
        <v>0.5</v>
      </c>
      <c r="Q445" s="12">
        <v>0.85</v>
      </c>
      <c r="R445" s="12">
        <v>0.75</v>
      </c>
      <c r="S445" s="12">
        <v>0.4</v>
      </c>
      <c r="T445" s="12">
        <v>0.75</v>
      </c>
      <c r="U445" s="12">
        <v>0.75</v>
      </c>
      <c r="V445" s="12"/>
      <c r="W445" s="12">
        <v>12.93406457442636</v>
      </c>
      <c r="X445" s="12">
        <v>118.9637163461163</v>
      </c>
      <c r="Y445" s="12">
        <v>2600</v>
      </c>
      <c r="Z445" s="12">
        <v>7.5</v>
      </c>
      <c r="AA445" s="12" t="s">
        <v>1268</v>
      </c>
      <c r="AB445" s="12"/>
    </row>
    <row r="446" spans="1:28" x14ac:dyDescent="0.3">
      <c r="A446" s="12" t="s">
        <v>2339</v>
      </c>
      <c r="B446" s="12" t="s">
        <v>112</v>
      </c>
      <c r="C446" s="12" t="s">
        <v>386</v>
      </c>
      <c r="D446" s="12" t="s">
        <v>2329</v>
      </c>
      <c r="E446" s="12" t="s">
        <v>1886</v>
      </c>
      <c r="F446" s="12" t="s">
        <v>1861</v>
      </c>
      <c r="G446" s="12" t="s">
        <v>1861</v>
      </c>
      <c r="H446" s="12" t="b">
        <v>1</v>
      </c>
      <c r="I446" s="12" t="b">
        <v>0</v>
      </c>
      <c r="J446" s="12" t="b">
        <v>1</v>
      </c>
      <c r="K446" s="12" t="b">
        <v>0</v>
      </c>
      <c r="L446" s="12">
        <v>623.15</v>
      </c>
      <c r="M446" s="12">
        <v>300.032917</v>
      </c>
      <c r="N446" s="12">
        <v>3000</v>
      </c>
      <c r="O446" s="12">
        <v>400</v>
      </c>
      <c r="P446" s="12">
        <v>0.5</v>
      </c>
      <c r="Q446" s="12">
        <v>0.85</v>
      </c>
      <c r="R446" s="12">
        <v>0.75</v>
      </c>
      <c r="S446" s="12">
        <v>0.4</v>
      </c>
      <c r="T446" s="12">
        <v>0.75</v>
      </c>
      <c r="U446" s="12">
        <v>0.89999999999999991</v>
      </c>
      <c r="V446" s="12"/>
      <c r="W446" s="12">
        <v>13.329923900090961</v>
      </c>
      <c r="X446" s="12">
        <v>128.89206136051939</v>
      </c>
      <c r="Y446" s="12">
        <v>2600</v>
      </c>
      <c r="Z446" s="12">
        <v>7.5</v>
      </c>
      <c r="AA446" s="12" t="s">
        <v>1268</v>
      </c>
      <c r="AB446" s="12"/>
    </row>
    <row r="447" spans="1:28" x14ac:dyDescent="0.3">
      <c r="A447" s="12" t="s">
        <v>2340</v>
      </c>
      <c r="B447" s="12" t="s">
        <v>112</v>
      </c>
      <c r="C447" s="12" t="s">
        <v>386</v>
      </c>
      <c r="D447" s="12" t="s">
        <v>2329</v>
      </c>
      <c r="E447" s="12" t="s">
        <v>1886</v>
      </c>
      <c r="F447" s="12" t="s">
        <v>1861</v>
      </c>
      <c r="G447" s="12" t="s">
        <v>1861</v>
      </c>
      <c r="H447" s="12" t="b">
        <v>1</v>
      </c>
      <c r="I447" s="12" t="b">
        <v>0</v>
      </c>
      <c r="J447" s="12" t="b">
        <v>1</v>
      </c>
      <c r="K447" s="12" t="b">
        <v>0</v>
      </c>
      <c r="L447" s="12">
        <v>623.15</v>
      </c>
      <c r="M447" s="12">
        <v>300.032917</v>
      </c>
      <c r="N447" s="12">
        <v>3000</v>
      </c>
      <c r="O447" s="12">
        <v>400</v>
      </c>
      <c r="P447" s="12">
        <v>0.5</v>
      </c>
      <c r="Q447" s="12">
        <v>0.85</v>
      </c>
      <c r="R447" s="12">
        <v>0.75</v>
      </c>
      <c r="S447" s="12">
        <v>0.4</v>
      </c>
      <c r="T447" s="12">
        <v>0.75</v>
      </c>
      <c r="U447" s="12">
        <v>0.95</v>
      </c>
      <c r="V447" s="12"/>
      <c r="W447" s="12">
        <v>13.080653879701829</v>
      </c>
      <c r="X447" s="12">
        <v>128.0011975388459</v>
      </c>
      <c r="Y447" s="12">
        <v>2600</v>
      </c>
      <c r="Z447" s="12">
        <v>7.5</v>
      </c>
      <c r="AA447" s="12" t="s">
        <v>1268</v>
      </c>
      <c r="AB447" s="12"/>
    </row>
    <row r="448" spans="1:28" x14ac:dyDescent="0.3">
      <c r="A448" s="12" t="s">
        <v>2341</v>
      </c>
      <c r="B448" s="12" t="s">
        <v>112</v>
      </c>
      <c r="C448" s="12" t="s">
        <v>386</v>
      </c>
      <c r="D448" s="12" t="s">
        <v>2329</v>
      </c>
      <c r="E448" s="12" t="s">
        <v>1886</v>
      </c>
      <c r="F448" s="12" t="s">
        <v>1861</v>
      </c>
      <c r="G448" s="12" t="s">
        <v>1861</v>
      </c>
      <c r="H448" s="12" t="b">
        <v>1</v>
      </c>
      <c r="I448" s="12" t="b">
        <v>0</v>
      </c>
      <c r="J448" s="12" t="b">
        <v>1</v>
      </c>
      <c r="K448" s="12" t="b">
        <v>0</v>
      </c>
      <c r="L448" s="12">
        <v>623.15</v>
      </c>
      <c r="M448" s="12">
        <v>300.032917</v>
      </c>
      <c r="N448" s="12">
        <v>3000</v>
      </c>
      <c r="O448" s="12">
        <v>400</v>
      </c>
      <c r="P448" s="12">
        <v>0.5</v>
      </c>
      <c r="Q448" s="12">
        <v>0.85</v>
      </c>
      <c r="R448" s="12">
        <v>0.75</v>
      </c>
      <c r="S448" s="12">
        <v>0.5</v>
      </c>
      <c r="T448" s="12">
        <v>0.75</v>
      </c>
      <c r="U448" s="12">
        <v>0.45</v>
      </c>
      <c r="V448" s="12"/>
      <c r="W448" s="12">
        <v>5.8957670726756302</v>
      </c>
      <c r="X448" s="12">
        <v>47.213321878829163</v>
      </c>
      <c r="Y448" s="12">
        <v>2600</v>
      </c>
      <c r="Z448" s="12">
        <v>7.5</v>
      </c>
      <c r="AA448" s="12" t="s">
        <v>1268</v>
      </c>
      <c r="AB448" s="12"/>
    </row>
    <row r="449" spans="1:28" x14ac:dyDescent="0.3">
      <c r="A449" s="12" t="s">
        <v>2342</v>
      </c>
      <c r="B449" s="12" t="s">
        <v>112</v>
      </c>
      <c r="C449" s="12" t="s">
        <v>386</v>
      </c>
      <c r="D449" s="12" t="s">
        <v>2329</v>
      </c>
      <c r="E449" s="12" t="s">
        <v>1886</v>
      </c>
      <c r="F449" s="12" t="s">
        <v>1861</v>
      </c>
      <c r="G449" s="12" t="s">
        <v>1861</v>
      </c>
      <c r="H449" s="12" t="b">
        <v>1</v>
      </c>
      <c r="I449" s="12" t="b">
        <v>0</v>
      </c>
      <c r="J449" s="12" t="b">
        <v>1</v>
      </c>
      <c r="K449" s="12" t="b">
        <v>0</v>
      </c>
      <c r="L449" s="12">
        <v>623.15</v>
      </c>
      <c r="M449" s="12">
        <v>300.032917</v>
      </c>
      <c r="N449" s="12">
        <v>3000</v>
      </c>
      <c r="O449" s="12">
        <v>400</v>
      </c>
      <c r="P449" s="12">
        <v>0.5</v>
      </c>
      <c r="Q449" s="12">
        <v>0.85</v>
      </c>
      <c r="R449" s="12">
        <v>0.75</v>
      </c>
      <c r="S449" s="12">
        <v>0.5</v>
      </c>
      <c r="T449" s="12">
        <v>0.75</v>
      </c>
      <c r="U449" s="12">
        <v>0.5</v>
      </c>
      <c r="V449" s="12"/>
      <c r="W449" s="12">
        <v>7.6343135577888894</v>
      </c>
      <c r="X449" s="12">
        <v>66.388030271486144</v>
      </c>
      <c r="Y449" s="12">
        <v>2600</v>
      </c>
      <c r="Z449" s="12">
        <v>7.5</v>
      </c>
      <c r="AA449" s="12" t="s">
        <v>1268</v>
      </c>
      <c r="AB449" s="12"/>
    </row>
    <row r="450" spans="1:28" x14ac:dyDescent="0.3">
      <c r="A450" s="12" t="s">
        <v>2343</v>
      </c>
      <c r="B450" s="12" t="s">
        <v>112</v>
      </c>
      <c r="C450" s="12" t="s">
        <v>386</v>
      </c>
      <c r="D450" s="12" t="s">
        <v>2329</v>
      </c>
      <c r="E450" s="12" t="s">
        <v>1886</v>
      </c>
      <c r="F450" s="12" t="s">
        <v>1861</v>
      </c>
      <c r="G450" s="12" t="s">
        <v>1861</v>
      </c>
      <c r="H450" s="12" t="b">
        <v>1</v>
      </c>
      <c r="I450" s="12" t="b">
        <v>0</v>
      </c>
      <c r="J450" s="12" t="b">
        <v>1</v>
      </c>
      <c r="K450" s="12" t="b">
        <v>0</v>
      </c>
      <c r="L450" s="12">
        <v>623.15</v>
      </c>
      <c r="M450" s="12">
        <v>300.032917</v>
      </c>
      <c r="N450" s="12">
        <v>3000</v>
      </c>
      <c r="O450" s="12">
        <v>400</v>
      </c>
      <c r="P450" s="12">
        <v>0.5</v>
      </c>
      <c r="Q450" s="12">
        <v>0.85</v>
      </c>
      <c r="R450" s="12">
        <v>0.75</v>
      </c>
      <c r="S450" s="12">
        <v>0.5</v>
      </c>
      <c r="T450" s="12">
        <v>0.75</v>
      </c>
      <c r="U450" s="12">
        <v>0.4</v>
      </c>
      <c r="V450" s="12"/>
      <c r="W450" s="12">
        <v>3.6552004148864001</v>
      </c>
      <c r="X450" s="12">
        <v>26.508099254275461</v>
      </c>
      <c r="Y450" s="12">
        <v>2600</v>
      </c>
      <c r="Z450" s="12">
        <v>7.5</v>
      </c>
      <c r="AA450" s="12" t="s">
        <v>1268</v>
      </c>
      <c r="AB450" s="12"/>
    </row>
    <row r="451" spans="1:28" x14ac:dyDescent="0.3">
      <c r="A451" s="12" t="s">
        <v>2344</v>
      </c>
      <c r="B451" s="12" t="s">
        <v>112</v>
      </c>
      <c r="C451" s="12" t="s">
        <v>386</v>
      </c>
      <c r="D451" s="12" t="s">
        <v>2329</v>
      </c>
      <c r="E451" s="12" t="s">
        <v>1886</v>
      </c>
      <c r="F451" s="12" t="s">
        <v>1861</v>
      </c>
      <c r="G451" s="12" t="s">
        <v>1861</v>
      </c>
      <c r="H451" s="12" t="b">
        <v>1</v>
      </c>
      <c r="I451" s="12" t="b">
        <v>0</v>
      </c>
      <c r="J451" s="12" t="b">
        <v>1</v>
      </c>
      <c r="K451" s="12" t="b">
        <v>0</v>
      </c>
      <c r="L451" s="12">
        <v>623.15</v>
      </c>
      <c r="M451" s="12">
        <v>300.032917</v>
      </c>
      <c r="N451" s="12">
        <v>3000</v>
      </c>
      <c r="O451" s="12">
        <v>400</v>
      </c>
      <c r="P451" s="12">
        <v>0.5</v>
      </c>
      <c r="Q451" s="12">
        <v>0.85</v>
      </c>
      <c r="R451" s="12">
        <v>0.75</v>
      </c>
      <c r="S451" s="12">
        <v>0.5</v>
      </c>
      <c r="T451" s="12">
        <v>0.75</v>
      </c>
      <c r="U451" s="12">
        <v>0.6</v>
      </c>
      <c r="V451" s="12"/>
      <c r="W451" s="12">
        <v>10.188872477997769</v>
      </c>
      <c r="X451" s="12">
        <v>100.84277488808171</v>
      </c>
      <c r="Y451" s="12">
        <v>2600</v>
      </c>
      <c r="Z451" s="12">
        <v>7.5</v>
      </c>
      <c r="AA451" s="12" t="s">
        <v>1268</v>
      </c>
      <c r="AB451" s="12"/>
    </row>
    <row r="452" spans="1:28" x14ac:dyDescent="0.3">
      <c r="A452" s="12" t="s">
        <v>2345</v>
      </c>
      <c r="B452" s="12" t="s">
        <v>112</v>
      </c>
      <c r="C452" s="12" t="s">
        <v>386</v>
      </c>
      <c r="D452" s="12" t="s">
        <v>2329</v>
      </c>
      <c r="E452" s="12" t="s">
        <v>1886</v>
      </c>
      <c r="F452" s="12" t="s">
        <v>1861</v>
      </c>
      <c r="G452" s="12" t="s">
        <v>1861</v>
      </c>
      <c r="H452" s="12" t="b">
        <v>1</v>
      </c>
      <c r="I452" s="12" t="b">
        <v>0</v>
      </c>
      <c r="J452" s="12" t="b">
        <v>1</v>
      </c>
      <c r="K452" s="12" t="b">
        <v>0</v>
      </c>
      <c r="L452" s="12">
        <v>623.15</v>
      </c>
      <c r="M452" s="12">
        <v>300.032917</v>
      </c>
      <c r="N452" s="12">
        <v>3000</v>
      </c>
      <c r="O452" s="12">
        <v>400</v>
      </c>
      <c r="P452" s="12">
        <v>0.5</v>
      </c>
      <c r="Q452" s="12">
        <v>0.85</v>
      </c>
      <c r="R452" s="12">
        <v>0.75</v>
      </c>
      <c r="S452" s="12">
        <v>0.5</v>
      </c>
      <c r="T452" s="12">
        <v>0.75</v>
      </c>
      <c r="U452" s="12">
        <v>0.55000000000000004</v>
      </c>
      <c r="V452" s="12"/>
      <c r="W452" s="12">
        <v>9.0327240176667694</v>
      </c>
      <c r="X452" s="12">
        <v>84.214650659046725</v>
      </c>
      <c r="Y452" s="12">
        <v>2600</v>
      </c>
      <c r="Z452" s="12">
        <v>7.5</v>
      </c>
      <c r="AA452" s="12" t="s">
        <v>1268</v>
      </c>
      <c r="AB452" s="12"/>
    </row>
    <row r="453" spans="1:28" x14ac:dyDescent="0.3">
      <c r="A453" s="12" t="s">
        <v>2346</v>
      </c>
      <c r="B453" s="12" t="s">
        <v>112</v>
      </c>
      <c r="C453" s="12" t="s">
        <v>386</v>
      </c>
      <c r="D453" s="12" t="s">
        <v>2329</v>
      </c>
      <c r="E453" s="12" t="s">
        <v>1886</v>
      </c>
      <c r="F453" s="12" t="s">
        <v>1861</v>
      </c>
      <c r="G453" s="12" t="s">
        <v>1861</v>
      </c>
      <c r="H453" s="12" t="b">
        <v>1</v>
      </c>
      <c r="I453" s="12" t="b">
        <v>0</v>
      </c>
      <c r="J453" s="12" t="b">
        <v>1</v>
      </c>
      <c r="K453" s="12" t="b">
        <v>0</v>
      </c>
      <c r="L453" s="12">
        <v>623.15</v>
      </c>
      <c r="M453" s="12">
        <v>300.032917</v>
      </c>
      <c r="N453" s="12">
        <v>3000</v>
      </c>
      <c r="O453" s="12">
        <v>400</v>
      </c>
      <c r="P453" s="12">
        <v>0.5</v>
      </c>
      <c r="Q453" s="12">
        <v>0.85</v>
      </c>
      <c r="R453" s="12">
        <v>0.75</v>
      </c>
      <c r="S453" s="12">
        <v>0.5</v>
      </c>
      <c r="T453" s="12">
        <v>0.75</v>
      </c>
      <c r="U453" s="12">
        <v>0.65</v>
      </c>
      <c r="V453" s="12"/>
      <c r="W453" s="12">
        <v>11.164751459453139</v>
      </c>
      <c r="X453" s="12">
        <v>116.39916245149711</v>
      </c>
      <c r="Y453" s="12">
        <v>2600</v>
      </c>
      <c r="Z453" s="12">
        <v>7.5</v>
      </c>
      <c r="AA453" s="12" t="s">
        <v>1268</v>
      </c>
      <c r="AB453" s="12"/>
    </row>
    <row r="454" spans="1:28" x14ac:dyDescent="0.3">
      <c r="A454" s="12" t="s">
        <v>2347</v>
      </c>
      <c r="B454" s="12" t="s">
        <v>112</v>
      </c>
      <c r="C454" s="12" t="s">
        <v>386</v>
      </c>
      <c r="D454" s="12" t="s">
        <v>2329</v>
      </c>
      <c r="E454" s="12" t="s">
        <v>1886</v>
      </c>
      <c r="F454" s="12" t="s">
        <v>1861</v>
      </c>
      <c r="G454" s="12" t="s">
        <v>1861</v>
      </c>
      <c r="H454" s="12" t="b">
        <v>1</v>
      </c>
      <c r="I454" s="12" t="b">
        <v>0</v>
      </c>
      <c r="J454" s="12" t="b">
        <v>1</v>
      </c>
      <c r="K454" s="12" t="b">
        <v>0</v>
      </c>
      <c r="L454" s="12">
        <v>623.15</v>
      </c>
      <c r="M454" s="12">
        <v>300.032917</v>
      </c>
      <c r="N454" s="12">
        <v>3000</v>
      </c>
      <c r="O454" s="12">
        <v>400</v>
      </c>
      <c r="P454" s="12">
        <v>0.5</v>
      </c>
      <c r="Q454" s="12">
        <v>0.85</v>
      </c>
      <c r="R454" s="12">
        <v>0.75</v>
      </c>
      <c r="S454" s="12">
        <v>0.5</v>
      </c>
      <c r="T454" s="12">
        <v>0.75</v>
      </c>
      <c r="U454" s="12">
        <v>0.7</v>
      </c>
      <c r="V454" s="12"/>
      <c r="W454" s="12">
        <v>12.001936797795331</v>
      </c>
      <c r="X454" s="12">
        <v>130.99764655482139</v>
      </c>
      <c r="Y454" s="12">
        <v>2600</v>
      </c>
      <c r="Z454" s="12">
        <v>7.5</v>
      </c>
      <c r="AA454" s="12" t="s">
        <v>1268</v>
      </c>
      <c r="AB454" s="12"/>
    </row>
    <row r="455" spans="1:28" x14ac:dyDescent="0.3">
      <c r="A455" s="12" t="s">
        <v>2348</v>
      </c>
      <c r="B455" s="12" t="s">
        <v>112</v>
      </c>
      <c r="C455" s="12" t="s">
        <v>386</v>
      </c>
      <c r="D455" s="12" t="s">
        <v>2329</v>
      </c>
      <c r="E455" s="12" t="s">
        <v>1886</v>
      </c>
      <c r="F455" s="12" t="s">
        <v>1861</v>
      </c>
      <c r="G455" s="12" t="s">
        <v>1861</v>
      </c>
      <c r="H455" s="12" t="b">
        <v>1</v>
      </c>
      <c r="I455" s="12" t="b">
        <v>0</v>
      </c>
      <c r="J455" s="12" t="b">
        <v>1</v>
      </c>
      <c r="K455" s="12" t="b">
        <v>0</v>
      </c>
      <c r="L455" s="12">
        <v>623.15</v>
      </c>
      <c r="M455" s="12">
        <v>300.032917</v>
      </c>
      <c r="N455" s="12">
        <v>3000</v>
      </c>
      <c r="O455" s="12">
        <v>400</v>
      </c>
      <c r="P455" s="12">
        <v>0.5</v>
      </c>
      <c r="Q455" s="12">
        <v>0.85</v>
      </c>
      <c r="R455" s="12">
        <v>0.75</v>
      </c>
      <c r="S455" s="12">
        <v>0.5</v>
      </c>
      <c r="T455" s="12">
        <v>0.75</v>
      </c>
      <c r="U455" s="12">
        <v>0.75</v>
      </c>
      <c r="V455" s="12"/>
      <c r="W455" s="12">
        <v>12.782929250534499</v>
      </c>
      <c r="X455" s="12">
        <v>144.88374782665451</v>
      </c>
      <c r="Y455" s="12">
        <v>2600</v>
      </c>
      <c r="Z455" s="12">
        <v>7.5</v>
      </c>
      <c r="AA455" s="12" t="s">
        <v>1268</v>
      </c>
      <c r="AB455" s="12"/>
    </row>
    <row r="456" spans="1:28" x14ac:dyDescent="0.3">
      <c r="A456" s="12" t="s">
        <v>2349</v>
      </c>
      <c r="B456" s="12" t="s">
        <v>112</v>
      </c>
      <c r="C456" s="12" t="s">
        <v>386</v>
      </c>
      <c r="D456" s="12" t="s">
        <v>2329</v>
      </c>
      <c r="E456" s="12" t="s">
        <v>1886</v>
      </c>
      <c r="F456" s="12" t="s">
        <v>832</v>
      </c>
      <c r="G456" s="12" t="s">
        <v>832</v>
      </c>
      <c r="H456" s="12" t="b">
        <v>0</v>
      </c>
      <c r="I456" s="12" t="b">
        <v>0</v>
      </c>
      <c r="J456" s="12" t="b">
        <v>0</v>
      </c>
      <c r="K456" s="12" t="b">
        <v>0</v>
      </c>
      <c r="L456" s="12">
        <v>623.15</v>
      </c>
      <c r="M456" s="12">
        <v>300.032917</v>
      </c>
      <c r="N456" s="12">
        <v>3000</v>
      </c>
      <c r="O456" s="12">
        <v>400</v>
      </c>
      <c r="P456" s="12">
        <v>0.5</v>
      </c>
      <c r="Q456" s="12">
        <v>0.85</v>
      </c>
      <c r="R456" s="12">
        <v>0.75</v>
      </c>
      <c r="S456" s="12">
        <v>0.5</v>
      </c>
      <c r="T456" s="12">
        <v>0.75</v>
      </c>
      <c r="U456" s="12">
        <v>0.8</v>
      </c>
      <c r="V456" s="12"/>
      <c r="W456" s="12"/>
      <c r="X456" s="12"/>
      <c r="Y456" s="12">
        <v>2600</v>
      </c>
      <c r="Z456" s="12">
        <v>7.5</v>
      </c>
      <c r="AA456" s="12"/>
      <c r="AB456" s="12"/>
    </row>
    <row r="457" spans="1:28" x14ac:dyDescent="0.3">
      <c r="A457" s="12" t="s">
        <v>2350</v>
      </c>
      <c r="B457" s="12" t="s">
        <v>112</v>
      </c>
      <c r="C457" s="12" t="s">
        <v>386</v>
      </c>
      <c r="D457" s="12" t="s">
        <v>2329</v>
      </c>
      <c r="E457" s="12" t="s">
        <v>1886</v>
      </c>
      <c r="F457" s="12" t="s">
        <v>1861</v>
      </c>
      <c r="G457" s="12" t="s">
        <v>1861</v>
      </c>
      <c r="H457" s="12" t="b">
        <v>1</v>
      </c>
      <c r="I457" s="12" t="b">
        <v>0</v>
      </c>
      <c r="J457" s="12" t="b">
        <v>1</v>
      </c>
      <c r="K457" s="12" t="b">
        <v>0</v>
      </c>
      <c r="L457" s="12">
        <v>623.15</v>
      </c>
      <c r="M457" s="12">
        <v>300.032917</v>
      </c>
      <c r="N457" s="12">
        <v>3000</v>
      </c>
      <c r="O457" s="12">
        <v>400</v>
      </c>
      <c r="P457" s="12">
        <v>0.5</v>
      </c>
      <c r="Q457" s="12">
        <v>0.85</v>
      </c>
      <c r="R457" s="12">
        <v>0.75</v>
      </c>
      <c r="S457" s="12">
        <v>0.5</v>
      </c>
      <c r="T457" s="12">
        <v>0.75</v>
      </c>
      <c r="U457" s="12">
        <v>0.85</v>
      </c>
      <c r="V457" s="12"/>
      <c r="W457" s="12">
        <v>13.517533748452291</v>
      </c>
      <c r="X457" s="12">
        <v>161.30287850894121</v>
      </c>
      <c r="Y457" s="12">
        <v>2600</v>
      </c>
      <c r="Z457" s="12">
        <v>7.5</v>
      </c>
      <c r="AA457" s="12" t="s">
        <v>1268</v>
      </c>
      <c r="AB457" s="12"/>
    </row>
    <row r="458" spans="1:28" x14ac:dyDescent="0.3">
      <c r="A458" s="12" t="s">
        <v>2351</v>
      </c>
      <c r="B458" s="12" t="s">
        <v>112</v>
      </c>
      <c r="C458" s="12" t="s">
        <v>386</v>
      </c>
      <c r="D458" s="12" t="s">
        <v>2329</v>
      </c>
      <c r="E458" s="12" t="s">
        <v>1886</v>
      </c>
      <c r="F458" s="12" t="s">
        <v>1861</v>
      </c>
      <c r="G458" s="12" t="s">
        <v>1861</v>
      </c>
      <c r="H458" s="12" t="b">
        <v>1</v>
      </c>
      <c r="I458" s="12" t="b">
        <v>0</v>
      </c>
      <c r="J458" s="12" t="b">
        <v>1</v>
      </c>
      <c r="K458" s="12" t="b">
        <v>0</v>
      </c>
      <c r="L458" s="12">
        <v>623.15</v>
      </c>
      <c r="M458" s="12">
        <v>300.032917</v>
      </c>
      <c r="N458" s="12">
        <v>3000</v>
      </c>
      <c r="O458" s="12">
        <v>400</v>
      </c>
      <c r="P458" s="12">
        <v>0.5</v>
      </c>
      <c r="Q458" s="12">
        <v>0.85</v>
      </c>
      <c r="R458" s="12">
        <v>0.75</v>
      </c>
      <c r="S458" s="12">
        <v>0.5</v>
      </c>
      <c r="T458" s="12">
        <v>0.75</v>
      </c>
      <c r="U458" s="12">
        <v>0.89999999999999991</v>
      </c>
      <c r="V458" s="12"/>
      <c r="W458" s="12">
        <v>13.47134770416277</v>
      </c>
      <c r="X458" s="12">
        <v>163.9486531534034</v>
      </c>
      <c r="Y458" s="12">
        <v>2600</v>
      </c>
      <c r="Z458" s="12">
        <v>7.5</v>
      </c>
      <c r="AA458" s="12" t="s">
        <v>1268</v>
      </c>
      <c r="AB458" s="12"/>
    </row>
    <row r="459" spans="1:28" x14ac:dyDescent="0.3">
      <c r="A459" s="12" t="s">
        <v>2352</v>
      </c>
      <c r="B459" s="12" t="s">
        <v>112</v>
      </c>
      <c r="C459" s="12" t="s">
        <v>386</v>
      </c>
      <c r="D459" s="12" t="s">
        <v>2329</v>
      </c>
      <c r="E459" s="12" t="s">
        <v>1886</v>
      </c>
      <c r="F459" s="12" t="s">
        <v>1861</v>
      </c>
      <c r="G459" s="12" t="s">
        <v>1861</v>
      </c>
      <c r="H459" s="12" t="b">
        <v>1</v>
      </c>
      <c r="I459" s="12" t="b">
        <v>0</v>
      </c>
      <c r="J459" s="12" t="b">
        <v>1</v>
      </c>
      <c r="K459" s="12" t="b">
        <v>0</v>
      </c>
      <c r="L459" s="12">
        <v>623.15</v>
      </c>
      <c r="M459" s="12">
        <v>300.032917</v>
      </c>
      <c r="N459" s="12">
        <v>3000</v>
      </c>
      <c r="O459" s="12">
        <v>400</v>
      </c>
      <c r="P459" s="12">
        <v>0.5</v>
      </c>
      <c r="Q459" s="12">
        <v>0.85</v>
      </c>
      <c r="R459" s="12">
        <v>0.75</v>
      </c>
      <c r="S459" s="12">
        <v>0.5</v>
      </c>
      <c r="T459" s="12">
        <v>0.75</v>
      </c>
      <c r="U459" s="12">
        <v>0.95</v>
      </c>
      <c r="V459" s="12"/>
      <c r="W459" s="12">
        <v>13.232688930583979</v>
      </c>
      <c r="X459" s="12">
        <v>163.77818597895211</v>
      </c>
      <c r="Y459" s="12">
        <v>2600</v>
      </c>
      <c r="Z459" s="12">
        <v>7.5</v>
      </c>
      <c r="AA459" s="12" t="s">
        <v>1268</v>
      </c>
      <c r="AB459" s="12"/>
    </row>
    <row r="460" spans="1:28" x14ac:dyDescent="0.3">
      <c r="A460" s="12" t="s">
        <v>2353</v>
      </c>
      <c r="B460" s="12" t="s">
        <v>112</v>
      </c>
      <c r="C460" s="12" t="s">
        <v>386</v>
      </c>
      <c r="D460" s="12" t="s">
        <v>2329</v>
      </c>
      <c r="E460" s="12" t="s">
        <v>1886</v>
      </c>
      <c r="F460" s="12" t="s">
        <v>1861</v>
      </c>
      <c r="G460" s="12" t="s">
        <v>1861</v>
      </c>
      <c r="H460" s="12" t="b">
        <v>1</v>
      </c>
      <c r="I460" s="12" t="b">
        <v>0</v>
      </c>
      <c r="J460" s="12" t="b">
        <v>1</v>
      </c>
      <c r="K460" s="12" t="b">
        <v>0</v>
      </c>
      <c r="L460" s="12">
        <v>623.15</v>
      </c>
      <c r="M460" s="12">
        <v>300.032917</v>
      </c>
      <c r="N460" s="12">
        <v>3000</v>
      </c>
      <c r="O460" s="12">
        <v>400</v>
      </c>
      <c r="P460" s="12">
        <v>0.5</v>
      </c>
      <c r="Q460" s="12">
        <v>0.85</v>
      </c>
      <c r="R460" s="12">
        <v>0.75</v>
      </c>
      <c r="S460" s="12">
        <v>0.6</v>
      </c>
      <c r="T460" s="12">
        <v>0.75</v>
      </c>
      <c r="U460" s="12">
        <v>0.4</v>
      </c>
      <c r="V460" s="12"/>
      <c r="W460" s="12">
        <v>3.8783976751824301</v>
      </c>
      <c r="X460" s="12">
        <v>30.962687088730949</v>
      </c>
      <c r="Y460" s="12">
        <v>2600</v>
      </c>
      <c r="Z460" s="12">
        <v>7.5</v>
      </c>
      <c r="AA460" s="12" t="s">
        <v>1981</v>
      </c>
      <c r="AB460" s="12"/>
    </row>
    <row r="461" spans="1:28" x14ac:dyDescent="0.3">
      <c r="A461" s="12" t="s">
        <v>2354</v>
      </c>
      <c r="B461" s="12" t="s">
        <v>112</v>
      </c>
      <c r="C461" s="12" t="s">
        <v>386</v>
      </c>
      <c r="D461" s="12" t="s">
        <v>2329</v>
      </c>
      <c r="E461" s="12" t="s">
        <v>1886</v>
      </c>
      <c r="F461" s="12" t="s">
        <v>1861</v>
      </c>
      <c r="G461" s="12" t="s">
        <v>1861</v>
      </c>
      <c r="H461" s="12" t="b">
        <v>1</v>
      </c>
      <c r="I461" s="12" t="b">
        <v>0</v>
      </c>
      <c r="J461" s="12" t="b">
        <v>1</v>
      </c>
      <c r="K461" s="12" t="b">
        <v>0</v>
      </c>
      <c r="L461" s="12">
        <v>623.15</v>
      </c>
      <c r="M461" s="12">
        <v>300.032917</v>
      </c>
      <c r="N461" s="12">
        <v>3000</v>
      </c>
      <c r="O461" s="12">
        <v>400</v>
      </c>
      <c r="P461" s="12">
        <v>0.5</v>
      </c>
      <c r="Q461" s="12">
        <v>0.85</v>
      </c>
      <c r="R461" s="12">
        <v>0.75</v>
      </c>
      <c r="S461" s="12">
        <v>0.6</v>
      </c>
      <c r="T461" s="12">
        <v>0.75</v>
      </c>
      <c r="U461" s="12">
        <v>0.45</v>
      </c>
      <c r="V461" s="12"/>
      <c r="W461" s="12">
        <v>6.0721065351188903</v>
      </c>
      <c r="X461" s="12">
        <v>54.144582486564623</v>
      </c>
      <c r="Y461" s="12">
        <v>2600</v>
      </c>
      <c r="Z461" s="12">
        <v>7.5</v>
      </c>
      <c r="AA461" s="12" t="s">
        <v>1268</v>
      </c>
      <c r="AB461" s="12"/>
    </row>
    <row r="462" spans="1:28" x14ac:dyDescent="0.3">
      <c r="A462" s="12" t="s">
        <v>2355</v>
      </c>
      <c r="B462" s="12" t="s">
        <v>112</v>
      </c>
      <c r="C462" s="12" t="s">
        <v>386</v>
      </c>
      <c r="D462" s="12" t="s">
        <v>2329</v>
      </c>
      <c r="E462" s="12" t="s">
        <v>1886</v>
      </c>
      <c r="F462" s="12" t="s">
        <v>1861</v>
      </c>
      <c r="G462" s="12" t="s">
        <v>1861</v>
      </c>
      <c r="H462" s="12" t="b">
        <v>1</v>
      </c>
      <c r="I462" s="12" t="b">
        <v>0</v>
      </c>
      <c r="J462" s="12" t="b">
        <v>1</v>
      </c>
      <c r="K462" s="12" t="b">
        <v>0</v>
      </c>
      <c r="L462" s="12">
        <v>623.15</v>
      </c>
      <c r="M462" s="12">
        <v>300.032917</v>
      </c>
      <c r="N462" s="12">
        <v>3000</v>
      </c>
      <c r="O462" s="12">
        <v>400</v>
      </c>
      <c r="P462" s="12">
        <v>0.5</v>
      </c>
      <c r="Q462" s="12">
        <v>0.85</v>
      </c>
      <c r="R462" s="12">
        <v>0.75</v>
      </c>
      <c r="S462" s="12">
        <v>0.6</v>
      </c>
      <c r="T462" s="12">
        <v>0.75</v>
      </c>
      <c r="U462" s="12">
        <v>0.5</v>
      </c>
      <c r="V462" s="12"/>
      <c r="W462" s="12">
        <v>7.7575365432815691</v>
      </c>
      <c r="X462" s="12">
        <v>75.93723447482347</v>
      </c>
      <c r="Y462" s="12">
        <v>2600</v>
      </c>
      <c r="Z462" s="12">
        <v>7.5</v>
      </c>
      <c r="AA462" s="12" t="s">
        <v>1268</v>
      </c>
      <c r="AB462" s="12"/>
    </row>
    <row r="463" spans="1:28" x14ac:dyDescent="0.3">
      <c r="A463" s="12" t="s">
        <v>2356</v>
      </c>
      <c r="B463" s="12" t="s">
        <v>112</v>
      </c>
      <c r="C463" s="12" t="s">
        <v>386</v>
      </c>
      <c r="D463" s="12" t="s">
        <v>2329</v>
      </c>
      <c r="E463" s="12" t="s">
        <v>1886</v>
      </c>
      <c r="F463" s="12" t="s">
        <v>1861</v>
      </c>
      <c r="G463" s="12" t="s">
        <v>1861</v>
      </c>
      <c r="H463" s="12" t="b">
        <v>1</v>
      </c>
      <c r="I463" s="12" t="b">
        <v>0</v>
      </c>
      <c r="J463" s="12" t="b">
        <v>1</v>
      </c>
      <c r="K463" s="12" t="b">
        <v>0</v>
      </c>
      <c r="L463" s="12">
        <v>623.15</v>
      </c>
      <c r="M463" s="12">
        <v>300.032917</v>
      </c>
      <c r="N463" s="12">
        <v>3000</v>
      </c>
      <c r="O463" s="12">
        <v>400</v>
      </c>
      <c r="P463" s="12">
        <v>0.5</v>
      </c>
      <c r="Q463" s="12">
        <v>0.85</v>
      </c>
      <c r="R463" s="12">
        <v>0.75</v>
      </c>
      <c r="S463" s="12">
        <v>0.6</v>
      </c>
      <c r="T463" s="12">
        <v>0.75</v>
      </c>
      <c r="U463" s="12">
        <v>0.55000000000000004</v>
      </c>
      <c r="V463" s="12"/>
      <c r="W463" s="12">
        <v>9.1001621352275102</v>
      </c>
      <c r="X463" s="12">
        <v>96.485661637055998</v>
      </c>
      <c r="Y463" s="12">
        <v>2600</v>
      </c>
      <c r="Z463" s="12">
        <v>7.5</v>
      </c>
      <c r="AA463" s="12" t="s">
        <v>1268</v>
      </c>
      <c r="AB463" s="12"/>
    </row>
    <row r="464" spans="1:28" x14ac:dyDescent="0.3">
      <c r="A464" s="12" t="s">
        <v>2357</v>
      </c>
      <c r="B464" s="12" t="s">
        <v>112</v>
      </c>
      <c r="C464" s="12" t="s">
        <v>386</v>
      </c>
      <c r="D464" s="12" t="s">
        <v>2329</v>
      </c>
      <c r="E464" s="12" t="s">
        <v>1886</v>
      </c>
      <c r="F464" s="12" t="s">
        <v>1861</v>
      </c>
      <c r="G464" s="12" t="s">
        <v>1861</v>
      </c>
      <c r="H464" s="12" t="b">
        <v>1</v>
      </c>
      <c r="I464" s="12" t="b">
        <v>0</v>
      </c>
      <c r="J464" s="12" t="b">
        <v>1</v>
      </c>
      <c r="K464" s="12" t="b">
        <v>0</v>
      </c>
      <c r="L464" s="12">
        <v>623.15</v>
      </c>
      <c r="M464" s="12">
        <v>300.032917</v>
      </c>
      <c r="N464" s="12">
        <v>3000</v>
      </c>
      <c r="O464" s="12">
        <v>400</v>
      </c>
      <c r="P464" s="12">
        <v>0.5</v>
      </c>
      <c r="Q464" s="12">
        <v>0.85</v>
      </c>
      <c r="R464" s="12">
        <v>0.75</v>
      </c>
      <c r="S464" s="12">
        <v>0.6</v>
      </c>
      <c r="T464" s="12">
        <v>0.75</v>
      </c>
      <c r="U464" s="12">
        <v>0.6</v>
      </c>
      <c r="V464" s="12"/>
      <c r="W464" s="12">
        <v>10.20264412832031</v>
      </c>
      <c r="X464" s="12">
        <v>115.9280167278564</v>
      </c>
      <c r="Y464" s="12">
        <v>2600</v>
      </c>
      <c r="Z464" s="12">
        <v>7.5</v>
      </c>
      <c r="AA464" s="12" t="s">
        <v>1268</v>
      </c>
      <c r="AB464" s="12"/>
    </row>
    <row r="465" spans="1:28" x14ac:dyDescent="0.3">
      <c r="A465" s="12" t="s">
        <v>2358</v>
      </c>
      <c r="B465" s="12" t="s">
        <v>112</v>
      </c>
      <c r="C465" s="12" t="s">
        <v>386</v>
      </c>
      <c r="D465" s="12" t="s">
        <v>2329</v>
      </c>
      <c r="E465" s="12" t="s">
        <v>1886</v>
      </c>
      <c r="F465" s="12" t="s">
        <v>1861</v>
      </c>
      <c r="G465" s="12" t="s">
        <v>1861</v>
      </c>
      <c r="H465" s="12" t="b">
        <v>1</v>
      </c>
      <c r="I465" s="12" t="b">
        <v>0</v>
      </c>
      <c r="J465" s="12" t="b">
        <v>1</v>
      </c>
      <c r="K465" s="12" t="b">
        <v>0</v>
      </c>
      <c r="L465" s="12">
        <v>623.15</v>
      </c>
      <c r="M465" s="12">
        <v>300.032917</v>
      </c>
      <c r="N465" s="12">
        <v>3000</v>
      </c>
      <c r="O465" s="12">
        <v>400</v>
      </c>
      <c r="P465" s="12">
        <v>0.5</v>
      </c>
      <c r="Q465" s="12">
        <v>0.85</v>
      </c>
      <c r="R465" s="12">
        <v>0.75</v>
      </c>
      <c r="S465" s="12">
        <v>0.6</v>
      </c>
      <c r="T465" s="12">
        <v>0.75</v>
      </c>
      <c r="U465" s="12">
        <v>0.65</v>
      </c>
      <c r="V465" s="12"/>
      <c r="W465" s="12">
        <v>11.13089724299766</v>
      </c>
      <c r="X465" s="12">
        <v>134.38971154351921</v>
      </c>
      <c r="Y465" s="12">
        <v>2600</v>
      </c>
      <c r="Z465" s="12">
        <v>7.5</v>
      </c>
      <c r="AA465" s="12" t="s">
        <v>1268</v>
      </c>
      <c r="AB465" s="12"/>
    </row>
    <row r="466" spans="1:28" x14ac:dyDescent="0.3">
      <c r="A466" s="12" t="s">
        <v>2359</v>
      </c>
      <c r="B466" s="12" t="s">
        <v>112</v>
      </c>
      <c r="C466" s="12" t="s">
        <v>386</v>
      </c>
      <c r="D466" s="12" t="s">
        <v>2329</v>
      </c>
      <c r="E466" s="12" t="s">
        <v>1886</v>
      </c>
      <c r="F466" s="12" t="s">
        <v>1861</v>
      </c>
      <c r="G466" s="12" t="s">
        <v>1861</v>
      </c>
      <c r="H466" s="12" t="b">
        <v>1</v>
      </c>
      <c r="I466" s="12" t="b">
        <v>0</v>
      </c>
      <c r="J466" s="12" t="b">
        <v>1</v>
      </c>
      <c r="K466" s="12" t="b">
        <v>0</v>
      </c>
      <c r="L466" s="12">
        <v>623.15</v>
      </c>
      <c r="M466" s="12">
        <v>300.032917</v>
      </c>
      <c r="N466" s="12">
        <v>3000</v>
      </c>
      <c r="O466" s="12">
        <v>400</v>
      </c>
      <c r="P466" s="12">
        <v>0.5</v>
      </c>
      <c r="Q466" s="12">
        <v>0.85</v>
      </c>
      <c r="R466" s="12">
        <v>0.75</v>
      </c>
      <c r="S466" s="12">
        <v>0.6</v>
      </c>
      <c r="T466" s="12">
        <v>0.75</v>
      </c>
      <c r="U466" s="12">
        <v>0.7</v>
      </c>
      <c r="V466" s="12"/>
      <c r="W466" s="12">
        <v>11.92841523401774</v>
      </c>
      <c r="X466" s="12">
        <v>151.98158069026491</v>
      </c>
      <c r="Y466" s="12">
        <v>2600</v>
      </c>
      <c r="Z466" s="12">
        <v>7.5</v>
      </c>
      <c r="AA466" s="12" t="s">
        <v>1268</v>
      </c>
      <c r="AB466" s="12"/>
    </row>
    <row r="467" spans="1:28" x14ac:dyDescent="0.3">
      <c r="A467" s="12" t="s">
        <v>2360</v>
      </c>
      <c r="B467" s="12" t="s">
        <v>112</v>
      </c>
      <c r="C467" s="12" t="s">
        <v>386</v>
      </c>
      <c r="D467" s="12" t="s">
        <v>2329</v>
      </c>
      <c r="E467" s="12" t="s">
        <v>1886</v>
      </c>
      <c r="F467" s="12" t="s">
        <v>1861</v>
      </c>
      <c r="G467" s="12" t="s">
        <v>1861</v>
      </c>
      <c r="H467" s="12" t="b">
        <v>1</v>
      </c>
      <c r="I467" s="12" t="b">
        <v>0</v>
      </c>
      <c r="J467" s="12" t="b">
        <v>1</v>
      </c>
      <c r="K467" s="12" t="b">
        <v>0</v>
      </c>
      <c r="L467" s="12">
        <v>623.15</v>
      </c>
      <c r="M467" s="12">
        <v>300.032917</v>
      </c>
      <c r="N467" s="12">
        <v>3000</v>
      </c>
      <c r="O467" s="12">
        <v>400</v>
      </c>
      <c r="P467" s="12">
        <v>0.5</v>
      </c>
      <c r="Q467" s="12">
        <v>0.85</v>
      </c>
      <c r="R467" s="12">
        <v>0.75</v>
      </c>
      <c r="S467" s="12">
        <v>0.6</v>
      </c>
      <c r="T467" s="12">
        <v>0.75</v>
      </c>
      <c r="U467" s="12">
        <v>0.75</v>
      </c>
      <c r="V467" s="12"/>
      <c r="W467" s="12">
        <v>12.62497642623755</v>
      </c>
      <c r="X467" s="12">
        <v>168.80175112491901</v>
      </c>
      <c r="Y467" s="12">
        <v>2600</v>
      </c>
      <c r="Z467" s="12">
        <v>7.5</v>
      </c>
      <c r="AA467" s="12" t="s">
        <v>1268</v>
      </c>
      <c r="AB467" s="12"/>
    </row>
    <row r="468" spans="1:28" x14ac:dyDescent="0.3">
      <c r="A468" s="12" t="s">
        <v>2361</v>
      </c>
      <c r="B468" s="12" t="s">
        <v>112</v>
      </c>
      <c r="C468" s="12" t="s">
        <v>386</v>
      </c>
      <c r="D468" s="12" t="s">
        <v>2329</v>
      </c>
      <c r="E468" s="12" t="s">
        <v>1886</v>
      </c>
      <c r="F468" s="12" t="s">
        <v>1861</v>
      </c>
      <c r="G468" s="12" t="s">
        <v>1861</v>
      </c>
      <c r="H468" s="12" t="b">
        <v>1</v>
      </c>
      <c r="I468" s="12" t="b">
        <v>0</v>
      </c>
      <c r="J468" s="12" t="b">
        <v>1</v>
      </c>
      <c r="K468" s="12" t="b">
        <v>0</v>
      </c>
      <c r="L468" s="12">
        <v>623.15</v>
      </c>
      <c r="M468" s="12">
        <v>300.032917</v>
      </c>
      <c r="N468" s="12">
        <v>3000</v>
      </c>
      <c r="O468" s="12">
        <v>400</v>
      </c>
      <c r="P468" s="12">
        <v>0.5</v>
      </c>
      <c r="Q468" s="12">
        <v>0.85</v>
      </c>
      <c r="R468" s="12">
        <v>0.75</v>
      </c>
      <c r="S468" s="12">
        <v>0.6</v>
      </c>
      <c r="T468" s="12">
        <v>0.75</v>
      </c>
      <c r="U468" s="12">
        <v>0.8</v>
      </c>
      <c r="V468" s="12"/>
      <c r="W468" s="12">
        <v>13.23191576952518</v>
      </c>
      <c r="X468" s="12">
        <v>183.9792929010562</v>
      </c>
      <c r="Y468" s="12">
        <v>2600</v>
      </c>
      <c r="Z468" s="12">
        <v>7.5</v>
      </c>
      <c r="AA468" s="12" t="s">
        <v>1268</v>
      </c>
      <c r="AB468" s="12"/>
    </row>
    <row r="469" spans="1:28" x14ac:dyDescent="0.3">
      <c r="A469" s="12" t="s">
        <v>2362</v>
      </c>
      <c r="B469" s="12" t="s">
        <v>112</v>
      </c>
      <c r="C469" s="12" t="s">
        <v>386</v>
      </c>
      <c r="D469" s="12" t="s">
        <v>2329</v>
      </c>
      <c r="E469" s="12" t="s">
        <v>1886</v>
      </c>
      <c r="F469" s="12" t="s">
        <v>1861</v>
      </c>
      <c r="G469" s="12" t="s">
        <v>1861</v>
      </c>
      <c r="H469" s="12" t="b">
        <v>1</v>
      </c>
      <c r="I469" s="12" t="b">
        <v>0</v>
      </c>
      <c r="J469" s="12" t="b">
        <v>1</v>
      </c>
      <c r="K469" s="12" t="b">
        <v>0</v>
      </c>
      <c r="L469" s="12">
        <v>623.15</v>
      </c>
      <c r="M469" s="12">
        <v>300.032917</v>
      </c>
      <c r="N469" s="12">
        <v>3000</v>
      </c>
      <c r="O469" s="12">
        <v>400</v>
      </c>
      <c r="P469" s="12">
        <v>0.5</v>
      </c>
      <c r="Q469" s="12">
        <v>0.85</v>
      </c>
      <c r="R469" s="12">
        <v>0.75</v>
      </c>
      <c r="S469" s="12">
        <v>0.6</v>
      </c>
      <c r="T469" s="12">
        <v>0.75</v>
      </c>
      <c r="U469" s="12">
        <v>0.95</v>
      </c>
      <c r="V469" s="12"/>
      <c r="W469" s="12">
        <v>13.286304818875999</v>
      </c>
      <c r="X469" s="12">
        <v>200.33422530308471</v>
      </c>
      <c r="Y469" s="12">
        <v>2600</v>
      </c>
      <c r="Z469" s="12">
        <v>7.5</v>
      </c>
      <c r="AA469" s="12" t="s">
        <v>1268</v>
      </c>
      <c r="AB469" s="12"/>
    </row>
    <row r="470" spans="1:28" x14ac:dyDescent="0.3">
      <c r="A470" s="12" t="s">
        <v>2363</v>
      </c>
      <c r="B470" s="12" t="s">
        <v>112</v>
      </c>
      <c r="C470" s="12" t="s">
        <v>386</v>
      </c>
      <c r="D470" s="12" t="s">
        <v>2329</v>
      </c>
      <c r="E470" s="12" t="s">
        <v>1886</v>
      </c>
      <c r="F470" s="12" t="s">
        <v>1861</v>
      </c>
      <c r="G470" s="12" t="s">
        <v>1861</v>
      </c>
      <c r="H470" s="12" t="b">
        <v>1</v>
      </c>
      <c r="I470" s="12" t="b">
        <v>0</v>
      </c>
      <c r="J470" s="12" t="b">
        <v>1</v>
      </c>
      <c r="K470" s="12" t="b">
        <v>0</v>
      </c>
      <c r="L470" s="12">
        <v>623.15</v>
      </c>
      <c r="M470" s="12">
        <v>300.032917</v>
      </c>
      <c r="N470" s="12">
        <v>3000</v>
      </c>
      <c r="O470" s="12">
        <v>400</v>
      </c>
      <c r="P470" s="12">
        <v>0.5</v>
      </c>
      <c r="Q470" s="12">
        <v>0.85</v>
      </c>
      <c r="R470" s="12">
        <v>0.75</v>
      </c>
      <c r="S470" s="12">
        <v>0.6</v>
      </c>
      <c r="T470" s="12">
        <v>0.75</v>
      </c>
      <c r="U470" s="12">
        <v>0.89999999999999991</v>
      </c>
      <c r="V470" s="12"/>
      <c r="W470" s="12">
        <v>13.516803617341401</v>
      </c>
      <c r="X470" s="12">
        <v>199.22191585822719</v>
      </c>
      <c r="Y470" s="12">
        <v>2600</v>
      </c>
      <c r="Z470" s="12">
        <v>7.5</v>
      </c>
      <c r="AA470" s="12" t="s">
        <v>1268</v>
      </c>
      <c r="AB470" s="12"/>
    </row>
    <row r="471" spans="1:28" x14ac:dyDescent="0.3">
      <c r="A471" s="12" t="s">
        <v>2364</v>
      </c>
      <c r="B471" s="12" t="s">
        <v>112</v>
      </c>
      <c r="C471" s="12" t="s">
        <v>386</v>
      </c>
      <c r="D471" s="12" t="s">
        <v>2329</v>
      </c>
      <c r="E471" s="12" t="s">
        <v>1886</v>
      </c>
      <c r="F471" s="12" t="s">
        <v>1861</v>
      </c>
      <c r="G471" s="12" t="s">
        <v>1861</v>
      </c>
      <c r="H471" s="12" t="b">
        <v>1</v>
      </c>
      <c r="I471" s="12" t="b">
        <v>0</v>
      </c>
      <c r="J471" s="12" t="b">
        <v>1</v>
      </c>
      <c r="K471" s="12" t="b">
        <v>0</v>
      </c>
      <c r="L471" s="12">
        <v>623.15</v>
      </c>
      <c r="M471" s="12">
        <v>300.032917</v>
      </c>
      <c r="N471" s="12">
        <v>3000</v>
      </c>
      <c r="O471" s="12">
        <v>400</v>
      </c>
      <c r="P471" s="12">
        <v>0.5</v>
      </c>
      <c r="Q471" s="12">
        <v>0.85</v>
      </c>
      <c r="R471" s="12">
        <v>0.75</v>
      </c>
      <c r="S471" s="12">
        <v>0.6</v>
      </c>
      <c r="T471" s="12">
        <v>0.75</v>
      </c>
      <c r="U471" s="12">
        <v>0.85</v>
      </c>
      <c r="V471" s="12"/>
      <c r="W471" s="12">
        <v>13.5184591814869</v>
      </c>
      <c r="X471" s="12">
        <v>194.0008338779038</v>
      </c>
      <c r="Y471" s="12">
        <v>2600</v>
      </c>
      <c r="Z471" s="12">
        <v>7.5</v>
      </c>
      <c r="AA471" s="12" t="s">
        <v>1268</v>
      </c>
      <c r="AB471" s="12"/>
    </row>
    <row r="472" spans="1:28" x14ac:dyDescent="0.3">
      <c r="A472" s="12" t="s">
        <v>2365</v>
      </c>
      <c r="B472" s="12" t="s">
        <v>112</v>
      </c>
      <c r="C472" s="12" t="s">
        <v>386</v>
      </c>
      <c r="D472" s="12" t="s">
        <v>2329</v>
      </c>
      <c r="E472" s="12" t="s">
        <v>1886</v>
      </c>
      <c r="F472" s="12" t="s">
        <v>832</v>
      </c>
      <c r="G472" s="12" t="s">
        <v>832</v>
      </c>
      <c r="H472" s="12" t="b">
        <v>0</v>
      </c>
      <c r="I472" s="12" t="b">
        <v>0</v>
      </c>
      <c r="J472" s="12" t="b">
        <v>0</v>
      </c>
      <c r="K472" s="12" t="b">
        <v>0</v>
      </c>
      <c r="L472" s="12">
        <v>623.15</v>
      </c>
      <c r="M472" s="12">
        <v>300.032917</v>
      </c>
      <c r="N472" s="12">
        <v>3000</v>
      </c>
      <c r="O472" s="12">
        <v>400</v>
      </c>
      <c r="P472" s="12">
        <v>0.5</v>
      </c>
      <c r="Q472" s="12">
        <v>0.85</v>
      </c>
      <c r="R472" s="12">
        <v>0.75</v>
      </c>
      <c r="S472" s="12">
        <v>0.7</v>
      </c>
      <c r="T472" s="12">
        <v>0.75</v>
      </c>
      <c r="U472" s="12">
        <v>0.4</v>
      </c>
      <c r="V472" s="12"/>
      <c r="W472" s="12"/>
      <c r="X472" s="12"/>
      <c r="Y472" s="12">
        <v>2600</v>
      </c>
      <c r="Z472" s="12">
        <v>7.5</v>
      </c>
      <c r="AA472" s="12"/>
      <c r="AB472" s="12"/>
    </row>
    <row r="473" spans="1:28" x14ac:dyDescent="0.3">
      <c r="A473" s="12" t="s">
        <v>2366</v>
      </c>
      <c r="B473" s="12" t="s">
        <v>112</v>
      </c>
      <c r="C473" s="12" t="s">
        <v>386</v>
      </c>
      <c r="D473" s="12" t="s">
        <v>2329</v>
      </c>
      <c r="E473" s="12" t="s">
        <v>1886</v>
      </c>
      <c r="F473" s="12" t="s">
        <v>832</v>
      </c>
      <c r="G473" s="12" t="s">
        <v>832</v>
      </c>
      <c r="H473" s="12" t="b">
        <v>0</v>
      </c>
      <c r="I473" s="12" t="b">
        <v>0</v>
      </c>
      <c r="J473" s="12" t="b">
        <v>0</v>
      </c>
      <c r="K473" s="12" t="b">
        <v>0</v>
      </c>
      <c r="L473" s="12">
        <v>623.15</v>
      </c>
      <c r="M473" s="12">
        <v>300.032917</v>
      </c>
      <c r="N473" s="12">
        <v>3000</v>
      </c>
      <c r="O473" s="12">
        <v>400</v>
      </c>
      <c r="P473" s="12">
        <v>0.5</v>
      </c>
      <c r="Q473" s="12">
        <v>0.85</v>
      </c>
      <c r="R473" s="12">
        <v>0.75</v>
      </c>
      <c r="S473" s="12">
        <v>0.7</v>
      </c>
      <c r="T473" s="12">
        <v>0.75</v>
      </c>
      <c r="U473" s="12">
        <v>0.45</v>
      </c>
      <c r="V473" s="12"/>
      <c r="W473" s="12"/>
      <c r="X473" s="12"/>
      <c r="Y473" s="12">
        <v>2600</v>
      </c>
      <c r="Z473" s="12">
        <v>7.5</v>
      </c>
      <c r="AA473" s="12"/>
      <c r="AB473" s="12"/>
    </row>
    <row r="474" spans="1:28" x14ac:dyDescent="0.3">
      <c r="A474" s="12" t="s">
        <v>2367</v>
      </c>
      <c r="B474" s="12" t="s">
        <v>112</v>
      </c>
      <c r="C474" s="12" t="s">
        <v>386</v>
      </c>
      <c r="D474" s="12" t="s">
        <v>2329</v>
      </c>
      <c r="E474" s="12" t="s">
        <v>1886</v>
      </c>
      <c r="F474" s="12" t="s">
        <v>832</v>
      </c>
      <c r="G474" s="12" t="s">
        <v>832</v>
      </c>
      <c r="H474" s="12" t="b">
        <v>0</v>
      </c>
      <c r="I474" s="12" t="b">
        <v>0</v>
      </c>
      <c r="J474" s="12" t="b">
        <v>0</v>
      </c>
      <c r="K474" s="12" t="b">
        <v>0</v>
      </c>
      <c r="L474" s="12">
        <v>623.15</v>
      </c>
      <c r="M474" s="12">
        <v>300.032917</v>
      </c>
      <c r="N474" s="12">
        <v>3000</v>
      </c>
      <c r="O474" s="12">
        <v>400</v>
      </c>
      <c r="P474" s="12">
        <v>0.5</v>
      </c>
      <c r="Q474" s="12">
        <v>0.85</v>
      </c>
      <c r="R474" s="12">
        <v>0.75</v>
      </c>
      <c r="S474" s="12">
        <v>0.7</v>
      </c>
      <c r="T474" s="12">
        <v>0.75</v>
      </c>
      <c r="U474" s="12">
        <v>0.5</v>
      </c>
      <c r="V474" s="12"/>
      <c r="W474" s="12"/>
      <c r="X474" s="12"/>
      <c r="Y474" s="12">
        <v>2600</v>
      </c>
      <c r="Z474" s="12">
        <v>7.5</v>
      </c>
      <c r="AA474" s="12"/>
      <c r="AB474" s="12"/>
    </row>
    <row r="475" spans="1:28" x14ac:dyDescent="0.3">
      <c r="A475" s="12" t="s">
        <v>2368</v>
      </c>
      <c r="B475" s="12" t="s">
        <v>112</v>
      </c>
      <c r="C475" s="12" t="s">
        <v>386</v>
      </c>
      <c r="D475" s="12" t="s">
        <v>2329</v>
      </c>
      <c r="E475" s="12" t="s">
        <v>1886</v>
      </c>
      <c r="F475" s="12" t="s">
        <v>1861</v>
      </c>
      <c r="G475" s="12" t="s">
        <v>1861</v>
      </c>
      <c r="H475" s="12" t="b">
        <v>1</v>
      </c>
      <c r="I475" s="12" t="b">
        <v>0</v>
      </c>
      <c r="J475" s="12" t="b">
        <v>1</v>
      </c>
      <c r="K475" s="12" t="b">
        <v>0</v>
      </c>
      <c r="L475" s="12">
        <v>623.15</v>
      </c>
      <c r="M475" s="12">
        <v>300.032917</v>
      </c>
      <c r="N475" s="12">
        <v>3000</v>
      </c>
      <c r="O475" s="12">
        <v>400</v>
      </c>
      <c r="P475" s="12">
        <v>0.5</v>
      </c>
      <c r="Q475" s="12">
        <v>0.85</v>
      </c>
      <c r="R475" s="12">
        <v>0.75</v>
      </c>
      <c r="S475" s="12">
        <v>0.7</v>
      </c>
      <c r="T475" s="12">
        <v>0.75</v>
      </c>
      <c r="U475" s="12">
        <v>0.6</v>
      </c>
      <c r="V475" s="12"/>
      <c r="W475" s="12">
        <v>10.244624778114259</v>
      </c>
      <c r="X475" s="12">
        <v>130.16596124366819</v>
      </c>
      <c r="Y475" s="12">
        <v>2600</v>
      </c>
      <c r="Z475" s="12">
        <v>7.5</v>
      </c>
      <c r="AA475" s="12" t="s">
        <v>1981</v>
      </c>
      <c r="AB475" s="12"/>
    </row>
    <row r="476" spans="1:28" x14ac:dyDescent="0.3">
      <c r="A476" s="12" t="s">
        <v>2369</v>
      </c>
      <c r="B476" s="12" t="s">
        <v>112</v>
      </c>
      <c r="C476" s="12" t="s">
        <v>386</v>
      </c>
      <c r="D476" s="12" t="s">
        <v>2329</v>
      </c>
      <c r="E476" s="12" t="s">
        <v>1886</v>
      </c>
      <c r="F476" s="12" t="s">
        <v>1861</v>
      </c>
      <c r="G476" s="12" t="s">
        <v>1861</v>
      </c>
      <c r="H476" s="12" t="b">
        <v>1</v>
      </c>
      <c r="I476" s="12" t="b">
        <v>0</v>
      </c>
      <c r="J476" s="12" t="b">
        <v>1</v>
      </c>
      <c r="K476" s="12" t="b">
        <v>0</v>
      </c>
      <c r="L476" s="12">
        <v>623.15</v>
      </c>
      <c r="M476" s="12">
        <v>300.032917</v>
      </c>
      <c r="N476" s="12">
        <v>3000</v>
      </c>
      <c r="O476" s="12">
        <v>400</v>
      </c>
      <c r="P476" s="12">
        <v>0.5</v>
      </c>
      <c r="Q476" s="12">
        <v>0.85</v>
      </c>
      <c r="R476" s="12">
        <v>0.75</v>
      </c>
      <c r="S476" s="12">
        <v>0.7</v>
      </c>
      <c r="T476" s="12">
        <v>0.75</v>
      </c>
      <c r="U476" s="12">
        <v>0.55000000000000004</v>
      </c>
      <c r="V476" s="12"/>
      <c r="W476" s="12">
        <v>9.1850187222424502</v>
      </c>
      <c r="X476" s="12">
        <v>107.9333952168754</v>
      </c>
      <c r="Y476" s="12">
        <v>2600</v>
      </c>
      <c r="Z476" s="12">
        <v>7.5</v>
      </c>
      <c r="AA476" s="12" t="s">
        <v>1981</v>
      </c>
      <c r="AB476" s="12"/>
    </row>
    <row r="477" spans="1:28" x14ac:dyDescent="0.3">
      <c r="A477" s="12" t="s">
        <v>2370</v>
      </c>
      <c r="B477" s="12" t="s">
        <v>112</v>
      </c>
      <c r="C477" s="12" t="s">
        <v>386</v>
      </c>
      <c r="D477" s="12" t="s">
        <v>2329</v>
      </c>
      <c r="E477" s="12" t="s">
        <v>1886</v>
      </c>
      <c r="F477" s="12" t="s">
        <v>1861</v>
      </c>
      <c r="G477" s="12" t="s">
        <v>1861</v>
      </c>
      <c r="H477" s="12" t="b">
        <v>1</v>
      </c>
      <c r="I477" s="12" t="b">
        <v>0</v>
      </c>
      <c r="J477" s="12" t="b">
        <v>1</v>
      </c>
      <c r="K477" s="12" t="b">
        <v>0</v>
      </c>
      <c r="L477" s="12">
        <v>623.15</v>
      </c>
      <c r="M477" s="12">
        <v>300.032917</v>
      </c>
      <c r="N477" s="12">
        <v>3000</v>
      </c>
      <c r="O477" s="12">
        <v>400</v>
      </c>
      <c r="P477" s="12">
        <v>0.5</v>
      </c>
      <c r="Q477" s="12">
        <v>0.85</v>
      </c>
      <c r="R477" s="12">
        <v>0.75</v>
      </c>
      <c r="S477" s="12">
        <v>0.7</v>
      </c>
      <c r="T477" s="12">
        <v>0.75</v>
      </c>
      <c r="U477" s="12">
        <v>0.65</v>
      </c>
      <c r="V477" s="12"/>
      <c r="W477" s="12">
        <v>11.12919413163956</v>
      </c>
      <c r="X477" s="12">
        <v>151.5339320494096</v>
      </c>
      <c r="Y477" s="12">
        <v>2600</v>
      </c>
      <c r="Z477" s="12">
        <v>7.5</v>
      </c>
      <c r="AA477" s="12" t="s">
        <v>1981</v>
      </c>
      <c r="AB477" s="12"/>
    </row>
    <row r="478" spans="1:28" x14ac:dyDescent="0.3">
      <c r="A478" s="12" t="s">
        <v>2371</v>
      </c>
      <c r="B478" s="12" t="s">
        <v>112</v>
      </c>
      <c r="C478" s="12" t="s">
        <v>386</v>
      </c>
      <c r="D478" s="12" t="s">
        <v>2329</v>
      </c>
      <c r="E478" s="12" t="s">
        <v>1886</v>
      </c>
      <c r="F478" s="12" t="s">
        <v>1861</v>
      </c>
      <c r="G478" s="12" t="s">
        <v>1861</v>
      </c>
      <c r="H478" s="12" t="b">
        <v>1</v>
      </c>
      <c r="I478" s="12" t="b">
        <v>0</v>
      </c>
      <c r="J478" s="12" t="b">
        <v>1</v>
      </c>
      <c r="K478" s="12" t="b">
        <v>0</v>
      </c>
      <c r="L478" s="12">
        <v>623.15</v>
      </c>
      <c r="M478" s="12">
        <v>300.032917</v>
      </c>
      <c r="N478" s="12">
        <v>3000</v>
      </c>
      <c r="O478" s="12">
        <v>400</v>
      </c>
      <c r="P478" s="12">
        <v>0.5</v>
      </c>
      <c r="Q478" s="12">
        <v>0.85</v>
      </c>
      <c r="R478" s="12">
        <v>0.75</v>
      </c>
      <c r="S478" s="12">
        <v>0.7</v>
      </c>
      <c r="T478" s="12">
        <v>0.75</v>
      </c>
      <c r="U478" s="12">
        <v>0.7</v>
      </c>
      <c r="V478" s="12"/>
      <c r="W478" s="12">
        <v>11.885626171243199</v>
      </c>
      <c r="X478" s="12">
        <v>172.15559209291791</v>
      </c>
      <c r="Y478" s="12">
        <v>2600</v>
      </c>
      <c r="Z478" s="12">
        <v>7.5</v>
      </c>
      <c r="AA478" s="12" t="s">
        <v>1268</v>
      </c>
      <c r="AB478" s="12"/>
    </row>
    <row r="479" spans="1:28" x14ac:dyDescent="0.3">
      <c r="A479" s="12" t="s">
        <v>2372</v>
      </c>
      <c r="B479" s="12" t="s">
        <v>112</v>
      </c>
      <c r="C479" s="12" t="s">
        <v>386</v>
      </c>
      <c r="D479" s="12" t="s">
        <v>2329</v>
      </c>
      <c r="E479" s="12" t="s">
        <v>1886</v>
      </c>
      <c r="F479" s="12" t="s">
        <v>1861</v>
      </c>
      <c r="G479" s="12" t="s">
        <v>1861</v>
      </c>
      <c r="H479" s="12" t="b">
        <v>1</v>
      </c>
      <c r="I479" s="12" t="b">
        <v>0</v>
      </c>
      <c r="J479" s="12" t="b">
        <v>1</v>
      </c>
      <c r="K479" s="12" t="b">
        <v>0</v>
      </c>
      <c r="L479" s="12">
        <v>623.15</v>
      </c>
      <c r="M479" s="12">
        <v>300.032917</v>
      </c>
      <c r="N479" s="12">
        <v>3000</v>
      </c>
      <c r="O479" s="12">
        <v>400</v>
      </c>
      <c r="P479" s="12">
        <v>0.5</v>
      </c>
      <c r="Q479" s="12">
        <v>0.85</v>
      </c>
      <c r="R479" s="12">
        <v>0.75</v>
      </c>
      <c r="S479" s="12">
        <v>0.7</v>
      </c>
      <c r="T479" s="12">
        <v>0.75</v>
      </c>
      <c r="U479" s="12">
        <v>0.75</v>
      </c>
      <c r="V479" s="12"/>
      <c r="W479" s="12">
        <v>12.546050905641691</v>
      </c>
      <c r="X479" s="12">
        <v>192.13940532507991</v>
      </c>
      <c r="Y479" s="12">
        <v>2600</v>
      </c>
      <c r="Z479" s="12">
        <v>7.5</v>
      </c>
      <c r="AA479" s="12" t="s">
        <v>1268</v>
      </c>
      <c r="AB479" s="12"/>
    </row>
    <row r="480" spans="1:28" x14ac:dyDescent="0.3">
      <c r="A480" s="12" t="s">
        <v>2373</v>
      </c>
      <c r="B480" s="12" t="s">
        <v>112</v>
      </c>
      <c r="C480" s="12" t="s">
        <v>386</v>
      </c>
      <c r="D480" s="12" t="s">
        <v>2329</v>
      </c>
      <c r="E480" s="12" t="s">
        <v>1886</v>
      </c>
      <c r="F480" s="12" t="s">
        <v>832</v>
      </c>
      <c r="G480" s="12" t="s">
        <v>832</v>
      </c>
      <c r="H480" s="12" t="b">
        <v>0</v>
      </c>
      <c r="I480" s="12" t="b">
        <v>0</v>
      </c>
      <c r="J480" s="12" t="b">
        <v>0</v>
      </c>
      <c r="K480" s="12" t="b">
        <v>0</v>
      </c>
      <c r="L480" s="12">
        <v>623.15</v>
      </c>
      <c r="M480" s="12">
        <v>300.032917</v>
      </c>
      <c r="N480" s="12">
        <v>3000</v>
      </c>
      <c r="O480" s="12">
        <v>400</v>
      </c>
      <c r="P480" s="12">
        <v>0.5</v>
      </c>
      <c r="Q480" s="12">
        <v>0.85</v>
      </c>
      <c r="R480" s="12">
        <v>0.75</v>
      </c>
      <c r="S480" s="12">
        <v>0.8</v>
      </c>
      <c r="T480" s="12">
        <v>0.75</v>
      </c>
      <c r="U480" s="12">
        <v>0.4</v>
      </c>
      <c r="V480" s="12"/>
      <c r="W480" s="12"/>
      <c r="X480" s="12"/>
      <c r="Y480" s="12">
        <v>2600</v>
      </c>
      <c r="Z480" s="12">
        <v>7.5</v>
      </c>
      <c r="AA480" s="12"/>
      <c r="AB480" s="12"/>
    </row>
    <row r="481" spans="1:28" x14ac:dyDescent="0.3">
      <c r="A481" s="12" t="s">
        <v>2374</v>
      </c>
      <c r="B481" s="12" t="s">
        <v>112</v>
      </c>
      <c r="C481" s="12" t="s">
        <v>386</v>
      </c>
      <c r="D481" s="12" t="s">
        <v>2329</v>
      </c>
      <c r="E481" s="12" t="s">
        <v>1886</v>
      </c>
      <c r="F481" s="12" t="s">
        <v>832</v>
      </c>
      <c r="G481" s="12" t="s">
        <v>832</v>
      </c>
      <c r="H481" s="12" t="b">
        <v>0</v>
      </c>
      <c r="I481" s="12" t="b">
        <v>0</v>
      </c>
      <c r="J481" s="12" t="b">
        <v>0</v>
      </c>
      <c r="K481" s="12" t="b">
        <v>0</v>
      </c>
      <c r="L481" s="12">
        <v>623.15</v>
      </c>
      <c r="M481" s="12">
        <v>300.032917</v>
      </c>
      <c r="N481" s="12">
        <v>3000</v>
      </c>
      <c r="O481" s="12">
        <v>400</v>
      </c>
      <c r="P481" s="12">
        <v>0.5</v>
      </c>
      <c r="Q481" s="12">
        <v>0.85</v>
      </c>
      <c r="R481" s="12">
        <v>0.75</v>
      </c>
      <c r="S481" s="12">
        <v>0.8</v>
      </c>
      <c r="T481" s="12">
        <v>0.75</v>
      </c>
      <c r="U481" s="12">
        <v>0.45</v>
      </c>
      <c r="V481" s="12"/>
      <c r="W481" s="12"/>
      <c r="X481" s="12"/>
      <c r="Y481" s="12">
        <v>2600</v>
      </c>
      <c r="Z481" s="12">
        <v>7.5</v>
      </c>
      <c r="AA481" s="12"/>
      <c r="AB481" s="12"/>
    </row>
    <row r="482" spans="1:28" x14ac:dyDescent="0.3">
      <c r="A482" s="12" t="s">
        <v>2375</v>
      </c>
      <c r="B482" s="12" t="s">
        <v>112</v>
      </c>
      <c r="C482" s="12" t="s">
        <v>386</v>
      </c>
      <c r="D482" s="12" t="s">
        <v>2329</v>
      </c>
      <c r="E482" s="12" t="s">
        <v>1886</v>
      </c>
      <c r="F482" s="12" t="s">
        <v>1861</v>
      </c>
      <c r="G482" s="12" t="s">
        <v>1861</v>
      </c>
      <c r="H482" s="12" t="b">
        <v>1</v>
      </c>
      <c r="I482" s="12" t="b">
        <v>0</v>
      </c>
      <c r="J482" s="12" t="b">
        <v>1</v>
      </c>
      <c r="K482" s="12" t="b">
        <v>0</v>
      </c>
      <c r="L482" s="12">
        <v>623.15</v>
      </c>
      <c r="M482" s="12">
        <v>300.032917</v>
      </c>
      <c r="N482" s="12">
        <v>3000</v>
      </c>
      <c r="O482" s="12">
        <v>400</v>
      </c>
      <c r="P482" s="12">
        <v>0.5</v>
      </c>
      <c r="Q482" s="12">
        <v>0.85</v>
      </c>
      <c r="R482" s="12">
        <v>0.75</v>
      </c>
      <c r="S482" s="12">
        <v>0.7</v>
      </c>
      <c r="T482" s="12">
        <v>0.75</v>
      </c>
      <c r="U482" s="12">
        <v>0.89999999999999991</v>
      </c>
      <c r="V482" s="12"/>
      <c r="W482" s="12">
        <v>13.52697651742395</v>
      </c>
      <c r="X482" s="12">
        <v>235.02248752257859</v>
      </c>
      <c r="Y482" s="12">
        <v>2600</v>
      </c>
      <c r="Z482" s="12">
        <v>7.5</v>
      </c>
      <c r="AA482" s="12" t="s">
        <v>1268</v>
      </c>
      <c r="AB482" s="12"/>
    </row>
    <row r="483" spans="1:28" x14ac:dyDescent="0.3">
      <c r="A483" s="12" t="s">
        <v>2376</v>
      </c>
      <c r="B483" s="12" t="s">
        <v>112</v>
      </c>
      <c r="C483" s="12" t="s">
        <v>386</v>
      </c>
      <c r="D483" s="12" t="s">
        <v>2329</v>
      </c>
      <c r="E483" s="12" t="s">
        <v>1886</v>
      </c>
      <c r="F483" s="12" t="s">
        <v>1861</v>
      </c>
      <c r="G483" s="12" t="s">
        <v>1861</v>
      </c>
      <c r="H483" s="12" t="b">
        <v>1</v>
      </c>
      <c r="I483" s="12" t="b">
        <v>0</v>
      </c>
      <c r="J483" s="12" t="b">
        <v>1</v>
      </c>
      <c r="K483" s="12" t="b">
        <v>0</v>
      </c>
      <c r="L483" s="12">
        <v>623.15</v>
      </c>
      <c r="M483" s="12">
        <v>300.032917</v>
      </c>
      <c r="N483" s="12">
        <v>3000</v>
      </c>
      <c r="O483" s="12">
        <v>400</v>
      </c>
      <c r="P483" s="12">
        <v>0.5</v>
      </c>
      <c r="Q483" s="12">
        <v>0.85</v>
      </c>
      <c r="R483" s="12">
        <v>0.75</v>
      </c>
      <c r="S483" s="12">
        <v>0.7</v>
      </c>
      <c r="T483" s="12">
        <v>0.75</v>
      </c>
      <c r="U483" s="12">
        <v>0.85</v>
      </c>
      <c r="V483" s="12"/>
      <c r="W483" s="12">
        <v>13.489843404572291</v>
      </c>
      <c r="X483" s="12">
        <v>226.32859325437579</v>
      </c>
      <c r="Y483" s="12">
        <v>2600</v>
      </c>
      <c r="Z483" s="12">
        <v>7.5</v>
      </c>
      <c r="AA483" s="12" t="s">
        <v>1268</v>
      </c>
      <c r="AB483" s="12"/>
    </row>
    <row r="484" spans="1:28" x14ac:dyDescent="0.3">
      <c r="A484" s="12" t="s">
        <v>2377</v>
      </c>
      <c r="B484" s="12" t="s">
        <v>112</v>
      </c>
      <c r="C484" s="12" t="s">
        <v>386</v>
      </c>
      <c r="D484" s="12" t="s">
        <v>2329</v>
      </c>
      <c r="E484" s="12" t="s">
        <v>1886</v>
      </c>
      <c r="F484" s="12" t="s">
        <v>1861</v>
      </c>
      <c r="G484" s="12" t="s">
        <v>1861</v>
      </c>
      <c r="H484" s="12" t="b">
        <v>1</v>
      </c>
      <c r="I484" s="12" t="b">
        <v>0</v>
      </c>
      <c r="J484" s="12" t="b">
        <v>1</v>
      </c>
      <c r="K484" s="12" t="b">
        <v>0</v>
      </c>
      <c r="L484" s="12">
        <v>623.15</v>
      </c>
      <c r="M484" s="12">
        <v>300.032917</v>
      </c>
      <c r="N484" s="12">
        <v>3000</v>
      </c>
      <c r="O484" s="12">
        <v>400</v>
      </c>
      <c r="P484" s="12">
        <v>0.5</v>
      </c>
      <c r="Q484" s="12">
        <v>0.85</v>
      </c>
      <c r="R484" s="12">
        <v>0.75</v>
      </c>
      <c r="S484" s="12">
        <v>0.7</v>
      </c>
      <c r="T484" s="12">
        <v>0.75</v>
      </c>
      <c r="U484" s="12">
        <v>0.8</v>
      </c>
      <c r="V484" s="12"/>
      <c r="W484" s="12">
        <v>13.132847055942261</v>
      </c>
      <c r="X484" s="12">
        <v>211.45696468657269</v>
      </c>
      <c r="Y484" s="12">
        <v>2600</v>
      </c>
      <c r="Z484" s="12">
        <v>7.5</v>
      </c>
      <c r="AA484" s="12" t="s">
        <v>1268</v>
      </c>
      <c r="AB484" s="12"/>
    </row>
    <row r="485" spans="1:28" x14ac:dyDescent="0.3">
      <c r="A485" s="12" t="s">
        <v>2378</v>
      </c>
      <c r="B485" s="12" t="s">
        <v>112</v>
      </c>
      <c r="C485" s="12" t="s">
        <v>386</v>
      </c>
      <c r="D485" s="12" t="s">
        <v>2329</v>
      </c>
      <c r="E485" s="12" t="s">
        <v>1886</v>
      </c>
      <c r="F485" s="12" t="s">
        <v>1861</v>
      </c>
      <c r="G485" s="12" t="s">
        <v>1861</v>
      </c>
      <c r="H485" s="12" t="b">
        <v>1</v>
      </c>
      <c r="I485" s="12" t="b">
        <v>0</v>
      </c>
      <c r="J485" s="12" t="b">
        <v>1</v>
      </c>
      <c r="K485" s="12" t="b">
        <v>0</v>
      </c>
      <c r="L485" s="12">
        <v>623.15</v>
      </c>
      <c r="M485" s="12">
        <v>300.032917</v>
      </c>
      <c r="N485" s="12">
        <v>3000</v>
      </c>
      <c r="O485" s="12">
        <v>400</v>
      </c>
      <c r="P485" s="12">
        <v>0.5</v>
      </c>
      <c r="Q485" s="12">
        <v>0.85</v>
      </c>
      <c r="R485" s="12">
        <v>0.75</v>
      </c>
      <c r="S485" s="12">
        <v>0.7</v>
      </c>
      <c r="T485" s="12">
        <v>0.75</v>
      </c>
      <c r="U485" s="12">
        <v>0.95</v>
      </c>
      <c r="V485" s="12"/>
      <c r="W485" s="12">
        <v>13.30186839143493</v>
      </c>
      <c r="X485" s="12">
        <v>238.12665411643869</v>
      </c>
      <c r="Y485" s="12">
        <v>2600</v>
      </c>
      <c r="Z485" s="12">
        <v>7.5</v>
      </c>
      <c r="AA485" s="12" t="s">
        <v>1268</v>
      </c>
      <c r="AB485" s="12"/>
    </row>
    <row r="486" spans="1:28" x14ac:dyDescent="0.3">
      <c r="A486" s="12" t="s">
        <v>2379</v>
      </c>
      <c r="B486" s="12" t="s">
        <v>112</v>
      </c>
      <c r="C486" s="12" t="s">
        <v>386</v>
      </c>
      <c r="D486" s="12" t="s">
        <v>2329</v>
      </c>
      <c r="E486" s="12" t="s">
        <v>1886</v>
      </c>
      <c r="F486" s="12" t="s">
        <v>832</v>
      </c>
      <c r="G486" s="12" t="s">
        <v>832</v>
      </c>
      <c r="H486" s="12" t="b">
        <v>0</v>
      </c>
      <c r="I486" s="12" t="b">
        <v>0</v>
      </c>
      <c r="J486" s="12" t="b">
        <v>0</v>
      </c>
      <c r="K486" s="12" t="b">
        <v>0</v>
      </c>
      <c r="L486" s="12">
        <v>623.15</v>
      </c>
      <c r="M486" s="12">
        <v>300.032917</v>
      </c>
      <c r="N486" s="12">
        <v>3000</v>
      </c>
      <c r="O486" s="12">
        <v>400</v>
      </c>
      <c r="P486" s="12">
        <v>0.5</v>
      </c>
      <c r="Q486" s="12">
        <v>0.85</v>
      </c>
      <c r="R486" s="12">
        <v>0.75</v>
      </c>
      <c r="S486" s="12">
        <v>0.8</v>
      </c>
      <c r="T486" s="12">
        <v>0.75</v>
      </c>
      <c r="U486" s="12">
        <v>0.55000000000000004</v>
      </c>
      <c r="V486" s="12"/>
      <c r="W486" s="12"/>
      <c r="X486" s="12"/>
      <c r="Y486" s="12">
        <v>2600</v>
      </c>
      <c r="Z486" s="12">
        <v>7.5</v>
      </c>
      <c r="AA486" s="12"/>
      <c r="AB486" s="12"/>
    </row>
    <row r="487" spans="1:28" x14ac:dyDescent="0.3">
      <c r="A487" s="12" t="s">
        <v>2380</v>
      </c>
      <c r="B487" s="12" t="s">
        <v>112</v>
      </c>
      <c r="C487" s="12" t="s">
        <v>386</v>
      </c>
      <c r="D487" s="12" t="s">
        <v>2329</v>
      </c>
      <c r="E487" s="12" t="s">
        <v>1886</v>
      </c>
      <c r="F487" s="12" t="s">
        <v>832</v>
      </c>
      <c r="G487" s="12" t="s">
        <v>832</v>
      </c>
      <c r="H487" s="12" t="b">
        <v>0</v>
      </c>
      <c r="I487" s="12" t="b">
        <v>0</v>
      </c>
      <c r="J487" s="12" t="b">
        <v>0</v>
      </c>
      <c r="K487" s="12" t="b">
        <v>0</v>
      </c>
      <c r="L487" s="12">
        <v>623.15</v>
      </c>
      <c r="M487" s="12">
        <v>300.032917</v>
      </c>
      <c r="N487" s="12">
        <v>3000</v>
      </c>
      <c r="O487" s="12">
        <v>400</v>
      </c>
      <c r="P487" s="12">
        <v>0.5</v>
      </c>
      <c r="Q487" s="12">
        <v>0.85</v>
      </c>
      <c r="R487" s="12">
        <v>0.75</v>
      </c>
      <c r="S487" s="12">
        <v>0.8</v>
      </c>
      <c r="T487" s="12">
        <v>0.75</v>
      </c>
      <c r="U487" s="12">
        <v>0.6</v>
      </c>
      <c r="V487" s="12"/>
      <c r="W487" s="12"/>
      <c r="X487" s="12"/>
      <c r="Y487" s="12">
        <v>2600</v>
      </c>
      <c r="Z487" s="12">
        <v>7.5</v>
      </c>
      <c r="AA487" s="12"/>
      <c r="AB487" s="12"/>
    </row>
    <row r="488" spans="1:28" x14ac:dyDescent="0.3">
      <c r="A488" s="12" t="s">
        <v>2381</v>
      </c>
      <c r="B488" s="12" t="s">
        <v>112</v>
      </c>
      <c r="C488" s="12" t="s">
        <v>386</v>
      </c>
      <c r="D488" s="12" t="s">
        <v>2329</v>
      </c>
      <c r="E488" s="12" t="s">
        <v>1886</v>
      </c>
      <c r="F488" s="12" t="s">
        <v>832</v>
      </c>
      <c r="G488" s="12" t="s">
        <v>832</v>
      </c>
      <c r="H488" s="12" t="b">
        <v>0</v>
      </c>
      <c r="I488" s="12" t="b">
        <v>0</v>
      </c>
      <c r="J488" s="12" t="b">
        <v>0</v>
      </c>
      <c r="K488" s="12" t="b">
        <v>0</v>
      </c>
      <c r="L488" s="12">
        <v>623.15</v>
      </c>
      <c r="M488" s="12">
        <v>300.032917</v>
      </c>
      <c r="N488" s="12">
        <v>3000</v>
      </c>
      <c r="O488" s="12">
        <v>400</v>
      </c>
      <c r="P488" s="12">
        <v>0.5</v>
      </c>
      <c r="Q488" s="12">
        <v>0.85</v>
      </c>
      <c r="R488" s="12">
        <v>0.75</v>
      </c>
      <c r="S488" s="12">
        <v>0.8</v>
      </c>
      <c r="T488" s="12">
        <v>0.75</v>
      </c>
      <c r="U488" s="12">
        <v>0.5</v>
      </c>
      <c r="V488" s="12"/>
      <c r="W488" s="12"/>
      <c r="X488" s="12"/>
      <c r="Y488" s="12">
        <v>2600</v>
      </c>
      <c r="Z488" s="12">
        <v>7.5</v>
      </c>
      <c r="AA488" s="12"/>
      <c r="AB488" s="12"/>
    </row>
    <row r="489" spans="1:28" x14ac:dyDescent="0.3">
      <c r="A489" s="12" t="s">
        <v>2382</v>
      </c>
      <c r="B489" s="12" t="s">
        <v>112</v>
      </c>
      <c r="C489" s="12" t="s">
        <v>386</v>
      </c>
      <c r="D489" s="12" t="s">
        <v>2329</v>
      </c>
      <c r="E489" s="12" t="s">
        <v>1886</v>
      </c>
      <c r="F489" s="12" t="s">
        <v>832</v>
      </c>
      <c r="G489" s="12" t="s">
        <v>832</v>
      </c>
      <c r="H489" s="12" t="b">
        <v>0</v>
      </c>
      <c r="I489" s="12" t="b">
        <v>0</v>
      </c>
      <c r="J489" s="12" t="b">
        <v>0</v>
      </c>
      <c r="K489" s="12" t="b">
        <v>0</v>
      </c>
      <c r="L489" s="12">
        <v>623.15</v>
      </c>
      <c r="M489" s="12">
        <v>300.032917</v>
      </c>
      <c r="N489" s="12">
        <v>3000</v>
      </c>
      <c r="O489" s="12">
        <v>400</v>
      </c>
      <c r="P489" s="12">
        <v>0.5</v>
      </c>
      <c r="Q489" s="12">
        <v>0.85</v>
      </c>
      <c r="R489" s="12">
        <v>0.75</v>
      </c>
      <c r="S489" s="12">
        <v>0.8</v>
      </c>
      <c r="T489" s="12">
        <v>0.75</v>
      </c>
      <c r="U489" s="12">
        <v>0.65</v>
      </c>
      <c r="V489" s="12"/>
      <c r="W489" s="12"/>
      <c r="X489" s="12"/>
      <c r="Y489" s="12">
        <v>2600</v>
      </c>
      <c r="Z489" s="12">
        <v>7.5</v>
      </c>
      <c r="AA489" s="12"/>
      <c r="AB489" s="12"/>
    </row>
    <row r="490" spans="1:28" x14ac:dyDescent="0.3">
      <c r="A490" s="12" t="s">
        <v>2383</v>
      </c>
      <c r="B490" s="12" t="s">
        <v>112</v>
      </c>
      <c r="C490" s="12" t="s">
        <v>386</v>
      </c>
      <c r="D490" s="12" t="s">
        <v>2329</v>
      </c>
      <c r="E490" s="12" t="s">
        <v>1886</v>
      </c>
      <c r="F490" s="12" t="s">
        <v>832</v>
      </c>
      <c r="G490" s="12" t="s">
        <v>832</v>
      </c>
      <c r="H490" s="12" t="b">
        <v>0</v>
      </c>
      <c r="I490" s="12" t="b">
        <v>0</v>
      </c>
      <c r="J490" s="12" t="b">
        <v>0</v>
      </c>
      <c r="K490" s="12" t="b">
        <v>0</v>
      </c>
      <c r="L490" s="12">
        <v>623.15</v>
      </c>
      <c r="M490" s="12">
        <v>300.032917</v>
      </c>
      <c r="N490" s="12">
        <v>3000</v>
      </c>
      <c r="O490" s="12">
        <v>400</v>
      </c>
      <c r="P490" s="12">
        <v>0.5</v>
      </c>
      <c r="Q490" s="12">
        <v>0.85</v>
      </c>
      <c r="R490" s="12">
        <v>0.75</v>
      </c>
      <c r="S490" s="12">
        <v>0.8</v>
      </c>
      <c r="T490" s="12">
        <v>0.75</v>
      </c>
      <c r="U490" s="12">
        <v>0.7</v>
      </c>
      <c r="V490" s="12"/>
      <c r="W490" s="12"/>
      <c r="X490" s="12"/>
      <c r="Y490" s="12">
        <v>2600</v>
      </c>
      <c r="Z490" s="12">
        <v>7.5</v>
      </c>
      <c r="AA490" s="12"/>
      <c r="AB490" s="12"/>
    </row>
    <row r="491" spans="1:28" x14ac:dyDescent="0.3">
      <c r="A491" s="12" t="s">
        <v>2384</v>
      </c>
      <c r="B491" s="12" t="s">
        <v>112</v>
      </c>
      <c r="C491" s="12" t="s">
        <v>386</v>
      </c>
      <c r="D491" s="12" t="s">
        <v>2329</v>
      </c>
      <c r="E491" s="12" t="s">
        <v>1886</v>
      </c>
      <c r="F491" s="12" t="s">
        <v>832</v>
      </c>
      <c r="G491" s="12" t="s">
        <v>832</v>
      </c>
      <c r="H491" s="12" t="b">
        <v>0</v>
      </c>
      <c r="I491" s="12" t="b">
        <v>0</v>
      </c>
      <c r="J491" s="12" t="b">
        <v>0</v>
      </c>
      <c r="K491" s="12" t="b">
        <v>0</v>
      </c>
      <c r="L491" s="12">
        <v>623.15</v>
      </c>
      <c r="M491" s="12">
        <v>300.032917</v>
      </c>
      <c r="N491" s="12">
        <v>3000</v>
      </c>
      <c r="O491" s="12">
        <v>400</v>
      </c>
      <c r="P491" s="12">
        <v>0.5</v>
      </c>
      <c r="Q491" s="12">
        <v>0.85</v>
      </c>
      <c r="R491" s="12">
        <v>0.75</v>
      </c>
      <c r="S491" s="12">
        <v>0.8</v>
      </c>
      <c r="T491" s="12">
        <v>0.75</v>
      </c>
      <c r="U491" s="12">
        <v>0.95</v>
      </c>
      <c r="V491" s="12"/>
      <c r="W491" s="12"/>
      <c r="X491" s="12"/>
      <c r="Y491" s="12">
        <v>2600</v>
      </c>
      <c r="Z491" s="12">
        <v>7.5</v>
      </c>
      <c r="AA491" s="12"/>
      <c r="AB491" s="12"/>
    </row>
    <row r="492" spans="1:28" x14ac:dyDescent="0.3">
      <c r="A492" s="12" t="s">
        <v>2385</v>
      </c>
      <c r="B492" s="12" t="s">
        <v>112</v>
      </c>
      <c r="C492" s="12" t="s">
        <v>386</v>
      </c>
      <c r="D492" s="12" t="s">
        <v>2329</v>
      </c>
      <c r="E492" s="12" t="s">
        <v>1886</v>
      </c>
      <c r="F492" s="12" t="s">
        <v>1861</v>
      </c>
      <c r="G492" s="12" t="s">
        <v>1861</v>
      </c>
      <c r="H492" s="12" t="b">
        <v>1</v>
      </c>
      <c r="I492" s="12" t="b">
        <v>0</v>
      </c>
      <c r="J492" s="12" t="b">
        <v>1</v>
      </c>
      <c r="K492" s="12" t="b">
        <v>0</v>
      </c>
      <c r="L492" s="12">
        <v>623.15</v>
      </c>
      <c r="M492" s="12">
        <v>300.032917</v>
      </c>
      <c r="N492" s="12">
        <v>3000</v>
      </c>
      <c r="O492" s="12">
        <v>400</v>
      </c>
      <c r="P492" s="12">
        <v>0.5</v>
      </c>
      <c r="Q492" s="12">
        <v>0.85</v>
      </c>
      <c r="R492" s="12">
        <v>0.75</v>
      </c>
      <c r="S492" s="12">
        <v>0.8</v>
      </c>
      <c r="T492" s="12">
        <v>0.75</v>
      </c>
      <c r="U492" s="12">
        <v>0.8</v>
      </c>
      <c r="V492" s="12"/>
      <c r="W492" s="12">
        <v>13.052569559218259</v>
      </c>
      <c r="X492" s="12">
        <v>237.90134362881199</v>
      </c>
      <c r="Y492" s="12">
        <v>2600</v>
      </c>
      <c r="Z492" s="12">
        <v>7.5</v>
      </c>
      <c r="AA492" s="12" t="s">
        <v>1981</v>
      </c>
      <c r="AB492" s="12"/>
    </row>
    <row r="493" spans="1:28" x14ac:dyDescent="0.3">
      <c r="A493" s="12" t="s">
        <v>2386</v>
      </c>
      <c r="B493" s="12" t="s">
        <v>112</v>
      </c>
      <c r="C493" s="12" t="s">
        <v>386</v>
      </c>
      <c r="D493" s="12" t="s">
        <v>2329</v>
      </c>
      <c r="E493" s="12" t="s">
        <v>1886</v>
      </c>
      <c r="F493" s="12" t="s">
        <v>1861</v>
      </c>
      <c r="G493" s="12" t="s">
        <v>1861</v>
      </c>
      <c r="H493" s="12" t="b">
        <v>1</v>
      </c>
      <c r="I493" s="12" t="b">
        <v>0</v>
      </c>
      <c r="J493" s="12" t="b">
        <v>1</v>
      </c>
      <c r="K493" s="12" t="b">
        <v>0</v>
      </c>
      <c r="L493" s="12">
        <v>623.15</v>
      </c>
      <c r="M493" s="12">
        <v>300.032917</v>
      </c>
      <c r="N493" s="12">
        <v>3000</v>
      </c>
      <c r="O493" s="12">
        <v>400</v>
      </c>
      <c r="P493" s="12">
        <v>0.5</v>
      </c>
      <c r="Q493" s="12">
        <v>0.85</v>
      </c>
      <c r="R493" s="12">
        <v>0.75</v>
      </c>
      <c r="S493" s="12">
        <v>0.8</v>
      </c>
      <c r="T493" s="12">
        <v>0.75</v>
      </c>
      <c r="U493" s="12">
        <v>0.75</v>
      </c>
      <c r="V493" s="12"/>
      <c r="W493" s="12">
        <v>12.4983232542936</v>
      </c>
      <c r="X493" s="12">
        <v>214.96169771834749</v>
      </c>
      <c r="Y493" s="12">
        <v>2600</v>
      </c>
      <c r="Z493" s="12">
        <v>7.5</v>
      </c>
      <c r="AA493" s="12" t="s">
        <v>1981</v>
      </c>
      <c r="AB493" s="12"/>
    </row>
    <row r="494" spans="1:28" x14ac:dyDescent="0.3">
      <c r="A494" s="12" t="s">
        <v>2387</v>
      </c>
      <c r="B494" s="12" t="s">
        <v>112</v>
      </c>
      <c r="C494" s="12" t="s">
        <v>386</v>
      </c>
      <c r="D494" s="12" t="s">
        <v>2329</v>
      </c>
      <c r="E494" s="12" t="s">
        <v>1886</v>
      </c>
      <c r="F494" s="12" t="s">
        <v>1861</v>
      </c>
      <c r="G494" s="12" t="s">
        <v>1861</v>
      </c>
      <c r="H494" s="12" t="b">
        <v>1</v>
      </c>
      <c r="I494" s="12" t="b">
        <v>0</v>
      </c>
      <c r="J494" s="12" t="b">
        <v>1</v>
      </c>
      <c r="K494" s="12" t="b">
        <v>0</v>
      </c>
      <c r="L494" s="12">
        <v>623.15</v>
      </c>
      <c r="M494" s="12">
        <v>300.032917</v>
      </c>
      <c r="N494" s="12">
        <v>3000</v>
      </c>
      <c r="O494" s="12">
        <v>400</v>
      </c>
      <c r="P494" s="12">
        <v>0.5</v>
      </c>
      <c r="Q494" s="12">
        <v>0.85</v>
      </c>
      <c r="R494" s="12">
        <v>0.75</v>
      </c>
      <c r="S494" s="12">
        <v>0.8</v>
      </c>
      <c r="T494" s="12">
        <v>0.75</v>
      </c>
      <c r="U494" s="12">
        <v>0.85</v>
      </c>
      <c r="V494" s="12"/>
      <c r="W494" s="12">
        <v>13.45666226449551</v>
      </c>
      <c r="X494" s="12">
        <v>258.31809860920902</v>
      </c>
      <c r="Y494" s="12">
        <v>2600</v>
      </c>
      <c r="Z494" s="12">
        <v>7.5</v>
      </c>
      <c r="AA494" s="12" t="s">
        <v>1981</v>
      </c>
      <c r="AB494" s="12"/>
    </row>
    <row r="495" spans="1:28" x14ac:dyDescent="0.3">
      <c r="A495" s="12" t="s">
        <v>2388</v>
      </c>
      <c r="B495" s="12" t="s">
        <v>112</v>
      </c>
      <c r="C495" s="12" t="s">
        <v>386</v>
      </c>
      <c r="D495" s="12" t="s">
        <v>2329</v>
      </c>
      <c r="E495" s="12" t="s">
        <v>1886</v>
      </c>
      <c r="F495" s="12" t="s">
        <v>1861</v>
      </c>
      <c r="G495" s="12" t="s">
        <v>1861</v>
      </c>
      <c r="H495" s="12" t="b">
        <v>1</v>
      </c>
      <c r="I495" s="12" t="b">
        <v>0</v>
      </c>
      <c r="J495" s="12" t="b">
        <v>1</v>
      </c>
      <c r="K495" s="12" t="b">
        <v>0</v>
      </c>
      <c r="L495" s="12">
        <v>623.15</v>
      </c>
      <c r="M495" s="12">
        <v>300.032917</v>
      </c>
      <c r="N495" s="12">
        <v>3000</v>
      </c>
      <c r="O495" s="12">
        <v>400</v>
      </c>
      <c r="P495" s="12">
        <v>0.5</v>
      </c>
      <c r="Q495" s="12">
        <v>0.85</v>
      </c>
      <c r="R495" s="12">
        <v>0.75</v>
      </c>
      <c r="S495" s="12">
        <v>0.8</v>
      </c>
      <c r="T495" s="12">
        <v>0.75</v>
      </c>
      <c r="U495" s="12">
        <v>0.89999999999999991</v>
      </c>
      <c r="V495" s="12"/>
      <c r="W495" s="12">
        <v>13.52674731048322</v>
      </c>
      <c r="X495" s="12">
        <v>271.47652895004961</v>
      </c>
      <c r="Y495" s="12">
        <v>2600</v>
      </c>
      <c r="Z495" s="12">
        <v>7.5</v>
      </c>
      <c r="AA495" s="12" t="s">
        <v>1981</v>
      </c>
      <c r="AB495" s="12"/>
    </row>
    <row r="496" spans="1:28" x14ac:dyDescent="0.3">
      <c r="A496" s="12" t="s">
        <v>2389</v>
      </c>
      <c r="B496" s="12" t="s">
        <v>112</v>
      </c>
      <c r="C496" s="12" t="s">
        <v>388</v>
      </c>
      <c r="D496" s="12" t="s">
        <v>2390</v>
      </c>
      <c r="E496" s="12" t="s">
        <v>1886</v>
      </c>
      <c r="F496" s="12" t="s">
        <v>1861</v>
      </c>
      <c r="G496" s="12" t="s">
        <v>1861</v>
      </c>
      <c r="H496" s="12" t="b">
        <v>1</v>
      </c>
      <c r="I496" s="12" t="b">
        <v>0</v>
      </c>
      <c r="J496" s="12" t="b">
        <v>1</v>
      </c>
      <c r="K496" s="12" t="b">
        <v>0</v>
      </c>
      <c r="L496" s="12">
        <v>623.15</v>
      </c>
      <c r="M496" s="12">
        <v>300.032917</v>
      </c>
      <c r="N496" s="12">
        <v>3000</v>
      </c>
      <c r="O496" s="12">
        <v>400</v>
      </c>
      <c r="P496" s="12">
        <v>0.5</v>
      </c>
      <c r="Q496" s="12">
        <v>0.85</v>
      </c>
      <c r="R496" s="12">
        <v>0.75</v>
      </c>
      <c r="S496" s="12">
        <v>0.4</v>
      </c>
      <c r="T496" s="12">
        <v>0.75</v>
      </c>
      <c r="U496" s="12">
        <v>0.8</v>
      </c>
      <c r="V496" s="12"/>
      <c r="W496" s="12">
        <v>13.31771154737231</v>
      </c>
      <c r="X496" s="12">
        <v>124.9305023358619</v>
      </c>
      <c r="Y496" s="12">
        <v>2600</v>
      </c>
      <c r="Z496" s="12">
        <v>7.5</v>
      </c>
      <c r="AA496" s="12" t="s">
        <v>1268</v>
      </c>
      <c r="AB496" s="12"/>
    </row>
    <row r="497" spans="1:28" x14ac:dyDescent="0.3">
      <c r="A497" s="12" t="s">
        <v>2391</v>
      </c>
      <c r="B497" s="12" t="s">
        <v>112</v>
      </c>
      <c r="C497" s="12" t="s">
        <v>388</v>
      </c>
      <c r="D497" s="12" t="s">
        <v>2390</v>
      </c>
      <c r="E497" s="12" t="s">
        <v>1886</v>
      </c>
      <c r="F497" s="12" t="s">
        <v>1861</v>
      </c>
      <c r="G497" s="12" t="s">
        <v>1861</v>
      </c>
      <c r="H497" s="12" t="b">
        <v>1</v>
      </c>
      <c r="I497" s="12" t="b">
        <v>0</v>
      </c>
      <c r="J497" s="12" t="b">
        <v>1</v>
      </c>
      <c r="K497" s="12" t="b">
        <v>0</v>
      </c>
      <c r="L497" s="12">
        <v>623.15</v>
      </c>
      <c r="M497" s="12">
        <v>300.032917</v>
      </c>
      <c r="N497" s="12">
        <v>3000</v>
      </c>
      <c r="O497" s="12">
        <v>545.4545454545455</v>
      </c>
      <c r="P497" s="12">
        <v>0.5</v>
      </c>
      <c r="Q497" s="12">
        <v>0.85</v>
      </c>
      <c r="R497" s="12">
        <v>0.75</v>
      </c>
      <c r="S497" s="12">
        <v>0.4</v>
      </c>
      <c r="T497" s="12">
        <v>0.75</v>
      </c>
      <c r="U497" s="12">
        <v>0.8</v>
      </c>
      <c r="V497" s="12"/>
      <c r="W497" s="12">
        <v>11.789698363237351</v>
      </c>
      <c r="X497" s="12">
        <v>110.651555870585</v>
      </c>
      <c r="Y497" s="12">
        <v>2454.545454545455</v>
      </c>
      <c r="Z497" s="12">
        <v>5.5</v>
      </c>
      <c r="AA497" s="12" t="s">
        <v>1268</v>
      </c>
      <c r="AB497" s="12"/>
    </row>
    <row r="498" spans="1:28" x14ac:dyDescent="0.3">
      <c r="A498" s="12" t="s">
        <v>2392</v>
      </c>
      <c r="B498" s="12" t="s">
        <v>112</v>
      </c>
      <c r="C498" s="12" t="s">
        <v>388</v>
      </c>
      <c r="D498" s="12" t="s">
        <v>2390</v>
      </c>
      <c r="E498" s="12" t="s">
        <v>1886</v>
      </c>
      <c r="F498" s="12" t="s">
        <v>1861</v>
      </c>
      <c r="G498" s="12" t="s">
        <v>1861</v>
      </c>
      <c r="H498" s="12" t="b">
        <v>1</v>
      </c>
      <c r="I498" s="12" t="b">
        <v>0</v>
      </c>
      <c r="J498" s="12" t="b">
        <v>1</v>
      </c>
      <c r="K498" s="12" t="b">
        <v>0</v>
      </c>
      <c r="L498" s="12">
        <v>623.15</v>
      </c>
      <c r="M498" s="12">
        <v>300.032917</v>
      </c>
      <c r="N498" s="12">
        <v>3000</v>
      </c>
      <c r="O498" s="12">
        <v>690.90909090909099</v>
      </c>
      <c r="P498" s="12">
        <v>0.5</v>
      </c>
      <c r="Q498" s="12">
        <v>0.85</v>
      </c>
      <c r="R498" s="12">
        <v>0.75</v>
      </c>
      <c r="S498" s="12">
        <v>0.4</v>
      </c>
      <c r="T498" s="12">
        <v>0.75</v>
      </c>
      <c r="U498" s="12">
        <v>0.8</v>
      </c>
      <c r="V498" s="12"/>
      <c r="W498" s="12">
        <v>10.49147869952683</v>
      </c>
      <c r="X498" s="12">
        <v>98.474203506183017</v>
      </c>
      <c r="Y498" s="12">
        <v>2309.090909090909</v>
      </c>
      <c r="Z498" s="12">
        <v>4.3421052631578938</v>
      </c>
      <c r="AA498" s="12" t="s">
        <v>1268</v>
      </c>
      <c r="AB498" s="12"/>
    </row>
    <row r="499" spans="1:28" x14ac:dyDescent="0.3">
      <c r="A499" s="12" t="s">
        <v>2393</v>
      </c>
      <c r="B499" s="12" t="s">
        <v>112</v>
      </c>
      <c r="C499" s="12" t="s">
        <v>388</v>
      </c>
      <c r="D499" s="12" t="s">
        <v>2390</v>
      </c>
      <c r="E499" s="12" t="s">
        <v>1886</v>
      </c>
      <c r="F499" s="12" t="s">
        <v>1861</v>
      </c>
      <c r="G499" s="12" t="s">
        <v>1861</v>
      </c>
      <c r="H499" s="12" t="b">
        <v>1</v>
      </c>
      <c r="I499" s="12" t="b">
        <v>0</v>
      </c>
      <c r="J499" s="12" t="b">
        <v>1</v>
      </c>
      <c r="K499" s="12" t="b">
        <v>0</v>
      </c>
      <c r="L499" s="12">
        <v>623.15</v>
      </c>
      <c r="M499" s="12">
        <v>300.032917</v>
      </c>
      <c r="N499" s="12">
        <v>3000</v>
      </c>
      <c r="O499" s="12">
        <v>836.36363636363637</v>
      </c>
      <c r="P499" s="12">
        <v>0.5</v>
      </c>
      <c r="Q499" s="12">
        <v>0.85</v>
      </c>
      <c r="R499" s="12">
        <v>0.75</v>
      </c>
      <c r="S499" s="12">
        <v>0.4</v>
      </c>
      <c r="T499" s="12">
        <v>0.75</v>
      </c>
      <c r="U499" s="12">
        <v>0.8</v>
      </c>
      <c r="V499" s="12"/>
      <c r="W499" s="12">
        <v>9.3507571265243872</v>
      </c>
      <c r="X499" s="12">
        <v>87.753952921878138</v>
      </c>
      <c r="Y499" s="12">
        <v>2163.636363636364</v>
      </c>
      <c r="Z499" s="12">
        <v>3.5869565217391299</v>
      </c>
      <c r="AA499" s="12" t="s">
        <v>1268</v>
      </c>
      <c r="AB499" s="12"/>
    </row>
    <row r="500" spans="1:28" x14ac:dyDescent="0.3">
      <c r="A500" s="12" t="s">
        <v>2394</v>
      </c>
      <c r="B500" s="12" t="s">
        <v>112</v>
      </c>
      <c r="C500" s="12" t="s">
        <v>388</v>
      </c>
      <c r="D500" s="12" t="s">
        <v>2390</v>
      </c>
      <c r="E500" s="12" t="s">
        <v>1886</v>
      </c>
      <c r="F500" s="12" t="s">
        <v>1861</v>
      </c>
      <c r="G500" s="12" t="s">
        <v>1861</v>
      </c>
      <c r="H500" s="12" t="b">
        <v>1</v>
      </c>
      <c r="I500" s="12" t="b">
        <v>0</v>
      </c>
      <c r="J500" s="12" t="b">
        <v>1</v>
      </c>
      <c r="K500" s="12" t="b">
        <v>0</v>
      </c>
      <c r="L500" s="12">
        <v>623.15</v>
      </c>
      <c r="M500" s="12">
        <v>300.032917</v>
      </c>
      <c r="N500" s="12">
        <v>3000</v>
      </c>
      <c r="O500" s="12">
        <v>981.81818181818198</v>
      </c>
      <c r="P500" s="12">
        <v>0.5</v>
      </c>
      <c r="Q500" s="12">
        <v>0.85</v>
      </c>
      <c r="R500" s="12">
        <v>0.75</v>
      </c>
      <c r="S500" s="12">
        <v>0.4</v>
      </c>
      <c r="T500" s="12">
        <v>0.75</v>
      </c>
      <c r="U500" s="12">
        <v>0.8</v>
      </c>
      <c r="V500" s="12"/>
      <c r="W500" s="12">
        <v>8.3260210633504101</v>
      </c>
      <c r="X500" s="12">
        <v>78.115167329054529</v>
      </c>
      <c r="Y500" s="12">
        <v>2018.181818181818</v>
      </c>
      <c r="Z500" s="12">
        <v>3.0555555555555549</v>
      </c>
      <c r="AA500" s="12" t="s">
        <v>1268</v>
      </c>
      <c r="AB500" s="12"/>
    </row>
    <row r="501" spans="1:28" x14ac:dyDescent="0.3">
      <c r="A501" s="12" t="s">
        <v>2395</v>
      </c>
      <c r="B501" s="12" t="s">
        <v>112</v>
      </c>
      <c r="C501" s="12" t="s">
        <v>388</v>
      </c>
      <c r="D501" s="12" t="s">
        <v>2390</v>
      </c>
      <c r="E501" s="12" t="s">
        <v>1886</v>
      </c>
      <c r="F501" s="12" t="s">
        <v>1861</v>
      </c>
      <c r="G501" s="12" t="s">
        <v>1861</v>
      </c>
      <c r="H501" s="12" t="b">
        <v>1</v>
      </c>
      <c r="I501" s="12" t="b">
        <v>0</v>
      </c>
      <c r="J501" s="12" t="b">
        <v>1</v>
      </c>
      <c r="K501" s="12" t="b">
        <v>0</v>
      </c>
      <c r="L501" s="12">
        <v>623.15</v>
      </c>
      <c r="M501" s="12">
        <v>300.032917</v>
      </c>
      <c r="N501" s="12">
        <v>3000</v>
      </c>
      <c r="O501" s="12">
        <v>1127.2727272727279</v>
      </c>
      <c r="P501" s="12">
        <v>0.5</v>
      </c>
      <c r="Q501" s="12">
        <v>0.85</v>
      </c>
      <c r="R501" s="12">
        <v>0.75</v>
      </c>
      <c r="S501" s="12">
        <v>0.4</v>
      </c>
      <c r="T501" s="12">
        <v>0.75</v>
      </c>
      <c r="U501" s="12">
        <v>0.8</v>
      </c>
      <c r="V501" s="12"/>
      <c r="W501" s="12">
        <v>7.3909420199330302</v>
      </c>
      <c r="X501" s="12">
        <v>69.317190482807376</v>
      </c>
      <c r="Y501" s="12">
        <v>1872.7272727272721</v>
      </c>
      <c r="Z501" s="12">
        <v>2.6612903225806441</v>
      </c>
      <c r="AA501" s="12" t="s">
        <v>1268</v>
      </c>
      <c r="AB501" s="12"/>
    </row>
    <row r="502" spans="1:28" x14ac:dyDescent="0.3">
      <c r="A502" s="12" t="s">
        <v>2396</v>
      </c>
      <c r="B502" s="12" t="s">
        <v>112</v>
      </c>
      <c r="C502" s="12" t="s">
        <v>388</v>
      </c>
      <c r="D502" s="12" t="s">
        <v>2390</v>
      </c>
      <c r="E502" s="12" t="s">
        <v>1886</v>
      </c>
      <c r="F502" s="12" t="s">
        <v>1861</v>
      </c>
      <c r="G502" s="12" t="s">
        <v>1861</v>
      </c>
      <c r="H502" s="12" t="b">
        <v>1</v>
      </c>
      <c r="I502" s="12" t="b">
        <v>0</v>
      </c>
      <c r="J502" s="12" t="b">
        <v>1</v>
      </c>
      <c r="K502" s="12" t="b">
        <v>0</v>
      </c>
      <c r="L502" s="12">
        <v>623.15</v>
      </c>
      <c r="M502" s="12">
        <v>300.032917</v>
      </c>
      <c r="N502" s="12">
        <v>3000</v>
      </c>
      <c r="O502" s="12">
        <v>1272.727272727273</v>
      </c>
      <c r="P502" s="12">
        <v>0.5</v>
      </c>
      <c r="Q502" s="12">
        <v>0.85</v>
      </c>
      <c r="R502" s="12">
        <v>0.75</v>
      </c>
      <c r="S502" s="12">
        <v>0.4</v>
      </c>
      <c r="T502" s="12">
        <v>0.75</v>
      </c>
      <c r="U502" s="12">
        <v>0.8</v>
      </c>
      <c r="V502" s="12"/>
      <c r="W502" s="12">
        <v>6.5276481656020398</v>
      </c>
      <c r="X502" s="12">
        <v>61.195410000746641</v>
      </c>
      <c r="Y502" s="12">
        <v>1727.272727272727</v>
      </c>
      <c r="Z502" s="12">
        <v>2.3571428571428572</v>
      </c>
      <c r="AA502" s="12" t="s">
        <v>1268</v>
      </c>
      <c r="AB502" s="12"/>
    </row>
    <row r="503" spans="1:28" x14ac:dyDescent="0.3">
      <c r="A503" s="12" t="s">
        <v>2397</v>
      </c>
      <c r="B503" s="12" t="s">
        <v>112</v>
      </c>
      <c r="C503" s="12" t="s">
        <v>388</v>
      </c>
      <c r="D503" s="12" t="s">
        <v>2390</v>
      </c>
      <c r="E503" s="12" t="s">
        <v>1886</v>
      </c>
      <c r="F503" s="12" t="s">
        <v>32</v>
      </c>
      <c r="G503" s="12" t="s">
        <v>32</v>
      </c>
      <c r="H503" s="12" t="b">
        <v>1</v>
      </c>
      <c r="I503" s="12" t="b">
        <v>0</v>
      </c>
      <c r="J503" s="12" t="b">
        <v>1</v>
      </c>
      <c r="K503" s="12" t="b">
        <v>0</v>
      </c>
      <c r="L503" s="12">
        <v>623.15</v>
      </c>
      <c r="M503" s="12">
        <v>300.032917</v>
      </c>
      <c r="N503" s="12">
        <v>3000</v>
      </c>
      <c r="O503" s="12">
        <v>1418.181818181818</v>
      </c>
      <c r="P503" s="12">
        <v>0.5</v>
      </c>
      <c r="Q503" s="12">
        <v>0.85</v>
      </c>
      <c r="R503" s="12">
        <v>0.75</v>
      </c>
      <c r="S503" s="12">
        <v>0.4</v>
      </c>
      <c r="T503" s="12">
        <v>0.75</v>
      </c>
      <c r="U503" s="12">
        <v>0.8</v>
      </c>
      <c r="V503" s="12"/>
      <c r="W503" s="12">
        <v>5.7300931164186197</v>
      </c>
      <c r="X503" s="12">
        <v>53.695604607728711</v>
      </c>
      <c r="Y503" s="12">
        <v>1581.818181818182</v>
      </c>
      <c r="Z503" s="12">
        <v>2.115384615384615</v>
      </c>
      <c r="AA503" s="12"/>
      <c r="AB503" s="12"/>
    </row>
    <row r="504" spans="1:28" x14ac:dyDescent="0.3">
      <c r="A504" s="12" t="s">
        <v>2398</v>
      </c>
      <c r="B504" s="12" t="s">
        <v>112</v>
      </c>
      <c r="C504" s="12" t="s">
        <v>388</v>
      </c>
      <c r="D504" s="12" t="s">
        <v>2390</v>
      </c>
      <c r="E504" s="12" t="s">
        <v>1886</v>
      </c>
      <c r="F504" s="12" t="s">
        <v>32</v>
      </c>
      <c r="G504" s="12" t="s">
        <v>32</v>
      </c>
      <c r="H504" s="12" t="b">
        <v>1</v>
      </c>
      <c r="I504" s="12" t="b">
        <v>0</v>
      </c>
      <c r="J504" s="12" t="b">
        <v>1</v>
      </c>
      <c r="K504" s="12" t="b">
        <v>0</v>
      </c>
      <c r="L504" s="12">
        <v>623.15</v>
      </c>
      <c r="M504" s="12">
        <v>300.032917</v>
      </c>
      <c r="N504" s="12">
        <v>3000</v>
      </c>
      <c r="O504" s="12">
        <v>1563.636363636364</v>
      </c>
      <c r="P504" s="12">
        <v>0.5</v>
      </c>
      <c r="Q504" s="12">
        <v>0.85</v>
      </c>
      <c r="R504" s="12">
        <v>0.75</v>
      </c>
      <c r="S504" s="12">
        <v>0.4</v>
      </c>
      <c r="T504" s="12">
        <v>0.75</v>
      </c>
      <c r="U504" s="12">
        <v>0.8</v>
      </c>
      <c r="V504" s="12"/>
      <c r="W504" s="12">
        <v>5.0026603651576806</v>
      </c>
      <c r="X504" s="12">
        <v>46.860806743849153</v>
      </c>
      <c r="Y504" s="12">
        <v>1436.363636363636</v>
      </c>
      <c r="Z504" s="12">
        <v>1.918604651162791</v>
      </c>
      <c r="AA504" s="12"/>
      <c r="AB504" s="12"/>
    </row>
    <row r="505" spans="1:28" x14ac:dyDescent="0.3">
      <c r="A505" s="12" t="s">
        <v>2399</v>
      </c>
      <c r="B505" s="12" t="s">
        <v>112</v>
      </c>
      <c r="C505" s="12" t="s">
        <v>388</v>
      </c>
      <c r="D505" s="12" t="s">
        <v>2390</v>
      </c>
      <c r="E505" s="12" t="s">
        <v>1886</v>
      </c>
      <c r="F505" s="12" t="s">
        <v>32</v>
      </c>
      <c r="G505" s="12" t="s">
        <v>32</v>
      </c>
      <c r="H505" s="12" t="b">
        <v>1</v>
      </c>
      <c r="I505" s="12" t="b">
        <v>0</v>
      </c>
      <c r="J505" s="12" t="b">
        <v>1</v>
      </c>
      <c r="K505" s="12" t="b">
        <v>0</v>
      </c>
      <c r="L505" s="12">
        <v>623.15</v>
      </c>
      <c r="M505" s="12">
        <v>300.032917</v>
      </c>
      <c r="N505" s="12">
        <v>3000</v>
      </c>
      <c r="O505" s="12">
        <v>1709.090909090909</v>
      </c>
      <c r="P505" s="12">
        <v>0.5</v>
      </c>
      <c r="Q505" s="12">
        <v>0.85</v>
      </c>
      <c r="R505" s="12">
        <v>0.75</v>
      </c>
      <c r="S505" s="12">
        <v>0.4</v>
      </c>
      <c r="T505" s="12">
        <v>0.75</v>
      </c>
      <c r="U505" s="12">
        <v>0.8</v>
      </c>
      <c r="V505" s="12"/>
      <c r="W505" s="12">
        <v>4.3343690510737698</v>
      </c>
      <c r="X505" s="12">
        <v>40.586456380128148</v>
      </c>
      <c r="Y505" s="12">
        <v>1290.909090909091</v>
      </c>
      <c r="Z505" s="12">
        <v>1.7553191489361699</v>
      </c>
      <c r="AA505" s="12"/>
      <c r="AB505" s="12"/>
    </row>
    <row r="506" spans="1:28" x14ac:dyDescent="0.3">
      <c r="A506" s="12" t="s">
        <v>2400</v>
      </c>
      <c r="B506" s="12" t="s">
        <v>112</v>
      </c>
      <c r="C506" s="12" t="s">
        <v>388</v>
      </c>
      <c r="D506" s="12" t="s">
        <v>2390</v>
      </c>
      <c r="E506" s="12" t="s">
        <v>1886</v>
      </c>
      <c r="F506" s="12" t="s">
        <v>832</v>
      </c>
      <c r="G506" s="12" t="s">
        <v>832</v>
      </c>
      <c r="H506" s="12" t="b">
        <v>0</v>
      </c>
      <c r="I506" s="12" t="b">
        <v>0</v>
      </c>
      <c r="J506" s="12" t="b">
        <v>0</v>
      </c>
      <c r="K506" s="12" t="b">
        <v>0</v>
      </c>
      <c r="L506" s="12">
        <v>623.15</v>
      </c>
      <c r="M506" s="12">
        <v>300.032917</v>
      </c>
      <c r="N506" s="12">
        <v>3000</v>
      </c>
      <c r="O506" s="12">
        <v>400</v>
      </c>
      <c r="P506" s="12">
        <v>0.5</v>
      </c>
      <c r="Q506" s="12">
        <v>0.85</v>
      </c>
      <c r="R506" s="12">
        <v>0.75</v>
      </c>
      <c r="S506" s="12">
        <v>0.5</v>
      </c>
      <c r="T506" s="12">
        <v>0.75</v>
      </c>
      <c r="U506" s="12">
        <v>0.8</v>
      </c>
      <c r="V506" s="12"/>
      <c r="W506" s="12"/>
      <c r="X506" s="12"/>
      <c r="Y506" s="12">
        <v>2600</v>
      </c>
      <c r="Z506" s="12">
        <v>7.5</v>
      </c>
      <c r="AA506" s="12"/>
      <c r="AB506" s="12"/>
    </row>
    <row r="507" spans="1:28" x14ac:dyDescent="0.3">
      <c r="A507" s="12" t="s">
        <v>2401</v>
      </c>
      <c r="B507" s="12" t="s">
        <v>112</v>
      </c>
      <c r="C507" s="12" t="s">
        <v>388</v>
      </c>
      <c r="D507" s="12" t="s">
        <v>2390</v>
      </c>
      <c r="E507" s="12" t="s">
        <v>1886</v>
      </c>
      <c r="F507" s="12" t="s">
        <v>32</v>
      </c>
      <c r="G507" s="12" t="s">
        <v>32</v>
      </c>
      <c r="H507" s="12" t="b">
        <v>1</v>
      </c>
      <c r="I507" s="12" t="b">
        <v>0</v>
      </c>
      <c r="J507" s="12" t="b">
        <v>1</v>
      </c>
      <c r="K507" s="12" t="b">
        <v>0</v>
      </c>
      <c r="L507" s="12">
        <v>623.15</v>
      </c>
      <c r="M507" s="12">
        <v>300.032917</v>
      </c>
      <c r="N507" s="12">
        <v>3000</v>
      </c>
      <c r="O507" s="12">
        <v>1854.545454545455</v>
      </c>
      <c r="P507" s="12">
        <v>0.5</v>
      </c>
      <c r="Q507" s="12">
        <v>0.85</v>
      </c>
      <c r="R507" s="12">
        <v>0.75</v>
      </c>
      <c r="S507" s="12">
        <v>0.4</v>
      </c>
      <c r="T507" s="12">
        <v>0.75</v>
      </c>
      <c r="U507" s="12">
        <v>0.8</v>
      </c>
      <c r="V507" s="12"/>
      <c r="W507" s="12">
        <v>3.71616954643605</v>
      </c>
      <c r="X507" s="12">
        <v>34.786432792002529</v>
      </c>
      <c r="Y507" s="12">
        <v>1145.454545454545</v>
      </c>
      <c r="Z507" s="12">
        <v>1.617647058823529</v>
      </c>
      <c r="AA507" s="12"/>
      <c r="AB507" s="12"/>
    </row>
    <row r="508" spans="1:28" x14ac:dyDescent="0.3">
      <c r="A508" s="12" t="s">
        <v>2402</v>
      </c>
      <c r="B508" s="12" t="s">
        <v>112</v>
      </c>
      <c r="C508" s="12" t="s">
        <v>388</v>
      </c>
      <c r="D508" s="12" t="s">
        <v>2390</v>
      </c>
      <c r="E508" s="12" t="s">
        <v>1886</v>
      </c>
      <c r="F508" s="12" t="s">
        <v>32</v>
      </c>
      <c r="G508" s="12" t="s">
        <v>32</v>
      </c>
      <c r="H508" s="12" t="b">
        <v>1</v>
      </c>
      <c r="I508" s="12" t="b">
        <v>0</v>
      </c>
      <c r="J508" s="12" t="b">
        <v>1</v>
      </c>
      <c r="K508" s="12" t="b">
        <v>0</v>
      </c>
      <c r="L508" s="12">
        <v>623.15</v>
      </c>
      <c r="M508" s="12">
        <v>300.032917</v>
      </c>
      <c r="N508" s="12">
        <v>3000</v>
      </c>
      <c r="O508" s="12">
        <v>2000</v>
      </c>
      <c r="P508" s="12">
        <v>0.5</v>
      </c>
      <c r="Q508" s="12">
        <v>0.85</v>
      </c>
      <c r="R508" s="12">
        <v>0.75</v>
      </c>
      <c r="S508" s="12">
        <v>0.4</v>
      </c>
      <c r="T508" s="12">
        <v>0.75</v>
      </c>
      <c r="U508" s="12">
        <v>0.8</v>
      </c>
      <c r="V508" s="12"/>
      <c r="W508" s="12">
        <v>3.1409868535887902</v>
      </c>
      <c r="X508" s="12">
        <v>29.39344267065869</v>
      </c>
      <c r="Y508" s="12">
        <v>1000</v>
      </c>
      <c r="Z508" s="12">
        <v>1.5</v>
      </c>
      <c r="AA508" s="12"/>
      <c r="AB508" s="12"/>
    </row>
    <row r="509" spans="1:28" x14ac:dyDescent="0.3">
      <c r="A509" s="12" t="s">
        <v>2403</v>
      </c>
      <c r="B509" s="12" t="s">
        <v>112</v>
      </c>
      <c r="C509" s="12" t="s">
        <v>388</v>
      </c>
      <c r="D509" s="12" t="s">
        <v>2390</v>
      </c>
      <c r="E509" s="12" t="s">
        <v>1886</v>
      </c>
      <c r="F509" s="12" t="s">
        <v>1861</v>
      </c>
      <c r="G509" s="12" t="s">
        <v>1861</v>
      </c>
      <c r="H509" s="12" t="b">
        <v>1</v>
      </c>
      <c r="I509" s="12" t="b">
        <v>0</v>
      </c>
      <c r="J509" s="12" t="b">
        <v>1</v>
      </c>
      <c r="K509" s="12" t="b">
        <v>0</v>
      </c>
      <c r="L509" s="12">
        <v>623.15</v>
      </c>
      <c r="M509" s="12">
        <v>300.032917</v>
      </c>
      <c r="N509" s="12">
        <v>3000</v>
      </c>
      <c r="O509" s="12">
        <v>545.4545454545455</v>
      </c>
      <c r="P509" s="12">
        <v>0.5</v>
      </c>
      <c r="Q509" s="12">
        <v>0.85</v>
      </c>
      <c r="R509" s="12">
        <v>0.75</v>
      </c>
      <c r="S509" s="12">
        <v>0.5</v>
      </c>
      <c r="T509" s="12">
        <v>0.75</v>
      </c>
      <c r="U509" s="12">
        <v>0.8</v>
      </c>
      <c r="V509" s="12"/>
      <c r="W509" s="12">
        <v>11.767098954670431</v>
      </c>
      <c r="X509" s="12">
        <v>137.27962156905659</v>
      </c>
      <c r="Y509" s="12">
        <v>2454.545454545455</v>
      </c>
      <c r="Z509" s="12">
        <v>5.5</v>
      </c>
      <c r="AA509" s="12" t="s">
        <v>1268</v>
      </c>
      <c r="AB509" s="12"/>
    </row>
    <row r="510" spans="1:28" x14ac:dyDescent="0.3">
      <c r="A510" s="12" t="s">
        <v>2404</v>
      </c>
      <c r="B510" s="12" t="s">
        <v>112</v>
      </c>
      <c r="C510" s="12" t="s">
        <v>388</v>
      </c>
      <c r="D510" s="12" t="s">
        <v>2390</v>
      </c>
      <c r="E510" s="12" t="s">
        <v>1886</v>
      </c>
      <c r="F510" s="12" t="s">
        <v>832</v>
      </c>
      <c r="G510" s="12" t="s">
        <v>832</v>
      </c>
      <c r="H510" s="12" t="b">
        <v>0</v>
      </c>
      <c r="I510" s="12" t="b">
        <v>0</v>
      </c>
      <c r="J510" s="12" t="b">
        <v>0</v>
      </c>
      <c r="K510" s="12" t="b">
        <v>0</v>
      </c>
      <c r="L510" s="12">
        <v>623.15</v>
      </c>
      <c r="M510" s="12">
        <v>300.032917</v>
      </c>
      <c r="N510" s="12">
        <v>3000</v>
      </c>
      <c r="O510" s="12">
        <v>836.36363636363637</v>
      </c>
      <c r="P510" s="12">
        <v>0.5</v>
      </c>
      <c r="Q510" s="12">
        <v>0.85</v>
      </c>
      <c r="R510" s="12">
        <v>0.75</v>
      </c>
      <c r="S510" s="12">
        <v>0.5</v>
      </c>
      <c r="T510" s="12">
        <v>0.75</v>
      </c>
      <c r="U510" s="12">
        <v>0.8</v>
      </c>
      <c r="V510" s="12"/>
      <c r="W510" s="12"/>
      <c r="X510" s="12"/>
      <c r="Y510" s="12">
        <v>2163.636363636364</v>
      </c>
      <c r="Z510" s="12">
        <v>3.5869565217391299</v>
      </c>
      <c r="AA510" s="12"/>
      <c r="AB510" s="12"/>
    </row>
    <row r="511" spans="1:28" x14ac:dyDescent="0.3">
      <c r="A511" s="12" t="s">
        <v>2405</v>
      </c>
      <c r="B511" s="12" t="s">
        <v>112</v>
      </c>
      <c r="C511" s="12" t="s">
        <v>388</v>
      </c>
      <c r="D511" s="12" t="s">
        <v>2390</v>
      </c>
      <c r="E511" s="12" t="s">
        <v>1886</v>
      </c>
      <c r="F511" s="12" t="s">
        <v>1861</v>
      </c>
      <c r="G511" s="12" t="s">
        <v>1861</v>
      </c>
      <c r="H511" s="12" t="b">
        <v>1</v>
      </c>
      <c r="I511" s="12" t="b">
        <v>0</v>
      </c>
      <c r="J511" s="12" t="b">
        <v>1</v>
      </c>
      <c r="K511" s="12" t="b">
        <v>0</v>
      </c>
      <c r="L511" s="12">
        <v>623.15</v>
      </c>
      <c r="M511" s="12">
        <v>300.032917</v>
      </c>
      <c r="N511" s="12">
        <v>3000</v>
      </c>
      <c r="O511" s="12">
        <v>690.90909090909099</v>
      </c>
      <c r="P511" s="12">
        <v>0.5</v>
      </c>
      <c r="Q511" s="12">
        <v>0.85</v>
      </c>
      <c r="R511" s="12">
        <v>0.75</v>
      </c>
      <c r="S511" s="12">
        <v>0.5</v>
      </c>
      <c r="T511" s="12">
        <v>0.75</v>
      </c>
      <c r="U511" s="12">
        <v>0.8</v>
      </c>
      <c r="V511" s="12"/>
      <c r="W511" s="12">
        <v>10.474872050541681</v>
      </c>
      <c r="X511" s="12">
        <v>122.2341217055296</v>
      </c>
      <c r="Y511" s="12">
        <v>2309.090909090909</v>
      </c>
      <c r="Z511" s="12">
        <v>4.3421052631578938</v>
      </c>
      <c r="AA511" s="12" t="s">
        <v>1268</v>
      </c>
      <c r="AB511" s="12"/>
    </row>
    <row r="512" spans="1:28" x14ac:dyDescent="0.3">
      <c r="A512" s="12" t="s">
        <v>2406</v>
      </c>
      <c r="B512" s="12" t="s">
        <v>112</v>
      </c>
      <c r="C512" s="12" t="s">
        <v>388</v>
      </c>
      <c r="D512" s="12" t="s">
        <v>2390</v>
      </c>
      <c r="E512" s="12" t="s">
        <v>1886</v>
      </c>
      <c r="F512" s="12" t="s">
        <v>1861</v>
      </c>
      <c r="G512" s="12" t="s">
        <v>1861</v>
      </c>
      <c r="H512" s="12" t="b">
        <v>1</v>
      </c>
      <c r="I512" s="12" t="b">
        <v>0</v>
      </c>
      <c r="J512" s="12" t="b">
        <v>1</v>
      </c>
      <c r="K512" s="12" t="b">
        <v>0</v>
      </c>
      <c r="L512" s="12">
        <v>623.15</v>
      </c>
      <c r="M512" s="12">
        <v>300.032917</v>
      </c>
      <c r="N512" s="12">
        <v>3000</v>
      </c>
      <c r="O512" s="12">
        <v>981.81818181818198</v>
      </c>
      <c r="P512" s="12">
        <v>0.5</v>
      </c>
      <c r="Q512" s="12">
        <v>0.85</v>
      </c>
      <c r="R512" s="12">
        <v>0.75</v>
      </c>
      <c r="S512" s="12">
        <v>0.5</v>
      </c>
      <c r="T512" s="12">
        <v>0.75</v>
      </c>
      <c r="U512" s="12">
        <v>0.8</v>
      </c>
      <c r="V512" s="12"/>
      <c r="W512" s="12">
        <v>8.3548188025207502</v>
      </c>
      <c r="X512" s="12">
        <v>97.472688437582761</v>
      </c>
      <c r="Y512" s="12">
        <v>2018.181818181818</v>
      </c>
      <c r="Z512" s="12">
        <v>3.0555555555555549</v>
      </c>
      <c r="AA512" s="12" t="s">
        <v>1268</v>
      </c>
      <c r="AB512" s="12"/>
    </row>
    <row r="513" spans="1:28" x14ac:dyDescent="0.3">
      <c r="A513" s="12" t="s">
        <v>2407</v>
      </c>
      <c r="B513" s="12" t="s">
        <v>112</v>
      </c>
      <c r="C513" s="12" t="s">
        <v>388</v>
      </c>
      <c r="D513" s="12" t="s">
        <v>2390</v>
      </c>
      <c r="E513" s="12" t="s">
        <v>1886</v>
      </c>
      <c r="F513" s="12" t="s">
        <v>1861</v>
      </c>
      <c r="G513" s="12" t="s">
        <v>1861</v>
      </c>
      <c r="H513" s="12" t="b">
        <v>1</v>
      </c>
      <c r="I513" s="12" t="b">
        <v>0</v>
      </c>
      <c r="J513" s="12" t="b">
        <v>1</v>
      </c>
      <c r="K513" s="12" t="b">
        <v>0</v>
      </c>
      <c r="L513" s="12">
        <v>623.15</v>
      </c>
      <c r="M513" s="12">
        <v>300.032917</v>
      </c>
      <c r="N513" s="12">
        <v>3000</v>
      </c>
      <c r="O513" s="12">
        <v>1127.2727272727279</v>
      </c>
      <c r="P513" s="12">
        <v>0.5</v>
      </c>
      <c r="Q513" s="12">
        <v>0.85</v>
      </c>
      <c r="R513" s="12">
        <v>0.75</v>
      </c>
      <c r="S513" s="12">
        <v>0.5</v>
      </c>
      <c r="T513" s="12">
        <v>0.75</v>
      </c>
      <c r="U513" s="12">
        <v>0.8</v>
      </c>
      <c r="V513" s="12"/>
      <c r="W513" s="12">
        <v>7.4506318362868402</v>
      </c>
      <c r="X513" s="12">
        <v>86.89793751695656</v>
      </c>
      <c r="Y513" s="12">
        <v>1872.7272727272721</v>
      </c>
      <c r="Z513" s="12">
        <v>2.6612903225806441</v>
      </c>
      <c r="AA513" s="12" t="s">
        <v>1268</v>
      </c>
      <c r="AB513" s="12"/>
    </row>
    <row r="514" spans="1:28" x14ac:dyDescent="0.3">
      <c r="A514" s="12" t="s">
        <v>2408</v>
      </c>
      <c r="B514" s="12" t="s">
        <v>112</v>
      </c>
      <c r="C514" s="12" t="s">
        <v>388</v>
      </c>
      <c r="D514" s="12" t="s">
        <v>2390</v>
      </c>
      <c r="E514" s="12" t="s">
        <v>1886</v>
      </c>
      <c r="F514" s="12" t="s">
        <v>1861</v>
      </c>
      <c r="G514" s="12" t="s">
        <v>1861</v>
      </c>
      <c r="H514" s="12" t="b">
        <v>1</v>
      </c>
      <c r="I514" s="12" t="b">
        <v>0</v>
      </c>
      <c r="J514" s="12" t="b">
        <v>1</v>
      </c>
      <c r="K514" s="12" t="b">
        <v>0</v>
      </c>
      <c r="L514" s="12">
        <v>623.15</v>
      </c>
      <c r="M514" s="12">
        <v>300.032917</v>
      </c>
      <c r="N514" s="12">
        <v>3000</v>
      </c>
      <c r="O514" s="12">
        <v>1418.181818181818</v>
      </c>
      <c r="P514" s="12">
        <v>0.5</v>
      </c>
      <c r="Q514" s="12">
        <v>0.85</v>
      </c>
      <c r="R514" s="12">
        <v>0.75</v>
      </c>
      <c r="S514" s="12">
        <v>0.5</v>
      </c>
      <c r="T514" s="12">
        <v>0.75</v>
      </c>
      <c r="U514" s="12">
        <v>0.8</v>
      </c>
      <c r="V514" s="12"/>
      <c r="W514" s="12">
        <v>5.8522118048649201</v>
      </c>
      <c r="X514" s="12">
        <v>68.202089037018538</v>
      </c>
      <c r="Y514" s="12">
        <v>1581.818181818182</v>
      </c>
      <c r="Z514" s="12">
        <v>2.115384615384615</v>
      </c>
      <c r="AA514" s="12" t="s">
        <v>1268</v>
      </c>
      <c r="AB514" s="12"/>
    </row>
    <row r="515" spans="1:28" x14ac:dyDescent="0.3">
      <c r="A515" s="12" t="s">
        <v>2409</v>
      </c>
      <c r="B515" s="12" t="s">
        <v>112</v>
      </c>
      <c r="C515" s="12" t="s">
        <v>388</v>
      </c>
      <c r="D515" s="12" t="s">
        <v>2390</v>
      </c>
      <c r="E515" s="12" t="s">
        <v>1886</v>
      </c>
      <c r="F515" s="12" t="s">
        <v>1861</v>
      </c>
      <c r="G515" s="12" t="s">
        <v>1861</v>
      </c>
      <c r="H515" s="12" t="b">
        <v>1</v>
      </c>
      <c r="I515" s="12" t="b">
        <v>0</v>
      </c>
      <c r="J515" s="12" t="b">
        <v>1</v>
      </c>
      <c r="K515" s="12" t="b">
        <v>0</v>
      </c>
      <c r="L515" s="12">
        <v>623.15</v>
      </c>
      <c r="M515" s="12">
        <v>300.032917</v>
      </c>
      <c r="N515" s="12">
        <v>3000</v>
      </c>
      <c r="O515" s="12">
        <v>1272.727272727273</v>
      </c>
      <c r="P515" s="12">
        <v>0.5</v>
      </c>
      <c r="Q515" s="12">
        <v>0.85</v>
      </c>
      <c r="R515" s="12">
        <v>0.75</v>
      </c>
      <c r="S515" s="12">
        <v>0.5</v>
      </c>
      <c r="T515" s="12">
        <v>0.75</v>
      </c>
      <c r="U515" s="12">
        <v>0.8</v>
      </c>
      <c r="V515" s="12"/>
      <c r="W515" s="12">
        <v>6.6210249680331499</v>
      </c>
      <c r="X515" s="12">
        <v>77.193788594604143</v>
      </c>
      <c r="Y515" s="12">
        <v>1727.272727272727</v>
      </c>
      <c r="Z515" s="12">
        <v>2.3571428571428572</v>
      </c>
      <c r="AA515" s="12" t="s">
        <v>1268</v>
      </c>
      <c r="AB515" s="12"/>
    </row>
    <row r="516" spans="1:28" x14ac:dyDescent="0.3">
      <c r="A516" s="12" t="s">
        <v>2410</v>
      </c>
      <c r="B516" s="12" t="s">
        <v>112</v>
      </c>
      <c r="C516" s="12" t="s">
        <v>388</v>
      </c>
      <c r="D516" s="12" t="s">
        <v>2390</v>
      </c>
      <c r="E516" s="12" t="s">
        <v>1886</v>
      </c>
      <c r="F516" s="12" t="s">
        <v>1861</v>
      </c>
      <c r="G516" s="12" t="s">
        <v>1861</v>
      </c>
      <c r="H516" s="12" t="b">
        <v>1</v>
      </c>
      <c r="I516" s="12" t="b">
        <v>0</v>
      </c>
      <c r="J516" s="12" t="b">
        <v>1</v>
      </c>
      <c r="K516" s="12" t="b">
        <v>0</v>
      </c>
      <c r="L516" s="12">
        <v>623.15</v>
      </c>
      <c r="M516" s="12">
        <v>300.032917</v>
      </c>
      <c r="N516" s="12">
        <v>3000</v>
      </c>
      <c r="O516" s="12">
        <v>1563.636363636364</v>
      </c>
      <c r="P516" s="12">
        <v>0.5</v>
      </c>
      <c r="Q516" s="12">
        <v>0.85</v>
      </c>
      <c r="R516" s="12">
        <v>0.75</v>
      </c>
      <c r="S516" s="12">
        <v>0.5</v>
      </c>
      <c r="T516" s="12">
        <v>0.75</v>
      </c>
      <c r="U516" s="12">
        <v>0.8</v>
      </c>
      <c r="V516" s="12"/>
      <c r="W516" s="12">
        <v>5.1340658975992497</v>
      </c>
      <c r="X516" s="12">
        <v>59.806105295569893</v>
      </c>
      <c r="Y516" s="12">
        <v>1436.363636363636</v>
      </c>
      <c r="Z516" s="12">
        <v>1.918604651162791</v>
      </c>
      <c r="AA516" s="12" t="s">
        <v>1268</v>
      </c>
      <c r="AB516" s="12"/>
    </row>
    <row r="517" spans="1:28" x14ac:dyDescent="0.3">
      <c r="A517" s="12" t="s">
        <v>2411</v>
      </c>
      <c r="B517" s="12" t="s">
        <v>112</v>
      </c>
      <c r="C517" s="12" t="s">
        <v>388</v>
      </c>
      <c r="D517" s="12" t="s">
        <v>2390</v>
      </c>
      <c r="E517" s="12" t="s">
        <v>1886</v>
      </c>
      <c r="F517" s="12" t="s">
        <v>1861</v>
      </c>
      <c r="G517" s="12" t="s">
        <v>1861</v>
      </c>
      <c r="H517" s="12" t="b">
        <v>1</v>
      </c>
      <c r="I517" s="12" t="b">
        <v>0</v>
      </c>
      <c r="J517" s="12" t="b">
        <v>1</v>
      </c>
      <c r="K517" s="12" t="b">
        <v>0</v>
      </c>
      <c r="L517" s="12">
        <v>623.15</v>
      </c>
      <c r="M517" s="12">
        <v>300.032917</v>
      </c>
      <c r="N517" s="12">
        <v>3000</v>
      </c>
      <c r="O517" s="12">
        <v>1709.090909090909</v>
      </c>
      <c r="P517" s="12">
        <v>0.5</v>
      </c>
      <c r="Q517" s="12">
        <v>0.85</v>
      </c>
      <c r="R517" s="12">
        <v>0.75</v>
      </c>
      <c r="S517" s="12">
        <v>0.5</v>
      </c>
      <c r="T517" s="12">
        <v>0.75</v>
      </c>
      <c r="U517" s="12">
        <v>0.8</v>
      </c>
      <c r="V517" s="12"/>
      <c r="W517" s="12">
        <v>4.4589079070391398</v>
      </c>
      <c r="X517" s="12">
        <v>51.916946978427049</v>
      </c>
      <c r="Y517" s="12">
        <v>1290.909090909091</v>
      </c>
      <c r="Z517" s="12">
        <v>1.7553191489361699</v>
      </c>
      <c r="AA517" s="12" t="s">
        <v>1268</v>
      </c>
      <c r="AB517" s="12"/>
    </row>
    <row r="518" spans="1:28" x14ac:dyDescent="0.3">
      <c r="A518" s="12" t="s">
        <v>2412</v>
      </c>
      <c r="B518" s="12" t="s">
        <v>112</v>
      </c>
      <c r="C518" s="12" t="s">
        <v>388</v>
      </c>
      <c r="D518" s="12" t="s">
        <v>2390</v>
      </c>
      <c r="E518" s="12" t="s">
        <v>1886</v>
      </c>
      <c r="F518" s="12" t="s">
        <v>1861</v>
      </c>
      <c r="G518" s="12" t="s">
        <v>1861</v>
      </c>
      <c r="H518" s="12" t="b">
        <v>1</v>
      </c>
      <c r="I518" s="12" t="b">
        <v>0</v>
      </c>
      <c r="J518" s="12" t="b">
        <v>1</v>
      </c>
      <c r="K518" s="12" t="b">
        <v>0</v>
      </c>
      <c r="L518" s="12">
        <v>623.15</v>
      </c>
      <c r="M518" s="12">
        <v>300.032917</v>
      </c>
      <c r="N518" s="12">
        <v>3000</v>
      </c>
      <c r="O518" s="12">
        <v>400</v>
      </c>
      <c r="P518" s="12">
        <v>0.5</v>
      </c>
      <c r="Q518" s="12">
        <v>0.85</v>
      </c>
      <c r="R518" s="12">
        <v>0.75</v>
      </c>
      <c r="S518" s="12">
        <v>0.6</v>
      </c>
      <c r="T518" s="12">
        <v>0.75</v>
      </c>
      <c r="U518" s="12">
        <v>0.8</v>
      </c>
      <c r="V518" s="12"/>
      <c r="W518" s="12">
        <v>13.23191576952518</v>
      </c>
      <c r="X518" s="12">
        <v>183.9792929010562</v>
      </c>
      <c r="Y518" s="12">
        <v>2600</v>
      </c>
      <c r="Z518" s="12">
        <v>7.5</v>
      </c>
      <c r="AA518" s="12" t="s">
        <v>1268</v>
      </c>
      <c r="AB518" s="12"/>
    </row>
    <row r="519" spans="1:28" x14ac:dyDescent="0.3">
      <c r="A519" s="12" t="s">
        <v>2413</v>
      </c>
      <c r="B519" s="12" t="s">
        <v>112</v>
      </c>
      <c r="C519" s="12" t="s">
        <v>388</v>
      </c>
      <c r="D519" s="12" t="s">
        <v>2390</v>
      </c>
      <c r="E519" s="12" t="s">
        <v>1886</v>
      </c>
      <c r="F519" s="12" t="s">
        <v>1861</v>
      </c>
      <c r="G519" s="12" t="s">
        <v>1861</v>
      </c>
      <c r="H519" s="12" t="b">
        <v>1</v>
      </c>
      <c r="I519" s="12" t="b">
        <v>0</v>
      </c>
      <c r="J519" s="12" t="b">
        <v>1</v>
      </c>
      <c r="K519" s="12" t="b">
        <v>0</v>
      </c>
      <c r="L519" s="12">
        <v>623.15</v>
      </c>
      <c r="M519" s="12">
        <v>300.032917</v>
      </c>
      <c r="N519" s="12">
        <v>3000</v>
      </c>
      <c r="O519" s="12">
        <v>545.4545454545455</v>
      </c>
      <c r="P519" s="12">
        <v>0.5</v>
      </c>
      <c r="Q519" s="12">
        <v>0.85</v>
      </c>
      <c r="R519" s="12">
        <v>0.75</v>
      </c>
      <c r="S519" s="12">
        <v>0.6</v>
      </c>
      <c r="T519" s="12">
        <v>0.75</v>
      </c>
      <c r="U519" s="12">
        <v>0.8</v>
      </c>
      <c r="V519" s="12"/>
      <c r="W519" s="12">
        <v>11.66592557766146</v>
      </c>
      <c r="X519" s="12">
        <v>162.37986949676559</v>
      </c>
      <c r="Y519" s="12">
        <v>2454.545454545455</v>
      </c>
      <c r="Z519" s="12">
        <v>5.5</v>
      </c>
      <c r="AA519" s="12" t="s">
        <v>1268</v>
      </c>
      <c r="AB519" s="12"/>
    </row>
    <row r="520" spans="1:28" x14ac:dyDescent="0.3">
      <c r="A520" s="12" t="s">
        <v>2414</v>
      </c>
      <c r="B520" s="12" t="s">
        <v>112</v>
      </c>
      <c r="C520" s="12" t="s">
        <v>388</v>
      </c>
      <c r="D520" s="12" t="s">
        <v>2390</v>
      </c>
      <c r="E520" s="12" t="s">
        <v>1886</v>
      </c>
      <c r="F520" s="12" t="s">
        <v>32</v>
      </c>
      <c r="G520" s="12" t="s">
        <v>32</v>
      </c>
      <c r="H520" s="12" t="b">
        <v>1</v>
      </c>
      <c r="I520" s="12" t="b">
        <v>0</v>
      </c>
      <c r="J520" s="12" t="b">
        <v>1</v>
      </c>
      <c r="K520" s="12" t="b">
        <v>0</v>
      </c>
      <c r="L520" s="12">
        <v>623.15</v>
      </c>
      <c r="M520" s="12">
        <v>300.032917</v>
      </c>
      <c r="N520" s="12">
        <v>3000</v>
      </c>
      <c r="O520" s="12">
        <v>1854.545454545455</v>
      </c>
      <c r="P520" s="12">
        <v>0.5</v>
      </c>
      <c r="Q520" s="12">
        <v>0.85</v>
      </c>
      <c r="R520" s="12">
        <v>0.75</v>
      </c>
      <c r="S520" s="12">
        <v>0.5</v>
      </c>
      <c r="T520" s="12">
        <v>0.75</v>
      </c>
      <c r="U520" s="12">
        <v>0.8</v>
      </c>
      <c r="V520" s="12"/>
      <c r="W520" s="12">
        <v>3.8250559557472199</v>
      </c>
      <c r="X520" s="12">
        <v>44.515951706310993</v>
      </c>
      <c r="Y520" s="12">
        <v>1145.454545454545</v>
      </c>
      <c r="Z520" s="12">
        <v>1.617647058823529</v>
      </c>
      <c r="AA520" s="12"/>
      <c r="AB520" s="12"/>
    </row>
    <row r="521" spans="1:28" x14ac:dyDescent="0.3">
      <c r="A521" s="12" t="s">
        <v>2415</v>
      </c>
      <c r="B521" s="12" t="s">
        <v>112</v>
      </c>
      <c r="C521" s="12" t="s">
        <v>388</v>
      </c>
      <c r="D521" s="12" t="s">
        <v>2390</v>
      </c>
      <c r="E521" s="12" t="s">
        <v>1886</v>
      </c>
      <c r="F521" s="12" t="s">
        <v>32</v>
      </c>
      <c r="G521" s="12" t="s">
        <v>32</v>
      </c>
      <c r="H521" s="12" t="b">
        <v>1</v>
      </c>
      <c r="I521" s="12" t="b">
        <v>0</v>
      </c>
      <c r="J521" s="12" t="b">
        <v>1</v>
      </c>
      <c r="K521" s="12" t="b">
        <v>0</v>
      </c>
      <c r="L521" s="12">
        <v>623.15</v>
      </c>
      <c r="M521" s="12">
        <v>300.032917</v>
      </c>
      <c r="N521" s="12">
        <v>3000</v>
      </c>
      <c r="O521" s="12">
        <v>2000</v>
      </c>
      <c r="P521" s="12">
        <v>0.5</v>
      </c>
      <c r="Q521" s="12">
        <v>0.85</v>
      </c>
      <c r="R521" s="12">
        <v>0.75</v>
      </c>
      <c r="S521" s="12">
        <v>0.5</v>
      </c>
      <c r="T521" s="12">
        <v>0.75</v>
      </c>
      <c r="U521" s="12">
        <v>0.8</v>
      </c>
      <c r="V521" s="12"/>
      <c r="W521" s="12">
        <v>3.2346053586189698</v>
      </c>
      <c r="X521" s="12">
        <v>37.628008112521009</v>
      </c>
      <c r="Y521" s="12">
        <v>1000</v>
      </c>
      <c r="Z521" s="12">
        <v>1.5</v>
      </c>
      <c r="AA521" s="12"/>
      <c r="AB521" s="12"/>
    </row>
    <row r="522" spans="1:28" x14ac:dyDescent="0.3">
      <c r="A522" s="12" t="s">
        <v>2416</v>
      </c>
      <c r="B522" s="12" t="s">
        <v>112</v>
      </c>
      <c r="C522" s="12" t="s">
        <v>388</v>
      </c>
      <c r="D522" s="12" t="s">
        <v>2390</v>
      </c>
      <c r="E522" s="12" t="s">
        <v>1886</v>
      </c>
      <c r="F522" s="12" t="s">
        <v>1861</v>
      </c>
      <c r="G522" s="12" t="s">
        <v>1861</v>
      </c>
      <c r="H522" s="12" t="b">
        <v>1</v>
      </c>
      <c r="I522" s="12" t="b">
        <v>0</v>
      </c>
      <c r="J522" s="12" t="b">
        <v>1</v>
      </c>
      <c r="K522" s="12" t="b">
        <v>0</v>
      </c>
      <c r="L522" s="12">
        <v>623.15</v>
      </c>
      <c r="M522" s="12">
        <v>300.032917</v>
      </c>
      <c r="N522" s="12">
        <v>3000</v>
      </c>
      <c r="O522" s="12">
        <v>690.90909090909099</v>
      </c>
      <c r="P522" s="12">
        <v>0.5</v>
      </c>
      <c r="Q522" s="12">
        <v>0.85</v>
      </c>
      <c r="R522" s="12">
        <v>0.75</v>
      </c>
      <c r="S522" s="12">
        <v>0.6</v>
      </c>
      <c r="T522" s="12">
        <v>0.75</v>
      </c>
      <c r="U522" s="12">
        <v>0.8</v>
      </c>
      <c r="V522" s="12"/>
      <c r="W522" s="12">
        <v>10.37320681520062</v>
      </c>
      <c r="X522" s="12">
        <v>144.45165498392089</v>
      </c>
      <c r="Y522" s="12">
        <v>2309.090909090909</v>
      </c>
      <c r="Z522" s="12">
        <v>4.3421052631578938</v>
      </c>
      <c r="AA522" s="12" t="s">
        <v>1268</v>
      </c>
      <c r="AB522" s="12"/>
    </row>
    <row r="523" spans="1:28" x14ac:dyDescent="0.3">
      <c r="A523" s="12" t="s">
        <v>2417</v>
      </c>
      <c r="B523" s="12" t="s">
        <v>112</v>
      </c>
      <c r="C523" s="12" t="s">
        <v>388</v>
      </c>
      <c r="D523" s="12" t="s">
        <v>2390</v>
      </c>
      <c r="E523" s="12" t="s">
        <v>1886</v>
      </c>
      <c r="F523" s="12" t="s">
        <v>1861</v>
      </c>
      <c r="G523" s="12" t="s">
        <v>1861</v>
      </c>
      <c r="H523" s="12" t="b">
        <v>1</v>
      </c>
      <c r="I523" s="12" t="b">
        <v>0</v>
      </c>
      <c r="J523" s="12" t="b">
        <v>1</v>
      </c>
      <c r="K523" s="12" t="b">
        <v>0</v>
      </c>
      <c r="L523" s="12">
        <v>623.15</v>
      </c>
      <c r="M523" s="12">
        <v>300.032917</v>
      </c>
      <c r="N523" s="12">
        <v>3000</v>
      </c>
      <c r="O523" s="12">
        <v>836.36363636363637</v>
      </c>
      <c r="P523" s="12">
        <v>0.5</v>
      </c>
      <c r="Q523" s="12">
        <v>0.85</v>
      </c>
      <c r="R523" s="12">
        <v>0.75</v>
      </c>
      <c r="S523" s="12">
        <v>0.6</v>
      </c>
      <c r="T523" s="12">
        <v>0.75</v>
      </c>
      <c r="U523" s="12">
        <v>0.8</v>
      </c>
      <c r="V523" s="12"/>
      <c r="W523" s="12">
        <v>9.2606089788414199</v>
      </c>
      <c r="X523" s="12">
        <v>128.9731950230692</v>
      </c>
      <c r="Y523" s="12">
        <v>2163.636363636364</v>
      </c>
      <c r="Z523" s="12">
        <v>3.5869565217391299</v>
      </c>
      <c r="AA523" s="12" t="s">
        <v>1268</v>
      </c>
      <c r="AB523" s="12"/>
    </row>
    <row r="524" spans="1:28" x14ac:dyDescent="0.3">
      <c r="A524" s="12" t="s">
        <v>2418</v>
      </c>
      <c r="B524" s="12" t="s">
        <v>112</v>
      </c>
      <c r="C524" s="12" t="s">
        <v>388</v>
      </c>
      <c r="D524" s="12" t="s">
        <v>2390</v>
      </c>
      <c r="E524" s="12" t="s">
        <v>1886</v>
      </c>
      <c r="F524" s="12" t="s">
        <v>1861</v>
      </c>
      <c r="G524" s="12" t="s">
        <v>1861</v>
      </c>
      <c r="H524" s="12" t="b">
        <v>1</v>
      </c>
      <c r="I524" s="12" t="b">
        <v>0</v>
      </c>
      <c r="J524" s="12" t="b">
        <v>1</v>
      </c>
      <c r="K524" s="12" t="b">
        <v>0</v>
      </c>
      <c r="L524" s="12">
        <v>623.15</v>
      </c>
      <c r="M524" s="12">
        <v>300.032917</v>
      </c>
      <c r="N524" s="12">
        <v>3000</v>
      </c>
      <c r="O524" s="12">
        <v>981.81818181818198</v>
      </c>
      <c r="P524" s="12">
        <v>0.5</v>
      </c>
      <c r="Q524" s="12">
        <v>0.85</v>
      </c>
      <c r="R524" s="12">
        <v>0.75</v>
      </c>
      <c r="S524" s="12">
        <v>0.6</v>
      </c>
      <c r="T524" s="12">
        <v>0.75</v>
      </c>
      <c r="U524" s="12">
        <v>0.8</v>
      </c>
      <c r="V524" s="12"/>
      <c r="W524" s="12">
        <v>8.2769931150262597</v>
      </c>
      <c r="X524" s="12">
        <v>115.2644003794789</v>
      </c>
      <c r="Y524" s="12">
        <v>2018.181818181818</v>
      </c>
      <c r="Z524" s="12">
        <v>3.0555555555555549</v>
      </c>
      <c r="AA524" s="12" t="s">
        <v>1268</v>
      </c>
      <c r="AB524" s="12"/>
    </row>
    <row r="525" spans="1:28" x14ac:dyDescent="0.3">
      <c r="A525" s="12" t="s">
        <v>2419</v>
      </c>
      <c r="B525" s="12" t="s">
        <v>112</v>
      </c>
      <c r="C525" s="12" t="s">
        <v>388</v>
      </c>
      <c r="D525" s="12" t="s">
        <v>2390</v>
      </c>
      <c r="E525" s="12" t="s">
        <v>1886</v>
      </c>
      <c r="F525" s="12" t="s">
        <v>1861</v>
      </c>
      <c r="G525" s="12" t="s">
        <v>1861</v>
      </c>
      <c r="H525" s="12" t="b">
        <v>1</v>
      </c>
      <c r="I525" s="12" t="b">
        <v>0</v>
      </c>
      <c r="J525" s="12" t="b">
        <v>1</v>
      </c>
      <c r="K525" s="12" t="b">
        <v>0</v>
      </c>
      <c r="L525" s="12">
        <v>623.15</v>
      </c>
      <c r="M525" s="12">
        <v>300.032917</v>
      </c>
      <c r="N525" s="12">
        <v>3000</v>
      </c>
      <c r="O525" s="12">
        <v>1127.2727272727279</v>
      </c>
      <c r="P525" s="12">
        <v>0.5</v>
      </c>
      <c r="Q525" s="12">
        <v>0.85</v>
      </c>
      <c r="R525" s="12">
        <v>0.75</v>
      </c>
      <c r="S525" s="12">
        <v>0.6</v>
      </c>
      <c r="T525" s="12">
        <v>0.75</v>
      </c>
      <c r="U525" s="12">
        <v>0.8</v>
      </c>
      <c r="V525" s="12"/>
      <c r="W525" s="12">
        <v>7.3909639515190504</v>
      </c>
      <c r="X525" s="12">
        <v>102.9034565568593</v>
      </c>
      <c r="Y525" s="12">
        <v>1872.7272727272721</v>
      </c>
      <c r="Z525" s="12">
        <v>2.6612903225806441</v>
      </c>
      <c r="AA525" s="12" t="s">
        <v>1268</v>
      </c>
      <c r="AB525" s="12"/>
    </row>
    <row r="526" spans="1:28" x14ac:dyDescent="0.3">
      <c r="A526" s="12" t="s">
        <v>2420</v>
      </c>
      <c r="B526" s="12" t="s">
        <v>112</v>
      </c>
      <c r="C526" s="12" t="s">
        <v>388</v>
      </c>
      <c r="D526" s="12" t="s">
        <v>2390</v>
      </c>
      <c r="E526" s="12" t="s">
        <v>1886</v>
      </c>
      <c r="F526" s="12" t="s">
        <v>1861</v>
      </c>
      <c r="G526" s="12" t="s">
        <v>1861</v>
      </c>
      <c r="H526" s="12" t="b">
        <v>1</v>
      </c>
      <c r="I526" s="12" t="b">
        <v>0</v>
      </c>
      <c r="J526" s="12" t="b">
        <v>1</v>
      </c>
      <c r="K526" s="12" t="b">
        <v>0</v>
      </c>
      <c r="L526" s="12">
        <v>623.15</v>
      </c>
      <c r="M526" s="12">
        <v>300.032917</v>
      </c>
      <c r="N526" s="12">
        <v>3000</v>
      </c>
      <c r="O526" s="12">
        <v>1272.727272727273</v>
      </c>
      <c r="P526" s="12">
        <v>0.5</v>
      </c>
      <c r="Q526" s="12">
        <v>0.85</v>
      </c>
      <c r="R526" s="12">
        <v>0.75</v>
      </c>
      <c r="S526" s="12">
        <v>0.6</v>
      </c>
      <c r="T526" s="12">
        <v>0.75</v>
      </c>
      <c r="U526" s="12">
        <v>0.8</v>
      </c>
      <c r="V526" s="12"/>
      <c r="W526" s="12">
        <v>6.5817287717988409</v>
      </c>
      <c r="X526" s="12">
        <v>91.608786257368294</v>
      </c>
      <c r="Y526" s="12">
        <v>1727.272727272727</v>
      </c>
      <c r="Z526" s="12">
        <v>2.3571428571428572</v>
      </c>
      <c r="AA526" s="12" t="s">
        <v>1268</v>
      </c>
      <c r="AB526" s="12"/>
    </row>
    <row r="527" spans="1:28" x14ac:dyDescent="0.3">
      <c r="A527" s="12" t="s">
        <v>2421</v>
      </c>
      <c r="B527" s="12" t="s">
        <v>112</v>
      </c>
      <c r="C527" s="12" t="s">
        <v>388</v>
      </c>
      <c r="D527" s="12" t="s">
        <v>2390</v>
      </c>
      <c r="E527" s="12" t="s">
        <v>1886</v>
      </c>
      <c r="F527" s="12" t="s">
        <v>1861</v>
      </c>
      <c r="G527" s="12" t="s">
        <v>1861</v>
      </c>
      <c r="H527" s="12" t="b">
        <v>1</v>
      </c>
      <c r="I527" s="12" t="b">
        <v>0</v>
      </c>
      <c r="J527" s="12" t="b">
        <v>1</v>
      </c>
      <c r="K527" s="12" t="b">
        <v>0</v>
      </c>
      <c r="L527" s="12">
        <v>623.15</v>
      </c>
      <c r="M527" s="12">
        <v>300.032917</v>
      </c>
      <c r="N527" s="12">
        <v>3000</v>
      </c>
      <c r="O527" s="12">
        <v>1418.181818181818</v>
      </c>
      <c r="P527" s="12">
        <v>0.5</v>
      </c>
      <c r="Q527" s="12">
        <v>0.85</v>
      </c>
      <c r="R527" s="12">
        <v>0.75</v>
      </c>
      <c r="S527" s="12">
        <v>0.6</v>
      </c>
      <c r="T527" s="12">
        <v>0.75</v>
      </c>
      <c r="U527" s="12">
        <v>0.8</v>
      </c>
      <c r="V527" s="12"/>
      <c r="W527" s="12">
        <v>5.8347378298281098</v>
      </c>
      <c r="X527" s="12">
        <v>81.182097735994716</v>
      </c>
      <c r="Y527" s="12">
        <v>1581.818181818182</v>
      </c>
      <c r="Z527" s="12">
        <v>2.115384615384615</v>
      </c>
      <c r="AA527" s="12" t="s">
        <v>1268</v>
      </c>
      <c r="AB527" s="12"/>
    </row>
    <row r="528" spans="1:28" x14ac:dyDescent="0.3">
      <c r="A528" s="12" t="s">
        <v>2422</v>
      </c>
      <c r="B528" s="12" t="s">
        <v>112</v>
      </c>
      <c r="C528" s="12" t="s">
        <v>388</v>
      </c>
      <c r="D528" s="12" t="s">
        <v>2390</v>
      </c>
      <c r="E528" s="12" t="s">
        <v>1886</v>
      </c>
      <c r="F528" s="12" t="s">
        <v>1861</v>
      </c>
      <c r="G528" s="12" t="s">
        <v>1861</v>
      </c>
      <c r="H528" s="12" t="b">
        <v>1</v>
      </c>
      <c r="I528" s="12" t="b">
        <v>0</v>
      </c>
      <c r="J528" s="12" t="b">
        <v>1</v>
      </c>
      <c r="K528" s="12" t="b">
        <v>0</v>
      </c>
      <c r="L528" s="12">
        <v>623.15</v>
      </c>
      <c r="M528" s="12">
        <v>300.032917</v>
      </c>
      <c r="N528" s="12">
        <v>3000</v>
      </c>
      <c r="O528" s="12">
        <v>1563.636363636364</v>
      </c>
      <c r="P528" s="12">
        <v>0.5</v>
      </c>
      <c r="Q528" s="12">
        <v>0.85</v>
      </c>
      <c r="R528" s="12">
        <v>0.75</v>
      </c>
      <c r="S528" s="12">
        <v>0.6</v>
      </c>
      <c r="T528" s="12">
        <v>0.75</v>
      </c>
      <c r="U528" s="12">
        <v>0.8</v>
      </c>
      <c r="V528" s="12"/>
      <c r="W528" s="12">
        <v>5.1393717293203514</v>
      </c>
      <c r="X528" s="12">
        <v>71.477918336214117</v>
      </c>
      <c r="Y528" s="12">
        <v>1436.363636363636</v>
      </c>
      <c r="Z528" s="12">
        <v>1.918604651162791</v>
      </c>
      <c r="AA528" s="12" t="s">
        <v>1268</v>
      </c>
      <c r="AB528" s="12"/>
    </row>
    <row r="529" spans="1:28" x14ac:dyDescent="0.3">
      <c r="A529" s="12" t="s">
        <v>2423</v>
      </c>
      <c r="B529" s="12" t="s">
        <v>112</v>
      </c>
      <c r="C529" s="12" t="s">
        <v>388</v>
      </c>
      <c r="D529" s="12" t="s">
        <v>2390</v>
      </c>
      <c r="E529" s="12" t="s">
        <v>1886</v>
      </c>
      <c r="F529" s="12" t="s">
        <v>1861</v>
      </c>
      <c r="G529" s="12" t="s">
        <v>1861</v>
      </c>
      <c r="H529" s="12" t="b">
        <v>1</v>
      </c>
      <c r="I529" s="12" t="b">
        <v>0</v>
      </c>
      <c r="J529" s="12" t="b">
        <v>1</v>
      </c>
      <c r="K529" s="12" t="b">
        <v>0</v>
      </c>
      <c r="L529" s="12">
        <v>623.15</v>
      </c>
      <c r="M529" s="12">
        <v>300.032917</v>
      </c>
      <c r="N529" s="12">
        <v>3000</v>
      </c>
      <c r="O529" s="12">
        <v>1709.090909090909</v>
      </c>
      <c r="P529" s="12">
        <v>0.5</v>
      </c>
      <c r="Q529" s="12">
        <v>0.85</v>
      </c>
      <c r="R529" s="12">
        <v>0.75</v>
      </c>
      <c r="S529" s="12">
        <v>0.6</v>
      </c>
      <c r="T529" s="12">
        <v>0.75</v>
      </c>
      <c r="U529" s="12">
        <v>0.8</v>
      </c>
      <c r="V529" s="12"/>
      <c r="W529" s="12">
        <v>4.4876229756117203</v>
      </c>
      <c r="X529" s="12">
        <v>62.386046047397969</v>
      </c>
      <c r="Y529" s="12">
        <v>1290.909090909091</v>
      </c>
      <c r="Z529" s="12">
        <v>1.7553191489361699</v>
      </c>
      <c r="AA529" s="12" t="s">
        <v>1268</v>
      </c>
      <c r="AB529" s="12"/>
    </row>
    <row r="530" spans="1:28" x14ac:dyDescent="0.3">
      <c r="A530" s="12" t="s">
        <v>2424</v>
      </c>
      <c r="B530" s="12" t="s">
        <v>112</v>
      </c>
      <c r="C530" s="12" t="s">
        <v>388</v>
      </c>
      <c r="D530" s="12" t="s">
        <v>2390</v>
      </c>
      <c r="E530" s="12" t="s">
        <v>1886</v>
      </c>
      <c r="F530" s="12" t="s">
        <v>1861</v>
      </c>
      <c r="G530" s="12" t="s">
        <v>1861</v>
      </c>
      <c r="H530" s="12" t="b">
        <v>1</v>
      </c>
      <c r="I530" s="12" t="b">
        <v>0</v>
      </c>
      <c r="J530" s="12" t="b">
        <v>1</v>
      </c>
      <c r="K530" s="12" t="b">
        <v>0</v>
      </c>
      <c r="L530" s="12">
        <v>623.15</v>
      </c>
      <c r="M530" s="12">
        <v>300.032917</v>
      </c>
      <c r="N530" s="12">
        <v>3000</v>
      </c>
      <c r="O530" s="12">
        <v>1854.545454545455</v>
      </c>
      <c r="P530" s="12">
        <v>0.5</v>
      </c>
      <c r="Q530" s="12">
        <v>0.85</v>
      </c>
      <c r="R530" s="12">
        <v>0.75</v>
      </c>
      <c r="S530" s="12">
        <v>0.6</v>
      </c>
      <c r="T530" s="12">
        <v>0.75</v>
      </c>
      <c r="U530" s="12">
        <v>0.8</v>
      </c>
      <c r="V530" s="12"/>
      <c r="W530" s="12">
        <v>3.87328606422889</v>
      </c>
      <c r="X530" s="12">
        <v>53.820766744951527</v>
      </c>
      <c r="Y530" s="12">
        <v>1145.454545454545</v>
      </c>
      <c r="Z530" s="12">
        <v>1.617647058823529</v>
      </c>
      <c r="AA530" s="12" t="s">
        <v>1268</v>
      </c>
      <c r="AB530" s="12"/>
    </row>
    <row r="531" spans="1:28" x14ac:dyDescent="0.3">
      <c r="A531" s="12" t="s">
        <v>2425</v>
      </c>
      <c r="B531" s="12" t="s">
        <v>112</v>
      </c>
      <c r="C531" s="12" t="s">
        <v>388</v>
      </c>
      <c r="D531" s="12" t="s">
        <v>2390</v>
      </c>
      <c r="E531" s="12" t="s">
        <v>1886</v>
      </c>
      <c r="F531" s="12" t="s">
        <v>1861</v>
      </c>
      <c r="G531" s="12" t="s">
        <v>1861</v>
      </c>
      <c r="H531" s="12" t="b">
        <v>1</v>
      </c>
      <c r="I531" s="12" t="b">
        <v>0</v>
      </c>
      <c r="J531" s="12" t="b">
        <v>1</v>
      </c>
      <c r="K531" s="12" t="b">
        <v>0</v>
      </c>
      <c r="L531" s="12">
        <v>623.15</v>
      </c>
      <c r="M531" s="12">
        <v>300.032917</v>
      </c>
      <c r="N531" s="12">
        <v>3000</v>
      </c>
      <c r="O531" s="12">
        <v>2000</v>
      </c>
      <c r="P531" s="12">
        <v>0.5</v>
      </c>
      <c r="Q531" s="12">
        <v>0.85</v>
      </c>
      <c r="R531" s="12">
        <v>0.75</v>
      </c>
      <c r="S531" s="12">
        <v>0.6</v>
      </c>
      <c r="T531" s="12">
        <v>0.75</v>
      </c>
      <c r="U531" s="12">
        <v>0.8</v>
      </c>
      <c r="V531" s="12"/>
      <c r="W531" s="12">
        <v>3.2914467789097599</v>
      </c>
      <c r="X531" s="12">
        <v>45.713973026885682</v>
      </c>
      <c r="Y531" s="12">
        <v>1000</v>
      </c>
      <c r="Z531" s="12">
        <v>1.5</v>
      </c>
      <c r="AA531" s="12" t="s">
        <v>1268</v>
      </c>
      <c r="AB531" s="12"/>
    </row>
    <row r="532" spans="1:28" x14ac:dyDescent="0.3">
      <c r="A532" s="12" t="s">
        <v>2426</v>
      </c>
      <c r="B532" s="12" t="s">
        <v>112</v>
      </c>
      <c r="C532" s="12" t="s">
        <v>388</v>
      </c>
      <c r="D532" s="12" t="s">
        <v>2390</v>
      </c>
      <c r="E532" s="12" t="s">
        <v>1886</v>
      </c>
      <c r="F532" s="12" t="s">
        <v>1861</v>
      </c>
      <c r="G532" s="12" t="s">
        <v>1861</v>
      </c>
      <c r="H532" s="12" t="b">
        <v>1</v>
      </c>
      <c r="I532" s="12" t="b">
        <v>0</v>
      </c>
      <c r="J532" s="12" t="b">
        <v>1</v>
      </c>
      <c r="K532" s="12" t="b">
        <v>0</v>
      </c>
      <c r="L532" s="12">
        <v>623.15</v>
      </c>
      <c r="M532" s="12">
        <v>300.032917</v>
      </c>
      <c r="N532" s="12">
        <v>3000</v>
      </c>
      <c r="O532" s="12">
        <v>400</v>
      </c>
      <c r="P532" s="12">
        <v>0.5</v>
      </c>
      <c r="Q532" s="12">
        <v>0.85</v>
      </c>
      <c r="R532" s="12">
        <v>0.75</v>
      </c>
      <c r="S532" s="12">
        <v>0.7</v>
      </c>
      <c r="T532" s="12">
        <v>0.75</v>
      </c>
      <c r="U532" s="12">
        <v>0.8</v>
      </c>
      <c r="V532" s="12"/>
      <c r="W532" s="12">
        <v>13.132847055942261</v>
      </c>
      <c r="X532" s="12">
        <v>211.45696468657269</v>
      </c>
      <c r="Y532" s="12">
        <v>2600</v>
      </c>
      <c r="Z532" s="12">
        <v>7.5</v>
      </c>
      <c r="AA532" s="12" t="s">
        <v>1268</v>
      </c>
      <c r="AB532" s="12"/>
    </row>
    <row r="533" spans="1:28" x14ac:dyDescent="0.3">
      <c r="A533" s="12" t="s">
        <v>2427</v>
      </c>
      <c r="B533" s="12" t="s">
        <v>112</v>
      </c>
      <c r="C533" s="12" t="s">
        <v>388</v>
      </c>
      <c r="D533" s="12" t="s">
        <v>2390</v>
      </c>
      <c r="E533" s="12" t="s">
        <v>1886</v>
      </c>
      <c r="F533" s="12" t="s">
        <v>1861</v>
      </c>
      <c r="G533" s="12" t="s">
        <v>1861</v>
      </c>
      <c r="H533" s="12" t="b">
        <v>1</v>
      </c>
      <c r="I533" s="12" t="b">
        <v>0</v>
      </c>
      <c r="J533" s="12" t="b">
        <v>1</v>
      </c>
      <c r="K533" s="12" t="b">
        <v>0</v>
      </c>
      <c r="L533" s="12">
        <v>623.15</v>
      </c>
      <c r="M533" s="12">
        <v>300.032917</v>
      </c>
      <c r="N533" s="12">
        <v>3000</v>
      </c>
      <c r="O533" s="12">
        <v>545.4545454545455</v>
      </c>
      <c r="P533" s="12">
        <v>0.5</v>
      </c>
      <c r="Q533" s="12">
        <v>0.85</v>
      </c>
      <c r="R533" s="12">
        <v>0.75</v>
      </c>
      <c r="S533" s="12">
        <v>0.7</v>
      </c>
      <c r="T533" s="12">
        <v>0.75</v>
      </c>
      <c r="U533" s="12">
        <v>0.8</v>
      </c>
      <c r="V533" s="12"/>
      <c r="W533" s="12">
        <v>11.544694375174471</v>
      </c>
      <c r="X533" s="12">
        <v>186.1471640645814</v>
      </c>
      <c r="Y533" s="12">
        <v>2454.545454545455</v>
      </c>
      <c r="Z533" s="12">
        <v>5.5</v>
      </c>
      <c r="AA533" s="12" t="s">
        <v>1268</v>
      </c>
      <c r="AB533" s="12"/>
    </row>
    <row r="534" spans="1:28" x14ac:dyDescent="0.3">
      <c r="A534" s="12" t="s">
        <v>2428</v>
      </c>
      <c r="B534" s="12" t="s">
        <v>112</v>
      </c>
      <c r="C534" s="12" t="s">
        <v>388</v>
      </c>
      <c r="D534" s="12" t="s">
        <v>2390</v>
      </c>
      <c r="E534" s="12" t="s">
        <v>1886</v>
      </c>
      <c r="F534" s="12" t="s">
        <v>1861</v>
      </c>
      <c r="G534" s="12" t="s">
        <v>1861</v>
      </c>
      <c r="H534" s="12" t="b">
        <v>1</v>
      </c>
      <c r="I534" s="12" t="b">
        <v>0</v>
      </c>
      <c r="J534" s="12" t="b">
        <v>1</v>
      </c>
      <c r="K534" s="12" t="b">
        <v>0</v>
      </c>
      <c r="L534" s="12">
        <v>623.15</v>
      </c>
      <c r="M534" s="12">
        <v>300.032917</v>
      </c>
      <c r="N534" s="12">
        <v>3000</v>
      </c>
      <c r="O534" s="12">
        <v>690.90909090909099</v>
      </c>
      <c r="P534" s="12">
        <v>0.5</v>
      </c>
      <c r="Q534" s="12">
        <v>0.85</v>
      </c>
      <c r="R534" s="12">
        <v>0.75</v>
      </c>
      <c r="S534" s="12">
        <v>0.7</v>
      </c>
      <c r="T534" s="12">
        <v>0.75</v>
      </c>
      <c r="U534" s="12">
        <v>0.8</v>
      </c>
      <c r="V534" s="12"/>
      <c r="W534" s="12">
        <v>10.24493916279407</v>
      </c>
      <c r="X534" s="12">
        <v>165.30220145201039</v>
      </c>
      <c r="Y534" s="12">
        <v>2309.090909090909</v>
      </c>
      <c r="Z534" s="12">
        <v>4.3421052631578938</v>
      </c>
      <c r="AA534" s="12" t="s">
        <v>1268</v>
      </c>
      <c r="AB534" s="12"/>
    </row>
    <row r="535" spans="1:28" x14ac:dyDescent="0.3">
      <c r="A535" s="12" t="s">
        <v>2429</v>
      </c>
      <c r="B535" s="12" t="s">
        <v>112</v>
      </c>
      <c r="C535" s="12" t="s">
        <v>388</v>
      </c>
      <c r="D535" s="12" t="s">
        <v>2390</v>
      </c>
      <c r="E535" s="12" t="s">
        <v>1886</v>
      </c>
      <c r="F535" s="12" t="s">
        <v>1861</v>
      </c>
      <c r="G535" s="12" t="s">
        <v>1861</v>
      </c>
      <c r="H535" s="12" t="b">
        <v>1</v>
      </c>
      <c r="I535" s="12" t="b">
        <v>0</v>
      </c>
      <c r="J535" s="12" t="b">
        <v>1</v>
      </c>
      <c r="K535" s="12" t="b">
        <v>0</v>
      </c>
      <c r="L535" s="12">
        <v>623.15</v>
      </c>
      <c r="M535" s="12">
        <v>300.032917</v>
      </c>
      <c r="N535" s="12">
        <v>3000</v>
      </c>
      <c r="O535" s="12">
        <v>836.36363636363637</v>
      </c>
      <c r="P535" s="12">
        <v>0.5</v>
      </c>
      <c r="Q535" s="12">
        <v>0.85</v>
      </c>
      <c r="R535" s="12">
        <v>0.75</v>
      </c>
      <c r="S535" s="12">
        <v>0.7</v>
      </c>
      <c r="T535" s="12">
        <v>0.75</v>
      </c>
      <c r="U535" s="12">
        <v>0.8</v>
      </c>
      <c r="V535" s="12"/>
      <c r="W535" s="12">
        <v>9.1334573769572405</v>
      </c>
      <c r="X535" s="12">
        <v>147.4099561849084</v>
      </c>
      <c r="Y535" s="12">
        <v>2163.636363636364</v>
      </c>
      <c r="Z535" s="12">
        <v>3.5869565217391299</v>
      </c>
      <c r="AA535" s="12" t="s">
        <v>1268</v>
      </c>
      <c r="AB535" s="12"/>
    </row>
    <row r="536" spans="1:28" x14ac:dyDescent="0.3">
      <c r="A536" s="12" t="s">
        <v>2430</v>
      </c>
      <c r="B536" s="12" t="s">
        <v>112</v>
      </c>
      <c r="C536" s="12" t="s">
        <v>388</v>
      </c>
      <c r="D536" s="12" t="s">
        <v>2390</v>
      </c>
      <c r="E536" s="12" t="s">
        <v>1886</v>
      </c>
      <c r="F536" s="12" t="s">
        <v>1861</v>
      </c>
      <c r="G536" s="12" t="s">
        <v>1861</v>
      </c>
      <c r="H536" s="12" t="b">
        <v>1</v>
      </c>
      <c r="I536" s="12" t="b">
        <v>0</v>
      </c>
      <c r="J536" s="12" t="b">
        <v>1</v>
      </c>
      <c r="K536" s="12" t="b">
        <v>0</v>
      </c>
      <c r="L536" s="12">
        <v>623.15</v>
      </c>
      <c r="M536" s="12">
        <v>300.032917</v>
      </c>
      <c r="N536" s="12">
        <v>3000</v>
      </c>
      <c r="O536" s="12">
        <v>981.81818181818198</v>
      </c>
      <c r="P536" s="12">
        <v>0.5</v>
      </c>
      <c r="Q536" s="12">
        <v>0.85</v>
      </c>
      <c r="R536" s="12">
        <v>0.75</v>
      </c>
      <c r="S536" s="12">
        <v>0.7</v>
      </c>
      <c r="T536" s="12">
        <v>0.75</v>
      </c>
      <c r="U536" s="12">
        <v>0.8</v>
      </c>
      <c r="V536" s="12"/>
      <c r="W536" s="12">
        <v>8.1558184448919402</v>
      </c>
      <c r="X536" s="12">
        <v>131.63653916061261</v>
      </c>
      <c r="Y536" s="12">
        <v>2018.181818181818</v>
      </c>
      <c r="Z536" s="12">
        <v>3.0555555555555549</v>
      </c>
      <c r="AA536" s="12" t="s">
        <v>1268</v>
      </c>
      <c r="AB536" s="12"/>
    </row>
    <row r="537" spans="1:28" x14ac:dyDescent="0.3">
      <c r="A537" s="12" t="s">
        <v>2431</v>
      </c>
      <c r="B537" s="12" t="s">
        <v>112</v>
      </c>
      <c r="C537" s="12" t="s">
        <v>388</v>
      </c>
      <c r="D537" s="12" t="s">
        <v>2390</v>
      </c>
      <c r="E537" s="12" t="s">
        <v>1886</v>
      </c>
      <c r="F537" s="12" t="s">
        <v>1861</v>
      </c>
      <c r="G537" s="12" t="s">
        <v>1861</v>
      </c>
      <c r="H537" s="12" t="b">
        <v>1</v>
      </c>
      <c r="I537" s="12" t="b">
        <v>0</v>
      </c>
      <c r="J537" s="12" t="b">
        <v>1</v>
      </c>
      <c r="K537" s="12" t="b">
        <v>0</v>
      </c>
      <c r="L537" s="12">
        <v>623.15</v>
      </c>
      <c r="M537" s="12">
        <v>300.032917</v>
      </c>
      <c r="N537" s="12">
        <v>3000</v>
      </c>
      <c r="O537" s="12">
        <v>1127.2727272727279</v>
      </c>
      <c r="P537" s="12">
        <v>0.5</v>
      </c>
      <c r="Q537" s="12">
        <v>0.85</v>
      </c>
      <c r="R537" s="12">
        <v>0.75</v>
      </c>
      <c r="S537" s="12">
        <v>0.7</v>
      </c>
      <c r="T537" s="12">
        <v>0.75</v>
      </c>
      <c r="U537" s="12">
        <v>0.8</v>
      </c>
      <c r="V537" s="12"/>
      <c r="W537" s="12">
        <v>7.278863276646411</v>
      </c>
      <c r="X537" s="12">
        <v>117.4684689202751</v>
      </c>
      <c r="Y537" s="12">
        <v>1872.7272727272721</v>
      </c>
      <c r="Z537" s="12">
        <v>2.6612903225806441</v>
      </c>
      <c r="AA537" s="12" t="s">
        <v>1268</v>
      </c>
      <c r="AB537" s="12"/>
    </row>
    <row r="538" spans="1:28" x14ac:dyDescent="0.3">
      <c r="A538" s="12" t="s">
        <v>2432</v>
      </c>
      <c r="B538" s="12" t="s">
        <v>112</v>
      </c>
      <c r="C538" s="12" t="s">
        <v>388</v>
      </c>
      <c r="D538" s="12" t="s">
        <v>2390</v>
      </c>
      <c r="E538" s="12" t="s">
        <v>1886</v>
      </c>
      <c r="F538" s="12" t="s">
        <v>1861</v>
      </c>
      <c r="G538" s="12" t="s">
        <v>1861</v>
      </c>
      <c r="H538" s="12" t="b">
        <v>1</v>
      </c>
      <c r="I538" s="12" t="b">
        <v>0</v>
      </c>
      <c r="J538" s="12" t="b">
        <v>1</v>
      </c>
      <c r="K538" s="12" t="b">
        <v>0</v>
      </c>
      <c r="L538" s="12">
        <v>623.15</v>
      </c>
      <c r="M538" s="12">
        <v>300.032917</v>
      </c>
      <c r="N538" s="12">
        <v>3000</v>
      </c>
      <c r="O538" s="12">
        <v>1272.727272727273</v>
      </c>
      <c r="P538" s="12">
        <v>0.5</v>
      </c>
      <c r="Q538" s="12">
        <v>0.85</v>
      </c>
      <c r="R538" s="12">
        <v>0.75</v>
      </c>
      <c r="S538" s="12">
        <v>0.7</v>
      </c>
      <c r="T538" s="12">
        <v>0.75</v>
      </c>
      <c r="U538" s="12">
        <v>0.8</v>
      </c>
      <c r="V538" s="12"/>
      <c r="W538" s="12">
        <v>6.4807650453410206</v>
      </c>
      <c r="X538" s="12">
        <v>104.5649344112481</v>
      </c>
      <c r="Y538" s="12">
        <v>1727.272727272727</v>
      </c>
      <c r="Z538" s="12">
        <v>2.3571428571428572</v>
      </c>
      <c r="AA538" s="12" t="s">
        <v>1268</v>
      </c>
      <c r="AB538" s="12"/>
    </row>
    <row r="539" spans="1:28" x14ac:dyDescent="0.3">
      <c r="A539" s="12" t="s">
        <v>2433</v>
      </c>
      <c r="B539" s="12" t="s">
        <v>112</v>
      </c>
      <c r="C539" s="12" t="s">
        <v>388</v>
      </c>
      <c r="D539" s="12" t="s">
        <v>2390</v>
      </c>
      <c r="E539" s="12" t="s">
        <v>1886</v>
      </c>
      <c r="F539" s="12" t="s">
        <v>1861</v>
      </c>
      <c r="G539" s="12" t="s">
        <v>1861</v>
      </c>
      <c r="H539" s="12" t="b">
        <v>1</v>
      </c>
      <c r="I539" s="12" t="b">
        <v>0</v>
      </c>
      <c r="J539" s="12" t="b">
        <v>1</v>
      </c>
      <c r="K539" s="12" t="b">
        <v>0</v>
      </c>
      <c r="L539" s="12">
        <v>623.15</v>
      </c>
      <c r="M539" s="12">
        <v>300.032917</v>
      </c>
      <c r="N539" s="12">
        <v>3000</v>
      </c>
      <c r="O539" s="12">
        <v>1418.181818181818</v>
      </c>
      <c r="P539" s="12">
        <v>0.5</v>
      </c>
      <c r="Q539" s="12">
        <v>0.85</v>
      </c>
      <c r="R539" s="12">
        <v>0.75</v>
      </c>
      <c r="S539" s="12">
        <v>0.7</v>
      </c>
      <c r="T539" s="12">
        <v>0.75</v>
      </c>
      <c r="U539" s="12">
        <v>0.8</v>
      </c>
      <c r="V539" s="12"/>
      <c r="W539" s="12">
        <v>5.7463254990412702</v>
      </c>
      <c r="X539" s="12">
        <v>92.687024654592562</v>
      </c>
      <c r="Y539" s="12">
        <v>1581.818181818182</v>
      </c>
      <c r="Z539" s="12">
        <v>2.115384615384615</v>
      </c>
      <c r="AA539" s="12" t="s">
        <v>1268</v>
      </c>
      <c r="AB539" s="12"/>
    </row>
    <row r="540" spans="1:28" x14ac:dyDescent="0.3">
      <c r="A540" s="12" t="s">
        <v>2434</v>
      </c>
      <c r="B540" s="12" t="s">
        <v>112</v>
      </c>
      <c r="C540" s="12" t="s">
        <v>388</v>
      </c>
      <c r="D540" s="12" t="s">
        <v>2390</v>
      </c>
      <c r="E540" s="12" t="s">
        <v>1886</v>
      </c>
      <c r="F540" s="12" t="s">
        <v>1861</v>
      </c>
      <c r="G540" s="12" t="s">
        <v>1861</v>
      </c>
      <c r="H540" s="12" t="b">
        <v>1</v>
      </c>
      <c r="I540" s="12" t="b">
        <v>0</v>
      </c>
      <c r="J540" s="12" t="b">
        <v>1</v>
      </c>
      <c r="K540" s="12" t="b">
        <v>0</v>
      </c>
      <c r="L540" s="12">
        <v>623.15</v>
      </c>
      <c r="M540" s="12">
        <v>300.032917</v>
      </c>
      <c r="N540" s="12">
        <v>3000</v>
      </c>
      <c r="O540" s="12">
        <v>1563.636363636364</v>
      </c>
      <c r="P540" s="12">
        <v>0.5</v>
      </c>
      <c r="Q540" s="12">
        <v>0.85</v>
      </c>
      <c r="R540" s="12">
        <v>0.75</v>
      </c>
      <c r="S540" s="12">
        <v>0.7</v>
      </c>
      <c r="T540" s="12">
        <v>0.75</v>
      </c>
      <c r="U540" s="12">
        <v>0.8</v>
      </c>
      <c r="V540" s="12"/>
      <c r="W540" s="12">
        <v>5.06450168634845</v>
      </c>
      <c r="X540" s="12">
        <v>81.660175897982697</v>
      </c>
      <c r="Y540" s="12">
        <v>1436.363636363636</v>
      </c>
      <c r="Z540" s="12">
        <v>1.918604651162791</v>
      </c>
      <c r="AA540" s="12" t="s">
        <v>1268</v>
      </c>
      <c r="AB540" s="12"/>
    </row>
    <row r="541" spans="1:28" x14ac:dyDescent="0.3">
      <c r="A541" s="12" t="s">
        <v>2435</v>
      </c>
      <c r="B541" s="12" t="s">
        <v>112</v>
      </c>
      <c r="C541" s="12" t="s">
        <v>388</v>
      </c>
      <c r="D541" s="12" t="s">
        <v>2390</v>
      </c>
      <c r="E541" s="12" t="s">
        <v>1886</v>
      </c>
      <c r="F541" s="12" t="s">
        <v>1861</v>
      </c>
      <c r="G541" s="12" t="s">
        <v>1861</v>
      </c>
      <c r="H541" s="12" t="b">
        <v>1</v>
      </c>
      <c r="I541" s="12" t="b">
        <v>0</v>
      </c>
      <c r="J541" s="12" t="b">
        <v>1</v>
      </c>
      <c r="K541" s="12" t="b">
        <v>0</v>
      </c>
      <c r="L541" s="12">
        <v>623.15</v>
      </c>
      <c r="M541" s="12">
        <v>300.032917</v>
      </c>
      <c r="N541" s="12">
        <v>3000</v>
      </c>
      <c r="O541" s="12">
        <v>1709.090909090909</v>
      </c>
      <c r="P541" s="12">
        <v>0.5</v>
      </c>
      <c r="Q541" s="12">
        <v>0.85</v>
      </c>
      <c r="R541" s="12">
        <v>0.75</v>
      </c>
      <c r="S541" s="12">
        <v>0.7</v>
      </c>
      <c r="T541" s="12">
        <v>0.75</v>
      </c>
      <c r="U541" s="12">
        <v>0.8</v>
      </c>
      <c r="V541" s="12"/>
      <c r="W541" s="12">
        <v>4.4269955933511103</v>
      </c>
      <c r="X541" s="12">
        <v>71.352590959514217</v>
      </c>
      <c r="Y541" s="12">
        <v>1290.909090909091</v>
      </c>
      <c r="Z541" s="12">
        <v>1.7553191489361699</v>
      </c>
      <c r="AA541" s="12" t="s">
        <v>1268</v>
      </c>
      <c r="AB541" s="12"/>
    </row>
    <row r="542" spans="1:28" x14ac:dyDescent="0.3">
      <c r="A542" s="12" t="s">
        <v>2436</v>
      </c>
      <c r="B542" s="12" t="s">
        <v>112</v>
      </c>
      <c r="C542" s="12" t="s">
        <v>388</v>
      </c>
      <c r="D542" s="12" t="s">
        <v>2390</v>
      </c>
      <c r="E542" s="12" t="s">
        <v>1886</v>
      </c>
      <c r="F542" s="12" t="s">
        <v>1861</v>
      </c>
      <c r="G542" s="12" t="s">
        <v>1861</v>
      </c>
      <c r="H542" s="12" t="b">
        <v>1</v>
      </c>
      <c r="I542" s="12" t="b">
        <v>0</v>
      </c>
      <c r="J542" s="12" t="b">
        <v>1</v>
      </c>
      <c r="K542" s="12" t="b">
        <v>0</v>
      </c>
      <c r="L542" s="12">
        <v>623.15</v>
      </c>
      <c r="M542" s="12">
        <v>300.032917</v>
      </c>
      <c r="N542" s="12">
        <v>3000</v>
      </c>
      <c r="O542" s="12">
        <v>1854.545454545455</v>
      </c>
      <c r="P542" s="12">
        <v>0.5</v>
      </c>
      <c r="Q542" s="12">
        <v>0.85</v>
      </c>
      <c r="R542" s="12">
        <v>0.75</v>
      </c>
      <c r="S542" s="12">
        <v>0.7</v>
      </c>
      <c r="T542" s="12">
        <v>0.75</v>
      </c>
      <c r="U542" s="12">
        <v>0.8</v>
      </c>
      <c r="V542" s="12"/>
      <c r="W542" s="12">
        <v>3.8273994767937101</v>
      </c>
      <c r="X542" s="12">
        <v>61.662077160371197</v>
      </c>
      <c r="Y542" s="12">
        <v>1145.454545454545</v>
      </c>
      <c r="Z542" s="12">
        <v>1.617647058823529</v>
      </c>
      <c r="AA542" s="12" t="s">
        <v>1268</v>
      </c>
      <c r="AB542" s="12"/>
    </row>
    <row r="543" spans="1:28" x14ac:dyDescent="0.3">
      <c r="A543" s="12" t="s">
        <v>2437</v>
      </c>
      <c r="B543" s="12" t="s">
        <v>112</v>
      </c>
      <c r="C543" s="12" t="s">
        <v>388</v>
      </c>
      <c r="D543" s="12" t="s">
        <v>2390</v>
      </c>
      <c r="E543" s="12" t="s">
        <v>1886</v>
      </c>
      <c r="F543" s="12" t="s">
        <v>1861</v>
      </c>
      <c r="G543" s="12" t="s">
        <v>1861</v>
      </c>
      <c r="H543" s="12" t="b">
        <v>1</v>
      </c>
      <c r="I543" s="12" t="b">
        <v>0</v>
      </c>
      <c r="J543" s="12" t="b">
        <v>1</v>
      </c>
      <c r="K543" s="12" t="b">
        <v>0</v>
      </c>
      <c r="L543" s="12">
        <v>623.15</v>
      </c>
      <c r="M543" s="12">
        <v>300.032917</v>
      </c>
      <c r="N543" s="12">
        <v>3000</v>
      </c>
      <c r="O543" s="12">
        <v>2000</v>
      </c>
      <c r="P543" s="12">
        <v>0.5</v>
      </c>
      <c r="Q543" s="12">
        <v>0.85</v>
      </c>
      <c r="R543" s="12">
        <v>0.75</v>
      </c>
      <c r="S543" s="12">
        <v>0.7</v>
      </c>
      <c r="T543" s="12">
        <v>0.75</v>
      </c>
      <c r="U543" s="12">
        <v>0.8</v>
      </c>
      <c r="V543" s="12"/>
      <c r="W543" s="12">
        <v>3.2606540897174199</v>
      </c>
      <c r="X543" s="12">
        <v>52.507658327713607</v>
      </c>
      <c r="Y543" s="12">
        <v>1000</v>
      </c>
      <c r="Z543" s="12">
        <v>1.5</v>
      </c>
      <c r="AA543" s="12" t="s">
        <v>1268</v>
      </c>
      <c r="AB543" s="12"/>
    </row>
    <row r="544" spans="1:28" x14ac:dyDescent="0.3">
      <c r="A544" s="12" t="s">
        <v>2438</v>
      </c>
      <c r="B544" s="12" t="s">
        <v>112</v>
      </c>
      <c r="C544" s="12" t="s">
        <v>388</v>
      </c>
      <c r="D544" s="12" t="s">
        <v>2390</v>
      </c>
      <c r="E544" s="12" t="s">
        <v>2033</v>
      </c>
      <c r="F544" s="12" t="s">
        <v>32</v>
      </c>
      <c r="G544" s="12" t="s">
        <v>32</v>
      </c>
      <c r="H544" s="12" t="b">
        <v>1</v>
      </c>
      <c r="I544" s="12" t="b">
        <v>0</v>
      </c>
      <c r="J544" s="12" t="b">
        <v>1</v>
      </c>
      <c r="K544" s="12" t="b">
        <v>0</v>
      </c>
      <c r="L544" s="12">
        <v>623.15</v>
      </c>
      <c r="M544" s="12">
        <v>300.032917</v>
      </c>
      <c r="N544" s="12">
        <v>3000</v>
      </c>
      <c r="O544" s="12">
        <v>1345.454545454545</v>
      </c>
      <c r="P544" s="12">
        <v>0.5</v>
      </c>
      <c r="Q544" s="12">
        <v>0.85</v>
      </c>
      <c r="R544" s="12">
        <v>0.75</v>
      </c>
      <c r="S544" s="12">
        <v>0.4</v>
      </c>
      <c r="T544" s="12">
        <v>0.75</v>
      </c>
      <c r="U544" s="12">
        <v>0.8</v>
      </c>
      <c r="V544" s="12"/>
      <c r="W544" s="12">
        <v>6.1195466419089302</v>
      </c>
      <c r="X544" s="12">
        <v>57.357068083723163</v>
      </c>
      <c r="Y544" s="12">
        <v>1654.545454545455</v>
      </c>
      <c r="Z544" s="12">
        <v>2.2297297297297298</v>
      </c>
      <c r="AA544" s="12"/>
      <c r="AB544" s="12"/>
    </row>
    <row r="545" spans="1:28" x14ac:dyDescent="0.3">
      <c r="A545" s="12" t="s">
        <v>2439</v>
      </c>
      <c r="B545" s="12" t="s">
        <v>112</v>
      </c>
      <c r="C545" s="12" t="s">
        <v>388</v>
      </c>
      <c r="D545" s="12" t="s">
        <v>2390</v>
      </c>
      <c r="E545" s="12" t="s">
        <v>2033</v>
      </c>
      <c r="F545" s="12" t="s">
        <v>32</v>
      </c>
      <c r="G545" s="12" t="s">
        <v>32</v>
      </c>
      <c r="H545" s="12" t="b">
        <v>1</v>
      </c>
      <c r="I545" s="12" t="b">
        <v>0</v>
      </c>
      <c r="J545" s="12" t="b">
        <v>1</v>
      </c>
      <c r="K545" s="12" t="b">
        <v>0</v>
      </c>
      <c r="L545" s="12">
        <v>623.15</v>
      </c>
      <c r="M545" s="12">
        <v>300.032917</v>
      </c>
      <c r="N545" s="12">
        <v>3000</v>
      </c>
      <c r="O545" s="12">
        <v>1345.454545454545</v>
      </c>
      <c r="P545" s="12">
        <v>0.5</v>
      </c>
      <c r="Q545" s="12">
        <v>0.85</v>
      </c>
      <c r="R545" s="12">
        <v>0.75</v>
      </c>
      <c r="S545" s="12">
        <v>0.4</v>
      </c>
      <c r="T545" s="12">
        <v>0.75</v>
      </c>
      <c r="U545" s="12">
        <v>0.8</v>
      </c>
      <c r="V545" s="12"/>
      <c r="W545" s="12">
        <v>6.1195466419089302</v>
      </c>
      <c r="X545" s="12">
        <v>57.357068083723163</v>
      </c>
      <c r="Y545" s="12">
        <v>1654.545454545455</v>
      </c>
      <c r="Z545" s="12">
        <v>2.2297297297297298</v>
      </c>
      <c r="AA545" s="12"/>
      <c r="AB545" s="12"/>
    </row>
    <row r="546" spans="1:28" x14ac:dyDescent="0.3">
      <c r="A546" s="12" t="s">
        <v>2440</v>
      </c>
      <c r="B546" s="12" t="s">
        <v>112</v>
      </c>
      <c r="C546" s="12" t="s">
        <v>388</v>
      </c>
      <c r="D546" s="12" t="s">
        <v>2390</v>
      </c>
      <c r="E546" s="12" t="s">
        <v>2033</v>
      </c>
      <c r="F546" s="12" t="s">
        <v>32</v>
      </c>
      <c r="G546" s="12" t="s">
        <v>32</v>
      </c>
      <c r="H546" s="12" t="b">
        <v>1</v>
      </c>
      <c r="I546" s="12" t="b">
        <v>0</v>
      </c>
      <c r="J546" s="12" t="b">
        <v>1</v>
      </c>
      <c r="K546" s="12" t="b">
        <v>0</v>
      </c>
      <c r="L546" s="12">
        <v>623.15</v>
      </c>
      <c r="M546" s="12">
        <v>300.032917</v>
      </c>
      <c r="N546" s="12">
        <v>3000</v>
      </c>
      <c r="O546" s="12">
        <v>1781.818181818182</v>
      </c>
      <c r="P546" s="12">
        <v>0.5</v>
      </c>
      <c r="Q546" s="12">
        <v>0.85</v>
      </c>
      <c r="R546" s="12">
        <v>0.75</v>
      </c>
      <c r="S546" s="12">
        <v>0.5</v>
      </c>
      <c r="T546" s="12">
        <v>0.75</v>
      </c>
      <c r="U546" s="12">
        <v>0.8</v>
      </c>
      <c r="V546" s="12"/>
      <c r="W546" s="12">
        <v>4.1362229584255603</v>
      </c>
      <c r="X546" s="12">
        <v>48.148342708257921</v>
      </c>
      <c r="Y546" s="12">
        <v>1218.181818181818</v>
      </c>
      <c r="Z546" s="12">
        <v>1.6836734693877551</v>
      </c>
      <c r="AA546" s="12"/>
      <c r="AB546" s="12"/>
    </row>
    <row r="547" spans="1:28" x14ac:dyDescent="0.3">
      <c r="A547" s="12" t="s">
        <v>2441</v>
      </c>
      <c r="B547" s="12" t="s">
        <v>112</v>
      </c>
      <c r="C547" s="12" t="s">
        <v>388</v>
      </c>
      <c r="D547" s="12" t="s">
        <v>2390</v>
      </c>
      <c r="E547" s="12" t="s">
        <v>2033</v>
      </c>
      <c r="F547" s="12" t="s">
        <v>32</v>
      </c>
      <c r="G547" s="12" t="s">
        <v>32</v>
      </c>
      <c r="H547" s="12" t="b">
        <v>1</v>
      </c>
      <c r="I547" s="12" t="b">
        <v>0</v>
      </c>
      <c r="J547" s="12" t="b">
        <v>1</v>
      </c>
      <c r="K547" s="12" t="b">
        <v>0</v>
      </c>
      <c r="L547" s="12">
        <v>623.15</v>
      </c>
      <c r="M547" s="12">
        <v>300.032917</v>
      </c>
      <c r="N547" s="12">
        <v>3000</v>
      </c>
      <c r="O547" s="12">
        <v>1781.818181818182</v>
      </c>
      <c r="P547" s="12">
        <v>0.5</v>
      </c>
      <c r="Q547" s="12">
        <v>0.85</v>
      </c>
      <c r="R547" s="12">
        <v>0.75</v>
      </c>
      <c r="S547" s="12">
        <v>0.5</v>
      </c>
      <c r="T547" s="12">
        <v>0.75</v>
      </c>
      <c r="U547" s="12">
        <v>0.8</v>
      </c>
      <c r="V547" s="12"/>
      <c r="W547" s="12">
        <v>4.1362229584255603</v>
      </c>
      <c r="X547" s="12">
        <v>48.148342708257921</v>
      </c>
      <c r="Y547" s="12">
        <v>1218.181818181818</v>
      </c>
      <c r="Z547" s="12">
        <v>1.6836734693877551</v>
      </c>
      <c r="AA547" s="12"/>
      <c r="AB547" s="12"/>
    </row>
    <row r="548" spans="1:28" x14ac:dyDescent="0.3">
      <c r="A548" s="12" t="s">
        <v>2442</v>
      </c>
      <c r="B548" s="12" t="s">
        <v>112</v>
      </c>
      <c r="C548" s="12" t="s">
        <v>388</v>
      </c>
      <c r="D548" s="12" t="s">
        <v>2390</v>
      </c>
      <c r="E548" s="12" t="s">
        <v>2033</v>
      </c>
      <c r="F548" s="12" t="s">
        <v>1861</v>
      </c>
      <c r="G548" s="12" t="s">
        <v>1861</v>
      </c>
      <c r="H548" s="12" t="b">
        <v>1</v>
      </c>
      <c r="I548" s="12" t="b">
        <v>0</v>
      </c>
      <c r="J548" s="12" t="b">
        <v>1</v>
      </c>
      <c r="K548" s="12" t="b">
        <v>0</v>
      </c>
      <c r="L548" s="12">
        <v>623.15</v>
      </c>
      <c r="M548" s="12">
        <v>300.032917</v>
      </c>
      <c r="N548" s="12">
        <v>3000</v>
      </c>
      <c r="O548" s="12">
        <v>1309.090909090909</v>
      </c>
      <c r="P548" s="12">
        <v>0.5</v>
      </c>
      <c r="Q548" s="12">
        <v>0.85</v>
      </c>
      <c r="R548" s="12">
        <v>0.75</v>
      </c>
      <c r="S548" s="12">
        <v>0.4</v>
      </c>
      <c r="T548" s="12">
        <v>0.75</v>
      </c>
      <c r="U548" s="12">
        <v>0.8</v>
      </c>
      <c r="V548" s="12"/>
      <c r="W548" s="12">
        <v>6.3214632256677392</v>
      </c>
      <c r="X548" s="12">
        <v>59.256014073539284</v>
      </c>
      <c r="Y548" s="12">
        <v>1690.909090909091</v>
      </c>
      <c r="Z548" s="12">
        <v>2.291666666666667</v>
      </c>
      <c r="AA548" s="12" t="s">
        <v>1268</v>
      </c>
      <c r="AB548" s="12"/>
    </row>
    <row r="549" spans="1:28" x14ac:dyDescent="0.3">
      <c r="A549" s="12" t="s">
        <v>2443</v>
      </c>
      <c r="B549" s="12" t="s">
        <v>112</v>
      </c>
      <c r="C549" s="12" t="s">
        <v>388</v>
      </c>
      <c r="D549" s="12" t="s">
        <v>2390</v>
      </c>
      <c r="E549" s="12" t="s">
        <v>2033</v>
      </c>
      <c r="F549" s="12" t="s">
        <v>1861</v>
      </c>
      <c r="G549" s="12" t="s">
        <v>1861</v>
      </c>
      <c r="H549" s="12" t="b">
        <v>1</v>
      </c>
      <c r="I549" s="12" t="b">
        <v>0</v>
      </c>
      <c r="J549" s="12" t="b">
        <v>1</v>
      </c>
      <c r="K549" s="12" t="b">
        <v>0</v>
      </c>
      <c r="L549" s="12">
        <v>623.15</v>
      </c>
      <c r="M549" s="12">
        <v>300.032917</v>
      </c>
      <c r="N549" s="12">
        <v>3000</v>
      </c>
      <c r="O549" s="12">
        <v>1309.090909090909</v>
      </c>
      <c r="P549" s="12">
        <v>0.5</v>
      </c>
      <c r="Q549" s="12">
        <v>0.85</v>
      </c>
      <c r="R549" s="12">
        <v>0.75</v>
      </c>
      <c r="S549" s="12">
        <v>0.4</v>
      </c>
      <c r="T549" s="12">
        <v>0.75</v>
      </c>
      <c r="U549" s="12">
        <v>0.8</v>
      </c>
      <c r="V549" s="12"/>
      <c r="W549" s="12">
        <v>6.3214632256677392</v>
      </c>
      <c r="X549" s="12">
        <v>59.256014073539284</v>
      </c>
      <c r="Y549" s="12">
        <v>1690.909090909091</v>
      </c>
      <c r="Z549" s="12">
        <v>2.291666666666667</v>
      </c>
      <c r="AA549" s="12" t="s">
        <v>1268</v>
      </c>
      <c r="AB549" s="12"/>
    </row>
    <row r="550" spans="1:28" x14ac:dyDescent="0.3">
      <c r="A550" s="12" t="s">
        <v>2444</v>
      </c>
      <c r="B550" s="12" t="s">
        <v>112</v>
      </c>
      <c r="C550" s="12" t="s">
        <v>388</v>
      </c>
      <c r="D550" s="12" t="s">
        <v>2390</v>
      </c>
      <c r="E550" s="12" t="s">
        <v>2033</v>
      </c>
      <c r="F550" s="12" t="s">
        <v>32</v>
      </c>
      <c r="G550" s="12" t="s">
        <v>32</v>
      </c>
      <c r="H550" s="12" t="b">
        <v>1</v>
      </c>
      <c r="I550" s="12" t="b">
        <v>0</v>
      </c>
      <c r="J550" s="12" t="b">
        <v>1</v>
      </c>
      <c r="K550" s="12" t="b">
        <v>0</v>
      </c>
      <c r="L550" s="12">
        <v>623.15</v>
      </c>
      <c r="M550" s="12">
        <v>300.032917</v>
      </c>
      <c r="N550" s="12">
        <v>3000</v>
      </c>
      <c r="O550" s="12">
        <v>1745.454545454545</v>
      </c>
      <c r="P550" s="12">
        <v>0.5</v>
      </c>
      <c r="Q550" s="12">
        <v>0.85</v>
      </c>
      <c r="R550" s="12">
        <v>0.75</v>
      </c>
      <c r="S550" s="12">
        <v>0.5</v>
      </c>
      <c r="T550" s="12">
        <v>0.75</v>
      </c>
      <c r="U550" s="12">
        <v>0.8</v>
      </c>
      <c r="V550" s="12"/>
      <c r="W550" s="12">
        <v>4.2961442520879203</v>
      </c>
      <c r="X550" s="12">
        <v>50.015835462613957</v>
      </c>
      <c r="Y550" s="12">
        <v>1254.545454545455</v>
      </c>
      <c r="Z550" s="12">
        <v>1.71875</v>
      </c>
      <c r="AA550" s="12"/>
      <c r="AB550" s="12"/>
    </row>
    <row r="551" spans="1:28" x14ac:dyDescent="0.3">
      <c r="A551" s="12" t="s">
        <v>2445</v>
      </c>
      <c r="B551" s="12" t="s">
        <v>112</v>
      </c>
      <c r="C551" s="12" t="s">
        <v>388</v>
      </c>
      <c r="D551" s="12" t="s">
        <v>2390</v>
      </c>
      <c r="E551" s="12" t="s">
        <v>2033</v>
      </c>
      <c r="F551" s="12" t="s">
        <v>32</v>
      </c>
      <c r="G551" s="12" t="s">
        <v>32</v>
      </c>
      <c r="H551" s="12" t="b">
        <v>1</v>
      </c>
      <c r="I551" s="12" t="b">
        <v>0</v>
      </c>
      <c r="J551" s="12" t="b">
        <v>1</v>
      </c>
      <c r="K551" s="12" t="b">
        <v>0</v>
      </c>
      <c r="L551" s="12">
        <v>623.15</v>
      </c>
      <c r="M551" s="12">
        <v>300.032917</v>
      </c>
      <c r="N551" s="12">
        <v>3000</v>
      </c>
      <c r="O551" s="12">
        <v>1745.454545454545</v>
      </c>
      <c r="P551" s="12">
        <v>0.5</v>
      </c>
      <c r="Q551" s="12">
        <v>0.85</v>
      </c>
      <c r="R551" s="12">
        <v>0.75</v>
      </c>
      <c r="S551" s="12">
        <v>0.5</v>
      </c>
      <c r="T551" s="12">
        <v>0.75</v>
      </c>
      <c r="U551" s="12">
        <v>0.8</v>
      </c>
      <c r="V551" s="12"/>
      <c r="W551" s="12">
        <v>4.2961442520879203</v>
      </c>
      <c r="X551" s="12">
        <v>50.015835462613957</v>
      </c>
      <c r="Y551" s="12">
        <v>1254.545454545455</v>
      </c>
      <c r="Z551" s="12">
        <v>1.71875</v>
      </c>
      <c r="AA551" s="12"/>
      <c r="AB551" s="12"/>
    </row>
    <row r="552" spans="1:28" x14ac:dyDescent="0.3">
      <c r="A552" s="12" t="s">
        <v>2446</v>
      </c>
      <c r="B552" s="12" t="s">
        <v>112</v>
      </c>
      <c r="C552" s="12" t="s">
        <v>388</v>
      </c>
      <c r="D552" s="12" t="s">
        <v>2390</v>
      </c>
      <c r="E552" s="12" t="s">
        <v>2033</v>
      </c>
      <c r="F552" s="12" t="s">
        <v>32</v>
      </c>
      <c r="G552" s="12" t="s">
        <v>32</v>
      </c>
      <c r="H552" s="12" t="b">
        <v>1</v>
      </c>
      <c r="I552" s="12" t="b">
        <v>0</v>
      </c>
      <c r="J552" s="12" t="b">
        <v>1</v>
      </c>
      <c r="K552" s="12" t="b">
        <v>0</v>
      </c>
      <c r="L552" s="12">
        <v>623.15</v>
      </c>
      <c r="M552" s="12">
        <v>300.032917</v>
      </c>
      <c r="N552" s="12">
        <v>3000</v>
      </c>
      <c r="O552" s="12">
        <v>1327.272727272727</v>
      </c>
      <c r="P552" s="12">
        <v>0.5</v>
      </c>
      <c r="Q552" s="12">
        <v>0.85</v>
      </c>
      <c r="R552" s="12">
        <v>0.75</v>
      </c>
      <c r="S552" s="12">
        <v>0.4</v>
      </c>
      <c r="T552" s="12">
        <v>0.75</v>
      </c>
      <c r="U552" s="12">
        <v>0.8</v>
      </c>
      <c r="V552" s="12"/>
      <c r="W552" s="12">
        <v>6.2198809271075897</v>
      </c>
      <c r="X552" s="12">
        <v>58.300619639349357</v>
      </c>
      <c r="Y552" s="12">
        <v>1672.727272727273</v>
      </c>
      <c r="Z552" s="12">
        <v>2.2602739726027399</v>
      </c>
      <c r="AA552" s="12"/>
      <c r="AB552" s="12"/>
    </row>
    <row r="553" spans="1:28" x14ac:dyDescent="0.3">
      <c r="A553" s="12" t="s">
        <v>2447</v>
      </c>
      <c r="B553" s="12" t="s">
        <v>112</v>
      </c>
      <c r="C553" s="12" t="s">
        <v>388</v>
      </c>
      <c r="D553" s="12" t="s">
        <v>2390</v>
      </c>
      <c r="E553" s="12" t="s">
        <v>2033</v>
      </c>
      <c r="F553" s="12" t="s">
        <v>32</v>
      </c>
      <c r="G553" s="12" t="s">
        <v>32</v>
      </c>
      <c r="H553" s="12" t="b">
        <v>1</v>
      </c>
      <c r="I553" s="12" t="b">
        <v>0</v>
      </c>
      <c r="J553" s="12" t="b">
        <v>1</v>
      </c>
      <c r="K553" s="12" t="b">
        <v>0</v>
      </c>
      <c r="L553" s="12">
        <v>623.15</v>
      </c>
      <c r="M553" s="12">
        <v>300.032917</v>
      </c>
      <c r="N553" s="12">
        <v>3000</v>
      </c>
      <c r="O553" s="12">
        <v>1327.272727272727</v>
      </c>
      <c r="P553" s="12">
        <v>0.5</v>
      </c>
      <c r="Q553" s="12">
        <v>0.85</v>
      </c>
      <c r="R553" s="12">
        <v>0.75</v>
      </c>
      <c r="S553" s="12">
        <v>0.4</v>
      </c>
      <c r="T553" s="12">
        <v>0.75</v>
      </c>
      <c r="U553" s="12">
        <v>0.8</v>
      </c>
      <c r="V553" s="12"/>
      <c r="W553" s="12">
        <v>6.2198809271075897</v>
      </c>
      <c r="X553" s="12">
        <v>58.300619639349357</v>
      </c>
      <c r="Y553" s="12">
        <v>1672.727272727273</v>
      </c>
      <c r="Z553" s="12">
        <v>2.2602739726027399</v>
      </c>
      <c r="AA553" s="12"/>
      <c r="AB553" s="12"/>
    </row>
    <row r="554" spans="1:28" x14ac:dyDescent="0.3">
      <c r="A554" s="12" t="s">
        <v>2448</v>
      </c>
      <c r="B554" s="12" t="s">
        <v>112</v>
      </c>
      <c r="C554" s="12" t="s">
        <v>388</v>
      </c>
      <c r="D554" s="12" t="s">
        <v>2390</v>
      </c>
      <c r="E554" s="12" t="s">
        <v>2033</v>
      </c>
      <c r="F554" s="12" t="s">
        <v>1861</v>
      </c>
      <c r="G554" s="12" t="s">
        <v>1861</v>
      </c>
      <c r="H554" s="12" t="b">
        <v>1</v>
      </c>
      <c r="I554" s="12" t="b">
        <v>0</v>
      </c>
      <c r="J554" s="12" t="b">
        <v>1</v>
      </c>
      <c r="K554" s="12" t="b">
        <v>0</v>
      </c>
      <c r="L554" s="12">
        <v>623.15</v>
      </c>
      <c r="M554" s="12">
        <v>300.032917</v>
      </c>
      <c r="N554" s="12">
        <v>3000</v>
      </c>
      <c r="O554" s="12">
        <v>1727.2727272727279</v>
      </c>
      <c r="P554" s="12">
        <v>0.5</v>
      </c>
      <c r="Q554" s="12">
        <v>0.85</v>
      </c>
      <c r="R554" s="12">
        <v>0.75</v>
      </c>
      <c r="S554" s="12">
        <v>0.5</v>
      </c>
      <c r="T554" s="12">
        <v>0.75</v>
      </c>
      <c r="U554" s="12">
        <v>0.8</v>
      </c>
      <c r="V554" s="12"/>
      <c r="W554" s="12">
        <v>4.3772231179973797</v>
      </c>
      <c r="X554" s="12">
        <v>50.96280906826788</v>
      </c>
      <c r="Y554" s="12">
        <v>1272.7272727272721</v>
      </c>
      <c r="Z554" s="12">
        <v>1.736842105263158</v>
      </c>
      <c r="AA554" s="12" t="s">
        <v>1268</v>
      </c>
      <c r="AB554" s="12"/>
    </row>
    <row r="555" spans="1:28" x14ac:dyDescent="0.3">
      <c r="A555" s="12" t="s">
        <v>2449</v>
      </c>
      <c r="B555" s="12" t="s">
        <v>112</v>
      </c>
      <c r="C555" s="12" t="s">
        <v>388</v>
      </c>
      <c r="D555" s="12" t="s">
        <v>2390</v>
      </c>
      <c r="E555" s="12" t="s">
        <v>2033</v>
      </c>
      <c r="F555" s="12" t="s">
        <v>1861</v>
      </c>
      <c r="G555" s="12" t="s">
        <v>1861</v>
      </c>
      <c r="H555" s="12" t="b">
        <v>1</v>
      </c>
      <c r="I555" s="12" t="b">
        <v>0</v>
      </c>
      <c r="J555" s="12" t="b">
        <v>1</v>
      </c>
      <c r="K555" s="12" t="b">
        <v>0</v>
      </c>
      <c r="L555" s="12">
        <v>623.15</v>
      </c>
      <c r="M555" s="12">
        <v>300.032917</v>
      </c>
      <c r="N555" s="12">
        <v>3000</v>
      </c>
      <c r="O555" s="12">
        <v>1727.2727272727279</v>
      </c>
      <c r="P555" s="12">
        <v>0.5</v>
      </c>
      <c r="Q555" s="12">
        <v>0.85</v>
      </c>
      <c r="R555" s="12">
        <v>0.75</v>
      </c>
      <c r="S555" s="12">
        <v>0.5</v>
      </c>
      <c r="T555" s="12">
        <v>0.75</v>
      </c>
      <c r="U555" s="12">
        <v>0.8</v>
      </c>
      <c r="V555" s="12"/>
      <c r="W555" s="12">
        <v>4.3772231179973797</v>
      </c>
      <c r="X555" s="12">
        <v>50.96280906826788</v>
      </c>
      <c r="Y555" s="12">
        <v>1272.7272727272721</v>
      </c>
      <c r="Z555" s="12">
        <v>1.736842105263158</v>
      </c>
      <c r="AA555" s="12" t="s">
        <v>1268</v>
      </c>
      <c r="AB555" s="12"/>
    </row>
    <row r="556" spans="1:28" x14ac:dyDescent="0.3">
      <c r="A556" s="12" t="s">
        <v>2450</v>
      </c>
      <c r="B556" s="12" t="s">
        <v>112</v>
      </c>
      <c r="C556" s="12" t="s">
        <v>388</v>
      </c>
      <c r="D556" s="12" t="s">
        <v>2390</v>
      </c>
      <c r="E556" s="12" t="s">
        <v>2033</v>
      </c>
      <c r="F556" s="12" t="s">
        <v>32</v>
      </c>
      <c r="G556" s="12" t="s">
        <v>32</v>
      </c>
      <c r="H556" s="12" t="b">
        <v>1</v>
      </c>
      <c r="I556" s="12" t="b">
        <v>0</v>
      </c>
      <c r="J556" s="12" t="b">
        <v>1</v>
      </c>
      <c r="K556" s="12" t="b">
        <v>0</v>
      </c>
      <c r="L556" s="12">
        <v>623.15</v>
      </c>
      <c r="M556" s="12">
        <v>300.032917</v>
      </c>
      <c r="N556" s="12">
        <v>3000</v>
      </c>
      <c r="O556" s="12">
        <v>1318.181818181818</v>
      </c>
      <c r="P556" s="12">
        <v>0.5</v>
      </c>
      <c r="Q556" s="12">
        <v>0.85</v>
      </c>
      <c r="R556" s="12">
        <v>0.75</v>
      </c>
      <c r="S556" s="12">
        <v>0.4</v>
      </c>
      <c r="T556" s="12">
        <v>0.75</v>
      </c>
      <c r="U556" s="12">
        <v>0.8</v>
      </c>
      <c r="V556" s="12"/>
      <c r="W556" s="12">
        <v>6.2705141297260196</v>
      </c>
      <c r="X556" s="12">
        <v>58.776817967384929</v>
      </c>
      <c r="Y556" s="12">
        <v>1681.818181818182</v>
      </c>
      <c r="Z556" s="12">
        <v>2.2758620689655169</v>
      </c>
      <c r="AA556" s="12"/>
      <c r="AB556" s="12"/>
    </row>
    <row r="557" spans="1:28" x14ac:dyDescent="0.3">
      <c r="A557" s="12" t="s">
        <v>2451</v>
      </c>
      <c r="B557" s="12" t="s">
        <v>112</v>
      </c>
      <c r="C557" s="12" t="s">
        <v>388</v>
      </c>
      <c r="D557" s="12" t="s">
        <v>2390</v>
      </c>
      <c r="E557" s="12" t="s">
        <v>2033</v>
      </c>
      <c r="F557" s="12" t="s">
        <v>32</v>
      </c>
      <c r="G557" s="12" t="s">
        <v>32</v>
      </c>
      <c r="H557" s="12" t="b">
        <v>1</v>
      </c>
      <c r="I557" s="12" t="b">
        <v>0</v>
      </c>
      <c r="J557" s="12" t="b">
        <v>1</v>
      </c>
      <c r="K557" s="12" t="b">
        <v>0</v>
      </c>
      <c r="L557" s="12">
        <v>623.15</v>
      </c>
      <c r="M557" s="12">
        <v>300.032917</v>
      </c>
      <c r="N557" s="12">
        <v>3000</v>
      </c>
      <c r="O557" s="12">
        <v>1318.181818181818</v>
      </c>
      <c r="P557" s="12">
        <v>0.5</v>
      </c>
      <c r="Q557" s="12">
        <v>0.85</v>
      </c>
      <c r="R557" s="12">
        <v>0.75</v>
      </c>
      <c r="S557" s="12">
        <v>0.4</v>
      </c>
      <c r="T557" s="12">
        <v>0.75</v>
      </c>
      <c r="U557" s="12">
        <v>0.8</v>
      </c>
      <c r="V557" s="12"/>
      <c r="W557" s="12">
        <v>6.2705141297260196</v>
      </c>
      <c r="X557" s="12">
        <v>58.776817967384929</v>
      </c>
      <c r="Y557" s="12">
        <v>1681.818181818182</v>
      </c>
      <c r="Z557" s="12">
        <v>2.2758620689655169</v>
      </c>
      <c r="AA557" s="12"/>
      <c r="AB557" s="12"/>
    </row>
    <row r="558" spans="1:28" x14ac:dyDescent="0.3">
      <c r="A558" s="12" t="s">
        <v>2452</v>
      </c>
      <c r="B558" s="12" t="s">
        <v>112</v>
      </c>
      <c r="C558" s="12" t="s">
        <v>388</v>
      </c>
      <c r="D558" s="12" t="s">
        <v>2390</v>
      </c>
      <c r="E558" s="12" t="s">
        <v>2033</v>
      </c>
      <c r="F558" s="12" t="s">
        <v>32</v>
      </c>
      <c r="G558" s="12" t="s">
        <v>32</v>
      </c>
      <c r="H558" s="12" t="b">
        <v>1</v>
      </c>
      <c r="I558" s="12" t="b">
        <v>0</v>
      </c>
      <c r="J558" s="12" t="b">
        <v>1</v>
      </c>
      <c r="K558" s="12" t="b">
        <v>0</v>
      </c>
      <c r="L558" s="12">
        <v>623.15</v>
      </c>
      <c r="M558" s="12">
        <v>300.032917</v>
      </c>
      <c r="N558" s="12">
        <v>3000</v>
      </c>
      <c r="O558" s="12">
        <v>1736.363636363636</v>
      </c>
      <c r="P558" s="12">
        <v>0.5</v>
      </c>
      <c r="Q558" s="12">
        <v>0.85</v>
      </c>
      <c r="R558" s="12">
        <v>0.75</v>
      </c>
      <c r="S558" s="12">
        <v>0.5</v>
      </c>
      <c r="T558" s="12">
        <v>0.75</v>
      </c>
      <c r="U558" s="12">
        <v>0.8</v>
      </c>
      <c r="V558" s="12"/>
      <c r="W558" s="12">
        <v>4.3365952716161997</v>
      </c>
      <c r="X558" s="12">
        <v>50.488276459637191</v>
      </c>
      <c r="Y558" s="12">
        <v>1263.636363636364</v>
      </c>
      <c r="Z558" s="12">
        <v>1.7277486910994759</v>
      </c>
      <c r="AA558" s="12"/>
      <c r="AB558" s="12"/>
    </row>
    <row r="559" spans="1:28" x14ac:dyDescent="0.3">
      <c r="A559" s="12" t="s">
        <v>2453</v>
      </c>
      <c r="B559" s="12" t="s">
        <v>112</v>
      </c>
      <c r="C559" s="12" t="s">
        <v>388</v>
      </c>
      <c r="D559" s="12" t="s">
        <v>2390</v>
      </c>
      <c r="E559" s="12" t="s">
        <v>2033</v>
      </c>
      <c r="F559" s="12" t="s">
        <v>32</v>
      </c>
      <c r="G559" s="12" t="s">
        <v>32</v>
      </c>
      <c r="H559" s="12" t="b">
        <v>1</v>
      </c>
      <c r="I559" s="12" t="b">
        <v>0</v>
      </c>
      <c r="J559" s="12" t="b">
        <v>1</v>
      </c>
      <c r="K559" s="12" t="b">
        <v>0</v>
      </c>
      <c r="L559" s="12">
        <v>623.15</v>
      </c>
      <c r="M559" s="12">
        <v>300.032917</v>
      </c>
      <c r="N559" s="12">
        <v>3000</v>
      </c>
      <c r="O559" s="12">
        <v>1736.363636363636</v>
      </c>
      <c r="P559" s="12">
        <v>0.5</v>
      </c>
      <c r="Q559" s="12">
        <v>0.85</v>
      </c>
      <c r="R559" s="12">
        <v>0.75</v>
      </c>
      <c r="S559" s="12">
        <v>0.5</v>
      </c>
      <c r="T559" s="12">
        <v>0.75</v>
      </c>
      <c r="U559" s="12">
        <v>0.8</v>
      </c>
      <c r="V559" s="12"/>
      <c r="W559" s="12">
        <v>4.3365952716161997</v>
      </c>
      <c r="X559" s="12">
        <v>50.488276459637191</v>
      </c>
      <c r="Y559" s="12">
        <v>1263.636363636364</v>
      </c>
      <c r="Z559" s="12">
        <v>1.7277486910994759</v>
      </c>
      <c r="AA559" s="12"/>
      <c r="AB559" s="12"/>
    </row>
    <row r="560" spans="1:28" x14ac:dyDescent="0.3">
      <c r="A560" s="12" t="s">
        <v>2454</v>
      </c>
      <c r="B560" s="12" t="s">
        <v>112</v>
      </c>
      <c r="C560" s="12" t="s">
        <v>389</v>
      </c>
      <c r="D560" s="12" t="s">
        <v>2455</v>
      </c>
      <c r="E560" s="12" t="s">
        <v>1886</v>
      </c>
      <c r="F560" s="12" t="s">
        <v>1861</v>
      </c>
      <c r="G560" s="12" t="s">
        <v>1861</v>
      </c>
      <c r="H560" s="12" t="b">
        <v>1</v>
      </c>
      <c r="I560" s="12" t="b">
        <v>0</v>
      </c>
      <c r="J560" s="12" t="b">
        <v>0</v>
      </c>
      <c r="K560" s="12" t="b">
        <v>0</v>
      </c>
      <c r="L560" s="12">
        <v>403</v>
      </c>
      <c r="M560" s="12">
        <v>300.032917</v>
      </c>
      <c r="N560" s="12">
        <v>3000</v>
      </c>
      <c r="O560" s="12">
        <v>400</v>
      </c>
      <c r="P560" s="12">
        <v>0.5</v>
      </c>
      <c r="Q560" s="12">
        <v>0.85</v>
      </c>
      <c r="R560" s="12">
        <v>0.75</v>
      </c>
      <c r="S560" s="12">
        <v>0.85</v>
      </c>
      <c r="T560" s="12">
        <v>0.75</v>
      </c>
      <c r="U560" s="12">
        <v>0.9</v>
      </c>
      <c r="V560" s="12"/>
      <c r="W560" s="12">
        <v>9.6821581584929728</v>
      </c>
      <c r="X560" s="12">
        <v>30.75216541949138</v>
      </c>
      <c r="Y560" s="12">
        <v>2600</v>
      </c>
      <c r="Z560" s="12">
        <v>7.5</v>
      </c>
      <c r="AA560" s="12" t="s">
        <v>1268</v>
      </c>
      <c r="AB560" s="12"/>
    </row>
    <row r="561" spans="1:28" x14ac:dyDescent="0.3">
      <c r="A561" s="12" t="s">
        <v>2456</v>
      </c>
      <c r="B561" s="12" t="s">
        <v>112</v>
      </c>
      <c r="C561" s="12" t="s">
        <v>389</v>
      </c>
      <c r="D561" s="12" t="s">
        <v>2455</v>
      </c>
      <c r="E561" s="12" t="s">
        <v>1886</v>
      </c>
      <c r="F561" s="12" t="s">
        <v>1861</v>
      </c>
      <c r="G561" s="12" t="s">
        <v>1861</v>
      </c>
      <c r="H561" s="12" t="b">
        <v>1</v>
      </c>
      <c r="I561" s="12" t="b">
        <v>0</v>
      </c>
      <c r="J561" s="12" t="b">
        <v>0</v>
      </c>
      <c r="K561" s="12" t="b">
        <v>0</v>
      </c>
      <c r="L561" s="12">
        <v>403</v>
      </c>
      <c r="M561" s="12">
        <v>300.032917</v>
      </c>
      <c r="N561" s="12">
        <v>3000</v>
      </c>
      <c r="O561" s="12">
        <v>400</v>
      </c>
      <c r="P561" s="12">
        <v>0.5</v>
      </c>
      <c r="Q561" s="12">
        <v>0.85</v>
      </c>
      <c r="R561" s="12">
        <v>0.75</v>
      </c>
      <c r="S561" s="12">
        <v>0.85</v>
      </c>
      <c r="T561" s="12">
        <v>0.75</v>
      </c>
      <c r="U561" s="12">
        <v>0.85</v>
      </c>
      <c r="V561" s="12"/>
      <c r="W561" s="12">
        <v>9.8124913926364599</v>
      </c>
      <c r="X561" s="12">
        <v>30.61691944063476</v>
      </c>
      <c r="Y561" s="12">
        <v>2600</v>
      </c>
      <c r="Z561" s="12">
        <v>7.5</v>
      </c>
      <c r="AA561" s="12" t="s">
        <v>1268</v>
      </c>
      <c r="AB561" s="12"/>
    </row>
    <row r="562" spans="1:28" x14ac:dyDescent="0.3">
      <c r="A562" s="12" t="s">
        <v>2457</v>
      </c>
      <c r="B562" s="12" t="s">
        <v>112</v>
      </c>
      <c r="C562" s="12" t="s">
        <v>389</v>
      </c>
      <c r="D562" s="12" t="s">
        <v>2455</v>
      </c>
      <c r="E562" s="12" t="s">
        <v>1886</v>
      </c>
      <c r="F562" s="12" t="s">
        <v>32</v>
      </c>
      <c r="G562" s="12" t="s">
        <v>32</v>
      </c>
      <c r="H562" s="12" t="b">
        <v>1</v>
      </c>
      <c r="I562" s="12" t="b">
        <v>1</v>
      </c>
      <c r="J562" s="12" t="b">
        <v>0</v>
      </c>
      <c r="K562" s="12" t="b">
        <v>0</v>
      </c>
      <c r="L562" s="12">
        <v>403</v>
      </c>
      <c r="M562" s="12">
        <v>300.032917</v>
      </c>
      <c r="N562" s="12">
        <v>3000</v>
      </c>
      <c r="O562" s="12">
        <v>400</v>
      </c>
      <c r="P562" s="12">
        <v>0.5</v>
      </c>
      <c r="Q562" s="12">
        <v>0.85</v>
      </c>
      <c r="R562" s="12">
        <v>0.75</v>
      </c>
      <c r="S562" s="12">
        <v>0.85</v>
      </c>
      <c r="T562" s="12">
        <v>0.75</v>
      </c>
      <c r="U562" s="12">
        <v>0.95</v>
      </c>
      <c r="V562" s="12"/>
      <c r="W562" s="12">
        <v>9.5047201280320994</v>
      </c>
      <c r="X562" s="12">
        <v>30.675411282546069</v>
      </c>
      <c r="Y562" s="12">
        <v>2600</v>
      </c>
      <c r="Z562" s="12">
        <v>7.5</v>
      </c>
      <c r="AA562" s="12"/>
      <c r="AB562" s="12"/>
    </row>
    <row r="563" spans="1:28" x14ac:dyDescent="0.3">
      <c r="A563" s="12" t="s">
        <v>2458</v>
      </c>
      <c r="B563" s="12" t="s">
        <v>112</v>
      </c>
      <c r="C563" s="12" t="s">
        <v>389</v>
      </c>
      <c r="D563" s="12" t="s">
        <v>2455</v>
      </c>
      <c r="E563" s="12" t="s">
        <v>1886</v>
      </c>
      <c r="F563" s="12" t="s">
        <v>1862</v>
      </c>
      <c r="G563" s="12" t="s">
        <v>1862</v>
      </c>
      <c r="H563" s="12" t="b">
        <v>1</v>
      </c>
      <c r="I563" s="12" t="b">
        <v>0</v>
      </c>
      <c r="J563" s="12" t="b">
        <v>0</v>
      </c>
      <c r="K563" s="12" t="b">
        <v>0</v>
      </c>
      <c r="L563" s="12">
        <v>420</v>
      </c>
      <c r="M563" s="12">
        <v>300.032917</v>
      </c>
      <c r="N563" s="12">
        <v>3000</v>
      </c>
      <c r="O563" s="12">
        <v>400</v>
      </c>
      <c r="P563" s="12">
        <v>0.5</v>
      </c>
      <c r="Q563" s="12">
        <v>0.85</v>
      </c>
      <c r="R563" s="12">
        <v>0.75</v>
      </c>
      <c r="S563" s="12">
        <v>0.85</v>
      </c>
      <c r="T563" s="12">
        <v>0.75</v>
      </c>
      <c r="U563" s="12">
        <v>0.9</v>
      </c>
      <c r="V563" s="12"/>
      <c r="W563" s="12">
        <v>12.10530013815789</v>
      </c>
      <c r="X563" s="12">
        <v>63.791554627091053</v>
      </c>
      <c r="Y563" s="12">
        <v>2600</v>
      </c>
      <c r="Z563" s="12">
        <v>7.5</v>
      </c>
      <c r="AA563" s="12" t="s">
        <v>2459</v>
      </c>
      <c r="AB563" s="12"/>
    </row>
    <row r="564" spans="1:28" x14ac:dyDescent="0.3">
      <c r="A564" s="12" t="s">
        <v>2460</v>
      </c>
      <c r="B564" s="12" t="s">
        <v>112</v>
      </c>
      <c r="C564" s="12" t="s">
        <v>389</v>
      </c>
      <c r="D564" s="12" t="s">
        <v>2455</v>
      </c>
      <c r="E564" s="12" t="s">
        <v>1886</v>
      </c>
      <c r="F564" s="12" t="s">
        <v>1861</v>
      </c>
      <c r="G564" s="12" t="s">
        <v>1861</v>
      </c>
      <c r="H564" s="12" t="b">
        <v>1</v>
      </c>
      <c r="I564" s="12" t="b">
        <v>0</v>
      </c>
      <c r="J564" s="12" t="b">
        <v>0</v>
      </c>
      <c r="K564" s="12" t="b">
        <v>0</v>
      </c>
      <c r="L564" s="12">
        <v>420</v>
      </c>
      <c r="M564" s="12">
        <v>300.032917</v>
      </c>
      <c r="N564" s="12">
        <v>3000</v>
      </c>
      <c r="O564" s="12">
        <v>400</v>
      </c>
      <c r="P564" s="12">
        <v>0.5</v>
      </c>
      <c r="Q564" s="12">
        <v>0.85</v>
      </c>
      <c r="R564" s="12">
        <v>0.75</v>
      </c>
      <c r="S564" s="12">
        <v>0.85</v>
      </c>
      <c r="T564" s="12">
        <v>0.75</v>
      </c>
      <c r="U564" s="12">
        <v>0.95</v>
      </c>
      <c r="V564" s="12"/>
      <c r="W564" s="12">
        <v>11.88681952682181</v>
      </c>
      <c r="X564" s="12">
        <v>63.885733971765831</v>
      </c>
      <c r="Y564" s="12">
        <v>2600</v>
      </c>
      <c r="Z564" s="12">
        <v>7.5</v>
      </c>
      <c r="AA564" s="12" t="s">
        <v>1268</v>
      </c>
      <c r="AB564" s="12"/>
    </row>
    <row r="565" spans="1:28" x14ac:dyDescent="0.3">
      <c r="A565" s="12" t="s">
        <v>2461</v>
      </c>
      <c r="B565" s="12" t="s">
        <v>112</v>
      </c>
      <c r="C565" s="12" t="s">
        <v>389</v>
      </c>
      <c r="D565" s="12" t="s">
        <v>2455</v>
      </c>
      <c r="E565" s="12" t="s">
        <v>1886</v>
      </c>
      <c r="F565" s="12" t="s">
        <v>1861</v>
      </c>
      <c r="G565" s="12" t="s">
        <v>1861</v>
      </c>
      <c r="H565" s="12" t="b">
        <v>1</v>
      </c>
      <c r="I565" s="12" t="b">
        <v>0</v>
      </c>
      <c r="J565" s="12" t="b">
        <v>0</v>
      </c>
      <c r="K565" s="12" t="b">
        <v>0</v>
      </c>
      <c r="L565" s="12">
        <v>420</v>
      </c>
      <c r="M565" s="12">
        <v>300.032917</v>
      </c>
      <c r="N565" s="12">
        <v>3000</v>
      </c>
      <c r="O565" s="12">
        <v>400</v>
      </c>
      <c r="P565" s="12">
        <v>0.5</v>
      </c>
      <c r="Q565" s="12">
        <v>0.85</v>
      </c>
      <c r="R565" s="12">
        <v>0.75</v>
      </c>
      <c r="S565" s="12">
        <v>0.85</v>
      </c>
      <c r="T565" s="12">
        <v>0.75</v>
      </c>
      <c r="U565" s="12">
        <v>0.85</v>
      </c>
      <c r="V565" s="12"/>
      <c r="W565" s="12">
        <v>12.241176919134571</v>
      </c>
      <c r="X565" s="12">
        <v>63.10505886495541</v>
      </c>
      <c r="Y565" s="12">
        <v>2600</v>
      </c>
      <c r="Z565" s="12">
        <v>7.5</v>
      </c>
      <c r="AA565" s="12" t="s">
        <v>1268</v>
      </c>
      <c r="AB565" s="12"/>
    </row>
    <row r="566" spans="1:28" x14ac:dyDescent="0.3">
      <c r="A566" s="12" t="s">
        <v>2462</v>
      </c>
      <c r="B566" s="12" t="s">
        <v>112</v>
      </c>
      <c r="C566" s="12" t="s">
        <v>389</v>
      </c>
      <c r="D566" s="12" t="s">
        <v>2455</v>
      </c>
      <c r="E566" s="12" t="s">
        <v>1886</v>
      </c>
      <c r="F566" s="12" t="s">
        <v>1861</v>
      </c>
      <c r="G566" s="12" t="s">
        <v>1861</v>
      </c>
      <c r="H566" s="12" t="b">
        <v>1</v>
      </c>
      <c r="I566" s="12" t="b">
        <v>0</v>
      </c>
      <c r="J566" s="12" t="b">
        <v>1</v>
      </c>
      <c r="K566" s="12" t="b">
        <v>0</v>
      </c>
      <c r="L566" s="12">
        <v>434</v>
      </c>
      <c r="M566" s="12">
        <v>300.032917</v>
      </c>
      <c r="N566" s="12">
        <v>3000</v>
      </c>
      <c r="O566" s="12">
        <v>400</v>
      </c>
      <c r="P566" s="12">
        <v>0.5</v>
      </c>
      <c r="Q566" s="12">
        <v>0.85</v>
      </c>
      <c r="R566" s="12">
        <v>0.75</v>
      </c>
      <c r="S566" s="12">
        <v>0.85</v>
      </c>
      <c r="T566" s="12">
        <v>0.75</v>
      </c>
      <c r="U566" s="12">
        <v>0.85</v>
      </c>
      <c r="V566" s="12"/>
      <c r="W566" s="12">
        <v>13.04932485530815</v>
      </c>
      <c r="X566" s="12">
        <v>91.880209640803955</v>
      </c>
      <c r="Y566" s="12">
        <v>2600</v>
      </c>
      <c r="Z566" s="12">
        <v>7.5</v>
      </c>
      <c r="AA566" s="12" t="s">
        <v>1268</v>
      </c>
      <c r="AB566" s="12"/>
    </row>
    <row r="567" spans="1:28" x14ac:dyDescent="0.3">
      <c r="A567" s="12" t="s">
        <v>2463</v>
      </c>
      <c r="B567" s="12" t="s">
        <v>112</v>
      </c>
      <c r="C567" s="12" t="s">
        <v>389</v>
      </c>
      <c r="D567" s="12" t="s">
        <v>2455</v>
      </c>
      <c r="E567" s="12" t="s">
        <v>1886</v>
      </c>
      <c r="F567" s="12" t="s">
        <v>1861</v>
      </c>
      <c r="G567" s="12" t="s">
        <v>1861</v>
      </c>
      <c r="H567" s="12" t="b">
        <v>1</v>
      </c>
      <c r="I567" s="12" t="b">
        <v>0</v>
      </c>
      <c r="J567" s="12" t="b">
        <v>1</v>
      </c>
      <c r="K567" s="12" t="b">
        <v>0</v>
      </c>
      <c r="L567" s="12">
        <v>434</v>
      </c>
      <c r="M567" s="12">
        <v>300.032917</v>
      </c>
      <c r="N567" s="12">
        <v>3000</v>
      </c>
      <c r="O567" s="12">
        <v>400</v>
      </c>
      <c r="P567" s="12">
        <v>0.5</v>
      </c>
      <c r="Q567" s="12">
        <v>0.85</v>
      </c>
      <c r="R567" s="12">
        <v>0.75</v>
      </c>
      <c r="S567" s="12">
        <v>0.85</v>
      </c>
      <c r="T567" s="12">
        <v>0.75</v>
      </c>
      <c r="U567" s="12">
        <v>0.9</v>
      </c>
      <c r="V567" s="12"/>
      <c r="W567" s="12">
        <v>12.930345353674721</v>
      </c>
      <c r="X567" s="12">
        <v>93.40022495842264</v>
      </c>
      <c r="Y567" s="12">
        <v>2600</v>
      </c>
      <c r="Z567" s="12">
        <v>7.5</v>
      </c>
      <c r="AA567" s="12" t="s">
        <v>1268</v>
      </c>
      <c r="AB567" s="12"/>
    </row>
    <row r="568" spans="1:28" x14ac:dyDescent="0.3">
      <c r="A568" s="12" t="s">
        <v>2464</v>
      </c>
      <c r="B568" s="12" t="s">
        <v>112</v>
      </c>
      <c r="C568" s="12" t="s">
        <v>389</v>
      </c>
      <c r="D568" s="12" t="s">
        <v>2455</v>
      </c>
      <c r="E568" s="12" t="s">
        <v>1886</v>
      </c>
      <c r="F568" s="12" t="s">
        <v>1861</v>
      </c>
      <c r="G568" s="12" t="s">
        <v>1861</v>
      </c>
      <c r="H568" s="12" t="b">
        <v>1</v>
      </c>
      <c r="I568" s="12" t="b">
        <v>0</v>
      </c>
      <c r="J568" s="12" t="b">
        <v>1</v>
      </c>
      <c r="K568" s="12" t="b">
        <v>0</v>
      </c>
      <c r="L568" s="12">
        <v>434</v>
      </c>
      <c r="M568" s="12">
        <v>300.032917</v>
      </c>
      <c r="N568" s="12">
        <v>3000</v>
      </c>
      <c r="O568" s="12">
        <v>400</v>
      </c>
      <c r="P568" s="12">
        <v>0.5</v>
      </c>
      <c r="Q568" s="12">
        <v>0.85</v>
      </c>
      <c r="R568" s="12">
        <v>0.75</v>
      </c>
      <c r="S568" s="12">
        <v>0.85</v>
      </c>
      <c r="T568" s="12">
        <v>0.75</v>
      </c>
      <c r="U568" s="12">
        <v>0.95</v>
      </c>
      <c r="V568" s="12"/>
      <c r="W568" s="12">
        <v>12.697801342935531</v>
      </c>
      <c r="X568" s="12">
        <v>93.835783151181687</v>
      </c>
      <c r="Y568" s="12">
        <v>2600</v>
      </c>
      <c r="Z568" s="12">
        <v>7.5</v>
      </c>
      <c r="AA568" s="12" t="s">
        <v>1268</v>
      </c>
      <c r="AB568" s="12"/>
    </row>
    <row r="569" spans="1:28" x14ac:dyDescent="0.3">
      <c r="A569" s="12" t="s">
        <v>2465</v>
      </c>
      <c r="B569" s="12" t="s">
        <v>112</v>
      </c>
      <c r="C569" s="12" t="s">
        <v>389</v>
      </c>
      <c r="D569" s="12" t="s">
        <v>2455</v>
      </c>
      <c r="E569" s="12" t="s">
        <v>1886</v>
      </c>
      <c r="F569" s="12" t="s">
        <v>1861</v>
      </c>
      <c r="G569" s="12" t="s">
        <v>1861</v>
      </c>
      <c r="H569" s="12" t="b">
        <v>1</v>
      </c>
      <c r="I569" s="12" t="b">
        <v>0</v>
      </c>
      <c r="J569" s="12" t="b">
        <v>1</v>
      </c>
      <c r="K569" s="12" t="b">
        <v>0</v>
      </c>
      <c r="L569" s="12">
        <v>466</v>
      </c>
      <c r="M569" s="12">
        <v>300.032917</v>
      </c>
      <c r="N569" s="12">
        <v>3000</v>
      </c>
      <c r="O569" s="12">
        <v>400</v>
      </c>
      <c r="P569" s="12">
        <v>0.5</v>
      </c>
      <c r="Q569" s="12">
        <v>0.85</v>
      </c>
      <c r="R569" s="12">
        <v>0.75</v>
      </c>
      <c r="S569" s="12">
        <v>0.85</v>
      </c>
      <c r="T569" s="12">
        <v>0.75</v>
      </c>
      <c r="U569" s="12">
        <v>0.9</v>
      </c>
      <c r="V569" s="12"/>
      <c r="W569" s="12">
        <v>13.518774333333781</v>
      </c>
      <c r="X569" s="12">
        <v>202.679190762492</v>
      </c>
      <c r="Y569" s="12">
        <v>2600</v>
      </c>
      <c r="Z569" s="12">
        <v>7.5</v>
      </c>
      <c r="AA569" s="12" t="s">
        <v>1268</v>
      </c>
      <c r="AB569" s="12"/>
    </row>
    <row r="570" spans="1:28" x14ac:dyDescent="0.3">
      <c r="A570" s="12" t="s">
        <v>2466</v>
      </c>
      <c r="B570" s="12" t="s">
        <v>112</v>
      </c>
      <c r="C570" s="12" t="s">
        <v>389</v>
      </c>
      <c r="D570" s="12" t="s">
        <v>2455</v>
      </c>
      <c r="E570" s="12" t="s">
        <v>1886</v>
      </c>
      <c r="F570" s="12" t="s">
        <v>1861</v>
      </c>
      <c r="G570" s="12" t="s">
        <v>1861</v>
      </c>
      <c r="H570" s="12" t="b">
        <v>1</v>
      </c>
      <c r="I570" s="12" t="b">
        <v>0</v>
      </c>
      <c r="J570" s="12" t="b">
        <v>1</v>
      </c>
      <c r="K570" s="12" t="b">
        <v>0</v>
      </c>
      <c r="L570" s="12">
        <v>466</v>
      </c>
      <c r="M570" s="12">
        <v>300.032917</v>
      </c>
      <c r="N570" s="12">
        <v>3000</v>
      </c>
      <c r="O570" s="12">
        <v>400</v>
      </c>
      <c r="P570" s="12">
        <v>0.5</v>
      </c>
      <c r="Q570" s="12">
        <v>0.85</v>
      </c>
      <c r="R570" s="12">
        <v>0.75</v>
      </c>
      <c r="S570" s="12">
        <v>0.85</v>
      </c>
      <c r="T570" s="12">
        <v>0.75</v>
      </c>
      <c r="U570" s="12">
        <v>0.85</v>
      </c>
      <c r="V570" s="12"/>
      <c r="W570" s="12">
        <v>13.51784773689981</v>
      </c>
      <c r="X570" s="12">
        <v>194.97925838976599</v>
      </c>
      <c r="Y570" s="12">
        <v>2600</v>
      </c>
      <c r="Z570" s="12">
        <v>7.5</v>
      </c>
      <c r="AA570" s="12" t="s">
        <v>1268</v>
      </c>
      <c r="AB570" s="12"/>
    </row>
    <row r="571" spans="1:28" x14ac:dyDescent="0.3">
      <c r="A571" s="12" t="s">
        <v>2467</v>
      </c>
      <c r="B571" s="12" t="s">
        <v>112</v>
      </c>
      <c r="C571" s="12" t="s">
        <v>389</v>
      </c>
      <c r="D571" s="12" t="s">
        <v>2455</v>
      </c>
      <c r="E571" s="12" t="s">
        <v>1886</v>
      </c>
      <c r="F571" s="12" t="s">
        <v>1861</v>
      </c>
      <c r="G571" s="12" t="s">
        <v>1861</v>
      </c>
      <c r="H571" s="12" t="b">
        <v>1</v>
      </c>
      <c r="I571" s="12" t="b">
        <v>0</v>
      </c>
      <c r="J571" s="12" t="b">
        <v>1</v>
      </c>
      <c r="K571" s="12" t="b">
        <v>0</v>
      </c>
      <c r="L571" s="12">
        <v>466</v>
      </c>
      <c r="M571" s="12">
        <v>300.032917</v>
      </c>
      <c r="N571" s="12">
        <v>3000</v>
      </c>
      <c r="O571" s="12">
        <v>400</v>
      </c>
      <c r="P571" s="12">
        <v>0.5</v>
      </c>
      <c r="Q571" s="12">
        <v>0.85</v>
      </c>
      <c r="R571" s="12">
        <v>0.75</v>
      </c>
      <c r="S571" s="12">
        <v>0.85</v>
      </c>
      <c r="T571" s="12">
        <v>0.75</v>
      </c>
      <c r="U571" s="12">
        <v>0.95</v>
      </c>
      <c r="V571" s="12"/>
      <c r="W571" s="12">
        <v>13.290330868068761</v>
      </c>
      <c r="X571" s="12">
        <v>206.10814932687239</v>
      </c>
      <c r="Y571" s="12">
        <v>2600</v>
      </c>
      <c r="Z571" s="12">
        <v>7.5</v>
      </c>
      <c r="AA571" s="12" t="s">
        <v>1268</v>
      </c>
      <c r="AB571" s="12"/>
    </row>
    <row r="572" spans="1:28" x14ac:dyDescent="0.3">
      <c r="A572" s="12" t="s">
        <v>2468</v>
      </c>
      <c r="B572" s="12" t="s">
        <v>112</v>
      </c>
      <c r="C572" s="12" t="s">
        <v>389</v>
      </c>
      <c r="D572" s="12" t="s">
        <v>2455</v>
      </c>
      <c r="E572" s="12" t="s">
        <v>1886</v>
      </c>
      <c r="F572" s="12" t="s">
        <v>832</v>
      </c>
      <c r="G572" s="12" t="s">
        <v>832</v>
      </c>
      <c r="H572" s="12" t="b">
        <v>0</v>
      </c>
      <c r="I572" s="12" t="b">
        <v>0</v>
      </c>
      <c r="J572" s="12" t="b">
        <v>0</v>
      </c>
      <c r="K572" s="12" t="b">
        <v>0</v>
      </c>
      <c r="L572" s="12">
        <v>497</v>
      </c>
      <c r="M572" s="12">
        <v>300.032917</v>
      </c>
      <c r="N572" s="12">
        <v>3000</v>
      </c>
      <c r="O572" s="12">
        <v>400</v>
      </c>
      <c r="P572" s="12">
        <v>0.5</v>
      </c>
      <c r="Q572" s="12">
        <v>0.85</v>
      </c>
      <c r="R572" s="12">
        <v>0.75</v>
      </c>
      <c r="S572" s="12">
        <v>0.85</v>
      </c>
      <c r="T572" s="12">
        <v>0.75</v>
      </c>
      <c r="U572" s="12">
        <v>0.9</v>
      </c>
      <c r="V572" s="12"/>
      <c r="W572" s="12"/>
      <c r="X572" s="12"/>
      <c r="Y572" s="12">
        <v>2600</v>
      </c>
      <c r="Z572" s="12">
        <v>7.5</v>
      </c>
      <c r="AA572" s="12"/>
      <c r="AB572" s="12"/>
    </row>
    <row r="573" spans="1:28" x14ac:dyDescent="0.3">
      <c r="A573" s="12" t="s">
        <v>2469</v>
      </c>
      <c r="B573" s="12" t="s">
        <v>112</v>
      </c>
      <c r="C573" s="12" t="s">
        <v>389</v>
      </c>
      <c r="D573" s="12" t="s">
        <v>2455</v>
      </c>
      <c r="E573" s="12" t="s">
        <v>1886</v>
      </c>
      <c r="F573" s="12" t="s">
        <v>1861</v>
      </c>
      <c r="G573" s="12" t="s">
        <v>1861</v>
      </c>
      <c r="H573" s="12" t="b">
        <v>1</v>
      </c>
      <c r="I573" s="12" t="b">
        <v>0</v>
      </c>
      <c r="J573" s="12" t="b">
        <v>1</v>
      </c>
      <c r="K573" s="12" t="b">
        <v>0</v>
      </c>
      <c r="L573" s="12">
        <v>497</v>
      </c>
      <c r="M573" s="12">
        <v>300.032917</v>
      </c>
      <c r="N573" s="12">
        <v>3000</v>
      </c>
      <c r="O573" s="12">
        <v>400</v>
      </c>
      <c r="P573" s="12">
        <v>0.5</v>
      </c>
      <c r="Q573" s="12">
        <v>0.85</v>
      </c>
      <c r="R573" s="12">
        <v>0.75</v>
      </c>
      <c r="S573" s="12">
        <v>0.85</v>
      </c>
      <c r="T573" s="12">
        <v>0.75</v>
      </c>
      <c r="U573" s="12">
        <v>0.85</v>
      </c>
      <c r="V573" s="12"/>
      <c r="W573" s="12">
        <v>13.47906423717677</v>
      </c>
      <c r="X573" s="12">
        <v>236.57562938750399</v>
      </c>
      <c r="Y573" s="12">
        <v>2600</v>
      </c>
      <c r="Z573" s="12">
        <v>7.5</v>
      </c>
      <c r="AA573" s="12" t="s">
        <v>1268</v>
      </c>
      <c r="AB573" s="12"/>
    </row>
    <row r="574" spans="1:28" x14ac:dyDescent="0.3">
      <c r="A574" s="12" t="s">
        <v>2470</v>
      </c>
      <c r="B574" s="12" t="s">
        <v>112</v>
      </c>
      <c r="C574" s="12" t="s">
        <v>389</v>
      </c>
      <c r="D574" s="12" t="s">
        <v>2455</v>
      </c>
      <c r="E574" s="12" t="s">
        <v>1886</v>
      </c>
      <c r="F574" s="12" t="s">
        <v>1861</v>
      </c>
      <c r="G574" s="12" t="s">
        <v>1861</v>
      </c>
      <c r="H574" s="12" t="b">
        <v>1</v>
      </c>
      <c r="I574" s="12" t="b">
        <v>0</v>
      </c>
      <c r="J574" s="12" t="b">
        <v>1</v>
      </c>
      <c r="K574" s="12" t="b">
        <v>0</v>
      </c>
      <c r="L574" s="12">
        <v>497</v>
      </c>
      <c r="M574" s="12">
        <v>300.032917</v>
      </c>
      <c r="N574" s="12">
        <v>3000</v>
      </c>
      <c r="O574" s="12">
        <v>400</v>
      </c>
      <c r="P574" s="12">
        <v>0.5</v>
      </c>
      <c r="Q574" s="12">
        <v>0.85</v>
      </c>
      <c r="R574" s="12">
        <v>0.75</v>
      </c>
      <c r="S574" s="12">
        <v>0.85</v>
      </c>
      <c r="T574" s="12">
        <v>0.75</v>
      </c>
      <c r="U574" s="12">
        <v>0.95</v>
      </c>
      <c r="V574" s="12"/>
      <c r="W574" s="12">
        <v>13.303620271593671</v>
      </c>
      <c r="X574" s="12">
        <v>253.70022773028009</v>
      </c>
      <c r="Y574" s="12">
        <v>2600</v>
      </c>
      <c r="Z574" s="12">
        <v>7.5</v>
      </c>
      <c r="AA574" s="12" t="s">
        <v>1268</v>
      </c>
      <c r="AB574" s="12"/>
    </row>
    <row r="575" spans="1:28" x14ac:dyDescent="0.3">
      <c r="A575" s="12" t="s">
        <v>2471</v>
      </c>
      <c r="B575" s="12" t="s">
        <v>112</v>
      </c>
      <c r="C575" s="12" t="s">
        <v>389</v>
      </c>
      <c r="D575" s="12" t="s">
        <v>2455</v>
      </c>
      <c r="E575" s="12" t="s">
        <v>1886</v>
      </c>
      <c r="F575" s="12" t="s">
        <v>1861</v>
      </c>
      <c r="G575" s="12" t="s">
        <v>1861</v>
      </c>
      <c r="H575" s="12" t="b">
        <v>1</v>
      </c>
      <c r="I575" s="12" t="b">
        <v>0</v>
      </c>
      <c r="J575" s="12" t="b">
        <v>1</v>
      </c>
      <c r="K575" s="12" t="b">
        <v>0</v>
      </c>
      <c r="L575" s="12">
        <v>529</v>
      </c>
      <c r="M575" s="12">
        <v>300.032917</v>
      </c>
      <c r="N575" s="12">
        <v>3000</v>
      </c>
      <c r="O575" s="12">
        <v>400</v>
      </c>
      <c r="P575" s="12">
        <v>0.5</v>
      </c>
      <c r="Q575" s="12">
        <v>0.85</v>
      </c>
      <c r="R575" s="12">
        <v>0.75</v>
      </c>
      <c r="S575" s="12">
        <v>0.85</v>
      </c>
      <c r="T575" s="12">
        <v>0.75</v>
      </c>
      <c r="U575" s="12">
        <v>0.85</v>
      </c>
      <c r="V575" s="12"/>
      <c r="W575" s="12">
        <v>13.468523020217379</v>
      </c>
      <c r="X575" s="12">
        <v>246.61390309703</v>
      </c>
      <c r="Y575" s="12">
        <v>2600</v>
      </c>
      <c r="Z575" s="12">
        <v>7.5</v>
      </c>
      <c r="AA575" s="12" t="s">
        <v>1981</v>
      </c>
      <c r="AB575" s="12"/>
    </row>
    <row r="576" spans="1:28" x14ac:dyDescent="0.3">
      <c r="A576" s="12" t="s">
        <v>2472</v>
      </c>
      <c r="B576" s="12" t="s">
        <v>112</v>
      </c>
      <c r="C576" s="12" t="s">
        <v>389</v>
      </c>
      <c r="D576" s="12" t="s">
        <v>2455</v>
      </c>
      <c r="E576" s="12" t="s">
        <v>1886</v>
      </c>
      <c r="F576" s="12" t="s">
        <v>1861</v>
      </c>
      <c r="G576" s="12" t="s">
        <v>1861</v>
      </c>
      <c r="H576" s="12" t="b">
        <v>1</v>
      </c>
      <c r="I576" s="12" t="b">
        <v>0</v>
      </c>
      <c r="J576" s="12" t="b">
        <v>1</v>
      </c>
      <c r="K576" s="12" t="b">
        <v>0</v>
      </c>
      <c r="L576" s="12">
        <v>529</v>
      </c>
      <c r="M576" s="12">
        <v>300.032917</v>
      </c>
      <c r="N576" s="12">
        <v>3000</v>
      </c>
      <c r="O576" s="12">
        <v>400</v>
      </c>
      <c r="P576" s="12">
        <v>0.5</v>
      </c>
      <c r="Q576" s="12">
        <v>0.85</v>
      </c>
      <c r="R576" s="12">
        <v>0.75</v>
      </c>
      <c r="S576" s="12">
        <v>0.85</v>
      </c>
      <c r="T576" s="12">
        <v>0.75</v>
      </c>
      <c r="U576" s="12">
        <v>0.95</v>
      </c>
      <c r="V576" s="12"/>
      <c r="W576" s="12">
        <v>13.3041489632741</v>
      </c>
      <c r="X576" s="12">
        <v>265.37229252788762</v>
      </c>
      <c r="Y576" s="12">
        <v>2600</v>
      </c>
      <c r="Z576" s="12">
        <v>7.5</v>
      </c>
      <c r="AA576" s="12" t="s">
        <v>1268</v>
      </c>
      <c r="AB576" s="12"/>
    </row>
    <row r="577" spans="1:28" x14ac:dyDescent="0.3">
      <c r="A577" s="12" t="s">
        <v>2473</v>
      </c>
      <c r="B577" s="12" t="s">
        <v>112</v>
      </c>
      <c r="C577" s="12" t="s">
        <v>389</v>
      </c>
      <c r="D577" s="12" t="s">
        <v>2455</v>
      </c>
      <c r="E577" s="12" t="s">
        <v>1886</v>
      </c>
      <c r="F577" s="12" t="s">
        <v>1861</v>
      </c>
      <c r="G577" s="12" t="s">
        <v>1861</v>
      </c>
      <c r="H577" s="12" t="b">
        <v>1</v>
      </c>
      <c r="I577" s="12" t="b">
        <v>0</v>
      </c>
      <c r="J577" s="12" t="b">
        <v>1</v>
      </c>
      <c r="K577" s="12" t="b">
        <v>0</v>
      </c>
      <c r="L577" s="12">
        <v>529</v>
      </c>
      <c r="M577" s="12">
        <v>300.032917</v>
      </c>
      <c r="N577" s="12">
        <v>3000</v>
      </c>
      <c r="O577" s="12">
        <v>400</v>
      </c>
      <c r="P577" s="12">
        <v>0.5</v>
      </c>
      <c r="Q577" s="12">
        <v>0.85</v>
      </c>
      <c r="R577" s="12">
        <v>0.75</v>
      </c>
      <c r="S577" s="12">
        <v>0.85</v>
      </c>
      <c r="T577" s="12">
        <v>0.75</v>
      </c>
      <c r="U577" s="12">
        <v>0.9</v>
      </c>
      <c r="V577" s="12"/>
      <c r="W577" s="12">
        <v>13.52714485431687</v>
      </c>
      <c r="X577" s="12">
        <v>259.29261393236141</v>
      </c>
      <c r="Y577" s="12">
        <v>2600</v>
      </c>
      <c r="Z577" s="12">
        <v>7.5</v>
      </c>
      <c r="AA577" s="12" t="s">
        <v>1981</v>
      </c>
      <c r="AB577" s="12"/>
    </row>
    <row r="578" spans="1:28" x14ac:dyDescent="0.3">
      <c r="A578" s="12" t="s">
        <v>2474</v>
      </c>
      <c r="B578" s="12" t="s">
        <v>112</v>
      </c>
      <c r="C578" s="12" t="s">
        <v>389</v>
      </c>
      <c r="D578" s="12" t="s">
        <v>2455</v>
      </c>
      <c r="E578" s="12" t="s">
        <v>1886</v>
      </c>
      <c r="F578" s="12" t="s">
        <v>1861</v>
      </c>
      <c r="G578" s="12" t="s">
        <v>1861</v>
      </c>
      <c r="H578" s="12" t="b">
        <v>1</v>
      </c>
      <c r="I578" s="12" t="b">
        <v>0</v>
      </c>
      <c r="J578" s="12" t="b">
        <v>1</v>
      </c>
      <c r="K578" s="12" t="b">
        <v>0</v>
      </c>
      <c r="L578" s="12">
        <v>560</v>
      </c>
      <c r="M578" s="12">
        <v>300.032917</v>
      </c>
      <c r="N578" s="12">
        <v>3000</v>
      </c>
      <c r="O578" s="12">
        <v>400</v>
      </c>
      <c r="P578" s="12">
        <v>0.5</v>
      </c>
      <c r="Q578" s="12">
        <v>0.85</v>
      </c>
      <c r="R578" s="12">
        <v>0.75</v>
      </c>
      <c r="S578" s="12">
        <v>0.85</v>
      </c>
      <c r="T578" s="12">
        <v>0.75</v>
      </c>
      <c r="U578" s="12">
        <v>0.85</v>
      </c>
      <c r="V578" s="12"/>
      <c r="W578" s="12">
        <v>13.45907014942185</v>
      </c>
      <c r="X578" s="12">
        <v>255.88671547825959</v>
      </c>
      <c r="Y578" s="12">
        <v>2600</v>
      </c>
      <c r="Z578" s="12">
        <v>7.5</v>
      </c>
      <c r="AA578" s="12" t="s">
        <v>1981</v>
      </c>
      <c r="AB578" s="12"/>
    </row>
    <row r="579" spans="1:28" x14ac:dyDescent="0.3">
      <c r="A579" s="12" t="s">
        <v>2475</v>
      </c>
      <c r="B579" s="12" t="s">
        <v>112</v>
      </c>
      <c r="C579" s="12" t="s">
        <v>389</v>
      </c>
      <c r="D579" s="12" t="s">
        <v>2455</v>
      </c>
      <c r="E579" s="12" t="s">
        <v>1886</v>
      </c>
      <c r="F579" s="12" t="s">
        <v>1861</v>
      </c>
      <c r="G579" s="12" t="s">
        <v>1861</v>
      </c>
      <c r="H579" s="12" t="b">
        <v>1</v>
      </c>
      <c r="I579" s="12" t="b">
        <v>0</v>
      </c>
      <c r="J579" s="12" t="b">
        <v>1</v>
      </c>
      <c r="K579" s="12" t="b">
        <v>0</v>
      </c>
      <c r="L579" s="12">
        <v>560</v>
      </c>
      <c r="M579" s="12">
        <v>300.032917</v>
      </c>
      <c r="N579" s="12">
        <v>3000</v>
      </c>
      <c r="O579" s="12">
        <v>400</v>
      </c>
      <c r="P579" s="12">
        <v>0.5</v>
      </c>
      <c r="Q579" s="12">
        <v>0.85</v>
      </c>
      <c r="R579" s="12">
        <v>0.75</v>
      </c>
      <c r="S579" s="12">
        <v>0.85</v>
      </c>
      <c r="T579" s="12">
        <v>0.75</v>
      </c>
      <c r="U579" s="12">
        <v>0.95</v>
      </c>
      <c r="V579" s="12"/>
      <c r="W579" s="12">
        <v>13.3043092116722</v>
      </c>
      <c r="X579" s="12">
        <v>276.21595404487908</v>
      </c>
      <c r="Y579" s="12">
        <v>2600</v>
      </c>
      <c r="Z579" s="12">
        <v>7.5</v>
      </c>
      <c r="AA579" s="12" t="s">
        <v>1981</v>
      </c>
      <c r="AB579" s="12"/>
    </row>
    <row r="580" spans="1:28" x14ac:dyDescent="0.3">
      <c r="A580" s="12" t="s">
        <v>2476</v>
      </c>
      <c r="B580" s="12" t="s">
        <v>112</v>
      </c>
      <c r="C580" s="12" t="s">
        <v>389</v>
      </c>
      <c r="D580" s="12" t="s">
        <v>2455</v>
      </c>
      <c r="E580" s="12" t="s">
        <v>1886</v>
      </c>
      <c r="F580" s="12" t="s">
        <v>1861</v>
      </c>
      <c r="G580" s="12" t="s">
        <v>1861</v>
      </c>
      <c r="H580" s="12" t="b">
        <v>1</v>
      </c>
      <c r="I580" s="12" t="b">
        <v>0</v>
      </c>
      <c r="J580" s="12" t="b">
        <v>1</v>
      </c>
      <c r="K580" s="12" t="b">
        <v>0</v>
      </c>
      <c r="L580" s="12">
        <v>560</v>
      </c>
      <c r="M580" s="12">
        <v>300.032917</v>
      </c>
      <c r="N580" s="12">
        <v>3000</v>
      </c>
      <c r="O580" s="12">
        <v>400</v>
      </c>
      <c r="P580" s="12">
        <v>0.5</v>
      </c>
      <c r="Q580" s="12">
        <v>0.85</v>
      </c>
      <c r="R580" s="12">
        <v>0.75</v>
      </c>
      <c r="S580" s="12">
        <v>0.85</v>
      </c>
      <c r="T580" s="12">
        <v>0.75</v>
      </c>
      <c r="U580" s="12">
        <v>0.9</v>
      </c>
      <c r="V580" s="12"/>
      <c r="W580" s="12">
        <v>13.526809733041249</v>
      </c>
      <c r="X580" s="12">
        <v>269.57859382885982</v>
      </c>
      <c r="Y580" s="12">
        <v>2600</v>
      </c>
      <c r="Z580" s="12">
        <v>7.5</v>
      </c>
      <c r="AA580" s="12" t="s">
        <v>1981</v>
      </c>
      <c r="AB580" s="12"/>
    </row>
    <row r="581" spans="1:28" x14ac:dyDescent="0.3">
      <c r="A581" s="12" t="s">
        <v>2477</v>
      </c>
      <c r="B581" s="12" t="s">
        <v>120</v>
      </c>
      <c r="C581" s="12" t="s">
        <v>392</v>
      </c>
      <c r="D581" s="12" t="s">
        <v>2478</v>
      </c>
      <c r="E581" s="12" t="s">
        <v>1886</v>
      </c>
      <c r="F581" s="12" t="s">
        <v>1861</v>
      </c>
      <c r="G581" s="12" t="s">
        <v>1861</v>
      </c>
      <c r="H581" s="12" t="b">
        <v>1</v>
      </c>
      <c r="I581" s="12" t="b">
        <v>0</v>
      </c>
      <c r="J581" s="12" t="b">
        <v>0</v>
      </c>
      <c r="K581" s="12" t="b">
        <v>0</v>
      </c>
      <c r="L581" s="12">
        <v>403</v>
      </c>
      <c r="M581" s="12">
        <v>278.14999999999998</v>
      </c>
      <c r="N581" s="12">
        <v>3000</v>
      </c>
      <c r="O581" s="12">
        <v>150</v>
      </c>
      <c r="P581" s="12">
        <v>0.5</v>
      </c>
      <c r="Q581" s="12">
        <v>0.85</v>
      </c>
      <c r="R581" s="12">
        <v>0.75</v>
      </c>
      <c r="S581" s="12">
        <v>0.85</v>
      </c>
      <c r="T581" s="12">
        <v>0.75</v>
      </c>
      <c r="U581" s="12">
        <v>0.8</v>
      </c>
      <c r="V581" s="12">
        <v>278.14999999999998</v>
      </c>
      <c r="W581" s="12">
        <v>12.32626504822476</v>
      </c>
      <c r="X581" s="12">
        <v>41.199300665896061</v>
      </c>
      <c r="Y581" s="12">
        <v>2850</v>
      </c>
      <c r="Z581" s="12">
        <v>20</v>
      </c>
      <c r="AA581" s="12" t="s">
        <v>1268</v>
      </c>
      <c r="AB581" s="12"/>
    </row>
    <row r="582" spans="1:28" x14ac:dyDescent="0.3">
      <c r="A582" s="12" t="s">
        <v>2479</v>
      </c>
      <c r="B582" s="12" t="s">
        <v>120</v>
      </c>
      <c r="C582" s="12" t="s">
        <v>392</v>
      </c>
      <c r="D582" s="12" t="s">
        <v>2478</v>
      </c>
      <c r="E582" s="12" t="s">
        <v>1886</v>
      </c>
      <c r="F582" s="12" t="s">
        <v>32</v>
      </c>
      <c r="G582" s="12" t="s">
        <v>32</v>
      </c>
      <c r="H582" s="12" t="b">
        <v>1</v>
      </c>
      <c r="I582" s="12" t="b">
        <v>1</v>
      </c>
      <c r="J582" s="12" t="b">
        <v>0</v>
      </c>
      <c r="K582" s="12" t="b">
        <v>0</v>
      </c>
      <c r="L582" s="12">
        <v>403</v>
      </c>
      <c r="M582" s="12">
        <v>278.14999999999998</v>
      </c>
      <c r="N582" s="12">
        <v>3000</v>
      </c>
      <c r="O582" s="12">
        <v>300</v>
      </c>
      <c r="P582" s="12">
        <v>0.5</v>
      </c>
      <c r="Q582" s="12">
        <v>0.85</v>
      </c>
      <c r="R582" s="12">
        <v>0.75</v>
      </c>
      <c r="S582" s="12">
        <v>0.85</v>
      </c>
      <c r="T582" s="12">
        <v>0.75</v>
      </c>
      <c r="U582" s="12">
        <v>0.8</v>
      </c>
      <c r="V582" s="12">
        <v>278.14999999999998</v>
      </c>
      <c r="W582" s="12">
        <v>10.277934120929009</v>
      </c>
      <c r="X582" s="12">
        <v>34.452909978694883</v>
      </c>
      <c r="Y582" s="12">
        <v>2700</v>
      </c>
      <c r="Z582" s="12">
        <v>10</v>
      </c>
      <c r="AA582" s="12"/>
      <c r="AB582" s="12"/>
    </row>
    <row r="583" spans="1:28" x14ac:dyDescent="0.3">
      <c r="A583" s="12" t="s">
        <v>2480</v>
      </c>
      <c r="B583" s="12" t="s">
        <v>120</v>
      </c>
      <c r="C583" s="12" t="s">
        <v>392</v>
      </c>
      <c r="D583" s="12" t="s">
        <v>2478</v>
      </c>
      <c r="E583" s="12" t="s">
        <v>1886</v>
      </c>
      <c r="F583" s="12" t="s">
        <v>32</v>
      </c>
      <c r="G583" s="12" t="s">
        <v>32</v>
      </c>
      <c r="H583" s="12" t="b">
        <v>1</v>
      </c>
      <c r="I583" s="12" t="b">
        <v>1</v>
      </c>
      <c r="J583" s="12" t="b">
        <v>0</v>
      </c>
      <c r="K583" s="12" t="b">
        <v>0</v>
      </c>
      <c r="L583" s="12">
        <v>403</v>
      </c>
      <c r="M583" s="12">
        <v>278.14999999999998</v>
      </c>
      <c r="N583" s="12">
        <v>3000</v>
      </c>
      <c r="O583" s="12">
        <v>450</v>
      </c>
      <c r="P583" s="12">
        <v>0.5</v>
      </c>
      <c r="Q583" s="12">
        <v>0.85</v>
      </c>
      <c r="R583" s="12">
        <v>0.75</v>
      </c>
      <c r="S583" s="12">
        <v>0.85</v>
      </c>
      <c r="T583" s="12">
        <v>0.75</v>
      </c>
      <c r="U583" s="12">
        <v>0.8</v>
      </c>
      <c r="V583" s="12">
        <v>278.14999999999998</v>
      </c>
      <c r="W583" s="12">
        <v>8.56524501552747</v>
      </c>
      <c r="X583" s="12">
        <v>28.679216637145739</v>
      </c>
      <c r="Y583" s="12">
        <v>2550</v>
      </c>
      <c r="Z583" s="12">
        <v>6.666666666666667</v>
      </c>
      <c r="AA583" s="12"/>
      <c r="AB583" s="12"/>
    </row>
    <row r="584" spans="1:28" x14ac:dyDescent="0.3">
      <c r="A584" s="12" t="s">
        <v>2481</v>
      </c>
      <c r="B584" s="12" t="s">
        <v>120</v>
      </c>
      <c r="C584" s="12" t="s">
        <v>392</v>
      </c>
      <c r="D584" s="12" t="s">
        <v>2478</v>
      </c>
      <c r="E584" s="12" t="s">
        <v>1886</v>
      </c>
      <c r="F584" s="12" t="s">
        <v>32</v>
      </c>
      <c r="G584" s="12" t="s">
        <v>32</v>
      </c>
      <c r="H584" s="12" t="b">
        <v>1</v>
      </c>
      <c r="I584" s="12" t="b">
        <v>1</v>
      </c>
      <c r="J584" s="12" t="b">
        <v>0</v>
      </c>
      <c r="K584" s="12" t="b">
        <v>0</v>
      </c>
      <c r="L584" s="12">
        <v>403</v>
      </c>
      <c r="M584" s="12">
        <v>278.14999999999998</v>
      </c>
      <c r="N584" s="12">
        <v>3000</v>
      </c>
      <c r="O584" s="12">
        <v>750</v>
      </c>
      <c r="P584" s="12">
        <v>0.5</v>
      </c>
      <c r="Q584" s="12">
        <v>0.85</v>
      </c>
      <c r="R584" s="12">
        <v>0.75</v>
      </c>
      <c r="S584" s="12">
        <v>0.85</v>
      </c>
      <c r="T584" s="12">
        <v>0.75</v>
      </c>
      <c r="U584" s="12">
        <v>0.8</v>
      </c>
      <c r="V584" s="12">
        <v>278.14999999999998</v>
      </c>
      <c r="W584" s="12">
        <v>6.3049204872732609</v>
      </c>
      <c r="X584" s="12">
        <v>21.08082575407569</v>
      </c>
      <c r="Y584" s="12">
        <v>2250</v>
      </c>
      <c r="Z584" s="12">
        <v>4</v>
      </c>
      <c r="AA584" s="12"/>
      <c r="AB584" s="12"/>
    </row>
    <row r="585" spans="1:28" x14ac:dyDescent="0.3">
      <c r="A585" s="12" t="s">
        <v>2482</v>
      </c>
      <c r="B585" s="12" t="s">
        <v>120</v>
      </c>
      <c r="C585" s="12" t="s">
        <v>392</v>
      </c>
      <c r="D585" s="12" t="s">
        <v>2478</v>
      </c>
      <c r="E585" s="12" t="s">
        <v>1886</v>
      </c>
      <c r="F585" s="12" t="s">
        <v>32</v>
      </c>
      <c r="G585" s="12" t="s">
        <v>32</v>
      </c>
      <c r="H585" s="12" t="b">
        <v>1</v>
      </c>
      <c r="I585" s="12" t="b">
        <v>1</v>
      </c>
      <c r="J585" s="12" t="b">
        <v>0</v>
      </c>
      <c r="K585" s="12" t="b">
        <v>0</v>
      </c>
      <c r="L585" s="12">
        <v>403</v>
      </c>
      <c r="M585" s="12">
        <v>278.14999999999998</v>
      </c>
      <c r="N585" s="12">
        <v>3000</v>
      </c>
      <c r="O585" s="12">
        <v>600</v>
      </c>
      <c r="P585" s="12">
        <v>0.5</v>
      </c>
      <c r="Q585" s="12">
        <v>0.85</v>
      </c>
      <c r="R585" s="12">
        <v>0.75</v>
      </c>
      <c r="S585" s="12">
        <v>0.85</v>
      </c>
      <c r="T585" s="12">
        <v>0.75</v>
      </c>
      <c r="U585" s="12">
        <v>0.8</v>
      </c>
      <c r="V585" s="12">
        <v>278.14999999999998</v>
      </c>
      <c r="W585" s="12">
        <v>7.3046758590695298</v>
      </c>
      <c r="X585" s="12">
        <v>24.438682831983531</v>
      </c>
      <c r="Y585" s="12">
        <v>2400</v>
      </c>
      <c r="Z585" s="12">
        <v>5</v>
      </c>
      <c r="AA585" s="12"/>
      <c r="AB585" s="12"/>
    </row>
    <row r="586" spans="1:28" x14ac:dyDescent="0.3">
      <c r="A586" s="12" t="s">
        <v>2483</v>
      </c>
      <c r="B586" s="12" t="s">
        <v>120</v>
      </c>
      <c r="C586" s="12" t="s">
        <v>392</v>
      </c>
      <c r="D586" s="12" t="s">
        <v>2478</v>
      </c>
      <c r="E586" s="12" t="s">
        <v>1886</v>
      </c>
      <c r="F586" s="12" t="s">
        <v>32</v>
      </c>
      <c r="G586" s="12" t="s">
        <v>32</v>
      </c>
      <c r="H586" s="12" t="b">
        <v>1</v>
      </c>
      <c r="I586" s="12" t="b">
        <v>1</v>
      </c>
      <c r="J586" s="12" t="b">
        <v>0</v>
      </c>
      <c r="K586" s="12" t="b">
        <v>0</v>
      </c>
      <c r="L586" s="12">
        <v>403</v>
      </c>
      <c r="M586" s="12">
        <v>278.14999999999998</v>
      </c>
      <c r="N586" s="12">
        <v>3000</v>
      </c>
      <c r="O586" s="12">
        <v>900</v>
      </c>
      <c r="P586" s="12">
        <v>0.5</v>
      </c>
      <c r="Q586" s="12">
        <v>0.85</v>
      </c>
      <c r="R586" s="12">
        <v>0.75</v>
      </c>
      <c r="S586" s="12">
        <v>0.85</v>
      </c>
      <c r="T586" s="12">
        <v>0.75</v>
      </c>
      <c r="U586" s="12">
        <v>0.8</v>
      </c>
      <c r="V586" s="12">
        <v>278.14999999999998</v>
      </c>
      <c r="W586" s="12">
        <v>5.4765447016791002</v>
      </c>
      <c r="X586" s="12">
        <v>18.302031975762159</v>
      </c>
      <c r="Y586" s="12">
        <v>2100</v>
      </c>
      <c r="Z586" s="12">
        <v>3.333333333333333</v>
      </c>
      <c r="AA586" s="12"/>
      <c r="AB586" s="12"/>
    </row>
    <row r="587" spans="1:28" x14ac:dyDescent="0.3">
      <c r="A587" s="12" t="s">
        <v>2484</v>
      </c>
      <c r="B587" s="12" t="s">
        <v>120</v>
      </c>
      <c r="C587" s="12" t="s">
        <v>392</v>
      </c>
      <c r="D587" s="12" t="s">
        <v>2478</v>
      </c>
      <c r="E587" s="12" t="s">
        <v>1886</v>
      </c>
      <c r="F587" s="12" t="s">
        <v>32</v>
      </c>
      <c r="G587" s="12" t="s">
        <v>32</v>
      </c>
      <c r="H587" s="12" t="b">
        <v>1</v>
      </c>
      <c r="I587" s="12" t="b">
        <v>1</v>
      </c>
      <c r="J587" s="12" t="b">
        <v>0</v>
      </c>
      <c r="K587" s="12" t="b">
        <v>0</v>
      </c>
      <c r="L587" s="12">
        <v>403</v>
      </c>
      <c r="M587" s="12">
        <v>278.14999999999998</v>
      </c>
      <c r="N587" s="12">
        <v>3000</v>
      </c>
      <c r="O587" s="12">
        <v>1050</v>
      </c>
      <c r="P587" s="12">
        <v>0.5</v>
      </c>
      <c r="Q587" s="12">
        <v>0.85</v>
      </c>
      <c r="R587" s="12">
        <v>0.75</v>
      </c>
      <c r="S587" s="12">
        <v>0.85</v>
      </c>
      <c r="T587" s="12">
        <v>0.75</v>
      </c>
      <c r="U587" s="12">
        <v>0.8</v>
      </c>
      <c r="V587" s="12">
        <v>278.14999999999998</v>
      </c>
      <c r="W587" s="12">
        <v>4.7700422312789197</v>
      </c>
      <c r="X587" s="12">
        <v>15.934491475937151</v>
      </c>
      <c r="Y587" s="12">
        <v>1950</v>
      </c>
      <c r="Z587" s="12">
        <v>2.8571428571428572</v>
      </c>
      <c r="AA587" s="12"/>
      <c r="AB587" s="12"/>
    </row>
    <row r="588" spans="1:28" x14ac:dyDescent="0.3">
      <c r="A588" s="12" t="s">
        <v>2485</v>
      </c>
      <c r="B588" s="12" t="s">
        <v>120</v>
      </c>
      <c r="C588" s="12" t="s">
        <v>392</v>
      </c>
      <c r="D588" s="12" t="s">
        <v>2478</v>
      </c>
      <c r="E588" s="12" t="s">
        <v>1886</v>
      </c>
      <c r="F588" s="12" t="s">
        <v>32</v>
      </c>
      <c r="G588" s="12" t="s">
        <v>32</v>
      </c>
      <c r="H588" s="12" t="b">
        <v>1</v>
      </c>
      <c r="I588" s="12" t="b">
        <v>1</v>
      </c>
      <c r="J588" s="12" t="b">
        <v>0</v>
      </c>
      <c r="K588" s="12" t="b">
        <v>0</v>
      </c>
      <c r="L588" s="12">
        <v>403</v>
      </c>
      <c r="M588" s="12">
        <v>278.14999999999998</v>
      </c>
      <c r="N588" s="12">
        <v>3000</v>
      </c>
      <c r="O588" s="12">
        <v>1200</v>
      </c>
      <c r="P588" s="12">
        <v>0.5</v>
      </c>
      <c r="Q588" s="12">
        <v>0.85</v>
      </c>
      <c r="R588" s="12">
        <v>0.75</v>
      </c>
      <c r="S588" s="12">
        <v>0.85</v>
      </c>
      <c r="T588" s="12">
        <v>0.75</v>
      </c>
      <c r="U588" s="12">
        <v>0.8</v>
      </c>
      <c r="V588" s="12">
        <v>278.14999999999998</v>
      </c>
      <c r="W588" s="12">
        <v>4.1549986388156697</v>
      </c>
      <c r="X588" s="12">
        <v>13.87517721406423</v>
      </c>
      <c r="Y588" s="12">
        <v>1800</v>
      </c>
      <c r="Z588" s="12">
        <v>2.5</v>
      </c>
      <c r="AA588" s="12"/>
      <c r="AB588" s="12"/>
    </row>
    <row r="589" spans="1:28" x14ac:dyDescent="0.3">
      <c r="A589" s="12" t="s">
        <v>2486</v>
      </c>
      <c r="B589" s="12" t="s">
        <v>120</v>
      </c>
      <c r="C589" s="12" t="s">
        <v>392</v>
      </c>
      <c r="D589" s="12" t="s">
        <v>2478</v>
      </c>
      <c r="E589" s="12" t="s">
        <v>1886</v>
      </c>
      <c r="F589" s="12" t="s">
        <v>32</v>
      </c>
      <c r="G589" s="12" t="s">
        <v>32</v>
      </c>
      <c r="H589" s="12" t="b">
        <v>1</v>
      </c>
      <c r="I589" s="12" t="b">
        <v>1</v>
      </c>
      <c r="J589" s="12" t="b">
        <v>0</v>
      </c>
      <c r="K589" s="12" t="b">
        <v>0</v>
      </c>
      <c r="L589" s="12">
        <v>403</v>
      </c>
      <c r="M589" s="12">
        <v>278.14999999999998</v>
      </c>
      <c r="N589" s="12">
        <v>3000</v>
      </c>
      <c r="O589" s="12">
        <v>1350</v>
      </c>
      <c r="P589" s="12">
        <v>0.5</v>
      </c>
      <c r="Q589" s="12">
        <v>0.85</v>
      </c>
      <c r="R589" s="12">
        <v>0.75</v>
      </c>
      <c r="S589" s="12">
        <v>0.85</v>
      </c>
      <c r="T589" s="12">
        <v>0.75</v>
      </c>
      <c r="U589" s="12">
        <v>0.8</v>
      </c>
      <c r="V589" s="12">
        <v>278.14999999999998</v>
      </c>
      <c r="W589" s="12">
        <v>3.61129846627593</v>
      </c>
      <c r="X589" s="12">
        <v>12.056049583176611</v>
      </c>
      <c r="Y589" s="12">
        <v>1650</v>
      </c>
      <c r="Z589" s="12">
        <v>2.2222222222222219</v>
      </c>
      <c r="AA589" s="12"/>
      <c r="AB589" s="12"/>
    </row>
    <row r="590" spans="1:28" x14ac:dyDescent="0.3">
      <c r="A590" s="12" t="s">
        <v>2487</v>
      </c>
      <c r="B590" s="12" t="s">
        <v>120</v>
      </c>
      <c r="C590" s="12" t="s">
        <v>392</v>
      </c>
      <c r="D590" s="12" t="s">
        <v>2478</v>
      </c>
      <c r="E590" s="12" t="s">
        <v>1886</v>
      </c>
      <c r="F590" s="12" t="s">
        <v>32</v>
      </c>
      <c r="G590" s="12" t="s">
        <v>32</v>
      </c>
      <c r="H590" s="12" t="b">
        <v>1</v>
      </c>
      <c r="I590" s="12" t="b">
        <v>1</v>
      </c>
      <c r="J590" s="12" t="b">
        <v>0</v>
      </c>
      <c r="K590" s="12" t="b">
        <v>0</v>
      </c>
      <c r="L590" s="12">
        <v>403</v>
      </c>
      <c r="M590" s="12">
        <v>278.14999999999998</v>
      </c>
      <c r="N590" s="12">
        <v>3000</v>
      </c>
      <c r="O590" s="12">
        <v>1500</v>
      </c>
      <c r="P590" s="12">
        <v>0.5</v>
      </c>
      <c r="Q590" s="12">
        <v>0.85</v>
      </c>
      <c r="R590" s="12">
        <v>0.75</v>
      </c>
      <c r="S590" s="12">
        <v>0.85</v>
      </c>
      <c r="T590" s="12">
        <v>0.75</v>
      </c>
      <c r="U590" s="12">
        <v>0.8</v>
      </c>
      <c r="V590" s="12">
        <v>278.14999999999998</v>
      </c>
      <c r="W590" s="12">
        <v>3.1249205841920298</v>
      </c>
      <c r="X590" s="12">
        <v>10.429717375985449</v>
      </c>
      <c r="Y590" s="12">
        <v>1500</v>
      </c>
      <c r="Z590" s="12">
        <v>2</v>
      </c>
      <c r="AA590" s="12"/>
      <c r="AB590" s="12"/>
    </row>
    <row r="591" spans="1:28" x14ac:dyDescent="0.3">
      <c r="A591" s="12" t="s">
        <v>2488</v>
      </c>
      <c r="B591" s="12" t="s">
        <v>120</v>
      </c>
      <c r="C591" s="12" t="s">
        <v>392</v>
      </c>
      <c r="D591" s="12" t="s">
        <v>2478</v>
      </c>
      <c r="E591" s="12" t="s">
        <v>1886</v>
      </c>
      <c r="F591" s="12" t="s">
        <v>1861</v>
      </c>
      <c r="G591" s="12" t="s">
        <v>1861</v>
      </c>
      <c r="H591" s="12" t="b">
        <v>1</v>
      </c>
      <c r="I591" s="12" t="b">
        <v>0</v>
      </c>
      <c r="J591" s="12" t="b">
        <v>0</v>
      </c>
      <c r="K591" s="12" t="b">
        <v>0</v>
      </c>
      <c r="L591" s="12">
        <v>403</v>
      </c>
      <c r="M591" s="12">
        <v>283.14999999999998</v>
      </c>
      <c r="N591" s="12">
        <v>3000</v>
      </c>
      <c r="O591" s="12">
        <v>150</v>
      </c>
      <c r="P591" s="12">
        <v>0.5</v>
      </c>
      <c r="Q591" s="12">
        <v>0.85</v>
      </c>
      <c r="R591" s="12">
        <v>0.75</v>
      </c>
      <c r="S591" s="12">
        <v>0.85</v>
      </c>
      <c r="T591" s="12">
        <v>0.75</v>
      </c>
      <c r="U591" s="12">
        <v>0.8</v>
      </c>
      <c r="V591" s="12">
        <v>283.14999999999998</v>
      </c>
      <c r="W591" s="12">
        <v>9.7573535203772508</v>
      </c>
      <c r="X591" s="12">
        <v>28.6168667258741</v>
      </c>
      <c r="Y591" s="12">
        <v>2850</v>
      </c>
      <c r="Z591" s="12">
        <v>20</v>
      </c>
      <c r="AA591" s="12" t="s">
        <v>1268</v>
      </c>
      <c r="AB591" s="12"/>
    </row>
    <row r="592" spans="1:28" x14ac:dyDescent="0.3">
      <c r="A592" s="12" t="s">
        <v>2489</v>
      </c>
      <c r="B592" s="12" t="s">
        <v>120</v>
      </c>
      <c r="C592" s="12" t="s">
        <v>392</v>
      </c>
      <c r="D592" s="12" t="s">
        <v>2478</v>
      </c>
      <c r="E592" s="12" t="s">
        <v>1886</v>
      </c>
      <c r="F592" s="12" t="s">
        <v>1861</v>
      </c>
      <c r="G592" s="12" t="s">
        <v>1861</v>
      </c>
      <c r="H592" s="12" t="b">
        <v>1</v>
      </c>
      <c r="I592" s="12" t="b">
        <v>0</v>
      </c>
      <c r="J592" s="12" t="b">
        <v>0</v>
      </c>
      <c r="K592" s="12" t="b">
        <v>0</v>
      </c>
      <c r="L592" s="12">
        <v>403</v>
      </c>
      <c r="M592" s="12">
        <v>283.14999999999998</v>
      </c>
      <c r="N592" s="12">
        <v>3000</v>
      </c>
      <c r="O592" s="12">
        <v>300</v>
      </c>
      <c r="P592" s="12">
        <v>0.5</v>
      </c>
      <c r="Q592" s="12">
        <v>0.85</v>
      </c>
      <c r="R592" s="12">
        <v>0.75</v>
      </c>
      <c r="S592" s="12">
        <v>0.85</v>
      </c>
      <c r="T592" s="12">
        <v>0.75</v>
      </c>
      <c r="U592" s="12">
        <v>0.8</v>
      </c>
      <c r="V592" s="12">
        <v>283.14999999999998</v>
      </c>
      <c r="W592" s="12">
        <v>10.512483643404771</v>
      </c>
      <c r="X592" s="12">
        <v>34.553534336893769</v>
      </c>
      <c r="Y592" s="12">
        <v>2700</v>
      </c>
      <c r="Z592" s="12">
        <v>10</v>
      </c>
      <c r="AA592" s="12" t="s">
        <v>1268</v>
      </c>
      <c r="AB592" s="12"/>
    </row>
    <row r="593" spans="1:28" x14ac:dyDescent="0.3">
      <c r="A593" s="12" t="s">
        <v>2490</v>
      </c>
      <c r="B593" s="12" t="s">
        <v>120</v>
      </c>
      <c r="C593" s="12" t="s">
        <v>392</v>
      </c>
      <c r="D593" s="12" t="s">
        <v>2478</v>
      </c>
      <c r="E593" s="12" t="s">
        <v>1886</v>
      </c>
      <c r="F593" s="12" t="s">
        <v>32</v>
      </c>
      <c r="G593" s="12" t="s">
        <v>32</v>
      </c>
      <c r="H593" s="12" t="b">
        <v>1</v>
      </c>
      <c r="I593" s="12" t="b">
        <v>1</v>
      </c>
      <c r="J593" s="12" t="b">
        <v>0</v>
      </c>
      <c r="K593" s="12" t="b">
        <v>0</v>
      </c>
      <c r="L593" s="12">
        <v>403</v>
      </c>
      <c r="M593" s="12">
        <v>283.14999999999998</v>
      </c>
      <c r="N593" s="12">
        <v>3000</v>
      </c>
      <c r="O593" s="12">
        <v>450</v>
      </c>
      <c r="P593" s="12">
        <v>0.5</v>
      </c>
      <c r="Q593" s="12">
        <v>0.85</v>
      </c>
      <c r="R593" s="12">
        <v>0.75</v>
      </c>
      <c r="S593" s="12">
        <v>0.85</v>
      </c>
      <c r="T593" s="12">
        <v>0.75</v>
      </c>
      <c r="U593" s="12">
        <v>0.8</v>
      </c>
      <c r="V593" s="12">
        <v>283.14999999999998</v>
      </c>
      <c r="W593" s="12">
        <v>8.7795426596318009</v>
      </c>
      <c r="X593" s="12">
        <v>28.826431936642049</v>
      </c>
      <c r="Y593" s="12">
        <v>2550</v>
      </c>
      <c r="Z593" s="12">
        <v>6.666666666666667</v>
      </c>
      <c r="AA593" s="12"/>
      <c r="AB593" s="12"/>
    </row>
    <row r="594" spans="1:28" x14ac:dyDescent="0.3">
      <c r="A594" s="12" t="s">
        <v>2491</v>
      </c>
      <c r="B594" s="12" t="s">
        <v>120</v>
      </c>
      <c r="C594" s="12" t="s">
        <v>392</v>
      </c>
      <c r="D594" s="12" t="s">
        <v>2478</v>
      </c>
      <c r="E594" s="12" t="s">
        <v>1886</v>
      </c>
      <c r="F594" s="12" t="s">
        <v>32</v>
      </c>
      <c r="G594" s="12" t="s">
        <v>32</v>
      </c>
      <c r="H594" s="12" t="b">
        <v>1</v>
      </c>
      <c r="I594" s="12" t="b">
        <v>1</v>
      </c>
      <c r="J594" s="12" t="b">
        <v>0</v>
      </c>
      <c r="K594" s="12" t="b">
        <v>0</v>
      </c>
      <c r="L594" s="12">
        <v>403</v>
      </c>
      <c r="M594" s="12">
        <v>283.14999999999998</v>
      </c>
      <c r="N594" s="12">
        <v>3000</v>
      </c>
      <c r="O594" s="12">
        <v>750</v>
      </c>
      <c r="P594" s="12">
        <v>0.5</v>
      </c>
      <c r="Q594" s="12">
        <v>0.85</v>
      </c>
      <c r="R594" s="12">
        <v>0.75</v>
      </c>
      <c r="S594" s="12">
        <v>0.85</v>
      </c>
      <c r="T594" s="12">
        <v>0.75</v>
      </c>
      <c r="U594" s="12">
        <v>0.8</v>
      </c>
      <c r="V594" s="12">
        <v>283.14999999999998</v>
      </c>
      <c r="W594" s="12">
        <v>6.4627162389262498</v>
      </c>
      <c r="X594" s="12">
        <v>21.18847731023126</v>
      </c>
      <c r="Y594" s="12">
        <v>2250</v>
      </c>
      <c r="Z594" s="12">
        <v>4</v>
      </c>
      <c r="AA594" s="12"/>
      <c r="AB594" s="12"/>
    </row>
    <row r="595" spans="1:28" x14ac:dyDescent="0.3">
      <c r="A595" s="12" t="s">
        <v>2492</v>
      </c>
      <c r="B595" s="12" t="s">
        <v>120</v>
      </c>
      <c r="C595" s="12" t="s">
        <v>392</v>
      </c>
      <c r="D595" s="12" t="s">
        <v>2478</v>
      </c>
      <c r="E595" s="12" t="s">
        <v>1886</v>
      </c>
      <c r="F595" s="12" t="s">
        <v>32</v>
      </c>
      <c r="G595" s="12" t="s">
        <v>32</v>
      </c>
      <c r="H595" s="12" t="b">
        <v>1</v>
      </c>
      <c r="I595" s="12" t="b">
        <v>1</v>
      </c>
      <c r="J595" s="12" t="b">
        <v>0</v>
      </c>
      <c r="K595" s="12" t="b">
        <v>0</v>
      </c>
      <c r="L595" s="12">
        <v>403</v>
      </c>
      <c r="M595" s="12">
        <v>283.14999999999998</v>
      </c>
      <c r="N595" s="12">
        <v>3000</v>
      </c>
      <c r="O595" s="12">
        <v>600</v>
      </c>
      <c r="P595" s="12">
        <v>0.5</v>
      </c>
      <c r="Q595" s="12">
        <v>0.85</v>
      </c>
      <c r="R595" s="12">
        <v>0.75</v>
      </c>
      <c r="S595" s="12">
        <v>0.85</v>
      </c>
      <c r="T595" s="12">
        <v>0.75</v>
      </c>
      <c r="U595" s="12">
        <v>0.8</v>
      </c>
      <c r="V595" s="12">
        <v>283.14999999999998</v>
      </c>
      <c r="W595" s="12">
        <v>7.4874665188781897</v>
      </c>
      <c r="X595" s="12">
        <v>24.563755978211571</v>
      </c>
      <c r="Y595" s="12">
        <v>2400</v>
      </c>
      <c r="Z595" s="12">
        <v>5</v>
      </c>
      <c r="AA595" s="12"/>
      <c r="AB595" s="12"/>
    </row>
    <row r="596" spans="1:28" x14ac:dyDescent="0.3">
      <c r="A596" s="12" t="s">
        <v>2493</v>
      </c>
      <c r="B596" s="12" t="s">
        <v>120</v>
      </c>
      <c r="C596" s="12" t="s">
        <v>392</v>
      </c>
      <c r="D596" s="12" t="s">
        <v>2478</v>
      </c>
      <c r="E596" s="12" t="s">
        <v>1886</v>
      </c>
      <c r="F596" s="12" t="s">
        <v>32</v>
      </c>
      <c r="G596" s="12" t="s">
        <v>32</v>
      </c>
      <c r="H596" s="12" t="b">
        <v>1</v>
      </c>
      <c r="I596" s="12" t="b">
        <v>1</v>
      </c>
      <c r="J596" s="12" t="b">
        <v>0</v>
      </c>
      <c r="K596" s="12" t="b">
        <v>0</v>
      </c>
      <c r="L596" s="12">
        <v>403</v>
      </c>
      <c r="M596" s="12">
        <v>283.14999999999998</v>
      </c>
      <c r="N596" s="12">
        <v>3000</v>
      </c>
      <c r="O596" s="12">
        <v>900</v>
      </c>
      <c r="P596" s="12">
        <v>0.5</v>
      </c>
      <c r="Q596" s="12">
        <v>0.85</v>
      </c>
      <c r="R596" s="12">
        <v>0.75</v>
      </c>
      <c r="S596" s="12">
        <v>0.85</v>
      </c>
      <c r="T596" s="12">
        <v>0.75</v>
      </c>
      <c r="U596" s="12">
        <v>0.8</v>
      </c>
      <c r="V596" s="12">
        <v>283.14999999999998</v>
      </c>
      <c r="W596" s="12">
        <v>5.6136199849476398</v>
      </c>
      <c r="X596" s="12">
        <v>18.3953302271266</v>
      </c>
      <c r="Y596" s="12">
        <v>2100</v>
      </c>
      <c r="Z596" s="12">
        <v>3.333333333333333</v>
      </c>
      <c r="AA596" s="12"/>
      <c r="AB596" s="12"/>
    </row>
    <row r="597" spans="1:28" x14ac:dyDescent="0.3">
      <c r="A597" s="12" t="s">
        <v>2494</v>
      </c>
      <c r="B597" s="12" t="s">
        <v>120</v>
      </c>
      <c r="C597" s="12" t="s">
        <v>392</v>
      </c>
      <c r="D597" s="12" t="s">
        <v>2478</v>
      </c>
      <c r="E597" s="12" t="s">
        <v>1886</v>
      </c>
      <c r="F597" s="12" t="s">
        <v>32</v>
      </c>
      <c r="G597" s="12" t="s">
        <v>32</v>
      </c>
      <c r="H597" s="12" t="b">
        <v>1</v>
      </c>
      <c r="I597" s="12" t="b">
        <v>1</v>
      </c>
      <c r="J597" s="12" t="b">
        <v>0</v>
      </c>
      <c r="K597" s="12" t="b">
        <v>0</v>
      </c>
      <c r="L597" s="12">
        <v>403</v>
      </c>
      <c r="M597" s="12">
        <v>283.14999999999998</v>
      </c>
      <c r="N597" s="12">
        <v>3000</v>
      </c>
      <c r="O597" s="12">
        <v>1050</v>
      </c>
      <c r="P597" s="12">
        <v>0.5</v>
      </c>
      <c r="Q597" s="12">
        <v>0.85</v>
      </c>
      <c r="R597" s="12">
        <v>0.75</v>
      </c>
      <c r="S597" s="12">
        <v>0.85</v>
      </c>
      <c r="T597" s="12">
        <v>0.75</v>
      </c>
      <c r="U597" s="12">
        <v>0.8</v>
      </c>
      <c r="V597" s="12">
        <v>283.14999999999998</v>
      </c>
      <c r="W597" s="12">
        <v>4.8894474991339898</v>
      </c>
      <c r="X597" s="12">
        <v>16.015609606604709</v>
      </c>
      <c r="Y597" s="12">
        <v>1950</v>
      </c>
      <c r="Z597" s="12">
        <v>2.8571428571428572</v>
      </c>
      <c r="AA597" s="12"/>
      <c r="AB597" s="12"/>
    </row>
    <row r="598" spans="1:28" x14ac:dyDescent="0.3">
      <c r="A598" s="12" t="s">
        <v>2495</v>
      </c>
      <c r="B598" s="12" t="s">
        <v>120</v>
      </c>
      <c r="C598" s="12" t="s">
        <v>392</v>
      </c>
      <c r="D598" s="12" t="s">
        <v>2478</v>
      </c>
      <c r="E598" s="12" t="s">
        <v>1886</v>
      </c>
      <c r="F598" s="12" t="s">
        <v>32</v>
      </c>
      <c r="G598" s="12" t="s">
        <v>32</v>
      </c>
      <c r="H598" s="12" t="b">
        <v>1</v>
      </c>
      <c r="I598" s="12" t="b">
        <v>1</v>
      </c>
      <c r="J598" s="12" t="b">
        <v>0</v>
      </c>
      <c r="K598" s="12" t="b">
        <v>0</v>
      </c>
      <c r="L598" s="12">
        <v>403</v>
      </c>
      <c r="M598" s="12">
        <v>283.14999999999998</v>
      </c>
      <c r="N598" s="12">
        <v>3000</v>
      </c>
      <c r="O598" s="12">
        <v>1200</v>
      </c>
      <c r="P598" s="12">
        <v>0.5</v>
      </c>
      <c r="Q598" s="12">
        <v>0.85</v>
      </c>
      <c r="R598" s="12">
        <v>0.75</v>
      </c>
      <c r="S598" s="12">
        <v>0.85</v>
      </c>
      <c r="T598" s="12">
        <v>0.75</v>
      </c>
      <c r="U598" s="12">
        <v>0.8</v>
      </c>
      <c r="V598" s="12">
        <v>283.14999999999998</v>
      </c>
      <c r="W598" s="12">
        <v>4.2590133606744303</v>
      </c>
      <c r="X598" s="12">
        <v>13.945727804408429</v>
      </c>
      <c r="Y598" s="12">
        <v>1800</v>
      </c>
      <c r="Z598" s="12">
        <v>2.5</v>
      </c>
      <c r="AA598" s="12"/>
      <c r="AB598" s="12"/>
    </row>
    <row r="599" spans="1:28" x14ac:dyDescent="0.3">
      <c r="A599" s="12" t="s">
        <v>2496</v>
      </c>
      <c r="B599" s="12" t="s">
        <v>120</v>
      </c>
      <c r="C599" s="12" t="s">
        <v>392</v>
      </c>
      <c r="D599" s="12" t="s">
        <v>2478</v>
      </c>
      <c r="E599" s="12" t="s">
        <v>1886</v>
      </c>
      <c r="F599" s="12" t="s">
        <v>32</v>
      </c>
      <c r="G599" s="12" t="s">
        <v>32</v>
      </c>
      <c r="H599" s="12" t="b">
        <v>1</v>
      </c>
      <c r="I599" s="12" t="b">
        <v>1</v>
      </c>
      <c r="J599" s="12" t="b">
        <v>0</v>
      </c>
      <c r="K599" s="12" t="b">
        <v>0</v>
      </c>
      <c r="L599" s="12">
        <v>403</v>
      </c>
      <c r="M599" s="12">
        <v>283.14999999999998</v>
      </c>
      <c r="N599" s="12">
        <v>3000</v>
      </c>
      <c r="O599" s="12">
        <v>1350</v>
      </c>
      <c r="P599" s="12">
        <v>0.5</v>
      </c>
      <c r="Q599" s="12">
        <v>0.85</v>
      </c>
      <c r="R599" s="12">
        <v>0.75</v>
      </c>
      <c r="S599" s="12">
        <v>0.85</v>
      </c>
      <c r="T599" s="12">
        <v>0.75</v>
      </c>
      <c r="U599" s="12">
        <v>0.8</v>
      </c>
      <c r="V599" s="12">
        <v>283.14999999999998</v>
      </c>
      <c r="W599" s="12">
        <v>3.7017050033898098</v>
      </c>
      <c r="X599" s="12">
        <v>12.117287015291</v>
      </c>
      <c r="Y599" s="12">
        <v>1650</v>
      </c>
      <c r="Z599" s="12">
        <v>2.2222222222222219</v>
      </c>
      <c r="AA599" s="12"/>
      <c r="AB599" s="12"/>
    </row>
    <row r="600" spans="1:28" x14ac:dyDescent="0.3">
      <c r="A600" s="12" t="s">
        <v>2497</v>
      </c>
      <c r="B600" s="12" t="s">
        <v>120</v>
      </c>
      <c r="C600" s="12" t="s">
        <v>392</v>
      </c>
      <c r="D600" s="12" t="s">
        <v>2478</v>
      </c>
      <c r="E600" s="12" t="s">
        <v>1886</v>
      </c>
      <c r="F600" s="12" t="s">
        <v>32</v>
      </c>
      <c r="G600" s="12" t="s">
        <v>32</v>
      </c>
      <c r="H600" s="12" t="b">
        <v>1</v>
      </c>
      <c r="I600" s="12" t="b">
        <v>1</v>
      </c>
      <c r="J600" s="12" t="b">
        <v>0</v>
      </c>
      <c r="K600" s="12" t="b">
        <v>0</v>
      </c>
      <c r="L600" s="12">
        <v>403</v>
      </c>
      <c r="M600" s="12">
        <v>283.14999999999998</v>
      </c>
      <c r="N600" s="12">
        <v>3000</v>
      </c>
      <c r="O600" s="12">
        <v>1500</v>
      </c>
      <c r="P600" s="12">
        <v>0.5</v>
      </c>
      <c r="Q600" s="12">
        <v>0.85</v>
      </c>
      <c r="R600" s="12">
        <v>0.75</v>
      </c>
      <c r="S600" s="12">
        <v>0.85</v>
      </c>
      <c r="T600" s="12">
        <v>0.75</v>
      </c>
      <c r="U600" s="12">
        <v>0.8</v>
      </c>
      <c r="V600" s="12">
        <v>283.14999999999998</v>
      </c>
      <c r="W600" s="12">
        <v>3.2031516160965801</v>
      </c>
      <c r="X600" s="12">
        <v>10.48264529935328</v>
      </c>
      <c r="Y600" s="12">
        <v>1500</v>
      </c>
      <c r="Z600" s="12">
        <v>2</v>
      </c>
      <c r="AA600" s="12"/>
      <c r="AB600" s="12"/>
    </row>
    <row r="601" spans="1:28" x14ac:dyDescent="0.3">
      <c r="A601" s="12" t="s">
        <v>2498</v>
      </c>
      <c r="B601" s="12" t="s">
        <v>120</v>
      </c>
      <c r="C601" s="12" t="s">
        <v>392</v>
      </c>
      <c r="D601" s="12" t="s">
        <v>2478</v>
      </c>
      <c r="E601" s="12" t="s">
        <v>1886</v>
      </c>
      <c r="F601" s="12" t="s">
        <v>1861</v>
      </c>
      <c r="G601" s="12" t="s">
        <v>1861</v>
      </c>
      <c r="H601" s="12" t="b">
        <v>1</v>
      </c>
      <c r="I601" s="12" t="b">
        <v>0</v>
      </c>
      <c r="J601" s="12" t="b">
        <v>0</v>
      </c>
      <c r="K601" s="12" t="b">
        <v>0</v>
      </c>
      <c r="L601" s="12">
        <v>403</v>
      </c>
      <c r="M601" s="12">
        <v>288.14999999999998</v>
      </c>
      <c r="N601" s="12">
        <v>3000</v>
      </c>
      <c r="O601" s="12">
        <v>300</v>
      </c>
      <c r="P601" s="12">
        <v>0.5</v>
      </c>
      <c r="Q601" s="12">
        <v>0.85</v>
      </c>
      <c r="R601" s="12">
        <v>0.75</v>
      </c>
      <c r="S601" s="12">
        <v>0.85</v>
      </c>
      <c r="T601" s="12">
        <v>0.75</v>
      </c>
      <c r="U601" s="12">
        <v>0.8</v>
      </c>
      <c r="V601" s="12">
        <v>288.14999999999998</v>
      </c>
      <c r="W601" s="12">
        <v>10.65848112233135</v>
      </c>
      <c r="X601" s="12">
        <v>34.32047951050086</v>
      </c>
      <c r="Y601" s="12">
        <v>2700</v>
      </c>
      <c r="Z601" s="12">
        <v>10</v>
      </c>
      <c r="AA601" s="12" t="s">
        <v>1268</v>
      </c>
      <c r="AB601" s="12"/>
    </row>
    <row r="602" spans="1:28" x14ac:dyDescent="0.3">
      <c r="A602" s="12" t="s">
        <v>2499</v>
      </c>
      <c r="B602" s="12" t="s">
        <v>120</v>
      </c>
      <c r="C602" s="12" t="s">
        <v>392</v>
      </c>
      <c r="D602" s="12" t="s">
        <v>2478</v>
      </c>
      <c r="E602" s="12" t="s">
        <v>1886</v>
      </c>
      <c r="F602" s="12" t="s">
        <v>32</v>
      </c>
      <c r="G602" s="12" t="s">
        <v>32</v>
      </c>
      <c r="H602" s="12" t="b">
        <v>1</v>
      </c>
      <c r="I602" s="12" t="b">
        <v>1</v>
      </c>
      <c r="J602" s="12" t="b">
        <v>0</v>
      </c>
      <c r="K602" s="12" t="b">
        <v>0</v>
      </c>
      <c r="L602" s="12">
        <v>403</v>
      </c>
      <c r="M602" s="12">
        <v>288.14999999999998</v>
      </c>
      <c r="N602" s="12">
        <v>3000</v>
      </c>
      <c r="O602" s="12">
        <v>450</v>
      </c>
      <c r="P602" s="12">
        <v>0.5</v>
      </c>
      <c r="Q602" s="12">
        <v>0.85</v>
      </c>
      <c r="R602" s="12">
        <v>0.75</v>
      </c>
      <c r="S602" s="12">
        <v>0.85</v>
      </c>
      <c r="T602" s="12">
        <v>0.75</v>
      </c>
      <c r="U602" s="12">
        <v>0.8</v>
      </c>
      <c r="V602" s="12">
        <v>288.14999999999998</v>
      </c>
      <c r="W602" s="12">
        <v>9.0039819914648103</v>
      </c>
      <c r="X602" s="12">
        <v>28.974307376737819</v>
      </c>
      <c r="Y602" s="12">
        <v>2550</v>
      </c>
      <c r="Z602" s="12">
        <v>6.666666666666667</v>
      </c>
      <c r="AA602" s="12"/>
      <c r="AB602" s="12"/>
    </row>
    <row r="603" spans="1:28" x14ac:dyDescent="0.3">
      <c r="A603" s="12" t="s">
        <v>2500</v>
      </c>
      <c r="B603" s="12" t="s">
        <v>120</v>
      </c>
      <c r="C603" s="12" t="s">
        <v>392</v>
      </c>
      <c r="D603" s="12" t="s">
        <v>2478</v>
      </c>
      <c r="E603" s="12" t="s">
        <v>1886</v>
      </c>
      <c r="F603" s="12" t="s">
        <v>32</v>
      </c>
      <c r="G603" s="12" t="s">
        <v>32</v>
      </c>
      <c r="H603" s="12" t="b">
        <v>1</v>
      </c>
      <c r="I603" s="12" t="b">
        <v>1</v>
      </c>
      <c r="J603" s="12" t="b">
        <v>0</v>
      </c>
      <c r="K603" s="12" t="b">
        <v>0</v>
      </c>
      <c r="L603" s="12">
        <v>403</v>
      </c>
      <c r="M603" s="12">
        <v>288.14999999999998</v>
      </c>
      <c r="N603" s="12">
        <v>3000</v>
      </c>
      <c r="O603" s="12">
        <v>600</v>
      </c>
      <c r="P603" s="12">
        <v>0.5</v>
      </c>
      <c r="Q603" s="12">
        <v>0.85</v>
      </c>
      <c r="R603" s="12">
        <v>0.75</v>
      </c>
      <c r="S603" s="12">
        <v>0.85</v>
      </c>
      <c r="T603" s="12">
        <v>0.75</v>
      </c>
      <c r="U603" s="12">
        <v>0.8</v>
      </c>
      <c r="V603" s="12">
        <v>288.14999999999998</v>
      </c>
      <c r="W603" s="12">
        <v>7.6789093659144898</v>
      </c>
      <c r="X603" s="12">
        <v>24.689356553886309</v>
      </c>
      <c r="Y603" s="12">
        <v>2400</v>
      </c>
      <c r="Z603" s="12">
        <v>5</v>
      </c>
      <c r="AA603" s="12"/>
      <c r="AB603" s="12"/>
    </row>
    <row r="604" spans="1:28" x14ac:dyDescent="0.3">
      <c r="A604" s="12" t="s">
        <v>2501</v>
      </c>
      <c r="B604" s="12" t="s">
        <v>120</v>
      </c>
      <c r="C604" s="12" t="s">
        <v>392</v>
      </c>
      <c r="D604" s="12" t="s">
        <v>2478</v>
      </c>
      <c r="E604" s="12" t="s">
        <v>1886</v>
      </c>
      <c r="F604" s="12" t="s">
        <v>1861</v>
      </c>
      <c r="G604" s="12" t="s">
        <v>1861</v>
      </c>
      <c r="H604" s="12" t="b">
        <v>1</v>
      </c>
      <c r="I604" s="12" t="b">
        <v>0</v>
      </c>
      <c r="J604" s="12" t="b">
        <v>0</v>
      </c>
      <c r="K604" s="12" t="b">
        <v>0</v>
      </c>
      <c r="L604" s="12">
        <v>403</v>
      </c>
      <c r="M604" s="12">
        <v>288.14999999999998</v>
      </c>
      <c r="N604" s="12">
        <v>3000</v>
      </c>
      <c r="O604" s="12">
        <v>150</v>
      </c>
      <c r="P604" s="12">
        <v>0.5</v>
      </c>
      <c r="Q604" s="12">
        <v>0.85</v>
      </c>
      <c r="R604" s="12">
        <v>0.75</v>
      </c>
      <c r="S604" s="12">
        <v>0.85</v>
      </c>
      <c r="T604" s="12">
        <v>0.75</v>
      </c>
      <c r="U604" s="12">
        <v>0.8</v>
      </c>
      <c r="V604" s="12">
        <v>288.14999999999998</v>
      </c>
      <c r="W604" s="12">
        <v>3.1320179591491399</v>
      </c>
      <c r="X604" s="12">
        <v>7.9528944781069697</v>
      </c>
      <c r="Y604" s="12">
        <v>2850</v>
      </c>
      <c r="Z604" s="12">
        <v>20</v>
      </c>
      <c r="AA604" s="12" t="s">
        <v>1268</v>
      </c>
      <c r="AB604" s="12"/>
    </row>
    <row r="605" spans="1:28" x14ac:dyDescent="0.3">
      <c r="A605" s="12" t="s">
        <v>2502</v>
      </c>
      <c r="B605" s="12" t="s">
        <v>120</v>
      </c>
      <c r="C605" s="12" t="s">
        <v>392</v>
      </c>
      <c r="D605" s="12" t="s">
        <v>2478</v>
      </c>
      <c r="E605" s="12" t="s">
        <v>1886</v>
      </c>
      <c r="F605" s="12" t="s">
        <v>32</v>
      </c>
      <c r="G605" s="12" t="s">
        <v>32</v>
      </c>
      <c r="H605" s="12" t="b">
        <v>1</v>
      </c>
      <c r="I605" s="12" t="b">
        <v>1</v>
      </c>
      <c r="J605" s="12" t="b">
        <v>0</v>
      </c>
      <c r="K605" s="12" t="b">
        <v>0</v>
      </c>
      <c r="L605" s="12">
        <v>403</v>
      </c>
      <c r="M605" s="12">
        <v>288.14999999999998</v>
      </c>
      <c r="N605" s="12">
        <v>3000</v>
      </c>
      <c r="O605" s="12">
        <v>750</v>
      </c>
      <c r="P605" s="12">
        <v>0.5</v>
      </c>
      <c r="Q605" s="12">
        <v>0.85</v>
      </c>
      <c r="R605" s="12">
        <v>0.75</v>
      </c>
      <c r="S605" s="12">
        <v>0.85</v>
      </c>
      <c r="T605" s="12">
        <v>0.75</v>
      </c>
      <c r="U605" s="12">
        <v>0.8</v>
      </c>
      <c r="V605" s="12">
        <v>288.14999999999998</v>
      </c>
      <c r="W605" s="12">
        <v>6.6279779961004106</v>
      </c>
      <c r="X605" s="12">
        <v>21.296554631594759</v>
      </c>
      <c r="Y605" s="12">
        <v>2250</v>
      </c>
      <c r="Z605" s="12">
        <v>4</v>
      </c>
      <c r="AA605" s="12"/>
      <c r="AB605" s="12"/>
    </row>
    <row r="606" spans="1:28" x14ac:dyDescent="0.3">
      <c r="A606" s="12" t="s">
        <v>2503</v>
      </c>
      <c r="B606" s="12" t="s">
        <v>120</v>
      </c>
      <c r="C606" s="12" t="s">
        <v>392</v>
      </c>
      <c r="D606" s="12" t="s">
        <v>2478</v>
      </c>
      <c r="E606" s="12" t="s">
        <v>1886</v>
      </c>
      <c r="F606" s="12" t="s">
        <v>32</v>
      </c>
      <c r="G606" s="12" t="s">
        <v>32</v>
      </c>
      <c r="H606" s="12" t="b">
        <v>1</v>
      </c>
      <c r="I606" s="12" t="b">
        <v>1</v>
      </c>
      <c r="J606" s="12" t="b">
        <v>0</v>
      </c>
      <c r="K606" s="12" t="b">
        <v>0</v>
      </c>
      <c r="L606" s="12">
        <v>403</v>
      </c>
      <c r="M606" s="12">
        <v>288.14999999999998</v>
      </c>
      <c r="N606" s="12">
        <v>3000</v>
      </c>
      <c r="O606" s="12">
        <v>900</v>
      </c>
      <c r="P606" s="12">
        <v>0.5</v>
      </c>
      <c r="Q606" s="12">
        <v>0.85</v>
      </c>
      <c r="R606" s="12">
        <v>0.75</v>
      </c>
      <c r="S606" s="12">
        <v>0.85</v>
      </c>
      <c r="T606" s="12">
        <v>0.75</v>
      </c>
      <c r="U606" s="12">
        <v>0.8</v>
      </c>
      <c r="V606" s="12">
        <v>288.14999999999998</v>
      </c>
      <c r="W606" s="12">
        <v>5.7571811268490096</v>
      </c>
      <c r="X606" s="12">
        <v>18.48897739931245</v>
      </c>
      <c r="Y606" s="12">
        <v>2100</v>
      </c>
      <c r="Z606" s="12">
        <v>3.333333333333333</v>
      </c>
      <c r="AA606" s="12"/>
      <c r="AB606" s="12"/>
    </row>
    <row r="607" spans="1:28" x14ac:dyDescent="0.3">
      <c r="A607" s="12" t="s">
        <v>2504</v>
      </c>
      <c r="B607" s="12" t="s">
        <v>120</v>
      </c>
      <c r="C607" s="12" t="s">
        <v>392</v>
      </c>
      <c r="D607" s="12" t="s">
        <v>2478</v>
      </c>
      <c r="E607" s="12" t="s">
        <v>1886</v>
      </c>
      <c r="F607" s="12" t="s">
        <v>32</v>
      </c>
      <c r="G607" s="12" t="s">
        <v>32</v>
      </c>
      <c r="H607" s="12" t="b">
        <v>1</v>
      </c>
      <c r="I607" s="12" t="b">
        <v>1</v>
      </c>
      <c r="J607" s="12" t="b">
        <v>0</v>
      </c>
      <c r="K607" s="12" t="b">
        <v>0</v>
      </c>
      <c r="L607" s="12">
        <v>403</v>
      </c>
      <c r="M607" s="12">
        <v>288.14999999999998</v>
      </c>
      <c r="N607" s="12">
        <v>3000</v>
      </c>
      <c r="O607" s="12">
        <v>1350</v>
      </c>
      <c r="P607" s="12">
        <v>0.5</v>
      </c>
      <c r="Q607" s="12">
        <v>0.85</v>
      </c>
      <c r="R607" s="12">
        <v>0.75</v>
      </c>
      <c r="S607" s="12">
        <v>0.85</v>
      </c>
      <c r="T607" s="12">
        <v>0.75</v>
      </c>
      <c r="U607" s="12">
        <v>0.8</v>
      </c>
      <c r="V607" s="12">
        <v>288.14999999999998</v>
      </c>
      <c r="W607" s="12">
        <v>3.7963783114973602</v>
      </c>
      <c r="X607" s="12">
        <v>12.17871037856786</v>
      </c>
      <c r="Y607" s="12">
        <v>1650</v>
      </c>
      <c r="Z607" s="12">
        <v>2.2222222222222219</v>
      </c>
      <c r="AA607" s="12"/>
      <c r="AB607" s="12"/>
    </row>
    <row r="608" spans="1:28" x14ac:dyDescent="0.3">
      <c r="A608" s="12" t="s">
        <v>2505</v>
      </c>
      <c r="B608" s="12" t="s">
        <v>120</v>
      </c>
      <c r="C608" s="12" t="s">
        <v>392</v>
      </c>
      <c r="D608" s="12" t="s">
        <v>2478</v>
      </c>
      <c r="E608" s="12" t="s">
        <v>1886</v>
      </c>
      <c r="F608" s="12" t="s">
        <v>32</v>
      </c>
      <c r="G608" s="12" t="s">
        <v>32</v>
      </c>
      <c r="H608" s="12" t="b">
        <v>1</v>
      </c>
      <c r="I608" s="12" t="b">
        <v>1</v>
      </c>
      <c r="J608" s="12" t="b">
        <v>0</v>
      </c>
      <c r="K608" s="12" t="b">
        <v>0</v>
      </c>
      <c r="L608" s="12">
        <v>403</v>
      </c>
      <c r="M608" s="12">
        <v>288.14999999999998</v>
      </c>
      <c r="N608" s="12">
        <v>3000</v>
      </c>
      <c r="O608" s="12">
        <v>1050</v>
      </c>
      <c r="P608" s="12">
        <v>0.5</v>
      </c>
      <c r="Q608" s="12">
        <v>0.85</v>
      </c>
      <c r="R608" s="12">
        <v>0.75</v>
      </c>
      <c r="S608" s="12">
        <v>0.85</v>
      </c>
      <c r="T608" s="12">
        <v>0.75</v>
      </c>
      <c r="U608" s="12">
        <v>0.8</v>
      </c>
      <c r="V608" s="12">
        <v>288.14999999999998</v>
      </c>
      <c r="W608" s="12">
        <v>5.0144953140782302</v>
      </c>
      <c r="X608" s="12">
        <v>16.097009324987649</v>
      </c>
      <c r="Y608" s="12">
        <v>1950</v>
      </c>
      <c r="Z608" s="12">
        <v>2.8571428571428572</v>
      </c>
      <c r="AA608" s="12"/>
      <c r="AB608" s="12"/>
    </row>
    <row r="609" spans="1:28" x14ac:dyDescent="0.3">
      <c r="A609" s="12" t="s">
        <v>2506</v>
      </c>
      <c r="B609" s="12" t="s">
        <v>120</v>
      </c>
      <c r="C609" s="12" t="s">
        <v>392</v>
      </c>
      <c r="D609" s="12" t="s">
        <v>2478</v>
      </c>
      <c r="E609" s="12" t="s">
        <v>1886</v>
      </c>
      <c r="F609" s="12" t="s">
        <v>32</v>
      </c>
      <c r="G609" s="12" t="s">
        <v>32</v>
      </c>
      <c r="H609" s="12" t="b">
        <v>1</v>
      </c>
      <c r="I609" s="12" t="b">
        <v>1</v>
      </c>
      <c r="J609" s="12" t="b">
        <v>0</v>
      </c>
      <c r="K609" s="12" t="b">
        <v>0</v>
      </c>
      <c r="L609" s="12">
        <v>403</v>
      </c>
      <c r="M609" s="12">
        <v>288.14999999999998</v>
      </c>
      <c r="N609" s="12">
        <v>3000</v>
      </c>
      <c r="O609" s="12">
        <v>1500</v>
      </c>
      <c r="P609" s="12">
        <v>0.5</v>
      </c>
      <c r="Q609" s="12">
        <v>0.85</v>
      </c>
      <c r="R609" s="12">
        <v>0.75</v>
      </c>
      <c r="S609" s="12">
        <v>0.85</v>
      </c>
      <c r="T609" s="12">
        <v>0.75</v>
      </c>
      <c r="U609" s="12">
        <v>0.8</v>
      </c>
      <c r="V609" s="12">
        <v>288.14999999999998</v>
      </c>
      <c r="W609" s="12">
        <v>3.2850722335642701</v>
      </c>
      <c r="X609" s="12">
        <v>10.53572289228107</v>
      </c>
      <c r="Y609" s="12">
        <v>1500</v>
      </c>
      <c r="Z609" s="12">
        <v>2</v>
      </c>
      <c r="AA609" s="12"/>
      <c r="AB609" s="12"/>
    </row>
    <row r="610" spans="1:28" x14ac:dyDescent="0.3">
      <c r="A610" s="12" t="s">
        <v>2507</v>
      </c>
      <c r="B610" s="12" t="s">
        <v>120</v>
      </c>
      <c r="C610" s="12" t="s">
        <v>392</v>
      </c>
      <c r="D610" s="12" t="s">
        <v>2478</v>
      </c>
      <c r="E610" s="12" t="s">
        <v>1886</v>
      </c>
      <c r="F610" s="12" t="s">
        <v>32</v>
      </c>
      <c r="G610" s="12" t="s">
        <v>32</v>
      </c>
      <c r="H610" s="12" t="b">
        <v>1</v>
      </c>
      <c r="I610" s="12" t="b">
        <v>1</v>
      </c>
      <c r="J610" s="12" t="b">
        <v>0</v>
      </c>
      <c r="K610" s="12" t="b">
        <v>0</v>
      </c>
      <c r="L610" s="12">
        <v>403</v>
      </c>
      <c r="M610" s="12">
        <v>288.14999999999998</v>
      </c>
      <c r="N610" s="12">
        <v>3000</v>
      </c>
      <c r="O610" s="12">
        <v>1200</v>
      </c>
      <c r="P610" s="12">
        <v>0.5</v>
      </c>
      <c r="Q610" s="12">
        <v>0.85</v>
      </c>
      <c r="R610" s="12">
        <v>0.75</v>
      </c>
      <c r="S610" s="12">
        <v>0.85</v>
      </c>
      <c r="T610" s="12">
        <v>0.75</v>
      </c>
      <c r="U610" s="12">
        <v>0.8</v>
      </c>
      <c r="V610" s="12">
        <v>288.14999999999998</v>
      </c>
      <c r="W610" s="12">
        <v>4.3679403257543097</v>
      </c>
      <c r="X610" s="12">
        <v>14.016507701124921</v>
      </c>
      <c r="Y610" s="12">
        <v>1800</v>
      </c>
      <c r="Z610" s="12">
        <v>2.5</v>
      </c>
      <c r="AA610" s="12"/>
      <c r="AB610" s="12"/>
    </row>
    <row r="611" spans="1:28" x14ac:dyDescent="0.3">
      <c r="A611" s="12" t="s">
        <v>2508</v>
      </c>
      <c r="B611" s="12" t="s">
        <v>120</v>
      </c>
      <c r="C611" s="12" t="s">
        <v>392</v>
      </c>
      <c r="D611" s="12" t="s">
        <v>2478</v>
      </c>
      <c r="E611" s="12" t="s">
        <v>1886</v>
      </c>
      <c r="F611" s="12" t="s">
        <v>1861</v>
      </c>
      <c r="G611" s="12" t="s">
        <v>1861</v>
      </c>
      <c r="H611" s="12" t="b">
        <v>1</v>
      </c>
      <c r="I611" s="12" t="b">
        <v>0</v>
      </c>
      <c r="J611" s="12" t="b">
        <v>0</v>
      </c>
      <c r="K611" s="12" t="b">
        <v>0</v>
      </c>
      <c r="L611" s="12">
        <v>403</v>
      </c>
      <c r="M611" s="12">
        <v>293.14999999999998</v>
      </c>
      <c r="N611" s="12">
        <v>3000</v>
      </c>
      <c r="O611" s="12">
        <v>300</v>
      </c>
      <c r="P611" s="12">
        <v>0.5</v>
      </c>
      <c r="Q611" s="12">
        <v>0.85</v>
      </c>
      <c r="R611" s="12">
        <v>0.75</v>
      </c>
      <c r="S611" s="12">
        <v>0.85</v>
      </c>
      <c r="T611" s="12">
        <v>0.75</v>
      </c>
      <c r="U611" s="12">
        <v>0.8</v>
      </c>
      <c r="V611" s="12">
        <v>293.14999999999998</v>
      </c>
      <c r="W611" s="12">
        <v>10.70218492853048</v>
      </c>
      <c r="X611" s="12">
        <v>33.726434508173398</v>
      </c>
      <c r="Y611" s="12">
        <v>2700</v>
      </c>
      <c r="Z611" s="12">
        <v>10</v>
      </c>
      <c r="AA611" s="12" t="s">
        <v>1268</v>
      </c>
      <c r="AB611" s="12"/>
    </row>
    <row r="612" spans="1:28" x14ac:dyDescent="0.3">
      <c r="A612" s="12" t="s">
        <v>2509</v>
      </c>
      <c r="B612" s="12" t="s">
        <v>120</v>
      </c>
      <c r="C612" s="12" t="s">
        <v>392</v>
      </c>
      <c r="D612" s="12" t="s">
        <v>2478</v>
      </c>
      <c r="E612" s="12" t="s">
        <v>1886</v>
      </c>
      <c r="F612" s="12" t="s">
        <v>1861</v>
      </c>
      <c r="G612" s="12" t="s">
        <v>1861</v>
      </c>
      <c r="H612" s="12" t="b">
        <v>1</v>
      </c>
      <c r="I612" s="12" t="b">
        <v>0</v>
      </c>
      <c r="J612" s="12" t="b">
        <v>0</v>
      </c>
      <c r="K612" s="12" t="b">
        <v>0</v>
      </c>
      <c r="L612" s="12">
        <v>403</v>
      </c>
      <c r="M612" s="12">
        <v>293.14999999999998</v>
      </c>
      <c r="N612" s="12">
        <v>3000</v>
      </c>
      <c r="O612" s="12">
        <v>450</v>
      </c>
      <c r="P612" s="12">
        <v>0.5</v>
      </c>
      <c r="Q612" s="12">
        <v>0.85</v>
      </c>
      <c r="R612" s="12">
        <v>0.75</v>
      </c>
      <c r="S612" s="12">
        <v>0.85</v>
      </c>
      <c r="T612" s="12">
        <v>0.75</v>
      </c>
      <c r="U612" s="12">
        <v>0.8</v>
      </c>
      <c r="V612" s="12">
        <v>293.14999999999998</v>
      </c>
      <c r="W612" s="12">
        <v>9.2387949414440804</v>
      </c>
      <c r="X612" s="12">
        <v>29.121301042286571</v>
      </c>
      <c r="Y612" s="12">
        <v>2550</v>
      </c>
      <c r="Z612" s="12">
        <v>6.666666666666667</v>
      </c>
      <c r="AA612" s="12" t="s">
        <v>1268</v>
      </c>
      <c r="AB612" s="12"/>
    </row>
    <row r="613" spans="1:28" x14ac:dyDescent="0.3">
      <c r="A613" s="12" t="s">
        <v>2510</v>
      </c>
      <c r="B613" s="12" t="s">
        <v>120</v>
      </c>
      <c r="C613" s="12" t="s">
        <v>392</v>
      </c>
      <c r="D613" s="12" t="s">
        <v>2478</v>
      </c>
      <c r="E613" s="12" t="s">
        <v>1886</v>
      </c>
      <c r="F613" s="12" t="s">
        <v>32</v>
      </c>
      <c r="G613" s="12" t="s">
        <v>32</v>
      </c>
      <c r="H613" s="12" t="b">
        <v>1</v>
      </c>
      <c r="I613" s="12" t="b">
        <v>1</v>
      </c>
      <c r="J613" s="12" t="b">
        <v>0</v>
      </c>
      <c r="K613" s="12" t="b">
        <v>0</v>
      </c>
      <c r="L613" s="12">
        <v>403</v>
      </c>
      <c r="M613" s="12">
        <v>293.14999999999998</v>
      </c>
      <c r="N613" s="12">
        <v>3000</v>
      </c>
      <c r="O613" s="12">
        <v>600</v>
      </c>
      <c r="P613" s="12">
        <v>0.5</v>
      </c>
      <c r="Q613" s="12">
        <v>0.85</v>
      </c>
      <c r="R613" s="12">
        <v>0.75</v>
      </c>
      <c r="S613" s="12">
        <v>0.85</v>
      </c>
      <c r="T613" s="12">
        <v>0.75</v>
      </c>
      <c r="U613" s="12">
        <v>0.8</v>
      </c>
      <c r="V613" s="12">
        <v>293.14999999999998</v>
      </c>
      <c r="W613" s="12">
        <v>7.8795902865867804</v>
      </c>
      <c r="X613" s="12">
        <v>24.815447633571271</v>
      </c>
      <c r="Y613" s="12">
        <v>2400</v>
      </c>
      <c r="Z613" s="12">
        <v>5</v>
      </c>
      <c r="AA613" s="12"/>
      <c r="AB613" s="12"/>
    </row>
    <row r="614" spans="1:28" x14ac:dyDescent="0.3">
      <c r="A614" s="12" t="s">
        <v>2511</v>
      </c>
      <c r="B614" s="12" t="s">
        <v>120</v>
      </c>
      <c r="C614" s="12" t="s">
        <v>392</v>
      </c>
      <c r="D614" s="12" t="s">
        <v>2478</v>
      </c>
      <c r="E614" s="12" t="s">
        <v>1886</v>
      </c>
      <c r="F614" s="12" t="s">
        <v>32</v>
      </c>
      <c r="G614" s="12" t="s">
        <v>32</v>
      </c>
      <c r="H614" s="12" t="b">
        <v>1</v>
      </c>
      <c r="I614" s="12" t="b">
        <v>1</v>
      </c>
      <c r="J614" s="12" t="b">
        <v>0</v>
      </c>
      <c r="K614" s="12" t="b">
        <v>0</v>
      </c>
      <c r="L614" s="12">
        <v>403</v>
      </c>
      <c r="M614" s="12">
        <v>293.14999999999998</v>
      </c>
      <c r="N614" s="12">
        <v>3000</v>
      </c>
      <c r="O614" s="12">
        <v>750</v>
      </c>
      <c r="P614" s="12">
        <v>0.5</v>
      </c>
      <c r="Q614" s="12">
        <v>0.85</v>
      </c>
      <c r="R614" s="12">
        <v>0.75</v>
      </c>
      <c r="S614" s="12">
        <v>0.85</v>
      </c>
      <c r="T614" s="12">
        <v>0.75</v>
      </c>
      <c r="U614" s="12">
        <v>0.8</v>
      </c>
      <c r="V614" s="12">
        <v>293.14999999999998</v>
      </c>
      <c r="W614" s="12">
        <v>6.8012113745333513</v>
      </c>
      <c r="X614" s="12">
        <v>21.405024595491241</v>
      </c>
      <c r="Y614" s="12">
        <v>2250</v>
      </c>
      <c r="Z614" s="12">
        <v>4</v>
      </c>
      <c r="AA614" s="12"/>
      <c r="AB614" s="12"/>
    </row>
    <row r="615" spans="1:28" x14ac:dyDescent="0.3">
      <c r="A615" s="12" t="s">
        <v>2512</v>
      </c>
      <c r="B615" s="12" t="s">
        <v>120</v>
      </c>
      <c r="C615" s="12" t="s">
        <v>392</v>
      </c>
      <c r="D615" s="12" t="s">
        <v>2478</v>
      </c>
      <c r="E615" s="12" t="s">
        <v>1886</v>
      </c>
      <c r="F615" s="12" t="s">
        <v>1862</v>
      </c>
      <c r="G615" s="12" t="s">
        <v>1862</v>
      </c>
      <c r="H615" s="12" t="b">
        <v>1</v>
      </c>
      <c r="I615" s="12" t="b">
        <v>0</v>
      </c>
      <c r="J615" s="12" t="b">
        <v>0</v>
      </c>
      <c r="K615" s="12" t="b">
        <v>0</v>
      </c>
      <c r="L615" s="12">
        <v>403</v>
      </c>
      <c r="M615" s="12">
        <v>293.14999999999998</v>
      </c>
      <c r="N615" s="12">
        <v>3000</v>
      </c>
      <c r="O615" s="12">
        <v>150</v>
      </c>
      <c r="P615" s="12">
        <v>0.5</v>
      </c>
      <c r="Q615" s="12">
        <v>0.85</v>
      </c>
      <c r="R615" s="12">
        <v>0.75</v>
      </c>
      <c r="S615" s="12">
        <v>0.85</v>
      </c>
      <c r="T615" s="12">
        <v>0.75</v>
      </c>
      <c r="U615" s="12">
        <v>0.8</v>
      </c>
      <c r="V615" s="12">
        <v>293.14999999999998</v>
      </c>
      <c r="W615" s="12">
        <v>-8.3515771380792803</v>
      </c>
      <c r="X615" s="12">
        <v>-17.998557883031069</v>
      </c>
      <c r="Y615" s="12">
        <v>2850</v>
      </c>
      <c r="Z615" s="12">
        <v>20</v>
      </c>
      <c r="AA615" s="12" t="s">
        <v>2513</v>
      </c>
      <c r="AB615" s="12"/>
    </row>
    <row r="616" spans="1:28" x14ac:dyDescent="0.3">
      <c r="A616" s="12" t="s">
        <v>2514</v>
      </c>
      <c r="B616" s="12" t="s">
        <v>120</v>
      </c>
      <c r="C616" s="12" t="s">
        <v>392</v>
      </c>
      <c r="D616" s="12" t="s">
        <v>2478</v>
      </c>
      <c r="E616" s="12" t="s">
        <v>1886</v>
      </c>
      <c r="F616" s="12" t="s">
        <v>32</v>
      </c>
      <c r="G616" s="12" t="s">
        <v>32</v>
      </c>
      <c r="H616" s="12" t="b">
        <v>1</v>
      </c>
      <c r="I616" s="12" t="b">
        <v>1</v>
      </c>
      <c r="J616" s="12" t="b">
        <v>0</v>
      </c>
      <c r="K616" s="12" t="b">
        <v>0</v>
      </c>
      <c r="L616" s="12">
        <v>403</v>
      </c>
      <c r="M616" s="12">
        <v>293.14999999999998</v>
      </c>
      <c r="N616" s="12">
        <v>3000</v>
      </c>
      <c r="O616" s="12">
        <v>900</v>
      </c>
      <c r="P616" s="12">
        <v>0.5</v>
      </c>
      <c r="Q616" s="12">
        <v>0.85</v>
      </c>
      <c r="R616" s="12">
        <v>0.75</v>
      </c>
      <c r="S616" s="12">
        <v>0.85</v>
      </c>
      <c r="T616" s="12">
        <v>0.75</v>
      </c>
      <c r="U616" s="12">
        <v>0.8</v>
      </c>
      <c r="V616" s="12">
        <v>293.14999999999998</v>
      </c>
      <c r="W616" s="12">
        <v>5.9076637306637894</v>
      </c>
      <c r="X616" s="12">
        <v>18.58294102001982</v>
      </c>
      <c r="Y616" s="12">
        <v>2100</v>
      </c>
      <c r="Z616" s="12">
        <v>3.333333333333333</v>
      </c>
      <c r="AA616" s="12"/>
      <c r="AB616" s="12"/>
    </row>
    <row r="617" spans="1:28" x14ac:dyDescent="0.3">
      <c r="A617" s="12" t="s">
        <v>2515</v>
      </c>
      <c r="B617" s="12" t="s">
        <v>120</v>
      </c>
      <c r="C617" s="12" t="s">
        <v>392</v>
      </c>
      <c r="D617" s="12" t="s">
        <v>2478</v>
      </c>
      <c r="E617" s="12" t="s">
        <v>1886</v>
      </c>
      <c r="F617" s="12" t="s">
        <v>32</v>
      </c>
      <c r="G617" s="12" t="s">
        <v>32</v>
      </c>
      <c r="H617" s="12" t="b">
        <v>1</v>
      </c>
      <c r="I617" s="12" t="b">
        <v>1</v>
      </c>
      <c r="J617" s="12" t="b">
        <v>0</v>
      </c>
      <c r="K617" s="12" t="b">
        <v>0</v>
      </c>
      <c r="L617" s="12">
        <v>403</v>
      </c>
      <c r="M617" s="12">
        <v>293.14999999999998</v>
      </c>
      <c r="N617" s="12">
        <v>3000</v>
      </c>
      <c r="O617" s="12">
        <v>1050</v>
      </c>
      <c r="P617" s="12">
        <v>0.5</v>
      </c>
      <c r="Q617" s="12">
        <v>0.85</v>
      </c>
      <c r="R617" s="12">
        <v>0.75</v>
      </c>
      <c r="S617" s="12">
        <v>0.85</v>
      </c>
      <c r="T617" s="12">
        <v>0.75</v>
      </c>
      <c r="U617" s="12">
        <v>0.8</v>
      </c>
      <c r="V617" s="12">
        <v>293.14999999999998</v>
      </c>
      <c r="W617" s="12">
        <v>5.1455685960359796</v>
      </c>
      <c r="X617" s="12">
        <v>16.178664496954401</v>
      </c>
      <c r="Y617" s="12">
        <v>1950</v>
      </c>
      <c r="Z617" s="12">
        <v>2.8571428571428572</v>
      </c>
      <c r="AA617" s="12"/>
      <c r="AB617" s="12"/>
    </row>
    <row r="618" spans="1:28" x14ac:dyDescent="0.3">
      <c r="A618" s="12" t="s">
        <v>2516</v>
      </c>
      <c r="B618" s="12" t="s">
        <v>120</v>
      </c>
      <c r="C618" s="12" t="s">
        <v>392</v>
      </c>
      <c r="D618" s="12" t="s">
        <v>2478</v>
      </c>
      <c r="E618" s="12" t="s">
        <v>1886</v>
      </c>
      <c r="F618" s="12" t="s">
        <v>32</v>
      </c>
      <c r="G618" s="12" t="s">
        <v>32</v>
      </c>
      <c r="H618" s="12" t="b">
        <v>1</v>
      </c>
      <c r="I618" s="12" t="b">
        <v>1</v>
      </c>
      <c r="J618" s="12" t="b">
        <v>0</v>
      </c>
      <c r="K618" s="12" t="b">
        <v>0</v>
      </c>
      <c r="L618" s="12">
        <v>403</v>
      </c>
      <c r="M618" s="12">
        <v>293.14999999999998</v>
      </c>
      <c r="N618" s="12">
        <v>3000</v>
      </c>
      <c r="O618" s="12">
        <v>1200</v>
      </c>
      <c r="P618" s="12">
        <v>0.5</v>
      </c>
      <c r="Q618" s="12">
        <v>0.85</v>
      </c>
      <c r="R618" s="12">
        <v>0.75</v>
      </c>
      <c r="S618" s="12">
        <v>0.85</v>
      </c>
      <c r="T618" s="12">
        <v>0.75</v>
      </c>
      <c r="U618" s="12">
        <v>0.8</v>
      </c>
      <c r="V618" s="12">
        <v>293.14999999999998</v>
      </c>
      <c r="W618" s="12">
        <v>4.48211270099348</v>
      </c>
      <c r="X618" s="12">
        <v>14.08749335462489</v>
      </c>
      <c r="Y618" s="12">
        <v>1800</v>
      </c>
      <c r="Z618" s="12">
        <v>2.5</v>
      </c>
      <c r="AA618" s="12"/>
      <c r="AB618" s="12"/>
    </row>
    <row r="619" spans="1:28" x14ac:dyDescent="0.3">
      <c r="A619" s="12" t="s">
        <v>2517</v>
      </c>
      <c r="B619" s="12" t="s">
        <v>120</v>
      </c>
      <c r="C619" s="12" t="s">
        <v>392</v>
      </c>
      <c r="D619" s="12" t="s">
        <v>2478</v>
      </c>
      <c r="E619" s="12" t="s">
        <v>1886</v>
      </c>
      <c r="F619" s="12" t="s">
        <v>32</v>
      </c>
      <c r="G619" s="12" t="s">
        <v>32</v>
      </c>
      <c r="H619" s="12" t="b">
        <v>1</v>
      </c>
      <c r="I619" s="12" t="b">
        <v>1</v>
      </c>
      <c r="J619" s="12" t="b">
        <v>0</v>
      </c>
      <c r="K619" s="12" t="b">
        <v>0</v>
      </c>
      <c r="L619" s="12">
        <v>403</v>
      </c>
      <c r="M619" s="12">
        <v>293.14999999999998</v>
      </c>
      <c r="N619" s="12">
        <v>3000</v>
      </c>
      <c r="O619" s="12">
        <v>1350</v>
      </c>
      <c r="P619" s="12">
        <v>0.5</v>
      </c>
      <c r="Q619" s="12">
        <v>0.85</v>
      </c>
      <c r="R619" s="12">
        <v>0.75</v>
      </c>
      <c r="S619" s="12">
        <v>0.85</v>
      </c>
      <c r="T619" s="12">
        <v>0.75</v>
      </c>
      <c r="U619" s="12">
        <v>0.8</v>
      </c>
      <c r="V619" s="12">
        <v>293.14999999999998</v>
      </c>
      <c r="W619" s="12">
        <v>3.89560759737661</v>
      </c>
      <c r="X619" s="12">
        <v>12.24029854552899</v>
      </c>
      <c r="Y619" s="12">
        <v>1650</v>
      </c>
      <c r="Z619" s="12">
        <v>2.2222222222222219</v>
      </c>
      <c r="AA619" s="12"/>
      <c r="AB619" s="12"/>
    </row>
    <row r="620" spans="1:28" x14ac:dyDescent="0.3">
      <c r="A620" s="12" t="s">
        <v>2518</v>
      </c>
      <c r="B620" s="12" t="s">
        <v>120</v>
      </c>
      <c r="C620" s="12" t="s">
        <v>392</v>
      </c>
      <c r="D620" s="12" t="s">
        <v>2478</v>
      </c>
      <c r="E620" s="12" t="s">
        <v>1886</v>
      </c>
      <c r="F620" s="12" t="s">
        <v>32</v>
      </c>
      <c r="G620" s="12" t="s">
        <v>32</v>
      </c>
      <c r="H620" s="12" t="b">
        <v>1</v>
      </c>
      <c r="I620" s="12" t="b">
        <v>1</v>
      </c>
      <c r="J620" s="12" t="b">
        <v>0</v>
      </c>
      <c r="K620" s="12" t="b">
        <v>0</v>
      </c>
      <c r="L620" s="12">
        <v>403</v>
      </c>
      <c r="M620" s="12">
        <v>293.14999999999998</v>
      </c>
      <c r="N620" s="12">
        <v>3000</v>
      </c>
      <c r="O620" s="12">
        <v>1500</v>
      </c>
      <c r="P620" s="12">
        <v>0.5</v>
      </c>
      <c r="Q620" s="12">
        <v>0.85</v>
      </c>
      <c r="R620" s="12">
        <v>0.75</v>
      </c>
      <c r="S620" s="12">
        <v>0.85</v>
      </c>
      <c r="T620" s="12">
        <v>0.75</v>
      </c>
      <c r="U620" s="12">
        <v>0.8</v>
      </c>
      <c r="V620" s="12">
        <v>293.14999999999998</v>
      </c>
      <c r="W620" s="12">
        <v>3.37093060808711</v>
      </c>
      <c r="X620" s="12">
        <v>10.58893005737616</v>
      </c>
      <c r="Y620" s="12">
        <v>1500</v>
      </c>
      <c r="Z620" s="12">
        <v>2</v>
      </c>
      <c r="AA620" s="12"/>
      <c r="AB620" s="12"/>
    </row>
    <row r="621" spans="1:28" x14ac:dyDescent="0.3">
      <c r="A621" s="12" t="s">
        <v>2519</v>
      </c>
      <c r="B621" s="12" t="s">
        <v>120</v>
      </c>
      <c r="C621" s="12" t="s">
        <v>392</v>
      </c>
      <c r="D621" s="12" t="s">
        <v>2478</v>
      </c>
      <c r="E621" s="12" t="s">
        <v>1886</v>
      </c>
      <c r="F621" s="12" t="s">
        <v>1862</v>
      </c>
      <c r="G621" s="12" t="s">
        <v>1862</v>
      </c>
      <c r="H621" s="12" t="b">
        <v>1</v>
      </c>
      <c r="I621" s="12" t="b">
        <v>0</v>
      </c>
      <c r="J621" s="12" t="b">
        <v>0</v>
      </c>
      <c r="K621" s="12" t="b">
        <v>0</v>
      </c>
      <c r="L621" s="12">
        <v>403</v>
      </c>
      <c r="M621" s="12">
        <v>300.032917</v>
      </c>
      <c r="N621" s="12">
        <v>3000</v>
      </c>
      <c r="O621" s="12">
        <v>150</v>
      </c>
      <c r="P621" s="12">
        <v>0.5</v>
      </c>
      <c r="Q621" s="12">
        <v>0.85</v>
      </c>
      <c r="R621" s="12">
        <v>0.75</v>
      </c>
      <c r="S621" s="12">
        <v>0.85</v>
      </c>
      <c r="T621" s="12">
        <v>0.75</v>
      </c>
      <c r="U621" s="12">
        <v>0.8</v>
      </c>
      <c r="V621" s="12">
        <v>300.032917</v>
      </c>
      <c r="W621" s="12">
        <v>-40.371308617285429</v>
      </c>
      <c r="X621" s="12">
        <v>-53.829330759994299</v>
      </c>
      <c r="Y621" s="12">
        <v>2850</v>
      </c>
      <c r="Z621" s="12">
        <v>20</v>
      </c>
      <c r="AA621" s="12" t="s">
        <v>2513</v>
      </c>
      <c r="AB621" s="12"/>
    </row>
    <row r="622" spans="1:28" x14ac:dyDescent="0.3">
      <c r="A622" s="12" t="s">
        <v>2520</v>
      </c>
      <c r="B622" s="12" t="s">
        <v>120</v>
      </c>
      <c r="C622" s="12" t="s">
        <v>392</v>
      </c>
      <c r="D622" s="12" t="s">
        <v>2478</v>
      </c>
      <c r="E622" s="12" t="s">
        <v>1886</v>
      </c>
      <c r="F622" s="12" t="s">
        <v>1861</v>
      </c>
      <c r="G622" s="12" t="s">
        <v>1861</v>
      </c>
      <c r="H622" s="12" t="b">
        <v>1</v>
      </c>
      <c r="I622" s="12" t="b">
        <v>0</v>
      </c>
      <c r="J622" s="12" t="b">
        <v>0</v>
      </c>
      <c r="K622" s="12" t="b">
        <v>0</v>
      </c>
      <c r="L622" s="12">
        <v>403</v>
      </c>
      <c r="M622" s="12">
        <v>300.032917</v>
      </c>
      <c r="N622" s="12">
        <v>3000</v>
      </c>
      <c r="O622" s="12">
        <v>300</v>
      </c>
      <c r="P622" s="12">
        <v>0.5</v>
      </c>
      <c r="Q622" s="12">
        <v>0.85</v>
      </c>
      <c r="R622" s="12">
        <v>0.75</v>
      </c>
      <c r="S622" s="12">
        <v>0.85</v>
      </c>
      <c r="T622" s="12">
        <v>0.75</v>
      </c>
      <c r="U622" s="12">
        <v>0.8</v>
      </c>
      <c r="V622" s="12">
        <v>300.032917</v>
      </c>
      <c r="W622" s="12">
        <v>9.3173560803192697</v>
      </c>
      <c r="X622" s="12">
        <v>26.21501198323617</v>
      </c>
      <c r="Y622" s="12">
        <v>2700</v>
      </c>
      <c r="Z622" s="12">
        <v>10</v>
      </c>
      <c r="AA622" s="12" t="s">
        <v>1268</v>
      </c>
      <c r="AB622" s="12"/>
    </row>
    <row r="623" spans="1:28" x14ac:dyDescent="0.3">
      <c r="A623" s="12" t="s">
        <v>2521</v>
      </c>
      <c r="B623" s="12" t="s">
        <v>120</v>
      </c>
      <c r="C623" s="12" t="s">
        <v>392</v>
      </c>
      <c r="D623" s="12" t="s">
        <v>2478</v>
      </c>
      <c r="E623" s="12" t="s">
        <v>1886</v>
      </c>
      <c r="F623" s="12" t="s">
        <v>1861</v>
      </c>
      <c r="G623" s="12" t="s">
        <v>1861</v>
      </c>
      <c r="H623" s="12" t="b">
        <v>1</v>
      </c>
      <c r="I623" s="12" t="b">
        <v>0</v>
      </c>
      <c r="J623" s="12" t="b">
        <v>0</v>
      </c>
      <c r="K623" s="12" t="b">
        <v>0</v>
      </c>
      <c r="L623" s="12">
        <v>403</v>
      </c>
      <c r="M623" s="12">
        <v>300.032917</v>
      </c>
      <c r="N623" s="12">
        <v>3000</v>
      </c>
      <c r="O623" s="12">
        <v>450</v>
      </c>
      <c r="P623" s="12">
        <v>0.5</v>
      </c>
      <c r="Q623" s="12">
        <v>0.85</v>
      </c>
      <c r="R623" s="12">
        <v>0.75</v>
      </c>
      <c r="S623" s="12">
        <v>0.85</v>
      </c>
      <c r="T623" s="12">
        <v>0.75</v>
      </c>
      <c r="U623" s="12">
        <v>0.8</v>
      </c>
      <c r="V623" s="12">
        <v>300.032917</v>
      </c>
      <c r="W623" s="12">
        <v>9.4662309099427695</v>
      </c>
      <c r="X623" s="12">
        <v>28.960311075896751</v>
      </c>
      <c r="Y623" s="12">
        <v>2550</v>
      </c>
      <c r="Z623" s="12">
        <v>6.666666666666667</v>
      </c>
      <c r="AA623" s="12" t="s">
        <v>1268</v>
      </c>
      <c r="AB623" s="12"/>
    </row>
    <row r="624" spans="1:28" x14ac:dyDescent="0.3">
      <c r="A624" s="12" t="s">
        <v>2522</v>
      </c>
      <c r="B624" s="12" t="s">
        <v>120</v>
      </c>
      <c r="C624" s="12" t="s">
        <v>392</v>
      </c>
      <c r="D624" s="12" t="s">
        <v>2478</v>
      </c>
      <c r="E624" s="12" t="s">
        <v>1886</v>
      </c>
      <c r="F624" s="12" t="s">
        <v>32</v>
      </c>
      <c r="G624" s="12" t="s">
        <v>32</v>
      </c>
      <c r="H624" s="12" t="b">
        <v>1</v>
      </c>
      <c r="I624" s="12" t="b">
        <v>1</v>
      </c>
      <c r="J624" s="12" t="b">
        <v>0</v>
      </c>
      <c r="K624" s="12" t="b">
        <v>0</v>
      </c>
      <c r="L624" s="12">
        <v>403</v>
      </c>
      <c r="M624" s="12">
        <v>300.032917</v>
      </c>
      <c r="N624" s="12">
        <v>3000</v>
      </c>
      <c r="O624" s="12">
        <v>600</v>
      </c>
      <c r="P624" s="12">
        <v>0.5</v>
      </c>
      <c r="Q624" s="12">
        <v>0.85</v>
      </c>
      <c r="R624" s="12">
        <v>0.75</v>
      </c>
      <c r="S624" s="12">
        <v>0.85</v>
      </c>
      <c r="T624" s="12">
        <v>0.75</v>
      </c>
      <c r="U624" s="12">
        <v>0.8</v>
      </c>
      <c r="V624" s="12">
        <v>300.032917</v>
      </c>
      <c r="W624" s="12">
        <v>8.1721892568798999</v>
      </c>
      <c r="X624" s="12">
        <v>24.989779196285291</v>
      </c>
      <c r="Y624" s="12">
        <v>2400</v>
      </c>
      <c r="Z624" s="12">
        <v>5</v>
      </c>
      <c r="AA624" s="12"/>
      <c r="AB624" s="12"/>
    </row>
    <row r="625" spans="1:28" x14ac:dyDescent="0.3">
      <c r="A625" s="12" t="s">
        <v>2523</v>
      </c>
      <c r="B625" s="12" t="s">
        <v>120</v>
      </c>
      <c r="C625" s="12" t="s">
        <v>392</v>
      </c>
      <c r="D625" s="12" t="s">
        <v>2478</v>
      </c>
      <c r="E625" s="12" t="s">
        <v>1886</v>
      </c>
      <c r="F625" s="12" t="s">
        <v>32</v>
      </c>
      <c r="G625" s="12" t="s">
        <v>32</v>
      </c>
      <c r="H625" s="12" t="b">
        <v>1</v>
      </c>
      <c r="I625" s="12" t="b">
        <v>1</v>
      </c>
      <c r="J625" s="12" t="b">
        <v>0</v>
      </c>
      <c r="K625" s="12" t="b">
        <v>0</v>
      </c>
      <c r="L625" s="12">
        <v>403</v>
      </c>
      <c r="M625" s="12">
        <v>300.032917</v>
      </c>
      <c r="N625" s="12">
        <v>3000</v>
      </c>
      <c r="O625" s="12">
        <v>750</v>
      </c>
      <c r="P625" s="12">
        <v>0.5</v>
      </c>
      <c r="Q625" s="12">
        <v>0.85</v>
      </c>
      <c r="R625" s="12">
        <v>0.75</v>
      </c>
      <c r="S625" s="12">
        <v>0.85</v>
      </c>
      <c r="T625" s="12">
        <v>0.75</v>
      </c>
      <c r="U625" s="12">
        <v>0.8</v>
      </c>
      <c r="V625" s="12">
        <v>300.032917</v>
      </c>
      <c r="W625" s="12">
        <v>7.0537855217304202</v>
      </c>
      <c r="X625" s="12">
        <v>21.554942568121181</v>
      </c>
      <c r="Y625" s="12">
        <v>2250</v>
      </c>
      <c r="Z625" s="12">
        <v>4</v>
      </c>
      <c r="AA625" s="12"/>
      <c r="AB625" s="12"/>
    </row>
    <row r="626" spans="1:28" x14ac:dyDescent="0.3">
      <c r="A626" s="12" t="s">
        <v>2524</v>
      </c>
      <c r="B626" s="12" t="s">
        <v>120</v>
      </c>
      <c r="C626" s="12" t="s">
        <v>392</v>
      </c>
      <c r="D626" s="12" t="s">
        <v>2478</v>
      </c>
      <c r="E626" s="12" t="s">
        <v>1886</v>
      </c>
      <c r="F626" s="12" t="s">
        <v>32</v>
      </c>
      <c r="G626" s="12" t="s">
        <v>32</v>
      </c>
      <c r="H626" s="12" t="b">
        <v>1</v>
      </c>
      <c r="I626" s="12" t="b">
        <v>1</v>
      </c>
      <c r="J626" s="12" t="b">
        <v>0</v>
      </c>
      <c r="K626" s="12" t="b">
        <v>0</v>
      </c>
      <c r="L626" s="12">
        <v>403</v>
      </c>
      <c r="M626" s="12">
        <v>300.032917</v>
      </c>
      <c r="N626" s="12">
        <v>3000</v>
      </c>
      <c r="O626" s="12">
        <v>900</v>
      </c>
      <c r="P626" s="12">
        <v>0.5</v>
      </c>
      <c r="Q626" s="12">
        <v>0.85</v>
      </c>
      <c r="R626" s="12">
        <v>0.75</v>
      </c>
      <c r="S626" s="12">
        <v>0.85</v>
      </c>
      <c r="T626" s="12">
        <v>0.75</v>
      </c>
      <c r="U626" s="12">
        <v>0.8</v>
      </c>
      <c r="V626" s="12">
        <v>300.032917</v>
      </c>
      <c r="W626" s="12">
        <v>6.1270611844185296</v>
      </c>
      <c r="X626" s="12">
        <v>18.7127684232278</v>
      </c>
      <c r="Y626" s="12">
        <v>2100</v>
      </c>
      <c r="Z626" s="12">
        <v>3.333333333333333</v>
      </c>
      <c r="AA626" s="12"/>
      <c r="AB626" s="12"/>
    </row>
    <row r="627" spans="1:28" x14ac:dyDescent="0.3">
      <c r="A627" s="12" t="s">
        <v>2525</v>
      </c>
      <c r="B627" s="12" t="s">
        <v>120</v>
      </c>
      <c r="C627" s="12" t="s">
        <v>392</v>
      </c>
      <c r="D627" s="12" t="s">
        <v>2478</v>
      </c>
      <c r="E627" s="12" t="s">
        <v>1886</v>
      </c>
      <c r="F627" s="12" t="s">
        <v>32</v>
      </c>
      <c r="G627" s="12" t="s">
        <v>32</v>
      </c>
      <c r="H627" s="12" t="b">
        <v>1</v>
      </c>
      <c r="I627" s="12" t="b">
        <v>1</v>
      </c>
      <c r="J627" s="12" t="b">
        <v>0</v>
      </c>
      <c r="K627" s="12" t="b">
        <v>0</v>
      </c>
      <c r="L627" s="12">
        <v>403</v>
      </c>
      <c r="M627" s="12">
        <v>300.032917</v>
      </c>
      <c r="N627" s="12">
        <v>3000</v>
      </c>
      <c r="O627" s="12">
        <v>1050</v>
      </c>
      <c r="P627" s="12">
        <v>0.5</v>
      </c>
      <c r="Q627" s="12">
        <v>0.85</v>
      </c>
      <c r="R627" s="12">
        <v>0.75</v>
      </c>
      <c r="S627" s="12">
        <v>0.85</v>
      </c>
      <c r="T627" s="12">
        <v>0.75</v>
      </c>
      <c r="U627" s="12">
        <v>0.8</v>
      </c>
      <c r="V627" s="12">
        <v>300.032917</v>
      </c>
      <c r="W627" s="12">
        <v>5.3366619285346601</v>
      </c>
      <c r="X627" s="12">
        <v>16.29145166031817</v>
      </c>
      <c r="Y627" s="12">
        <v>1950</v>
      </c>
      <c r="Z627" s="12">
        <v>2.8571428571428572</v>
      </c>
      <c r="AA627" s="12"/>
      <c r="AB627" s="12"/>
    </row>
    <row r="628" spans="1:28" x14ac:dyDescent="0.3">
      <c r="A628" s="12" t="s">
        <v>2526</v>
      </c>
      <c r="B628" s="12" t="s">
        <v>120</v>
      </c>
      <c r="C628" s="12" t="s">
        <v>392</v>
      </c>
      <c r="D628" s="12" t="s">
        <v>2478</v>
      </c>
      <c r="E628" s="12" t="s">
        <v>1886</v>
      </c>
      <c r="F628" s="12" t="s">
        <v>32</v>
      </c>
      <c r="G628" s="12" t="s">
        <v>32</v>
      </c>
      <c r="H628" s="12" t="b">
        <v>1</v>
      </c>
      <c r="I628" s="12" t="b">
        <v>1</v>
      </c>
      <c r="J628" s="12" t="b">
        <v>0</v>
      </c>
      <c r="K628" s="12" t="b">
        <v>0</v>
      </c>
      <c r="L628" s="12">
        <v>403</v>
      </c>
      <c r="M628" s="12">
        <v>300.032917</v>
      </c>
      <c r="N628" s="12">
        <v>3000</v>
      </c>
      <c r="O628" s="12">
        <v>1200</v>
      </c>
      <c r="P628" s="12">
        <v>0.5</v>
      </c>
      <c r="Q628" s="12">
        <v>0.85</v>
      </c>
      <c r="R628" s="12">
        <v>0.75</v>
      </c>
      <c r="S628" s="12">
        <v>0.85</v>
      </c>
      <c r="T628" s="12">
        <v>0.75</v>
      </c>
      <c r="U628" s="12">
        <v>0.8</v>
      </c>
      <c r="V628" s="12">
        <v>300.032917</v>
      </c>
      <c r="W628" s="12">
        <v>4.6485559958581701</v>
      </c>
      <c r="X628" s="12">
        <v>14.18551201394656</v>
      </c>
      <c r="Y628" s="12">
        <v>1800</v>
      </c>
      <c r="Z628" s="12">
        <v>2.5</v>
      </c>
      <c r="AA628" s="12"/>
      <c r="AB628" s="12"/>
    </row>
    <row r="629" spans="1:28" x14ac:dyDescent="0.3">
      <c r="A629" s="12" t="s">
        <v>2527</v>
      </c>
      <c r="B629" s="12" t="s">
        <v>120</v>
      </c>
      <c r="C629" s="12" t="s">
        <v>392</v>
      </c>
      <c r="D629" s="12" t="s">
        <v>2478</v>
      </c>
      <c r="E629" s="12" t="s">
        <v>1886</v>
      </c>
      <c r="F629" s="12" t="s">
        <v>32</v>
      </c>
      <c r="G629" s="12" t="s">
        <v>32</v>
      </c>
      <c r="H629" s="12" t="b">
        <v>1</v>
      </c>
      <c r="I629" s="12" t="b">
        <v>1</v>
      </c>
      <c r="J629" s="12" t="b">
        <v>0</v>
      </c>
      <c r="K629" s="12" t="b">
        <v>0</v>
      </c>
      <c r="L629" s="12">
        <v>403</v>
      </c>
      <c r="M629" s="12">
        <v>300.032917</v>
      </c>
      <c r="N629" s="12">
        <v>3000</v>
      </c>
      <c r="O629" s="12">
        <v>1350</v>
      </c>
      <c r="P629" s="12">
        <v>0.5</v>
      </c>
      <c r="Q629" s="12">
        <v>0.85</v>
      </c>
      <c r="R629" s="12">
        <v>0.75</v>
      </c>
      <c r="S629" s="12">
        <v>0.85</v>
      </c>
      <c r="T629" s="12">
        <v>0.75</v>
      </c>
      <c r="U629" s="12">
        <v>0.8</v>
      </c>
      <c r="V629" s="12">
        <v>300.032917</v>
      </c>
      <c r="W629" s="12">
        <v>4.0402608835892497</v>
      </c>
      <c r="X629" s="12">
        <v>12.32531702263673</v>
      </c>
      <c r="Y629" s="12">
        <v>1650</v>
      </c>
      <c r="Z629" s="12">
        <v>2.2222222222222219</v>
      </c>
      <c r="AA629" s="12"/>
      <c r="AB629" s="12"/>
    </row>
    <row r="630" spans="1:28" x14ac:dyDescent="0.3">
      <c r="A630" s="12" t="s">
        <v>2528</v>
      </c>
      <c r="B630" s="12" t="s">
        <v>120</v>
      </c>
      <c r="C630" s="12" t="s">
        <v>392</v>
      </c>
      <c r="D630" s="12" t="s">
        <v>2478</v>
      </c>
      <c r="E630" s="12" t="s">
        <v>1886</v>
      </c>
      <c r="F630" s="12" t="s">
        <v>32</v>
      </c>
      <c r="G630" s="12" t="s">
        <v>32</v>
      </c>
      <c r="H630" s="12" t="b">
        <v>1</v>
      </c>
      <c r="I630" s="12" t="b">
        <v>1</v>
      </c>
      <c r="J630" s="12" t="b">
        <v>0</v>
      </c>
      <c r="K630" s="12" t="b">
        <v>0</v>
      </c>
      <c r="L630" s="12">
        <v>403</v>
      </c>
      <c r="M630" s="12">
        <v>300.032917</v>
      </c>
      <c r="N630" s="12">
        <v>3000</v>
      </c>
      <c r="O630" s="12">
        <v>1500</v>
      </c>
      <c r="P630" s="12">
        <v>0.5</v>
      </c>
      <c r="Q630" s="12">
        <v>0.85</v>
      </c>
      <c r="R630" s="12">
        <v>0.75</v>
      </c>
      <c r="S630" s="12">
        <v>0.85</v>
      </c>
      <c r="T630" s="12">
        <v>0.75</v>
      </c>
      <c r="U630" s="12">
        <v>0.8</v>
      </c>
      <c r="V630" s="12">
        <v>300.032917</v>
      </c>
      <c r="W630" s="12">
        <v>3.4960913910065199</v>
      </c>
      <c r="X630" s="12">
        <v>10.66236197414988</v>
      </c>
      <c r="Y630" s="12">
        <v>1500</v>
      </c>
      <c r="Z630" s="12">
        <v>2</v>
      </c>
      <c r="AA630" s="12"/>
      <c r="AB630" s="12"/>
    </row>
    <row r="631" spans="1:28" x14ac:dyDescent="0.3">
      <c r="A631" s="12" t="s">
        <v>2529</v>
      </c>
      <c r="B631" s="12" t="s">
        <v>120</v>
      </c>
      <c r="C631" s="12" t="s">
        <v>395</v>
      </c>
      <c r="D631" s="12" t="s">
        <v>2530</v>
      </c>
      <c r="E631" s="12" t="s">
        <v>1886</v>
      </c>
      <c r="F631" s="12" t="s">
        <v>1861</v>
      </c>
      <c r="G631" s="12" t="s">
        <v>1861</v>
      </c>
      <c r="H631" s="12" t="b">
        <v>1</v>
      </c>
      <c r="I631" s="12" t="b">
        <v>0</v>
      </c>
      <c r="J631" s="12" t="b">
        <v>0</v>
      </c>
      <c r="K631" s="12" t="b">
        <v>0</v>
      </c>
      <c r="L631" s="12">
        <v>420</v>
      </c>
      <c r="M631" s="12">
        <v>278.14999999999998</v>
      </c>
      <c r="N631" s="12">
        <v>3000</v>
      </c>
      <c r="O631" s="12">
        <v>150</v>
      </c>
      <c r="P631" s="12">
        <v>0.5</v>
      </c>
      <c r="Q631" s="12">
        <v>0.85</v>
      </c>
      <c r="R631" s="12">
        <v>0.75</v>
      </c>
      <c r="S631" s="12">
        <v>0.85</v>
      </c>
      <c r="T631" s="12">
        <v>0.75</v>
      </c>
      <c r="U631" s="12">
        <v>0.8</v>
      </c>
      <c r="V631" s="12">
        <v>278.14999999999998</v>
      </c>
      <c r="W631" s="12">
        <v>15.82706115287613</v>
      </c>
      <c r="X631" s="12">
        <v>85.265358308342513</v>
      </c>
      <c r="Y631" s="12">
        <v>2850</v>
      </c>
      <c r="Z631" s="12">
        <v>20</v>
      </c>
      <c r="AA631" s="12" t="s">
        <v>1981</v>
      </c>
      <c r="AB631" s="12"/>
    </row>
    <row r="632" spans="1:28" x14ac:dyDescent="0.3">
      <c r="A632" s="12" t="s">
        <v>2531</v>
      </c>
      <c r="B632" s="12" t="s">
        <v>120</v>
      </c>
      <c r="C632" s="12" t="s">
        <v>395</v>
      </c>
      <c r="D632" s="12" t="s">
        <v>2530</v>
      </c>
      <c r="E632" s="12" t="s">
        <v>1886</v>
      </c>
      <c r="F632" s="12" t="s">
        <v>1861</v>
      </c>
      <c r="G632" s="12" t="s">
        <v>1861</v>
      </c>
      <c r="H632" s="12" t="b">
        <v>1</v>
      </c>
      <c r="I632" s="12" t="b">
        <v>0</v>
      </c>
      <c r="J632" s="12" t="b">
        <v>0</v>
      </c>
      <c r="K632" s="12" t="b">
        <v>0</v>
      </c>
      <c r="L632" s="12">
        <v>420</v>
      </c>
      <c r="M632" s="12">
        <v>278.14999999999998</v>
      </c>
      <c r="N632" s="12">
        <v>3000</v>
      </c>
      <c r="O632" s="12">
        <v>300</v>
      </c>
      <c r="P632" s="12">
        <v>0.5</v>
      </c>
      <c r="Q632" s="12">
        <v>0.85</v>
      </c>
      <c r="R632" s="12">
        <v>0.75</v>
      </c>
      <c r="S632" s="12">
        <v>0.85</v>
      </c>
      <c r="T632" s="12">
        <v>0.75</v>
      </c>
      <c r="U632" s="12">
        <v>0.8</v>
      </c>
      <c r="V632" s="12">
        <v>278.14999999999998</v>
      </c>
      <c r="W632" s="12">
        <v>13.26199479913055</v>
      </c>
      <c r="X632" s="12">
        <v>71.66275833828891</v>
      </c>
      <c r="Y632" s="12">
        <v>2700</v>
      </c>
      <c r="Z632" s="12">
        <v>10</v>
      </c>
      <c r="AA632" s="12" t="s">
        <v>1268</v>
      </c>
      <c r="AB632" s="12"/>
    </row>
    <row r="633" spans="1:28" x14ac:dyDescent="0.3">
      <c r="A633" s="12" t="s">
        <v>2532</v>
      </c>
      <c r="B633" s="12" t="s">
        <v>120</v>
      </c>
      <c r="C633" s="12" t="s">
        <v>395</v>
      </c>
      <c r="D633" s="12" t="s">
        <v>2530</v>
      </c>
      <c r="E633" s="12" t="s">
        <v>1886</v>
      </c>
      <c r="F633" s="12" t="s">
        <v>32</v>
      </c>
      <c r="G633" s="12" t="s">
        <v>32</v>
      </c>
      <c r="H633" s="12" t="b">
        <v>1</v>
      </c>
      <c r="I633" s="12" t="b">
        <v>1</v>
      </c>
      <c r="J633" s="12" t="b">
        <v>0</v>
      </c>
      <c r="K633" s="12" t="b">
        <v>0</v>
      </c>
      <c r="L633" s="12">
        <v>420</v>
      </c>
      <c r="M633" s="12">
        <v>278.14999999999998</v>
      </c>
      <c r="N633" s="12">
        <v>3000</v>
      </c>
      <c r="O633" s="12">
        <v>450</v>
      </c>
      <c r="P633" s="12">
        <v>0.5</v>
      </c>
      <c r="Q633" s="12">
        <v>0.85</v>
      </c>
      <c r="R633" s="12">
        <v>0.75</v>
      </c>
      <c r="S633" s="12">
        <v>0.85</v>
      </c>
      <c r="T633" s="12">
        <v>0.75</v>
      </c>
      <c r="U633" s="12">
        <v>0.8</v>
      </c>
      <c r="V633" s="12">
        <v>278.14999999999998</v>
      </c>
      <c r="W633" s="12">
        <v>11.186284773899191</v>
      </c>
      <c r="X633" s="12">
        <v>60.358238511241481</v>
      </c>
      <c r="Y633" s="12">
        <v>2550</v>
      </c>
      <c r="Z633" s="12">
        <v>6.666666666666667</v>
      </c>
      <c r="AA633" s="12"/>
      <c r="AB633" s="12"/>
    </row>
    <row r="634" spans="1:28" x14ac:dyDescent="0.3">
      <c r="A634" s="12" t="s">
        <v>2533</v>
      </c>
      <c r="B634" s="12" t="s">
        <v>120</v>
      </c>
      <c r="C634" s="12" t="s">
        <v>395</v>
      </c>
      <c r="D634" s="12" t="s">
        <v>2530</v>
      </c>
      <c r="E634" s="12" t="s">
        <v>1886</v>
      </c>
      <c r="F634" s="12" t="s">
        <v>32</v>
      </c>
      <c r="G634" s="12" t="s">
        <v>32</v>
      </c>
      <c r="H634" s="12" t="b">
        <v>1</v>
      </c>
      <c r="I634" s="12" t="b">
        <v>1</v>
      </c>
      <c r="J634" s="12" t="b">
        <v>0</v>
      </c>
      <c r="K634" s="12" t="b">
        <v>0</v>
      </c>
      <c r="L634" s="12">
        <v>420</v>
      </c>
      <c r="M634" s="12">
        <v>278.14999999999998</v>
      </c>
      <c r="N634" s="12">
        <v>3000</v>
      </c>
      <c r="O634" s="12">
        <v>600</v>
      </c>
      <c r="P634" s="12">
        <v>0.5</v>
      </c>
      <c r="Q634" s="12">
        <v>0.85</v>
      </c>
      <c r="R634" s="12">
        <v>0.75</v>
      </c>
      <c r="S634" s="12">
        <v>0.85</v>
      </c>
      <c r="T634" s="12">
        <v>0.75</v>
      </c>
      <c r="U634" s="12">
        <v>0.8</v>
      </c>
      <c r="V634" s="12">
        <v>278.14999999999998</v>
      </c>
      <c r="W634" s="12">
        <v>9.5944832791287595</v>
      </c>
      <c r="X634" s="12">
        <v>51.699671637268679</v>
      </c>
      <c r="Y634" s="12">
        <v>2400</v>
      </c>
      <c r="Z634" s="12">
        <v>5</v>
      </c>
      <c r="AA634" s="12"/>
      <c r="AB634" s="12"/>
    </row>
    <row r="635" spans="1:28" x14ac:dyDescent="0.3">
      <c r="A635" s="12" t="s">
        <v>2534</v>
      </c>
      <c r="B635" s="12" t="s">
        <v>120</v>
      </c>
      <c r="C635" s="12" t="s">
        <v>395</v>
      </c>
      <c r="D635" s="12" t="s">
        <v>2530</v>
      </c>
      <c r="E635" s="12" t="s">
        <v>1886</v>
      </c>
      <c r="F635" s="12" t="s">
        <v>32</v>
      </c>
      <c r="G635" s="12" t="s">
        <v>32</v>
      </c>
      <c r="H635" s="12" t="b">
        <v>1</v>
      </c>
      <c r="I635" s="12" t="b">
        <v>1</v>
      </c>
      <c r="J635" s="12" t="b">
        <v>0</v>
      </c>
      <c r="K635" s="12" t="b">
        <v>0</v>
      </c>
      <c r="L635" s="12">
        <v>420</v>
      </c>
      <c r="M635" s="12">
        <v>278.14999999999998</v>
      </c>
      <c r="N635" s="12">
        <v>3000</v>
      </c>
      <c r="O635" s="12">
        <v>750</v>
      </c>
      <c r="P635" s="12">
        <v>0.5</v>
      </c>
      <c r="Q635" s="12">
        <v>0.85</v>
      </c>
      <c r="R635" s="12">
        <v>0.75</v>
      </c>
      <c r="S635" s="12">
        <v>0.85</v>
      </c>
      <c r="T635" s="12">
        <v>0.75</v>
      </c>
      <c r="U635" s="12">
        <v>0.8</v>
      </c>
      <c r="V635" s="12">
        <v>278.14999999999998</v>
      </c>
      <c r="W635" s="12">
        <v>8.3271785161692904</v>
      </c>
      <c r="X635" s="12">
        <v>44.823579097956127</v>
      </c>
      <c r="Y635" s="12">
        <v>2250</v>
      </c>
      <c r="Z635" s="12">
        <v>4</v>
      </c>
      <c r="AA635" s="12"/>
      <c r="AB635" s="12"/>
    </row>
    <row r="636" spans="1:28" x14ac:dyDescent="0.3">
      <c r="A636" s="12" t="s">
        <v>2535</v>
      </c>
      <c r="B636" s="12" t="s">
        <v>120</v>
      </c>
      <c r="C636" s="12" t="s">
        <v>395</v>
      </c>
      <c r="D636" s="12" t="s">
        <v>2530</v>
      </c>
      <c r="E636" s="12" t="s">
        <v>1886</v>
      </c>
      <c r="F636" s="12" t="s">
        <v>32</v>
      </c>
      <c r="G636" s="12" t="s">
        <v>32</v>
      </c>
      <c r="H636" s="12" t="b">
        <v>1</v>
      </c>
      <c r="I636" s="12" t="b">
        <v>1</v>
      </c>
      <c r="J636" s="12" t="b">
        <v>0</v>
      </c>
      <c r="K636" s="12" t="b">
        <v>0</v>
      </c>
      <c r="L636" s="12">
        <v>420</v>
      </c>
      <c r="M636" s="12">
        <v>278.14999999999998</v>
      </c>
      <c r="N636" s="12">
        <v>3000</v>
      </c>
      <c r="O636" s="12">
        <v>900</v>
      </c>
      <c r="P636" s="12">
        <v>0.5</v>
      </c>
      <c r="Q636" s="12">
        <v>0.85</v>
      </c>
      <c r="R636" s="12">
        <v>0.75</v>
      </c>
      <c r="S636" s="12">
        <v>0.85</v>
      </c>
      <c r="T636" s="12">
        <v>0.75</v>
      </c>
      <c r="U636" s="12">
        <v>0.8</v>
      </c>
      <c r="V636" s="12">
        <v>278.14999999999998</v>
      </c>
      <c r="W636" s="12">
        <v>7.27186493535278</v>
      </c>
      <c r="X636" s="12">
        <v>39.109250588356439</v>
      </c>
      <c r="Y636" s="12">
        <v>2100</v>
      </c>
      <c r="Z636" s="12">
        <v>3.333333333333333</v>
      </c>
      <c r="AA636" s="12"/>
      <c r="AB636" s="12"/>
    </row>
    <row r="637" spans="1:28" x14ac:dyDescent="0.3">
      <c r="A637" s="12" t="s">
        <v>2536</v>
      </c>
      <c r="B637" s="12" t="s">
        <v>120</v>
      </c>
      <c r="C637" s="12" t="s">
        <v>395</v>
      </c>
      <c r="D637" s="12" t="s">
        <v>2530</v>
      </c>
      <c r="E637" s="12" t="s">
        <v>1886</v>
      </c>
      <c r="F637" s="12" t="s">
        <v>32</v>
      </c>
      <c r="G637" s="12" t="s">
        <v>32</v>
      </c>
      <c r="H637" s="12" t="b">
        <v>1</v>
      </c>
      <c r="I637" s="12" t="b">
        <v>1</v>
      </c>
      <c r="J637" s="12" t="b">
        <v>0</v>
      </c>
      <c r="K637" s="12" t="b">
        <v>0</v>
      </c>
      <c r="L637" s="12">
        <v>420</v>
      </c>
      <c r="M637" s="12">
        <v>278.14999999999998</v>
      </c>
      <c r="N637" s="12">
        <v>3000</v>
      </c>
      <c r="O637" s="12">
        <v>1050</v>
      </c>
      <c r="P637" s="12">
        <v>0.5</v>
      </c>
      <c r="Q637" s="12">
        <v>0.85</v>
      </c>
      <c r="R637" s="12">
        <v>0.75</v>
      </c>
      <c r="S637" s="12">
        <v>0.85</v>
      </c>
      <c r="T637" s="12">
        <v>0.75</v>
      </c>
      <c r="U637" s="12">
        <v>0.8</v>
      </c>
      <c r="V637" s="12">
        <v>278.14999999999998</v>
      </c>
      <c r="W637" s="12">
        <v>6.3666946187772302</v>
      </c>
      <c r="X637" s="12">
        <v>34.216162203452789</v>
      </c>
      <c r="Y637" s="12">
        <v>1950</v>
      </c>
      <c r="Z637" s="12">
        <v>2.8571428571428572</v>
      </c>
      <c r="AA637" s="12"/>
      <c r="AB637" s="12"/>
    </row>
    <row r="638" spans="1:28" x14ac:dyDescent="0.3">
      <c r="A638" s="12" t="s">
        <v>2537</v>
      </c>
      <c r="B638" s="12" t="s">
        <v>120</v>
      </c>
      <c r="C638" s="12" t="s">
        <v>395</v>
      </c>
      <c r="D638" s="12" t="s">
        <v>2530</v>
      </c>
      <c r="E638" s="12" t="s">
        <v>1886</v>
      </c>
      <c r="F638" s="12" t="s">
        <v>32</v>
      </c>
      <c r="G638" s="12" t="s">
        <v>32</v>
      </c>
      <c r="H638" s="12" t="b">
        <v>1</v>
      </c>
      <c r="I638" s="12" t="b">
        <v>1</v>
      </c>
      <c r="J638" s="12" t="b">
        <v>0</v>
      </c>
      <c r="K638" s="12" t="b">
        <v>0</v>
      </c>
      <c r="L638" s="12">
        <v>420</v>
      </c>
      <c r="M638" s="12">
        <v>278.14999999999998</v>
      </c>
      <c r="N638" s="12">
        <v>3000</v>
      </c>
      <c r="O638" s="12">
        <v>1200</v>
      </c>
      <c r="P638" s="12">
        <v>0.5</v>
      </c>
      <c r="Q638" s="12">
        <v>0.85</v>
      </c>
      <c r="R638" s="12">
        <v>0.75</v>
      </c>
      <c r="S638" s="12">
        <v>0.85</v>
      </c>
      <c r="T638" s="12">
        <v>0.75</v>
      </c>
      <c r="U638" s="12">
        <v>0.8</v>
      </c>
      <c r="V638" s="12">
        <v>278.14999999999998</v>
      </c>
      <c r="W638" s="12">
        <v>5.5738464259064804</v>
      </c>
      <c r="X638" s="12">
        <v>29.936404093653689</v>
      </c>
      <c r="Y638" s="12">
        <v>1800</v>
      </c>
      <c r="Z638" s="12">
        <v>2.5</v>
      </c>
      <c r="AA638" s="12"/>
      <c r="AB638" s="12"/>
    </row>
    <row r="639" spans="1:28" x14ac:dyDescent="0.3">
      <c r="A639" s="12" t="s">
        <v>2538</v>
      </c>
      <c r="B639" s="12" t="s">
        <v>120</v>
      </c>
      <c r="C639" s="12" t="s">
        <v>395</v>
      </c>
      <c r="D639" s="12" t="s">
        <v>2530</v>
      </c>
      <c r="E639" s="12" t="s">
        <v>1886</v>
      </c>
      <c r="F639" s="12" t="s">
        <v>32</v>
      </c>
      <c r="G639" s="12" t="s">
        <v>32</v>
      </c>
      <c r="H639" s="12" t="b">
        <v>1</v>
      </c>
      <c r="I639" s="12" t="b">
        <v>1</v>
      </c>
      <c r="J639" s="12" t="b">
        <v>0</v>
      </c>
      <c r="K639" s="12" t="b">
        <v>0</v>
      </c>
      <c r="L639" s="12">
        <v>420</v>
      </c>
      <c r="M639" s="12">
        <v>278.14999999999998</v>
      </c>
      <c r="N639" s="12">
        <v>3000</v>
      </c>
      <c r="O639" s="12">
        <v>1350</v>
      </c>
      <c r="P639" s="12">
        <v>0.5</v>
      </c>
      <c r="Q639" s="12">
        <v>0.85</v>
      </c>
      <c r="R639" s="12">
        <v>0.75</v>
      </c>
      <c r="S639" s="12">
        <v>0.85</v>
      </c>
      <c r="T639" s="12">
        <v>0.75</v>
      </c>
      <c r="U639" s="12">
        <v>0.8</v>
      </c>
      <c r="V639" s="12">
        <v>278.14999999999998</v>
      </c>
      <c r="W639" s="12">
        <v>4.8684207309422503</v>
      </c>
      <c r="X639" s="12">
        <v>26.13329304626955</v>
      </c>
      <c r="Y639" s="12">
        <v>1650</v>
      </c>
      <c r="Z639" s="12">
        <v>2.2222222222222219</v>
      </c>
      <c r="AA639" s="12"/>
      <c r="AB639" s="12"/>
    </row>
    <row r="640" spans="1:28" x14ac:dyDescent="0.3">
      <c r="A640" s="12" t="s">
        <v>2539</v>
      </c>
      <c r="B640" s="12" t="s">
        <v>120</v>
      </c>
      <c r="C640" s="12" t="s">
        <v>395</v>
      </c>
      <c r="D640" s="12" t="s">
        <v>2530</v>
      </c>
      <c r="E640" s="12" t="s">
        <v>1886</v>
      </c>
      <c r="F640" s="12" t="s">
        <v>32</v>
      </c>
      <c r="G640" s="12" t="s">
        <v>32</v>
      </c>
      <c r="H640" s="12" t="b">
        <v>1</v>
      </c>
      <c r="I640" s="12" t="b">
        <v>1</v>
      </c>
      <c r="J640" s="12" t="b">
        <v>0</v>
      </c>
      <c r="K640" s="12" t="b">
        <v>0</v>
      </c>
      <c r="L640" s="12">
        <v>420</v>
      </c>
      <c r="M640" s="12">
        <v>278.14999999999998</v>
      </c>
      <c r="N640" s="12">
        <v>3000</v>
      </c>
      <c r="O640" s="12">
        <v>1500</v>
      </c>
      <c r="P640" s="12">
        <v>0.5</v>
      </c>
      <c r="Q640" s="12">
        <v>0.85</v>
      </c>
      <c r="R640" s="12">
        <v>0.75</v>
      </c>
      <c r="S640" s="12">
        <v>0.85</v>
      </c>
      <c r="T640" s="12">
        <v>0.75</v>
      </c>
      <c r="U640" s="12">
        <v>0.8</v>
      </c>
      <c r="V640" s="12">
        <v>278.14999999999998</v>
      </c>
      <c r="W640" s="12">
        <v>4.2331120385737799</v>
      </c>
      <c r="X640" s="12">
        <v>22.711953392345819</v>
      </c>
      <c r="Y640" s="12">
        <v>1500</v>
      </c>
      <c r="Z640" s="12">
        <v>2</v>
      </c>
      <c r="AA640" s="12"/>
      <c r="AB640" s="12"/>
    </row>
    <row r="641" spans="1:28" x14ac:dyDescent="0.3">
      <c r="A641" s="12" t="s">
        <v>2540</v>
      </c>
      <c r="B641" s="12" t="s">
        <v>120</v>
      </c>
      <c r="C641" s="12" t="s">
        <v>395</v>
      </c>
      <c r="D641" s="12" t="s">
        <v>2530</v>
      </c>
      <c r="E641" s="12" t="s">
        <v>1886</v>
      </c>
      <c r="F641" s="12" t="s">
        <v>1861</v>
      </c>
      <c r="G641" s="12" t="s">
        <v>1861</v>
      </c>
      <c r="H641" s="12" t="b">
        <v>1</v>
      </c>
      <c r="I641" s="12" t="b">
        <v>0</v>
      </c>
      <c r="J641" s="12" t="b">
        <v>0</v>
      </c>
      <c r="K641" s="12" t="b">
        <v>0</v>
      </c>
      <c r="L641" s="12">
        <v>420</v>
      </c>
      <c r="M641" s="12">
        <v>283.14999999999998</v>
      </c>
      <c r="N641" s="12">
        <v>3000</v>
      </c>
      <c r="O641" s="12">
        <v>150</v>
      </c>
      <c r="P641" s="12">
        <v>0.5</v>
      </c>
      <c r="Q641" s="12">
        <v>0.85</v>
      </c>
      <c r="R641" s="12">
        <v>0.75</v>
      </c>
      <c r="S641" s="12">
        <v>0.85</v>
      </c>
      <c r="T641" s="12">
        <v>0.75</v>
      </c>
      <c r="U641" s="12">
        <v>0.8</v>
      </c>
      <c r="V641" s="12">
        <v>283.14999999999998</v>
      </c>
      <c r="W641" s="12">
        <v>14.27001577144364</v>
      </c>
      <c r="X641" s="12">
        <v>69.410106027091715</v>
      </c>
      <c r="Y641" s="12">
        <v>2850</v>
      </c>
      <c r="Z641" s="12">
        <v>20</v>
      </c>
      <c r="AA641" s="12" t="s">
        <v>1981</v>
      </c>
      <c r="AB641" s="12"/>
    </row>
    <row r="642" spans="1:28" x14ac:dyDescent="0.3">
      <c r="A642" s="12" t="s">
        <v>2541</v>
      </c>
      <c r="B642" s="12" t="s">
        <v>120</v>
      </c>
      <c r="C642" s="12" t="s">
        <v>395</v>
      </c>
      <c r="D642" s="12" t="s">
        <v>2530</v>
      </c>
      <c r="E642" s="12" t="s">
        <v>1886</v>
      </c>
      <c r="F642" s="12" t="s">
        <v>1861</v>
      </c>
      <c r="G642" s="12" t="s">
        <v>1861</v>
      </c>
      <c r="H642" s="12" t="b">
        <v>1</v>
      </c>
      <c r="I642" s="12" t="b">
        <v>0</v>
      </c>
      <c r="J642" s="12" t="b">
        <v>0</v>
      </c>
      <c r="K642" s="12" t="b">
        <v>0</v>
      </c>
      <c r="L642" s="12">
        <v>420</v>
      </c>
      <c r="M642" s="12">
        <v>283.14999999999998</v>
      </c>
      <c r="N642" s="12">
        <v>3000</v>
      </c>
      <c r="O642" s="12">
        <v>300</v>
      </c>
      <c r="P642" s="12">
        <v>0.5</v>
      </c>
      <c r="Q642" s="12">
        <v>0.85</v>
      </c>
      <c r="R642" s="12">
        <v>0.75</v>
      </c>
      <c r="S642" s="12">
        <v>0.85</v>
      </c>
      <c r="T642" s="12">
        <v>0.75</v>
      </c>
      <c r="U642" s="12">
        <v>0.8</v>
      </c>
      <c r="V642" s="12">
        <v>283.14999999999998</v>
      </c>
      <c r="W642" s="12">
        <v>13.37383610674018</v>
      </c>
      <c r="X642" s="12">
        <v>71.147531029666595</v>
      </c>
      <c r="Y642" s="12">
        <v>2700</v>
      </c>
      <c r="Z642" s="12">
        <v>10</v>
      </c>
      <c r="AA642" s="12" t="s">
        <v>1268</v>
      </c>
      <c r="AB642" s="12"/>
    </row>
    <row r="643" spans="1:28" x14ac:dyDescent="0.3">
      <c r="A643" s="12" t="s">
        <v>2542</v>
      </c>
      <c r="B643" s="12" t="s">
        <v>120</v>
      </c>
      <c r="C643" s="12" t="s">
        <v>395</v>
      </c>
      <c r="D643" s="12" t="s">
        <v>2530</v>
      </c>
      <c r="E643" s="12" t="s">
        <v>1886</v>
      </c>
      <c r="F643" s="12" t="s">
        <v>1861</v>
      </c>
      <c r="G643" s="12" t="s">
        <v>1861</v>
      </c>
      <c r="H643" s="12" t="b">
        <v>1</v>
      </c>
      <c r="I643" s="12" t="b">
        <v>0</v>
      </c>
      <c r="J643" s="12" t="b">
        <v>0</v>
      </c>
      <c r="K643" s="12" t="b">
        <v>0</v>
      </c>
      <c r="L643" s="12">
        <v>420</v>
      </c>
      <c r="M643" s="12">
        <v>283.14999999999998</v>
      </c>
      <c r="N643" s="12">
        <v>3000</v>
      </c>
      <c r="O643" s="12">
        <v>450</v>
      </c>
      <c r="P643" s="12">
        <v>0.5</v>
      </c>
      <c r="Q643" s="12">
        <v>0.85</v>
      </c>
      <c r="R643" s="12">
        <v>0.75</v>
      </c>
      <c r="S643" s="12">
        <v>0.85</v>
      </c>
      <c r="T643" s="12">
        <v>0.75</v>
      </c>
      <c r="U643" s="12">
        <v>0.8</v>
      </c>
      <c r="V643" s="12">
        <v>283.14999999999998</v>
      </c>
      <c r="W643" s="12">
        <v>11.389952680424599</v>
      </c>
      <c r="X643" s="12">
        <v>60.540879377396791</v>
      </c>
      <c r="Y643" s="12">
        <v>2550</v>
      </c>
      <c r="Z643" s="12">
        <v>6.666666666666667</v>
      </c>
      <c r="AA643" s="12" t="s">
        <v>1268</v>
      </c>
      <c r="AB643" s="12"/>
    </row>
    <row r="644" spans="1:28" x14ac:dyDescent="0.3">
      <c r="A644" s="12" t="s">
        <v>2543</v>
      </c>
      <c r="B644" s="12" t="s">
        <v>120</v>
      </c>
      <c r="C644" s="12" t="s">
        <v>395</v>
      </c>
      <c r="D644" s="12" t="s">
        <v>2530</v>
      </c>
      <c r="E644" s="12" t="s">
        <v>1886</v>
      </c>
      <c r="F644" s="12" t="s">
        <v>32</v>
      </c>
      <c r="G644" s="12" t="s">
        <v>32</v>
      </c>
      <c r="H644" s="12" t="b">
        <v>1</v>
      </c>
      <c r="I644" s="12" t="b">
        <v>1</v>
      </c>
      <c r="J644" s="12" t="b">
        <v>0</v>
      </c>
      <c r="K644" s="12" t="b">
        <v>0</v>
      </c>
      <c r="L644" s="12">
        <v>420</v>
      </c>
      <c r="M644" s="12">
        <v>283.14999999999998</v>
      </c>
      <c r="N644" s="12">
        <v>3000</v>
      </c>
      <c r="O644" s="12">
        <v>600</v>
      </c>
      <c r="P644" s="12">
        <v>0.5</v>
      </c>
      <c r="Q644" s="12">
        <v>0.85</v>
      </c>
      <c r="R644" s="12">
        <v>0.75</v>
      </c>
      <c r="S644" s="12">
        <v>0.85</v>
      </c>
      <c r="T644" s="12">
        <v>0.75</v>
      </c>
      <c r="U644" s="12">
        <v>0.8</v>
      </c>
      <c r="V644" s="12">
        <v>283.14999999999998</v>
      </c>
      <c r="W644" s="12">
        <v>9.7695454464469513</v>
      </c>
      <c r="X644" s="12">
        <v>51.856917532397247</v>
      </c>
      <c r="Y644" s="12">
        <v>2400</v>
      </c>
      <c r="Z644" s="12">
        <v>5</v>
      </c>
      <c r="AA644" s="12"/>
      <c r="AB644" s="12"/>
    </row>
    <row r="645" spans="1:28" x14ac:dyDescent="0.3">
      <c r="A645" s="12" t="s">
        <v>2544</v>
      </c>
      <c r="B645" s="12" t="s">
        <v>120</v>
      </c>
      <c r="C645" s="12" t="s">
        <v>395</v>
      </c>
      <c r="D645" s="12" t="s">
        <v>2530</v>
      </c>
      <c r="E645" s="12" t="s">
        <v>1886</v>
      </c>
      <c r="F645" s="12" t="s">
        <v>32</v>
      </c>
      <c r="G645" s="12" t="s">
        <v>32</v>
      </c>
      <c r="H645" s="12" t="b">
        <v>1</v>
      </c>
      <c r="I645" s="12" t="b">
        <v>1</v>
      </c>
      <c r="J645" s="12" t="b">
        <v>0</v>
      </c>
      <c r="K645" s="12" t="b">
        <v>0</v>
      </c>
      <c r="L645" s="12">
        <v>420</v>
      </c>
      <c r="M645" s="12">
        <v>283.14999999999998</v>
      </c>
      <c r="N645" s="12">
        <v>3000</v>
      </c>
      <c r="O645" s="12">
        <v>750</v>
      </c>
      <c r="P645" s="12">
        <v>0.5</v>
      </c>
      <c r="Q645" s="12">
        <v>0.85</v>
      </c>
      <c r="R645" s="12">
        <v>0.75</v>
      </c>
      <c r="S645" s="12">
        <v>0.85</v>
      </c>
      <c r="T645" s="12">
        <v>0.75</v>
      </c>
      <c r="U645" s="12">
        <v>0.8</v>
      </c>
      <c r="V645" s="12">
        <v>283.14999999999998</v>
      </c>
      <c r="W645" s="12">
        <v>8.4791336139691609</v>
      </c>
      <c r="X645" s="12">
        <v>44.959119760861817</v>
      </c>
      <c r="Y645" s="12">
        <v>2250</v>
      </c>
      <c r="Z645" s="12">
        <v>4</v>
      </c>
      <c r="AA645" s="12"/>
      <c r="AB645" s="12"/>
    </row>
    <row r="646" spans="1:28" x14ac:dyDescent="0.3">
      <c r="A646" s="12" t="s">
        <v>2545</v>
      </c>
      <c r="B646" s="12" t="s">
        <v>120</v>
      </c>
      <c r="C646" s="12" t="s">
        <v>395</v>
      </c>
      <c r="D646" s="12" t="s">
        <v>2530</v>
      </c>
      <c r="E646" s="12" t="s">
        <v>1886</v>
      </c>
      <c r="F646" s="12" t="s">
        <v>32</v>
      </c>
      <c r="G646" s="12" t="s">
        <v>32</v>
      </c>
      <c r="H646" s="12" t="b">
        <v>1</v>
      </c>
      <c r="I646" s="12" t="b">
        <v>1</v>
      </c>
      <c r="J646" s="12" t="b">
        <v>0</v>
      </c>
      <c r="K646" s="12" t="b">
        <v>0</v>
      </c>
      <c r="L646" s="12">
        <v>420</v>
      </c>
      <c r="M646" s="12">
        <v>283.14999999999998</v>
      </c>
      <c r="N646" s="12">
        <v>3000</v>
      </c>
      <c r="O646" s="12">
        <v>900</v>
      </c>
      <c r="P646" s="12">
        <v>0.5</v>
      </c>
      <c r="Q646" s="12">
        <v>0.85</v>
      </c>
      <c r="R646" s="12">
        <v>0.75</v>
      </c>
      <c r="S646" s="12">
        <v>0.85</v>
      </c>
      <c r="T646" s="12">
        <v>0.75</v>
      </c>
      <c r="U646" s="12">
        <v>0.8</v>
      </c>
      <c r="V646" s="12">
        <v>283.14999999999998</v>
      </c>
      <c r="W646" s="12">
        <v>7.4045614681848102</v>
      </c>
      <c r="X646" s="12">
        <v>39.226901504126609</v>
      </c>
      <c r="Y646" s="12">
        <v>2100</v>
      </c>
      <c r="Z646" s="12">
        <v>3.333333333333333</v>
      </c>
      <c r="AA646" s="12"/>
      <c r="AB646" s="12"/>
    </row>
    <row r="647" spans="1:28" x14ac:dyDescent="0.3">
      <c r="A647" s="12" t="s">
        <v>2546</v>
      </c>
      <c r="B647" s="12" t="s">
        <v>120</v>
      </c>
      <c r="C647" s="12" t="s">
        <v>395</v>
      </c>
      <c r="D647" s="12" t="s">
        <v>2530</v>
      </c>
      <c r="E647" s="12" t="s">
        <v>1886</v>
      </c>
      <c r="F647" s="12" t="s">
        <v>32</v>
      </c>
      <c r="G647" s="12" t="s">
        <v>32</v>
      </c>
      <c r="H647" s="12" t="b">
        <v>1</v>
      </c>
      <c r="I647" s="12" t="b">
        <v>1</v>
      </c>
      <c r="J647" s="12" t="b">
        <v>0</v>
      </c>
      <c r="K647" s="12" t="b">
        <v>0</v>
      </c>
      <c r="L647" s="12">
        <v>420</v>
      </c>
      <c r="M647" s="12">
        <v>283.14999999999998</v>
      </c>
      <c r="N647" s="12">
        <v>3000</v>
      </c>
      <c r="O647" s="12">
        <v>1050</v>
      </c>
      <c r="P647" s="12">
        <v>0.5</v>
      </c>
      <c r="Q647" s="12">
        <v>0.85</v>
      </c>
      <c r="R647" s="12">
        <v>0.75</v>
      </c>
      <c r="S647" s="12">
        <v>0.85</v>
      </c>
      <c r="T647" s="12">
        <v>0.75</v>
      </c>
      <c r="U647" s="12">
        <v>0.8</v>
      </c>
      <c r="V647" s="12">
        <v>283.14999999999998</v>
      </c>
      <c r="W647" s="12">
        <v>6.4828649305201891</v>
      </c>
      <c r="X647" s="12">
        <v>34.318609036152083</v>
      </c>
      <c r="Y647" s="12">
        <v>1950</v>
      </c>
      <c r="Z647" s="12">
        <v>2.8571428571428572</v>
      </c>
      <c r="AA647" s="12"/>
      <c r="AB647" s="12"/>
    </row>
    <row r="648" spans="1:28" x14ac:dyDescent="0.3">
      <c r="A648" s="12" t="s">
        <v>2547</v>
      </c>
      <c r="B648" s="12" t="s">
        <v>120</v>
      </c>
      <c r="C648" s="12" t="s">
        <v>395</v>
      </c>
      <c r="D648" s="12" t="s">
        <v>2530</v>
      </c>
      <c r="E648" s="12" t="s">
        <v>1886</v>
      </c>
      <c r="F648" s="12" t="s">
        <v>32</v>
      </c>
      <c r="G648" s="12" t="s">
        <v>32</v>
      </c>
      <c r="H648" s="12" t="b">
        <v>1</v>
      </c>
      <c r="I648" s="12" t="b">
        <v>1</v>
      </c>
      <c r="J648" s="12" t="b">
        <v>0</v>
      </c>
      <c r="K648" s="12" t="b">
        <v>0</v>
      </c>
      <c r="L648" s="12">
        <v>420</v>
      </c>
      <c r="M648" s="12">
        <v>283.14999999999998</v>
      </c>
      <c r="N648" s="12">
        <v>3000</v>
      </c>
      <c r="O648" s="12">
        <v>1200</v>
      </c>
      <c r="P648" s="12">
        <v>0.5</v>
      </c>
      <c r="Q648" s="12">
        <v>0.85</v>
      </c>
      <c r="R648" s="12">
        <v>0.75</v>
      </c>
      <c r="S648" s="12">
        <v>0.85</v>
      </c>
      <c r="T648" s="12">
        <v>0.75</v>
      </c>
      <c r="U648" s="12">
        <v>0.8</v>
      </c>
      <c r="V648" s="12">
        <v>283.14999999999998</v>
      </c>
      <c r="W648" s="12">
        <v>5.67553705973351</v>
      </c>
      <c r="X648" s="12">
        <v>30.02564451421101</v>
      </c>
      <c r="Y648" s="12">
        <v>1800</v>
      </c>
      <c r="Z648" s="12">
        <v>2.5</v>
      </c>
      <c r="AA648" s="12"/>
      <c r="AB648" s="12"/>
    </row>
    <row r="649" spans="1:28" x14ac:dyDescent="0.3">
      <c r="A649" s="12" t="s">
        <v>2548</v>
      </c>
      <c r="B649" s="12" t="s">
        <v>120</v>
      </c>
      <c r="C649" s="12" t="s">
        <v>395</v>
      </c>
      <c r="D649" s="12" t="s">
        <v>2530</v>
      </c>
      <c r="E649" s="12" t="s">
        <v>1886</v>
      </c>
      <c r="F649" s="12" t="s">
        <v>32</v>
      </c>
      <c r="G649" s="12" t="s">
        <v>32</v>
      </c>
      <c r="H649" s="12" t="b">
        <v>1</v>
      </c>
      <c r="I649" s="12" t="b">
        <v>1</v>
      </c>
      <c r="J649" s="12" t="b">
        <v>0</v>
      </c>
      <c r="K649" s="12" t="b">
        <v>0</v>
      </c>
      <c r="L649" s="12">
        <v>420</v>
      </c>
      <c r="M649" s="12">
        <v>283.14999999999998</v>
      </c>
      <c r="N649" s="12">
        <v>3000</v>
      </c>
      <c r="O649" s="12">
        <v>1350</v>
      </c>
      <c r="P649" s="12">
        <v>0.5</v>
      </c>
      <c r="Q649" s="12">
        <v>0.85</v>
      </c>
      <c r="R649" s="12">
        <v>0.75</v>
      </c>
      <c r="S649" s="12">
        <v>0.85</v>
      </c>
      <c r="T649" s="12">
        <v>0.75</v>
      </c>
      <c r="U649" s="12">
        <v>0.8</v>
      </c>
      <c r="V649" s="12">
        <v>283.14999999999998</v>
      </c>
      <c r="W649" s="12">
        <v>4.9572264238879296</v>
      </c>
      <c r="X649" s="12">
        <v>26.210874685762271</v>
      </c>
      <c r="Y649" s="12">
        <v>1650</v>
      </c>
      <c r="Z649" s="12">
        <v>2.2222222222222219</v>
      </c>
      <c r="AA649" s="12"/>
      <c r="AB649" s="12"/>
    </row>
    <row r="650" spans="1:28" x14ac:dyDescent="0.3">
      <c r="A650" s="12" t="s">
        <v>2549</v>
      </c>
      <c r="B650" s="12" t="s">
        <v>120</v>
      </c>
      <c r="C650" s="12" t="s">
        <v>395</v>
      </c>
      <c r="D650" s="12" t="s">
        <v>2530</v>
      </c>
      <c r="E650" s="12" t="s">
        <v>1886</v>
      </c>
      <c r="F650" s="12" t="s">
        <v>32</v>
      </c>
      <c r="G650" s="12" t="s">
        <v>32</v>
      </c>
      <c r="H650" s="12" t="b">
        <v>1</v>
      </c>
      <c r="I650" s="12" t="b">
        <v>1</v>
      </c>
      <c r="J650" s="12" t="b">
        <v>0</v>
      </c>
      <c r="K650" s="12" t="b">
        <v>0</v>
      </c>
      <c r="L650" s="12">
        <v>420</v>
      </c>
      <c r="M650" s="12">
        <v>283.14999999999998</v>
      </c>
      <c r="N650" s="12">
        <v>3000</v>
      </c>
      <c r="O650" s="12">
        <v>1500</v>
      </c>
      <c r="P650" s="12">
        <v>0.5</v>
      </c>
      <c r="Q650" s="12">
        <v>0.85</v>
      </c>
      <c r="R650" s="12">
        <v>0.75</v>
      </c>
      <c r="S650" s="12">
        <v>0.85</v>
      </c>
      <c r="T650" s="12">
        <v>0.75</v>
      </c>
      <c r="U650" s="12">
        <v>0.8</v>
      </c>
      <c r="V650" s="12">
        <v>283.14999999999998</v>
      </c>
      <c r="W650" s="12">
        <v>4.3103132967983502</v>
      </c>
      <c r="X650" s="12">
        <v>22.779112738400709</v>
      </c>
      <c r="Y650" s="12">
        <v>1500</v>
      </c>
      <c r="Z650" s="12">
        <v>2</v>
      </c>
      <c r="AA650" s="12"/>
      <c r="AB650" s="12"/>
    </row>
    <row r="651" spans="1:28" x14ac:dyDescent="0.3">
      <c r="A651" s="12" t="s">
        <v>2550</v>
      </c>
      <c r="B651" s="12" t="s">
        <v>120</v>
      </c>
      <c r="C651" s="12" t="s">
        <v>395</v>
      </c>
      <c r="D651" s="12" t="s">
        <v>2530</v>
      </c>
      <c r="E651" s="12" t="s">
        <v>1886</v>
      </c>
      <c r="F651" s="12" t="s">
        <v>1861</v>
      </c>
      <c r="G651" s="12" t="s">
        <v>1861</v>
      </c>
      <c r="H651" s="12" t="b">
        <v>1</v>
      </c>
      <c r="I651" s="12" t="b">
        <v>0</v>
      </c>
      <c r="J651" s="12" t="b">
        <v>0</v>
      </c>
      <c r="K651" s="12" t="b">
        <v>0</v>
      </c>
      <c r="L651" s="12">
        <v>420</v>
      </c>
      <c r="M651" s="12">
        <v>288.14999999999998</v>
      </c>
      <c r="N651" s="12">
        <v>3000</v>
      </c>
      <c r="O651" s="12">
        <v>150</v>
      </c>
      <c r="P651" s="12">
        <v>0.5</v>
      </c>
      <c r="Q651" s="12">
        <v>0.85</v>
      </c>
      <c r="R651" s="12">
        <v>0.75</v>
      </c>
      <c r="S651" s="12">
        <v>0.85</v>
      </c>
      <c r="T651" s="12">
        <v>0.75</v>
      </c>
      <c r="U651" s="12">
        <v>0.8</v>
      </c>
      <c r="V651" s="12">
        <v>288.14999999999998</v>
      </c>
      <c r="W651" s="12">
        <v>10.63374661508692</v>
      </c>
      <c r="X651" s="12">
        <v>46.41788554666806</v>
      </c>
      <c r="Y651" s="12">
        <v>2850</v>
      </c>
      <c r="Z651" s="12">
        <v>20</v>
      </c>
      <c r="AA651" s="12" t="s">
        <v>1981</v>
      </c>
      <c r="AB651" s="12"/>
    </row>
    <row r="652" spans="1:28" x14ac:dyDescent="0.3">
      <c r="A652" s="12" t="s">
        <v>2551</v>
      </c>
      <c r="B652" s="12" t="s">
        <v>120</v>
      </c>
      <c r="C652" s="12" t="s">
        <v>395</v>
      </c>
      <c r="D652" s="12" t="s">
        <v>2530</v>
      </c>
      <c r="E652" s="12" t="s">
        <v>1886</v>
      </c>
      <c r="F652" s="12" t="s">
        <v>1861</v>
      </c>
      <c r="G652" s="12" t="s">
        <v>1861</v>
      </c>
      <c r="H652" s="12" t="b">
        <v>1</v>
      </c>
      <c r="I652" s="12" t="b">
        <v>0</v>
      </c>
      <c r="J652" s="12" t="b">
        <v>0</v>
      </c>
      <c r="K652" s="12" t="b">
        <v>0</v>
      </c>
      <c r="L652" s="12">
        <v>420</v>
      </c>
      <c r="M652" s="12">
        <v>288.14999999999998</v>
      </c>
      <c r="N652" s="12">
        <v>3000</v>
      </c>
      <c r="O652" s="12">
        <v>300</v>
      </c>
      <c r="P652" s="12">
        <v>0.5</v>
      </c>
      <c r="Q652" s="12">
        <v>0.85</v>
      </c>
      <c r="R652" s="12">
        <v>0.75</v>
      </c>
      <c r="S652" s="12">
        <v>0.85</v>
      </c>
      <c r="T652" s="12">
        <v>0.75</v>
      </c>
      <c r="U652" s="12">
        <v>0.8</v>
      </c>
      <c r="V652" s="12">
        <v>288.14999999999998</v>
      </c>
      <c r="W652" s="12">
        <v>13.428712435427441</v>
      </c>
      <c r="X652" s="12">
        <v>70.28683008702366</v>
      </c>
      <c r="Y652" s="12">
        <v>2700</v>
      </c>
      <c r="Z652" s="12">
        <v>10</v>
      </c>
      <c r="AA652" s="12" t="s">
        <v>1268</v>
      </c>
      <c r="AB652" s="12"/>
    </row>
    <row r="653" spans="1:28" x14ac:dyDescent="0.3">
      <c r="A653" s="12" t="s">
        <v>2552</v>
      </c>
      <c r="B653" s="12" t="s">
        <v>120</v>
      </c>
      <c r="C653" s="12" t="s">
        <v>395</v>
      </c>
      <c r="D653" s="12" t="s">
        <v>2530</v>
      </c>
      <c r="E653" s="12" t="s">
        <v>1886</v>
      </c>
      <c r="F653" s="12" t="s">
        <v>1861</v>
      </c>
      <c r="G653" s="12" t="s">
        <v>1861</v>
      </c>
      <c r="H653" s="12" t="b">
        <v>1</v>
      </c>
      <c r="I653" s="12" t="b">
        <v>0</v>
      </c>
      <c r="J653" s="12" t="b">
        <v>0</v>
      </c>
      <c r="K653" s="12" t="b">
        <v>0</v>
      </c>
      <c r="L653" s="12">
        <v>420</v>
      </c>
      <c r="M653" s="12">
        <v>288.14999999999998</v>
      </c>
      <c r="N653" s="12">
        <v>3000</v>
      </c>
      <c r="O653" s="12">
        <v>450</v>
      </c>
      <c r="P653" s="12">
        <v>0.5</v>
      </c>
      <c r="Q653" s="12">
        <v>0.85</v>
      </c>
      <c r="R653" s="12">
        <v>0.75</v>
      </c>
      <c r="S653" s="12">
        <v>0.85</v>
      </c>
      <c r="T653" s="12">
        <v>0.75</v>
      </c>
      <c r="U653" s="12">
        <v>0.8</v>
      </c>
      <c r="V653" s="12">
        <v>288.14999999999998</v>
      </c>
      <c r="W653" s="12">
        <v>11.56591701456847</v>
      </c>
      <c r="X653" s="12">
        <v>60.529170075037669</v>
      </c>
      <c r="Y653" s="12">
        <v>2550</v>
      </c>
      <c r="Z653" s="12">
        <v>6.666666666666667</v>
      </c>
      <c r="AA653" s="12" t="s">
        <v>1268</v>
      </c>
      <c r="AB653" s="12"/>
    </row>
    <row r="654" spans="1:28" x14ac:dyDescent="0.3">
      <c r="A654" s="12" t="s">
        <v>2553</v>
      </c>
      <c r="B654" s="12" t="s">
        <v>120</v>
      </c>
      <c r="C654" s="12" t="s">
        <v>395</v>
      </c>
      <c r="D654" s="12" t="s">
        <v>2530</v>
      </c>
      <c r="E654" s="12" t="s">
        <v>1886</v>
      </c>
      <c r="F654" s="12" t="s">
        <v>32</v>
      </c>
      <c r="G654" s="12" t="s">
        <v>32</v>
      </c>
      <c r="H654" s="12" t="b">
        <v>1</v>
      </c>
      <c r="I654" s="12" t="b">
        <v>1</v>
      </c>
      <c r="J654" s="12" t="b">
        <v>0</v>
      </c>
      <c r="K654" s="12" t="b">
        <v>0</v>
      </c>
      <c r="L654" s="12">
        <v>420</v>
      </c>
      <c r="M654" s="12">
        <v>288.14999999999998</v>
      </c>
      <c r="N654" s="12">
        <v>3000</v>
      </c>
      <c r="O654" s="12">
        <v>750</v>
      </c>
      <c r="P654" s="12">
        <v>0.5</v>
      </c>
      <c r="Q654" s="12">
        <v>0.85</v>
      </c>
      <c r="R654" s="12">
        <v>0.75</v>
      </c>
      <c r="S654" s="12">
        <v>0.85</v>
      </c>
      <c r="T654" s="12">
        <v>0.75</v>
      </c>
      <c r="U654" s="12">
        <v>0.8</v>
      </c>
      <c r="V654" s="12">
        <v>288.14999999999998</v>
      </c>
      <c r="W654" s="12">
        <v>8.6368055956759289</v>
      </c>
      <c r="X654" s="12">
        <v>45.095244569553863</v>
      </c>
      <c r="Y654" s="12">
        <v>2250</v>
      </c>
      <c r="Z654" s="12">
        <v>4</v>
      </c>
      <c r="AA654" s="12"/>
      <c r="AB654" s="12"/>
    </row>
    <row r="655" spans="1:28" x14ac:dyDescent="0.3">
      <c r="A655" s="12" t="s">
        <v>2554</v>
      </c>
      <c r="B655" s="12" t="s">
        <v>120</v>
      </c>
      <c r="C655" s="12" t="s">
        <v>395</v>
      </c>
      <c r="D655" s="12" t="s">
        <v>2530</v>
      </c>
      <c r="E655" s="12" t="s">
        <v>1886</v>
      </c>
      <c r="F655" s="12" t="s">
        <v>32</v>
      </c>
      <c r="G655" s="12" t="s">
        <v>32</v>
      </c>
      <c r="H655" s="12" t="b">
        <v>1</v>
      </c>
      <c r="I655" s="12" t="b">
        <v>1</v>
      </c>
      <c r="J655" s="12" t="b">
        <v>0</v>
      </c>
      <c r="K655" s="12" t="b">
        <v>0</v>
      </c>
      <c r="L655" s="12">
        <v>420</v>
      </c>
      <c r="M655" s="12">
        <v>288.14999999999998</v>
      </c>
      <c r="N655" s="12">
        <v>3000</v>
      </c>
      <c r="O655" s="12">
        <v>600</v>
      </c>
      <c r="P655" s="12">
        <v>0.5</v>
      </c>
      <c r="Q655" s="12">
        <v>0.85</v>
      </c>
      <c r="R655" s="12">
        <v>0.75</v>
      </c>
      <c r="S655" s="12">
        <v>0.85</v>
      </c>
      <c r="T655" s="12">
        <v>0.75</v>
      </c>
      <c r="U655" s="12">
        <v>0.8</v>
      </c>
      <c r="V655" s="12">
        <v>288.14999999999998</v>
      </c>
      <c r="W655" s="12">
        <v>9.9511952420289713</v>
      </c>
      <c r="X655" s="12">
        <v>52.014877199199169</v>
      </c>
      <c r="Y655" s="12">
        <v>2400</v>
      </c>
      <c r="Z655" s="12">
        <v>5</v>
      </c>
      <c r="AA655" s="12"/>
      <c r="AB655" s="12"/>
    </row>
    <row r="656" spans="1:28" x14ac:dyDescent="0.3">
      <c r="A656" s="12" t="s">
        <v>2555</v>
      </c>
      <c r="B656" s="12" t="s">
        <v>120</v>
      </c>
      <c r="C656" s="12" t="s">
        <v>395</v>
      </c>
      <c r="D656" s="12" t="s">
        <v>2530</v>
      </c>
      <c r="E656" s="12" t="s">
        <v>1886</v>
      </c>
      <c r="F656" s="12" t="s">
        <v>32</v>
      </c>
      <c r="G656" s="12" t="s">
        <v>32</v>
      </c>
      <c r="H656" s="12" t="b">
        <v>1</v>
      </c>
      <c r="I656" s="12" t="b">
        <v>1</v>
      </c>
      <c r="J656" s="12" t="b">
        <v>0</v>
      </c>
      <c r="K656" s="12" t="b">
        <v>0</v>
      </c>
      <c r="L656" s="12">
        <v>420</v>
      </c>
      <c r="M656" s="12">
        <v>288.14999999999998</v>
      </c>
      <c r="N656" s="12">
        <v>3000</v>
      </c>
      <c r="O656" s="12">
        <v>900</v>
      </c>
      <c r="P656" s="12">
        <v>0.5</v>
      </c>
      <c r="Q656" s="12">
        <v>0.85</v>
      </c>
      <c r="R656" s="12">
        <v>0.75</v>
      </c>
      <c r="S656" s="12">
        <v>0.85</v>
      </c>
      <c r="T656" s="12">
        <v>0.75</v>
      </c>
      <c r="U656" s="12">
        <v>0.8</v>
      </c>
      <c r="V656" s="12">
        <v>288.14999999999998</v>
      </c>
      <c r="W656" s="12">
        <v>7.5422517638351598</v>
      </c>
      <c r="X656" s="12">
        <v>39.345037261950552</v>
      </c>
      <c r="Y656" s="12">
        <v>2100</v>
      </c>
      <c r="Z656" s="12">
        <v>3.333333333333333</v>
      </c>
      <c r="AA656" s="12"/>
      <c r="AB656" s="12"/>
    </row>
    <row r="657" spans="1:28" x14ac:dyDescent="0.3">
      <c r="A657" s="12" t="s">
        <v>2556</v>
      </c>
      <c r="B657" s="12" t="s">
        <v>120</v>
      </c>
      <c r="C657" s="12" t="s">
        <v>395</v>
      </c>
      <c r="D657" s="12" t="s">
        <v>2530</v>
      </c>
      <c r="E657" s="12" t="s">
        <v>1886</v>
      </c>
      <c r="F657" s="12" t="s">
        <v>32</v>
      </c>
      <c r="G657" s="12" t="s">
        <v>32</v>
      </c>
      <c r="H657" s="12" t="b">
        <v>1</v>
      </c>
      <c r="I657" s="12" t="b">
        <v>1</v>
      </c>
      <c r="J657" s="12" t="b">
        <v>0</v>
      </c>
      <c r="K657" s="12" t="b">
        <v>0</v>
      </c>
      <c r="L657" s="12">
        <v>420</v>
      </c>
      <c r="M657" s="12">
        <v>288.14999999999998</v>
      </c>
      <c r="N657" s="12">
        <v>3000</v>
      </c>
      <c r="O657" s="12">
        <v>1050</v>
      </c>
      <c r="P657" s="12">
        <v>0.5</v>
      </c>
      <c r="Q657" s="12">
        <v>0.85</v>
      </c>
      <c r="R657" s="12">
        <v>0.75</v>
      </c>
      <c r="S657" s="12">
        <v>0.85</v>
      </c>
      <c r="T657" s="12">
        <v>0.75</v>
      </c>
      <c r="U657" s="12">
        <v>0.8</v>
      </c>
      <c r="V657" s="12">
        <v>288.14999999999998</v>
      </c>
      <c r="W657" s="12">
        <v>6.6034076454544799</v>
      </c>
      <c r="X657" s="12">
        <v>34.42145956774781</v>
      </c>
      <c r="Y657" s="12">
        <v>1950</v>
      </c>
      <c r="Z657" s="12">
        <v>2.8571428571428572</v>
      </c>
      <c r="AA657" s="12"/>
      <c r="AB657" s="12"/>
    </row>
    <row r="658" spans="1:28" x14ac:dyDescent="0.3">
      <c r="A658" s="12" t="s">
        <v>2557</v>
      </c>
      <c r="B658" s="12" t="s">
        <v>120</v>
      </c>
      <c r="C658" s="12" t="s">
        <v>395</v>
      </c>
      <c r="D658" s="12" t="s">
        <v>2530</v>
      </c>
      <c r="E658" s="12" t="s">
        <v>1886</v>
      </c>
      <c r="F658" s="12" t="s">
        <v>32</v>
      </c>
      <c r="G658" s="12" t="s">
        <v>32</v>
      </c>
      <c r="H658" s="12" t="b">
        <v>1</v>
      </c>
      <c r="I658" s="12" t="b">
        <v>1</v>
      </c>
      <c r="J658" s="12" t="b">
        <v>0</v>
      </c>
      <c r="K658" s="12" t="b">
        <v>0</v>
      </c>
      <c r="L658" s="12">
        <v>420</v>
      </c>
      <c r="M658" s="12">
        <v>288.14999999999998</v>
      </c>
      <c r="N658" s="12">
        <v>3000</v>
      </c>
      <c r="O658" s="12">
        <v>1200</v>
      </c>
      <c r="P658" s="12">
        <v>0.5</v>
      </c>
      <c r="Q658" s="12">
        <v>0.85</v>
      </c>
      <c r="R658" s="12">
        <v>0.75</v>
      </c>
      <c r="S658" s="12">
        <v>0.85</v>
      </c>
      <c r="T658" s="12">
        <v>0.75</v>
      </c>
      <c r="U658" s="12">
        <v>0.8</v>
      </c>
      <c r="V658" s="12">
        <v>288.14999999999998</v>
      </c>
      <c r="W658" s="12">
        <v>5.7810523108036804</v>
      </c>
      <c r="X658" s="12">
        <v>30.115218323228881</v>
      </c>
      <c r="Y658" s="12">
        <v>1800</v>
      </c>
      <c r="Z658" s="12">
        <v>2.5</v>
      </c>
      <c r="AA658" s="12"/>
      <c r="AB658" s="12"/>
    </row>
    <row r="659" spans="1:28" x14ac:dyDescent="0.3">
      <c r="A659" s="12" t="s">
        <v>2558</v>
      </c>
      <c r="B659" s="12" t="s">
        <v>120</v>
      </c>
      <c r="C659" s="12" t="s">
        <v>395</v>
      </c>
      <c r="D659" s="12" t="s">
        <v>2530</v>
      </c>
      <c r="E659" s="12" t="s">
        <v>1886</v>
      </c>
      <c r="F659" s="12" t="s">
        <v>32</v>
      </c>
      <c r="G659" s="12" t="s">
        <v>32</v>
      </c>
      <c r="H659" s="12" t="b">
        <v>1</v>
      </c>
      <c r="I659" s="12" t="b">
        <v>1</v>
      </c>
      <c r="J659" s="12" t="b">
        <v>0</v>
      </c>
      <c r="K659" s="12" t="b">
        <v>0</v>
      </c>
      <c r="L659" s="12">
        <v>420</v>
      </c>
      <c r="M659" s="12">
        <v>288.14999999999998</v>
      </c>
      <c r="N659" s="12">
        <v>3000</v>
      </c>
      <c r="O659" s="12">
        <v>1350</v>
      </c>
      <c r="P659" s="12">
        <v>0.5</v>
      </c>
      <c r="Q659" s="12">
        <v>0.85</v>
      </c>
      <c r="R659" s="12">
        <v>0.75</v>
      </c>
      <c r="S659" s="12">
        <v>0.85</v>
      </c>
      <c r="T659" s="12">
        <v>0.75</v>
      </c>
      <c r="U659" s="12">
        <v>0.8</v>
      </c>
      <c r="V659" s="12">
        <v>288.14999999999998</v>
      </c>
      <c r="W659" s="12">
        <v>5.0493718786144202</v>
      </c>
      <c r="X659" s="12">
        <v>26.288733036580521</v>
      </c>
      <c r="Y659" s="12">
        <v>1650</v>
      </c>
      <c r="Z659" s="12">
        <v>2.2222222222222219</v>
      </c>
      <c r="AA659" s="12"/>
      <c r="AB659" s="12"/>
    </row>
    <row r="660" spans="1:28" x14ac:dyDescent="0.3">
      <c r="A660" s="12" t="s">
        <v>2559</v>
      </c>
      <c r="B660" s="12" t="s">
        <v>120</v>
      </c>
      <c r="C660" s="12" t="s">
        <v>395</v>
      </c>
      <c r="D660" s="12" t="s">
        <v>2530</v>
      </c>
      <c r="E660" s="12" t="s">
        <v>1886</v>
      </c>
      <c r="F660" s="12" t="s">
        <v>32</v>
      </c>
      <c r="G660" s="12" t="s">
        <v>32</v>
      </c>
      <c r="H660" s="12" t="b">
        <v>1</v>
      </c>
      <c r="I660" s="12" t="b">
        <v>1</v>
      </c>
      <c r="J660" s="12" t="b">
        <v>0</v>
      </c>
      <c r="K660" s="12" t="b">
        <v>0</v>
      </c>
      <c r="L660" s="12">
        <v>420</v>
      </c>
      <c r="M660" s="12">
        <v>288.14999999999998</v>
      </c>
      <c r="N660" s="12">
        <v>3000</v>
      </c>
      <c r="O660" s="12">
        <v>1500</v>
      </c>
      <c r="P660" s="12">
        <v>0.5</v>
      </c>
      <c r="Q660" s="12">
        <v>0.85</v>
      </c>
      <c r="R660" s="12">
        <v>0.75</v>
      </c>
      <c r="S660" s="12">
        <v>0.85</v>
      </c>
      <c r="T660" s="12">
        <v>0.75</v>
      </c>
      <c r="U660" s="12">
        <v>0.8</v>
      </c>
      <c r="V660" s="12">
        <v>288.14999999999998</v>
      </c>
      <c r="W660" s="12">
        <v>4.3904173963407001</v>
      </c>
      <c r="X660" s="12">
        <v>22.846500436186211</v>
      </c>
      <c r="Y660" s="12">
        <v>1500</v>
      </c>
      <c r="Z660" s="12">
        <v>2</v>
      </c>
      <c r="AA660" s="12"/>
      <c r="AB660" s="12"/>
    </row>
    <row r="661" spans="1:28" x14ac:dyDescent="0.3">
      <c r="A661" s="12" t="s">
        <v>2560</v>
      </c>
      <c r="B661" s="12" t="s">
        <v>120</v>
      </c>
      <c r="C661" s="12" t="s">
        <v>395</v>
      </c>
      <c r="D661" s="12" t="s">
        <v>2530</v>
      </c>
      <c r="E661" s="12" t="s">
        <v>1886</v>
      </c>
      <c r="F661" s="12" t="s">
        <v>1861</v>
      </c>
      <c r="G661" s="12" t="s">
        <v>1861</v>
      </c>
      <c r="H661" s="12" t="b">
        <v>1</v>
      </c>
      <c r="I661" s="12" t="b">
        <v>0</v>
      </c>
      <c r="J661" s="12" t="b">
        <v>0</v>
      </c>
      <c r="K661" s="12" t="b">
        <v>0</v>
      </c>
      <c r="L661" s="12">
        <v>420</v>
      </c>
      <c r="M661" s="12">
        <v>293.14999999999998</v>
      </c>
      <c r="N661" s="12">
        <v>3000</v>
      </c>
      <c r="O661" s="12">
        <v>300</v>
      </c>
      <c r="P661" s="12">
        <v>0.5</v>
      </c>
      <c r="Q661" s="12">
        <v>0.85</v>
      </c>
      <c r="R661" s="12">
        <v>0.75</v>
      </c>
      <c r="S661" s="12">
        <v>0.85</v>
      </c>
      <c r="T661" s="12">
        <v>0.75</v>
      </c>
      <c r="U661" s="12">
        <v>0.8</v>
      </c>
      <c r="V661" s="12">
        <v>293.14999999999998</v>
      </c>
      <c r="W661" s="12">
        <v>13.422683038199381</v>
      </c>
      <c r="X661" s="12">
        <v>69.074440096765528</v>
      </c>
      <c r="Y661" s="12">
        <v>2700</v>
      </c>
      <c r="Z661" s="12">
        <v>10</v>
      </c>
      <c r="AA661" s="12" t="s">
        <v>1268</v>
      </c>
      <c r="AB661" s="12"/>
    </row>
    <row r="662" spans="1:28" x14ac:dyDescent="0.3">
      <c r="A662" s="12" t="s">
        <v>2561</v>
      </c>
      <c r="B662" s="12" t="s">
        <v>120</v>
      </c>
      <c r="C662" s="12" t="s">
        <v>395</v>
      </c>
      <c r="D662" s="12" t="s">
        <v>2530</v>
      </c>
      <c r="E662" s="12" t="s">
        <v>1886</v>
      </c>
      <c r="F662" s="12" t="s">
        <v>1861</v>
      </c>
      <c r="G662" s="12" t="s">
        <v>1861</v>
      </c>
      <c r="H662" s="12" t="b">
        <v>1</v>
      </c>
      <c r="I662" s="12" t="b">
        <v>0</v>
      </c>
      <c r="J662" s="12" t="b">
        <v>0</v>
      </c>
      <c r="K662" s="12" t="b">
        <v>0</v>
      </c>
      <c r="L662" s="12">
        <v>420</v>
      </c>
      <c r="M662" s="12">
        <v>293.14999999999998</v>
      </c>
      <c r="N662" s="12">
        <v>3000</v>
      </c>
      <c r="O662" s="12">
        <v>450</v>
      </c>
      <c r="P662" s="12">
        <v>0.5</v>
      </c>
      <c r="Q662" s="12">
        <v>0.85</v>
      </c>
      <c r="R662" s="12">
        <v>0.75</v>
      </c>
      <c r="S662" s="12">
        <v>0.85</v>
      </c>
      <c r="T662" s="12">
        <v>0.75</v>
      </c>
      <c r="U662" s="12">
        <v>0.8</v>
      </c>
      <c r="V662" s="12">
        <v>293.14999999999998</v>
      </c>
      <c r="W662" s="12">
        <v>11.689307403672061</v>
      </c>
      <c r="X662" s="12">
        <v>60.194498657512739</v>
      </c>
      <c r="Y662" s="12">
        <v>2550</v>
      </c>
      <c r="Z662" s="12">
        <v>6.666666666666667</v>
      </c>
      <c r="AA662" s="12" t="s">
        <v>1268</v>
      </c>
      <c r="AB662" s="12"/>
    </row>
    <row r="663" spans="1:28" x14ac:dyDescent="0.3">
      <c r="A663" s="12" t="s">
        <v>2562</v>
      </c>
      <c r="B663" s="12" t="s">
        <v>120</v>
      </c>
      <c r="C663" s="12" t="s">
        <v>395</v>
      </c>
      <c r="D663" s="12" t="s">
        <v>2530</v>
      </c>
      <c r="E663" s="12" t="s">
        <v>1886</v>
      </c>
      <c r="F663" s="12" t="s">
        <v>1861</v>
      </c>
      <c r="G663" s="12" t="s">
        <v>1861</v>
      </c>
      <c r="H663" s="12" t="b">
        <v>1</v>
      </c>
      <c r="I663" s="12" t="b">
        <v>0</v>
      </c>
      <c r="J663" s="12" t="b">
        <v>0</v>
      </c>
      <c r="K663" s="12" t="b">
        <v>0</v>
      </c>
      <c r="L663" s="12">
        <v>420</v>
      </c>
      <c r="M663" s="12">
        <v>293.14999999999998</v>
      </c>
      <c r="N663" s="12">
        <v>3000</v>
      </c>
      <c r="O663" s="12">
        <v>150</v>
      </c>
      <c r="P663" s="12">
        <v>0.5</v>
      </c>
      <c r="Q663" s="12">
        <v>0.85</v>
      </c>
      <c r="R663" s="12">
        <v>0.75</v>
      </c>
      <c r="S663" s="12">
        <v>0.85</v>
      </c>
      <c r="T663" s="12">
        <v>0.75</v>
      </c>
      <c r="U663" s="12">
        <v>0.8</v>
      </c>
      <c r="V663" s="12">
        <v>293.14999999999998</v>
      </c>
      <c r="W663" s="12">
        <v>4.86781407487201</v>
      </c>
      <c r="X663" s="12">
        <v>18.895304175836781</v>
      </c>
      <c r="Y663" s="12">
        <v>2850</v>
      </c>
      <c r="Z663" s="12">
        <v>20</v>
      </c>
      <c r="AA663" s="12" t="s">
        <v>1981</v>
      </c>
      <c r="AB663" s="12"/>
    </row>
    <row r="664" spans="1:28" x14ac:dyDescent="0.3">
      <c r="A664" s="12" t="s">
        <v>2563</v>
      </c>
      <c r="B664" s="12" t="s">
        <v>120</v>
      </c>
      <c r="C664" s="12" t="s">
        <v>395</v>
      </c>
      <c r="D664" s="12" t="s">
        <v>2530</v>
      </c>
      <c r="E664" s="12" t="s">
        <v>1886</v>
      </c>
      <c r="F664" s="12" t="s">
        <v>1861</v>
      </c>
      <c r="G664" s="12" t="s">
        <v>1861</v>
      </c>
      <c r="H664" s="12" t="b">
        <v>1</v>
      </c>
      <c r="I664" s="12" t="b">
        <v>0</v>
      </c>
      <c r="J664" s="12" t="b">
        <v>0</v>
      </c>
      <c r="K664" s="12" t="b">
        <v>0</v>
      </c>
      <c r="L664" s="12">
        <v>420</v>
      </c>
      <c r="M664" s="12">
        <v>293.14999999999998</v>
      </c>
      <c r="N664" s="12">
        <v>3000</v>
      </c>
      <c r="O664" s="12">
        <v>600</v>
      </c>
      <c r="P664" s="12">
        <v>0.5</v>
      </c>
      <c r="Q664" s="12">
        <v>0.85</v>
      </c>
      <c r="R664" s="12">
        <v>0.75</v>
      </c>
      <c r="S664" s="12">
        <v>0.85</v>
      </c>
      <c r="T664" s="12">
        <v>0.75</v>
      </c>
      <c r="U664" s="12">
        <v>0.8</v>
      </c>
      <c r="V664" s="12">
        <v>293.14999999999998</v>
      </c>
      <c r="W664" s="12">
        <v>10.13930752454878</v>
      </c>
      <c r="X664" s="12">
        <v>52.1710580024439</v>
      </c>
      <c r="Y664" s="12">
        <v>2400</v>
      </c>
      <c r="Z664" s="12">
        <v>5</v>
      </c>
      <c r="AA664" s="12" t="s">
        <v>1268</v>
      </c>
      <c r="AB664" s="12"/>
    </row>
    <row r="665" spans="1:28" x14ac:dyDescent="0.3">
      <c r="A665" s="12" t="s">
        <v>2564</v>
      </c>
      <c r="B665" s="12" t="s">
        <v>120</v>
      </c>
      <c r="C665" s="12" t="s">
        <v>395</v>
      </c>
      <c r="D665" s="12" t="s">
        <v>2530</v>
      </c>
      <c r="E665" s="12" t="s">
        <v>1886</v>
      </c>
      <c r="F665" s="12" t="s">
        <v>32</v>
      </c>
      <c r="G665" s="12" t="s">
        <v>32</v>
      </c>
      <c r="H665" s="12" t="b">
        <v>1</v>
      </c>
      <c r="I665" s="12" t="b">
        <v>1</v>
      </c>
      <c r="J665" s="12" t="b">
        <v>0</v>
      </c>
      <c r="K665" s="12" t="b">
        <v>0</v>
      </c>
      <c r="L665" s="12">
        <v>420</v>
      </c>
      <c r="M665" s="12">
        <v>293.14999999999998</v>
      </c>
      <c r="N665" s="12">
        <v>3000</v>
      </c>
      <c r="O665" s="12">
        <v>750</v>
      </c>
      <c r="P665" s="12">
        <v>0.5</v>
      </c>
      <c r="Q665" s="12">
        <v>0.85</v>
      </c>
      <c r="R665" s="12">
        <v>0.75</v>
      </c>
      <c r="S665" s="12">
        <v>0.85</v>
      </c>
      <c r="T665" s="12">
        <v>0.75</v>
      </c>
      <c r="U665" s="12">
        <v>0.8</v>
      </c>
      <c r="V665" s="12">
        <v>293.14999999999998</v>
      </c>
      <c r="W665" s="12">
        <v>8.8004783588672595</v>
      </c>
      <c r="X665" s="12">
        <v>45.231906994873931</v>
      </c>
      <c r="Y665" s="12">
        <v>2250</v>
      </c>
      <c r="Z665" s="12">
        <v>4</v>
      </c>
      <c r="AA665" s="12"/>
      <c r="AB665" s="12"/>
    </row>
    <row r="666" spans="1:28" x14ac:dyDescent="0.3">
      <c r="A666" s="12" t="s">
        <v>2565</v>
      </c>
      <c r="B666" s="12" t="s">
        <v>120</v>
      </c>
      <c r="C666" s="12" t="s">
        <v>395</v>
      </c>
      <c r="D666" s="12" t="s">
        <v>2530</v>
      </c>
      <c r="E666" s="12" t="s">
        <v>1886</v>
      </c>
      <c r="F666" s="12" t="s">
        <v>32</v>
      </c>
      <c r="G666" s="12" t="s">
        <v>32</v>
      </c>
      <c r="H666" s="12" t="b">
        <v>1</v>
      </c>
      <c r="I666" s="12" t="b">
        <v>1</v>
      </c>
      <c r="J666" s="12" t="b">
        <v>0</v>
      </c>
      <c r="K666" s="12" t="b">
        <v>0</v>
      </c>
      <c r="L666" s="12">
        <v>420</v>
      </c>
      <c r="M666" s="12">
        <v>293.14999999999998</v>
      </c>
      <c r="N666" s="12">
        <v>3000</v>
      </c>
      <c r="O666" s="12">
        <v>900</v>
      </c>
      <c r="P666" s="12">
        <v>0.5</v>
      </c>
      <c r="Q666" s="12">
        <v>0.85</v>
      </c>
      <c r="R666" s="12">
        <v>0.75</v>
      </c>
      <c r="S666" s="12">
        <v>0.85</v>
      </c>
      <c r="T666" s="12">
        <v>0.75</v>
      </c>
      <c r="U666" s="12">
        <v>0.8</v>
      </c>
      <c r="V666" s="12">
        <v>293.14999999999998</v>
      </c>
      <c r="W666" s="12">
        <v>7.6851835359590792</v>
      </c>
      <c r="X666" s="12">
        <v>39.463615761378527</v>
      </c>
      <c r="Y666" s="12">
        <v>2100</v>
      </c>
      <c r="Z666" s="12">
        <v>3.333333333333333</v>
      </c>
      <c r="AA666" s="12"/>
      <c r="AB666" s="12"/>
    </row>
    <row r="667" spans="1:28" x14ac:dyDescent="0.3">
      <c r="A667" s="12" t="s">
        <v>2566</v>
      </c>
      <c r="B667" s="12" t="s">
        <v>120</v>
      </c>
      <c r="C667" s="12" t="s">
        <v>395</v>
      </c>
      <c r="D667" s="12" t="s">
        <v>2530</v>
      </c>
      <c r="E667" s="12" t="s">
        <v>1886</v>
      </c>
      <c r="F667" s="12" t="s">
        <v>32</v>
      </c>
      <c r="G667" s="12" t="s">
        <v>32</v>
      </c>
      <c r="H667" s="12" t="b">
        <v>1</v>
      </c>
      <c r="I667" s="12" t="b">
        <v>1</v>
      </c>
      <c r="J667" s="12" t="b">
        <v>0</v>
      </c>
      <c r="K667" s="12" t="b">
        <v>0</v>
      </c>
      <c r="L667" s="12">
        <v>420</v>
      </c>
      <c r="M667" s="12">
        <v>293.14999999999998</v>
      </c>
      <c r="N667" s="12">
        <v>3000</v>
      </c>
      <c r="O667" s="12">
        <v>1050</v>
      </c>
      <c r="P667" s="12">
        <v>0.5</v>
      </c>
      <c r="Q667" s="12">
        <v>0.85</v>
      </c>
      <c r="R667" s="12">
        <v>0.75</v>
      </c>
      <c r="S667" s="12">
        <v>0.85</v>
      </c>
      <c r="T667" s="12">
        <v>0.75</v>
      </c>
      <c r="U667" s="12">
        <v>0.8</v>
      </c>
      <c r="V667" s="12">
        <v>293.14999999999998</v>
      </c>
      <c r="W667" s="12">
        <v>6.7285393377506004</v>
      </c>
      <c r="X667" s="12">
        <v>34.524675659941117</v>
      </c>
      <c r="Y667" s="12">
        <v>1950</v>
      </c>
      <c r="Z667" s="12">
        <v>2.8571428571428572</v>
      </c>
      <c r="AA667" s="12"/>
      <c r="AB667" s="12"/>
    </row>
    <row r="668" spans="1:28" x14ac:dyDescent="0.3">
      <c r="A668" s="12" t="s">
        <v>2567</v>
      </c>
      <c r="B668" s="12" t="s">
        <v>120</v>
      </c>
      <c r="C668" s="12" t="s">
        <v>395</v>
      </c>
      <c r="D668" s="12" t="s">
        <v>2530</v>
      </c>
      <c r="E668" s="12" t="s">
        <v>1886</v>
      </c>
      <c r="F668" s="12" t="s">
        <v>32</v>
      </c>
      <c r="G668" s="12" t="s">
        <v>32</v>
      </c>
      <c r="H668" s="12" t="b">
        <v>1</v>
      </c>
      <c r="I668" s="12" t="b">
        <v>1</v>
      </c>
      <c r="J668" s="12" t="b">
        <v>0</v>
      </c>
      <c r="K668" s="12" t="b">
        <v>0</v>
      </c>
      <c r="L668" s="12">
        <v>420</v>
      </c>
      <c r="M668" s="12">
        <v>293.14999999999998</v>
      </c>
      <c r="N668" s="12">
        <v>3000</v>
      </c>
      <c r="O668" s="12">
        <v>1200</v>
      </c>
      <c r="P668" s="12">
        <v>0.5</v>
      </c>
      <c r="Q668" s="12">
        <v>0.85</v>
      </c>
      <c r="R668" s="12">
        <v>0.75</v>
      </c>
      <c r="S668" s="12">
        <v>0.85</v>
      </c>
      <c r="T668" s="12">
        <v>0.75</v>
      </c>
      <c r="U668" s="12">
        <v>0.8</v>
      </c>
      <c r="V668" s="12">
        <v>293.14999999999998</v>
      </c>
      <c r="W668" s="12">
        <v>5.89059006282291</v>
      </c>
      <c r="X668" s="12">
        <v>30.20509924967617</v>
      </c>
      <c r="Y668" s="12">
        <v>1800</v>
      </c>
      <c r="Z668" s="12">
        <v>2.5</v>
      </c>
      <c r="AA668" s="12"/>
      <c r="AB668" s="12"/>
    </row>
    <row r="669" spans="1:28" x14ac:dyDescent="0.3">
      <c r="A669" s="12" t="s">
        <v>2568</v>
      </c>
      <c r="B669" s="12" t="s">
        <v>120</v>
      </c>
      <c r="C669" s="12" t="s">
        <v>395</v>
      </c>
      <c r="D669" s="12" t="s">
        <v>2530</v>
      </c>
      <c r="E669" s="12" t="s">
        <v>1886</v>
      </c>
      <c r="F669" s="12" t="s">
        <v>32</v>
      </c>
      <c r="G669" s="12" t="s">
        <v>32</v>
      </c>
      <c r="H669" s="12" t="b">
        <v>1</v>
      </c>
      <c r="I669" s="12" t="b">
        <v>1</v>
      </c>
      <c r="J669" s="12" t="b">
        <v>0</v>
      </c>
      <c r="K669" s="12" t="b">
        <v>0</v>
      </c>
      <c r="L669" s="12">
        <v>420</v>
      </c>
      <c r="M669" s="12">
        <v>293.14999999999998</v>
      </c>
      <c r="N669" s="12">
        <v>3000</v>
      </c>
      <c r="O669" s="12">
        <v>1350</v>
      </c>
      <c r="P669" s="12">
        <v>0.5</v>
      </c>
      <c r="Q669" s="12">
        <v>0.85</v>
      </c>
      <c r="R669" s="12">
        <v>0.75</v>
      </c>
      <c r="S669" s="12">
        <v>0.85</v>
      </c>
      <c r="T669" s="12">
        <v>0.75</v>
      </c>
      <c r="U669" s="12">
        <v>0.8</v>
      </c>
      <c r="V669" s="12">
        <v>293.14999999999998</v>
      </c>
      <c r="W669" s="12">
        <v>5.1450296700085696</v>
      </c>
      <c r="X669" s="12">
        <v>26.36684427013838</v>
      </c>
      <c r="Y669" s="12">
        <v>1650</v>
      </c>
      <c r="Z669" s="12">
        <v>2.2222222222222219</v>
      </c>
      <c r="AA669" s="12"/>
      <c r="AB669" s="12"/>
    </row>
    <row r="670" spans="1:28" x14ac:dyDescent="0.3">
      <c r="A670" s="12" t="s">
        <v>2569</v>
      </c>
      <c r="B670" s="12" t="s">
        <v>120</v>
      </c>
      <c r="C670" s="12" t="s">
        <v>395</v>
      </c>
      <c r="D670" s="12" t="s">
        <v>2530</v>
      </c>
      <c r="E670" s="12" t="s">
        <v>1886</v>
      </c>
      <c r="F670" s="12" t="s">
        <v>32</v>
      </c>
      <c r="G670" s="12" t="s">
        <v>32</v>
      </c>
      <c r="H670" s="12" t="b">
        <v>1</v>
      </c>
      <c r="I670" s="12" t="b">
        <v>1</v>
      </c>
      <c r="J670" s="12" t="b">
        <v>0</v>
      </c>
      <c r="K670" s="12" t="b">
        <v>0</v>
      </c>
      <c r="L670" s="12">
        <v>420</v>
      </c>
      <c r="M670" s="12">
        <v>293.14999999999998</v>
      </c>
      <c r="N670" s="12">
        <v>3000</v>
      </c>
      <c r="O670" s="12">
        <v>1500</v>
      </c>
      <c r="P670" s="12">
        <v>0.5</v>
      </c>
      <c r="Q670" s="12">
        <v>0.85</v>
      </c>
      <c r="R670" s="12">
        <v>0.75</v>
      </c>
      <c r="S670" s="12">
        <v>0.85</v>
      </c>
      <c r="T670" s="12">
        <v>0.75</v>
      </c>
      <c r="U670" s="12">
        <v>0.8</v>
      </c>
      <c r="V670" s="12">
        <v>293.14999999999998</v>
      </c>
      <c r="W670" s="12">
        <v>4.4735743872176004</v>
      </c>
      <c r="X670" s="12">
        <v>22.91409523924154</v>
      </c>
      <c r="Y670" s="12">
        <v>1500</v>
      </c>
      <c r="Z670" s="12">
        <v>2</v>
      </c>
      <c r="AA670" s="12"/>
      <c r="AB670" s="12"/>
    </row>
    <row r="671" spans="1:28" x14ac:dyDescent="0.3">
      <c r="A671" s="12" t="s">
        <v>2570</v>
      </c>
      <c r="B671" s="12" t="s">
        <v>120</v>
      </c>
      <c r="C671" s="12" t="s">
        <v>395</v>
      </c>
      <c r="D671" s="12" t="s">
        <v>2530</v>
      </c>
      <c r="E671" s="12" t="s">
        <v>1886</v>
      </c>
      <c r="F671" s="12" t="s">
        <v>1862</v>
      </c>
      <c r="G671" s="12" t="s">
        <v>1862</v>
      </c>
      <c r="H671" s="12" t="b">
        <v>1</v>
      </c>
      <c r="I671" s="12" t="b">
        <v>0</v>
      </c>
      <c r="J671" s="12" t="b">
        <v>0</v>
      </c>
      <c r="K671" s="12" t="b">
        <v>0</v>
      </c>
      <c r="L671" s="12">
        <v>420</v>
      </c>
      <c r="M671" s="12">
        <v>300.032917</v>
      </c>
      <c r="N671" s="12">
        <v>3000</v>
      </c>
      <c r="O671" s="12">
        <v>150</v>
      </c>
      <c r="P671" s="12">
        <v>0.5</v>
      </c>
      <c r="Q671" s="12">
        <v>0.85</v>
      </c>
      <c r="R671" s="12">
        <v>0.75</v>
      </c>
      <c r="S671" s="12">
        <v>0.85</v>
      </c>
      <c r="T671" s="12">
        <v>0.75</v>
      </c>
      <c r="U671" s="12">
        <v>0.8</v>
      </c>
      <c r="V671" s="12">
        <v>300.032917</v>
      </c>
      <c r="W671" s="12">
        <v>-5.389705593465</v>
      </c>
      <c r="X671" s="12">
        <v>-15.58216950655182</v>
      </c>
      <c r="Y671" s="12">
        <v>2850</v>
      </c>
      <c r="Z671" s="12">
        <v>20</v>
      </c>
      <c r="AA671" s="12" t="s">
        <v>2571</v>
      </c>
      <c r="AB671" s="12"/>
    </row>
    <row r="672" spans="1:28" x14ac:dyDescent="0.3">
      <c r="A672" s="12" t="s">
        <v>2572</v>
      </c>
      <c r="B672" s="12" t="s">
        <v>120</v>
      </c>
      <c r="C672" s="12" t="s">
        <v>395</v>
      </c>
      <c r="D672" s="12" t="s">
        <v>2530</v>
      </c>
      <c r="E672" s="12" t="s">
        <v>1886</v>
      </c>
      <c r="F672" s="12" t="s">
        <v>1861</v>
      </c>
      <c r="G672" s="12" t="s">
        <v>1861</v>
      </c>
      <c r="H672" s="12" t="b">
        <v>1</v>
      </c>
      <c r="I672" s="12" t="b">
        <v>0</v>
      </c>
      <c r="J672" s="12" t="b">
        <v>0</v>
      </c>
      <c r="K672" s="12" t="b">
        <v>0</v>
      </c>
      <c r="L672" s="12">
        <v>420</v>
      </c>
      <c r="M672" s="12">
        <v>300.032917</v>
      </c>
      <c r="N672" s="12">
        <v>3000</v>
      </c>
      <c r="O672" s="12">
        <v>450</v>
      </c>
      <c r="P672" s="12">
        <v>0.5</v>
      </c>
      <c r="Q672" s="12">
        <v>0.85</v>
      </c>
      <c r="R672" s="12">
        <v>0.75</v>
      </c>
      <c r="S672" s="12">
        <v>0.85</v>
      </c>
      <c r="T672" s="12">
        <v>0.75</v>
      </c>
      <c r="U672" s="12">
        <v>0.8</v>
      </c>
      <c r="V672" s="12">
        <v>300.032917</v>
      </c>
      <c r="W672" s="12">
        <v>11.7667307988599</v>
      </c>
      <c r="X672" s="12">
        <v>59.195587161568177</v>
      </c>
      <c r="Y672" s="12">
        <v>2550</v>
      </c>
      <c r="Z672" s="12">
        <v>6.666666666666667</v>
      </c>
      <c r="AA672" s="12" t="s">
        <v>1268</v>
      </c>
      <c r="AB672" s="12"/>
    </row>
    <row r="673" spans="1:28" x14ac:dyDescent="0.3">
      <c r="A673" s="12" t="s">
        <v>2573</v>
      </c>
      <c r="B673" s="12" t="s">
        <v>120</v>
      </c>
      <c r="C673" s="12" t="s">
        <v>395</v>
      </c>
      <c r="D673" s="12" t="s">
        <v>2530</v>
      </c>
      <c r="E673" s="12" t="s">
        <v>1886</v>
      </c>
      <c r="F673" s="12" t="s">
        <v>1861</v>
      </c>
      <c r="G673" s="12" t="s">
        <v>1861</v>
      </c>
      <c r="H673" s="12" t="b">
        <v>1</v>
      </c>
      <c r="I673" s="12" t="b">
        <v>0</v>
      </c>
      <c r="J673" s="12" t="b">
        <v>0</v>
      </c>
      <c r="K673" s="12" t="b">
        <v>0</v>
      </c>
      <c r="L673" s="12">
        <v>420</v>
      </c>
      <c r="M673" s="12">
        <v>300.032917</v>
      </c>
      <c r="N673" s="12">
        <v>3000</v>
      </c>
      <c r="O673" s="12">
        <v>300</v>
      </c>
      <c r="P673" s="12">
        <v>0.5</v>
      </c>
      <c r="Q673" s="12">
        <v>0.85</v>
      </c>
      <c r="R673" s="12">
        <v>0.75</v>
      </c>
      <c r="S673" s="12">
        <v>0.85</v>
      </c>
      <c r="T673" s="12">
        <v>0.75</v>
      </c>
      <c r="U673" s="12">
        <v>0.8</v>
      </c>
      <c r="V673" s="12">
        <v>300.032917</v>
      </c>
      <c r="W673" s="12">
        <v>12.489198504879109</v>
      </c>
      <c r="X673" s="12">
        <v>58.887244734228162</v>
      </c>
      <c r="Y673" s="12">
        <v>2700</v>
      </c>
      <c r="Z673" s="12">
        <v>10</v>
      </c>
      <c r="AA673" s="12" t="s">
        <v>1268</v>
      </c>
      <c r="AB673" s="12"/>
    </row>
    <row r="674" spans="1:28" x14ac:dyDescent="0.3">
      <c r="A674" s="12" t="s">
        <v>2574</v>
      </c>
      <c r="B674" s="12" t="s">
        <v>120</v>
      </c>
      <c r="C674" s="12" t="s">
        <v>395</v>
      </c>
      <c r="D674" s="12" t="s">
        <v>2530</v>
      </c>
      <c r="E674" s="12" t="s">
        <v>1886</v>
      </c>
      <c r="F674" s="12" t="s">
        <v>1861</v>
      </c>
      <c r="G674" s="12" t="s">
        <v>1861</v>
      </c>
      <c r="H674" s="12" t="b">
        <v>1</v>
      </c>
      <c r="I674" s="12" t="b">
        <v>0</v>
      </c>
      <c r="J674" s="12" t="b">
        <v>0</v>
      </c>
      <c r="K674" s="12" t="b">
        <v>0</v>
      </c>
      <c r="L674" s="12">
        <v>420</v>
      </c>
      <c r="M674" s="12">
        <v>300.032917</v>
      </c>
      <c r="N674" s="12">
        <v>3000</v>
      </c>
      <c r="O674" s="12">
        <v>600</v>
      </c>
      <c r="P674" s="12">
        <v>0.5</v>
      </c>
      <c r="Q674" s="12">
        <v>0.85</v>
      </c>
      <c r="R674" s="12">
        <v>0.75</v>
      </c>
      <c r="S674" s="12">
        <v>0.85</v>
      </c>
      <c r="T674" s="12">
        <v>0.75</v>
      </c>
      <c r="U674" s="12">
        <v>0.8</v>
      </c>
      <c r="V674" s="12">
        <v>300.032917</v>
      </c>
      <c r="W674" s="12">
        <v>10.34480083843099</v>
      </c>
      <c r="X674" s="12">
        <v>52.041707512392527</v>
      </c>
      <c r="Y674" s="12">
        <v>2400</v>
      </c>
      <c r="Z674" s="12">
        <v>5</v>
      </c>
      <c r="AA674" s="12" t="s">
        <v>1268</v>
      </c>
      <c r="AB674" s="12"/>
    </row>
    <row r="675" spans="1:28" x14ac:dyDescent="0.3">
      <c r="A675" s="12" t="s">
        <v>2575</v>
      </c>
      <c r="B675" s="12" t="s">
        <v>120</v>
      </c>
      <c r="C675" s="12" t="s">
        <v>395</v>
      </c>
      <c r="D675" s="12" t="s">
        <v>2530</v>
      </c>
      <c r="E675" s="12" t="s">
        <v>1886</v>
      </c>
      <c r="F675" s="12" t="s">
        <v>32</v>
      </c>
      <c r="G675" s="12" t="s">
        <v>32</v>
      </c>
      <c r="H675" s="12" t="b">
        <v>1</v>
      </c>
      <c r="I675" s="12" t="b">
        <v>1</v>
      </c>
      <c r="J675" s="12" t="b">
        <v>0</v>
      </c>
      <c r="K675" s="12" t="b">
        <v>0</v>
      </c>
      <c r="L675" s="12">
        <v>420</v>
      </c>
      <c r="M675" s="12">
        <v>300.032917</v>
      </c>
      <c r="N675" s="12">
        <v>3000</v>
      </c>
      <c r="O675" s="12">
        <v>750</v>
      </c>
      <c r="P675" s="12">
        <v>0.5</v>
      </c>
      <c r="Q675" s="12">
        <v>0.85</v>
      </c>
      <c r="R675" s="12">
        <v>0.75</v>
      </c>
      <c r="S675" s="12">
        <v>0.85</v>
      </c>
      <c r="T675" s="12">
        <v>0.75</v>
      </c>
      <c r="U675" s="12">
        <v>0.8</v>
      </c>
      <c r="V675" s="12">
        <v>300.032917</v>
      </c>
      <c r="W675" s="12">
        <v>9.0362214200922306</v>
      </c>
      <c r="X675" s="12">
        <v>45.420872041434322</v>
      </c>
      <c r="Y675" s="12">
        <v>2250</v>
      </c>
      <c r="Z675" s="12">
        <v>4</v>
      </c>
      <c r="AA675" s="12"/>
      <c r="AB675" s="12"/>
    </row>
    <row r="676" spans="1:28" x14ac:dyDescent="0.3">
      <c r="A676" s="12" t="s">
        <v>2576</v>
      </c>
      <c r="B676" s="12" t="s">
        <v>120</v>
      </c>
      <c r="C676" s="12" t="s">
        <v>395</v>
      </c>
      <c r="D676" s="12" t="s">
        <v>2530</v>
      </c>
      <c r="E676" s="12" t="s">
        <v>1886</v>
      </c>
      <c r="F676" s="12" t="s">
        <v>32</v>
      </c>
      <c r="G676" s="12" t="s">
        <v>32</v>
      </c>
      <c r="H676" s="12" t="b">
        <v>1</v>
      </c>
      <c r="I676" s="12" t="b">
        <v>1</v>
      </c>
      <c r="J676" s="12" t="b">
        <v>0</v>
      </c>
      <c r="K676" s="12" t="b">
        <v>0</v>
      </c>
      <c r="L676" s="12">
        <v>420</v>
      </c>
      <c r="M676" s="12">
        <v>300.032917</v>
      </c>
      <c r="N676" s="12">
        <v>3000</v>
      </c>
      <c r="O676" s="12">
        <v>900</v>
      </c>
      <c r="P676" s="12">
        <v>0.5</v>
      </c>
      <c r="Q676" s="12">
        <v>0.85</v>
      </c>
      <c r="R676" s="12">
        <v>0.75</v>
      </c>
      <c r="S676" s="12">
        <v>0.85</v>
      </c>
      <c r="T676" s="12">
        <v>0.75</v>
      </c>
      <c r="U676" s="12">
        <v>0.8</v>
      </c>
      <c r="V676" s="12">
        <v>300.032917</v>
      </c>
      <c r="W676" s="12">
        <v>7.8910550630200307</v>
      </c>
      <c r="X676" s="12">
        <v>39.627535426875333</v>
      </c>
      <c r="Y676" s="12">
        <v>2100</v>
      </c>
      <c r="Z676" s="12">
        <v>3.333333333333333</v>
      </c>
      <c r="AA676" s="12"/>
      <c r="AB676" s="12"/>
    </row>
    <row r="677" spans="1:28" x14ac:dyDescent="0.3">
      <c r="A677" s="12" t="s">
        <v>2577</v>
      </c>
      <c r="B677" s="12" t="s">
        <v>120</v>
      </c>
      <c r="C677" s="12" t="s">
        <v>395</v>
      </c>
      <c r="D677" s="12" t="s">
        <v>2530</v>
      </c>
      <c r="E677" s="12" t="s">
        <v>1886</v>
      </c>
      <c r="F677" s="12" t="s">
        <v>32</v>
      </c>
      <c r="G677" s="12" t="s">
        <v>32</v>
      </c>
      <c r="H677" s="12" t="b">
        <v>1</v>
      </c>
      <c r="I677" s="12" t="b">
        <v>1</v>
      </c>
      <c r="J677" s="12" t="b">
        <v>0</v>
      </c>
      <c r="K677" s="12" t="b">
        <v>0</v>
      </c>
      <c r="L677" s="12">
        <v>420</v>
      </c>
      <c r="M677" s="12">
        <v>300.032917</v>
      </c>
      <c r="N677" s="12">
        <v>3000</v>
      </c>
      <c r="O677" s="12">
        <v>1050</v>
      </c>
      <c r="P677" s="12">
        <v>0.5</v>
      </c>
      <c r="Q677" s="12">
        <v>0.85</v>
      </c>
      <c r="R677" s="12">
        <v>0.75</v>
      </c>
      <c r="S677" s="12">
        <v>0.85</v>
      </c>
      <c r="T677" s="12">
        <v>0.75</v>
      </c>
      <c r="U677" s="12">
        <v>0.8</v>
      </c>
      <c r="V677" s="12">
        <v>300.032917</v>
      </c>
      <c r="W677" s="12">
        <v>6.9087735579158096</v>
      </c>
      <c r="X677" s="12">
        <v>34.667325311901642</v>
      </c>
      <c r="Y677" s="12">
        <v>1950</v>
      </c>
      <c r="Z677" s="12">
        <v>2.8571428571428572</v>
      </c>
      <c r="AA677" s="12"/>
      <c r="AB677" s="12"/>
    </row>
    <row r="678" spans="1:28" x14ac:dyDescent="0.3">
      <c r="A678" s="12" t="s">
        <v>2578</v>
      </c>
      <c r="B678" s="12" t="s">
        <v>120</v>
      </c>
      <c r="C678" s="12" t="s">
        <v>395</v>
      </c>
      <c r="D678" s="12" t="s">
        <v>2530</v>
      </c>
      <c r="E678" s="12" t="s">
        <v>1886</v>
      </c>
      <c r="F678" s="12" t="s">
        <v>32</v>
      </c>
      <c r="G678" s="12" t="s">
        <v>32</v>
      </c>
      <c r="H678" s="12" t="b">
        <v>1</v>
      </c>
      <c r="I678" s="12" t="b">
        <v>1</v>
      </c>
      <c r="J678" s="12" t="b">
        <v>0</v>
      </c>
      <c r="K678" s="12" t="b">
        <v>0</v>
      </c>
      <c r="L678" s="12">
        <v>420</v>
      </c>
      <c r="M678" s="12">
        <v>300.032917</v>
      </c>
      <c r="N678" s="12">
        <v>3000</v>
      </c>
      <c r="O678" s="12">
        <v>1200</v>
      </c>
      <c r="P678" s="12">
        <v>0.5</v>
      </c>
      <c r="Q678" s="12">
        <v>0.85</v>
      </c>
      <c r="R678" s="12">
        <v>0.75</v>
      </c>
      <c r="S678" s="12">
        <v>0.85</v>
      </c>
      <c r="T678" s="12">
        <v>0.75</v>
      </c>
      <c r="U678" s="12">
        <v>0.8</v>
      </c>
      <c r="V678" s="12">
        <v>300.032917</v>
      </c>
      <c r="W678" s="12">
        <v>6.0483593628069894</v>
      </c>
      <c r="X678" s="12">
        <v>30.329287229510751</v>
      </c>
      <c r="Y678" s="12">
        <v>1800</v>
      </c>
      <c r="Z678" s="12">
        <v>2.5</v>
      </c>
      <c r="AA678" s="12"/>
      <c r="AB678" s="12"/>
    </row>
    <row r="679" spans="1:28" x14ac:dyDescent="0.3">
      <c r="A679" s="12" t="s">
        <v>2579</v>
      </c>
      <c r="B679" s="12" t="s">
        <v>120</v>
      </c>
      <c r="C679" s="12" t="s">
        <v>395</v>
      </c>
      <c r="D679" s="12" t="s">
        <v>2530</v>
      </c>
      <c r="E679" s="12" t="s">
        <v>1886</v>
      </c>
      <c r="F679" s="12" t="s">
        <v>32</v>
      </c>
      <c r="G679" s="12" t="s">
        <v>32</v>
      </c>
      <c r="H679" s="12" t="b">
        <v>1</v>
      </c>
      <c r="I679" s="12" t="b">
        <v>1</v>
      </c>
      <c r="J679" s="12" t="b">
        <v>0</v>
      </c>
      <c r="K679" s="12" t="b">
        <v>0</v>
      </c>
      <c r="L679" s="12">
        <v>420</v>
      </c>
      <c r="M679" s="12">
        <v>300.032917</v>
      </c>
      <c r="N679" s="12">
        <v>3000</v>
      </c>
      <c r="O679" s="12">
        <v>1350</v>
      </c>
      <c r="P679" s="12">
        <v>0.5</v>
      </c>
      <c r="Q679" s="12">
        <v>0.85</v>
      </c>
      <c r="R679" s="12">
        <v>0.75</v>
      </c>
      <c r="S679" s="12">
        <v>0.85</v>
      </c>
      <c r="T679" s="12">
        <v>0.75</v>
      </c>
      <c r="U679" s="12">
        <v>0.8</v>
      </c>
      <c r="V679" s="12">
        <v>300.032917</v>
      </c>
      <c r="W679" s="12">
        <v>5.2828067586607403</v>
      </c>
      <c r="X679" s="12">
        <v>26.474746430806938</v>
      </c>
      <c r="Y679" s="12">
        <v>1650</v>
      </c>
      <c r="Z679" s="12">
        <v>2.2222222222222219</v>
      </c>
      <c r="AA679" s="12"/>
      <c r="AB679" s="12"/>
    </row>
    <row r="680" spans="1:28" x14ac:dyDescent="0.3">
      <c r="A680" s="12" t="s">
        <v>2580</v>
      </c>
      <c r="B680" s="12" t="s">
        <v>120</v>
      </c>
      <c r="C680" s="12" t="s">
        <v>397</v>
      </c>
      <c r="D680" s="12" t="s">
        <v>2581</v>
      </c>
      <c r="E680" s="12" t="s">
        <v>1886</v>
      </c>
      <c r="F680" s="12" t="s">
        <v>832</v>
      </c>
      <c r="G680" s="12" t="s">
        <v>832</v>
      </c>
      <c r="H680" s="12" t="b">
        <v>0</v>
      </c>
      <c r="I680" s="12" t="b">
        <v>0</v>
      </c>
      <c r="J680" s="12" t="b">
        <v>0</v>
      </c>
      <c r="K680" s="12" t="b">
        <v>0</v>
      </c>
      <c r="L680" s="12">
        <v>623.15</v>
      </c>
      <c r="M680" s="12">
        <v>278.14999999999998</v>
      </c>
      <c r="N680" s="12">
        <v>3000</v>
      </c>
      <c r="O680" s="12">
        <v>300</v>
      </c>
      <c r="P680" s="12">
        <v>0.5</v>
      </c>
      <c r="Q680" s="12">
        <v>0.85</v>
      </c>
      <c r="R680" s="12">
        <v>0.75</v>
      </c>
      <c r="S680" s="12">
        <v>0.4</v>
      </c>
      <c r="T680" s="12">
        <v>0.75</v>
      </c>
      <c r="U680" s="12">
        <v>0.8</v>
      </c>
      <c r="V680" s="12">
        <v>278.14999999999998</v>
      </c>
      <c r="W680" s="12"/>
      <c r="X680" s="12"/>
      <c r="Y680" s="12">
        <v>2700</v>
      </c>
      <c r="Z680" s="12">
        <v>10</v>
      </c>
      <c r="AA680" s="12"/>
      <c r="AB680" s="12"/>
    </row>
    <row r="681" spans="1:28" x14ac:dyDescent="0.3">
      <c r="A681" s="12" t="s">
        <v>2582</v>
      </c>
      <c r="B681" s="12" t="s">
        <v>120</v>
      </c>
      <c r="C681" s="12" t="s">
        <v>397</v>
      </c>
      <c r="D681" s="12" t="s">
        <v>2581</v>
      </c>
      <c r="E681" s="12" t="s">
        <v>1886</v>
      </c>
      <c r="F681" s="12" t="s">
        <v>1861</v>
      </c>
      <c r="G681" s="12" t="s">
        <v>1861</v>
      </c>
      <c r="H681" s="12" t="b">
        <v>1</v>
      </c>
      <c r="I681" s="12" t="b">
        <v>0</v>
      </c>
      <c r="J681" s="12" t="b">
        <v>1</v>
      </c>
      <c r="K681" s="12" t="b">
        <v>0</v>
      </c>
      <c r="L681" s="12">
        <v>623.15</v>
      </c>
      <c r="M681" s="12">
        <v>278.14999999999998</v>
      </c>
      <c r="N681" s="12">
        <v>3000</v>
      </c>
      <c r="O681" s="12">
        <v>150</v>
      </c>
      <c r="P681" s="12">
        <v>0.5</v>
      </c>
      <c r="Q681" s="12">
        <v>0.85</v>
      </c>
      <c r="R681" s="12">
        <v>0.75</v>
      </c>
      <c r="S681" s="12">
        <v>0.4</v>
      </c>
      <c r="T681" s="12">
        <v>0.75</v>
      </c>
      <c r="U681" s="12">
        <v>0.8</v>
      </c>
      <c r="V681" s="12">
        <v>278.14999999999998</v>
      </c>
      <c r="W681" s="12">
        <v>17.714769058219449</v>
      </c>
      <c r="X681" s="12">
        <v>170.34499567954981</v>
      </c>
      <c r="Y681" s="12">
        <v>2850</v>
      </c>
      <c r="Z681" s="12">
        <v>20</v>
      </c>
      <c r="AA681" s="12" t="s">
        <v>1981</v>
      </c>
      <c r="AB681" s="12"/>
    </row>
    <row r="682" spans="1:28" x14ac:dyDescent="0.3">
      <c r="A682" s="12" t="s">
        <v>2583</v>
      </c>
      <c r="B682" s="12" t="s">
        <v>120</v>
      </c>
      <c r="C682" s="12" t="s">
        <v>395</v>
      </c>
      <c r="D682" s="12" t="s">
        <v>2530</v>
      </c>
      <c r="E682" s="12" t="s">
        <v>1886</v>
      </c>
      <c r="F682" s="12" t="s">
        <v>32</v>
      </c>
      <c r="G682" s="12" t="s">
        <v>32</v>
      </c>
      <c r="H682" s="12" t="b">
        <v>1</v>
      </c>
      <c r="I682" s="12" t="b">
        <v>1</v>
      </c>
      <c r="J682" s="12" t="b">
        <v>0</v>
      </c>
      <c r="K682" s="12" t="b">
        <v>0</v>
      </c>
      <c r="L682" s="12">
        <v>420</v>
      </c>
      <c r="M682" s="12">
        <v>300.032917</v>
      </c>
      <c r="N682" s="12">
        <v>3000</v>
      </c>
      <c r="O682" s="12">
        <v>1500</v>
      </c>
      <c r="P682" s="12">
        <v>0.5</v>
      </c>
      <c r="Q682" s="12">
        <v>0.85</v>
      </c>
      <c r="R682" s="12">
        <v>0.75</v>
      </c>
      <c r="S682" s="12">
        <v>0.85</v>
      </c>
      <c r="T682" s="12">
        <v>0.75</v>
      </c>
      <c r="U682" s="12">
        <v>0.8</v>
      </c>
      <c r="V682" s="12">
        <v>300.032917</v>
      </c>
      <c r="W682" s="12">
        <v>4.5933453654017793</v>
      </c>
      <c r="X682" s="12">
        <v>23.007450002092721</v>
      </c>
      <c r="Y682" s="12">
        <v>1500</v>
      </c>
      <c r="Z682" s="12">
        <v>2</v>
      </c>
      <c r="AA682" s="12"/>
      <c r="AB682" s="12"/>
    </row>
    <row r="683" spans="1:28" x14ac:dyDescent="0.3">
      <c r="A683" s="12" t="s">
        <v>2584</v>
      </c>
      <c r="B683" s="12" t="s">
        <v>120</v>
      </c>
      <c r="C683" s="12" t="s">
        <v>397</v>
      </c>
      <c r="D683" s="12" t="s">
        <v>2581</v>
      </c>
      <c r="E683" s="12" t="s">
        <v>1886</v>
      </c>
      <c r="F683" s="12" t="s">
        <v>1861</v>
      </c>
      <c r="G683" s="12" t="s">
        <v>1861</v>
      </c>
      <c r="H683" s="12" t="b">
        <v>1</v>
      </c>
      <c r="I683" s="12" t="b">
        <v>0</v>
      </c>
      <c r="J683" s="12" t="b">
        <v>1</v>
      </c>
      <c r="K683" s="12" t="b">
        <v>0</v>
      </c>
      <c r="L683" s="12">
        <v>623.15</v>
      </c>
      <c r="M683" s="12">
        <v>278.14999999999998</v>
      </c>
      <c r="N683" s="12">
        <v>3000</v>
      </c>
      <c r="O683" s="12">
        <v>450</v>
      </c>
      <c r="P683" s="12">
        <v>0.5</v>
      </c>
      <c r="Q683" s="12">
        <v>0.85</v>
      </c>
      <c r="R683" s="12">
        <v>0.75</v>
      </c>
      <c r="S683" s="12">
        <v>0.4</v>
      </c>
      <c r="T683" s="12">
        <v>0.75</v>
      </c>
      <c r="U683" s="12">
        <v>0.8</v>
      </c>
      <c r="V683" s="12">
        <v>278.14999999999998</v>
      </c>
      <c r="W683" s="12">
        <v>12.74521290492908</v>
      </c>
      <c r="X683" s="12">
        <v>122.7426027021334</v>
      </c>
      <c r="Y683" s="12">
        <v>2550</v>
      </c>
      <c r="Z683" s="12">
        <v>6.666666666666667</v>
      </c>
      <c r="AA683" s="12" t="s">
        <v>1268</v>
      </c>
      <c r="AB683" s="12"/>
    </row>
    <row r="684" spans="1:28" x14ac:dyDescent="0.3">
      <c r="A684" s="12" t="s">
        <v>2585</v>
      </c>
      <c r="B684" s="12" t="s">
        <v>120</v>
      </c>
      <c r="C684" s="12" t="s">
        <v>397</v>
      </c>
      <c r="D684" s="12" t="s">
        <v>2581</v>
      </c>
      <c r="E684" s="12" t="s">
        <v>1886</v>
      </c>
      <c r="F684" s="12" t="s">
        <v>1861</v>
      </c>
      <c r="G684" s="12" t="s">
        <v>1861</v>
      </c>
      <c r="H684" s="12" t="b">
        <v>1</v>
      </c>
      <c r="I684" s="12" t="b">
        <v>0</v>
      </c>
      <c r="J684" s="12" t="b">
        <v>1</v>
      </c>
      <c r="K684" s="12" t="b">
        <v>0</v>
      </c>
      <c r="L684" s="12">
        <v>623.15</v>
      </c>
      <c r="M684" s="12">
        <v>278.14999999999998</v>
      </c>
      <c r="N684" s="12">
        <v>3000</v>
      </c>
      <c r="O684" s="12">
        <v>600</v>
      </c>
      <c r="P684" s="12">
        <v>0.5</v>
      </c>
      <c r="Q684" s="12">
        <v>0.85</v>
      </c>
      <c r="R684" s="12">
        <v>0.75</v>
      </c>
      <c r="S684" s="12">
        <v>0.4</v>
      </c>
      <c r="T684" s="12">
        <v>0.75</v>
      </c>
      <c r="U684" s="12">
        <v>0.8</v>
      </c>
      <c r="V684" s="12">
        <v>278.14999999999998</v>
      </c>
      <c r="W684" s="12">
        <v>11.089816723281469</v>
      </c>
      <c r="X684" s="12">
        <v>106.74327412510971</v>
      </c>
      <c r="Y684" s="12">
        <v>2400</v>
      </c>
      <c r="Z684" s="12">
        <v>5</v>
      </c>
      <c r="AA684" s="12" t="s">
        <v>1268</v>
      </c>
      <c r="AB684" s="12"/>
    </row>
    <row r="685" spans="1:28" x14ac:dyDescent="0.3">
      <c r="A685" s="12" t="s">
        <v>2586</v>
      </c>
      <c r="B685" s="12" t="s">
        <v>120</v>
      </c>
      <c r="C685" s="12" t="s">
        <v>397</v>
      </c>
      <c r="D685" s="12" t="s">
        <v>2581</v>
      </c>
      <c r="E685" s="12" t="s">
        <v>1886</v>
      </c>
      <c r="F685" s="12" t="s">
        <v>32</v>
      </c>
      <c r="G685" s="12" t="s">
        <v>32</v>
      </c>
      <c r="H685" s="12" t="b">
        <v>1</v>
      </c>
      <c r="I685" s="12" t="b">
        <v>0</v>
      </c>
      <c r="J685" s="12" t="b">
        <v>1</v>
      </c>
      <c r="K685" s="12" t="b">
        <v>0</v>
      </c>
      <c r="L685" s="12">
        <v>623.15</v>
      </c>
      <c r="M685" s="12">
        <v>278.14999999999998</v>
      </c>
      <c r="N685" s="12">
        <v>3000</v>
      </c>
      <c r="O685" s="12">
        <v>750</v>
      </c>
      <c r="P685" s="12">
        <v>0.5</v>
      </c>
      <c r="Q685" s="12">
        <v>0.85</v>
      </c>
      <c r="R685" s="12">
        <v>0.75</v>
      </c>
      <c r="S685" s="12">
        <v>0.4</v>
      </c>
      <c r="T685" s="12">
        <v>0.75</v>
      </c>
      <c r="U685" s="12">
        <v>0.8</v>
      </c>
      <c r="V685" s="12">
        <v>278.14999999999998</v>
      </c>
      <c r="W685" s="12">
        <v>9.6867959281998903</v>
      </c>
      <c r="X685" s="12">
        <v>93.176426452511237</v>
      </c>
      <c r="Y685" s="12">
        <v>2250</v>
      </c>
      <c r="Z685" s="12">
        <v>4</v>
      </c>
      <c r="AA685" s="12"/>
      <c r="AB685" s="12"/>
    </row>
    <row r="686" spans="1:28" x14ac:dyDescent="0.3">
      <c r="A686" s="12" t="s">
        <v>2587</v>
      </c>
      <c r="B686" s="12" t="s">
        <v>120</v>
      </c>
      <c r="C686" s="12" t="s">
        <v>397</v>
      </c>
      <c r="D686" s="12" t="s">
        <v>2581</v>
      </c>
      <c r="E686" s="12" t="s">
        <v>1886</v>
      </c>
      <c r="F686" s="12" t="s">
        <v>32</v>
      </c>
      <c r="G686" s="12" t="s">
        <v>32</v>
      </c>
      <c r="H686" s="12" t="b">
        <v>1</v>
      </c>
      <c r="I686" s="12" t="b">
        <v>0</v>
      </c>
      <c r="J686" s="12" t="b">
        <v>1</v>
      </c>
      <c r="K686" s="12" t="b">
        <v>0</v>
      </c>
      <c r="L686" s="12">
        <v>623.15</v>
      </c>
      <c r="M686" s="12">
        <v>278.14999999999998</v>
      </c>
      <c r="N686" s="12">
        <v>3000</v>
      </c>
      <c r="O686" s="12">
        <v>1050</v>
      </c>
      <c r="P686" s="12">
        <v>0.5</v>
      </c>
      <c r="Q686" s="12">
        <v>0.85</v>
      </c>
      <c r="R686" s="12">
        <v>0.75</v>
      </c>
      <c r="S686" s="12">
        <v>0.4</v>
      </c>
      <c r="T686" s="12">
        <v>0.75</v>
      </c>
      <c r="U686" s="12">
        <v>0.8</v>
      </c>
      <c r="V686" s="12">
        <v>278.14999999999998</v>
      </c>
      <c r="W686" s="12">
        <v>7.44937566512872</v>
      </c>
      <c r="X686" s="12">
        <v>71.569443461441679</v>
      </c>
      <c r="Y686" s="12">
        <v>1950</v>
      </c>
      <c r="Z686" s="12">
        <v>2.8571428571428572</v>
      </c>
      <c r="AA686" s="12"/>
      <c r="AB686" s="12"/>
    </row>
    <row r="687" spans="1:28" x14ac:dyDescent="0.3">
      <c r="A687" s="12" t="s">
        <v>2588</v>
      </c>
      <c r="B687" s="12" t="s">
        <v>120</v>
      </c>
      <c r="C687" s="12" t="s">
        <v>397</v>
      </c>
      <c r="D687" s="12" t="s">
        <v>2581</v>
      </c>
      <c r="E687" s="12" t="s">
        <v>1886</v>
      </c>
      <c r="F687" s="12" t="s">
        <v>32</v>
      </c>
      <c r="G687" s="12" t="s">
        <v>32</v>
      </c>
      <c r="H687" s="12" t="b">
        <v>1</v>
      </c>
      <c r="I687" s="12" t="b">
        <v>0</v>
      </c>
      <c r="J687" s="12" t="b">
        <v>1</v>
      </c>
      <c r="K687" s="12" t="b">
        <v>0</v>
      </c>
      <c r="L687" s="12">
        <v>623.15</v>
      </c>
      <c r="M687" s="12">
        <v>278.14999999999998</v>
      </c>
      <c r="N687" s="12">
        <v>3000</v>
      </c>
      <c r="O687" s="12">
        <v>900</v>
      </c>
      <c r="P687" s="12">
        <v>0.5</v>
      </c>
      <c r="Q687" s="12">
        <v>0.85</v>
      </c>
      <c r="R687" s="12">
        <v>0.75</v>
      </c>
      <c r="S687" s="12">
        <v>0.4</v>
      </c>
      <c r="T687" s="12">
        <v>0.75</v>
      </c>
      <c r="U687" s="12">
        <v>0.8</v>
      </c>
      <c r="V687" s="12">
        <v>278.14999999999998</v>
      </c>
      <c r="W687" s="12">
        <v>8.4844551074454397</v>
      </c>
      <c r="X687" s="12">
        <v>81.558735172144281</v>
      </c>
      <c r="Y687" s="12">
        <v>2100</v>
      </c>
      <c r="Z687" s="12">
        <v>3.333333333333333</v>
      </c>
      <c r="AA687" s="12"/>
      <c r="AB687" s="12"/>
    </row>
    <row r="688" spans="1:28" x14ac:dyDescent="0.3">
      <c r="A688" s="12" t="s">
        <v>2589</v>
      </c>
      <c r="B688" s="12" t="s">
        <v>120</v>
      </c>
      <c r="C688" s="12" t="s">
        <v>397</v>
      </c>
      <c r="D688" s="12" t="s">
        <v>2581</v>
      </c>
      <c r="E688" s="12" t="s">
        <v>1886</v>
      </c>
      <c r="F688" s="12" t="s">
        <v>32</v>
      </c>
      <c r="G688" s="12" t="s">
        <v>32</v>
      </c>
      <c r="H688" s="12" t="b">
        <v>1</v>
      </c>
      <c r="I688" s="12" t="b">
        <v>0</v>
      </c>
      <c r="J688" s="12" t="b">
        <v>1</v>
      </c>
      <c r="K688" s="12" t="b">
        <v>0</v>
      </c>
      <c r="L688" s="12">
        <v>623.15</v>
      </c>
      <c r="M688" s="12">
        <v>278.14999999999998</v>
      </c>
      <c r="N688" s="12">
        <v>3000</v>
      </c>
      <c r="O688" s="12">
        <v>1200</v>
      </c>
      <c r="P688" s="12">
        <v>0.5</v>
      </c>
      <c r="Q688" s="12">
        <v>0.85</v>
      </c>
      <c r="R688" s="12">
        <v>0.75</v>
      </c>
      <c r="S688" s="12">
        <v>0.4</v>
      </c>
      <c r="T688" s="12">
        <v>0.75</v>
      </c>
      <c r="U688" s="12">
        <v>0.8</v>
      </c>
      <c r="V688" s="12">
        <v>278.14999999999998</v>
      </c>
      <c r="W688" s="12">
        <v>6.5393218706435494</v>
      </c>
      <c r="X688" s="12">
        <v>62.796014978763743</v>
      </c>
      <c r="Y688" s="12">
        <v>1800</v>
      </c>
      <c r="Z688" s="12">
        <v>2.5</v>
      </c>
      <c r="AA688" s="12"/>
      <c r="AB688" s="12"/>
    </row>
    <row r="689" spans="1:28" x14ac:dyDescent="0.3">
      <c r="A689" s="12" t="s">
        <v>2590</v>
      </c>
      <c r="B689" s="12" t="s">
        <v>120</v>
      </c>
      <c r="C689" s="12" t="s">
        <v>397</v>
      </c>
      <c r="D689" s="12" t="s">
        <v>2581</v>
      </c>
      <c r="E689" s="12" t="s">
        <v>1886</v>
      </c>
      <c r="F689" s="12" t="s">
        <v>32</v>
      </c>
      <c r="G689" s="12" t="s">
        <v>32</v>
      </c>
      <c r="H689" s="12" t="b">
        <v>1</v>
      </c>
      <c r="I689" s="12" t="b">
        <v>0</v>
      </c>
      <c r="J689" s="12" t="b">
        <v>1</v>
      </c>
      <c r="K689" s="12" t="b">
        <v>0</v>
      </c>
      <c r="L689" s="12">
        <v>623.15</v>
      </c>
      <c r="M689" s="12">
        <v>278.14999999999998</v>
      </c>
      <c r="N689" s="12">
        <v>3000</v>
      </c>
      <c r="O689" s="12">
        <v>1350</v>
      </c>
      <c r="P689" s="12">
        <v>0.5</v>
      </c>
      <c r="Q689" s="12">
        <v>0.85</v>
      </c>
      <c r="R689" s="12">
        <v>0.75</v>
      </c>
      <c r="S689" s="12">
        <v>0.4</v>
      </c>
      <c r="T689" s="12">
        <v>0.75</v>
      </c>
      <c r="U689" s="12">
        <v>0.8</v>
      </c>
      <c r="V689" s="12">
        <v>278.14999999999998</v>
      </c>
      <c r="W689" s="12">
        <v>5.7265240256544399</v>
      </c>
      <c r="X689" s="12">
        <v>54.967462958948012</v>
      </c>
      <c r="Y689" s="12">
        <v>1650</v>
      </c>
      <c r="Z689" s="12">
        <v>2.2222222222222219</v>
      </c>
      <c r="AA689" s="12"/>
      <c r="AB689" s="12"/>
    </row>
    <row r="690" spans="1:28" x14ac:dyDescent="0.3">
      <c r="A690" s="12" t="s">
        <v>2591</v>
      </c>
      <c r="B690" s="12" t="s">
        <v>120</v>
      </c>
      <c r="C690" s="12" t="s">
        <v>397</v>
      </c>
      <c r="D690" s="12" t="s">
        <v>2581</v>
      </c>
      <c r="E690" s="12" t="s">
        <v>1886</v>
      </c>
      <c r="F690" s="12" t="s">
        <v>32</v>
      </c>
      <c r="G690" s="12" t="s">
        <v>32</v>
      </c>
      <c r="H690" s="12" t="b">
        <v>1</v>
      </c>
      <c r="I690" s="12" t="b">
        <v>0</v>
      </c>
      <c r="J690" s="12" t="b">
        <v>1</v>
      </c>
      <c r="K690" s="12" t="b">
        <v>0</v>
      </c>
      <c r="L690" s="12">
        <v>623.15</v>
      </c>
      <c r="M690" s="12">
        <v>278.14999999999998</v>
      </c>
      <c r="N690" s="12">
        <v>3000</v>
      </c>
      <c r="O690" s="12">
        <v>1500</v>
      </c>
      <c r="P690" s="12">
        <v>0.5</v>
      </c>
      <c r="Q690" s="12">
        <v>0.85</v>
      </c>
      <c r="R690" s="12">
        <v>0.75</v>
      </c>
      <c r="S690" s="12">
        <v>0.4</v>
      </c>
      <c r="T690" s="12">
        <v>0.75</v>
      </c>
      <c r="U690" s="12">
        <v>0.8</v>
      </c>
      <c r="V690" s="12">
        <v>278.14999999999998</v>
      </c>
      <c r="W690" s="12">
        <v>4.9917004805618204</v>
      </c>
      <c r="X690" s="12">
        <v>47.895786339646172</v>
      </c>
      <c r="Y690" s="12">
        <v>1500</v>
      </c>
      <c r="Z690" s="12">
        <v>2</v>
      </c>
      <c r="AA690" s="12"/>
      <c r="AB690" s="12"/>
    </row>
    <row r="691" spans="1:28" x14ac:dyDescent="0.3">
      <c r="A691" s="12" t="s">
        <v>2592</v>
      </c>
      <c r="B691" s="12" t="s">
        <v>120</v>
      </c>
      <c r="C691" s="12" t="s">
        <v>397</v>
      </c>
      <c r="D691" s="12" t="s">
        <v>2581</v>
      </c>
      <c r="E691" s="12" t="s">
        <v>1886</v>
      </c>
      <c r="F691" s="12" t="s">
        <v>1861</v>
      </c>
      <c r="G691" s="12" t="s">
        <v>1861</v>
      </c>
      <c r="H691" s="12" t="b">
        <v>1</v>
      </c>
      <c r="I691" s="12" t="b">
        <v>0</v>
      </c>
      <c r="J691" s="12" t="b">
        <v>1</v>
      </c>
      <c r="K691" s="12" t="b">
        <v>0</v>
      </c>
      <c r="L691" s="12">
        <v>623.15</v>
      </c>
      <c r="M691" s="12">
        <v>283.14999999999998</v>
      </c>
      <c r="N691" s="12">
        <v>3000</v>
      </c>
      <c r="O691" s="12">
        <v>300</v>
      </c>
      <c r="P691" s="12">
        <v>0.5</v>
      </c>
      <c r="Q691" s="12">
        <v>0.85</v>
      </c>
      <c r="R691" s="12">
        <v>0.75</v>
      </c>
      <c r="S691" s="12">
        <v>0.4</v>
      </c>
      <c r="T691" s="12">
        <v>0.75</v>
      </c>
      <c r="U691" s="12">
        <v>0.8</v>
      </c>
      <c r="V691" s="12">
        <v>283.14999999999998</v>
      </c>
      <c r="W691" s="12">
        <v>14.81374403706624</v>
      </c>
      <c r="X691" s="12">
        <v>141.8579261484158</v>
      </c>
      <c r="Y691" s="12">
        <v>2700</v>
      </c>
      <c r="Z691" s="12">
        <v>10</v>
      </c>
      <c r="AA691" s="12" t="s">
        <v>1981</v>
      </c>
      <c r="AB691" s="12"/>
    </row>
    <row r="692" spans="1:28" x14ac:dyDescent="0.3">
      <c r="A692" s="12" t="s">
        <v>2593</v>
      </c>
      <c r="B692" s="12" t="s">
        <v>120</v>
      </c>
      <c r="C692" s="12" t="s">
        <v>397</v>
      </c>
      <c r="D692" s="12" t="s">
        <v>2581</v>
      </c>
      <c r="E692" s="12" t="s">
        <v>1886</v>
      </c>
      <c r="F692" s="12" t="s">
        <v>1861</v>
      </c>
      <c r="G692" s="12" t="s">
        <v>1861</v>
      </c>
      <c r="H692" s="12" t="b">
        <v>1</v>
      </c>
      <c r="I692" s="12" t="b">
        <v>0</v>
      </c>
      <c r="J692" s="12" t="b">
        <v>1</v>
      </c>
      <c r="K692" s="12" t="b">
        <v>0</v>
      </c>
      <c r="L692" s="12">
        <v>623.15</v>
      </c>
      <c r="M692" s="12">
        <v>283.14999999999998</v>
      </c>
      <c r="N692" s="12">
        <v>3000</v>
      </c>
      <c r="O692" s="12">
        <v>150</v>
      </c>
      <c r="P692" s="12">
        <v>0.5</v>
      </c>
      <c r="Q692" s="12">
        <v>0.85</v>
      </c>
      <c r="R692" s="12">
        <v>0.75</v>
      </c>
      <c r="S692" s="12">
        <v>0.4</v>
      </c>
      <c r="T692" s="12">
        <v>0.75</v>
      </c>
      <c r="U692" s="12">
        <v>0.8</v>
      </c>
      <c r="V692" s="12">
        <v>283.14999999999998</v>
      </c>
      <c r="W692" s="12">
        <v>16.711344710555021</v>
      </c>
      <c r="X692" s="12">
        <v>154.73036943075559</v>
      </c>
      <c r="Y692" s="12">
        <v>2850</v>
      </c>
      <c r="Z692" s="12">
        <v>20</v>
      </c>
      <c r="AA692" s="12" t="s">
        <v>1981</v>
      </c>
      <c r="AB692" s="12"/>
    </row>
    <row r="693" spans="1:28" x14ac:dyDescent="0.3">
      <c r="A693" s="12" t="s">
        <v>2594</v>
      </c>
      <c r="B693" s="12" t="s">
        <v>120</v>
      </c>
      <c r="C693" s="12" t="s">
        <v>397</v>
      </c>
      <c r="D693" s="12" t="s">
        <v>2581</v>
      </c>
      <c r="E693" s="12" t="s">
        <v>1886</v>
      </c>
      <c r="F693" s="12" t="s">
        <v>1861</v>
      </c>
      <c r="G693" s="12" t="s">
        <v>1861</v>
      </c>
      <c r="H693" s="12" t="b">
        <v>1</v>
      </c>
      <c r="I693" s="12" t="b">
        <v>0</v>
      </c>
      <c r="J693" s="12" t="b">
        <v>1</v>
      </c>
      <c r="K693" s="12" t="b">
        <v>0</v>
      </c>
      <c r="L693" s="12">
        <v>623.15</v>
      </c>
      <c r="M693" s="12">
        <v>283.14999999999998</v>
      </c>
      <c r="N693" s="12">
        <v>3000</v>
      </c>
      <c r="O693" s="12">
        <v>450</v>
      </c>
      <c r="P693" s="12">
        <v>0.5</v>
      </c>
      <c r="Q693" s="12">
        <v>0.85</v>
      </c>
      <c r="R693" s="12">
        <v>0.75</v>
      </c>
      <c r="S693" s="12">
        <v>0.4</v>
      </c>
      <c r="T693" s="12">
        <v>0.75</v>
      </c>
      <c r="U693" s="12">
        <v>0.8</v>
      </c>
      <c r="V693" s="12">
        <v>283.14999999999998</v>
      </c>
      <c r="W693" s="12">
        <v>12.80052872407388</v>
      </c>
      <c r="X693" s="12">
        <v>122.5884147707805</v>
      </c>
      <c r="Y693" s="12">
        <v>2550</v>
      </c>
      <c r="Z693" s="12">
        <v>6.666666666666667</v>
      </c>
      <c r="AA693" s="12" t="s">
        <v>1268</v>
      </c>
      <c r="AB693" s="12"/>
    </row>
    <row r="694" spans="1:28" x14ac:dyDescent="0.3">
      <c r="A694" s="12" t="s">
        <v>2595</v>
      </c>
      <c r="B694" s="12" t="s">
        <v>120</v>
      </c>
      <c r="C694" s="12" t="s">
        <v>397</v>
      </c>
      <c r="D694" s="12" t="s">
        <v>2581</v>
      </c>
      <c r="E694" s="12" t="s">
        <v>1886</v>
      </c>
      <c r="F694" s="12" t="s">
        <v>1861</v>
      </c>
      <c r="G694" s="12" t="s">
        <v>1861</v>
      </c>
      <c r="H694" s="12" t="b">
        <v>1</v>
      </c>
      <c r="I694" s="12" t="b">
        <v>0</v>
      </c>
      <c r="J694" s="12" t="b">
        <v>1</v>
      </c>
      <c r="K694" s="12" t="b">
        <v>0</v>
      </c>
      <c r="L694" s="12">
        <v>623.15</v>
      </c>
      <c r="M694" s="12">
        <v>283.14999999999998</v>
      </c>
      <c r="N694" s="12">
        <v>3000</v>
      </c>
      <c r="O694" s="12">
        <v>600</v>
      </c>
      <c r="P694" s="12">
        <v>0.5</v>
      </c>
      <c r="Q694" s="12">
        <v>0.85</v>
      </c>
      <c r="R694" s="12">
        <v>0.75</v>
      </c>
      <c r="S694" s="12">
        <v>0.4</v>
      </c>
      <c r="T694" s="12">
        <v>0.75</v>
      </c>
      <c r="U694" s="12">
        <v>0.8</v>
      </c>
      <c r="V694" s="12">
        <v>283.14999999999998</v>
      </c>
      <c r="W694" s="12">
        <v>11.182726800233491</v>
      </c>
      <c r="X694" s="12">
        <v>107.05663540649979</v>
      </c>
      <c r="Y694" s="12">
        <v>2400</v>
      </c>
      <c r="Z694" s="12">
        <v>5</v>
      </c>
      <c r="AA694" s="12" t="s">
        <v>1268</v>
      </c>
      <c r="AB694" s="12"/>
    </row>
    <row r="695" spans="1:28" x14ac:dyDescent="0.3">
      <c r="A695" s="12" t="s">
        <v>2596</v>
      </c>
      <c r="B695" s="12" t="s">
        <v>120</v>
      </c>
      <c r="C695" s="12" t="s">
        <v>397</v>
      </c>
      <c r="D695" s="12" t="s">
        <v>2581</v>
      </c>
      <c r="E695" s="12" t="s">
        <v>1886</v>
      </c>
      <c r="F695" s="12" t="s">
        <v>1861</v>
      </c>
      <c r="G695" s="12" t="s">
        <v>1861</v>
      </c>
      <c r="H695" s="12" t="b">
        <v>1</v>
      </c>
      <c r="I695" s="12" t="b">
        <v>0</v>
      </c>
      <c r="J695" s="12" t="b">
        <v>1</v>
      </c>
      <c r="K695" s="12" t="b">
        <v>0</v>
      </c>
      <c r="L695" s="12">
        <v>623.15</v>
      </c>
      <c r="M695" s="12">
        <v>283.14999999999998</v>
      </c>
      <c r="N695" s="12">
        <v>3000</v>
      </c>
      <c r="O695" s="12">
        <v>750</v>
      </c>
      <c r="P695" s="12">
        <v>0.5</v>
      </c>
      <c r="Q695" s="12">
        <v>0.85</v>
      </c>
      <c r="R695" s="12">
        <v>0.75</v>
      </c>
      <c r="S695" s="12">
        <v>0.4</v>
      </c>
      <c r="T695" s="12">
        <v>0.75</v>
      </c>
      <c r="U695" s="12">
        <v>0.8</v>
      </c>
      <c r="V695" s="12">
        <v>283.14999999999998</v>
      </c>
      <c r="W695" s="12">
        <v>9.8083242701052704</v>
      </c>
      <c r="X695" s="12">
        <v>93.848539281938301</v>
      </c>
      <c r="Y695" s="12">
        <v>2250</v>
      </c>
      <c r="Z695" s="12">
        <v>4</v>
      </c>
      <c r="AA695" s="12" t="s">
        <v>1268</v>
      </c>
      <c r="AB695" s="12"/>
    </row>
    <row r="696" spans="1:28" x14ac:dyDescent="0.3">
      <c r="A696" s="12" t="s">
        <v>2597</v>
      </c>
      <c r="B696" s="12" t="s">
        <v>120</v>
      </c>
      <c r="C696" s="12" t="s">
        <v>397</v>
      </c>
      <c r="D696" s="12" t="s">
        <v>2581</v>
      </c>
      <c r="E696" s="12" t="s">
        <v>1886</v>
      </c>
      <c r="F696" s="12" t="s">
        <v>32</v>
      </c>
      <c r="G696" s="12" t="s">
        <v>32</v>
      </c>
      <c r="H696" s="12" t="b">
        <v>1</v>
      </c>
      <c r="I696" s="12" t="b">
        <v>0</v>
      </c>
      <c r="J696" s="12" t="b">
        <v>1</v>
      </c>
      <c r="K696" s="12" t="b">
        <v>0</v>
      </c>
      <c r="L696" s="12">
        <v>623.15</v>
      </c>
      <c r="M696" s="12">
        <v>283.14999999999998</v>
      </c>
      <c r="N696" s="12">
        <v>3000</v>
      </c>
      <c r="O696" s="12">
        <v>900</v>
      </c>
      <c r="P696" s="12">
        <v>0.5</v>
      </c>
      <c r="Q696" s="12">
        <v>0.85</v>
      </c>
      <c r="R696" s="12">
        <v>0.75</v>
      </c>
      <c r="S696" s="12">
        <v>0.4</v>
      </c>
      <c r="T696" s="12">
        <v>0.75</v>
      </c>
      <c r="U696" s="12">
        <v>0.8</v>
      </c>
      <c r="V696" s="12">
        <v>283.14999999999998</v>
      </c>
      <c r="W696" s="12">
        <v>8.6036054503469401</v>
      </c>
      <c r="X696" s="12">
        <v>82.270954273740841</v>
      </c>
      <c r="Y696" s="12">
        <v>2100</v>
      </c>
      <c r="Z696" s="12">
        <v>3.333333333333333</v>
      </c>
      <c r="AA696" s="12"/>
      <c r="AB696" s="12"/>
    </row>
    <row r="697" spans="1:28" x14ac:dyDescent="0.3">
      <c r="A697" s="12" t="s">
        <v>2598</v>
      </c>
      <c r="B697" s="12" t="s">
        <v>120</v>
      </c>
      <c r="C697" s="12" t="s">
        <v>397</v>
      </c>
      <c r="D697" s="12" t="s">
        <v>2581</v>
      </c>
      <c r="E697" s="12" t="s">
        <v>1886</v>
      </c>
      <c r="F697" s="12" t="s">
        <v>32</v>
      </c>
      <c r="G697" s="12" t="s">
        <v>32</v>
      </c>
      <c r="H697" s="12" t="b">
        <v>1</v>
      </c>
      <c r="I697" s="12" t="b">
        <v>0</v>
      </c>
      <c r="J697" s="12" t="b">
        <v>1</v>
      </c>
      <c r="K697" s="12" t="b">
        <v>0</v>
      </c>
      <c r="L697" s="12">
        <v>623.15</v>
      </c>
      <c r="M697" s="12">
        <v>283.14999999999998</v>
      </c>
      <c r="N697" s="12">
        <v>3000</v>
      </c>
      <c r="O697" s="12">
        <v>1050</v>
      </c>
      <c r="P697" s="12">
        <v>0.5</v>
      </c>
      <c r="Q697" s="12">
        <v>0.85</v>
      </c>
      <c r="R697" s="12">
        <v>0.75</v>
      </c>
      <c r="S697" s="12">
        <v>0.4</v>
      </c>
      <c r="T697" s="12">
        <v>0.75</v>
      </c>
      <c r="U697" s="12">
        <v>0.8</v>
      </c>
      <c r="V697" s="12">
        <v>283.14999999999998</v>
      </c>
      <c r="W697" s="12">
        <v>7.5541701039402707</v>
      </c>
      <c r="X697" s="12">
        <v>72.195331553773428</v>
      </c>
      <c r="Y697" s="12">
        <v>1950</v>
      </c>
      <c r="Z697" s="12">
        <v>2.8571428571428572</v>
      </c>
      <c r="AA697" s="12"/>
      <c r="AB697" s="12"/>
    </row>
    <row r="698" spans="1:28" x14ac:dyDescent="0.3">
      <c r="A698" s="12" t="s">
        <v>2599</v>
      </c>
      <c r="B698" s="12" t="s">
        <v>120</v>
      </c>
      <c r="C698" s="12" t="s">
        <v>397</v>
      </c>
      <c r="D698" s="12" t="s">
        <v>2581</v>
      </c>
      <c r="E698" s="12" t="s">
        <v>1886</v>
      </c>
      <c r="F698" s="12" t="s">
        <v>32</v>
      </c>
      <c r="G698" s="12" t="s">
        <v>32</v>
      </c>
      <c r="H698" s="12" t="b">
        <v>1</v>
      </c>
      <c r="I698" s="12" t="b">
        <v>0</v>
      </c>
      <c r="J698" s="12" t="b">
        <v>1</v>
      </c>
      <c r="K698" s="12" t="b">
        <v>0</v>
      </c>
      <c r="L698" s="12">
        <v>623.15</v>
      </c>
      <c r="M698" s="12">
        <v>283.14999999999998</v>
      </c>
      <c r="N698" s="12">
        <v>3000</v>
      </c>
      <c r="O698" s="12">
        <v>1200</v>
      </c>
      <c r="P698" s="12">
        <v>0.5</v>
      </c>
      <c r="Q698" s="12">
        <v>0.85</v>
      </c>
      <c r="R698" s="12">
        <v>0.75</v>
      </c>
      <c r="S698" s="12">
        <v>0.4</v>
      </c>
      <c r="T698" s="12">
        <v>0.75</v>
      </c>
      <c r="U698" s="12">
        <v>0.8</v>
      </c>
      <c r="V698" s="12">
        <v>283.14999999999998</v>
      </c>
      <c r="W698" s="12">
        <v>6.6314556608883706</v>
      </c>
      <c r="X698" s="12">
        <v>63.345904136254312</v>
      </c>
      <c r="Y698" s="12">
        <v>1800</v>
      </c>
      <c r="Z698" s="12">
        <v>2.5</v>
      </c>
      <c r="AA698" s="12"/>
      <c r="AB698" s="12"/>
    </row>
    <row r="699" spans="1:28" x14ac:dyDescent="0.3">
      <c r="A699" s="12" t="s">
        <v>2600</v>
      </c>
      <c r="B699" s="12" t="s">
        <v>120</v>
      </c>
      <c r="C699" s="12" t="s">
        <v>397</v>
      </c>
      <c r="D699" s="12" t="s">
        <v>2581</v>
      </c>
      <c r="E699" s="12" t="s">
        <v>1886</v>
      </c>
      <c r="F699" s="12" t="s">
        <v>32</v>
      </c>
      <c r="G699" s="12" t="s">
        <v>32</v>
      </c>
      <c r="H699" s="12" t="b">
        <v>1</v>
      </c>
      <c r="I699" s="12" t="b">
        <v>0</v>
      </c>
      <c r="J699" s="12" t="b">
        <v>1</v>
      </c>
      <c r="K699" s="12" t="b">
        <v>0</v>
      </c>
      <c r="L699" s="12">
        <v>623.15</v>
      </c>
      <c r="M699" s="12">
        <v>283.14999999999998</v>
      </c>
      <c r="N699" s="12">
        <v>3000</v>
      </c>
      <c r="O699" s="12">
        <v>1350</v>
      </c>
      <c r="P699" s="12">
        <v>0.5</v>
      </c>
      <c r="Q699" s="12">
        <v>0.85</v>
      </c>
      <c r="R699" s="12">
        <v>0.75</v>
      </c>
      <c r="S699" s="12">
        <v>0.4</v>
      </c>
      <c r="T699" s="12">
        <v>0.75</v>
      </c>
      <c r="U699" s="12">
        <v>0.8</v>
      </c>
      <c r="V699" s="12">
        <v>283.14999999999998</v>
      </c>
      <c r="W699" s="12">
        <v>5.8073188243500304</v>
      </c>
      <c r="X699" s="12">
        <v>55.44939092883935</v>
      </c>
      <c r="Y699" s="12">
        <v>1650</v>
      </c>
      <c r="Z699" s="12">
        <v>2.2222222222222219</v>
      </c>
      <c r="AA699" s="12"/>
      <c r="AB699" s="12"/>
    </row>
    <row r="700" spans="1:28" x14ac:dyDescent="0.3">
      <c r="A700" s="12" t="s">
        <v>2601</v>
      </c>
      <c r="B700" s="12" t="s">
        <v>120</v>
      </c>
      <c r="C700" s="12" t="s">
        <v>397</v>
      </c>
      <c r="D700" s="12" t="s">
        <v>2581</v>
      </c>
      <c r="E700" s="12" t="s">
        <v>1886</v>
      </c>
      <c r="F700" s="12" t="s">
        <v>32</v>
      </c>
      <c r="G700" s="12" t="s">
        <v>32</v>
      </c>
      <c r="H700" s="12" t="b">
        <v>1</v>
      </c>
      <c r="I700" s="12" t="b">
        <v>0</v>
      </c>
      <c r="J700" s="12" t="b">
        <v>1</v>
      </c>
      <c r="K700" s="12" t="b">
        <v>0</v>
      </c>
      <c r="L700" s="12">
        <v>623.15</v>
      </c>
      <c r="M700" s="12">
        <v>283.14999999999998</v>
      </c>
      <c r="N700" s="12">
        <v>3000</v>
      </c>
      <c r="O700" s="12">
        <v>1500</v>
      </c>
      <c r="P700" s="12">
        <v>0.5</v>
      </c>
      <c r="Q700" s="12">
        <v>0.85</v>
      </c>
      <c r="R700" s="12">
        <v>0.75</v>
      </c>
      <c r="S700" s="12">
        <v>0.4</v>
      </c>
      <c r="T700" s="12">
        <v>0.75</v>
      </c>
      <c r="U700" s="12">
        <v>0.8</v>
      </c>
      <c r="V700" s="12">
        <v>283.14999999999998</v>
      </c>
      <c r="W700" s="12">
        <v>5.0622177897186802</v>
      </c>
      <c r="X700" s="12">
        <v>48.316195223735079</v>
      </c>
      <c r="Y700" s="12">
        <v>1500</v>
      </c>
      <c r="Z700" s="12">
        <v>2</v>
      </c>
      <c r="AA700" s="12"/>
      <c r="AB700" s="12"/>
    </row>
    <row r="701" spans="1:28" x14ac:dyDescent="0.3">
      <c r="A701" s="12" t="s">
        <v>2602</v>
      </c>
      <c r="B701" s="12" t="s">
        <v>120</v>
      </c>
      <c r="C701" s="12" t="s">
        <v>397</v>
      </c>
      <c r="D701" s="12" t="s">
        <v>2581</v>
      </c>
      <c r="E701" s="12" t="s">
        <v>1886</v>
      </c>
      <c r="F701" s="12" t="s">
        <v>1861</v>
      </c>
      <c r="G701" s="12" t="s">
        <v>1861</v>
      </c>
      <c r="H701" s="12" t="b">
        <v>1</v>
      </c>
      <c r="I701" s="12" t="b">
        <v>0</v>
      </c>
      <c r="J701" s="12" t="b">
        <v>1</v>
      </c>
      <c r="K701" s="12" t="b">
        <v>0</v>
      </c>
      <c r="L701" s="12">
        <v>623.15</v>
      </c>
      <c r="M701" s="12">
        <v>288.14999999999998</v>
      </c>
      <c r="N701" s="12">
        <v>3000</v>
      </c>
      <c r="O701" s="12">
        <v>300</v>
      </c>
      <c r="P701" s="12">
        <v>0.5</v>
      </c>
      <c r="Q701" s="12">
        <v>0.85</v>
      </c>
      <c r="R701" s="12">
        <v>0.75</v>
      </c>
      <c r="S701" s="12">
        <v>0.4</v>
      </c>
      <c r="T701" s="12">
        <v>0.75</v>
      </c>
      <c r="U701" s="12">
        <v>0.8</v>
      </c>
      <c r="V701" s="12">
        <v>288.14999999999998</v>
      </c>
      <c r="W701" s="12">
        <v>14.78228805630939</v>
      </c>
      <c r="X701" s="12">
        <v>140.69974866328101</v>
      </c>
      <c r="Y701" s="12">
        <v>2700</v>
      </c>
      <c r="Z701" s="12">
        <v>10</v>
      </c>
      <c r="AA701" s="12" t="s">
        <v>1981</v>
      </c>
      <c r="AB701" s="12"/>
    </row>
    <row r="702" spans="1:28" x14ac:dyDescent="0.3">
      <c r="A702" s="12" t="s">
        <v>2603</v>
      </c>
      <c r="B702" s="12" t="s">
        <v>120</v>
      </c>
      <c r="C702" s="12" t="s">
        <v>397</v>
      </c>
      <c r="D702" s="12" t="s">
        <v>2581</v>
      </c>
      <c r="E702" s="12" t="s">
        <v>1886</v>
      </c>
      <c r="F702" s="12" t="s">
        <v>1861</v>
      </c>
      <c r="G702" s="12" t="s">
        <v>1861</v>
      </c>
      <c r="H702" s="12" t="b">
        <v>1</v>
      </c>
      <c r="I702" s="12" t="b">
        <v>0</v>
      </c>
      <c r="J702" s="12" t="b">
        <v>1</v>
      </c>
      <c r="K702" s="12" t="b">
        <v>0</v>
      </c>
      <c r="L702" s="12">
        <v>623.15</v>
      </c>
      <c r="M702" s="12">
        <v>288.14999999999998</v>
      </c>
      <c r="N702" s="12">
        <v>3000</v>
      </c>
      <c r="O702" s="12">
        <v>150</v>
      </c>
      <c r="P702" s="12">
        <v>0.5</v>
      </c>
      <c r="Q702" s="12">
        <v>0.85</v>
      </c>
      <c r="R702" s="12">
        <v>0.75</v>
      </c>
      <c r="S702" s="12">
        <v>0.4</v>
      </c>
      <c r="T702" s="12">
        <v>0.75</v>
      </c>
      <c r="U702" s="12">
        <v>0.8</v>
      </c>
      <c r="V702" s="12">
        <v>288.14999999999998</v>
      </c>
      <c r="W702" s="12">
        <v>14.922713636162189</v>
      </c>
      <c r="X702" s="12">
        <v>132.9084569061059</v>
      </c>
      <c r="Y702" s="12">
        <v>2850</v>
      </c>
      <c r="Z702" s="12">
        <v>20</v>
      </c>
      <c r="AA702" s="12" t="s">
        <v>1981</v>
      </c>
      <c r="AB702" s="12"/>
    </row>
    <row r="703" spans="1:28" x14ac:dyDescent="0.3">
      <c r="A703" s="12" t="s">
        <v>2604</v>
      </c>
      <c r="B703" s="12" t="s">
        <v>120</v>
      </c>
      <c r="C703" s="12" t="s">
        <v>397</v>
      </c>
      <c r="D703" s="12" t="s">
        <v>2581</v>
      </c>
      <c r="E703" s="12" t="s">
        <v>1886</v>
      </c>
      <c r="F703" s="12" t="s">
        <v>1861</v>
      </c>
      <c r="G703" s="12" t="s">
        <v>1861</v>
      </c>
      <c r="H703" s="12" t="b">
        <v>1</v>
      </c>
      <c r="I703" s="12" t="b">
        <v>0</v>
      </c>
      <c r="J703" s="12" t="b">
        <v>1</v>
      </c>
      <c r="K703" s="12" t="b">
        <v>0</v>
      </c>
      <c r="L703" s="12">
        <v>623.15</v>
      </c>
      <c r="M703" s="12">
        <v>288.14999999999998</v>
      </c>
      <c r="N703" s="12">
        <v>3000</v>
      </c>
      <c r="O703" s="12">
        <v>450</v>
      </c>
      <c r="P703" s="12">
        <v>0.5</v>
      </c>
      <c r="Q703" s="12">
        <v>0.85</v>
      </c>
      <c r="R703" s="12">
        <v>0.75</v>
      </c>
      <c r="S703" s="12">
        <v>0.4</v>
      </c>
      <c r="T703" s="12">
        <v>0.75</v>
      </c>
      <c r="U703" s="12">
        <v>0.8</v>
      </c>
      <c r="V703" s="12">
        <v>288.14999999999998</v>
      </c>
      <c r="W703" s="12">
        <v>12.82576633162863</v>
      </c>
      <c r="X703" s="12">
        <v>122.12034806156311</v>
      </c>
      <c r="Y703" s="12">
        <v>2550</v>
      </c>
      <c r="Z703" s="12">
        <v>6.666666666666667</v>
      </c>
      <c r="AA703" s="12" t="s">
        <v>1268</v>
      </c>
      <c r="AB703" s="12"/>
    </row>
    <row r="704" spans="1:28" x14ac:dyDescent="0.3">
      <c r="A704" s="12" t="s">
        <v>2605</v>
      </c>
      <c r="B704" s="12" t="s">
        <v>120</v>
      </c>
      <c r="C704" s="12" t="s">
        <v>397</v>
      </c>
      <c r="D704" s="12" t="s">
        <v>2581</v>
      </c>
      <c r="E704" s="12" t="s">
        <v>1886</v>
      </c>
      <c r="F704" s="12" t="s">
        <v>1861</v>
      </c>
      <c r="G704" s="12" t="s">
        <v>1861</v>
      </c>
      <c r="H704" s="12" t="b">
        <v>1</v>
      </c>
      <c r="I704" s="12" t="b">
        <v>0</v>
      </c>
      <c r="J704" s="12" t="b">
        <v>1</v>
      </c>
      <c r="K704" s="12" t="b">
        <v>0</v>
      </c>
      <c r="L704" s="12">
        <v>623.15</v>
      </c>
      <c r="M704" s="12">
        <v>288.14999999999998</v>
      </c>
      <c r="N704" s="12">
        <v>3000</v>
      </c>
      <c r="O704" s="12">
        <v>600</v>
      </c>
      <c r="P704" s="12">
        <v>0.5</v>
      </c>
      <c r="Q704" s="12">
        <v>0.85</v>
      </c>
      <c r="R704" s="12">
        <v>0.75</v>
      </c>
      <c r="S704" s="12">
        <v>0.4</v>
      </c>
      <c r="T704" s="12">
        <v>0.75</v>
      </c>
      <c r="U704" s="12">
        <v>0.8</v>
      </c>
      <c r="V704" s="12">
        <v>288.14999999999998</v>
      </c>
      <c r="W704" s="12">
        <v>11.24712849167695</v>
      </c>
      <c r="X704" s="12">
        <v>107.0709850064417</v>
      </c>
      <c r="Y704" s="12">
        <v>2400</v>
      </c>
      <c r="Z704" s="12">
        <v>5</v>
      </c>
      <c r="AA704" s="12" t="s">
        <v>1268</v>
      </c>
      <c r="AB704" s="12"/>
    </row>
    <row r="705" spans="1:28" x14ac:dyDescent="0.3">
      <c r="A705" s="12" t="s">
        <v>2606</v>
      </c>
      <c r="B705" s="12" t="s">
        <v>120</v>
      </c>
      <c r="C705" s="12" t="s">
        <v>397</v>
      </c>
      <c r="D705" s="12" t="s">
        <v>2581</v>
      </c>
      <c r="E705" s="12" t="s">
        <v>1886</v>
      </c>
      <c r="F705" s="12" t="s">
        <v>1861</v>
      </c>
      <c r="G705" s="12" t="s">
        <v>1861</v>
      </c>
      <c r="H705" s="12" t="b">
        <v>1</v>
      </c>
      <c r="I705" s="12" t="b">
        <v>0</v>
      </c>
      <c r="J705" s="12" t="b">
        <v>1</v>
      </c>
      <c r="K705" s="12" t="b">
        <v>0</v>
      </c>
      <c r="L705" s="12">
        <v>623.15</v>
      </c>
      <c r="M705" s="12">
        <v>288.14999999999998</v>
      </c>
      <c r="N705" s="12">
        <v>3000</v>
      </c>
      <c r="O705" s="12">
        <v>750</v>
      </c>
      <c r="P705" s="12">
        <v>0.5</v>
      </c>
      <c r="Q705" s="12">
        <v>0.85</v>
      </c>
      <c r="R705" s="12">
        <v>0.75</v>
      </c>
      <c r="S705" s="12">
        <v>0.4</v>
      </c>
      <c r="T705" s="12">
        <v>0.75</v>
      </c>
      <c r="U705" s="12">
        <v>0.8</v>
      </c>
      <c r="V705" s="12">
        <v>288.14999999999998</v>
      </c>
      <c r="W705" s="12">
        <v>9.9025267709808293</v>
      </c>
      <c r="X705" s="12">
        <v>94.233105112760384</v>
      </c>
      <c r="Y705" s="12">
        <v>2250</v>
      </c>
      <c r="Z705" s="12">
        <v>4</v>
      </c>
      <c r="AA705" s="12" t="s">
        <v>1268</v>
      </c>
      <c r="AB705" s="12"/>
    </row>
    <row r="706" spans="1:28" x14ac:dyDescent="0.3">
      <c r="A706" s="12" t="s">
        <v>2607</v>
      </c>
      <c r="B706" s="12" t="s">
        <v>120</v>
      </c>
      <c r="C706" s="12" t="s">
        <v>397</v>
      </c>
      <c r="D706" s="12" t="s">
        <v>2581</v>
      </c>
      <c r="E706" s="12" t="s">
        <v>1886</v>
      </c>
      <c r="F706" s="12" t="s">
        <v>1861</v>
      </c>
      <c r="G706" s="12" t="s">
        <v>1861</v>
      </c>
      <c r="H706" s="12" t="b">
        <v>1</v>
      </c>
      <c r="I706" s="12" t="b">
        <v>0</v>
      </c>
      <c r="J706" s="12" t="b">
        <v>1</v>
      </c>
      <c r="K706" s="12" t="b">
        <v>0</v>
      </c>
      <c r="L706" s="12">
        <v>623.15</v>
      </c>
      <c r="M706" s="12">
        <v>288.14999999999998</v>
      </c>
      <c r="N706" s="12">
        <v>3000</v>
      </c>
      <c r="O706" s="12">
        <v>900</v>
      </c>
      <c r="P706" s="12">
        <v>0.5</v>
      </c>
      <c r="Q706" s="12">
        <v>0.85</v>
      </c>
      <c r="R706" s="12">
        <v>0.75</v>
      </c>
      <c r="S706" s="12">
        <v>0.4</v>
      </c>
      <c r="T706" s="12">
        <v>0.75</v>
      </c>
      <c r="U706" s="12">
        <v>0.8</v>
      </c>
      <c r="V706" s="12">
        <v>288.14999999999998</v>
      </c>
      <c r="W706" s="12">
        <v>8.7197476613421099</v>
      </c>
      <c r="X706" s="12">
        <v>82.935412990788336</v>
      </c>
      <c r="Y706" s="12">
        <v>2100</v>
      </c>
      <c r="Z706" s="12">
        <v>3.333333333333333</v>
      </c>
      <c r="AA706" s="12" t="s">
        <v>1268</v>
      </c>
      <c r="AB706" s="12"/>
    </row>
    <row r="707" spans="1:28" x14ac:dyDescent="0.3">
      <c r="A707" s="12" t="s">
        <v>2608</v>
      </c>
      <c r="B707" s="12" t="s">
        <v>120</v>
      </c>
      <c r="C707" s="12" t="s">
        <v>397</v>
      </c>
      <c r="D707" s="12" t="s">
        <v>2581</v>
      </c>
      <c r="E707" s="12" t="s">
        <v>1886</v>
      </c>
      <c r="F707" s="12" t="s">
        <v>32</v>
      </c>
      <c r="G707" s="12" t="s">
        <v>32</v>
      </c>
      <c r="H707" s="12" t="b">
        <v>1</v>
      </c>
      <c r="I707" s="12" t="b">
        <v>0</v>
      </c>
      <c r="J707" s="12" t="b">
        <v>1</v>
      </c>
      <c r="K707" s="12" t="b">
        <v>0</v>
      </c>
      <c r="L707" s="12">
        <v>623.15</v>
      </c>
      <c r="M707" s="12">
        <v>288.14999999999998</v>
      </c>
      <c r="N707" s="12">
        <v>3000</v>
      </c>
      <c r="O707" s="12">
        <v>1050</v>
      </c>
      <c r="P707" s="12">
        <v>0.5</v>
      </c>
      <c r="Q707" s="12">
        <v>0.85</v>
      </c>
      <c r="R707" s="12">
        <v>0.75</v>
      </c>
      <c r="S707" s="12">
        <v>0.4</v>
      </c>
      <c r="T707" s="12">
        <v>0.75</v>
      </c>
      <c r="U707" s="12">
        <v>0.8</v>
      </c>
      <c r="V707" s="12">
        <v>288.14999999999998</v>
      </c>
      <c r="W707" s="12">
        <v>7.6614669190360196</v>
      </c>
      <c r="X707" s="12">
        <v>72.82941872197982</v>
      </c>
      <c r="Y707" s="12">
        <v>1950</v>
      </c>
      <c r="Z707" s="12">
        <v>2.8571428571428572</v>
      </c>
      <c r="AA707" s="12"/>
      <c r="AB707" s="12"/>
    </row>
    <row r="708" spans="1:28" x14ac:dyDescent="0.3">
      <c r="A708" s="12" t="s">
        <v>2609</v>
      </c>
      <c r="B708" s="12" t="s">
        <v>120</v>
      </c>
      <c r="C708" s="12" t="s">
        <v>397</v>
      </c>
      <c r="D708" s="12" t="s">
        <v>2581</v>
      </c>
      <c r="E708" s="12" t="s">
        <v>1886</v>
      </c>
      <c r="F708" s="12" t="s">
        <v>32</v>
      </c>
      <c r="G708" s="12" t="s">
        <v>32</v>
      </c>
      <c r="H708" s="12" t="b">
        <v>1</v>
      </c>
      <c r="I708" s="12" t="b">
        <v>0</v>
      </c>
      <c r="J708" s="12" t="b">
        <v>1</v>
      </c>
      <c r="K708" s="12" t="b">
        <v>0</v>
      </c>
      <c r="L708" s="12">
        <v>623.15</v>
      </c>
      <c r="M708" s="12">
        <v>288.14999999999998</v>
      </c>
      <c r="N708" s="12">
        <v>3000</v>
      </c>
      <c r="O708" s="12">
        <v>1200</v>
      </c>
      <c r="P708" s="12">
        <v>0.5</v>
      </c>
      <c r="Q708" s="12">
        <v>0.85</v>
      </c>
      <c r="R708" s="12">
        <v>0.75</v>
      </c>
      <c r="S708" s="12">
        <v>0.4</v>
      </c>
      <c r="T708" s="12">
        <v>0.75</v>
      </c>
      <c r="U708" s="12">
        <v>0.8</v>
      </c>
      <c r="V708" s="12">
        <v>288.14999999999998</v>
      </c>
      <c r="W708" s="12">
        <v>6.7257918277900606</v>
      </c>
      <c r="X708" s="12">
        <v>63.902995399401163</v>
      </c>
      <c r="Y708" s="12">
        <v>1800</v>
      </c>
      <c r="Z708" s="12">
        <v>2.5</v>
      </c>
      <c r="AA708" s="12"/>
      <c r="AB708" s="12"/>
    </row>
    <row r="709" spans="1:28" x14ac:dyDescent="0.3">
      <c r="A709" s="12" t="s">
        <v>2610</v>
      </c>
      <c r="B709" s="12" t="s">
        <v>120</v>
      </c>
      <c r="C709" s="12" t="s">
        <v>397</v>
      </c>
      <c r="D709" s="12" t="s">
        <v>2581</v>
      </c>
      <c r="E709" s="12" t="s">
        <v>1886</v>
      </c>
      <c r="F709" s="12" t="s">
        <v>1861</v>
      </c>
      <c r="G709" s="12" t="s">
        <v>1861</v>
      </c>
      <c r="H709" s="12" t="b">
        <v>1</v>
      </c>
      <c r="I709" s="12" t="b">
        <v>0</v>
      </c>
      <c r="J709" s="12" t="b">
        <v>1</v>
      </c>
      <c r="K709" s="12" t="b">
        <v>0</v>
      </c>
      <c r="L709" s="12">
        <v>623.15</v>
      </c>
      <c r="M709" s="12">
        <v>293.14999999999998</v>
      </c>
      <c r="N709" s="12">
        <v>3000</v>
      </c>
      <c r="O709" s="12">
        <v>150</v>
      </c>
      <c r="P709" s="12">
        <v>0.5</v>
      </c>
      <c r="Q709" s="12">
        <v>0.85</v>
      </c>
      <c r="R709" s="12">
        <v>0.75</v>
      </c>
      <c r="S709" s="12">
        <v>0.4</v>
      </c>
      <c r="T709" s="12">
        <v>0.75</v>
      </c>
      <c r="U709" s="12">
        <v>0.8</v>
      </c>
      <c r="V709" s="12">
        <v>293.14999999999998</v>
      </c>
      <c r="W709" s="12">
        <v>13.39073428545905</v>
      </c>
      <c r="X709" s="12">
        <v>113.4967634149443</v>
      </c>
      <c r="Y709" s="12">
        <v>2850</v>
      </c>
      <c r="Z709" s="12">
        <v>20</v>
      </c>
      <c r="AA709" s="12" t="s">
        <v>1981</v>
      </c>
      <c r="AB709" s="12"/>
    </row>
    <row r="710" spans="1:28" x14ac:dyDescent="0.3">
      <c r="A710" s="12" t="s">
        <v>2611</v>
      </c>
      <c r="B710" s="12" t="s">
        <v>120</v>
      </c>
      <c r="C710" s="12" t="s">
        <v>397</v>
      </c>
      <c r="D710" s="12" t="s">
        <v>2581</v>
      </c>
      <c r="E710" s="12" t="s">
        <v>1886</v>
      </c>
      <c r="F710" s="12" t="s">
        <v>32</v>
      </c>
      <c r="G710" s="12" t="s">
        <v>32</v>
      </c>
      <c r="H710" s="12" t="b">
        <v>1</v>
      </c>
      <c r="I710" s="12" t="b">
        <v>0</v>
      </c>
      <c r="J710" s="12" t="b">
        <v>1</v>
      </c>
      <c r="K710" s="12" t="b">
        <v>0</v>
      </c>
      <c r="L710" s="12">
        <v>623.15</v>
      </c>
      <c r="M710" s="12">
        <v>288.14999999999998</v>
      </c>
      <c r="N710" s="12">
        <v>3000</v>
      </c>
      <c r="O710" s="12">
        <v>1350</v>
      </c>
      <c r="P710" s="12">
        <v>0.5</v>
      </c>
      <c r="Q710" s="12">
        <v>0.85</v>
      </c>
      <c r="R710" s="12">
        <v>0.75</v>
      </c>
      <c r="S710" s="12">
        <v>0.4</v>
      </c>
      <c r="T710" s="12">
        <v>0.75</v>
      </c>
      <c r="U710" s="12">
        <v>0.8</v>
      </c>
      <c r="V710" s="12">
        <v>288.14999999999998</v>
      </c>
      <c r="W710" s="12">
        <v>5.8900482567419301</v>
      </c>
      <c r="X710" s="12">
        <v>55.937638339587473</v>
      </c>
      <c r="Y710" s="12">
        <v>1650</v>
      </c>
      <c r="Z710" s="12">
        <v>2.2222222222222219</v>
      </c>
      <c r="AA710" s="12"/>
      <c r="AB710" s="12"/>
    </row>
    <row r="711" spans="1:28" x14ac:dyDescent="0.3">
      <c r="A711" s="12" t="s">
        <v>2612</v>
      </c>
      <c r="B711" s="12" t="s">
        <v>120</v>
      </c>
      <c r="C711" s="12" t="s">
        <v>397</v>
      </c>
      <c r="D711" s="12" t="s">
        <v>2581</v>
      </c>
      <c r="E711" s="12" t="s">
        <v>1886</v>
      </c>
      <c r="F711" s="12" t="s">
        <v>32</v>
      </c>
      <c r="G711" s="12" t="s">
        <v>32</v>
      </c>
      <c r="H711" s="12" t="b">
        <v>1</v>
      </c>
      <c r="I711" s="12" t="b">
        <v>0</v>
      </c>
      <c r="J711" s="12" t="b">
        <v>1</v>
      </c>
      <c r="K711" s="12" t="b">
        <v>0</v>
      </c>
      <c r="L711" s="12">
        <v>623.15</v>
      </c>
      <c r="M711" s="12">
        <v>288.14999999999998</v>
      </c>
      <c r="N711" s="12">
        <v>3000</v>
      </c>
      <c r="O711" s="12">
        <v>1500</v>
      </c>
      <c r="P711" s="12">
        <v>0.5</v>
      </c>
      <c r="Q711" s="12">
        <v>0.85</v>
      </c>
      <c r="R711" s="12">
        <v>0.75</v>
      </c>
      <c r="S711" s="12">
        <v>0.4</v>
      </c>
      <c r="T711" s="12">
        <v>0.75</v>
      </c>
      <c r="U711" s="12">
        <v>0.8</v>
      </c>
      <c r="V711" s="12">
        <v>288.14999999999998</v>
      </c>
      <c r="W711" s="12">
        <v>5.1344249024462902</v>
      </c>
      <c r="X711" s="12">
        <v>48.742114769281031</v>
      </c>
      <c r="Y711" s="12">
        <v>1500</v>
      </c>
      <c r="Z711" s="12">
        <v>2</v>
      </c>
      <c r="AA711" s="12"/>
      <c r="AB711" s="12"/>
    </row>
    <row r="712" spans="1:28" x14ac:dyDescent="0.3">
      <c r="A712" s="12" t="s">
        <v>2613</v>
      </c>
      <c r="B712" s="12" t="s">
        <v>120</v>
      </c>
      <c r="C712" s="12" t="s">
        <v>397</v>
      </c>
      <c r="D712" s="12" t="s">
        <v>2581</v>
      </c>
      <c r="E712" s="12" t="s">
        <v>1886</v>
      </c>
      <c r="F712" s="12" t="s">
        <v>1861</v>
      </c>
      <c r="G712" s="12" t="s">
        <v>1861</v>
      </c>
      <c r="H712" s="12" t="b">
        <v>1</v>
      </c>
      <c r="I712" s="12" t="b">
        <v>0</v>
      </c>
      <c r="J712" s="12" t="b">
        <v>1</v>
      </c>
      <c r="K712" s="12" t="b">
        <v>0</v>
      </c>
      <c r="L712" s="12">
        <v>623.15</v>
      </c>
      <c r="M712" s="12">
        <v>293.14999999999998</v>
      </c>
      <c r="N712" s="12">
        <v>3000</v>
      </c>
      <c r="O712" s="12">
        <v>300</v>
      </c>
      <c r="P712" s="12">
        <v>0.5</v>
      </c>
      <c r="Q712" s="12">
        <v>0.85</v>
      </c>
      <c r="R712" s="12">
        <v>0.75</v>
      </c>
      <c r="S712" s="12">
        <v>0.4</v>
      </c>
      <c r="T712" s="12">
        <v>0.75</v>
      </c>
      <c r="U712" s="12">
        <v>0.8</v>
      </c>
      <c r="V712" s="12">
        <v>293.14999999999998</v>
      </c>
      <c r="W712" s="12">
        <v>14.71746652777934</v>
      </c>
      <c r="X712" s="12">
        <v>139.20250598250269</v>
      </c>
      <c r="Y712" s="12">
        <v>2700</v>
      </c>
      <c r="Z712" s="12">
        <v>10</v>
      </c>
      <c r="AA712" s="12" t="s">
        <v>1981</v>
      </c>
      <c r="AB712" s="12"/>
    </row>
    <row r="713" spans="1:28" x14ac:dyDescent="0.3">
      <c r="A713" s="12" t="s">
        <v>2614</v>
      </c>
      <c r="B713" s="12" t="s">
        <v>120</v>
      </c>
      <c r="C713" s="12" t="s">
        <v>397</v>
      </c>
      <c r="D713" s="12" t="s">
        <v>2581</v>
      </c>
      <c r="E713" s="12" t="s">
        <v>1886</v>
      </c>
      <c r="F713" s="12" t="s">
        <v>1861</v>
      </c>
      <c r="G713" s="12" t="s">
        <v>1861</v>
      </c>
      <c r="H713" s="12" t="b">
        <v>1</v>
      </c>
      <c r="I713" s="12" t="b">
        <v>0</v>
      </c>
      <c r="J713" s="12" t="b">
        <v>1</v>
      </c>
      <c r="K713" s="12" t="b">
        <v>0</v>
      </c>
      <c r="L713" s="12">
        <v>623.15</v>
      </c>
      <c r="M713" s="12">
        <v>293.14999999999998</v>
      </c>
      <c r="N713" s="12">
        <v>3000</v>
      </c>
      <c r="O713" s="12">
        <v>450</v>
      </c>
      <c r="P713" s="12">
        <v>0.5</v>
      </c>
      <c r="Q713" s="12">
        <v>0.85</v>
      </c>
      <c r="R713" s="12">
        <v>0.75</v>
      </c>
      <c r="S713" s="12">
        <v>0.4</v>
      </c>
      <c r="T713" s="12">
        <v>0.75</v>
      </c>
      <c r="U713" s="12">
        <v>0.8</v>
      </c>
      <c r="V713" s="12">
        <v>293.14999999999998</v>
      </c>
      <c r="W713" s="12">
        <v>12.81720755044012</v>
      </c>
      <c r="X713" s="12">
        <v>121.3165966925522</v>
      </c>
      <c r="Y713" s="12">
        <v>2550</v>
      </c>
      <c r="Z713" s="12">
        <v>6.666666666666667</v>
      </c>
      <c r="AA713" s="12" t="s">
        <v>1268</v>
      </c>
      <c r="AB713" s="12"/>
    </row>
    <row r="714" spans="1:28" x14ac:dyDescent="0.3">
      <c r="A714" s="12" t="s">
        <v>2615</v>
      </c>
      <c r="B714" s="12" t="s">
        <v>120</v>
      </c>
      <c r="C714" s="12" t="s">
        <v>397</v>
      </c>
      <c r="D714" s="12" t="s">
        <v>2581</v>
      </c>
      <c r="E714" s="12" t="s">
        <v>1886</v>
      </c>
      <c r="F714" s="12" t="s">
        <v>1861</v>
      </c>
      <c r="G714" s="12" t="s">
        <v>1861</v>
      </c>
      <c r="H714" s="12" t="b">
        <v>1</v>
      </c>
      <c r="I714" s="12" t="b">
        <v>0</v>
      </c>
      <c r="J714" s="12" t="b">
        <v>1</v>
      </c>
      <c r="K714" s="12" t="b">
        <v>0</v>
      </c>
      <c r="L714" s="12">
        <v>623.15</v>
      </c>
      <c r="M714" s="12">
        <v>293.14999999999998</v>
      </c>
      <c r="N714" s="12">
        <v>3000</v>
      </c>
      <c r="O714" s="12">
        <v>600</v>
      </c>
      <c r="P714" s="12">
        <v>0.5</v>
      </c>
      <c r="Q714" s="12">
        <v>0.85</v>
      </c>
      <c r="R714" s="12">
        <v>0.75</v>
      </c>
      <c r="S714" s="12">
        <v>0.4</v>
      </c>
      <c r="T714" s="12">
        <v>0.75</v>
      </c>
      <c r="U714" s="12">
        <v>0.8</v>
      </c>
      <c r="V714" s="12">
        <v>293.14999999999998</v>
      </c>
      <c r="W714" s="12">
        <v>11.279310719938939</v>
      </c>
      <c r="X714" s="12">
        <v>106.7644816388417</v>
      </c>
      <c r="Y714" s="12">
        <v>2400</v>
      </c>
      <c r="Z714" s="12">
        <v>5</v>
      </c>
      <c r="AA714" s="12" t="s">
        <v>1268</v>
      </c>
      <c r="AB714" s="12"/>
    </row>
    <row r="715" spans="1:28" x14ac:dyDescent="0.3">
      <c r="A715" s="12" t="s">
        <v>2616</v>
      </c>
      <c r="B715" s="12" t="s">
        <v>120</v>
      </c>
      <c r="C715" s="12" t="s">
        <v>397</v>
      </c>
      <c r="D715" s="12" t="s">
        <v>2581</v>
      </c>
      <c r="E715" s="12" t="s">
        <v>1886</v>
      </c>
      <c r="F715" s="12" t="s">
        <v>1861</v>
      </c>
      <c r="G715" s="12" t="s">
        <v>1861</v>
      </c>
      <c r="H715" s="12" t="b">
        <v>1</v>
      </c>
      <c r="I715" s="12" t="b">
        <v>0</v>
      </c>
      <c r="J715" s="12" t="b">
        <v>1</v>
      </c>
      <c r="K715" s="12" t="b">
        <v>0</v>
      </c>
      <c r="L715" s="12">
        <v>623.15</v>
      </c>
      <c r="M715" s="12">
        <v>293.14999999999998</v>
      </c>
      <c r="N715" s="12">
        <v>3000</v>
      </c>
      <c r="O715" s="12">
        <v>900</v>
      </c>
      <c r="P715" s="12">
        <v>0.5</v>
      </c>
      <c r="Q715" s="12">
        <v>0.85</v>
      </c>
      <c r="R715" s="12">
        <v>0.75</v>
      </c>
      <c r="S715" s="12">
        <v>0.4</v>
      </c>
      <c r="T715" s="12">
        <v>0.75</v>
      </c>
      <c r="U715" s="12">
        <v>0.8</v>
      </c>
      <c r="V715" s="12">
        <v>293.14999999999998</v>
      </c>
      <c r="W715" s="12">
        <v>8.8107160997211995</v>
      </c>
      <c r="X715" s="12">
        <v>83.337064085607622</v>
      </c>
      <c r="Y715" s="12">
        <v>2100</v>
      </c>
      <c r="Z715" s="12">
        <v>3.333333333333333</v>
      </c>
      <c r="AA715" s="12" t="s">
        <v>1268</v>
      </c>
      <c r="AB715" s="12"/>
    </row>
    <row r="716" spans="1:28" x14ac:dyDescent="0.3">
      <c r="A716" s="12" t="s">
        <v>2617</v>
      </c>
      <c r="B716" s="12" t="s">
        <v>120</v>
      </c>
      <c r="C716" s="12" t="s">
        <v>397</v>
      </c>
      <c r="D716" s="12" t="s">
        <v>2581</v>
      </c>
      <c r="E716" s="12" t="s">
        <v>1886</v>
      </c>
      <c r="F716" s="12" t="s">
        <v>1861</v>
      </c>
      <c r="G716" s="12" t="s">
        <v>1861</v>
      </c>
      <c r="H716" s="12" t="b">
        <v>1</v>
      </c>
      <c r="I716" s="12" t="b">
        <v>0</v>
      </c>
      <c r="J716" s="12" t="b">
        <v>1</v>
      </c>
      <c r="K716" s="12" t="b">
        <v>0</v>
      </c>
      <c r="L716" s="12">
        <v>623.15</v>
      </c>
      <c r="M716" s="12">
        <v>293.14999999999998</v>
      </c>
      <c r="N716" s="12">
        <v>3000</v>
      </c>
      <c r="O716" s="12">
        <v>750</v>
      </c>
      <c r="P716" s="12">
        <v>0.5</v>
      </c>
      <c r="Q716" s="12">
        <v>0.85</v>
      </c>
      <c r="R716" s="12">
        <v>0.75</v>
      </c>
      <c r="S716" s="12">
        <v>0.4</v>
      </c>
      <c r="T716" s="12">
        <v>0.75</v>
      </c>
      <c r="U716" s="12">
        <v>0.8</v>
      </c>
      <c r="V716" s="12">
        <v>293.14999999999998</v>
      </c>
      <c r="W716" s="12">
        <v>9.8618233000560487</v>
      </c>
      <c r="X716" s="12">
        <v>93.285423920544517</v>
      </c>
      <c r="Y716" s="12">
        <v>2250</v>
      </c>
      <c r="Z716" s="12">
        <v>4</v>
      </c>
      <c r="AA716" s="12" t="s">
        <v>1268</v>
      </c>
      <c r="AB716" s="12"/>
    </row>
    <row r="717" spans="1:28" x14ac:dyDescent="0.3">
      <c r="A717" s="12" t="s">
        <v>2618</v>
      </c>
      <c r="B717" s="12" t="s">
        <v>120</v>
      </c>
      <c r="C717" s="12" t="s">
        <v>397</v>
      </c>
      <c r="D717" s="12" t="s">
        <v>2581</v>
      </c>
      <c r="E717" s="12" t="s">
        <v>1886</v>
      </c>
      <c r="F717" s="12" t="s">
        <v>1861</v>
      </c>
      <c r="G717" s="12" t="s">
        <v>1861</v>
      </c>
      <c r="H717" s="12" t="b">
        <v>1</v>
      </c>
      <c r="I717" s="12" t="b">
        <v>0</v>
      </c>
      <c r="J717" s="12" t="b">
        <v>1</v>
      </c>
      <c r="K717" s="12" t="b">
        <v>0</v>
      </c>
      <c r="L717" s="12">
        <v>623.15</v>
      </c>
      <c r="M717" s="12">
        <v>293.14999999999998</v>
      </c>
      <c r="N717" s="12">
        <v>3000</v>
      </c>
      <c r="O717" s="12">
        <v>1050</v>
      </c>
      <c r="P717" s="12">
        <v>0.5</v>
      </c>
      <c r="Q717" s="12">
        <v>0.85</v>
      </c>
      <c r="R717" s="12">
        <v>0.75</v>
      </c>
      <c r="S717" s="12">
        <v>0.4</v>
      </c>
      <c r="T717" s="12">
        <v>0.75</v>
      </c>
      <c r="U717" s="12">
        <v>0.8</v>
      </c>
      <c r="V717" s="12">
        <v>293.14999999999998</v>
      </c>
      <c r="W717" s="12">
        <v>7.7685443949124897</v>
      </c>
      <c r="X717" s="12">
        <v>73.444812926541232</v>
      </c>
      <c r="Y717" s="12">
        <v>1950</v>
      </c>
      <c r="Z717" s="12">
        <v>2.8571428571428572</v>
      </c>
      <c r="AA717" s="12" t="s">
        <v>1268</v>
      </c>
      <c r="AB717" s="12"/>
    </row>
    <row r="718" spans="1:28" x14ac:dyDescent="0.3">
      <c r="A718" s="12" t="s">
        <v>2619</v>
      </c>
      <c r="B718" s="12" t="s">
        <v>120</v>
      </c>
      <c r="C718" s="12" t="s">
        <v>397</v>
      </c>
      <c r="D718" s="12" t="s">
        <v>2581</v>
      </c>
      <c r="E718" s="12" t="s">
        <v>1886</v>
      </c>
      <c r="F718" s="12" t="s">
        <v>32</v>
      </c>
      <c r="G718" s="12" t="s">
        <v>32</v>
      </c>
      <c r="H718" s="12" t="b">
        <v>1</v>
      </c>
      <c r="I718" s="12" t="b">
        <v>0</v>
      </c>
      <c r="J718" s="12" t="b">
        <v>1</v>
      </c>
      <c r="K718" s="12" t="b">
        <v>0</v>
      </c>
      <c r="L718" s="12">
        <v>623.15</v>
      </c>
      <c r="M718" s="12">
        <v>293.14999999999998</v>
      </c>
      <c r="N718" s="12">
        <v>3000</v>
      </c>
      <c r="O718" s="12">
        <v>1200</v>
      </c>
      <c r="P718" s="12">
        <v>0.5</v>
      </c>
      <c r="Q718" s="12">
        <v>0.85</v>
      </c>
      <c r="R718" s="12">
        <v>0.75</v>
      </c>
      <c r="S718" s="12">
        <v>0.4</v>
      </c>
      <c r="T718" s="12">
        <v>0.75</v>
      </c>
      <c r="U718" s="12">
        <v>0.8</v>
      </c>
      <c r="V718" s="12">
        <v>293.14999999999998</v>
      </c>
      <c r="W718" s="12">
        <v>6.8223746774496092</v>
      </c>
      <c r="X718" s="12">
        <v>64.467221493019366</v>
      </c>
      <c r="Y718" s="12">
        <v>1800</v>
      </c>
      <c r="Z718" s="12">
        <v>2.5</v>
      </c>
      <c r="AA718" s="12"/>
      <c r="AB718" s="12"/>
    </row>
    <row r="719" spans="1:28" x14ac:dyDescent="0.3">
      <c r="A719" s="12" t="s">
        <v>2620</v>
      </c>
      <c r="B719" s="12" t="s">
        <v>120</v>
      </c>
      <c r="C719" s="12" t="s">
        <v>397</v>
      </c>
      <c r="D719" s="12" t="s">
        <v>2581</v>
      </c>
      <c r="E719" s="12" t="s">
        <v>1886</v>
      </c>
      <c r="F719" s="12" t="s">
        <v>1861</v>
      </c>
      <c r="G719" s="12" t="s">
        <v>1861</v>
      </c>
      <c r="H719" s="12" t="b">
        <v>1</v>
      </c>
      <c r="I719" s="12" t="b">
        <v>0</v>
      </c>
      <c r="J719" s="12" t="b">
        <v>1</v>
      </c>
      <c r="K719" s="12" t="b">
        <v>0</v>
      </c>
      <c r="L719" s="12">
        <v>623.15</v>
      </c>
      <c r="M719" s="12">
        <v>300.032917</v>
      </c>
      <c r="N719" s="12">
        <v>3000</v>
      </c>
      <c r="O719" s="12">
        <v>150</v>
      </c>
      <c r="P719" s="12">
        <v>0.5</v>
      </c>
      <c r="Q719" s="12">
        <v>0.85</v>
      </c>
      <c r="R719" s="12">
        <v>0.75</v>
      </c>
      <c r="S719" s="12">
        <v>0.4</v>
      </c>
      <c r="T719" s="12">
        <v>0.75</v>
      </c>
      <c r="U719" s="12">
        <v>0.8</v>
      </c>
      <c r="V719" s="12">
        <v>300.032917</v>
      </c>
      <c r="W719" s="12">
        <v>11.325171381930391</v>
      </c>
      <c r="X719" s="12">
        <v>89.913183386803951</v>
      </c>
      <c r="Y719" s="12">
        <v>2850</v>
      </c>
      <c r="Z719" s="12">
        <v>20</v>
      </c>
      <c r="AA719" s="12" t="s">
        <v>1981</v>
      </c>
      <c r="AB719" s="12"/>
    </row>
    <row r="720" spans="1:28" x14ac:dyDescent="0.3">
      <c r="A720" s="12" t="s">
        <v>2621</v>
      </c>
      <c r="B720" s="12" t="s">
        <v>120</v>
      </c>
      <c r="C720" s="12" t="s">
        <v>397</v>
      </c>
      <c r="D720" s="12" t="s">
        <v>2581</v>
      </c>
      <c r="E720" s="12" t="s">
        <v>1886</v>
      </c>
      <c r="F720" s="12" t="s">
        <v>32</v>
      </c>
      <c r="G720" s="12" t="s">
        <v>32</v>
      </c>
      <c r="H720" s="12" t="b">
        <v>1</v>
      </c>
      <c r="I720" s="12" t="b">
        <v>0</v>
      </c>
      <c r="J720" s="12" t="b">
        <v>1</v>
      </c>
      <c r="K720" s="12" t="b">
        <v>0</v>
      </c>
      <c r="L720" s="12">
        <v>623.15</v>
      </c>
      <c r="M720" s="12">
        <v>293.14999999999998</v>
      </c>
      <c r="N720" s="12">
        <v>3000</v>
      </c>
      <c r="O720" s="12">
        <v>1350</v>
      </c>
      <c r="P720" s="12">
        <v>0.5</v>
      </c>
      <c r="Q720" s="12">
        <v>0.85</v>
      </c>
      <c r="R720" s="12">
        <v>0.75</v>
      </c>
      <c r="S720" s="12">
        <v>0.4</v>
      </c>
      <c r="T720" s="12">
        <v>0.75</v>
      </c>
      <c r="U720" s="12">
        <v>0.8</v>
      </c>
      <c r="V720" s="12">
        <v>293.14999999999998</v>
      </c>
      <c r="W720" s="12">
        <v>5.9747465742547599</v>
      </c>
      <c r="X720" s="12">
        <v>56.432117943604929</v>
      </c>
      <c r="Y720" s="12">
        <v>1650</v>
      </c>
      <c r="Z720" s="12">
        <v>2.2222222222222219</v>
      </c>
      <c r="AA720" s="12"/>
      <c r="AB720" s="12"/>
    </row>
    <row r="721" spans="1:28" x14ac:dyDescent="0.3">
      <c r="A721" s="12" t="s">
        <v>2622</v>
      </c>
      <c r="B721" s="12" t="s">
        <v>120</v>
      </c>
      <c r="C721" s="12" t="s">
        <v>397</v>
      </c>
      <c r="D721" s="12" t="s">
        <v>2581</v>
      </c>
      <c r="E721" s="12" t="s">
        <v>1886</v>
      </c>
      <c r="F721" s="12" t="s">
        <v>32</v>
      </c>
      <c r="G721" s="12" t="s">
        <v>32</v>
      </c>
      <c r="H721" s="12" t="b">
        <v>1</v>
      </c>
      <c r="I721" s="12" t="b">
        <v>0</v>
      </c>
      <c r="J721" s="12" t="b">
        <v>1</v>
      </c>
      <c r="K721" s="12" t="b">
        <v>0</v>
      </c>
      <c r="L721" s="12">
        <v>623.15</v>
      </c>
      <c r="M721" s="12">
        <v>293.14999999999998</v>
      </c>
      <c r="N721" s="12">
        <v>3000</v>
      </c>
      <c r="O721" s="12">
        <v>1500</v>
      </c>
      <c r="P721" s="12">
        <v>0.5</v>
      </c>
      <c r="Q721" s="12">
        <v>0.85</v>
      </c>
      <c r="R721" s="12">
        <v>0.75</v>
      </c>
      <c r="S721" s="12">
        <v>0.4</v>
      </c>
      <c r="T721" s="12">
        <v>0.75</v>
      </c>
      <c r="U721" s="12">
        <v>0.8</v>
      </c>
      <c r="V721" s="12">
        <v>293.14999999999998</v>
      </c>
      <c r="W721" s="12">
        <v>5.2083518833549798</v>
      </c>
      <c r="X721" s="12">
        <v>49.173468908412971</v>
      </c>
      <c r="Y721" s="12">
        <v>1500</v>
      </c>
      <c r="Z721" s="12">
        <v>2</v>
      </c>
      <c r="AA721" s="12"/>
      <c r="AB721" s="12"/>
    </row>
    <row r="722" spans="1:28" x14ac:dyDescent="0.3">
      <c r="A722" s="12" t="s">
        <v>2623</v>
      </c>
      <c r="B722" s="12" t="s">
        <v>120</v>
      </c>
      <c r="C722" s="12" t="s">
        <v>397</v>
      </c>
      <c r="D722" s="12" t="s">
        <v>2581</v>
      </c>
      <c r="E722" s="12" t="s">
        <v>1886</v>
      </c>
      <c r="F722" s="12" t="s">
        <v>1861</v>
      </c>
      <c r="G722" s="12" t="s">
        <v>1861</v>
      </c>
      <c r="H722" s="12" t="b">
        <v>1</v>
      </c>
      <c r="I722" s="12" t="b">
        <v>0</v>
      </c>
      <c r="J722" s="12" t="b">
        <v>1</v>
      </c>
      <c r="K722" s="12" t="b">
        <v>0</v>
      </c>
      <c r="L722" s="12">
        <v>623.15</v>
      </c>
      <c r="M722" s="12">
        <v>300.032917</v>
      </c>
      <c r="N722" s="12">
        <v>3000</v>
      </c>
      <c r="O722" s="12">
        <v>300</v>
      </c>
      <c r="P722" s="12">
        <v>0.5</v>
      </c>
      <c r="Q722" s="12">
        <v>0.85</v>
      </c>
      <c r="R722" s="12">
        <v>0.75</v>
      </c>
      <c r="S722" s="12">
        <v>0.4</v>
      </c>
      <c r="T722" s="12">
        <v>0.75</v>
      </c>
      <c r="U722" s="12">
        <v>0.8</v>
      </c>
      <c r="V722" s="12">
        <v>300.032917</v>
      </c>
      <c r="W722" s="12">
        <v>13.96874186499611</v>
      </c>
      <c r="X722" s="12">
        <v>127.949390389116</v>
      </c>
      <c r="Y722" s="12">
        <v>2700</v>
      </c>
      <c r="Z722" s="12">
        <v>10</v>
      </c>
      <c r="AA722" s="12" t="s">
        <v>1981</v>
      </c>
      <c r="AB722" s="12"/>
    </row>
    <row r="723" spans="1:28" x14ac:dyDescent="0.3">
      <c r="A723" s="12" t="s">
        <v>2624</v>
      </c>
      <c r="B723" s="12" t="s">
        <v>120</v>
      </c>
      <c r="C723" s="12" t="s">
        <v>397</v>
      </c>
      <c r="D723" s="12" t="s">
        <v>2581</v>
      </c>
      <c r="E723" s="12" t="s">
        <v>1886</v>
      </c>
      <c r="F723" s="12" t="s">
        <v>1861</v>
      </c>
      <c r="G723" s="12" t="s">
        <v>1861</v>
      </c>
      <c r="H723" s="12" t="b">
        <v>1</v>
      </c>
      <c r="I723" s="12" t="b">
        <v>0</v>
      </c>
      <c r="J723" s="12" t="b">
        <v>1</v>
      </c>
      <c r="K723" s="12" t="b">
        <v>0</v>
      </c>
      <c r="L723" s="12">
        <v>623.15</v>
      </c>
      <c r="M723" s="12">
        <v>300.032917</v>
      </c>
      <c r="N723" s="12">
        <v>3000</v>
      </c>
      <c r="O723" s="12">
        <v>450</v>
      </c>
      <c r="P723" s="12">
        <v>0.5</v>
      </c>
      <c r="Q723" s="12">
        <v>0.85</v>
      </c>
      <c r="R723" s="12">
        <v>0.75</v>
      </c>
      <c r="S723" s="12">
        <v>0.4</v>
      </c>
      <c r="T723" s="12">
        <v>0.75</v>
      </c>
      <c r="U723" s="12">
        <v>0.8</v>
      </c>
      <c r="V723" s="12">
        <v>300.032917</v>
      </c>
      <c r="W723" s="12">
        <v>12.75982514104871</v>
      </c>
      <c r="X723" s="12">
        <v>119.7259012752679</v>
      </c>
      <c r="Y723" s="12">
        <v>2550</v>
      </c>
      <c r="Z723" s="12">
        <v>6.666666666666667</v>
      </c>
      <c r="AA723" s="12" t="s">
        <v>1268</v>
      </c>
      <c r="AB723" s="12"/>
    </row>
    <row r="724" spans="1:28" x14ac:dyDescent="0.3">
      <c r="A724" s="12" t="s">
        <v>2625</v>
      </c>
      <c r="B724" s="12" t="s">
        <v>120</v>
      </c>
      <c r="C724" s="12" t="s">
        <v>397</v>
      </c>
      <c r="D724" s="12" t="s">
        <v>2581</v>
      </c>
      <c r="E724" s="12" t="s">
        <v>1886</v>
      </c>
      <c r="F724" s="12" t="s">
        <v>1861</v>
      </c>
      <c r="G724" s="12" t="s">
        <v>1861</v>
      </c>
      <c r="H724" s="12" t="b">
        <v>1</v>
      </c>
      <c r="I724" s="12" t="b">
        <v>0</v>
      </c>
      <c r="J724" s="12" t="b">
        <v>1</v>
      </c>
      <c r="K724" s="12" t="b">
        <v>0</v>
      </c>
      <c r="L724" s="12">
        <v>623.15</v>
      </c>
      <c r="M724" s="12">
        <v>300.032917</v>
      </c>
      <c r="N724" s="12">
        <v>3000</v>
      </c>
      <c r="O724" s="12">
        <v>600</v>
      </c>
      <c r="P724" s="12">
        <v>0.5</v>
      </c>
      <c r="Q724" s="12">
        <v>0.85</v>
      </c>
      <c r="R724" s="12">
        <v>0.75</v>
      </c>
      <c r="S724" s="12">
        <v>0.4</v>
      </c>
      <c r="T724" s="12">
        <v>0.75</v>
      </c>
      <c r="U724" s="12">
        <v>0.8</v>
      </c>
      <c r="V724" s="12">
        <v>300.032917</v>
      </c>
      <c r="W724" s="12">
        <v>11.280782008160021</v>
      </c>
      <c r="X724" s="12">
        <v>105.88171619282831</v>
      </c>
      <c r="Y724" s="12">
        <v>2400</v>
      </c>
      <c r="Z724" s="12">
        <v>5</v>
      </c>
      <c r="AA724" s="12" t="s">
        <v>1268</v>
      </c>
      <c r="AB724" s="12"/>
    </row>
    <row r="725" spans="1:28" x14ac:dyDescent="0.3">
      <c r="A725" s="12" t="s">
        <v>2626</v>
      </c>
      <c r="B725" s="12" t="s">
        <v>120</v>
      </c>
      <c r="C725" s="12" t="s">
        <v>397</v>
      </c>
      <c r="D725" s="12" t="s">
        <v>2581</v>
      </c>
      <c r="E725" s="12" t="s">
        <v>1886</v>
      </c>
      <c r="F725" s="12" t="s">
        <v>1861</v>
      </c>
      <c r="G725" s="12" t="s">
        <v>1861</v>
      </c>
      <c r="H725" s="12" t="b">
        <v>1</v>
      </c>
      <c r="I725" s="12" t="b">
        <v>0</v>
      </c>
      <c r="J725" s="12" t="b">
        <v>1</v>
      </c>
      <c r="K725" s="12" t="b">
        <v>0</v>
      </c>
      <c r="L725" s="12">
        <v>623.15</v>
      </c>
      <c r="M725" s="12">
        <v>300.032917</v>
      </c>
      <c r="N725" s="12">
        <v>3000</v>
      </c>
      <c r="O725" s="12">
        <v>750</v>
      </c>
      <c r="P725" s="12">
        <v>0.5</v>
      </c>
      <c r="Q725" s="12">
        <v>0.85</v>
      </c>
      <c r="R725" s="12">
        <v>0.75</v>
      </c>
      <c r="S725" s="12">
        <v>0.4</v>
      </c>
      <c r="T725" s="12">
        <v>0.75</v>
      </c>
      <c r="U725" s="12">
        <v>0.8</v>
      </c>
      <c r="V725" s="12">
        <v>300.032917</v>
      </c>
      <c r="W725" s="12">
        <v>10.01187318231557</v>
      </c>
      <c r="X725" s="12">
        <v>93.968676160911158</v>
      </c>
      <c r="Y725" s="12">
        <v>2250</v>
      </c>
      <c r="Z725" s="12">
        <v>4</v>
      </c>
      <c r="AA725" s="12" t="s">
        <v>1268</v>
      </c>
      <c r="AB725" s="12"/>
    </row>
    <row r="726" spans="1:28" x14ac:dyDescent="0.3">
      <c r="A726" s="12" t="s">
        <v>2627</v>
      </c>
      <c r="B726" s="12" t="s">
        <v>120</v>
      </c>
      <c r="C726" s="12" t="s">
        <v>397</v>
      </c>
      <c r="D726" s="12" t="s">
        <v>2581</v>
      </c>
      <c r="E726" s="12" t="s">
        <v>1886</v>
      </c>
      <c r="F726" s="12" t="s">
        <v>1861</v>
      </c>
      <c r="G726" s="12" t="s">
        <v>1861</v>
      </c>
      <c r="H726" s="12" t="b">
        <v>1</v>
      </c>
      <c r="I726" s="12" t="b">
        <v>0</v>
      </c>
      <c r="J726" s="12" t="b">
        <v>1</v>
      </c>
      <c r="K726" s="12" t="b">
        <v>0</v>
      </c>
      <c r="L726" s="12">
        <v>623.15</v>
      </c>
      <c r="M726" s="12">
        <v>300.032917</v>
      </c>
      <c r="N726" s="12">
        <v>3000</v>
      </c>
      <c r="O726" s="12">
        <v>900</v>
      </c>
      <c r="P726" s="12">
        <v>0.5</v>
      </c>
      <c r="Q726" s="12">
        <v>0.85</v>
      </c>
      <c r="R726" s="12">
        <v>0.75</v>
      </c>
      <c r="S726" s="12">
        <v>0.4</v>
      </c>
      <c r="T726" s="12">
        <v>0.75</v>
      </c>
      <c r="U726" s="12">
        <v>0.8</v>
      </c>
      <c r="V726" s="12">
        <v>300.032917</v>
      </c>
      <c r="W726" s="12">
        <v>8.8899683808201999</v>
      </c>
      <c r="X726" s="12">
        <v>83.420360758197106</v>
      </c>
      <c r="Y726" s="12">
        <v>2100</v>
      </c>
      <c r="Z726" s="12">
        <v>3.333333333333333</v>
      </c>
      <c r="AA726" s="12" t="s">
        <v>1268</v>
      </c>
      <c r="AB726" s="12"/>
    </row>
    <row r="727" spans="1:28" x14ac:dyDescent="0.3">
      <c r="A727" s="12" t="s">
        <v>2628</v>
      </c>
      <c r="B727" s="12" t="s">
        <v>120</v>
      </c>
      <c r="C727" s="12" t="s">
        <v>397</v>
      </c>
      <c r="D727" s="12" t="s">
        <v>2581</v>
      </c>
      <c r="E727" s="12" t="s">
        <v>1886</v>
      </c>
      <c r="F727" s="12" t="s">
        <v>1861</v>
      </c>
      <c r="G727" s="12" t="s">
        <v>1861</v>
      </c>
      <c r="H727" s="12" t="b">
        <v>1</v>
      </c>
      <c r="I727" s="12" t="b">
        <v>0</v>
      </c>
      <c r="J727" s="12" t="b">
        <v>1</v>
      </c>
      <c r="K727" s="12" t="b">
        <v>0</v>
      </c>
      <c r="L727" s="12">
        <v>623.15</v>
      </c>
      <c r="M727" s="12">
        <v>300.032917</v>
      </c>
      <c r="N727" s="12">
        <v>3000</v>
      </c>
      <c r="O727" s="12">
        <v>1050</v>
      </c>
      <c r="P727" s="12">
        <v>0.5</v>
      </c>
      <c r="Q727" s="12">
        <v>0.85</v>
      </c>
      <c r="R727" s="12">
        <v>0.75</v>
      </c>
      <c r="S727" s="12">
        <v>0.4</v>
      </c>
      <c r="T727" s="12">
        <v>0.75</v>
      </c>
      <c r="U727" s="12">
        <v>0.8</v>
      </c>
      <c r="V727" s="12">
        <v>300.032917</v>
      </c>
      <c r="W727" s="12">
        <v>7.8777772209997003</v>
      </c>
      <c r="X727" s="12">
        <v>73.89780225569271</v>
      </c>
      <c r="Y727" s="12">
        <v>1950</v>
      </c>
      <c r="Z727" s="12">
        <v>2.8571428571428572</v>
      </c>
      <c r="AA727" s="12" t="s">
        <v>1268</v>
      </c>
      <c r="AB727" s="12"/>
    </row>
    <row r="728" spans="1:28" x14ac:dyDescent="0.3">
      <c r="A728" s="12" t="s">
        <v>2629</v>
      </c>
      <c r="B728" s="12" t="s">
        <v>120</v>
      </c>
      <c r="C728" s="12" t="s">
        <v>397</v>
      </c>
      <c r="D728" s="12" t="s">
        <v>2581</v>
      </c>
      <c r="E728" s="12" t="s">
        <v>1886</v>
      </c>
      <c r="F728" s="12" t="s">
        <v>1861</v>
      </c>
      <c r="G728" s="12" t="s">
        <v>1861</v>
      </c>
      <c r="H728" s="12" t="b">
        <v>1</v>
      </c>
      <c r="I728" s="12" t="b">
        <v>0</v>
      </c>
      <c r="J728" s="12" t="b">
        <v>1</v>
      </c>
      <c r="K728" s="12" t="b">
        <v>0</v>
      </c>
      <c r="L728" s="12">
        <v>623.15</v>
      </c>
      <c r="M728" s="12">
        <v>300.032917</v>
      </c>
      <c r="N728" s="12">
        <v>3000</v>
      </c>
      <c r="O728" s="12">
        <v>1200</v>
      </c>
      <c r="P728" s="12">
        <v>0.5</v>
      </c>
      <c r="Q728" s="12">
        <v>0.85</v>
      </c>
      <c r="R728" s="12">
        <v>0.75</v>
      </c>
      <c r="S728" s="12">
        <v>0.4</v>
      </c>
      <c r="T728" s="12">
        <v>0.75</v>
      </c>
      <c r="U728" s="12">
        <v>0.8</v>
      </c>
      <c r="V728" s="12">
        <v>300.032917</v>
      </c>
      <c r="W728" s="12">
        <v>6.9512130839782307</v>
      </c>
      <c r="X728" s="12">
        <v>65.180017384365996</v>
      </c>
      <c r="Y728" s="12">
        <v>1800</v>
      </c>
      <c r="Z728" s="12">
        <v>2.5</v>
      </c>
      <c r="AA728" s="12" t="s">
        <v>1268</v>
      </c>
      <c r="AB728" s="12"/>
    </row>
    <row r="729" spans="1:28" x14ac:dyDescent="0.3">
      <c r="A729" s="12" t="s">
        <v>2630</v>
      </c>
      <c r="B729" s="12" t="s">
        <v>120</v>
      </c>
      <c r="C729" s="12" t="s">
        <v>397</v>
      </c>
      <c r="D729" s="12" t="s">
        <v>2581</v>
      </c>
      <c r="E729" s="12" t="s">
        <v>1886</v>
      </c>
      <c r="F729" s="12" t="s">
        <v>32</v>
      </c>
      <c r="G729" s="12" t="s">
        <v>32</v>
      </c>
      <c r="H729" s="12" t="b">
        <v>1</v>
      </c>
      <c r="I729" s="12" t="b">
        <v>0</v>
      </c>
      <c r="J729" s="12" t="b">
        <v>1</v>
      </c>
      <c r="K729" s="12" t="b">
        <v>0</v>
      </c>
      <c r="L729" s="12">
        <v>623.15</v>
      </c>
      <c r="M729" s="12">
        <v>300.032917</v>
      </c>
      <c r="N729" s="12">
        <v>3000</v>
      </c>
      <c r="O729" s="12">
        <v>1350</v>
      </c>
      <c r="P729" s="12">
        <v>0.5</v>
      </c>
      <c r="Q729" s="12">
        <v>0.85</v>
      </c>
      <c r="R729" s="12">
        <v>0.75</v>
      </c>
      <c r="S729" s="12">
        <v>0.4</v>
      </c>
      <c r="T729" s="12">
        <v>0.75</v>
      </c>
      <c r="U729" s="12">
        <v>0.8</v>
      </c>
      <c r="V729" s="12">
        <v>300.032917</v>
      </c>
      <c r="W729" s="12">
        <v>6.09465489612694</v>
      </c>
      <c r="X729" s="12">
        <v>57.123000310348608</v>
      </c>
      <c r="Y729" s="12">
        <v>1650</v>
      </c>
      <c r="Z729" s="12">
        <v>2.2222222222222219</v>
      </c>
      <c r="AA729" s="12"/>
      <c r="AB729" s="12"/>
    </row>
    <row r="730" spans="1:28" x14ac:dyDescent="0.3">
      <c r="A730" s="12" t="s">
        <v>2631</v>
      </c>
      <c r="B730" s="12" t="s">
        <v>120</v>
      </c>
      <c r="C730" s="12" t="s">
        <v>399</v>
      </c>
      <c r="D730" s="12" t="s">
        <v>2632</v>
      </c>
      <c r="E730" s="12" t="s">
        <v>1886</v>
      </c>
      <c r="F730" s="12" t="s">
        <v>832</v>
      </c>
      <c r="G730" s="12" t="s">
        <v>832</v>
      </c>
      <c r="H730" s="12" t="b">
        <v>0</v>
      </c>
      <c r="I730" s="12" t="b">
        <v>0</v>
      </c>
      <c r="J730" s="12" t="b">
        <v>0</v>
      </c>
      <c r="K730" s="12" t="b">
        <v>0</v>
      </c>
      <c r="L730" s="12">
        <v>623.15</v>
      </c>
      <c r="M730" s="12">
        <v>278.14999999999998</v>
      </c>
      <c r="N730" s="12">
        <v>3000</v>
      </c>
      <c r="O730" s="12">
        <v>150</v>
      </c>
      <c r="P730" s="12">
        <v>0.5</v>
      </c>
      <c r="Q730" s="12">
        <v>0.85</v>
      </c>
      <c r="R730" s="12">
        <v>0.75</v>
      </c>
      <c r="S730" s="12">
        <v>0.85</v>
      </c>
      <c r="T730" s="12">
        <v>0.75</v>
      </c>
      <c r="U730" s="12">
        <v>0.8</v>
      </c>
      <c r="V730" s="12">
        <v>278.14999999999998</v>
      </c>
      <c r="W730" s="12"/>
      <c r="X730" s="12"/>
      <c r="Y730" s="12">
        <v>2850</v>
      </c>
      <c r="Z730" s="12">
        <v>20</v>
      </c>
      <c r="AA730" s="12"/>
      <c r="AB730" s="12"/>
    </row>
    <row r="731" spans="1:28" x14ac:dyDescent="0.3">
      <c r="A731" s="12" t="s">
        <v>2633</v>
      </c>
      <c r="B731" s="12" t="s">
        <v>120</v>
      </c>
      <c r="C731" s="12" t="s">
        <v>399</v>
      </c>
      <c r="D731" s="12" t="s">
        <v>2632</v>
      </c>
      <c r="E731" s="12" t="s">
        <v>1886</v>
      </c>
      <c r="F731" s="12" t="s">
        <v>832</v>
      </c>
      <c r="G731" s="12" t="s">
        <v>832</v>
      </c>
      <c r="H731" s="12" t="b">
        <v>0</v>
      </c>
      <c r="I731" s="12" t="b">
        <v>0</v>
      </c>
      <c r="J731" s="12" t="b">
        <v>0</v>
      </c>
      <c r="K731" s="12" t="b">
        <v>0</v>
      </c>
      <c r="L731" s="12">
        <v>623.15</v>
      </c>
      <c r="M731" s="12">
        <v>278.14999999999998</v>
      </c>
      <c r="N731" s="12">
        <v>3000</v>
      </c>
      <c r="O731" s="12">
        <v>300</v>
      </c>
      <c r="P731" s="12">
        <v>0.5</v>
      </c>
      <c r="Q731" s="12">
        <v>0.85</v>
      </c>
      <c r="R731" s="12">
        <v>0.75</v>
      </c>
      <c r="S731" s="12">
        <v>0.85</v>
      </c>
      <c r="T731" s="12">
        <v>0.75</v>
      </c>
      <c r="U731" s="12">
        <v>0.8</v>
      </c>
      <c r="V731" s="12">
        <v>278.14999999999998</v>
      </c>
      <c r="W731" s="12"/>
      <c r="X731" s="12"/>
      <c r="Y731" s="12">
        <v>2700</v>
      </c>
      <c r="Z731" s="12">
        <v>10</v>
      </c>
      <c r="AA731" s="12"/>
      <c r="AB731" s="12"/>
    </row>
    <row r="732" spans="1:28" x14ac:dyDescent="0.3">
      <c r="A732" s="12" t="s">
        <v>2634</v>
      </c>
      <c r="B732" s="12" t="s">
        <v>120</v>
      </c>
      <c r="C732" s="12" t="s">
        <v>397</v>
      </c>
      <c r="D732" s="12" t="s">
        <v>2581</v>
      </c>
      <c r="E732" s="12" t="s">
        <v>1886</v>
      </c>
      <c r="F732" s="12" t="s">
        <v>32</v>
      </c>
      <c r="G732" s="12" t="s">
        <v>32</v>
      </c>
      <c r="H732" s="12" t="b">
        <v>1</v>
      </c>
      <c r="I732" s="12" t="b">
        <v>0</v>
      </c>
      <c r="J732" s="12" t="b">
        <v>1</v>
      </c>
      <c r="K732" s="12" t="b">
        <v>0</v>
      </c>
      <c r="L732" s="12">
        <v>623.15</v>
      </c>
      <c r="M732" s="12">
        <v>300.032917</v>
      </c>
      <c r="N732" s="12">
        <v>3000</v>
      </c>
      <c r="O732" s="12">
        <v>1500</v>
      </c>
      <c r="P732" s="12">
        <v>0.5</v>
      </c>
      <c r="Q732" s="12">
        <v>0.85</v>
      </c>
      <c r="R732" s="12">
        <v>0.75</v>
      </c>
      <c r="S732" s="12">
        <v>0.4</v>
      </c>
      <c r="T732" s="12">
        <v>0.75</v>
      </c>
      <c r="U732" s="12">
        <v>0.8</v>
      </c>
      <c r="V732" s="12">
        <v>300.032917</v>
      </c>
      <c r="W732" s="12">
        <v>5.3130134364356794</v>
      </c>
      <c r="X732" s="12">
        <v>49.776149317772472</v>
      </c>
      <c r="Y732" s="12">
        <v>1500</v>
      </c>
      <c r="Z732" s="12">
        <v>2</v>
      </c>
      <c r="AA732" s="12"/>
      <c r="AB732" s="12"/>
    </row>
    <row r="733" spans="1:28" x14ac:dyDescent="0.3">
      <c r="A733" s="12" t="s">
        <v>2635</v>
      </c>
      <c r="B733" s="12" t="s">
        <v>120</v>
      </c>
      <c r="C733" s="12" t="s">
        <v>399</v>
      </c>
      <c r="D733" s="12" t="s">
        <v>2632</v>
      </c>
      <c r="E733" s="12" t="s">
        <v>1886</v>
      </c>
      <c r="F733" s="12" t="s">
        <v>832</v>
      </c>
      <c r="G733" s="12" t="s">
        <v>832</v>
      </c>
      <c r="H733" s="12" t="b">
        <v>0</v>
      </c>
      <c r="I733" s="12" t="b">
        <v>0</v>
      </c>
      <c r="J733" s="12" t="b">
        <v>0</v>
      </c>
      <c r="K733" s="12" t="b">
        <v>0</v>
      </c>
      <c r="L733" s="12">
        <v>623.15</v>
      </c>
      <c r="M733" s="12">
        <v>278.14999999999998</v>
      </c>
      <c r="N733" s="12">
        <v>3000</v>
      </c>
      <c r="O733" s="12">
        <v>450</v>
      </c>
      <c r="P733" s="12">
        <v>0.5</v>
      </c>
      <c r="Q733" s="12">
        <v>0.85</v>
      </c>
      <c r="R733" s="12">
        <v>0.75</v>
      </c>
      <c r="S733" s="12">
        <v>0.85</v>
      </c>
      <c r="T733" s="12">
        <v>0.75</v>
      </c>
      <c r="U733" s="12">
        <v>0.8</v>
      </c>
      <c r="V733" s="12">
        <v>278.14999999999998</v>
      </c>
      <c r="W733" s="12"/>
      <c r="X733" s="12"/>
      <c r="Y733" s="12">
        <v>2550</v>
      </c>
      <c r="Z733" s="12">
        <v>6.666666666666667</v>
      </c>
      <c r="AA733" s="12"/>
      <c r="AB733" s="12"/>
    </row>
    <row r="734" spans="1:28" x14ac:dyDescent="0.3">
      <c r="A734" s="12" t="s">
        <v>2636</v>
      </c>
      <c r="B734" s="12" t="s">
        <v>120</v>
      </c>
      <c r="C734" s="12" t="s">
        <v>399</v>
      </c>
      <c r="D734" s="12" t="s">
        <v>2632</v>
      </c>
      <c r="E734" s="12" t="s">
        <v>1886</v>
      </c>
      <c r="F734" s="12" t="s">
        <v>832</v>
      </c>
      <c r="G734" s="12" t="s">
        <v>832</v>
      </c>
      <c r="H734" s="12" t="b">
        <v>0</v>
      </c>
      <c r="I734" s="12" t="b">
        <v>0</v>
      </c>
      <c r="J734" s="12" t="b">
        <v>0</v>
      </c>
      <c r="K734" s="12" t="b">
        <v>0</v>
      </c>
      <c r="L734" s="12">
        <v>623.15</v>
      </c>
      <c r="M734" s="12">
        <v>278.14999999999998</v>
      </c>
      <c r="N734" s="12">
        <v>3000</v>
      </c>
      <c r="O734" s="12">
        <v>600</v>
      </c>
      <c r="P734" s="12">
        <v>0.5</v>
      </c>
      <c r="Q734" s="12">
        <v>0.85</v>
      </c>
      <c r="R734" s="12">
        <v>0.75</v>
      </c>
      <c r="S734" s="12">
        <v>0.85</v>
      </c>
      <c r="T734" s="12">
        <v>0.75</v>
      </c>
      <c r="U734" s="12">
        <v>0.8</v>
      </c>
      <c r="V734" s="12">
        <v>278.14999999999998</v>
      </c>
      <c r="W734" s="12"/>
      <c r="X734" s="12"/>
      <c r="Y734" s="12">
        <v>2400</v>
      </c>
      <c r="Z734" s="12">
        <v>5</v>
      </c>
      <c r="AA734" s="12"/>
      <c r="AB734" s="12"/>
    </row>
    <row r="735" spans="1:28" x14ac:dyDescent="0.3">
      <c r="A735" s="12" t="s">
        <v>2637</v>
      </c>
      <c r="B735" s="12" t="s">
        <v>120</v>
      </c>
      <c r="C735" s="12" t="s">
        <v>399</v>
      </c>
      <c r="D735" s="12" t="s">
        <v>2632</v>
      </c>
      <c r="E735" s="12" t="s">
        <v>1886</v>
      </c>
      <c r="F735" s="12" t="s">
        <v>832</v>
      </c>
      <c r="G735" s="12" t="s">
        <v>832</v>
      </c>
      <c r="H735" s="12" t="b">
        <v>0</v>
      </c>
      <c r="I735" s="12" t="b">
        <v>0</v>
      </c>
      <c r="J735" s="12" t="b">
        <v>0</v>
      </c>
      <c r="K735" s="12" t="b">
        <v>0</v>
      </c>
      <c r="L735" s="12">
        <v>623.15</v>
      </c>
      <c r="M735" s="12">
        <v>278.14999999999998</v>
      </c>
      <c r="N735" s="12">
        <v>3000</v>
      </c>
      <c r="O735" s="12">
        <v>1050</v>
      </c>
      <c r="P735" s="12">
        <v>0.5</v>
      </c>
      <c r="Q735" s="12">
        <v>0.85</v>
      </c>
      <c r="R735" s="12">
        <v>0.75</v>
      </c>
      <c r="S735" s="12">
        <v>0.85</v>
      </c>
      <c r="T735" s="12">
        <v>0.75</v>
      </c>
      <c r="U735" s="12">
        <v>0.8</v>
      </c>
      <c r="V735" s="12">
        <v>278.14999999999998</v>
      </c>
      <c r="W735" s="12"/>
      <c r="X735" s="12"/>
      <c r="Y735" s="12">
        <v>1950</v>
      </c>
      <c r="Z735" s="12">
        <v>2.8571428571428572</v>
      </c>
      <c r="AA735" s="12"/>
      <c r="AB735" s="12"/>
    </row>
    <row r="736" spans="1:28" x14ac:dyDescent="0.3">
      <c r="A736" s="12" t="s">
        <v>2638</v>
      </c>
      <c r="B736" s="12" t="s">
        <v>120</v>
      </c>
      <c r="C736" s="12" t="s">
        <v>399</v>
      </c>
      <c r="D736" s="12" t="s">
        <v>2632</v>
      </c>
      <c r="E736" s="12" t="s">
        <v>1886</v>
      </c>
      <c r="F736" s="12" t="s">
        <v>832</v>
      </c>
      <c r="G736" s="12" t="s">
        <v>832</v>
      </c>
      <c r="H736" s="12" t="b">
        <v>0</v>
      </c>
      <c r="I736" s="12" t="b">
        <v>0</v>
      </c>
      <c r="J736" s="12" t="b">
        <v>0</v>
      </c>
      <c r="K736" s="12" t="b">
        <v>0</v>
      </c>
      <c r="L736" s="12">
        <v>623.15</v>
      </c>
      <c r="M736" s="12">
        <v>278.14999999999998</v>
      </c>
      <c r="N736" s="12">
        <v>3000</v>
      </c>
      <c r="O736" s="12">
        <v>750</v>
      </c>
      <c r="P736" s="12">
        <v>0.5</v>
      </c>
      <c r="Q736" s="12">
        <v>0.85</v>
      </c>
      <c r="R736" s="12">
        <v>0.75</v>
      </c>
      <c r="S736" s="12">
        <v>0.85</v>
      </c>
      <c r="T736" s="12">
        <v>0.75</v>
      </c>
      <c r="U736" s="12">
        <v>0.8</v>
      </c>
      <c r="V736" s="12">
        <v>278.14999999999998</v>
      </c>
      <c r="W736" s="12"/>
      <c r="X736" s="12"/>
      <c r="Y736" s="12">
        <v>2250</v>
      </c>
      <c r="Z736" s="12">
        <v>4</v>
      </c>
      <c r="AA736" s="12"/>
      <c r="AB736" s="12"/>
    </row>
    <row r="737" spans="1:28" x14ac:dyDescent="0.3">
      <c r="A737" s="12" t="s">
        <v>2639</v>
      </c>
      <c r="B737" s="12" t="s">
        <v>120</v>
      </c>
      <c r="C737" s="12" t="s">
        <v>399</v>
      </c>
      <c r="D737" s="12" t="s">
        <v>2632</v>
      </c>
      <c r="E737" s="12" t="s">
        <v>1886</v>
      </c>
      <c r="F737" s="12" t="s">
        <v>832</v>
      </c>
      <c r="G737" s="12" t="s">
        <v>832</v>
      </c>
      <c r="H737" s="12" t="b">
        <v>0</v>
      </c>
      <c r="I737" s="12" t="b">
        <v>0</v>
      </c>
      <c r="J737" s="12" t="b">
        <v>0</v>
      </c>
      <c r="K737" s="12" t="b">
        <v>0</v>
      </c>
      <c r="L737" s="12">
        <v>623.15</v>
      </c>
      <c r="M737" s="12">
        <v>278.14999999999998</v>
      </c>
      <c r="N737" s="12">
        <v>3000</v>
      </c>
      <c r="O737" s="12">
        <v>900</v>
      </c>
      <c r="P737" s="12">
        <v>0.5</v>
      </c>
      <c r="Q737" s="12">
        <v>0.85</v>
      </c>
      <c r="R737" s="12">
        <v>0.75</v>
      </c>
      <c r="S737" s="12">
        <v>0.85</v>
      </c>
      <c r="T737" s="12">
        <v>0.75</v>
      </c>
      <c r="U737" s="12">
        <v>0.8</v>
      </c>
      <c r="V737" s="12">
        <v>278.14999999999998</v>
      </c>
      <c r="W737" s="12"/>
      <c r="X737" s="12"/>
      <c r="Y737" s="12">
        <v>2100</v>
      </c>
      <c r="Z737" s="12">
        <v>3.333333333333333</v>
      </c>
      <c r="AA737" s="12"/>
      <c r="AB737" s="12"/>
    </row>
    <row r="738" spans="1:28" x14ac:dyDescent="0.3">
      <c r="A738" s="12" t="s">
        <v>2640</v>
      </c>
      <c r="B738" s="12" t="s">
        <v>120</v>
      </c>
      <c r="C738" s="12" t="s">
        <v>399</v>
      </c>
      <c r="D738" s="12" t="s">
        <v>2632</v>
      </c>
      <c r="E738" s="12" t="s">
        <v>1886</v>
      </c>
      <c r="F738" s="12" t="s">
        <v>832</v>
      </c>
      <c r="G738" s="12" t="s">
        <v>832</v>
      </c>
      <c r="H738" s="12" t="b">
        <v>0</v>
      </c>
      <c r="I738" s="12" t="b">
        <v>0</v>
      </c>
      <c r="J738" s="12" t="b">
        <v>0</v>
      </c>
      <c r="K738" s="12" t="b">
        <v>0</v>
      </c>
      <c r="L738" s="12">
        <v>623.15</v>
      </c>
      <c r="M738" s="12">
        <v>278.14999999999998</v>
      </c>
      <c r="N738" s="12">
        <v>3000</v>
      </c>
      <c r="O738" s="12">
        <v>1200</v>
      </c>
      <c r="P738" s="12">
        <v>0.5</v>
      </c>
      <c r="Q738" s="12">
        <v>0.85</v>
      </c>
      <c r="R738" s="12">
        <v>0.75</v>
      </c>
      <c r="S738" s="12">
        <v>0.85</v>
      </c>
      <c r="T738" s="12">
        <v>0.75</v>
      </c>
      <c r="U738" s="12">
        <v>0.8</v>
      </c>
      <c r="V738" s="12">
        <v>278.14999999999998</v>
      </c>
      <c r="W738" s="12"/>
      <c r="X738" s="12"/>
      <c r="Y738" s="12">
        <v>1800</v>
      </c>
      <c r="Z738" s="12">
        <v>2.5</v>
      </c>
      <c r="AA738" s="12"/>
      <c r="AB738" s="12"/>
    </row>
    <row r="739" spans="1:28" x14ac:dyDescent="0.3">
      <c r="A739" s="12" t="s">
        <v>2641</v>
      </c>
      <c r="B739" s="12" t="s">
        <v>120</v>
      </c>
      <c r="C739" s="12" t="s">
        <v>399</v>
      </c>
      <c r="D739" s="12" t="s">
        <v>2632</v>
      </c>
      <c r="E739" s="12" t="s">
        <v>1886</v>
      </c>
      <c r="F739" s="12" t="s">
        <v>832</v>
      </c>
      <c r="G739" s="12" t="s">
        <v>832</v>
      </c>
      <c r="H739" s="12" t="b">
        <v>0</v>
      </c>
      <c r="I739" s="12" t="b">
        <v>0</v>
      </c>
      <c r="J739" s="12" t="b">
        <v>0</v>
      </c>
      <c r="K739" s="12" t="b">
        <v>0</v>
      </c>
      <c r="L739" s="12">
        <v>623.15</v>
      </c>
      <c r="M739" s="12">
        <v>278.14999999999998</v>
      </c>
      <c r="N739" s="12">
        <v>3000</v>
      </c>
      <c r="O739" s="12">
        <v>1350</v>
      </c>
      <c r="P739" s="12">
        <v>0.5</v>
      </c>
      <c r="Q739" s="12">
        <v>0.85</v>
      </c>
      <c r="R739" s="12">
        <v>0.75</v>
      </c>
      <c r="S739" s="12">
        <v>0.85</v>
      </c>
      <c r="T739" s="12">
        <v>0.75</v>
      </c>
      <c r="U739" s="12">
        <v>0.8</v>
      </c>
      <c r="V739" s="12">
        <v>278.14999999999998</v>
      </c>
      <c r="W739" s="12"/>
      <c r="X739" s="12"/>
      <c r="Y739" s="12">
        <v>1650</v>
      </c>
      <c r="Z739" s="12">
        <v>2.2222222222222219</v>
      </c>
      <c r="AA739" s="12"/>
      <c r="AB739" s="12"/>
    </row>
    <row r="740" spans="1:28" x14ac:dyDescent="0.3">
      <c r="A740" s="12" t="s">
        <v>2642</v>
      </c>
      <c r="B740" s="12" t="s">
        <v>120</v>
      </c>
      <c r="C740" s="12" t="s">
        <v>399</v>
      </c>
      <c r="D740" s="12" t="s">
        <v>2632</v>
      </c>
      <c r="E740" s="12" t="s">
        <v>1886</v>
      </c>
      <c r="F740" s="12" t="s">
        <v>832</v>
      </c>
      <c r="G740" s="12" t="s">
        <v>832</v>
      </c>
      <c r="H740" s="12" t="b">
        <v>0</v>
      </c>
      <c r="I740" s="12" t="b">
        <v>0</v>
      </c>
      <c r="J740" s="12" t="b">
        <v>0</v>
      </c>
      <c r="K740" s="12" t="b">
        <v>0</v>
      </c>
      <c r="L740" s="12">
        <v>623.15</v>
      </c>
      <c r="M740" s="12">
        <v>278.14999999999998</v>
      </c>
      <c r="N740" s="12">
        <v>3000</v>
      </c>
      <c r="O740" s="12">
        <v>1500</v>
      </c>
      <c r="P740" s="12">
        <v>0.5</v>
      </c>
      <c r="Q740" s="12">
        <v>0.85</v>
      </c>
      <c r="R740" s="12">
        <v>0.75</v>
      </c>
      <c r="S740" s="12">
        <v>0.85</v>
      </c>
      <c r="T740" s="12">
        <v>0.75</v>
      </c>
      <c r="U740" s="12">
        <v>0.8</v>
      </c>
      <c r="V740" s="12">
        <v>278.14999999999998</v>
      </c>
      <c r="W740" s="12"/>
      <c r="X740" s="12"/>
      <c r="Y740" s="12">
        <v>1500</v>
      </c>
      <c r="Z740" s="12">
        <v>2</v>
      </c>
      <c r="AA740" s="12"/>
      <c r="AB740" s="12"/>
    </row>
    <row r="741" spans="1:28" x14ac:dyDescent="0.3">
      <c r="A741" s="12" t="s">
        <v>2643</v>
      </c>
      <c r="B741" s="12" t="s">
        <v>120</v>
      </c>
      <c r="C741" s="12" t="s">
        <v>399</v>
      </c>
      <c r="D741" s="12" t="s">
        <v>2632</v>
      </c>
      <c r="E741" s="12" t="s">
        <v>1886</v>
      </c>
      <c r="F741" s="12" t="s">
        <v>832</v>
      </c>
      <c r="G741" s="12" t="s">
        <v>832</v>
      </c>
      <c r="H741" s="12" t="b">
        <v>0</v>
      </c>
      <c r="I741" s="12" t="b">
        <v>0</v>
      </c>
      <c r="J741" s="12" t="b">
        <v>0</v>
      </c>
      <c r="K741" s="12" t="b">
        <v>0</v>
      </c>
      <c r="L741" s="12">
        <v>623.15</v>
      </c>
      <c r="M741" s="12">
        <v>283.14999999999998</v>
      </c>
      <c r="N741" s="12">
        <v>3000</v>
      </c>
      <c r="O741" s="12">
        <v>300</v>
      </c>
      <c r="P741" s="12">
        <v>0.5</v>
      </c>
      <c r="Q741" s="12">
        <v>0.85</v>
      </c>
      <c r="R741" s="12">
        <v>0.75</v>
      </c>
      <c r="S741" s="12">
        <v>0.85</v>
      </c>
      <c r="T741" s="12">
        <v>0.75</v>
      </c>
      <c r="U741" s="12">
        <v>0.8</v>
      </c>
      <c r="V741" s="12">
        <v>283.14999999999998</v>
      </c>
      <c r="W741" s="12"/>
      <c r="X741" s="12"/>
      <c r="Y741" s="12">
        <v>2700</v>
      </c>
      <c r="Z741" s="12">
        <v>10</v>
      </c>
      <c r="AA741" s="12"/>
      <c r="AB741" s="12"/>
    </row>
    <row r="742" spans="1:28" x14ac:dyDescent="0.3">
      <c r="A742" s="12" t="s">
        <v>2644</v>
      </c>
      <c r="B742" s="12" t="s">
        <v>120</v>
      </c>
      <c r="C742" s="12" t="s">
        <v>399</v>
      </c>
      <c r="D742" s="12" t="s">
        <v>2632</v>
      </c>
      <c r="E742" s="12" t="s">
        <v>1886</v>
      </c>
      <c r="F742" s="12" t="s">
        <v>832</v>
      </c>
      <c r="G742" s="12" t="s">
        <v>832</v>
      </c>
      <c r="H742" s="12" t="b">
        <v>0</v>
      </c>
      <c r="I742" s="12" t="b">
        <v>0</v>
      </c>
      <c r="J742" s="12" t="b">
        <v>0</v>
      </c>
      <c r="K742" s="12" t="b">
        <v>0</v>
      </c>
      <c r="L742" s="12">
        <v>623.15</v>
      </c>
      <c r="M742" s="12">
        <v>283.14999999999998</v>
      </c>
      <c r="N742" s="12">
        <v>3000</v>
      </c>
      <c r="O742" s="12">
        <v>150</v>
      </c>
      <c r="P742" s="12">
        <v>0.5</v>
      </c>
      <c r="Q742" s="12">
        <v>0.85</v>
      </c>
      <c r="R742" s="12">
        <v>0.75</v>
      </c>
      <c r="S742" s="12">
        <v>0.85</v>
      </c>
      <c r="T742" s="12">
        <v>0.75</v>
      </c>
      <c r="U742" s="12">
        <v>0.8</v>
      </c>
      <c r="V742" s="12">
        <v>283.14999999999998</v>
      </c>
      <c r="W742" s="12"/>
      <c r="X742" s="12"/>
      <c r="Y742" s="12">
        <v>2850</v>
      </c>
      <c r="Z742" s="12">
        <v>20</v>
      </c>
      <c r="AA742" s="12"/>
      <c r="AB742" s="12"/>
    </row>
    <row r="743" spans="1:28" x14ac:dyDescent="0.3">
      <c r="A743" s="12" t="s">
        <v>2645</v>
      </c>
      <c r="B743" s="12" t="s">
        <v>120</v>
      </c>
      <c r="C743" s="12" t="s">
        <v>399</v>
      </c>
      <c r="D743" s="12" t="s">
        <v>2632</v>
      </c>
      <c r="E743" s="12" t="s">
        <v>1886</v>
      </c>
      <c r="F743" s="12" t="s">
        <v>832</v>
      </c>
      <c r="G743" s="12" t="s">
        <v>832</v>
      </c>
      <c r="H743" s="12" t="b">
        <v>0</v>
      </c>
      <c r="I743" s="12" t="b">
        <v>0</v>
      </c>
      <c r="J743" s="12" t="b">
        <v>0</v>
      </c>
      <c r="K743" s="12" t="b">
        <v>0</v>
      </c>
      <c r="L743" s="12">
        <v>623.15</v>
      </c>
      <c r="M743" s="12">
        <v>283.14999999999998</v>
      </c>
      <c r="N743" s="12">
        <v>3000</v>
      </c>
      <c r="O743" s="12">
        <v>450</v>
      </c>
      <c r="P743" s="12">
        <v>0.5</v>
      </c>
      <c r="Q743" s="12">
        <v>0.85</v>
      </c>
      <c r="R743" s="12">
        <v>0.75</v>
      </c>
      <c r="S743" s="12">
        <v>0.85</v>
      </c>
      <c r="T743" s="12">
        <v>0.75</v>
      </c>
      <c r="U743" s="12">
        <v>0.8</v>
      </c>
      <c r="V743" s="12">
        <v>283.14999999999998</v>
      </c>
      <c r="W743" s="12"/>
      <c r="X743" s="12"/>
      <c r="Y743" s="12">
        <v>2550</v>
      </c>
      <c r="Z743" s="12">
        <v>6.666666666666667</v>
      </c>
      <c r="AA743" s="12"/>
      <c r="AB743" s="12"/>
    </row>
    <row r="744" spans="1:28" x14ac:dyDescent="0.3">
      <c r="A744" s="12" t="s">
        <v>2646</v>
      </c>
      <c r="B744" s="12" t="s">
        <v>120</v>
      </c>
      <c r="C744" s="12" t="s">
        <v>399</v>
      </c>
      <c r="D744" s="12" t="s">
        <v>2632</v>
      </c>
      <c r="E744" s="12" t="s">
        <v>1886</v>
      </c>
      <c r="F744" s="12" t="s">
        <v>832</v>
      </c>
      <c r="G744" s="12" t="s">
        <v>832</v>
      </c>
      <c r="H744" s="12" t="b">
        <v>0</v>
      </c>
      <c r="I744" s="12" t="b">
        <v>0</v>
      </c>
      <c r="J744" s="12" t="b">
        <v>0</v>
      </c>
      <c r="K744" s="12" t="b">
        <v>0</v>
      </c>
      <c r="L744" s="12">
        <v>623.15</v>
      </c>
      <c r="M744" s="12">
        <v>283.14999999999998</v>
      </c>
      <c r="N744" s="12">
        <v>3000</v>
      </c>
      <c r="O744" s="12">
        <v>600</v>
      </c>
      <c r="P744" s="12">
        <v>0.5</v>
      </c>
      <c r="Q744" s="12">
        <v>0.85</v>
      </c>
      <c r="R744" s="12">
        <v>0.75</v>
      </c>
      <c r="S744" s="12">
        <v>0.85</v>
      </c>
      <c r="T744" s="12">
        <v>0.75</v>
      </c>
      <c r="U744" s="12">
        <v>0.8</v>
      </c>
      <c r="V744" s="12">
        <v>283.14999999999998</v>
      </c>
      <c r="W744" s="12"/>
      <c r="X744" s="12"/>
      <c r="Y744" s="12">
        <v>2400</v>
      </c>
      <c r="Z744" s="12">
        <v>5</v>
      </c>
      <c r="AA744" s="12"/>
      <c r="AB744" s="12"/>
    </row>
    <row r="745" spans="1:28" x14ac:dyDescent="0.3">
      <c r="A745" s="12" t="s">
        <v>2647</v>
      </c>
      <c r="B745" s="12" t="s">
        <v>120</v>
      </c>
      <c r="C745" s="12" t="s">
        <v>399</v>
      </c>
      <c r="D745" s="12" t="s">
        <v>2632</v>
      </c>
      <c r="E745" s="12" t="s">
        <v>1886</v>
      </c>
      <c r="F745" s="12" t="s">
        <v>832</v>
      </c>
      <c r="G745" s="12" t="s">
        <v>832</v>
      </c>
      <c r="H745" s="12" t="b">
        <v>0</v>
      </c>
      <c r="I745" s="12" t="b">
        <v>0</v>
      </c>
      <c r="J745" s="12" t="b">
        <v>0</v>
      </c>
      <c r="K745" s="12" t="b">
        <v>0</v>
      </c>
      <c r="L745" s="12">
        <v>623.15</v>
      </c>
      <c r="M745" s="12">
        <v>283.14999999999998</v>
      </c>
      <c r="N745" s="12">
        <v>3000</v>
      </c>
      <c r="O745" s="12">
        <v>1050</v>
      </c>
      <c r="P745" s="12">
        <v>0.5</v>
      </c>
      <c r="Q745" s="12">
        <v>0.85</v>
      </c>
      <c r="R745" s="12">
        <v>0.75</v>
      </c>
      <c r="S745" s="12">
        <v>0.85</v>
      </c>
      <c r="T745" s="12">
        <v>0.75</v>
      </c>
      <c r="U745" s="12">
        <v>0.8</v>
      </c>
      <c r="V745" s="12">
        <v>283.14999999999998</v>
      </c>
      <c r="W745" s="12"/>
      <c r="X745" s="12"/>
      <c r="Y745" s="12">
        <v>1950</v>
      </c>
      <c r="Z745" s="12">
        <v>2.8571428571428572</v>
      </c>
      <c r="AA745" s="12"/>
      <c r="AB745" s="12"/>
    </row>
    <row r="746" spans="1:28" x14ac:dyDescent="0.3">
      <c r="A746" s="12" t="s">
        <v>2648</v>
      </c>
      <c r="B746" s="12" t="s">
        <v>120</v>
      </c>
      <c r="C746" s="12" t="s">
        <v>399</v>
      </c>
      <c r="D746" s="12" t="s">
        <v>2632</v>
      </c>
      <c r="E746" s="12" t="s">
        <v>1886</v>
      </c>
      <c r="F746" s="12" t="s">
        <v>832</v>
      </c>
      <c r="G746" s="12" t="s">
        <v>832</v>
      </c>
      <c r="H746" s="12" t="b">
        <v>0</v>
      </c>
      <c r="I746" s="12" t="b">
        <v>0</v>
      </c>
      <c r="J746" s="12" t="b">
        <v>0</v>
      </c>
      <c r="K746" s="12" t="b">
        <v>0</v>
      </c>
      <c r="L746" s="12">
        <v>623.15</v>
      </c>
      <c r="M746" s="12">
        <v>283.14999999999998</v>
      </c>
      <c r="N746" s="12">
        <v>3000</v>
      </c>
      <c r="O746" s="12">
        <v>900</v>
      </c>
      <c r="P746" s="12">
        <v>0.5</v>
      </c>
      <c r="Q746" s="12">
        <v>0.85</v>
      </c>
      <c r="R746" s="12">
        <v>0.75</v>
      </c>
      <c r="S746" s="12">
        <v>0.85</v>
      </c>
      <c r="T746" s="12">
        <v>0.75</v>
      </c>
      <c r="U746" s="12">
        <v>0.8</v>
      </c>
      <c r="V746" s="12">
        <v>283.14999999999998</v>
      </c>
      <c r="W746" s="12"/>
      <c r="X746" s="12"/>
      <c r="Y746" s="12">
        <v>2100</v>
      </c>
      <c r="Z746" s="12">
        <v>3.333333333333333</v>
      </c>
      <c r="AA746" s="12"/>
      <c r="AB746" s="12"/>
    </row>
    <row r="747" spans="1:28" x14ac:dyDescent="0.3">
      <c r="A747" s="12" t="s">
        <v>2649</v>
      </c>
      <c r="B747" s="12" t="s">
        <v>120</v>
      </c>
      <c r="C747" s="12" t="s">
        <v>399</v>
      </c>
      <c r="D747" s="12" t="s">
        <v>2632</v>
      </c>
      <c r="E747" s="12" t="s">
        <v>1886</v>
      </c>
      <c r="F747" s="12" t="s">
        <v>832</v>
      </c>
      <c r="G747" s="12" t="s">
        <v>832</v>
      </c>
      <c r="H747" s="12" t="b">
        <v>0</v>
      </c>
      <c r="I747" s="12" t="b">
        <v>0</v>
      </c>
      <c r="J747" s="12" t="b">
        <v>0</v>
      </c>
      <c r="K747" s="12" t="b">
        <v>0</v>
      </c>
      <c r="L747" s="12">
        <v>623.15</v>
      </c>
      <c r="M747" s="12">
        <v>283.14999999999998</v>
      </c>
      <c r="N747" s="12">
        <v>3000</v>
      </c>
      <c r="O747" s="12">
        <v>750</v>
      </c>
      <c r="P747" s="12">
        <v>0.5</v>
      </c>
      <c r="Q747" s="12">
        <v>0.85</v>
      </c>
      <c r="R747" s="12">
        <v>0.75</v>
      </c>
      <c r="S747" s="12">
        <v>0.85</v>
      </c>
      <c r="T747" s="12">
        <v>0.75</v>
      </c>
      <c r="U747" s="12">
        <v>0.8</v>
      </c>
      <c r="V747" s="12">
        <v>283.14999999999998</v>
      </c>
      <c r="W747" s="12"/>
      <c r="X747" s="12"/>
      <c r="Y747" s="12">
        <v>2250</v>
      </c>
      <c r="Z747" s="12">
        <v>4</v>
      </c>
      <c r="AA747" s="12"/>
      <c r="AB747" s="12"/>
    </row>
    <row r="748" spans="1:28" x14ac:dyDescent="0.3">
      <c r="A748" s="12" t="s">
        <v>2650</v>
      </c>
      <c r="B748" s="12" t="s">
        <v>120</v>
      </c>
      <c r="C748" s="12" t="s">
        <v>399</v>
      </c>
      <c r="D748" s="12" t="s">
        <v>2632</v>
      </c>
      <c r="E748" s="12" t="s">
        <v>1886</v>
      </c>
      <c r="F748" s="12" t="s">
        <v>832</v>
      </c>
      <c r="G748" s="12" t="s">
        <v>832</v>
      </c>
      <c r="H748" s="12" t="b">
        <v>0</v>
      </c>
      <c r="I748" s="12" t="b">
        <v>0</v>
      </c>
      <c r="J748" s="12" t="b">
        <v>0</v>
      </c>
      <c r="K748" s="12" t="b">
        <v>0</v>
      </c>
      <c r="L748" s="12">
        <v>623.15</v>
      </c>
      <c r="M748" s="12">
        <v>283.14999999999998</v>
      </c>
      <c r="N748" s="12">
        <v>3000</v>
      </c>
      <c r="O748" s="12">
        <v>1200</v>
      </c>
      <c r="P748" s="12">
        <v>0.5</v>
      </c>
      <c r="Q748" s="12">
        <v>0.85</v>
      </c>
      <c r="R748" s="12">
        <v>0.75</v>
      </c>
      <c r="S748" s="12">
        <v>0.85</v>
      </c>
      <c r="T748" s="12">
        <v>0.75</v>
      </c>
      <c r="U748" s="12">
        <v>0.8</v>
      </c>
      <c r="V748" s="12">
        <v>283.14999999999998</v>
      </c>
      <c r="W748" s="12"/>
      <c r="X748" s="12"/>
      <c r="Y748" s="12">
        <v>1800</v>
      </c>
      <c r="Z748" s="12">
        <v>2.5</v>
      </c>
      <c r="AA748" s="12"/>
      <c r="AB748" s="12"/>
    </row>
    <row r="749" spans="1:28" x14ac:dyDescent="0.3">
      <c r="A749" s="12" t="s">
        <v>2651</v>
      </c>
      <c r="B749" s="12" t="s">
        <v>120</v>
      </c>
      <c r="C749" s="12" t="s">
        <v>399</v>
      </c>
      <c r="D749" s="12" t="s">
        <v>2632</v>
      </c>
      <c r="E749" s="12" t="s">
        <v>1886</v>
      </c>
      <c r="F749" s="12" t="s">
        <v>832</v>
      </c>
      <c r="G749" s="12" t="s">
        <v>832</v>
      </c>
      <c r="H749" s="12" t="b">
        <v>0</v>
      </c>
      <c r="I749" s="12" t="b">
        <v>0</v>
      </c>
      <c r="J749" s="12" t="b">
        <v>0</v>
      </c>
      <c r="K749" s="12" t="b">
        <v>0</v>
      </c>
      <c r="L749" s="12">
        <v>623.15</v>
      </c>
      <c r="M749" s="12">
        <v>283.14999999999998</v>
      </c>
      <c r="N749" s="12">
        <v>3000</v>
      </c>
      <c r="O749" s="12">
        <v>1350</v>
      </c>
      <c r="P749" s="12">
        <v>0.5</v>
      </c>
      <c r="Q749" s="12">
        <v>0.85</v>
      </c>
      <c r="R749" s="12">
        <v>0.75</v>
      </c>
      <c r="S749" s="12">
        <v>0.85</v>
      </c>
      <c r="T749" s="12">
        <v>0.75</v>
      </c>
      <c r="U749" s="12">
        <v>0.8</v>
      </c>
      <c r="V749" s="12">
        <v>283.14999999999998</v>
      </c>
      <c r="W749" s="12"/>
      <c r="X749" s="12"/>
      <c r="Y749" s="12">
        <v>1650</v>
      </c>
      <c r="Z749" s="12">
        <v>2.2222222222222219</v>
      </c>
      <c r="AA749" s="12"/>
      <c r="AB749" s="12"/>
    </row>
    <row r="750" spans="1:28" x14ac:dyDescent="0.3">
      <c r="A750" s="12" t="s">
        <v>2652</v>
      </c>
      <c r="B750" s="12" t="s">
        <v>120</v>
      </c>
      <c r="C750" s="12" t="s">
        <v>399</v>
      </c>
      <c r="D750" s="12" t="s">
        <v>2632</v>
      </c>
      <c r="E750" s="12" t="s">
        <v>1886</v>
      </c>
      <c r="F750" s="12" t="s">
        <v>832</v>
      </c>
      <c r="G750" s="12" t="s">
        <v>832</v>
      </c>
      <c r="H750" s="12" t="b">
        <v>0</v>
      </c>
      <c r="I750" s="12" t="b">
        <v>0</v>
      </c>
      <c r="J750" s="12" t="b">
        <v>0</v>
      </c>
      <c r="K750" s="12" t="b">
        <v>0</v>
      </c>
      <c r="L750" s="12">
        <v>623.15</v>
      </c>
      <c r="M750" s="12">
        <v>283.14999999999998</v>
      </c>
      <c r="N750" s="12">
        <v>3000</v>
      </c>
      <c r="O750" s="12">
        <v>1500</v>
      </c>
      <c r="P750" s="12">
        <v>0.5</v>
      </c>
      <c r="Q750" s="12">
        <v>0.85</v>
      </c>
      <c r="R750" s="12">
        <v>0.75</v>
      </c>
      <c r="S750" s="12">
        <v>0.85</v>
      </c>
      <c r="T750" s="12">
        <v>0.75</v>
      </c>
      <c r="U750" s="12">
        <v>0.8</v>
      </c>
      <c r="V750" s="12">
        <v>283.14999999999998</v>
      </c>
      <c r="W750" s="12"/>
      <c r="X750" s="12"/>
      <c r="Y750" s="12">
        <v>1500</v>
      </c>
      <c r="Z750" s="12">
        <v>2</v>
      </c>
      <c r="AA750" s="12"/>
      <c r="AB750" s="12"/>
    </row>
    <row r="751" spans="1:28" x14ac:dyDescent="0.3">
      <c r="A751" s="12" t="s">
        <v>2653</v>
      </c>
      <c r="B751" s="12" t="s">
        <v>120</v>
      </c>
      <c r="C751" s="12" t="s">
        <v>399</v>
      </c>
      <c r="D751" s="12" t="s">
        <v>2632</v>
      </c>
      <c r="E751" s="12" t="s">
        <v>1886</v>
      </c>
      <c r="F751" s="12" t="s">
        <v>832</v>
      </c>
      <c r="G751" s="12" t="s">
        <v>832</v>
      </c>
      <c r="H751" s="12" t="b">
        <v>0</v>
      </c>
      <c r="I751" s="12" t="b">
        <v>0</v>
      </c>
      <c r="J751" s="12" t="b">
        <v>0</v>
      </c>
      <c r="K751" s="12" t="b">
        <v>0</v>
      </c>
      <c r="L751" s="12">
        <v>623.15</v>
      </c>
      <c r="M751" s="12">
        <v>288.14999999999998</v>
      </c>
      <c r="N751" s="12">
        <v>3000</v>
      </c>
      <c r="O751" s="12">
        <v>300</v>
      </c>
      <c r="P751" s="12">
        <v>0.5</v>
      </c>
      <c r="Q751" s="12">
        <v>0.85</v>
      </c>
      <c r="R751" s="12">
        <v>0.75</v>
      </c>
      <c r="S751" s="12">
        <v>0.85</v>
      </c>
      <c r="T751" s="12">
        <v>0.75</v>
      </c>
      <c r="U751" s="12">
        <v>0.8</v>
      </c>
      <c r="V751" s="12">
        <v>288.14999999999998</v>
      </c>
      <c r="W751" s="12"/>
      <c r="X751" s="12"/>
      <c r="Y751" s="12">
        <v>2700</v>
      </c>
      <c r="Z751" s="12">
        <v>10</v>
      </c>
      <c r="AA751" s="12"/>
      <c r="AB751" s="12"/>
    </row>
    <row r="752" spans="1:28" x14ac:dyDescent="0.3">
      <c r="A752" s="12" t="s">
        <v>2654</v>
      </c>
      <c r="B752" s="12" t="s">
        <v>120</v>
      </c>
      <c r="C752" s="12" t="s">
        <v>399</v>
      </c>
      <c r="D752" s="12" t="s">
        <v>2632</v>
      </c>
      <c r="E752" s="12" t="s">
        <v>1886</v>
      </c>
      <c r="F752" s="12" t="s">
        <v>832</v>
      </c>
      <c r="G752" s="12" t="s">
        <v>832</v>
      </c>
      <c r="H752" s="12" t="b">
        <v>0</v>
      </c>
      <c r="I752" s="12" t="b">
        <v>0</v>
      </c>
      <c r="J752" s="12" t="b">
        <v>0</v>
      </c>
      <c r="K752" s="12" t="b">
        <v>0</v>
      </c>
      <c r="L752" s="12">
        <v>623.15</v>
      </c>
      <c r="M752" s="12">
        <v>288.14999999999998</v>
      </c>
      <c r="N752" s="12">
        <v>3000</v>
      </c>
      <c r="O752" s="12">
        <v>150</v>
      </c>
      <c r="P752" s="12">
        <v>0.5</v>
      </c>
      <c r="Q752" s="12">
        <v>0.85</v>
      </c>
      <c r="R752" s="12">
        <v>0.75</v>
      </c>
      <c r="S752" s="12">
        <v>0.85</v>
      </c>
      <c r="T752" s="12">
        <v>0.75</v>
      </c>
      <c r="U752" s="12">
        <v>0.8</v>
      </c>
      <c r="V752" s="12">
        <v>288.14999999999998</v>
      </c>
      <c r="W752" s="12"/>
      <c r="X752" s="12"/>
      <c r="Y752" s="12">
        <v>2850</v>
      </c>
      <c r="Z752" s="12">
        <v>20</v>
      </c>
      <c r="AA752" s="12"/>
      <c r="AB752" s="12"/>
    </row>
    <row r="753" spans="1:28" x14ac:dyDescent="0.3">
      <c r="A753" s="12" t="s">
        <v>2655</v>
      </c>
      <c r="B753" s="12" t="s">
        <v>120</v>
      </c>
      <c r="C753" s="12" t="s">
        <v>399</v>
      </c>
      <c r="D753" s="12" t="s">
        <v>2632</v>
      </c>
      <c r="E753" s="12" t="s">
        <v>1886</v>
      </c>
      <c r="F753" s="12" t="s">
        <v>832</v>
      </c>
      <c r="G753" s="12" t="s">
        <v>832</v>
      </c>
      <c r="H753" s="12" t="b">
        <v>0</v>
      </c>
      <c r="I753" s="12" t="b">
        <v>0</v>
      </c>
      <c r="J753" s="12" t="b">
        <v>0</v>
      </c>
      <c r="K753" s="12" t="b">
        <v>0</v>
      </c>
      <c r="L753" s="12">
        <v>623.15</v>
      </c>
      <c r="M753" s="12">
        <v>288.14999999999998</v>
      </c>
      <c r="N753" s="12">
        <v>3000</v>
      </c>
      <c r="O753" s="12">
        <v>450</v>
      </c>
      <c r="P753" s="12">
        <v>0.5</v>
      </c>
      <c r="Q753" s="12">
        <v>0.85</v>
      </c>
      <c r="R753" s="12">
        <v>0.75</v>
      </c>
      <c r="S753" s="12">
        <v>0.85</v>
      </c>
      <c r="T753" s="12">
        <v>0.75</v>
      </c>
      <c r="U753" s="12">
        <v>0.8</v>
      </c>
      <c r="V753" s="12">
        <v>288.14999999999998</v>
      </c>
      <c r="W753" s="12"/>
      <c r="X753" s="12"/>
      <c r="Y753" s="12">
        <v>2550</v>
      </c>
      <c r="Z753" s="12">
        <v>6.666666666666667</v>
      </c>
      <c r="AA753" s="12"/>
      <c r="AB753" s="12"/>
    </row>
    <row r="754" spans="1:28" x14ac:dyDescent="0.3">
      <c r="A754" s="12" t="s">
        <v>2656</v>
      </c>
      <c r="B754" s="12" t="s">
        <v>120</v>
      </c>
      <c r="C754" s="12" t="s">
        <v>399</v>
      </c>
      <c r="D754" s="12" t="s">
        <v>2632</v>
      </c>
      <c r="E754" s="12" t="s">
        <v>1886</v>
      </c>
      <c r="F754" s="12" t="s">
        <v>832</v>
      </c>
      <c r="G754" s="12" t="s">
        <v>832</v>
      </c>
      <c r="H754" s="12" t="b">
        <v>0</v>
      </c>
      <c r="I754" s="12" t="b">
        <v>0</v>
      </c>
      <c r="J754" s="12" t="b">
        <v>0</v>
      </c>
      <c r="K754" s="12" t="b">
        <v>0</v>
      </c>
      <c r="L754" s="12">
        <v>623.15</v>
      </c>
      <c r="M754" s="12">
        <v>288.14999999999998</v>
      </c>
      <c r="N754" s="12">
        <v>3000</v>
      </c>
      <c r="O754" s="12">
        <v>600</v>
      </c>
      <c r="P754" s="12">
        <v>0.5</v>
      </c>
      <c r="Q754" s="12">
        <v>0.85</v>
      </c>
      <c r="R754" s="12">
        <v>0.75</v>
      </c>
      <c r="S754" s="12">
        <v>0.85</v>
      </c>
      <c r="T754" s="12">
        <v>0.75</v>
      </c>
      <c r="U754" s="12">
        <v>0.8</v>
      </c>
      <c r="V754" s="12">
        <v>288.14999999999998</v>
      </c>
      <c r="W754" s="12"/>
      <c r="X754" s="12"/>
      <c r="Y754" s="12">
        <v>2400</v>
      </c>
      <c r="Z754" s="12">
        <v>5</v>
      </c>
      <c r="AA754" s="12"/>
      <c r="AB754" s="12"/>
    </row>
    <row r="755" spans="1:28" x14ac:dyDescent="0.3">
      <c r="A755" s="12" t="s">
        <v>2657</v>
      </c>
      <c r="B755" s="12" t="s">
        <v>120</v>
      </c>
      <c r="C755" s="12" t="s">
        <v>399</v>
      </c>
      <c r="D755" s="12" t="s">
        <v>2632</v>
      </c>
      <c r="E755" s="12" t="s">
        <v>1886</v>
      </c>
      <c r="F755" s="12" t="s">
        <v>832</v>
      </c>
      <c r="G755" s="12" t="s">
        <v>832</v>
      </c>
      <c r="H755" s="12" t="b">
        <v>0</v>
      </c>
      <c r="I755" s="12" t="b">
        <v>0</v>
      </c>
      <c r="J755" s="12" t="b">
        <v>0</v>
      </c>
      <c r="K755" s="12" t="b">
        <v>0</v>
      </c>
      <c r="L755" s="12">
        <v>623.15</v>
      </c>
      <c r="M755" s="12">
        <v>288.14999999999998</v>
      </c>
      <c r="N755" s="12">
        <v>3000</v>
      </c>
      <c r="O755" s="12">
        <v>750</v>
      </c>
      <c r="P755" s="12">
        <v>0.5</v>
      </c>
      <c r="Q755" s="12">
        <v>0.85</v>
      </c>
      <c r="R755" s="12">
        <v>0.75</v>
      </c>
      <c r="S755" s="12">
        <v>0.85</v>
      </c>
      <c r="T755" s="12">
        <v>0.75</v>
      </c>
      <c r="U755" s="12">
        <v>0.8</v>
      </c>
      <c r="V755" s="12">
        <v>288.14999999999998</v>
      </c>
      <c r="W755" s="12"/>
      <c r="X755" s="12"/>
      <c r="Y755" s="12">
        <v>2250</v>
      </c>
      <c r="Z755" s="12">
        <v>4</v>
      </c>
      <c r="AA755" s="12"/>
      <c r="AB755" s="12"/>
    </row>
    <row r="756" spans="1:28" x14ac:dyDescent="0.3">
      <c r="A756" s="12" t="s">
        <v>2658</v>
      </c>
      <c r="B756" s="12" t="s">
        <v>120</v>
      </c>
      <c r="C756" s="12" t="s">
        <v>399</v>
      </c>
      <c r="D756" s="12" t="s">
        <v>2632</v>
      </c>
      <c r="E756" s="12" t="s">
        <v>1886</v>
      </c>
      <c r="F756" s="12" t="s">
        <v>832</v>
      </c>
      <c r="G756" s="12" t="s">
        <v>832</v>
      </c>
      <c r="H756" s="12" t="b">
        <v>0</v>
      </c>
      <c r="I756" s="12" t="b">
        <v>0</v>
      </c>
      <c r="J756" s="12" t="b">
        <v>0</v>
      </c>
      <c r="K756" s="12" t="b">
        <v>0</v>
      </c>
      <c r="L756" s="12">
        <v>623.15</v>
      </c>
      <c r="M756" s="12">
        <v>288.14999999999998</v>
      </c>
      <c r="N756" s="12">
        <v>3000</v>
      </c>
      <c r="O756" s="12">
        <v>1050</v>
      </c>
      <c r="P756" s="12">
        <v>0.5</v>
      </c>
      <c r="Q756" s="12">
        <v>0.85</v>
      </c>
      <c r="R756" s="12">
        <v>0.75</v>
      </c>
      <c r="S756" s="12">
        <v>0.85</v>
      </c>
      <c r="T756" s="12">
        <v>0.75</v>
      </c>
      <c r="U756" s="12">
        <v>0.8</v>
      </c>
      <c r="V756" s="12">
        <v>288.14999999999998</v>
      </c>
      <c r="W756" s="12"/>
      <c r="X756" s="12"/>
      <c r="Y756" s="12">
        <v>1950</v>
      </c>
      <c r="Z756" s="12">
        <v>2.8571428571428572</v>
      </c>
      <c r="AA756" s="12"/>
      <c r="AB756" s="12"/>
    </row>
    <row r="757" spans="1:28" x14ac:dyDescent="0.3">
      <c r="A757" s="12" t="s">
        <v>2659</v>
      </c>
      <c r="B757" s="12" t="s">
        <v>120</v>
      </c>
      <c r="C757" s="12" t="s">
        <v>399</v>
      </c>
      <c r="D757" s="12" t="s">
        <v>2632</v>
      </c>
      <c r="E757" s="12" t="s">
        <v>1886</v>
      </c>
      <c r="F757" s="12" t="s">
        <v>832</v>
      </c>
      <c r="G757" s="12" t="s">
        <v>832</v>
      </c>
      <c r="H757" s="12" t="b">
        <v>0</v>
      </c>
      <c r="I757" s="12" t="b">
        <v>0</v>
      </c>
      <c r="J757" s="12" t="b">
        <v>0</v>
      </c>
      <c r="K757" s="12" t="b">
        <v>0</v>
      </c>
      <c r="L757" s="12">
        <v>623.15</v>
      </c>
      <c r="M757" s="12">
        <v>288.14999999999998</v>
      </c>
      <c r="N757" s="12">
        <v>3000</v>
      </c>
      <c r="O757" s="12">
        <v>900</v>
      </c>
      <c r="P757" s="12">
        <v>0.5</v>
      </c>
      <c r="Q757" s="12">
        <v>0.85</v>
      </c>
      <c r="R757" s="12">
        <v>0.75</v>
      </c>
      <c r="S757" s="12">
        <v>0.85</v>
      </c>
      <c r="T757" s="12">
        <v>0.75</v>
      </c>
      <c r="U757" s="12">
        <v>0.8</v>
      </c>
      <c r="V757" s="12">
        <v>288.14999999999998</v>
      </c>
      <c r="W757" s="12"/>
      <c r="X757" s="12"/>
      <c r="Y757" s="12">
        <v>2100</v>
      </c>
      <c r="Z757" s="12">
        <v>3.333333333333333</v>
      </c>
      <c r="AA757" s="12"/>
      <c r="AB757" s="12"/>
    </row>
    <row r="758" spans="1:28" x14ac:dyDescent="0.3">
      <c r="A758" s="12" t="s">
        <v>2660</v>
      </c>
      <c r="B758" s="12" t="s">
        <v>120</v>
      </c>
      <c r="C758" s="12" t="s">
        <v>399</v>
      </c>
      <c r="D758" s="12" t="s">
        <v>2632</v>
      </c>
      <c r="E758" s="12" t="s">
        <v>1886</v>
      </c>
      <c r="F758" s="12" t="s">
        <v>832</v>
      </c>
      <c r="G758" s="12" t="s">
        <v>832</v>
      </c>
      <c r="H758" s="12" t="b">
        <v>0</v>
      </c>
      <c r="I758" s="12" t="b">
        <v>0</v>
      </c>
      <c r="J758" s="12" t="b">
        <v>0</v>
      </c>
      <c r="K758" s="12" t="b">
        <v>0</v>
      </c>
      <c r="L758" s="12">
        <v>623.15</v>
      </c>
      <c r="M758" s="12">
        <v>288.14999999999998</v>
      </c>
      <c r="N758" s="12">
        <v>3000</v>
      </c>
      <c r="O758" s="12">
        <v>1200</v>
      </c>
      <c r="P758" s="12">
        <v>0.5</v>
      </c>
      <c r="Q758" s="12">
        <v>0.85</v>
      </c>
      <c r="R758" s="12">
        <v>0.75</v>
      </c>
      <c r="S758" s="12">
        <v>0.85</v>
      </c>
      <c r="T758" s="12">
        <v>0.75</v>
      </c>
      <c r="U758" s="12">
        <v>0.8</v>
      </c>
      <c r="V758" s="12">
        <v>288.14999999999998</v>
      </c>
      <c r="W758" s="12"/>
      <c r="X758" s="12"/>
      <c r="Y758" s="12">
        <v>1800</v>
      </c>
      <c r="Z758" s="12">
        <v>2.5</v>
      </c>
      <c r="AA758" s="12"/>
      <c r="AB758" s="12"/>
    </row>
    <row r="759" spans="1:28" x14ac:dyDescent="0.3">
      <c r="A759" s="12" t="s">
        <v>2661</v>
      </c>
      <c r="B759" s="12" t="s">
        <v>120</v>
      </c>
      <c r="C759" s="12" t="s">
        <v>399</v>
      </c>
      <c r="D759" s="12" t="s">
        <v>2632</v>
      </c>
      <c r="E759" s="12" t="s">
        <v>1886</v>
      </c>
      <c r="F759" s="12" t="s">
        <v>832</v>
      </c>
      <c r="G759" s="12" t="s">
        <v>832</v>
      </c>
      <c r="H759" s="12" t="b">
        <v>0</v>
      </c>
      <c r="I759" s="12" t="b">
        <v>0</v>
      </c>
      <c r="J759" s="12" t="b">
        <v>0</v>
      </c>
      <c r="K759" s="12" t="b">
        <v>0</v>
      </c>
      <c r="L759" s="12">
        <v>623.15</v>
      </c>
      <c r="M759" s="12">
        <v>288.14999999999998</v>
      </c>
      <c r="N759" s="12">
        <v>3000</v>
      </c>
      <c r="O759" s="12">
        <v>1350</v>
      </c>
      <c r="P759" s="12">
        <v>0.5</v>
      </c>
      <c r="Q759" s="12">
        <v>0.85</v>
      </c>
      <c r="R759" s="12">
        <v>0.75</v>
      </c>
      <c r="S759" s="12">
        <v>0.85</v>
      </c>
      <c r="T759" s="12">
        <v>0.75</v>
      </c>
      <c r="U759" s="12">
        <v>0.8</v>
      </c>
      <c r="V759" s="12">
        <v>288.14999999999998</v>
      </c>
      <c r="W759" s="12"/>
      <c r="X759" s="12"/>
      <c r="Y759" s="12">
        <v>1650</v>
      </c>
      <c r="Z759" s="12">
        <v>2.2222222222222219</v>
      </c>
      <c r="AA759" s="12"/>
      <c r="AB759" s="12"/>
    </row>
    <row r="760" spans="1:28" x14ac:dyDescent="0.3">
      <c r="A760" s="12" t="s">
        <v>2662</v>
      </c>
      <c r="B760" s="12" t="s">
        <v>120</v>
      </c>
      <c r="C760" s="12" t="s">
        <v>399</v>
      </c>
      <c r="D760" s="12" t="s">
        <v>2632</v>
      </c>
      <c r="E760" s="12" t="s">
        <v>1886</v>
      </c>
      <c r="F760" s="12" t="s">
        <v>832</v>
      </c>
      <c r="G760" s="12" t="s">
        <v>832</v>
      </c>
      <c r="H760" s="12" t="b">
        <v>0</v>
      </c>
      <c r="I760" s="12" t="b">
        <v>0</v>
      </c>
      <c r="J760" s="12" t="b">
        <v>0</v>
      </c>
      <c r="K760" s="12" t="b">
        <v>0</v>
      </c>
      <c r="L760" s="12">
        <v>623.15</v>
      </c>
      <c r="M760" s="12">
        <v>288.14999999999998</v>
      </c>
      <c r="N760" s="12">
        <v>3000</v>
      </c>
      <c r="O760" s="12">
        <v>1500</v>
      </c>
      <c r="P760" s="12">
        <v>0.5</v>
      </c>
      <c r="Q760" s="12">
        <v>0.85</v>
      </c>
      <c r="R760" s="12">
        <v>0.75</v>
      </c>
      <c r="S760" s="12">
        <v>0.85</v>
      </c>
      <c r="T760" s="12">
        <v>0.75</v>
      </c>
      <c r="U760" s="12">
        <v>0.8</v>
      </c>
      <c r="V760" s="12">
        <v>288.14999999999998</v>
      </c>
      <c r="W760" s="12"/>
      <c r="X760" s="12"/>
      <c r="Y760" s="12">
        <v>1500</v>
      </c>
      <c r="Z760" s="12">
        <v>2</v>
      </c>
      <c r="AA760" s="12"/>
      <c r="AB760" s="12"/>
    </row>
    <row r="761" spans="1:28" x14ac:dyDescent="0.3">
      <c r="A761" s="12" t="s">
        <v>2663</v>
      </c>
      <c r="B761" s="12" t="s">
        <v>120</v>
      </c>
      <c r="C761" s="12" t="s">
        <v>399</v>
      </c>
      <c r="D761" s="12" t="s">
        <v>2632</v>
      </c>
      <c r="E761" s="12" t="s">
        <v>1886</v>
      </c>
      <c r="F761" s="12" t="s">
        <v>832</v>
      </c>
      <c r="G761" s="12" t="s">
        <v>832</v>
      </c>
      <c r="H761" s="12" t="b">
        <v>0</v>
      </c>
      <c r="I761" s="12" t="b">
        <v>0</v>
      </c>
      <c r="J761" s="12" t="b">
        <v>0</v>
      </c>
      <c r="K761" s="12" t="b">
        <v>0</v>
      </c>
      <c r="L761" s="12">
        <v>623.15</v>
      </c>
      <c r="M761" s="12">
        <v>293.14999999999998</v>
      </c>
      <c r="N761" s="12">
        <v>3000</v>
      </c>
      <c r="O761" s="12">
        <v>300</v>
      </c>
      <c r="P761" s="12">
        <v>0.5</v>
      </c>
      <c r="Q761" s="12">
        <v>0.85</v>
      </c>
      <c r="R761" s="12">
        <v>0.75</v>
      </c>
      <c r="S761" s="12">
        <v>0.85</v>
      </c>
      <c r="T761" s="12">
        <v>0.75</v>
      </c>
      <c r="U761" s="12">
        <v>0.8</v>
      </c>
      <c r="V761" s="12">
        <v>293.14999999999998</v>
      </c>
      <c r="W761" s="12"/>
      <c r="X761" s="12"/>
      <c r="Y761" s="12">
        <v>2700</v>
      </c>
      <c r="Z761" s="12">
        <v>10</v>
      </c>
      <c r="AA761" s="12"/>
      <c r="AB761" s="12"/>
    </row>
    <row r="762" spans="1:28" x14ac:dyDescent="0.3">
      <c r="A762" s="12" t="s">
        <v>2664</v>
      </c>
      <c r="B762" s="12" t="s">
        <v>120</v>
      </c>
      <c r="C762" s="12" t="s">
        <v>399</v>
      </c>
      <c r="D762" s="12" t="s">
        <v>2632</v>
      </c>
      <c r="E762" s="12" t="s">
        <v>1886</v>
      </c>
      <c r="F762" s="12" t="s">
        <v>832</v>
      </c>
      <c r="G762" s="12" t="s">
        <v>832</v>
      </c>
      <c r="H762" s="12" t="b">
        <v>0</v>
      </c>
      <c r="I762" s="12" t="b">
        <v>0</v>
      </c>
      <c r="J762" s="12" t="b">
        <v>0</v>
      </c>
      <c r="K762" s="12" t="b">
        <v>0</v>
      </c>
      <c r="L762" s="12">
        <v>623.15</v>
      </c>
      <c r="M762" s="12">
        <v>293.14999999999998</v>
      </c>
      <c r="N762" s="12">
        <v>3000</v>
      </c>
      <c r="O762" s="12">
        <v>150</v>
      </c>
      <c r="P762" s="12">
        <v>0.5</v>
      </c>
      <c r="Q762" s="12">
        <v>0.85</v>
      </c>
      <c r="R762" s="12">
        <v>0.75</v>
      </c>
      <c r="S762" s="12">
        <v>0.85</v>
      </c>
      <c r="T762" s="12">
        <v>0.75</v>
      </c>
      <c r="U762" s="12">
        <v>0.8</v>
      </c>
      <c r="V762" s="12">
        <v>293.14999999999998</v>
      </c>
      <c r="W762" s="12"/>
      <c r="X762" s="12"/>
      <c r="Y762" s="12">
        <v>2850</v>
      </c>
      <c r="Z762" s="12">
        <v>20</v>
      </c>
      <c r="AA762" s="12"/>
      <c r="AB762" s="12"/>
    </row>
    <row r="763" spans="1:28" x14ac:dyDescent="0.3">
      <c r="A763" s="12" t="s">
        <v>2665</v>
      </c>
      <c r="B763" s="12" t="s">
        <v>120</v>
      </c>
      <c r="C763" s="12" t="s">
        <v>399</v>
      </c>
      <c r="D763" s="12" t="s">
        <v>2632</v>
      </c>
      <c r="E763" s="12" t="s">
        <v>1886</v>
      </c>
      <c r="F763" s="12" t="s">
        <v>832</v>
      </c>
      <c r="G763" s="12" t="s">
        <v>832</v>
      </c>
      <c r="H763" s="12" t="b">
        <v>0</v>
      </c>
      <c r="I763" s="12" t="b">
        <v>0</v>
      </c>
      <c r="J763" s="12" t="b">
        <v>0</v>
      </c>
      <c r="K763" s="12" t="b">
        <v>0</v>
      </c>
      <c r="L763" s="12">
        <v>623.15</v>
      </c>
      <c r="M763" s="12">
        <v>293.14999999999998</v>
      </c>
      <c r="N763" s="12">
        <v>3000</v>
      </c>
      <c r="O763" s="12">
        <v>450</v>
      </c>
      <c r="P763" s="12">
        <v>0.5</v>
      </c>
      <c r="Q763" s="12">
        <v>0.85</v>
      </c>
      <c r="R763" s="12">
        <v>0.75</v>
      </c>
      <c r="S763" s="12">
        <v>0.85</v>
      </c>
      <c r="T763" s="12">
        <v>0.75</v>
      </c>
      <c r="U763" s="12">
        <v>0.8</v>
      </c>
      <c r="V763" s="12">
        <v>293.14999999999998</v>
      </c>
      <c r="W763" s="12"/>
      <c r="X763" s="12"/>
      <c r="Y763" s="12">
        <v>2550</v>
      </c>
      <c r="Z763" s="12">
        <v>6.666666666666667</v>
      </c>
      <c r="AA763" s="12"/>
      <c r="AB763" s="12"/>
    </row>
    <row r="764" spans="1:28" x14ac:dyDescent="0.3">
      <c r="A764" s="12" t="s">
        <v>2666</v>
      </c>
      <c r="B764" s="12" t="s">
        <v>120</v>
      </c>
      <c r="C764" s="12" t="s">
        <v>399</v>
      </c>
      <c r="D764" s="12" t="s">
        <v>2632</v>
      </c>
      <c r="E764" s="12" t="s">
        <v>1886</v>
      </c>
      <c r="F764" s="12" t="s">
        <v>832</v>
      </c>
      <c r="G764" s="12" t="s">
        <v>832</v>
      </c>
      <c r="H764" s="12" t="b">
        <v>0</v>
      </c>
      <c r="I764" s="12" t="b">
        <v>0</v>
      </c>
      <c r="J764" s="12" t="b">
        <v>0</v>
      </c>
      <c r="K764" s="12" t="b">
        <v>0</v>
      </c>
      <c r="L764" s="12">
        <v>623.15</v>
      </c>
      <c r="M764" s="12">
        <v>293.14999999999998</v>
      </c>
      <c r="N764" s="12">
        <v>3000</v>
      </c>
      <c r="O764" s="12">
        <v>600</v>
      </c>
      <c r="P764" s="12">
        <v>0.5</v>
      </c>
      <c r="Q764" s="12">
        <v>0.85</v>
      </c>
      <c r="R764" s="12">
        <v>0.75</v>
      </c>
      <c r="S764" s="12">
        <v>0.85</v>
      </c>
      <c r="T764" s="12">
        <v>0.75</v>
      </c>
      <c r="U764" s="12">
        <v>0.8</v>
      </c>
      <c r="V764" s="12">
        <v>293.14999999999998</v>
      </c>
      <c r="W764" s="12"/>
      <c r="X764" s="12"/>
      <c r="Y764" s="12">
        <v>2400</v>
      </c>
      <c r="Z764" s="12">
        <v>5</v>
      </c>
      <c r="AA764" s="12"/>
      <c r="AB764" s="12"/>
    </row>
    <row r="765" spans="1:28" x14ac:dyDescent="0.3">
      <c r="A765" s="12" t="s">
        <v>2667</v>
      </c>
      <c r="B765" s="12" t="s">
        <v>120</v>
      </c>
      <c r="C765" s="12" t="s">
        <v>399</v>
      </c>
      <c r="D765" s="12" t="s">
        <v>2632</v>
      </c>
      <c r="E765" s="12" t="s">
        <v>1886</v>
      </c>
      <c r="F765" s="12" t="s">
        <v>832</v>
      </c>
      <c r="G765" s="12" t="s">
        <v>832</v>
      </c>
      <c r="H765" s="12" t="b">
        <v>0</v>
      </c>
      <c r="I765" s="12" t="b">
        <v>0</v>
      </c>
      <c r="J765" s="12" t="b">
        <v>0</v>
      </c>
      <c r="K765" s="12" t="b">
        <v>0</v>
      </c>
      <c r="L765" s="12">
        <v>623.15</v>
      </c>
      <c r="M765" s="12">
        <v>293.14999999999998</v>
      </c>
      <c r="N765" s="12">
        <v>3000</v>
      </c>
      <c r="O765" s="12">
        <v>1050</v>
      </c>
      <c r="P765" s="12">
        <v>0.5</v>
      </c>
      <c r="Q765" s="12">
        <v>0.85</v>
      </c>
      <c r="R765" s="12">
        <v>0.75</v>
      </c>
      <c r="S765" s="12">
        <v>0.85</v>
      </c>
      <c r="T765" s="12">
        <v>0.75</v>
      </c>
      <c r="U765" s="12">
        <v>0.8</v>
      </c>
      <c r="V765" s="12">
        <v>293.14999999999998</v>
      </c>
      <c r="W765" s="12"/>
      <c r="X765" s="12"/>
      <c r="Y765" s="12">
        <v>1950</v>
      </c>
      <c r="Z765" s="12">
        <v>2.8571428571428572</v>
      </c>
      <c r="AA765" s="12"/>
      <c r="AB765" s="12"/>
    </row>
    <row r="766" spans="1:28" x14ac:dyDescent="0.3">
      <c r="A766" s="12" t="s">
        <v>2668</v>
      </c>
      <c r="B766" s="12" t="s">
        <v>120</v>
      </c>
      <c r="C766" s="12" t="s">
        <v>399</v>
      </c>
      <c r="D766" s="12" t="s">
        <v>2632</v>
      </c>
      <c r="E766" s="12" t="s">
        <v>1886</v>
      </c>
      <c r="F766" s="12" t="s">
        <v>832</v>
      </c>
      <c r="G766" s="12" t="s">
        <v>832</v>
      </c>
      <c r="H766" s="12" t="b">
        <v>0</v>
      </c>
      <c r="I766" s="12" t="b">
        <v>0</v>
      </c>
      <c r="J766" s="12" t="b">
        <v>0</v>
      </c>
      <c r="K766" s="12" t="b">
        <v>0</v>
      </c>
      <c r="L766" s="12">
        <v>623.15</v>
      </c>
      <c r="M766" s="12">
        <v>293.14999999999998</v>
      </c>
      <c r="N766" s="12">
        <v>3000</v>
      </c>
      <c r="O766" s="12">
        <v>1200</v>
      </c>
      <c r="P766" s="12">
        <v>0.5</v>
      </c>
      <c r="Q766" s="12">
        <v>0.85</v>
      </c>
      <c r="R766" s="12">
        <v>0.75</v>
      </c>
      <c r="S766" s="12">
        <v>0.85</v>
      </c>
      <c r="T766" s="12">
        <v>0.75</v>
      </c>
      <c r="U766" s="12">
        <v>0.8</v>
      </c>
      <c r="V766" s="12">
        <v>293.14999999999998</v>
      </c>
      <c r="W766" s="12"/>
      <c r="X766" s="12"/>
      <c r="Y766" s="12">
        <v>1800</v>
      </c>
      <c r="Z766" s="12">
        <v>2.5</v>
      </c>
      <c r="AA766" s="12"/>
      <c r="AB766" s="12"/>
    </row>
    <row r="767" spans="1:28" x14ac:dyDescent="0.3">
      <c r="A767" s="12" t="s">
        <v>2669</v>
      </c>
      <c r="B767" s="12" t="s">
        <v>120</v>
      </c>
      <c r="C767" s="12" t="s">
        <v>399</v>
      </c>
      <c r="D767" s="12" t="s">
        <v>2632</v>
      </c>
      <c r="E767" s="12" t="s">
        <v>1886</v>
      </c>
      <c r="F767" s="12" t="s">
        <v>832</v>
      </c>
      <c r="G767" s="12" t="s">
        <v>832</v>
      </c>
      <c r="H767" s="12" t="b">
        <v>0</v>
      </c>
      <c r="I767" s="12" t="b">
        <v>0</v>
      </c>
      <c r="J767" s="12" t="b">
        <v>0</v>
      </c>
      <c r="K767" s="12" t="b">
        <v>0</v>
      </c>
      <c r="L767" s="12">
        <v>623.15</v>
      </c>
      <c r="M767" s="12">
        <v>293.14999999999998</v>
      </c>
      <c r="N767" s="12">
        <v>3000</v>
      </c>
      <c r="O767" s="12">
        <v>750</v>
      </c>
      <c r="P767" s="12">
        <v>0.5</v>
      </c>
      <c r="Q767" s="12">
        <v>0.85</v>
      </c>
      <c r="R767" s="12">
        <v>0.75</v>
      </c>
      <c r="S767" s="12">
        <v>0.85</v>
      </c>
      <c r="T767" s="12">
        <v>0.75</v>
      </c>
      <c r="U767" s="12">
        <v>0.8</v>
      </c>
      <c r="V767" s="12">
        <v>293.14999999999998</v>
      </c>
      <c r="W767" s="12"/>
      <c r="X767" s="12"/>
      <c r="Y767" s="12">
        <v>2250</v>
      </c>
      <c r="Z767" s="12">
        <v>4</v>
      </c>
      <c r="AA767" s="12"/>
      <c r="AB767" s="12"/>
    </row>
    <row r="768" spans="1:28" x14ac:dyDescent="0.3">
      <c r="A768" s="12" t="s">
        <v>2670</v>
      </c>
      <c r="B768" s="12" t="s">
        <v>120</v>
      </c>
      <c r="C768" s="12" t="s">
        <v>399</v>
      </c>
      <c r="D768" s="12" t="s">
        <v>2632</v>
      </c>
      <c r="E768" s="12" t="s">
        <v>1886</v>
      </c>
      <c r="F768" s="12" t="s">
        <v>832</v>
      </c>
      <c r="G768" s="12" t="s">
        <v>832</v>
      </c>
      <c r="H768" s="12" t="b">
        <v>0</v>
      </c>
      <c r="I768" s="12" t="b">
        <v>0</v>
      </c>
      <c r="J768" s="12" t="b">
        <v>0</v>
      </c>
      <c r="K768" s="12" t="b">
        <v>0</v>
      </c>
      <c r="L768" s="12">
        <v>623.15</v>
      </c>
      <c r="M768" s="12">
        <v>293.14999999999998</v>
      </c>
      <c r="N768" s="12">
        <v>3000</v>
      </c>
      <c r="O768" s="12">
        <v>900</v>
      </c>
      <c r="P768" s="12">
        <v>0.5</v>
      </c>
      <c r="Q768" s="12">
        <v>0.85</v>
      </c>
      <c r="R768" s="12">
        <v>0.75</v>
      </c>
      <c r="S768" s="12">
        <v>0.85</v>
      </c>
      <c r="T768" s="12">
        <v>0.75</v>
      </c>
      <c r="U768" s="12">
        <v>0.8</v>
      </c>
      <c r="V768" s="12">
        <v>293.14999999999998</v>
      </c>
      <c r="W768" s="12"/>
      <c r="X768" s="12"/>
      <c r="Y768" s="12">
        <v>2100</v>
      </c>
      <c r="Z768" s="12">
        <v>3.333333333333333</v>
      </c>
      <c r="AA768" s="12"/>
      <c r="AB768" s="12"/>
    </row>
    <row r="769" spans="1:28" x14ac:dyDescent="0.3">
      <c r="A769" s="12" t="s">
        <v>2671</v>
      </c>
      <c r="B769" s="12" t="s">
        <v>120</v>
      </c>
      <c r="C769" s="12" t="s">
        <v>399</v>
      </c>
      <c r="D769" s="12" t="s">
        <v>2632</v>
      </c>
      <c r="E769" s="12" t="s">
        <v>1886</v>
      </c>
      <c r="F769" s="12" t="s">
        <v>832</v>
      </c>
      <c r="G769" s="12" t="s">
        <v>832</v>
      </c>
      <c r="H769" s="12" t="b">
        <v>0</v>
      </c>
      <c r="I769" s="12" t="b">
        <v>0</v>
      </c>
      <c r="J769" s="12" t="b">
        <v>0</v>
      </c>
      <c r="K769" s="12" t="b">
        <v>0</v>
      </c>
      <c r="L769" s="12">
        <v>623.15</v>
      </c>
      <c r="M769" s="12">
        <v>293.14999999999998</v>
      </c>
      <c r="N769" s="12">
        <v>3000</v>
      </c>
      <c r="O769" s="12">
        <v>1350</v>
      </c>
      <c r="P769" s="12">
        <v>0.5</v>
      </c>
      <c r="Q769" s="12">
        <v>0.85</v>
      </c>
      <c r="R769" s="12">
        <v>0.75</v>
      </c>
      <c r="S769" s="12">
        <v>0.85</v>
      </c>
      <c r="T769" s="12">
        <v>0.75</v>
      </c>
      <c r="U769" s="12">
        <v>0.8</v>
      </c>
      <c r="V769" s="12">
        <v>293.14999999999998</v>
      </c>
      <c r="W769" s="12"/>
      <c r="X769" s="12"/>
      <c r="Y769" s="12">
        <v>1650</v>
      </c>
      <c r="Z769" s="12">
        <v>2.2222222222222219</v>
      </c>
      <c r="AA769" s="12"/>
      <c r="AB769" s="12"/>
    </row>
    <row r="770" spans="1:28" x14ac:dyDescent="0.3">
      <c r="A770" s="12" t="s">
        <v>2672</v>
      </c>
      <c r="B770" s="12" t="s">
        <v>120</v>
      </c>
      <c r="C770" s="12" t="s">
        <v>399</v>
      </c>
      <c r="D770" s="12" t="s">
        <v>2632</v>
      </c>
      <c r="E770" s="12" t="s">
        <v>1886</v>
      </c>
      <c r="F770" s="12" t="s">
        <v>832</v>
      </c>
      <c r="G770" s="12" t="s">
        <v>832</v>
      </c>
      <c r="H770" s="12" t="b">
        <v>0</v>
      </c>
      <c r="I770" s="12" t="b">
        <v>0</v>
      </c>
      <c r="J770" s="12" t="b">
        <v>0</v>
      </c>
      <c r="K770" s="12" t="b">
        <v>0</v>
      </c>
      <c r="L770" s="12">
        <v>623.15</v>
      </c>
      <c r="M770" s="12">
        <v>293.14999999999998</v>
      </c>
      <c r="N770" s="12">
        <v>3000</v>
      </c>
      <c r="O770" s="12">
        <v>1500</v>
      </c>
      <c r="P770" s="12">
        <v>0.5</v>
      </c>
      <c r="Q770" s="12">
        <v>0.85</v>
      </c>
      <c r="R770" s="12">
        <v>0.75</v>
      </c>
      <c r="S770" s="12">
        <v>0.85</v>
      </c>
      <c r="T770" s="12">
        <v>0.75</v>
      </c>
      <c r="U770" s="12">
        <v>0.8</v>
      </c>
      <c r="V770" s="12">
        <v>293.14999999999998</v>
      </c>
      <c r="W770" s="12"/>
      <c r="X770" s="12"/>
      <c r="Y770" s="12">
        <v>1500</v>
      </c>
      <c r="Z770" s="12">
        <v>2</v>
      </c>
      <c r="AA770" s="12"/>
      <c r="AB770" s="12"/>
    </row>
    <row r="771" spans="1:28" x14ac:dyDescent="0.3">
      <c r="A771" s="12" t="s">
        <v>2673</v>
      </c>
      <c r="B771" s="12" t="s">
        <v>120</v>
      </c>
      <c r="C771" s="12" t="s">
        <v>399</v>
      </c>
      <c r="D771" s="12" t="s">
        <v>2632</v>
      </c>
      <c r="E771" s="12" t="s">
        <v>1886</v>
      </c>
      <c r="F771" s="12" t="s">
        <v>832</v>
      </c>
      <c r="G771" s="12" t="s">
        <v>832</v>
      </c>
      <c r="H771" s="12" t="b">
        <v>0</v>
      </c>
      <c r="I771" s="12" t="b">
        <v>0</v>
      </c>
      <c r="J771" s="12" t="b">
        <v>0</v>
      </c>
      <c r="K771" s="12" t="b">
        <v>0</v>
      </c>
      <c r="L771" s="12">
        <v>623.15</v>
      </c>
      <c r="M771" s="12">
        <v>300.032917</v>
      </c>
      <c r="N771" s="12">
        <v>3000</v>
      </c>
      <c r="O771" s="12">
        <v>450</v>
      </c>
      <c r="P771" s="12">
        <v>0.5</v>
      </c>
      <c r="Q771" s="12">
        <v>0.85</v>
      </c>
      <c r="R771" s="12">
        <v>0.75</v>
      </c>
      <c r="S771" s="12">
        <v>0.85</v>
      </c>
      <c r="T771" s="12">
        <v>0.75</v>
      </c>
      <c r="U771" s="12">
        <v>0.8</v>
      </c>
      <c r="V771" s="12">
        <v>300.032917</v>
      </c>
      <c r="W771" s="12"/>
      <c r="X771" s="12"/>
      <c r="Y771" s="12">
        <v>2550</v>
      </c>
      <c r="Z771" s="12">
        <v>6.666666666666667</v>
      </c>
      <c r="AA771" s="12"/>
      <c r="AB771" s="12"/>
    </row>
    <row r="772" spans="1:28" x14ac:dyDescent="0.3">
      <c r="A772" s="12" t="s">
        <v>2674</v>
      </c>
      <c r="B772" s="12" t="s">
        <v>120</v>
      </c>
      <c r="C772" s="12" t="s">
        <v>399</v>
      </c>
      <c r="D772" s="12" t="s">
        <v>2632</v>
      </c>
      <c r="E772" s="12" t="s">
        <v>1886</v>
      </c>
      <c r="F772" s="12" t="s">
        <v>832</v>
      </c>
      <c r="G772" s="12" t="s">
        <v>832</v>
      </c>
      <c r="H772" s="12" t="b">
        <v>0</v>
      </c>
      <c r="I772" s="12" t="b">
        <v>0</v>
      </c>
      <c r="J772" s="12" t="b">
        <v>0</v>
      </c>
      <c r="K772" s="12" t="b">
        <v>0</v>
      </c>
      <c r="L772" s="12">
        <v>623.15</v>
      </c>
      <c r="M772" s="12">
        <v>300.032917</v>
      </c>
      <c r="N772" s="12">
        <v>3000</v>
      </c>
      <c r="O772" s="12">
        <v>300</v>
      </c>
      <c r="P772" s="12">
        <v>0.5</v>
      </c>
      <c r="Q772" s="12">
        <v>0.85</v>
      </c>
      <c r="R772" s="12">
        <v>0.75</v>
      </c>
      <c r="S772" s="12">
        <v>0.85</v>
      </c>
      <c r="T772" s="12">
        <v>0.75</v>
      </c>
      <c r="U772" s="12">
        <v>0.8</v>
      </c>
      <c r="V772" s="12">
        <v>300.032917</v>
      </c>
      <c r="W772" s="12"/>
      <c r="X772" s="12"/>
      <c r="Y772" s="12">
        <v>2700</v>
      </c>
      <c r="Z772" s="12">
        <v>10</v>
      </c>
      <c r="AA772" s="12"/>
      <c r="AB772" s="12"/>
    </row>
    <row r="773" spans="1:28" x14ac:dyDescent="0.3">
      <c r="A773" s="12" t="s">
        <v>2675</v>
      </c>
      <c r="B773" s="12" t="s">
        <v>120</v>
      </c>
      <c r="C773" s="12" t="s">
        <v>399</v>
      </c>
      <c r="D773" s="12" t="s">
        <v>2632</v>
      </c>
      <c r="E773" s="12" t="s">
        <v>1886</v>
      </c>
      <c r="F773" s="12" t="s">
        <v>832</v>
      </c>
      <c r="G773" s="12" t="s">
        <v>832</v>
      </c>
      <c r="H773" s="12" t="b">
        <v>0</v>
      </c>
      <c r="I773" s="12" t="b">
        <v>0</v>
      </c>
      <c r="J773" s="12" t="b">
        <v>0</v>
      </c>
      <c r="K773" s="12" t="b">
        <v>0</v>
      </c>
      <c r="L773" s="12">
        <v>623.15</v>
      </c>
      <c r="M773" s="12">
        <v>300.032917</v>
      </c>
      <c r="N773" s="12">
        <v>3000</v>
      </c>
      <c r="O773" s="12">
        <v>150</v>
      </c>
      <c r="P773" s="12">
        <v>0.5</v>
      </c>
      <c r="Q773" s="12">
        <v>0.85</v>
      </c>
      <c r="R773" s="12">
        <v>0.75</v>
      </c>
      <c r="S773" s="12">
        <v>0.85</v>
      </c>
      <c r="T773" s="12">
        <v>0.75</v>
      </c>
      <c r="U773" s="12">
        <v>0.8</v>
      </c>
      <c r="V773" s="12">
        <v>300.032917</v>
      </c>
      <c r="W773" s="12"/>
      <c r="X773" s="12"/>
      <c r="Y773" s="12">
        <v>2850</v>
      </c>
      <c r="Z773" s="12">
        <v>20</v>
      </c>
      <c r="AA773" s="12"/>
      <c r="AB773" s="12"/>
    </row>
    <row r="774" spans="1:28" x14ac:dyDescent="0.3">
      <c r="A774" s="12" t="s">
        <v>2676</v>
      </c>
      <c r="B774" s="12" t="s">
        <v>120</v>
      </c>
      <c r="C774" s="12" t="s">
        <v>399</v>
      </c>
      <c r="D774" s="12" t="s">
        <v>2632</v>
      </c>
      <c r="E774" s="12" t="s">
        <v>1886</v>
      </c>
      <c r="F774" s="12" t="s">
        <v>832</v>
      </c>
      <c r="G774" s="12" t="s">
        <v>832</v>
      </c>
      <c r="H774" s="12" t="b">
        <v>0</v>
      </c>
      <c r="I774" s="12" t="b">
        <v>0</v>
      </c>
      <c r="J774" s="12" t="b">
        <v>0</v>
      </c>
      <c r="K774" s="12" t="b">
        <v>0</v>
      </c>
      <c r="L774" s="12">
        <v>623.15</v>
      </c>
      <c r="M774" s="12">
        <v>300.032917</v>
      </c>
      <c r="N774" s="12">
        <v>3000</v>
      </c>
      <c r="O774" s="12">
        <v>600</v>
      </c>
      <c r="P774" s="12">
        <v>0.5</v>
      </c>
      <c r="Q774" s="12">
        <v>0.85</v>
      </c>
      <c r="R774" s="12">
        <v>0.75</v>
      </c>
      <c r="S774" s="12">
        <v>0.85</v>
      </c>
      <c r="T774" s="12">
        <v>0.75</v>
      </c>
      <c r="U774" s="12">
        <v>0.8</v>
      </c>
      <c r="V774" s="12">
        <v>300.032917</v>
      </c>
      <c r="W774" s="12"/>
      <c r="X774" s="12"/>
      <c r="Y774" s="12">
        <v>2400</v>
      </c>
      <c r="Z774" s="12">
        <v>5</v>
      </c>
      <c r="AA774" s="12"/>
      <c r="AB774" s="12"/>
    </row>
    <row r="775" spans="1:28" x14ac:dyDescent="0.3">
      <c r="A775" s="12" t="s">
        <v>2677</v>
      </c>
      <c r="B775" s="12" t="s">
        <v>120</v>
      </c>
      <c r="C775" s="12" t="s">
        <v>399</v>
      </c>
      <c r="D775" s="12" t="s">
        <v>2632</v>
      </c>
      <c r="E775" s="12" t="s">
        <v>1886</v>
      </c>
      <c r="F775" s="12" t="s">
        <v>832</v>
      </c>
      <c r="G775" s="12" t="s">
        <v>832</v>
      </c>
      <c r="H775" s="12" t="b">
        <v>0</v>
      </c>
      <c r="I775" s="12" t="b">
        <v>0</v>
      </c>
      <c r="J775" s="12" t="b">
        <v>0</v>
      </c>
      <c r="K775" s="12" t="b">
        <v>0</v>
      </c>
      <c r="L775" s="12">
        <v>623.15</v>
      </c>
      <c r="M775" s="12">
        <v>300.032917</v>
      </c>
      <c r="N775" s="12">
        <v>3000</v>
      </c>
      <c r="O775" s="12">
        <v>1050</v>
      </c>
      <c r="P775" s="12">
        <v>0.5</v>
      </c>
      <c r="Q775" s="12">
        <v>0.85</v>
      </c>
      <c r="R775" s="12">
        <v>0.75</v>
      </c>
      <c r="S775" s="12">
        <v>0.85</v>
      </c>
      <c r="T775" s="12">
        <v>0.75</v>
      </c>
      <c r="U775" s="12">
        <v>0.8</v>
      </c>
      <c r="V775" s="12">
        <v>300.032917</v>
      </c>
      <c r="W775" s="12"/>
      <c r="X775" s="12"/>
      <c r="Y775" s="12">
        <v>1950</v>
      </c>
      <c r="Z775" s="12">
        <v>2.8571428571428572</v>
      </c>
      <c r="AA775" s="12"/>
      <c r="AB775" s="12"/>
    </row>
    <row r="776" spans="1:28" x14ac:dyDescent="0.3">
      <c r="A776" s="12" t="s">
        <v>2678</v>
      </c>
      <c r="B776" s="12" t="s">
        <v>120</v>
      </c>
      <c r="C776" s="12" t="s">
        <v>399</v>
      </c>
      <c r="D776" s="12" t="s">
        <v>2632</v>
      </c>
      <c r="E776" s="12" t="s">
        <v>1886</v>
      </c>
      <c r="F776" s="12" t="s">
        <v>832</v>
      </c>
      <c r="G776" s="12" t="s">
        <v>832</v>
      </c>
      <c r="H776" s="12" t="b">
        <v>0</v>
      </c>
      <c r="I776" s="12" t="b">
        <v>0</v>
      </c>
      <c r="J776" s="12" t="b">
        <v>0</v>
      </c>
      <c r="K776" s="12" t="b">
        <v>0</v>
      </c>
      <c r="L776" s="12">
        <v>623.15</v>
      </c>
      <c r="M776" s="12">
        <v>300.032917</v>
      </c>
      <c r="N776" s="12">
        <v>3000</v>
      </c>
      <c r="O776" s="12">
        <v>1200</v>
      </c>
      <c r="P776" s="12">
        <v>0.5</v>
      </c>
      <c r="Q776" s="12">
        <v>0.85</v>
      </c>
      <c r="R776" s="12">
        <v>0.75</v>
      </c>
      <c r="S776" s="12">
        <v>0.85</v>
      </c>
      <c r="T776" s="12">
        <v>0.75</v>
      </c>
      <c r="U776" s="12">
        <v>0.8</v>
      </c>
      <c r="V776" s="12">
        <v>300.032917</v>
      </c>
      <c r="W776" s="12"/>
      <c r="X776" s="12"/>
      <c r="Y776" s="12">
        <v>1800</v>
      </c>
      <c r="Z776" s="12">
        <v>2.5</v>
      </c>
      <c r="AA776" s="12"/>
      <c r="AB776" s="12"/>
    </row>
    <row r="777" spans="1:28" x14ac:dyDescent="0.3">
      <c r="A777" s="12" t="s">
        <v>2679</v>
      </c>
      <c r="B777" s="12" t="s">
        <v>120</v>
      </c>
      <c r="C777" s="12" t="s">
        <v>399</v>
      </c>
      <c r="D777" s="12" t="s">
        <v>2632</v>
      </c>
      <c r="E777" s="12" t="s">
        <v>1886</v>
      </c>
      <c r="F777" s="12" t="s">
        <v>832</v>
      </c>
      <c r="G777" s="12" t="s">
        <v>832</v>
      </c>
      <c r="H777" s="12" t="b">
        <v>0</v>
      </c>
      <c r="I777" s="12" t="b">
        <v>0</v>
      </c>
      <c r="J777" s="12" t="b">
        <v>0</v>
      </c>
      <c r="K777" s="12" t="b">
        <v>0</v>
      </c>
      <c r="L777" s="12">
        <v>623.15</v>
      </c>
      <c r="M777" s="12">
        <v>300.032917</v>
      </c>
      <c r="N777" s="12">
        <v>3000</v>
      </c>
      <c r="O777" s="12">
        <v>900</v>
      </c>
      <c r="P777" s="12">
        <v>0.5</v>
      </c>
      <c r="Q777" s="12">
        <v>0.85</v>
      </c>
      <c r="R777" s="12">
        <v>0.75</v>
      </c>
      <c r="S777" s="12">
        <v>0.85</v>
      </c>
      <c r="T777" s="12">
        <v>0.75</v>
      </c>
      <c r="U777" s="12">
        <v>0.8</v>
      </c>
      <c r="V777" s="12">
        <v>300.032917</v>
      </c>
      <c r="W777" s="12"/>
      <c r="X777" s="12"/>
      <c r="Y777" s="12">
        <v>2100</v>
      </c>
      <c r="Z777" s="12">
        <v>3.333333333333333</v>
      </c>
      <c r="AA777" s="12"/>
      <c r="AB777" s="12"/>
    </row>
    <row r="778" spans="1:28" x14ac:dyDescent="0.3">
      <c r="A778" s="12" t="s">
        <v>2680</v>
      </c>
      <c r="B778" s="12" t="s">
        <v>120</v>
      </c>
      <c r="C778" s="12" t="s">
        <v>399</v>
      </c>
      <c r="D778" s="12" t="s">
        <v>2632</v>
      </c>
      <c r="E778" s="12" t="s">
        <v>1886</v>
      </c>
      <c r="F778" s="12" t="s">
        <v>832</v>
      </c>
      <c r="G778" s="12" t="s">
        <v>832</v>
      </c>
      <c r="H778" s="12" t="b">
        <v>0</v>
      </c>
      <c r="I778" s="12" t="b">
        <v>0</v>
      </c>
      <c r="J778" s="12" t="b">
        <v>0</v>
      </c>
      <c r="K778" s="12" t="b">
        <v>0</v>
      </c>
      <c r="L778" s="12">
        <v>623.15</v>
      </c>
      <c r="M778" s="12">
        <v>300.032917</v>
      </c>
      <c r="N778" s="12">
        <v>3000</v>
      </c>
      <c r="O778" s="12">
        <v>750</v>
      </c>
      <c r="P778" s="12">
        <v>0.5</v>
      </c>
      <c r="Q778" s="12">
        <v>0.85</v>
      </c>
      <c r="R778" s="12">
        <v>0.75</v>
      </c>
      <c r="S778" s="12">
        <v>0.85</v>
      </c>
      <c r="T778" s="12">
        <v>0.75</v>
      </c>
      <c r="U778" s="12">
        <v>0.8</v>
      </c>
      <c r="V778" s="12">
        <v>300.032917</v>
      </c>
      <c r="W778" s="12"/>
      <c r="X778" s="12"/>
      <c r="Y778" s="12">
        <v>2250</v>
      </c>
      <c r="Z778" s="12">
        <v>4</v>
      </c>
      <c r="AA778" s="12"/>
      <c r="AB778" s="12"/>
    </row>
    <row r="779" spans="1:28" x14ac:dyDescent="0.3">
      <c r="A779" s="12" t="s">
        <v>2681</v>
      </c>
      <c r="B779" s="12" t="s">
        <v>120</v>
      </c>
      <c r="C779" s="12" t="s">
        <v>399</v>
      </c>
      <c r="D779" s="12" t="s">
        <v>2632</v>
      </c>
      <c r="E779" s="12" t="s">
        <v>1886</v>
      </c>
      <c r="F779" s="12" t="s">
        <v>832</v>
      </c>
      <c r="G779" s="12" t="s">
        <v>832</v>
      </c>
      <c r="H779" s="12" t="b">
        <v>0</v>
      </c>
      <c r="I779" s="12" t="b">
        <v>0</v>
      </c>
      <c r="J779" s="12" t="b">
        <v>0</v>
      </c>
      <c r="K779" s="12" t="b">
        <v>0</v>
      </c>
      <c r="L779" s="12">
        <v>623.15</v>
      </c>
      <c r="M779" s="12">
        <v>300.032917</v>
      </c>
      <c r="N779" s="12">
        <v>3000</v>
      </c>
      <c r="O779" s="12">
        <v>1350</v>
      </c>
      <c r="P779" s="12">
        <v>0.5</v>
      </c>
      <c r="Q779" s="12">
        <v>0.85</v>
      </c>
      <c r="R779" s="12">
        <v>0.75</v>
      </c>
      <c r="S779" s="12">
        <v>0.85</v>
      </c>
      <c r="T779" s="12">
        <v>0.75</v>
      </c>
      <c r="U779" s="12">
        <v>0.8</v>
      </c>
      <c r="V779" s="12">
        <v>300.032917</v>
      </c>
      <c r="W779" s="12"/>
      <c r="X779" s="12"/>
      <c r="Y779" s="12">
        <v>1650</v>
      </c>
      <c r="Z779" s="12">
        <v>2.2222222222222219</v>
      </c>
      <c r="AA779" s="12"/>
      <c r="AB779" s="12"/>
    </row>
    <row r="780" spans="1:28" x14ac:dyDescent="0.3">
      <c r="A780" s="12" t="s">
        <v>2682</v>
      </c>
      <c r="B780" s="12" t="s">
        <v>120</v>
      </c>
      <c r="C780" s="12" t="s">
        <v>399</v>
      </c>
      <c r="D780" s="12" t="s">
        <v>2632</v>
      </c>
      <c r="E780" s="12" t="s">
        <v>1886</v>
      </c>
      <c r="F780" s="12" t="s">
        <v>832</v>
      </c>
      <c r="G780" s="12" t="s">
        <v>832</v>
      </c>
      <c r="H780" s="12" t="b">
        <v>0</v>
      </c>
      <c r="I780" s="12" t="b">
        <v>0</v>
      </c>
      <c r="J780" s="12" t="b">
        <v>0</v>
      </c>
      <c r="K780" s="12" t="b">
        <v>0</v>
      </c>
      <c r="L780" s="12">
        <v>623.15</v>
      </c>
      <c r="M780" s="12">
        <v>300.032917</v>
      </c>
      <c r="N780" s="12">
        <v>3000</v>
      </c>
      <c r="O780" s="12">
        <v>1500</v>
      </c>
      <c r="P780" s="12">
        <v>0.5</v>
      </c>
      <c r="Q780" s="12">
        <v>0.85</v>
      </c>
      <c r="R780" s="12">
        <v>0.75</v>
      </c>
      <c r="S780" s="12">
        <v>0.85</v>
      </c>
      <c r="T780" s="12">
        <v>0.75</v>
      </c>
      <c r="U780" s="12">
        <v>0.8</v>
      </c>
      <c r="V780" s="12">
        <v>300.032917</v>
      </c>
      <c r="W780" s="12"/>
      <c r="X780" s="12"/>
      <c r="Y780" s="12">
        <v>1500</v>
      </c>
      <c r="Z780" s="12">
        <v>2</v>
      </c>
      <c r="AA780" s="12"/>
      <c r="AB780" s="12"/>
    </row>
    <row r="781" spans="1:28" x14ac:dyDescent="0.3">
      <c r="A781" s="12" t="s">
        <v>2683</v>
      </c>
      <c r="B781" s="12" t="s">
        <v>120</v>
      </c>
      <c r="C781" s="12" t="s">
        <v>392</v>
      </c>
      <c r="D781" s="12" t="s">
        <v>2478</v>
      </c>
      <c r="E781" s="12" t="s">
        <v>2033</v>
      </c>
      <c r="F781" s="12" t="s">
        <v>1861</v>
      </c>
      <c r="G781" s="12" t="s">
        <v>1861</v>
      </c>
      <c r="H781" s="12" t="b">
        <v>1</v>
      </c>
      <c r="I781" s="12" t="b">
        <v>0</v>
      </c>
      <c r="J781" s="12" t="b">
        <v>0</v>
      </c>
      <c r="K781" s="12" t="b">
        <v>0</v>
      </c>
      <c r="L781" s="12">
        <v>403</v>
      </c>
      <c r="M781" s="12">
        <v>288.14999999999998</v>
      </c>
      <c r="N781" s="12">
        <v>3000</v>
      </c>
      <c r="O781" s="12">
        <v>375</v>
      </c>
      <c r="P781" s="12">
        <v>0.5</v>
      </c>
      <c r="Q781" s="12">
        <v>0.85</v>
      </c>
      <c r="R781" s="12">
        <v>0.75</v>
      </c>
      <c r="S781" s="12">
        <v>0.85</v>
      </c>
      <c r="T781" s="12">
        <v>0.75</v>
      </c>
      <c r="U781" s="12">
        <v>0.8</v>
      </c>
      <c r="V781" s="12">
        <v>288.14999999999998</v>
      </c>
      <c r="W781" s="12">
        <v>9.8198071239982792</v>
      </c>
      <c r="X781" s="12">
        <v>31.616114677956318</v>
      </c>
      <c r="Y781" s="12">
        <v>2625</v>
      </c>
      <c r="Z781" s="12">
        <v>8</v>
      </c>
      <c r="AA781" s="12" t="s">
        <v>1268</v>
      </c>
      <c r="AB781" s="12"/>
    </row>
    <row r="782" spans="1:28" x14ac:dyDescent="0.3">
      <c r="A782" s="12" t="s">
        <v>2684</v>
      </c>
      <c r="B782" s="12" t="s">
        <v>120</v>
      </c>
      <c r="C782" s="12" t="s">
        <v>392</v>
      </c>
      <c r="D782" s="12" t="s">
        <v>2478</v>
      </c>
      <c r="E782" s="12" t="s">
        <v>2033</v>
      </c>
      <c r="F782" s="12" t="s">
        <v>1861</v>
      </c>
      <c r="G782" s="12" t="s">
        <v>1861</v>
      </c>
      <c r="H782" s="12" t="b">
        <v>1</v>
      </c>
      <c r="I782" s="12" t="b">
        <v>0</v>
      </c>
      <c r="J782" s="12" t="b">
        <v>0</v>
      </c>
      <c r="K782" s="12" t="b">
        <v>0</v>
      </c>
      <c r="L782" s="12">
        <v>403</v>
      </c>
      <c r="M782" s="12">
        <v>278.14999999999998</v>
      </c>
      <c r="N782" s="12">
        <v>3000</v>
      </c>
      <c r="O782" s="12">
        <v>225</v>
      </c>
      <c r="P782" s="12">
        <v>0.5</v>
      </c>
      <c r="Q782" s="12">
        <v>0.85</v>
      </c>
      <c r="R782" s="12">
        <v>0.75</v>
      </c>
      <c r="S782" s="12">
        <v>0.85</v>
      </c>
      <c r="T782" s="12">
        <v>0.75</v>
      </c>
      <c r="U782" s="12">
        <v>0.8</v>
      </c>
      <c r="V782" s="12">
        <v>278.14999999999998</v>
      </c>
      <c r="W782" s="12">
        <v>11.34985665852915</v>
      </c>
      <c r="X782" s="12">
        <v>38.062847054705081</v>
      </c>
      <c r="Y782" s="12">
        <v>2775</v>
      </c>
      <c r="Z782" s="12">
        <v>13.33333333333333</v>
      </c>
      <c r="AA782" s="12" t="s">
        <v>1268</v>
      </c>
      <c r="AB782" s="12"/>
    </row>
    <row r="783" spans="1:28" x14ac:dyDescent="0.3">
      <c r="A783" s="12" t="s">
        <v>2685</v>
      </c>
      <c r="B783" s="12" t="s">
        <v>120</v>
      </c>
      <c r="C783" s="12" t="s">
        <v>392</v>
      </c>
      <c r="D783" s="12" t="s">
        <v>2478</v>
      </c>
      <c r="E783" s="12" t="s">
        <v>2033</v>
      </c>
      <c r="F783" s="12" t="s">
        <v>1861</v>
      </c>
      <c r="G783" s="12" t="s">
        <v>1861</v>
      </c>
      <c r="H783" s="12" t="b">
        <v>1</v>
      </c>
      <c r="I783" s="12" t="b">
        <v>0</v>
      </c>
      <c r="J783" s="12" t="b">
        <v>0</v>
      </c>
      <c r="K783" s="12" t="b">
        <v>0</v>
      </c>
      <c r="L783" s="12">
        <v>403</v>
      </c>
      <c r="M783" s="12">
        <v>278.14999999999998</v>
      </c>
      <c r="N783" s="12">
        <v>3000</v>
      </c>
      <c r="O783" s="12">
        <v>225</v>
      </c>
      <c r="P783" s="12">
        <v>0.5</v>
      </c>
      <c r="Q783" s="12">
        <v>0.85</v>
      </c>
      <c r="R783" s="12">
        <v>0.75</v>
      </c>
      <c r="S783" s="12">
        <v>0.85</v>
      </c>
      <c r="T783" s="12">
        <v>0.75</v>
      </c>
      <c r="U783" s="12">
        <v>0.8</v>
      </c>
      <c r="V783" s="12">
        <v>278.14999999999998</v>
      </c>
      <c r="W783" s="12">
        <v>11.34985665852915</v>
      </c>
      <c r="X783" s="12">
        <v>38.062847054705081</v>
      </c>
      <c r="Y783" s="12">
        <v>2775</v>
      </c>
      <c r="Z783" s="12">
        <v>13.33333333333333</v>
      </c>
      <c r="AA783" s="12" t="s">
        <v>1268</v>
      </c>
      <c r="AB783" s="12"/>
    </row>
    <row r="784" spans="1:28" x14ac:dyDescent="0.3">
      <c r="A784" s="12" t="s">
        <v>2686</v>
      </c>
      <c r="B784" s="12" t="s">
        <v>120</v>
      </c>
      <c r="C784" s="12" t="s">
        <v>392</v>
      </c>
      <c r="D784" s="12" t="s">
        <v>2478</v>
      </c>
      <c r="E784" s="12" t="s">
        <v>2033</v>
      </c>
      <c r="F784" s="12" t="s">
        <v>32</v>
      </c>
      <c r="G784" s="12" t="s">
        <v>32</v>
      </c>
      <c r="H784" s="12" t="b">
        <v>1</v>
      </c>
      <c r="I784" s="12" t="b">
        <v>1</v>
      </c>
      <c r="J784" s="12" t="b">
        <v>0</v>
      </c>
      <c r="K784" s="12" t="b">
        <v>0</v>
      </c>
      <c r="L784" s="12">
        <v>403</v>
      </c>
      <c r="M784" s="12">
        <v>283.14999999999998</v>
      </c>
      <c r="N784" s="12">
        <v>3000</v>
      </c>
      <c r="O784" s="12">
        <v>375</v>
      </c>
      <c r="P784" s="12">
        <v>0.5</v>
      </c>
      <c r="Q784" s="12">
        <v>0.85</v>
      </c>
      <c r="R784" s="12">
        <v>0.75</v>
      </c>
      <c r="S784" s="12">
        <v>0.85</v>
      </c>
      <c r="T784" s="12">
        <v>0.75</v>
      </c>
      <c r="U784" s="12">
        <v>0.8</v>
      </c>
      <c r="V784" s="12">
        <v>283.14999999999998</v>
      </c>
      <c r="W784" s="12">
        <v>9.5789806605415606</v>
      </c>
      <c r="X784" s="12">
        <v>31.467780247961091</v>
      </c>
      <c r="Y784" s="12">
        <v>2625</v>
      </c>
      <c r="Z784" s="12">
        <v>8</v>
      </c>
      <c r="AA784" s="12"/>
      <c r="AB784" s="12"/>
    </row>
    <row r="785" spans="1:28" x14ac:dyDescent="0.3">
      <c r="A785" s="12" t="s">
        <v>2687</v>
      </c>
      <c r="B785" s="12" t="s">
        <v>120</v>
      </c>
      <c r="C785" s="12" t="s">
        <v>392</v>
      </c>
      <c r="D785" s="12" t="s">
        <v>2478</v>
      </c>
      <c r="E785" s="12" t="s">
        <v>2033</v>
      </c>
      <c r="F785" s="12" t="s">
        <v>32</v>
      </c>
      <c r="G785" s="12" t="s">
        <v>32</v>
      </c>
      <c r="H785" s="12" t="b">
        <v>1</v>
      </c>
      <c r="I785" s="12" t="b">
        <v>1</v>
      </c>
      <c r="J785" s="12" t="b">
        <v>0</v>
      </c>
      <c r="K785" s="12" t="b">
        <v>0</v>
      </c>
      <c r="L785" s="12">
        <v>403</v>
      </c>
      <c r="M785" s="12">
        <v>283.14999999999998</v>
      </c>
      <c r="N785" s="12">
        <v>3000</v>
      </c>
      <c r="O785" s="12">
        <v>375</v>
      </c>
      <c r="P785" s="12">
        <v>0.5</v>
      </c>
      <c r="Q785" s="12">
        <v>0.85</v>
      </c>
      <c r="R785" s="12">
        <v>0.75</v>
      </c>
      <c r="S785" s="12">
        <v>0.85</v>
      </c>
      <c r="T785" s="12">
        <v>0.75</v>
      </c>
      <c r="U785" s="12">
        <v>0.8</v>
      </c>
      <c r="V785" s="12">
        <v>283.14999999999998</v>
      </c>
      <c r="W785" s="12">
        <v>9.5789806605415606</v>
      </c>
      <c r="X785" s="12">
        <v>31.467780247961091</v>
      </c>
      <c r="Y785" s="12">
        <v>2625</v>
      </c>
      <c r="Z785" s="12">
        <v>8</v>
      </c>
      <c r="AA785" s="12"/>
      <c r="AB785" s="12"/>
    </row>
    <row r="786" spans="1:28" x14ac:dyDescent="0.3">
      <c r="A786" s="12" t="s">
        <v>2688</v>
      </c>
      <c r="B786" s="12" t="s">
        <v>120</v>
      </c>
      <c r="C786" s="12" t="s">
        <v>392</v>
      </c>
      <c r="D786" s="12" t="s">
        <v>2478</v>
      </c>
      <c r="E786" s="12" t="s">
        <v>2033</v>
      </c>
      <c r="F786" s="12" t="s">
        <v>1861</v>
      </c>
      <c r="G786" s="12" t="s">
        <v>1861</v>
      </c>
      <c r="H786" s="12" t="b">
        <v>1</v>
      </c>
      <c r="I786" s="12" t="b">
        <v>0</v>
      </c>
      <c r="J786" s="12" t="b">
        <v>0</v>
      </c>
      <c r="K786" s="12" t="b">
        <v>0</v>
      </c>
      <c r="L786" s="12">
        <v>403</v>
      </c>
      <c r="M786" s="12">
        <v>288.14999999999998</v>
      </c>
      <c r="N786" s="12">
        <v>3000</v>
      </c>
      <c r="O786" s="12">
        <v>375</v>
      </c>
      <c r="P786" s="12">
        <v>0.5</v>
      </c>
      <c r="Q786" s="12">
        <v>0.85</v>
      </c>
      <c r="R786" s="12">
        <v>0.75</v>
      </c>
      <c r="S786" s="12">
        <v>0.85</v>
      </c>
      <c r="T786" s="12">
        <v>0.75</v>
      </c>
      <c r="U786" s="12">
        <v>0.8</v>
      </c>
      <c r="V786" s="12">
        <v>288.14999999999998</v>
      </c>
      <c r="W786" s="12">
        <v>9.8198071239982792</v>
      </c>
      <c r="X786" s="12">
        <v>31.616114677956318</v>
      </c>
      <c r="Y786" s="12">
        <v>2625</v>
      </c>
      <c r="Z786" s="12">
        <v>8</v>
      </c>
      <c r="AA786" s="12" t="s">
        <v>1268</v>
      </c>
      <c r="AB786" s="12"/>
    </row>
    <row r="787" spans="1:28" x14ac:dyDescent="0.3">
      <c r="A787" s="12" t="s">
        <v>2689</v>
      </c>
      <c r="B787" s="12" t="s">
        <v>120</v>
      </c>
      <c r="C787" s="12" t="s">
        <v>392</v>
      </c>
      <c r="D787" s="12" t="s">
        <v>2478</v>
      </c>
      <c r="E787" s="12" t="s">
        <v>2033</v>
      </c>
      <c r="F787" s="12" t="s">
        <v>32</v>
      </c>
      <c r="G787" s="12" t="s">
        <v>32</v>
      </c>
      <c r="H787" s="12" t="b">
        <v>1</v>
      </c>
      <c r="I787" s="12" t="b">
        <v>1</v>
      </c>
      <c r="J787" s="12" t="b">
        <v>0</v>
      </c>
      <c r="K787" s="12" t="b">
        <v>0</v>
      </c>
      <c r="L787" s="12">
        <v>403</v>
      </c>
      <c r="M787" s="12">
        <v>293.14999999999998</v>
      </c>
      <c r="N787" s="12">
        <v>3000</v>
      </c>
      <c r="O787" s="12">
        <v>525</v>
      </c>
      <c r="P787" s="12">
        <v>0.5</v>
      </c>
      <c r="Q787" s="12">
        <v>0.85</v>
      </c>
      <c r="R787" s="12">
        <v>0.75</v>
      </c>
      <c r="S787" s="12">
        <v>0.85</v>
      </c>
      <c r="T787" s="12">
        <v>0.75</v>
      </c>
      <c r="U787" s="12">
        <v>0.8</v>
      </c>
      <c r="V787" s="12">
        <v>293.14999999999998</v>
      </c>
      <c r="W787" s="12">
        <v>8.5153422041971698</v>
      </c>
      <c r="X787" s="12">
        <v>26.82844731547565</v>
      </c>
      <c r="Y787" s="12">
        <v>2475</v>
      </c>
      <c r="Z787" s="12">
        <v>5.7142857142857144</v>
      </c>
      <c r="AA787" s="12"/>
      <c r="AB787" s="12"/>
    </row>
    <row r="788" spans="1:28" x14ac:dyDescent="0.3">
      <c r="A788" s="12" t="s">
        <v>2690</v>
      </c>
      <c r="B788" s="12" t="s">
        <v>120</v>
      </c>
      <c r="C788" s="12" t="s">
        <v>392</v>
      </c>
      <c r="D788" s="12" t="s">
        <v>2478</v>
      </c>
      <c r="E788" s="12" t="s">
        <v>2033</v>
      </c>
      <c r="F788" s="12" t="s">
        <v>32</v>
      </c>
      <c r="G788" s="12" t="s">
        <v>32</v>
      </c>
      <c r="H788" s="12" t="b">
        <v>1</v>
      </c>
      <c r="I788" s="12" t="b">
        <v>1</v>
      </c>
      <c r="J788" s="12" t="b">
        <v>0</v>
      </c>
      <c r="K788" s="12" t="b">
        <v>0</v>
      </c>
      <c r="L788" s="12">
        <v>403</v>
      </c>
      <c r="M788" s="12">
        <v>293.14999999999998</v>
      </c>
      <c r="N788" s="12">
        <v>3000</v>
      </c>
      <c r="O788" s="12">
        <v>525</v>
      </c>
      <c r="P788" s="12">
        <v>0.5</v>
      </c>
      <c r="Q788" s="12">
        <v>0.85</v>
      </c>
      <c r="R788" s="12">
        <v>0.75</v>
      </c>
      <c r="S788" s="12">
        <v>0.85</v>
      </c>
      <c r="T788" s="12">
        <v>0.75</v>
      </c>
      <c r="U788" s="12">
        <v>0.8</v>
      </c>
      <c r="V788" s="12">
        <v>293.14999999999998</v>
      </c>
      <c r="W788" s="12">
        <v>8.5153422041971698</v>
      </c>
      <c r="X788" s="12">
        <v>26.82844731547565</v>
      </c>
      <c r="Y788" s="12">
        <v>2475</v>
      </c>
      <c r="Z788" s="12">
        <v>5.7142857142857144</v>
      </c>
      <c r="AA788" s="12"/>
      <c r="AB788" s="12"/>
    </row>
    <row r="789" spans="1:28" x14ac:dyDescent="0.3">
      <c r="A789" s="12" t="s">
        <v>2691</v>
      </c>
      <c r="B789" s="12" t="s">
        <v>120</v>
      </c>
      <c r="C789" s="12" t="s">
        <v>392</v>
      </c>
      <c r="D789" s="12" t="s">
        <v>2478</v>
      </c>
      <c r="E789" s="12" t="s">
        <v>2033</v>
      </c>
      <c r="F789" s="12" t="s">
        <v>1861</v>
      </c>
      <c r="G789" s="12" t="s">
        <v>1861</v>
      </c>
      <c r="H789" s="12" t="b">
        <v>1</v>
      </c>
      <c r="I789" s="12" t="b">
        <v>0</v>
      </c>
      <c r="J789" s="12" t="b">
        <v>0</v>
      </c>
      <c r="K789" s="12" t="b">
        <v>0</v>
      </c>
      <c r="L789" s="12">
        <v>403</v>
      </c>
      <c r="M789" s="12">
        <v>300.032917</v>
      </c>
      <c r="N789" s="12">
        <v>3000</v>
      </c>
      <c r="O789" s="12">
        <v>525</v>
      </c>
      <c r="P789" s="12">
        <v>0.5</v>
      </c>
      <c r="Q789" s="12">
        <v>0.85</v>
      </c>
      <c r="R789" s="12">
        <v>0.75</v>
      </c>
      <c r="S789" s="12">
        <v>0.85</v>
      </c>
      <c r="T789" s="12">
        <v>0.75</v>
      </c>
      <c r="U789" s="12">
        <v>0.8</v>
      </c>
      <c r="V789" s="12">
        <v>300.032917</v>
      </c>
      <c r="W789" s="12">
        <v>8.8219440505992495</v>
      </c>
      <c r="X789" s="12">
        <v>26.98696544866856</v>
      </c>
      <c r="Y789" s="12">
        <v>2475</v>
      </c>
      <c r="Z789" s="12">
        <v>5.7142857142857144</v>
      </c>
      <c r="AA789" s="12" t="s">
        <v>1268</v>
      </c>
      <c r="AB789" s="12"/>
    </row>
    <row r="790" spans="1:28" x14ac:dyDescent="0.3">
      <c r="A790" s="12" t="s">
        <v>2692</v>
      </c>
      <c r="B790" s="12" t="s">
        <v>120</v>
      </c>
      <c r="C790" s="12" t="s">
        <v>392</v>
      </c>
      <c r="D790" s="12" t="s">
        <v>2478</v>
      </c>
      <c r="E790" s="12" t="s">
        <v>2033</v>
      </c>
      <c r="F790" s="12" t="s">
        <v>1861</v>
      </c>
      <c r="G790" s="12" t="s">
        <v>1861</v>
      </c>
      <c r="H790" s="12" t="b">
        <v>1</v>
      </c>
      <c r="I790" s="12" t="b">
        <v>0</v>
      </c>
      <c r="J790" s="12" t="b">
        <v>0</v>
      </c>
      <c r="K790" s="12" t="b">
        <v>0</v>
      </c>
      <c r="L790" s="12">
        <v>403</v>
      </c>
      <c r="M790" s="12">
        <v>300.032917</v>
      </c>
      <c r="N790" s="12">
        <v>3000</v>
      </c>
      <c r="O790" s="12">
        <v>525</v>
      </c>
      <c r="P790" s="12">
        <v>0.5</v>
      </c>
      <c r="Q790" s="12">
        <v>0.85</v>
      </c>
      <c r="R790" s="12">
        <v>0.75</v>
      </c>
      <c r="S790" s="12">
        <v>0.85</v>
      </c>
      <c r="T790" s="12">
        <v>0.75</v>
      </c>
      <c r="U790" s="12">
        <v>0.8</v>
      </c>
      <c r="V790" s="12">
        <v>300.032917</v>
      </c>
      <c r="W790" s="12">
        <v>8.8219440505992495</v>
      </c>
      <c r="X790" s="12">
        <v>26.98696544866856</v>
      </c>
      <c r="Y790" s="12">
        <v>2475</v>
      </c>
      <c r="Z790" s="12">
        <v>5.7142857142857144</v>
      </c>
      <c r="AA790" s="12" t="s">
        <v>1268</v>
      </c>
      <c r="AB790" s="12"/>
    </row>
    <row r="791" spans="1:28" x14ac:dyDescent="0.3">
      <c r="A791" s="12" t="s">
        <v>2693</v>
      </c>
      <c r="B791" s="12" t="s">
        <v>120</v>
      </c>
      <c r="C791" s="12" t="s">
        <v>395</v>
      </c>
      <c r="D791" s="12" t="s">
        <v>2530</v>
      </c>
      <c r="E791" s="12" t="s">
        <v>2033</v>
      </c>
      <c r="F791" s="12" t="s">
        <v>1861</v>
      </c>
      <c r="G791" s="12" t="s">
        <v>1861</v>
      </c>
      <c r="H791" s="12" t="b">
        <v>1</v>
      </c>
      <c r="I791" s="12" t="b">
        <v>0</v>
      </c>
      <c r="J791" s="12" t="b">
        <v>0</v>
      </c>
      <c r="K791" s="12" t="b">
        <v>0</v>
      </c>
      <c r="L791" s="12">
        <v>420</v>
      </c>
      <c r="M791" s="12">
        <v>278.14999999999998</v>
      </c>
      <c r="N791" s="12">
        <v>3000</v>
      </c>
      <c r="O791" s="12">
        <v>375</v>
      </c>
      <c r="P791" s="12">
        <v>0.5</v>
      </c>
      <c r="Q791" s="12">
        <v>0.85</v>
      </c>
      <c r="R791" s="12">
        <v>0.75</v>
      </c>
      <c r="S791" s="12">
        <v>0.85</v>
      </c>
      <c r="T791" s="12">
        <v>0.75</v>
      </c>
      <c r="U791" s="12">
        <v>0.8</v>
      </c>
      <c r="V791" s="12">
        <v>278.14999999999998</v>
      </c>
      <c r="W791" s="12">
        <v>12.166859602628159</v>
      </c>
      <c r="X791" s="12">
        <v>65.703594965656663</v>
      </c>
      <c r="Y791" s="12">
        <v>2625</v>
      </c>
      <c r="Z791" s="12">
        <v>8</v>
      </c>
      <c r="AA791" s="12" t="s">
        <v>1268</v>
      </c>
      <c r="AB791" s="12"/>
    </row>
    <row r="792" spans="1:28" x14ac:dyDescent="0.3">
      <c r="A792" s="12" t="s">
        <v>2694</v>
      </c>
      <c r="B792" s="12" t="s">
        <v>120</v>
      </c>
      <c r="C792" s="12" t="s">
        <v>395</v>
      </c>
      <c r="D792" s="12" t="s">
        <v>2530</v>
      </c>
      <c r="E792" s="12" t="s">
        <v>2033</v>
      </c>
      <c r="F792" s="12" t="s">
        <v>1861</v>
      </c>
      <c r="G792" s="12" t="s">
        <v>1861</v>
      </c>
      <c r="H792" s="12" t="b">
        <v>1</v>
      </c>
      <c r="I792" s="12" t="b">
        <v>0</v>
      </c>
      <c r="J792" s="12" t="b">
        <v>0</v>
      </c>
      <c r="K792" s="12" t="b">
        <v>0</v>
      </c>
      <c r="L792" s="12">
        <v>420</v>
      </c>
      <c r="M792" s="12">
        <v>278.14999999999998</v>
      </c>
      <c r="N792" s="12">
        <v>3000</v>
      </c>
      <c r="O792" s="12">
        <v>375</v>
      </c>
      <c r="P792" s="12">
        <v>0.5</v>
      </c>
      <c r="Q792" s="12">
        <v>0.85</v>
      </c>
      <c r="R792" s="12">
        <v>0.75</v>
      </c>
      <c r="S792" s="12">
        <v>0.85</v>
      </c>
      <c r="T792" s="12">
        <v>0.75</v>
      </c>
      <c r="U792" s="12">
        <v>0.8</v>
      </c>
      <c r="V792" s="12">
        <v>278.14999999999998</v>
      </c>
      <c r="W792" s="12">
        <v>12.166859602628159</v>
      </c>
      <c r="X792" s="12">
        <v>65.703594965656663</v>
      </c>
      <c r="Y792" s="12">
        <v>2625</v>
      </c>
      <c r="Z792" s="12">
        <v>8</v>
      </c>
      <c r="AA792" s="12" t="s">
        <v>1268</v>
      </c>
      <c r="AB792" s="12"/>
    </row>
    <row r="793" spans="1:28" x14ac:dyDescent="0.3">
      <c r="A793" s="12" t="s">
        <v>2695</v>
      </c>
      <c r="B793" s="12" t="s">
        <v>120</v>
      </c>
      <c r="C793" s="12" t="s">
        <v>395</v>
      </c>
      <c r="D793" s="12" t="s">
        <v>2530</v>
      </c>
      <c r="E793" s="12" t="s">
        <v>2033</v>
      </c>
      <c r="F793" s="12" t="s">
        <v>32</v>
      </c>
      <c r="G793" s="12" t="s">
        <v>32</v>
      </c>
      <c r="H793" s="12" t="b">
        <v>1</v>
      </c>
      <c r="I793" s="12" t="b">
        <v>1</v>
      </c>
      <c r="J793" s="12" t="b">
        <v>0</v>
      </c>
      <c r="K793" s="12" t="b">
        <v>0</v>
      </c>
      <c r="L793" s="12">
        <v>420</v>
      </c>
      <c r="M793" s="12">
        <v>283.14999999999998</v>
      </c>
      <c r="N793" s="12">
        <v>3000</v>
      </c>
      <c r="O793" s="12">
        <v>525</v>
      </c>
      <c r="P793" s="12">
        <v>0.5</v>
      </c>
      <c r="Q793" s="12">
        <v>0.85</v>
      </c>
      <c r="R793" s="12">
        <v>0.75</v>
      </c>
      <c r="S793" s="12">
        <v>0.85</v>
      </c>
      <c r="T793" s="12">
        <v>0.75</v>
      </c>
      <c r="U793" s="12">
        <v>0.8</v>
      </c>
      <c r="V793" s="12">
        <v>283.14999999999998</v>
      </c>
      <c r="W793" s="12">
        <v>10.528010245485721</v>
      </c>
      <c r="X793" s="12">
        <v>55.918556436414832</v>
      </c>
      <c r="Y793" s="12">
        <v>2475</v>
      </c>
      <c r="Z793" s="12">
        <v>5.7142857142857144</v>
      </c>
      <c r="AA793" s="12"/>
      <c r="AB793" s="12"/>
    </row>
    <row r="794" spans="1:28" x14ac:dyDescent="0.3">
      <c r="A794" s="12" t="s">
        <v>2696</v>
      </c>
      <c r="B794" s="12" t="s">
        <v>120</v>
      </c>
      <c r="C794" s="12" t="s">
        <v>395</v>
      </c>
      <c r="D794" s="12" t="s">
        <v>2530</v>
      </c>
      <c r="E794" s="12" t="s">
        <v>2033</v>
      </c>
      <c r="F794" s="12" t="s">
        <v>1861</v>
      </c>
      <c r="G794" s="12" t="s">
        <v>1861</v>
      </c>
      <c r="H794" s="12" t="b">
        <v>1</v>
      </c>
      <c r="I794" s="12" t="b">
        <v>0</v>
      </c>
      <c r="J794" s="12" t="b">
        <v>0</v>
      </c>
      <c r="K794" s="12" t="b">
        <v>0</v>
      </c>
      <c r="L794" s="12">
        <v>420</v>
      </c>
      <c r="M794" s="12">
        <v>288.14999999999998</v>
      </c>
      <c r="N794" s="12">
        <v>3000</v>
      </c>
      <c r="O794" s="12">
        <v>525</v>
      </c>
      <c r="P794" s="12">
        <v>0.5</v>
      </c>
      <c r="Q794" s="12">
        <v>0.85</v>
      </c>
      <c r="R794" s="12">
        <v>0.75</v>
      </c>
      <c r="S794" s="12">
        <v>0.85</v>
      </c>
      <c r="T794" s="12">
        <v>0.75</v>
      </c>
      <c r="U794" s="12">
        <v>0.8</v>
      </c>
      <c r="V794" s="12">
        <v>288.14999999999998</v>
      </c>
      <c r="W794" s="12">
        <v>10.72361039564103</v>
      </c>
      <c r="X794" s="12">
        <v>56.088733697953401</v>
      </c>
      <c r="Y794" s="12">
        <v>2475</v>
      </c>
      <c r="Z794" s="12">
        <v>5.7142857142857144</v>
      </c>
      <c r="AA794" s="12" t="s">
        <v>1268</v>
      </c>
      <c r="AB794" s="12"/>
    </row>
    <row r="795" spans="1:28" x14ac:dyDescent="0.3">
      <c r="A795" s="12" t="s">
        <v>2697</v>
      </c>
      <c r="B795" s="12" t="s">
        <v>120</v>
      </c>
      <c r="C795" s="12" t="s">
        <v>395</v>
      </c>
      <c r="D795" s="12" t="s">
        <v>2530</v>
      </c>
      <c r="E795" s="12" t="s">
        <v>2033</v>
      </c>
      <c r="F795" s="12" t="s">
        <v>32</v>
      </c>
      <c r="G795" s="12" t="s">
        <v>32</v>
      </c>
      <c r="H795" s="12" t="b">
        <v>1</v>
      </c>
      <c r="I795" s="12" t="b">
        <v>1</v>
      </c>
      <c r="J795" s="12" t="b">
        <v>0</v>
      </c>
      <c r="K795" s="12" t="b">
        <v>0</v>
      </c>
      <c r="L795" s="12">
        <v>420</v>
      </c>
      <c r="M795" s="12">
        <v>283.14999999999998</v>
      </c>
      <c r="N795" s="12">
        <v>3000</v>
      </c>
      <c r="O795" s="12">
        <v>525</v>
      </c>
      <c r="P795" s="12">
        <v>0.5</v>
      </c>
      <c r="Q795" s="12">
        <v>0.85</v>
      </c>
      <c r="R795" s="12">
        <v>0.75</v>
      </c>
      <c r="S795" s="12">
        <v>0.85</v>
      </c>
      <c r="T795" s="12">
        <v>0.75</v>
      </c>
      <c r="U795" s="12">
        <v>0.8</v>
      </c>
      <c r="V795" s="12">
        <v>283.14999999999998</v>
      </c>
      <c r="W795" s="12">
        <v>10.528010245485721</v>
      </c>
      <c r="X795" s="12">
        <v>55.918556436414832</v>
      </c>
      <c r="Y795" s="12">
        <v>2475</v>
      </c>
      <c r="Z795" s="12">
        <v>5.7142857142857144</v>
      </c>
      <c r="AA795" s="12"/>
      <c r="AB795" s="12"/>
    </row>
    <row r="796" spans="1:28" x14ac:dyDescent="0.3">
      <c r="A796" s="12" t="s">
        <v>2698</v>
      </c>
      <c r="B796" s="12" t="s">
        <v>120</v>
      </c>
      <c r="C796" s="12" t="s">
        <v>395</v>
      </c>
      <c r="D796" s="12" t="s">
        <v>2530</v>
      </c>
      <c r="E796" s="12" t="s">
        <v>2033</v>
      </c>
      <c r="F796" s="12" t="s">
        <v>1861</v>
      </c>
      <c r="G796" s="12" t="s">
        <v>1861</v>
      </c>
      <c r="H796" s="12" t="b">
        <v>1</v>
      </c>
      <c r="I796" s="12" t="b">
        <v>0</v>
      </c>
      <c r="J796" s="12" t="b">
        <v>0</v>
      </c>
      <c r="K796" s="12" t="b">
        <v>0</v>
      </c>
      <c r="L796" s="12">
        <v>420</v>
      </c>
      <c r="M796" s="12">
        <v>288.14999999999998</v>
      </c>
      <c r="N796" s="12">
        <v>3000</v>
      </c>
      <c r="O796" s="12">
        <v>525</v>
      </c>
      <c r="P796" s="12">
        <v>0.5</v>
      </c>
      <c r="Q796" s="12">
        <v>0.85</v>
      </c>
      <c r="R796" s="12">
        <v>0.75</v>
      </c>
      <c r="S796" s="12">
        <v>0.85</v>
      </c>
      <c r="T796" s="12">
        <v>0.75</v>
      </c>
      <c r="U796" s="12">
        <v>0.8</v>
      </c>
      <c r="V796" s="12">
        <v>288.14999999999998</v>
      </c>
      <c r="W796" s="12">
        <v>10.72361039564103</v>
      </c>
      <c r="X796" s="12">
        <v>56.088733697953401</v>
      </c>
      <c r="Y796" s="12">
        <v>2475</v>
      </c>
      <c r="Z796" s="12">
        <v>5.7142857142857144</v>
      </c>
      <c r="AA796" s="12" t="s">
        <v>1268</v>
      </c>
      <c r="AB796" s="12"/>
    </row>
    <row r="797" spans="1:28" x14ac:dyDescent="0.3">
      <c r="A797" s="12" t="s">
        <v>2699</v>
      </c>
      <c r="B797" s="12" t="s">
        <v>120</v>
      </c>
      <c r="C797" s="12" t="s">
        <v>395</v>
      </c>
      <c r="D797" s="12" t="s">
        <v>2530</v>
      </c>
      <c r="E797" s="12" t="s">
        <v>2033</v>
      </c>
      <c r="F797" s="12" t="s">
        <v>32</v>
      </c>
      <c r="G797" s="12" t="s">
        <v>32</v>
      </c>
      <c r="H797" s="12" t="b">
        <v>1</v>
      </c>
      <c r="I797" s="12" t="b">
        <v>1</v>
      </c>
      <c r="J797" s="12" t="b">
        <v>0</v>
      </c>
      <c r="K797" s="12" t="b">
        <v>0</v>
      </c>
      <c r="L797" s="12">
        <v>420</v>
      </c>
      <c r="M797" s="12">
        <v>293.14999999999998</v>
      </c>
      <c r="N797" s="12">
        <v>3000</v>
      </c>
      <c r="O797" s="12">
        <v>675</v>
      </c>
      <c r="P797" s="12">
        <v>0.5</v>
      </c>
      <c r="Q797" s="12">
        <v>0.85</v>
      </c>
      <c r="R797" s="12">
        <v>0.75</v>
      </c>
      <c r="S797" s="12">
        <v>0.85</v>
      </c>
      <c r="T797" s="12">
        <v>0.75</v>
      </c>
      <c r="U797" s="12">
        <v>0.8</v>
      </c>
      <c r="V797" s="12">
        <v>293.14999999999998</v>
      </c>
      <c r="W797" s="12">
        <v>9.4364783220750112</v>
      </c>
      <c r="X797" s="12">
        <v>48.52631216931114</v>
      </c>
      <c r="Y797" s="12">
        <v>2325</v>
      </c>
      <c r="Z797" s="12">
        <v>4.4444444444444446</v>
      </c>
      <c r="AA797" s="12"/>
      <c r="AB797" s="12"/>
    </row>
    <row r="798" spans="1:28" x14ac:dyDescent="0.3">
      <c r="A798" s="12" t="s">
        <v>2700</v>
      </c>
      <c r="B798" s="12" t="s">
        <v>120</v>
      </c>
      <c r="C798" s="12" t="s">
        <v>395</v>
      </c>
      <c r="D798" s="12" t="s">
        <v>2530</v>
      </c>
      <c r="E798" s="12" t="s">
        <v>2033</v>
      </c>
      <c r="F798" s="12" t="s">
        <v>1861</v>
      </c>
      <c r="G798" s="12" t="s">
        <v>1861</v>
      </c>
      <c r="H798" s="12" t="b">
        <v>1</v>
      </c>
      <c r="I798" s="12" t="b">
        <v>0</v>
      </c>
      <c r="J798" s="12" t="b">
        <v>0</v>
      </c>
      <c r="K798" s="12" t="b">
        <v>0</v>
      </c>
      <c r="L798" s="12">
        <v>420</v>
      </c>
      <c r="M798" s="12">
        <v>300.032917</v>
      </c>
      <c r="N798" s="12">
        <v>3000</v>
      </c>
      <c r="O798" s="12">
        <v>675</v>
      </c>
      <c r="P798" s="12">
        <v>0.5</v>
      </c>
      <c r="Q798" s="12">
        <v>0.85</v>
      </c>
      <c r="R798" s="12">
        <v>0.75</v>
      </c>
      <c r="S798" s="12">
        <v>0.85</v>
      </c>
      <c r="T798" s="12">
        <v>0.75</v>
      </c>
      <c r="U798" s="12">
        <v>0.8</v>
      </c>
      <c r="V798" s="12">
        <v>300.032917</v>
      </c>
      <c r="W798" s="12">
        <v>9.6772107997306502</v>
      </c>
      <c r="X798" s="12">
        <v>48.666396379123647</v>
      </c>
      <c r="Y798" s="12">
        <v>2325</v>
      </c>
      <c r="Z798" s="12">
        <v>4.4444444444444446</v>
      </c>
      <c r="AA798" s="12" t="s">
        <v>1268</v>
      </c>
      <c r="AB798" s="12"/>
    </row>
    <row r="799" spans="1:28" x14ac:dyDescent="0.3">
      <c r="A799" s="12" t="s">
        <v>2701</v>
      </c>
      <c r="B799" s="12" t="s">
        <v>120</v>
      </c>
      <c r="C799" s="12" t="s">
        <v>395</v>
      </c>
      <c r="D799" s="12" t="s">
        <v>2530</v>
      </c>
      <c r="E799" s="12" t="s">
        <v>2033</v>
      </c>
      <c r="F799" s="12" t="s">
        <v>32</v>
      </c>
      <c r="G799" s="12" t="s">
        <v>32</v>
      </c>
      <c r="H799" s="12" t="b">
        <v>1</v>
      </c>
      <c r="I799" s="12" t="b">
        <v>1</v>
      </c>
      <c r="J799" s="12" t="b">
        <v>0</v>
      </c>
      <c r="K799" s="12" t="b">
        <v>0</v>
      </c>
      <c r="L799" s="12">
        <v>420</v>
      </c>
      <c r="M799" s="12">
        <v>293.14999999999998</v>
      </c>
      <c r="N799" s="12">
        <v>3000</v>
      </c>
      <c r="O799" s="12">
        <v>675</v>
      </c>
      <c r="P799" s="12">
        <v>0.5</v>
      </c>
      <c r="Q799" s="12">
        <v>0.85</v>
      </c>
      <c r="R799" s="12">
        <v>0.75</v>
      </c>
      <c r="S799" s="12">
        <v>0.85</v>
      </c>
      <c r="T799" s="12">
        <v>0.75</v>
      </c>
      <c r="U799" s="12">
        <v>0.8</v>
      </c>
      <c r="V799" s="12">
        <v>293.14999999999998</v>
      </c>
      <c r="W799" s="12">
        <v>9.4364783220750112</v>
      </c>
      <c r="X799" s="12">
        <v>48.52631216931114</v>
      </c>
      <c r="Y799" s="12">
        <v>2325</v>
      </c>
      <c r="Z799" s="12">
        <v>4.4444444444444446</v>
      </c>
      <c r="AA799" s="12"/>
      <c r="AB799" s="12"/>
    </row>
    <row r="800" spans="1:28" x14ac:dyDescent="0.3">
      <c r="A800" s="12" t="s">
        <v>2702</v>
      </c>
      <c r="B800" s="12" t="s">
        <v>120</v>
      </c>
      <c r="C800" s="12" t="s">
        <v>395</v>
      </c>
      <c r="D800" s="12" t="s">
        <v>2530</v>
      </c>
      <c r="E800" s="12" t="s">
        <v>2033</v>
      </c>
      <c r="F800" s="12" t="s">
        <v>1861</v>
      </c>
      <c r="G800" s="12" t="s">
        <v>1861</v>
      </c>
      <c r="H800" s="12" t="b">
        <v>1</v>
      </c>
      <c r="I800" s="12" t="b">
        <v>0</v>
      </c>
      <c r="J800" s="12" t="b">
        <v>0</v>
      </c>
      <c r="K800" s="12" t="b">
        <v>0</v>
      </c>
      <c r="L800" s="12">
        <v>420</v>
      </c>
      <c r="M800" s="12">
        <v>300.032917</v>
      </c>
      <c r="N800" s="12">
        <v>3000</v>
      </c>
      <c r="O800" s="12">
        <v>675</v>
      </c>
      <c r="P800" s="12">
        <v>0.5</v>
      </c>
      <c r="Q800" s="12">
        <v>0.85</v>
      </c>
      <c r="R800" s="12">
        <v>0.75</v>
      </c>
      <c r="S800" s="12">
        <v>0.85</v>
      </c>
      <c r="T800" s="12">
        <v>0.75</v>
      </c>
      <c r="U800" s="12">
        <v>0.8</v>
      </c>
      <c r="V800" s="12">
        <v>300.032917</v>
      </c>
      <c r="W800" s="12">
        <v>9.6772107997306502</v>
      </c>
      <c r="X800" s="12">
        <v>48.666396379123647</v>
      </c>
      <c r="Y800" s="12">
        <v>2325</v>
      </c>
      <c r="Z800" s="12">
        <v>4.4444444444444446</v>
      </c>
      <c r="AA800" s="12" t="s">
        <v>1268</v>
      </c>
      <c r="AB800" s="12"/>
    </row>
    <row r="801" spans="1:28" x14ac:dyDescent="0.3">
      <c r="A801" s="12" t="s">
        <v>2703</v>
      </c>
      <c r="B801" s="12" t="s">
        <v>120</v>
      </c>
      <c r="C801" s="12" t="s">
        <v>397</v>
      </c>
      <c r="D801" s="12" t="s">
        <v>2581</v>
      </c>
      <c r="E801" s="12" t="s">
        <v>2033</v>
      </c>
      <c r="F801" s="12" t="s">
        <v>1861</v>
      </c>
      <c r="G801" s="12" t="s">
        <v>1861</v>
      </c>
      <c r="H801" s="12" t="b">
        <v>1</v>
      </c>
      <c r="I801" s="12" t="b">
        <v>0</v>
      </c>
      <c r="J801" s="12" t="b">
        <v>1</v>
      </c>
      <c r="K801" s="12" t="b">
        <v>0</v>
      </c>
      <c r="L801" s="12">
        <v>623.15</v>
      </c>
      <c r="M801" s="12">
        <v>278.14999999999998</v>
      </c>
      <c r="N801" s="12">
        <v>3000</v>
      </c>
      <c r="O801" s="12">
        <v>675</v>
      </c>
      <c r="P801" s="12">
        <v>0.5</v>
      </c>
      <c r="Q801" s="12">
        <v>0.85</v>
      </c>
      <c r="R801" s="12">
        <v>0.75</v>
      </c>
      <c r="S801" s="12">
        <v>0.4</v>
      </c>
      <c r="T801" s="12">
        <v>0.75</v>
      </c>
      <c r="U801" s="12">
        <v>0.8</v>
      </c>
      <c r="V801" s="12">
        <v>278.14999999999998</v>
      </c>
      <c r="W801" s="12">
        <v>10.36279975182519</v>
      </c>
      <c r="X801" s="12">
        <v>99.713187526558244</v>
      </c>
      <c r="Y801" s="12">
        <v>2325</v>
      </c>
      <c r="Z801" s="12">
        <v>4.4444444444444446</v>
      </c>
      <c r="AA801" s="12" t="s">
        <v>1268</v>
      </c>
      <c r="AB801" s="12"/>
    </row>
    <row r="802" spans="1:28" x14ac:dyDescent="0.3">
      <c r="A802" s="12" t="s">
        <v>2704</v>
      </c>
      <c r="B802" s="12" t="s">
        <v>120</v>
      </c>
      <c r="C802" s="12" t="s">
        <v>397</v>
      </c>
      <c r="D802" s="12" t="s">
        <v>2581</v>
      </c>
      <c r="E802" s="12" t="s">
        <v>2033</v>
      </c>
      <c r="F802" s="12" t="s">
        <v>1861</v>
      </c>
      <c r="G802" s="12" t="s">
        <v>1861</v>
      </c>
      <c r="H802" s="12" t="b">
        <v>1</v>
      </c>
      <c r="I802" s="12" t="b">
        <v>0</v>
      </c>
      <c r="J802" s="12" t="b">
        <v>1</v>
      </c>
      <c r="K802" s="12" t="b">
        <v>0</v>
      </c>
      <c r="L802" s="12">
        <v>623.15</v>
      </c>
      <c r="M802" s="12">
        <v>278.14999999999998</v>
      </c>
      <c r="N802" s="12">
        <v>3000</v>
      </c>
      <c r="O802" s="12">
        <v>675</v>
      </c>
      <c r="P802" s="12">
        <v>0.5</v>
      </c>
      <c r="Q802" s="12">
        <v>0.85</v>
      </c>
      <c r="R802" s="12">
        <v>0.75</v>
      </c>
      <c r="S802" s="12">
        <v>0.4</v>
      </c>
      <c r="T802" s="12">
        <v>0.75</v>
      </c>
      <c r="U802" s="12">
        <v>0.8</v>
      </c>
      <c r="V802" s="12">
        <v>278.14999999999998</v>
      </c>
      <c r="W802" s="12">
        <v>10.36279975182519</v>
      </c>
      <c r="X802" s="12">
        <v>99.713187526558244</v>
      </c>
      <c r="Y802" s="12">
        <v>2325</v>
      </c>
      <c r="Z802" s="12">
        <v>4.4444444444444446</v>
      </c>
      <c r="AA802" s="12" t="s">
        <v>1268</v>
      </c>
      <c r="AB802" s="12"/>
    </row>
    <row r="803" spans="1:28" x14ac:dyDescent="0.3">
      <c r="A803" s="12" t="s">
        <v>2705</v>
      </c>
      <c r="B803" s="12" t="s">
        <v>120</v>
      </c>
      <c r="C803" s="12" t="s">
        <v>397</v>
      </c>
      <c r="D803" s="12" t="s">
        <v>2581</v>
      </c>
      <c r="E803" s="12" t="s">
        <v>2033</v>
      </c>
      <c r="F803" s="12" t="s">
        <v>1861</v>
      </c>
      <c r="G803" s="12" t="s">
        <v>1861</v>
      </c>
      <c r="H803" s="12" t="b">
        <v>1</v>
      </c>
      <c r="I803" s="12" t="b">
        <v>0</v>
      </c>
      <c r="J803" s="12" t="b">
        <v>1</v>
      </c>
      <c r="K803" s="12" t="b">
        <v>0</v>
      </c>
      <c r="L803" s="12">
        <v>623.15</v>
      </c>
      <c r="M803" s="12">
        <v>283.14999999999998</v>
      </c>
      <c r="N803" s="12">
        <v>3000</v>
      </c>
      <c r="O803" s="12">
        <v>825</v>
      </c>
      <c r="P803" s="12">
        <v>0.5</v>
      </c>
      <c r="Q803" s="12">
        <v>0.85</v>
      </c>
      <c r="R803" s="12">
        <v>0.75</v>
      </c>
      <c r="S803" s="12">
        <v>0.4</v>
      </c>
      <c r="T803" s="12">
        <v>0.75</v>
      </c>
      <c r="U803" s="12">
        <v>0.8</v>
      </c>
      <c r="V803" s="12">
        <v>283.14999999999998</v>
      </c>
      <c r="W803" s="12">
        <v>9.1872233471226092</v>
      </c>
      <c r="X803" s="12">
        <v>87.879052395589696</v>
      </c>
      <c r="Y803" s="12">
        <v>2175</v>
      </c>
      <c r="Z803" s="12">
        <v>3.6363636363636358</v>
      </c>
      <c r="AA803" s="12" t="s">
        <v>1268</v>
      </c>
      <c r="AB803" s="12"/>
    </row>
    <row r="804" spans="1:28" x14ac:dyDescent="0.3">
      <c r="A804" s="12" t="s">
        <v>2706</v>
      </c>
      <c r="B804" s="12" t="s">
        <v>120</v>
      </c>
      <c r="C804" s="12" t="s">
        <v>397</v>
      </c>
      <c r="D804" s="12" t="s">
        <v>2581</v>
      </c>
      <c r="E804" s="12" t="s">
        <v>2033</v>
      </c>
      <c r="F804" s="12" t="s">
        <v>1861</v>
      </c>
      <c r="G804" s="12" t="s">
        <v>1861</v>
      </c>
      <c r="H804" s="12" t="b">
        <v>1</v>
      </c>
      <c r="I804" s="12" t="b">
        <v>0</v>
      </c>
      <c r="J804" s="12" t="b">
        <v>1</v>
      </c>
      <c r="K804" s="12" t="b">
        <v>0</v>
      </c>
      <c r="L804" s="12">
        <v>623.15</v>
      </c>
      <c r="M804" s="12">
        <v>283.14999999999998</v>
      </c>
      <c r="N804" s="12">
        <v>3000</v>
      </c>
      <c r="O804" s="12">
        <v>825</v>
      </c>
      <c r="P804" s="12">
        <v>0.5</v>
      </c>
      <c r="Q804" s="12">
        <v>0.85</v>
      </c>
      <c r="R804" s="12">
        <v>0.75</v>
      </c>
      <c r="S804" s="12">
        <v>0.4</v>
      </c>
      <c r="T804" s="12">
        <v>0.75</v>
      </c>
      <c r="U804" s="12">
        <v>0.8</v>
      </c>
      <c r="V804" s="12">
        <v>283.14999999999998</v>
      </c>
      <c r="W804" s="12">
        <v>9.1872233471226092</v>
      </c>
      <c r="X804" s="12">
        <v>87.879052395589696</v>
      </c>
      <c r="Y804" s="12">
        <v>2175</v>
      </c>
      <c r="Z804" s="12">
        <v>3.6363636363636358</v>
      </c>
      <c r="AA804" s="12" t="s">
        <v>1268</v>
      </c>
      <c r="AB804" s="12"/>
    </row>
    <row r="805" spans="1:28" x14ac:dyDescent="0.3">
      <c r="A805" s="12" t="s">
        <v>2707</v>
      </c>
      <c r="B805" s="12" t="s">
        <v>120</v>
      </c>
      <c r="C805" s="12" t="s">
        <v>397</v>
      </c>
      <c r="D805" s="12" t="s">
        <v>2581</v>
      </c>
      <c r="E805" s="12" t="s">
        <v>2033</v>
      </c>
      <c r="F805" s="12" t="s">
        <v>1861</v>
      </c>
      <c r="G805" s="12" t="s">
        <v>1861</v>
      </c>
      <c r="H805" s="12" t="b">
        <v>1</v>
      </c>
      <c r="I805" s="12" t="b">
        <v>0</v>
      </c>
      <c r="J805" s="12" t="b">
        <v>1</v>
      </c>
      <c r="K805" s="12" t="b">
        <v>0</v>
      </c>
      <c r="L805" s="12">
        <v>623.15</v>
      </c>
      <c r="M805" s="12">
        <v>288.14999999999998</v>
      </c>
      <c r="N805" s="12">
        <v>3000</v>
      </c>
      <c r="O805" s="12">
        <v>975</v>
      </c>
      <c r="P805" s="12">
        <v>0.5</v>
      </c>
      <c r="Q805" s="12">
        <v>0.85</v>
      </c>
      <c r="R805" s="12">
        <v>0.75</v>
      </c>
      <c r="S805" s="12">
        <v>0.4</v>
      </c>
      <c r="T805" s="12">
        <v>0.75</v>
      </c>
      <c r="U805" s="12">
        <v>0.8</v>
      </c>
      <c r="V805" s="12">
        <v>288.14999999999998</v>
      </c>
      <c r="W805" s="12">
        <v>8.1752121932724791</v>
      </c>
      <c r="X805" s="12">
        <v>77.734502301860886</v>
      </c>
      <c r="Y805" s="12">
        <v>2025</v>
      </c>
      <c r="Z805" s="12">
        <v>3.0769230769230771</v>
      </c>
      <c r="AA805" s="12" t="s">
        <v>1268</v>
      </c>
      <c r="AB805" s="12"/>
    </row>
    <row r="806" spans="1:28" x14ac:dyDescent="0.3">
      <c r="A806" s="12" t="s">
        <v>2708</v>
      </c>
      <c r="B806" s="12" t="s">
        <v>120</v>
      </c>
      <c r="C806" s="12" t="s">
        <v>397</v>
      </c>
      <c r="D806" s="12" t="s">
        <v>2581</v>
      </c>
      <c r="E806" s="12" t="s">
        <v>2033</v>
      </c>
      <c r="F806" s="12" t="s">
        <v>1861</v>
      </c>
      <c r="G806" s="12" t="s">
        <v>1861</v>
      </c>
      <c r="H806" s="12" t="b">
        <v>1</v>
      </c>
      <c r="I806" s="12" t="b">
        <v>0</v>
      </c>
      <c r="J806" s="12" t="b">
        <v>1</v>
      </c>
      <c r="K806" s="12" t="b">
        <v>0</v>
      </c>
      <c r="L806" s="12">
        <v>623.15</v>
      </c>
      <c r="M806" s="12">
        <v>288.14999999999998</v>
      </c>
      <c r="N806" s="12">
        <v>3000</v>
      </c>
      <c r="O806" s="12">
        <v>975</v>
      </c>
      <c r="P806" s="12">
        <v>0.5</v>
      </c>
      <c r="Q806" s="12">
        <v>0.85</v>
      </c>
      <c r="R806" s="12">
        <v>0.75</v>
      </c>
      <c r="S806" s="12">
        <v>0.4</v>
      </c>
      <c r="T806" s="12">
        <v>0.75</v>
      </c>
      <c r="U806" s="12">
        <v>0.8</v>
      </c>
      <c r="V806" s="12">
        <v>288.14999999999998</v>
      </c>
      <c r="W806" s="12">
        <v>8.1752121932724791</v>
      </c>
      <c r="X806" s="12">
        <v>77.734502301860886</v>
      </c>
      <c r="Y806" s="12">
        <v>2025</v>
      </c>
      <c r="Z806" s="12">
        <v>3.0769230769230771</v>
      </c>
      <c r="AA806" s="12" t="s">
        <v>1268</v>
      </c>
      <c r="AB806" s="12"/>
    </row>
    <row r="807" spans="1:28" x14ac:dyDescent="0.3">
      <c r="A807" s="12" t="s">
        <v>2709</v>
      </c>
      <c r="B807" s="12" t="s">
        <v>120</v>
      </c>
      <c r="C807" s="12" t="s">
        <v>397</v>
      </c>
      <c r="D807" s="12" t="s">
        <v>2581</v>
      </c>
      <c r="E807" s="12" t="s">
        <v>2033</v>
      </c>
      <c r="F807" s="12" t="s">
        <v>32</v>
      </c>
      <c r="G807" s="12" t="s">
        <v>32</v>
      </c>
      <c r="H807" s="12" t="b">
        <v>1</v>
      </c>
      <c r="I807" s="12" t="b">
        <v>0</v>
      </c>
      <c r="J807" s="12" t="b">
        <v>1</v>
      </c>
      <c r="K807" s="12" t="b">
        <v>0</v>
      </c>
      <c r="L807" s="12">
        <v>623.15</v>
      </c>
      <c r="M807" s="12">
        <v>293.14999999999998</v>
      </c>
      <c r="N807" s="12">
        <v>3000</v>
      </c>
      <c r="O807" s="12">
        <v>1125</v>
      </c>
      <c r="P807" s="12">
        <v>0.5</v>
      </c>
      <c r="Q807" s="12">
        <v>0.85</v>
      </c>
      <c r="R807" s="12">
        <v>0.75</v>
      </c>
      <c r="S807" s="12">
        <v>0.4</v>
      </c>
      <c r="T807" s="12">
        <v>0.75</v>
      </c>
      <c r="U807" s="12">
        <v>0.8</v>
      </c>
      <c r="V807" s="12">
        <v>293.14999999999998</v>
      </c>
      <c r="W807" s="12">
        <v>7.2826342320658286</v>
      </c>
      <c r="X807" s="12">
        <v>68.833397161149691</v>
      </c>
      <c r="Y807" s="12">
        <v>1875</v>
      </c>
      <c r="Z807" s="12">
        <v>2.666666666666667</v>
      </c>
      <c r="AA807" s="12"/>
      <c r="AB807" s="12"/>
    </row>
    <row r="808" spans="1:28" x14ac:dyDescent="0.3">
      <c r="A808" s="12" t="s">
        <v>2710</v>
      </c>
      <c r="B808" s="12" t="s">
        <v>120</v>
      </c>
      <c r="C808" s="12" t="s">
        <v>397</v>
      </c>
      <c r="D808" s="12" t="s">
        <v>2581</v>
      </c>
      <c r="E808" s="12" t="s">
        <v>2033</v>
      </c>
      <c r="F808" s="12" t="s">
        <v>1861</v>
      </c>
      <c r="G808" s="12" t="s">
        <v>1861</v>
      </c>
      <c r="H808" s="12" t="b">
        <v>1</v>
      </c>
      <c r="I808" s="12" t="b">
        <v>0</v>
      </c>
      <c r="J808" s="12" t="b">
        <v>1</v>
      </c>
      <c r="K808" s="12" t="b">
        <v>0</v>
      </c>
      <c r="L808" s="12">
        <v>623.15</v>
      </c>
      <c r="M808" s="12">
        <v>300.032917</v>
      </c>
      <c r="N808" s="12">
        <v>3000</v>
      </c>
      <c r="O808" s="12">
        <v>1275</v>
      </c>
      <c r="P808" s="12">
        <v>0.5</v>
      </c>
      <c r="Q808" s="12">
        <v>0.85</v>
      </c>
      <c r="R808" s="12">
        <v>0.75</v>
      </c>
      <c r="S808" s="12">
        <v>0.4</v>
      </c>
      <c r="T808" s="12">
        <v>0.75</v>
      </c>
      <c r="U808" s="12">
        <v>0.8</v>
      </c>
      <c r="V808" s="12">
        <v>300.032917</v>
      </c>
      <c r="W808" s="12">
        <v>6.5146557637826303</v>
      </c>
      <c r="X808" s="12">
        <v>61.073196760355657</v>
      </c>
      <c r="Y808" s="12">
        <v>1725</v>
      </c>
      <c r="Z808" s="12">
        <v>2.3529411764705879</v>
      </c>
      <c r="AA808" s="12" t="s">
        <v>1268</v>
      </c>
      <c r="AB808" s="12"/>
    </row>
    <row r="809" spans="1:28" x14ac:dyDescent="0.3">
      <c r="A809" s="12" t="s">
        <v>2711</v>
      </c>
      <c r="B809" s="12" t="s">
        <v>120</v>
      </c>
      <c r="C809" s="12" t="s">
        <v>397</v>
      </c>
      <c r="D809" s="12" t="s">
        <v>2581</v>
      </c>
      <c r="E809" s="12" t="s">
        <v>2033</v>
      </c>
      <c r="F809" s="12" t="s">
        <v>1861</v>
      </c>
      <c r="G809" s="12" t="s">
        <v>1861</v>
      </c>
      <c r="H809" s="12" t="b">
        <v>1</v>
      </c>
      <c r="I809" s="12" t="b">
        <v>0</v>
      </c>
      <c r="J809" s="12" t="b">
        <v>1</v>
      </c>
      <c r="K809" s="12" t="b">
        <v>0</v>
      </c>
      <c r="L809" s="12">
        <v>623.15</v>
      </c>
      <c r="M809" s="12">
        <v>300.032917</v>
      </c>
      <c r="N809" s="12">
        <v>3000</v>
      </c>
      <c r="O809" s="12">
        <v>1275</v>
      </c>
      <c r="P809" s="12">
        <v>0.5</v>
      </c>
      <c r="Q809" s="12">
        <v>0.85</v>
      </c>
      <c r="R809" s="12">
        <v>0.75</v>
      </c>
      <c r="S809" s="12">
        <v>0.4</v>
      </c>
      <c r="T809" s="12">
        <v>0.75</v>
      </c>
      <c r="U809" s="12">
        <v>0.8</v>
      </c>
      <c r="V809" s="12">
        <v>300.032917</v>
      </c>
      <c r="W809" s="12">
        <v>6.5146557637826303</v>
      </c>
      <c r="X809" s="12">
        <v>61.073196760355657</v>
      </c>
      <c r="Y809" s="12">
        <v>1725</v>
      </c>
      <c r="Z809" s="12">
        <v>2.3529411764705879</v>
      </c>
      <c r="AA809" s="12" t="s">
        <v>1268</v>
      </c>
      <c r="AB809" s="12"/>
    </row>
    <row r="810" spans="1:28" x14ac:dyDescent="0.3">
      <c r="A810" s="12" t="s">
        <v>2712</v>
      </c>
      <c r="B810" s="12" t="s">
        <v>120</v>
      </c>
      <c r="C810" s="12" t="s">
        <v>397</v>
      </c>
      <c r="D810" s="12" t="s">
        <v>2581</v>
      </c>
      <c r="E810" s="12" t="s">
        <v>2033</v>
      </c>
      <c r="F810" s="12" t="s">
        <v>32</v>
      </c>
      <c r="G810" s="12" t="s">
        <v>32</v>
      </c>
      <c r="H810" s="12" t="b">
        <v>1</v>
      </c>
      <c r="I810" s="12" t="b">
        <v>0</v>
      </c>
      <c r="J810" s="12" t="b">
        <v>1</v>
      </c>
      <c r="K810" s="12" t="b">
        <v>0</v>
      </c>
      <c r="L810" s="12">
        <v>623.15</v>
      </c>
      <c r="M810" s="12">
        <v>293.14999999999998</v>
      </c>
      <c r="N810" s="12">
        <v>3000</v>
      </c>
      <c r="O810" s="12">
        <v>1125</v>
      </c>
      <c r="P810" s="12">
        <v>0.5</v>
      </c>
      <c r="Q810" s="12">
        <v>0.85</v>
      </c>
      <c r="R810" s="12">
        <v>0.75</v>
      </c>
      <c r="S810" s="12">
        <v>0.4</v>
      </c>
      <c r="T810" s="12">
        <v>0.75</v>
      </c>
      <c r="U810" s="12">
        <v>0.8</v>
      </c>
      <c r="V810" s="12">
        <v>293.14999999999998</v>
      </c>
      <c r="W810" s="12">
        <v>7.2826342320658286</v>
      </c>
      <c r="X810" s="12">
        <v>68.833397161149691</v>
      </c>
      <c r="Y810" s="12">
        <v>1875</v>
      </c>
      <c r="Z810" s="12">
        <v>2.666666666666667</v>
      </c>
      <c r="AA810" s="12"/>
      <c r="AB810" s="12"/>
    </row>
    <row r="811" spans="1:28" x14ac:dyDescent="0.3">
      <c r="A811" s="12" t="s">
        <v>2713</v>
      </c>
      <c r="B811" s="12" t="s">
        <v>120</v>
      </c>
      <c r="C811" s="12" t="s">
        <v>392</v>
      </c>
      <c r="D811" s="12" t="s">
        <v>2478</v>
      </c>
      <c r="E811" s="12" t="s">
        <v>2033</v>
      </c>
      <c r="F811" s="12" t="s">
        <v>1861</v>
      </c>
      <c r="G811" s="12" t="s">
        <v>1861</v>
      </c>
      <c r="H811" s="12" t="b">
        <v>1</v>
      </c>
      <c r="I811" s="12" t="b">
        <v>0</v>
      </c>
      <c r="J811" s="12" t="b">
        <v>0</v>
      </c>
      <c r="K811" s="12" t="b">
        <v>0</v>
      </c>
      <c r="L811" s="12">
        <v>403</v>
      </c>
      <c r="M811" s="12">
        <v>278.14999999999998</v>
      </c>
      <c r="N811" s="12">
        <v>3000</v>
      </c>
      <c r="O811" s="12">
        <v>262.5</v>
      </c>
      <c r="P811" s="12">
        <v>0.5</v>
      </c>
      <c r="Q811" s="12">
        <v>0.85</v>
      </c>
      <c r="R811" s="12">
        <v>0.75</v>
      </c>
      <c r="S811" s="12">
        <v>0.85</v>
      </c>
      <c r="T811" s="12">
        <v>0.75</v>
      </c>
      <c r="U811" s="12">
        <v>0.8</v>
      </c>
      <c r="V811" s="12">
        <v>278.14999999999998</v>
      </c>
      <c r="W811" s="12">
        <v>10.813504806722319</v>
      </c>
      <c r="X811" s="12">
        <v>36.260142676190178</v>
      </c>
      <c r="Y811" s="12">
        <v>2737.5</v>
      </c>
      <c r="Z811" s="12">
        <v>11.428571428571431</v>
      </c>
      <c r="AA811" s="12" t="s">
        <v>1268</v>
      </c>
      <c r="AB811" s="12"/>
    </row>
    <row r="812" spans="1:28" x14ac:dyDescent="0.3">
      <c r="A812" s="12" t="s">
        <v>2714</v>
      </c>
      <c r="B812" s="12" t="s">
        <v>120</v>
      </c>
      <c r="C812" s="12" t="s">
        <v>392</v>
      </c>
      <c r="D812" s="12" t="s">
        <v>2478</v>
      </c>
      <c r="E812" s="12" t="s">
        <v>2033</v>
      </c>
      <c r="F812" s="12" t="s">
        <v>1861</v>
      </c>
      <c r="G812" s="12" t="s">
        <v>1861</v>
      </c>
      <c r="H812" s="12" t="b">
        <v>1</v>
      </c>
      <c r="I812" s="12" t="b">
        <v>0</v>
      </c>
      <c r="J812" s="12" t="b">
        <v>0</v>
      </c>
      <c r="K812" s="12" t="b">
        <v>0</v>
      </c>
      <c r="L812" s="12">
        <v>403</v>
      </c>
      <c r="M812" s="12">
        <v>278.14999999999998</v>
      </c>
      <c r="N812" s="12">
        <v>3000</v>
      </c>
      <c r="O812" s="12">
        <v>262.5</v>
      </c>
      <c r="P812" s="12">
        <v>0.5</v>
      </c>
      <c r="Q812" s="12">
        <v>0.85</v>
      </c>
      <c r="R812" s="12">
        <v>0.75</v>
      </c>
      <c r="S812" s="12">
        <v>0.85</v>
      </c>
      <c r="T812" s="12">
        <v>0.75</v>
      </c>
      <c r="U812" s="12">
        <v>0.8</v>
      </c>
      <c r="V812" s="12">
        <v>278.14999999999998</v>
      </c>
      <c r="W812" s="12">
        <v>10.813504806722319</v>
      </c>
      <c r="X812" s="12">
        <v>36.260142676190178</v>
      </c>
      <c r="Y812" s="12">
        <v>2737.5</v>
      </c>
      <c r="Z812" s="12">
        <v>11.428571428571431</v>
      </c>
      <c r="AA812" s="12" t="s">
        <v>1268</v>
      </c>
      <c r="AB812" s="12"/>
    </row>
    <row r="813" spans="1:28" x14ac:dyDescent="0.3">
      <c r="A813" s="12" t="s">
        <v>2715</v>
      </c>
      <c r="B813" s="12" t="s">
        <v>120</v>
      </c>
      <c r="C813" s="12" t="s">
        <v>392</v>
      </c>
      <c r="D813" s="12" t="s">
        <v>2478</v>
      </c>
      <c r="E813" s="12" t="s">
        <v>2033</v>
      </c>
      <c r="F813" s="12" t="s">
        <v>32</v>
      </c>
      <c r="G813" s="12" t="s">
        <v>32</v>
      </c>
      <c r="H813" s="12" t="b">
        <v>1</v>
      </c>
      <c r="I813" s="12" t="b">
        <v>1</v>
      </c>
      <c r="J813" s="12" t="b">
        <v>0</v>
      </c>
      <c r="K813" s="12" t="b">
        <v>0</v>
      </c>
      <c r="L813" s="12">
        <v>403</v>
      </c>
      <c r="M813" s="12">
        <v>283.14999999999998</v>
      </c>
      <c r="N813" s="12">
        <v>3000</v>
      </c>
      <c r="O813" s="12">
        <v>337.5</v>
      </c>
      <c r="P813" s="12">
        <v>0.5</v>
      </c>
      <c r="Q813" s="12">
        <v>0.85</v>
      </c>
      <c r="R813" s="12">
        <v>0.75</v>
      </c>
      <c r="S813" s="12">
        <v>0.85</v>
      </c>
      <c r="T813" s="12">
        <v>0.75</v>
      </c>
      <c r="U813" s="12">
        <v>0.8</v>
      </c>
      <c r="V813" s="12">
        <v>283.14999999999998</v>
      </c>
      <c r="W813" s="12">
        <v>10.033542352965441</v>
      </c>
      <c r="X813" s="12">
        <v>32.971010447202737</v>
      </c>
      <c r="Y813" s="12">
        <v>2662.5</v>
      </c>
      <c r="Z813" s="12">
        <v>8.8888888888888893</v>
      </c>
      <c r="AA813" s="12"/>
      <c r="AB813" s="12"/>
    </row>
    <row r="814" spans="1:28" x14ac:dyDescent="0.3">
      <c r="A814" s="12" t="s">
        <v>2716</v>
      </c>
      <c r="B814" s="12" t="s">
        <v>120</v>
      </c>
      <c r="C814" s="12" t="s">
        <v>392</v>
      </c>
      <c r="D814" s="12" t="s">
        <v>2478</v>
      </c>
      <c r="E814" s="12" t="s">
        <v>2033</v>
      </c>
      <c r="F814" s="12" t="s">
        <v>32</v>
      </c>
      <c r="G814" s="12" t="s">
        <v>32</v>
      </c>
      <c r="H814" s="12" t="b">
        <v>1</v>
      </c>
      <c r="I814" s="12" t="b">
        <v>1</v>
      </c>
      <c r="J814" s="12" t="b">
        <v>0</v>
      </c>
      <c r="K814" s="12" t="b">
        <v>0</v>
      </c>
      <c r="L814" s="12">
        <v>403</v>
      </c>
      <c r="M814" s="12">
        <v>288.14999999999998</v>
      </c>
      <c r="N814" s="12">
        <v>3000</v>
      </c>
      <c r="O814" s="12">
        <v>412.5</v>
      </c>
      <c r="P814" s="12">
        <v>0.5</v>
      </c>
      <c r="Q814" s="12">
        <v>0.85</v>
      </c>
      <c r="R814" s="12">
        <v>0.75</v>
      </c>
      <c r="S814" s="12">
        <v>0.85</v>
      </c>
      <c r="T814" s="12">
        <v>0.75</v>
      </c>
      <c r="U814" s="12">
        <v>0.8</v>
      </c>
      <c r="V814" s="12">
        <v>288.14999999999998</v>
      </c>
      <c r="W814" s="12">
        <v>9.3972842670359693</v>
      </c>
      <c r="X814" s="12">
        <v>30.247702867329028</v>
      </c>
      <c r="Y814" s="12">
        <v>2587.5</v>
      </c>
      <c r="Z814" s="12">
        <v>7.2727272727272716</v>
      </c>
      <c r="AA814" s="12"/>
      <c r="AB814" s="12"/>
    </row>
    <row r="815" spans="1:28" x14ac:dyDescent="0.3">
      <c r="A815" s="12" t="s">
        <v>2717</v>
      </c>
      <c r="B815" s="12" t="s">
        <v>120</v>
      </c>
      <c r="C815" s="12" t="s">
        <v>392</v>
      </c>
      <c r="D815" s="12" t="s">
        <v>2478</v>
      </c>
      <c r="E815" s="12" t="s">
        <v>2033</v>
      </c>
      <c r="F815" s="12" t="s">
        <v>32</v>
      </c>
      <c r="G815" s="12" t="s">
        <v>32</v>
      </c>
      <c r="H815" s="12" t="b">
        <v>1</v>
      </c>
      <c r="I815" s="12" t="b">
        <v>1</v>
      </c>
      <c r="J815" s="12" t="b">
        <v>0</v>
      </c>
      <c r="K815" s="12" t="b">
        <v>0</v>
      </c>
      <c r="L815" s="12">
        <v>403</v>
      </c>
      <c r="M815" s="12">
        <v>283.14999999999998</v>
      </c>
      <c r="N815" s="12">
        <v>3000</v>
      </c>
      <c r="O815" s="12">
        <v>337.5</v>
      </c>
      <c r="P815" s="12">
        <v>0.5</v>
      </c>
      <c r="Q815" s="12">
        <v>0.85</v>
      </c>
      <c r="R815" s="12">
        <v>0.75</v>
      </c>
      <c r="S815" s="12">
        <v>0.85</v>
      </c>
      <c r="T815" s="12">
        <v>0.75</v>
      </c>
      <c r="U815" s="12">
        <v>0.8</v>
      </c>
      <c r="V815" s="12">
        <v>283.14999999999998</v>
      </c>
      <c r="W815" s="12">
        <v>10.033542352965441</v>
      </c>
      <c r="X815" s="12">
        <v>32.971010447202737</v>
      </c>
      <c r="Y815" s="12">
        <v>2662.5</v>
      </c>
      <c r="Z815" s="12">
        <v>8.8888888888888893</v>
      </c>
      <c r="AA815" s="12"/>
      <c r="AB815" s="12"/>
    </row>
    <row r="816" spans="1:28" x14ac:dyDescent="0.3">
      <c r="A816" s="12" t="s">
        <v>2718</v>
      </c>
      <c r="B816" s="12" t="s">
        <v>120</v>
      </c>
      <c r="C816" s="12" t="s">
        <v>392</v>
      </c>
      <c r="D816" s="12" t="s">
        <v>2478</v>
      </c>
      <c r="E816" s="12" t="s">
        <v>2033</v>
      </c>
      <c r="F816" s="12" t="s">
        <v>32</v>
      </c>
      <c r="G816" s="12" t="s">
        <v>32</v>
      </c>
      <c r="H816" s="12" t="b">
        <v>1</v>
      </c>
      <c r="I816" s="12" t="b">
        <v>1</v>
      </c>
      <c r="J816" s="12" t="b">
        <v>0</v>
      </c>
      <c r="K816" s="12" t="b">
        <v>0</v>
      </c>
      <c r="L816" s="12">
        <v>403</v>
      </c>
      <c r="M816" s="12">
        <v>293.14999999999998</v>
      </c>
      <c r="N816" s="12">
        <v>3000</v>
      </c>
      <c r="O816" s="12">
        <v>487.5</v>
      </c>
      <c r="P816" s="12">
        <v>0.5</v>
      </c>
      <c r="Q816" s="12">
        <v>0.85</v>
      </c>
      <c r="R816" s="12">
        <v>0.75</v>
      </c>
      <c r="S816" s="12">
        <v>0.85</v>
      </c>
      <c r="T816" s="12">
        <v>0.75</v>
      </c>
      <c r="U816" s="12">
        <v>0.8</v>
      </c>
      <c r="V816" s="12">
        <v>293.14999999999998</v>
      </c>
      <c r="W816" s="12">
        <v>8.8647550048181891</v>
      </c>
      <c r="X816" s="12">
        <v>27.935573841099689</v>
      </c>
      <c r="Y816" s="12">
        <v>2512.5</v>
      </c>
      <c r="Z816" s="12">
        <v>6.1538461538461542</v>
      </c>
      <c r="AA816" s="12"/>
      <c r="AB816" s="12"/>
    </row>
    <row r="817" spans="1:28" x14ac:dyDescent="0.3">
      <c r="A817" s="12" t="s">
        <v>2719</v>
      </c>
      <c r="B817" s="12" t="s">
        <v>120</v>
      </c>
      <c r="C817" s="12" t="s">
        <v>392</v>
      </c>
      <c r="D817" s="12" t="s">
        <v>2478</v>
      </c>
      <c r="E817" s="12" t="s">
        <v>2033</v>
      </c>
      <c r="F817" s="12" t="s">
        <v>32</v>
      </c>
      <c r="G817" s="12" t="s">
        <v>32</v>
      </c>
      <c r="H817" s="12" t="b">
        <v>1</v>
      </c>
      <c r="I817" s="12" t="b">
        <v>1</v>
      </c>
      <c r="J817" s="12" t="b">
        <v>0</v>
      </c>
      <c r="K817" s="12" t="b">
        <v>0</v>
      </c>
      <c r="L817" s="12">
        <v>403</v>
      </c>
      <c r="M817" s="12">
        <v>293.14999999999998</v>
      </c>
      <c r="N817" s="12">
        <v>3000</v>
      </c>
      <c r="O817" s="12">
        <v>487.5</v>
      </c>
      <c r="P817" s="12">
        <v>0.5</v>
      </c>
      <c r="Q817" s="12">
        <v>0.85</v>
      </c>
      <c r="R817" s="12">
        <v>0.75</v>
      </c>
      <c r="S817" s="12">
        <v>0.85</v>
      </c>
      <c r="T817" s="12">
        <v>0.75</v>
      </c>
      <c r="U817" s="12">
        <v>0.8</v>
      </c>
      <c r="V817" s="12">
        <v>293.14999999999998</v>
      </c>
      <c r="W817" s="12">
        <v>8.8647550048181891</v>
      </c>
      <c r="X817" s="12">
        <v>27.935573841099689</v>
      </c>
      <c r="Y817" s="12">
        <v>2512.5</v>
      </c>
      <c r="Z817" s="12">
        <v>6.1538461538461542</v>
      </c>
      <c r="AA817" s="12"/>
      <c r="AB817" s="12"/>
    </row>
    <row r="818" spans="1:28" x14ac:dyDescent="0.3">
      <c r="A818" s="12" t="s">
        <v>2720</v>
      </c>
      <c r="B818" s="12" t="s">
        <v>120</v>
      </c>
      <c r="C818" s="12" t="s">
        <v>392</v>
      </c>
      <c r="D818" s="12" t="s">
        <v>2478</v>
      </c>
      <c r="E818" s="12" t="s">
        <v>2033</v>
      </c>
      <c r="F818" s="12" t="s">
        <v>32</v>
      </c>
      <c r="G818" s="12" t="s">
        <v>32</v>
      </c>
      <c r="H818" s="12" t="b">
        <v>1</v>
      </c>
      <c r="I818" s="12" t="b">
        <v>1</v>
      </c>
      <c r="J818" s="12" t="b">
        <v>0</v>
      </c>
      <c r="K818" s="12" t="b">
        <v>0</v>
      </c>
      <c r="L818" s="12">
        <v>403</v>
      </c>
      <c r="M818" s="12">
        <v>288.14999999999998</v>
      </c>
      <c r="N818" s="12">
        <v>3000</v>
      </c>
      <c r="O818" s="12">
        <v>412.5</v>
      </c>
      <c r="P818" s="12">
        <v>0.5</v>
      </c>
      <c r="Q818" s="12">
        <v>0.85</v>
      </c>
      <c r="R818" s="12">
        <v>0.75</v>
      </c>
      <c r="S818" s="12">
        <v>0.85</v>
      </c>
      <c r="T818" s="12">
        <v>0.75</v>
      </c>
      <c r="U818" s="12">
        <v>0.8</v>
      </c>
      <c r="V818" s="12">
        <v>288.14999999999998</v>
      </c>
      <c r="W818" s="12">
        <v>9.3972842670359693</v>
      </c>
      <c r="X818" s="12">
        <v>30.247702867329028</v>
      </c>
      <c r="Y818" s="12">
        <v>2587.5</v>
      </c>
      <c r="Z818" s="12">
        <v>7.2727272727272716</v>
      </c>
      <c r="AA818" s="12"/>
      <c r="AB818" s="12"/>
    </row>
    <row r="819" spans="1:28" x14ac:dyDescent="0.3">
      <c r="A819" s="12" t="s">
        <v>2721</v>
      </c>
      <c r="B819" s="12" t="s">
        <v>120</v>
      </c>
      <c r="C819" s="12" t="s">
        <v>392</v>
      </c>
      <c r="D819" s="12" t="s">
        <v>2478</v>
      </c>
      <c r="E819" s="12" t="s">
        <v>2033</v>
      </c>
      <c r="F819" s="12" t="s">
        <v>32</v>
      </c>
      <c r="G819" s="12" t="s">
        <v>32</v>
      </c>
      <c r="H819" s="12" t="b">
        <v>1</v>
      </c>
      <c r="I819" s="12" t="b">
        <v>1</v>
      </c>
      <c r="J819" s="12" t="b">
        <v>0</v>
      </c>
      <c r="K819" s="12" t="b">
        <v>0</v>
      </c>
      <c r="L819" s="12">
        <v>403</v>
      </c>
      <c r="M819" s="12">
        <v>300.032917</v>
      </c>
      <c r="N819" s="12">
        <v>3000</v>
      </c>
      <c r="O819" s="12">
        <v>562.5</v>
      </c>
      <c r="P819" s="12">
        <v>0.5</v>
      </c>
      <c r="Q819" s="12">
        <v>0.85</v>
      </c>
      <c r="R819" s="12">
        <v>0.75</v>
      </c>
      <c r="S819" s="12">
        <v>0.85</v>
      </c>
      <c r="T819" s="12">
        <v>0.75</v>
      </c>
      <c r="U819" s="12">
        <v>0.8</v>
      </c>
      <c r="V819" s="12">
        <v>300.032917</v>
      </c>
      <c r="W819" s="12">
        <v>8.4918596378703199</v>
      </c>
      <c r="X819" s="12">
        <v>25.972534110412909</v>
      </c>
      <c r="Y819" s="12">
        <v>2437.5</v>
      </c>
      <c r="Z819" s="12">
        <v>5.333333333333333</v>
      </c>
      <c r="AA819" s="12"/>
      <c r="AB819" s="12"/>
    </row>
    <row r="820" spans="1:28" x14ac:dyDescent="0.3">
      <c r="A820" s="12" t="s">
        <v>2722</v>
      </c>
      <c r="B820" s="12" t="s">
        <v>120</v>
      </c>
      <c r="C820" s="12" t="s">
        <v>392</v>
      </c>
      <c r="D820" s="12" t="s">
        <v>2478</v>
      </c>
      <c r="E820" s="12" t="s">
        <v>2033</v>
      </c>
      <c r="F820" s="12" t="s">
        <v>32</v>
      </c>
      <c r="G820" s="12" t="s">
        <v>32</v>
      </c>
      <c r="H820" s="12" t="b">
        <v>1</v>
      </c>
      <c r="I820" s="12" t="b">
        <v>1</v>
      </c>
      <c r="J820" s="12" t="b">
        <v>0</v>
      </c>
      <c r="K820" s="12" t="b">
        <v>0</v>
      </c>
      <c r="L820" s="12">
        <v>403</v>
      </c>
      <c r="M820" s="12">
        <v>300.032917</v>
      </c>
      <c r="N820" s="12">
        <v>3000</v>
      </c>
      <c r="O820" s="12">
        <v>562.5</v>
      </c>
      <c r="P820" s="12">
        <v>0.5</v>
      </c>
      <c r="Q820" s="12">
        <v>0.85</v>
      </c>
      <c r="R820" s="12">
        <v>0.75</v>
      </c>
      <c r="S820" s="12">
        <v>0.85</v>
      </c>
      <c r="T820" s="12">
        <v>0.75</v>
      </c>
      <c r="U820" s="12">
        <v>0.8</v>
      </c>
      <c r="V820" s="12">
        <v>300.032917</v>
      </c>
      <c r="W820" s="12">
        <v>8.4918596378703199</v>
      </c>
      <c r="X820" s="12">
        <v>25.972534110412909</v>
      </c>
      <c r="Y820" s="12">
        <v>2437.5</v>
      </c>
      <c r="Z820" s="12">
        <v>5.333333333333333</v>
      </c>
      <c r="AA820" s="12"/>
      <c r="AB820" s="12"/>
    </row>
    <row r="821" spans="1:28" x14ac:dyDescent="0.3">
      <c r="A821" s="12" t="s">
        <v>2723</v>
      </c>
      <c r="B821" s="12" t="s">
        <v>120</v>
      </c>
      <c r="C821" s="12" t="s">
        <v>395</v>
      </c>
      <c r="D821" s="12" t="s">
        <v>2530</v>
      </c>
      <c r="E821" s="12" t="s">
        <v>2033</v>
      </c>
      <c r="F821" s="12" t="s">
        <v>32</v>
      </c>
      <c r="G821" s="12" t="s">
        <v>32</v>
      </c>
      <c r="H821" s="12" t="b">
        <v>1</v>
      </c>
      <c r="I821" s="12" t="b">
        <v>1</v>
      </c>
      <c r="J821" s="12" t="b">
        <v>0</v>
      </c>
      <c r="K821" s="12" t="b">
        <v>0</v>
      </c>
      <c r="L821" s="12">
        <v>420</v>
      </c>
      <c r="M821" s="12">
        <v>278.14999999999998</v>
      </c>
      <c r="N821" s="12">
        <v>3000</v>
      </c>
      <c r="O821" s="12">
        <v>412.5</v>
      </c>
      <c r="P821" s="12">
        <v>0.5</v>
      </c>
      <c r="Q821" s="12">
        <v>0.85</v>
      </c>
      <c r="R821" s="12">
        <v>0.75</v>
      </c>
      <c r="S821" s="12">
        <v>0.85</v>
      </c>
      <c r="T821" s="12">
        <v>0.75</v>
      </c>
      <c r="U821" s="12">
        <v>0.8</v>
      </c>
      <c r="V821" s="12">
        <v>278.14999999999998</v>
      </c>
      <c r="W821" s="12">
        <v>11.6580602899474</v>
      </c>
      <c r="X821" s="12">
        <v>62.929165269720173</v>
      </c>
      <c r="Y821" s="12">
        <v>2587.5</v>
      </c>
      <c r="Z821" s="12">
        <v>7.2727272727272716</v>
      </c>
      <c r="AA821" s="12"/>
      <c r="AB821" s="12"/>
    </row>
    <row r="822" spans="1:28" x14ac:dyDescent="0.3">
      <c r="A822" s="12" t="s">
        <v>2724</v>
      </c>
      <c r="B822" s="12" t="s">
        <v>120</v>
      </c>
      <c r="C822" s="12" t="s">
        <v>395</v>
      </c>
      <c r="D822" s="12" t="s">
        <v>2530</v>
      </c>
      <c r="E822" s="12" t="s">
        <v>2033</v>
      </c>
      <c r="F822" s="12" t="s">
        <v>32</v>
      </c>
      <c r="G822" s="12" t="s">
        <v>32</v>
      </c>
      <c r="H822" s="12" t="b">
        <v>1</v>
      </c>
      <c r="I822" s="12" t="b">
        <v>1</v>
      </c>
      <c r="J822" s="12" t="b">
        <v>0</v>
      </c>
      <c r="K822" s="12" t="b">
        <v>0</v>
      </c>
      <c r="L822" s="12">
        <v>420</v>
      </c>
      <c r="M822" s="12">
        <v>278.14999999999998</v>
      </c>
      <c r="N822" s="12">
        <v>3000</v>
      </c>
      <c r="O822" s="12">
        <v>412.5</v>
      </c>
      <c r="P822" s="12">
        <v>0.5</v>
      </c>
      <c r="Q822" s="12">
        <v>0.85</v>
      </c>
      <c r="R822" s="12">
        <v>0.75</v>
      </c>
      <c r="S822" s="12">
        <v>0.85</v>
      </c>
      <c r="T822" s="12">
        <v>0.75</v>
      </c>
      <c r="U822" s="12">
        <v>0.8</v>
      </c>
      <c r="V822" s="12">
        <v>278.14999999999998</v>
      </c>
      <c r="W822" s="12">
        <v>11.6580602899474</v>
      </c>
      <c r="X822" s="12">
        <v>62.929165269720173</v>
      </c>
      <c r="Y822" s="12">
        <v>2587.5</v>
      </c>
      <c r="Z822" s="12">
        <v>7.2727272727272716</v>
      </c>
      <c r="AA822" s="12"/>
      <c r="AB822" s="12"/>
    </row>
    <row r="823" spans="1:28" x14ac:dyDescent="0.3">
      <c r="A823" s="12" t="s">
        <v>2725</v>
      </c>
      <c r="B823" s="12" t="s">
        <v>120</v>
      </c>
      <c r="C823" s="12" t="s">
        <v>395</v>
      </c>
      <c r="D823" s="12" t="s">
        <v>2530</v>
      </c>
      <c r="E823" s="12" t="s">
        <v>2033</v>
      </c>
      <c r="F823" s="12" t="s">
        <v>32</v>
      </c>
      <c r="G823" s="12" t="s">
        <v>32</v>
      </c>
      <c r="H823" s="12" t="b">
        <v>1</v>
      </c>
      <c r="I823" s="12" t="b">
        <v>1</v>
      </c>
      <c r="J823" s="12" t="b">
        <v>0</v>
      </c>
      <c r="K823" s="12" t="b">
        <v>0</v>
      </c>
      <c r="L823" s="12">
        <v>420</v>
      </c>
      <c r="M823" s="12">
        <v>288.14999999999998</v>
      </c>
      <c r="N823" s="12">
        <v>3000</v>
      </c>
      <c r="O823" s="12">
        <v>562.5</v>
      </c>
      <c r="P823" s="12">
        <v>0.5</v>
      </c>
      <c r="Q823" s="12">
        <v>0.85</v>
      </c>
      <c r="R823" s="12">
        <v>0.75</v>
      </c>
      <c r="S823" s="12">
        <v>0.85</v>
      </c>
      <c r="T823" s="12">
        <v>0.75</v>
      </c>
      <c r="U823" s="12">
        <v>0.8</v>
      </c>
      <c r="V823" s="12">
        <v>288.14999999999998</v>
      </c>
      <c r="W823" s="12">
        <v>10.32592167862772</v>
      </c>
      <c r="X823" s="12">
        <v>53.990569456923033</v>
      </c>
      <c r="Y823" s="12">
        <v>2437.5</v>
      </c>
      <c r="Z823" s="12">
        <v>5.333333333333333</v>
      </c>
      <c r="AA823" s="12"/>
      <c r="AB823" s="12"/>
    </row>
    <row r="824" spans="1:28" x14ac:dyDescent="0.3">
      <c r="A824" s="12" t="s">
        <v>2726</v>
      </c>
      <c r="B824" s="12" t="s">
        <v>120</v>
      </c>
      <c r="C824" s="12" t="s">
        <v>395</v>
      </c>
      <c r="D824" s="12" t="s">
        <v>2530</v>
      </c>
      <c r="E824" s="12" t="s">
        <v>2033</v>
      </c>
      <c r="F824" s="12" t="s">
        <v>32</v>
      </c>
      <c r="G824" s="12" t="s">
        <v>32</v>
      </c>
      <c r="H824" s="12" t="b">
        <v>1</v>
      </c>
      <c r="I824" s="12" t="b">
        <v>1</v>
      </c>
      <c r="J824" s="12" t="b">
        <v>0</v>
      </c>
      <c r="K824" s="12" t="b">
        <v>0</v>
      </c>
      <c r="L824" s="12">
        <v>420</v>
      </c>
      <c r="M824" s="12">
        <v>283.14999999999998</v>
      </c>
      <c r="N824" s="12">
        <v>3000</v>
      </c>
      <c r="O824" s="12">
        <v>487.5</v>
      </c>
      <c r="P824" s="12">
        <v>0.5</v>
      </c>
      <c r="Q824" s="12">
        <v>0.85</v>
      </c>
      <c r="R824" s="12">
        <v>0.75</v>
      </c>
      <c r="S824" s="12">
        <v>0.85</v>
      </c>
      <c r="T824" s="12">
        <v>0.75</v>
      </c>
      <c r="U824" s="12">
        <v>0.8</v>
      </c>
      <c r="V824" s="12">
        <v>283.14999999999998</v>
      </c>
      <c r="W824" s="12">
        <v>10.944371933856679</v>
      </c>
      <c r="X824" s="12">
        <v>58.150530723275502</v>
      </c>
      <c r="Y824" s="12">
        <v>2512.5</v>
      </c>
      <c r="Z824" s="12">
        <v>6.1538461538461542</v>
      </c>
      <c r="AA824" s="12"/>
      <c r="AB824" s="12"/>
    </row>
    <row r="825" spans="1:28" x14ac:dyDescent="0.3">
      <c r="A825" s="12" t="s">
        <v>2727</v>
      </c>
      <c r="B825" s="12" t="s">
        <v>120</v>
      </c>
      <c r="C825" s="12" t="s">
        <v>395</v>
      </c>
      <c r="D825" s="12" t="s">
        <v>2530</v>
      </c>
      <c r="E825" s="12" t="s">
        <v>2033</v>
      </c>
      <c r="F825" s="12" t="s">
        <v>32</v>
      </c>
      <c r="G825" s="12" t="s">
        <v>32</v>
      </c>
      <c r="H825" s="12" t="b">
        <v>1</v>
      </c>
      <c r="I825" s="12" t="b">
        <v>1</v>
      </c>
      <c r="J825" s="12" t="b">
        <v>0</v>
      </c>
      <c r="K825" s="12" t="b">
        <v>0</v>
      </c>
      <c r="L825" s="12">
        <v>420</v>
      </c>
      <c r="M825" s="12">
        <v>283.14999999999998</v>
      </c>
      <c r="N825" s="12">
        <v>3000</v>
      </c>
      <c r="O825" s="12">
        <v>487.5</v>
      </c>
      <c r="P825" s="12">
        <v>0.5</v>
      </c>
      <c r="Q825" s="12">
        <v>0.85</v>
      </c>
      <c r="R825" s="12">
        <v>0.75</v>
      </c>
      <c r="S825" s="12">
        <v>0.85</v>
      </c>
      <c r="T825" s="12">
        <v>0.75</v>
      </c>
      <c r="U825" s="12">
        <v>0.8</v>
      </c>
      <c r="V825" s="12">
        <v>283.14999999999998</v>
      </c>
      <c r="W825" s="12">
        <v>10.944371933856679</v>
      </c>
      <c r="X825" s="12">
        <v>58.150530723275502</v>
      </c>
      <c r="Y825" s="12">
        <v>2512.5</v>
      </c>
      <c r="Z825" s="12">
        <v>6.1538461538461542</v>
      </c>
      <c r="AA825" s="12"/>
      <c r="AB825" s="12"/>
    </row>
    <row r="826" spans="1:28" x14ac:dyDescent="0.3">
      <c r="A826" s="12" t="s">
        <v>2728</v>
      </c>
      <c r="B826" s="12" t="s">
        <v>120</v>
      </c>
      <c r="C826" s="12" t="s">
        <v>395</v>
      </c>
      <c r="D826" s="12" t="s">
        <v>2530</v>
      </c>
      <c r="E826" s="12" t="s">
        <v>2033</v>
      </c>
      <c r="F826" s="12" t="s">
        <v>32</v>
      </c>
      <c r="G826" s="12" t="s">
        <v>32</v>
      </c>
      <c r="H826" s="12" t="b">
        <v>1</v>
      </c>
      <c r="I826" s="12" t="b">
        <v>1</v>
      </c>
      <c r="J826" s="12" t="b">
        <v>0</v>
      </c>
      <c r="K826" s="12" t="b">
        <v>0</v>
      </c>
      <c r="L826" s="12">
        <v>420</v>
      </c>
      <c r="M826" s="12">
        <v>288.14999999999998</v>
      </c>
      <c r="N826" s="12">
        <v>3000</v>
      </c>
      <c r="O826" s="12">
        <v>562.5</v>
      </c>
      <c r="P826" s="12">
        <v>0.5</v>
      </c>
      <c r="Q826" s="12">
        <v>0.85</v>
      </c>
      <c r="R826" s="12">
        <v>0.75</v>
      </c>
      <c r="S826" s="12">
        <v>0.85</v>
      </c>
      <c r="T826" s="12">
        <v>0.75</v>
      </c>
      <c r="U826" s="12">
        <v>0.8</v>
      </c>
      <c r="V826" s="12">
        <v>288.14999999999998</v>
      </c>
      <c r="W826" s="12">
        <v>10.32592167862772</v>
      </c>
      <c r="X826" s="12">
        <v>53.990569456923033</v>
      </c>
      <c r="Y826" s="12">
        <v>2437.5</v>
      </c>
      <c r="Z826" s="12">
        <v>5.333333333333333</v>
      </c>
      <c r="AA826" s="12"/>
      <c r="AB826" s="12"/>
    </row>
    <row r="827" spans="1:28" x14ac:dyDescent="0.3">
      <c r="A827" s="12" t="s">
        <v>2729</v>
      </c>
      <c r="B827" s="12" t="s">
        <v>120</v>
      </c>
      <c r="C827" s="12" t="s">
        <v>395</v>
      </c>
      <c r="D827" s="12" t="s">
        <v>2530</v>
      </c>
      <c r="E827" s="12" t="s">
        <v>2033</v>
      </c>
      <c r="F827" s="12" t="s">
        <v>1861</v>
      </c>
      <c r="G827" s="12" t="s">
        <v>1861</v>
      </c>
      <c r="H827" s="12" t="b">
        <v>1</v>
      </c>
      <c r="I827" s="12" t="b">
        <v>0</v>
      </c>
      <c r="J827" s="12" t="b">
        <v>0</v>
      </c>
      <c r="K827" s="12" t="b">
        <v>0</v>
      </c>
      <c r="L827" s="12">
        <v>420</v>
      </c>
      <c r="M827" s="12">
        <v>300.032917</v>
      </c>
      <c r="N827" s="12">
        <v>3000</v>
      </c>
      <c r="O827" s="12">
        <v>712.5</v>
      </c>
      <c r="P827" s="12">
        <v>0.5</v>
      </c>
      <c r="Q827" s="12">
        <v>0.85</v>
      </c>
      <c r="R827" s="12">
        <v>0.75</v>
      </c>
      <c r="S827" s="12">
        <v>0.85</v>
      </c>
      <c r="T827" s="12">
        <v>0.75</v>
      </c>
      <c r="U827" s="12">
        <v>0.8</v>
      </c>
      <c r="V827" s="12">
        <v>300.032917</v>
      </c>
      <c r="W827" s="12">
        <v>9.3532979013480606</v>
      </c>
      <c r="X827" s="12">
        <v>47.026688251862801</v>
      </c>
      <c r="Y827" s="12">
        <v>2287.5</v>
      </c>
      <c r="Z827" s="12">
        <v>4.2105263157894726</v>
      </c>
      <c r="AA827" s="12" t="s">
        <v>1268</v>
      </c>
      <c r="AB827" s="12"/>
    </row>
    <row r="828" spans="1:28" x14ac:dyDescent="0.3">
      <c r="A828" s="12" t="s">
        <v>2730</v>
      </c>
      <c r="B828" s="12" t="s">
        <v>120</v>
      </c>
      <c r="C828" s="12" t="s">
        <v>395</v>
      </c>
      <c r="D828" s="12" t="s">
        <v>2530</v>
      </c>
      <c r="E828" s="12" t="s">
        <v>2033</v>
      </c>
      <c r="F828" s="12" t="s">
        <v>1861</v>
      </c>
      <c r="G828" s="12" t="s">
        <v>1861</v>
      </c>
      <c r="H828" s="12" t="b">
        <v>1</v>
      </c>
      <c r="I828" s="12" t="b">
        <v>0</v>
      </c>
      <c r="J828" s="12" t="b">
        <v>0</v>
      </c>
      <c r="K828" s="12" t="b">
        <v>0</v>
      </c>
      <c r="L828" s="12">
        <v>420</v>
      </c>
      <c r="M828" s="12">
        <v>300.032917</v>
      </c>
      <c r="N828" s="12">
        <v>3000</v>
      </c>
      <c r="O828" s="12">
        <v>712.5</v>
      </c>
      <c r="P828" s="12">
        <v>0.5</v>
      </c>
      <c r="Q828" s="12">
        <v>0.85</v>
      </c>
      <c r="R828" s="12">
        <v>0.75</v>
      </c>
      <c r="S828" s="12">
        <v>0.85</v>
      </c>
      <c r="T828" s="12">
        <v>0.75</v>
      </c>
      <c r="U828" s="12">
        <v>0.8</v>
      </c>
      <c r="V828" s="12">
        <v>300.032917</v>
      </c>
      <c r="W828" s="12">
        <v>9.3532979011985997</v>
      </c>
      <c r="X828" s="12">
        <v>47.026688251195971</v>
      </c>
      <c r="Y828" s="12">
        <v>2287.5</v>
      </c>
      <c r="Z828" s="12">
        <v>4.2105263157894726</v>
      </c>
      <c r="AA828" s="12" t="s">
        <v>1268</v>
      </c>
      <c r="AB828" s="12"/>
    </row>
    <row r="829" spans="1:28" x14ac:dyDescent="0.3">
      <c r="A829" s="12" t="s">
        <v>2731</v>
      </c>
      <c r="B829" s="12" t="s">
        <v>120</v>
      </c>
      <c r="C829" s="12" t="s">
        <v>395</v>
      </c>
      <c r="D829" s="12" t="s">
        <v>2530</v>
      </c>
      <c r="E829" s="12" t="s">
        <v>2033</v>
      </c>
      <c r="F829" s="12" t="s">
        <v>32</v>
      </c>
      <c r="G829" s="12" t="s">
        <v>32</v>
      </c>
      <c r="H829" s="12" t="b">
        <v>1</v>
      </c>
      <c r="I829" s="12" t="b">
        <v>1</v>
      </c>
      <c r="J829" s="12" t="b">
        <v>0</v>
      </c>
      <c r="K829" s="12" t="b">
        <v>0</v>
      </c>
      <c r="L829" s="12">
        <v>420</v>
      </c>
      <c r="M829" s="12">
        <v>293.14999999999998</v>
      </c>
      <c r="N829" s="12">
        <v>3000</v>
      </c>
      <c r="O829" s="12">
        <v>637.5</v>
      </c>
      <c r="P829" s="12">
        <v>0.5</v>
      </c>
      <c r="Q829" s="12">
        <v>0.85</v>
      </c>
      <c r="R829" s="12">
        <v>0.75</v>
      </c>
      <c r="S829" s="12">
        <v>0.85</v>
      </c>
      <c r="T829" s="12">
        <v>0.75</v>
      </c>
      <c r="U829" s="12">
        <v>0.8</v>
      </c>
      <c r="V829" s="12">
        <v>293.14999999999998</v>
      </c>
      <c r="W829" s="12">
        <v>9.77880519120062</v>
      </c>
      <c r="X829" s="12">
        <v>50.30102763957688</v>
      </c>
      <c r="Y829" s="12">
        <v>2362.5</v>
      </c>
      <c r="Z829" s="12">
        <v>4.7058823529411766</v>
      </c>
      <c r="AA829" s="12"/>
      <c r="AB829" s="12"/>
    </row>
    <row r="830" spans="1:28" x14ac:dyDescent="0.3">
      <c r="A830" s="12" t="s">
        <v>2732</v>
      </c>
      <c r="B830" s="12" t="s">
        <v>120</v>
      </c>
      <c r="C830" s="12" t="s">
        <v>395</v>
      </c>
      <c r="D830" s="12" t="s">
        <v>2530</v>
      </c>
      <c r="E830" s="12" t="s">
        <v>2033</v>
      </c>
      <c r="F830" s="12" t="s">
        <v>32</v>
      </c>
      <c r="G830" s="12" t="s">
        <v>32</v>
      </c>
      <c r="H830" s="12" t="b">
        <v>1</v>
      </c>
      <c r="I830" s="12" t="b">
        <v>1</v>
      </c>
      <c r="J830" s="12" t="b">
        <v>0</v>
      </c>
      <c r="K830" s="12" t="b">
        <v>0</v>
      </c>
      <c r="L830" s="12">
        <v>420</v>
      </c>
      <c r="M830" s="12">
        <v>293.14999999999998</v>
      </c>
      <c r="N830" s="12">
        <v>3000</v>
      </c>
      <c r="O830" s="12">
        <v>637.5</v>
      </c>
      <c r="P830" s="12">
        <v>0.5</v>
      </c>
      <c r="Q830" s="12">
        <v>0.85</v>
      </c>
      <c r="R830" s="12">
        <v>0.75</v>
      </c>
      <c r="S830" s="12">
        <v>0.85</v>
      </c>
      <c r="T830" s="12">
        <v>0.75</v>
      </c>
      <c r="U830" s="12">
        <v>0.8</v>
      </c>
      <c r="V830" s="12">
        <v>293.14999999999998</v>
      </c>
      <c r="W830" s="12">
        <v>9.77880519120062</v>
      </c>
      <c r="X830" s="12">
        <v>50.30102763957688</v>
      </c>
      <c r="Y830" s="12">
        <v>2362.5</v>
      </c>
      <c r="Z830" s="12">
        <v>4.7058823529411766</v>
      </c>
      <c r="AA830" s="12"/>
      <c r="AB830" s="12"/>
    </row>
    <row r="831" spans="1:28" x14ac:dyDescent="0.3">
      <c r="A831" s="12" t="s">
        <v>2733</v>
      </c>
      <c r="B831" s="12" t="s">
        <v>120</v>
      </c>
      <c r="C831" s="12" t="s">
        <v>397</v>
      </c>
      <c r="D831" s="12" t="s">
        <v>2581</v>
      </c>
      <c r="E831" s="12" t="s">
        <v>2033</v>
      </c>
      <c r="F831" s="12" t="s">
        <v>1861</v>
      </c>
      <c r="G831" s="12" t="s">
        <v>1861</v>
      </c>
      <c r="H831" s="12" t="b">
        <v>1</v>
      </c>
      <c r="I831" s="12" t="b">
        <v>0</v>
      </c>
      <c r="J831" s="12" t="b">
        <v>1</v>
      </c>
      <c r="K831" s="12" t="b">
        <v>0</v>
      </c>
      <c r="L831" s="12">
        <v>623.15</v>
      </c>
      <c r="M831" s="12">
        <v>278.14999999999998</v>
      </c>
      <c r="N831" s="12">
        <v>3000</v>
      </c>
      <c r="O831" s="12">
        <v>712.5</v>
      </c>
      <c r="P831" s="12">
        <v>0.5</v>
      </c>
      <c r="Q831" s="12">
        <v>0.85</v>
      </c>
      <c r="R831" s="12">
        <v>0.75</v>
      </c>
      <c r="S831" s="12">
        <v>0.4</v>
      </c>
      <c r="T831" s="12">
        <v>0.75</v>
      </c>
      <c r="U831" s="12">
        <v>0.8</v>
      </c>
      <c r="V831" s="12">
        <v>278.14999999999998</v>
      </c>
      <c r="W831" s="12">
        <v>10.018987509838441</v>
      </c>
      <c r="X831" s="12">
        <v>96.388529351126721</v>
      </c>
      <c r="Y831" s="12">
        <v>2287.5</v>
      </c>
      <c r="Z831" s="12">
        <v>4.2105263157894726</v>
      </c>
      <c r="AA831" s="12" t="s">
        <v>1268</v>
      </c>
      <c r="AB831" s="12"/>
    </row>
    <row r="832" spans="1:28" x14ac:dyDescent="0.3">
      <c r="A832" s="12" t="s">
        <v>2734</v>
      </c>
      <c r="B832" s="12" t="s">
        <v>120</v>
      </c>
      <c r="C832" s="12" t="s">
        <v>397</v>
      </c>
      <c r="D832" s="12" t="s">
        <v>2581</v>
      </c>
      <c r="E832" s="12" t="s">
        <v>2033</v>
      </c>
      <c r="F832" s="12" t="s">
        <v>32</v>
      </c>
      <c r="G832" s="12" t="s">
        <v>32</v>
      </c>
      <c r="H832" s="12" t="b">
        <v>1</v>
      </c>
      <c r="I832" s="12" t="b">
        <v>0</v>
      </c>
      <c r="J832" s="12" t="b">
        <v>1</v>
      </c>
      <c r="K832" s="12" t="b">
        <v>0</v>
      </c>
      <c r="L832" s="12">
        <v>623.15</v>
      </c>
      <c r="M832" s="12">
        <v>283.14999999999998</v>
      </c>
      <c r="N832" s="12">
        <v>3000</v>
      </c>
      <c r="O832" s="12">
        <v>862.5</v>
      </c>
      <c r="P832" s="12">
        <v>0.5</v>
      </c>
      <c r="Q832" s="12">
        <v>0.85</v>
      </c>
      <c r="R832" s="12">
        <v>0.75</v>
      </c>
      <c r="S832" s="12">
        <v>0.4</v>
      </c>
      <c r="T832" s="12">
        <v>0.75</v>
      </c>
      <c r="U832" s="12">
        <v>0.8</v>
      </c>
      <c r="V832" s="12">
        <v>283.14999999999998</v>
      </c>
      <c r="W832" s="12">
        <v>8.8903220636360594</v>
      </c>
      <c r="X832" s="12">
        <v>85.025740633113315</v>
      </c>
      <c r="Y832" s="12">
        <v>2137.5</v>
      </c>
      <c r="Z832" s="12">
        <v>3.4782608695652169</v>
      </c>
      <c r="AA832" s="12"/>
      <c r="AB832" s="12"/>
    </row>
    <row r="833" spans="1:28" x14ac:dyDescent="0.3">
      <c r="A833" s="12" t="s">
        <v>2735</v>
      </c>
      <c r="B833" s="12" t="s">
        <v>120</v>
      </c>
      <c r="C833" s="12" t="s">
        <v>397</v>
      </c>
      <c r="D833" s="12" t="s">
        <v>2581</v>
      </c>
      <c r="E833" s="12" t="s">
        <v>2033</v>
      </c>
      <c r="F833" s="12" t="s">
        <v>32</v>
      </c>
      <c r="G833" s="12" t="s">
        <v>32</v>
      </c>
      <c r="H833" s="12" t="b">
        <v>1</v>
      </c>
      <c r="I833" s="12" t="b">
        <v>0</v>
      </c>
      <c r="J833" s="12" t="b">
        <v>1</v>
      </c>
      <c r="K833" s="12" t="b">
        <v>0</v>
      </c>
      <c r="L833" s="12">
        <v>623.15</v>
      </c>
      <c r="M833" s="12">
        <v>283.14999999999998</v>
      </c>
      <c r="N833" s="12">
        <v>3000</v>
      </c>
      <c r="O833" s="12">
        <v>862.5</v>
      </c>
      <c r="P833" s="12">
        <v>0.5</v>
      </c>
      <c r="Q833" s="12">
        <v>0.85</v>
      </c>
      <c r="R833" s="12">
        <v>0.75</v>
      </c>
      <c r="S833" s="12">
        <v>0.4</v>
      </c>
      <c r="T833" s="12">
        <v>0.75</v>
      </c>
      <c r="U833" s="12">
        <v>0.8</v>
      </c>
      <c r="V833" s="12">
        <v>283.14999999999998</v>
      </c>
      <c r="W833" s="12">
        <v>8.8903220636360594</v>
      </c>
      <c r="X833" s="12">
        <v>85.025740633113315</v>
      </c>
      <c r="Y833" s="12">
        <v>2137.5</v>
      </c>
      <c r="Z833" s="12">
        <v>3.4782608695652169</v>
      </c>
      <c r="AA833" s="12"/>
      <c r="AB833" s="12"/>
    </row>
    <row r="834" spans="1:28" x14ac:dyDescent="0.3">
      <c r="A834" s="12" t="s">
        <v>2736</v>
      </c>
      <c r="B834" s="12" t="s">
        <v>120</v>
      </c>
      <c r="C834" s="12" t="s">
        <v>397</v>
      </c>
      <c r="D834" s="12" t="s">
        <v>2581</v>
      </c>
      <c r="E834" s="12" t="s">
        <v>2033</v>
      </c>
      <c r="F834" s="12" t="s">
        <v>1861</v>
      </c>
      <c r="G834" s="12" t="s">
        <v>1861</v>
      </c>
      <c r="H834" s="12" t="b">
        <v>1</v>
      </c>
      <c r="I834" s="12" t="b">
        <v>0</v>
      </c>
      <c r="J834" s="12" t="b">
        <v>1</v>
      </c>
      <c r="K834" s="12" t="b">
        <v>0</v>
      </c>
      <c r="L834" s="12">
        <v>623.15</v>
      </c>
      <c r="M834" s="12">
        <v>278.14999999999998</v>
      </c>
      <c r="N834" s="12">
        <v>3000</v>
      </c>
      <c r="O834" s="12">
        <v>712.5</v>
      </c>
      <c r="P834" s="12">
        <v>0.5</v>
      </c>
      <c r="Q834" s="12">
        <v>0.85</v>
      </c>
      <c r="R834" s="12">
        <v>0.75</v>
      </c>
      <c r="S834" s="12">
        <v>0.4</v>
      </c>
      <c r="T834" s="12">
        <v>0.75</v>
      </c>
      <c r="U834" s="12">
        <v>0.8</v>
      </c>
      <c r="V834" s="12">
        <v>278.14999999999998</v>
      </c>
      <c r="W834" s="12">
        <v>10.018987509838441</v>
      </c>
      <c r="X834" s="12">
        <v>96.388529351126721</v>
      </c>
      <c r="Y834" s="12">
        <v>2287.5</v>
      </c>
      <c r="Z834" s="12">
        <v>4.2105263157894726</v>
      </c>
      <c r="AA834" s="12" t="s">
        <v>1268</v>
      </c>
      <c r="AB834" s="12"/>
    </row>
    <row r="835" spans="1:28" x14ac:dyDescent="0.3">
      <c r="A835" s="12" t="s">
        <v>2737</v>
      </c>
      <c r="B835" s="12" t="s">
        <v>120</v>
      </c>
      <c r="C835" s="12" t="s">
        <v>397</v>
      </c>
      <c r="D835" s="12" t="s">
        <v>2581</v>
      </c>
      <c r="E835" s="12" t="s">
        <v>2033</v>
      </c>
      <c r="F835" s="12" t="s">
        <v>32</v>
      </c>
      <c r="G835" s="12" t="s">
        <v>32</v>
      </c>
      <c r="H835" s="12" t="b">
        <v>1</v>
      </c>
      <c r="I835" s="12" t="b">
        <v>0</v>
      </c>
      <c r="J835" s="12" t="b">
        <v>1</v>
      </c>
      <c r="K835" s="12" t="b">
        <v>0</v>
      </c>
      <c r="L835" s="12">
        <v>623.15</v>
      </c>
      <c r="M835" s="12">
        <v>288.14999999999998</v>
      </c>
      <c r="N835" s="12">
        <v>3000</v>
      </c>
      <c r="O835" s="12">
        <v>1012.5</v>
      </c>
      <c r="P835" s="12">
        <v>0.5</v>
      </c>
      <c r="Q835" s="12">
        <v>0.85</v>
      </c>
      <c r="R835" s="12">
        <v>0.75</v>
      </c>
      <c r="S835" s="12">
        <v>0.4</v>
      </c>
      <c r="T835" s="12">
        <v>0.75</v>
      </c>
      <c r="U835" s="12">
        <v>0.8</v>
      </c>
      <c r="V835" s="12">
        <v>288.14999999999998</v>
      </c>
      <c r="W835" s="12">
        <v>7.9140815696382498</v>
      </c>
      <c r="X835" s="12">
        <v>75.240959444767597</v>
      </c>
      <c r="Y835" s="12">
        <v>1987.5</v>
      </c>
      <c r="Z835" s="12">
        <v>2.9629629629629628</v>
      </c>
      <c r="AA835" s="12"/>
      <c r="AB835" s="12"/>
    </row>
    <row r="836" spans="1:28" x14ac:dyDescent="0.3">
      <c r="A836" s="12" t="s">
        <v>2738</v>
      </c>
      <c r="B836" s="12" t="s">
        <v>120</v>
      </c>
      <c r="C836" s="12" t="s">
        <v>397</v>
      </c>
      <c r="D836" s="12" t="s">
        <v>2581</v>
      </c>
      <c r="E836" s="12" t="s">
        <v>2033</v>
      </c>
      <c r="F836" s="12" t="s">
        <v>32</v>
      </c>
      <c r="G836" s="12" t="s">
        <v>32</v>
      </c>
      <c r="H836" s="12" t="b">
        <v>1</v>
      </c>
      <c r="I836" s="12" t="b">
        <v>0</v>
      </c>
      <c r="J836" s="12" t="b">
        <v>1</v>
      </c>
      <c r="K836" s="12" t="b">
        <v>0</v>
      </c>
      <c r="L836" s="12">
        <v>623.15</v>
      </c>
      <c r="M836" s="12">
        <v>288.14999999999998</v>
      </c>
      <c r="N836" s="12">
        <v>3000</v>
      </c>
      <c r="O836" s="12">
        <v>1012.5</v>
      </c>
      <c r="P836" s="12">
        <v>0.5</v>
      </c>
      <c r="Q836" s="12">
        <v>0.85</v>
      </c>
      <c r="R836" s="12">
        <v>0.75</v>
      </c>
      <c r="S836" s="12">
        <v>0.4</v>
      </c>
      <c r="T836" s="12">
        <v>0.75</v>
      </c>
      <c r="U836" s="12">
        <v>0.8</v>
      </c>
      <c r="V836" s="12">
        <v>288.14999999999998</v>
      </c>
      <c r="W836" s="12">
        <v>7.9140815696382498</v>
      </c>
      <c r="X836" s="12">
        <v>75.240959444767597</v>
      </c>
      <c r="Y836" s="12">
        <v>1987.5</v>
      </c>
      <c r="Z836" s="12">
        <v>2.9629629629629628</v>
      </c>
      <c r="AA836" s="12"/>
      <c r="AB836" s="12"/>
    </row>
    <row r="837" spans="1:28" x14ac:dyDescent="0.3">
      <c r="A837" s="12" t="s">
        <v>2739</v>
      </c>
      <c r="B837" s="12" t="s">
        <v>120</v>
      </c>
      <c r="C837" s="12" t="s">
        <v>397</v>
      </c>
      <c r="D837" s="12" t="s">
        <v>2581</v>
      </c>
      <c r="E837" s="12" t="s">
        <v>2033</v>
      </c>
      <c r="F837" s="12" t="s">
        <v>1861</v>
      </c>
      <c r="G837" s="12" t="s">
        <v>1861</v>
      </c>
      <c r="H837" s="12" t="b">
        <v>1</v>
      </c>
      <c r="I837" s="12" t="b">
        <v>0</v>
      </c>
      <c r="J837" s="12" t="b">
        <v>1</v>
      </c>
      <c r="K837" s="12" t="b">
        <v>0</v>
      </c>
      <c r="L837" s="12">
        <v>623.15</v>
      </c>
      <c r="M837" s="12">
        <v>293.14999999999998</v>
      </c>
      <c r="N837" s="12">
        <v>3000</v>
      </c>
      <c r="O837" s="12">
        <v>1087.5</v>
      </c>
      <c r="P837" s="12">
        <v>0.5</v>
      </c>
      <c r="Q837" s="12">
        <v>0.85</v>
      </c>
      <c r="R837" s="12">
        <v>0.75</v>
      </c>
      <c r="S837" s="12">
        <v>0.4</v>
      </c>
      <c r="T837" s="12">
        <v>0.75</v>
      </c>
      <c r="U837" s="12">
        <v>0.8</v>
      </c>
      <c r="V837" s="12">
        <v>293.14999999999998</v>
      </c>
      <c r="W837" s="12">
        <v>7.5228483512417208</v>
      </c>
      <c r="X837" s="12">
        <v>71.1129692937198</v>
      </c>
      <c r="Y837" s="12">
        <v>1912.5</v>
      </c>
      <c r="Z837" s="12">
        <v>2.758620689655173</v>
      </c>
      <c r="AA837" s="12" t="s">
        <v>1268</v>
      </c>
      <c r="AB837" s="12"/>
    </row>
    <row r="838" spans="1:28" x14ac:dyDescent="0.3">
      <c r="A838" s="12" t="s">
        <v>2740</v>
      </c>
      <c r="B838" s="12" t="s">
        <v>120</v>
      </c>
      <c r="C838" s="12" t="s">
        <v>397</v>
      </c>
      <c r="D838" s="12" t="s">
        <v>2581</v>
      </c>
      <c r="E838" s="12" t="s">
        <v>2033</v>
      </c>
      <c r="F838" s="12" t="s">
        <v>1861</v>
      </c>
      <c r="G838" s="12" t="s">
        <v>1861</v>
      </c>
      <c r="H838" s="12" t="b">
        <v>1</v>
      </c>
      <c r="I838" s="12" t="b">
        <v>0</v>
      </c>
      <c r="J838" s="12" t="b">
        <v>1</v>
      </c>
      <c r="K838" s="12" t="b">
        <v>0</v>
      </c>
      <c r="L838" s="12">
        <v>623.15</v>
      </c>
      <c r="M838" s="12">
        <v>293.14999999999998</v>
      </c>
      <c r="N838" s="12">
        <v>3000</v>
      </c>
      <c r="O838" s="12">
        <v>1087.5</v>
      </c>
      <c r="P838" s="12">
        <v>0.5</v>
      </c>
      <c r="Q838" s="12">
        <v>0.85</v>
      </c>
      <c r="R838" s="12">
        <v>0.75</v>
      </c>
      <c r="S838" s="12">
        <v>0.4</v>
      </c>
      <c r="T838" s="12">
        <v>0.75</v>
      </c>
      <c r="U838" s="12">
        <v>0.8</v>
      </c>
      <c r="V838" s="12">
        <v>293.14999999999998</v>
      </c>
      <c r="W838" s="12">
        <v>7.5228483512417208</v>
      </c>
      <c r="X838" s="12">
        <v>71.1129692937198</v>
      </c>
      <c r="Y838" s="12">
        <v>1912.5</v>
      </c>
      <c r="Z838" s="12">
        <v>2.758620689655173</v>
      </c>
      <c r="AA838" s="12" t="s">
        <v>1268</v>
      </c>
      <c r="AB838" s="12"/>
    </row>
    <row r="839" spans="1:28" x14ac:dyDescent="0.3">
      <c r="A839" s="12" t="s">
        <v>2741</v>
      </c>
      <c r="B839" s="12" t="s">
        <v>120</v>
      </c>
      <c r="C839" s="12" t="s">
        <v>397</v>
      </c>
      <c r="D839" s="12" t="s">
        <v>2581</v>
      </c>
      <c r="E839" s="12" t="s">
        <v>2033</v>
      </c>
      <c r="F839" s="12" t="s">
        <v>32</v>
      </c>
      <c r="G839" s="12" t="s">
        <v>32</v>
      </c>
      <c r="H839" s="12" t="b">
        <v>1</v>
      </c>
      <c r="I839" s="12" t="b">
        <v>0</v>
      </c>
      <c r="J839" s="12" t="b">
        <v>1</v>
      </c>
      <c r="K839" s="12" t="b">
        <v>0</v>
      </c>
      <c r="L839" s="12">
        <v>623.15</v>
      </c>
      <c r="M839" s="12">
        <v>300.032917</v>
      </c>
      <c r="N839" s="12">
        <v>3000</v>
      </c>
      <c r="O839" s="12">
        <v>1312.5</v>
      </c>
      <c r="P839" s="12">
        <v>0.5</v>
      </c>
      <c r="Q839" s="12">
        <v>0.85</v>
      </c>
      <c r="R839" s="12">
        <v>0.75</v>
      </c>
      <c r="S839" s="12">
        <v>0.4</v>
      </c>
      <c r="T839" s="12">
        <v>0.75</v>
      </c>
      <c r="U839" s="12">
        <v>0.8</v>
      </c>
      <c r="V839" s="12">
        <v>300.032917</v>
      </c>
      <c r="W839" s="12">
        <v>6.3023202043125686</v>
      </c>
      <c r="X839" s="12">
        <v>59.075963361697582</v>
      </c>
      <c r="Y839" s="12">
        <v>1687.5</v>
      </c>
      <c r="Z839" s="12">
        <v>2.285714285714286</v>
      </c>
      <c r="AA839" s="12"/>
      <c r="AB839" s="12"/>
    </row>
    <row r="840" spans="1:28" x14ac:dyDescent="0.3">
      <c r="A840" s="12" t="s">
        <v>2742</v>
      </c>
      <c r="B840" s="12" t="s">
        <v>120</v>
      </c>
      <c r="C840" s="12" t="s">
        <v>397</v>
      </c>
      <c r="D840" s="12" t="s">
        <v>2581</v>
      </c>
      <c r="E840" s="12" t="s">
        <v>2033</v>
      </c>
      <c r="F840" s="12" t="s">
        <v>32</v>
      </c>
      <c r="G840" s="12" t="s">
        <v>32</v>
      </c>
      <c r="H840" s="12" t="b">
        <v>1</v>
      </c>
      <c r="I840" s="12" t="b">
        <v>0</v>
      </c>
      <c r="J840" s="12" t="b">
        <v>1</v>
      </c>
      <c r="K840" s="12" t="b">
        <v>0</v>
      </c>
      <c r="L840" s="12">
        <v>623.15</v>
      </c>
      <c r="M840" s="12">
        <v>300.032917</v>
      </c>
      <c r="N840" s="12">
        <v>3000</v>
      </c>
      <c r="O840" s="12">
        <v>1312.5</v>
      </c>
      <c r="P840" s="12">
        <v>0.5</v>
      </c>
      <c r="Q840" s="12">
        <v>0.85</v>
      </c>
      <c r="R840" s="12">
        <v>0.75</v>
      </c>
      <c r="S840" s="12">
        <v>0.4</v>
      </c>
      <c r="T840" s="12">
        <v>0.75</v>
      </c>
      <c r="U840" s="12">
        <v>0.8</v>
      </c>
      <c r="V840" s="12">
        <v>300.032917</v>
      </c>
      <c r="W840" s="12">
        <v>6.3023202043125686</v>
      </c>
      <c r="X840" s="12">
        <v>59.075963361697582</v>
      </c>
      <c r="Y840" s="12">
        <v>1687.5</v>
      </c>
      <c r="Z840" s="12">
        <v>2.285714285714286</v>
      </c>
      <c r="AA840" s="12"/>
      <c r="AB840" s="12"/>
    </row>
    <row r="841" spans="1:28" x14ac:dyDescent="0.3">
      <c r="A841" s="12" t="s">
        <v>2743</v>
      </c>
      <c r="B841" s="12" t="s">
        <v>120</v>
      </c>
      <c r="C841" s="12" t="s">
        <v>392</v>
      </c>
      <c r="D841" s="12" t="s">
        <v>2478</v>
      </c>
      <c r="E841" s="12" t="s">
        <v>2033</v>
      </c>
      <c r="F841" s="12" t="s">
        <v>1861</v>
      </c>
      <c r="G841" s="12" t="s">
        <v>1861</v>
      </c>
      <c r="H841" s="12" t="b">
        <v>1</v>
      </c>
      <c r="I841" s="12" t="b">
        <v>0</v>
      </c>
      <c r="J841" s="12" t="b">
        <v>0</v>
      </c>
      <c r="K841" s="12" t="b">
        <v>0</v>
      </c>
      <c r="L841" s="12">
        <v>403</v>
      </c>
      <c r="M841" s="12">
        <v>278.14999999999998</v>
      </c>
      <c r="N841" s="12">
        <v>3000</v>
      </c>
      <c r="O841" s="12">
        <v>281.25</v>
      </c>
      <c r="P841" s="12">
        <v>0.5</v>
      </c>
      <c r="Q841" s="12">
        <v>0.85</v>
      </c>
      <c r="R841" s="12">
        <v>0.75</v>
      </c>
      <c r="S841" s="12">
        <v>0.85</v>
      </c>
      <c r="T841" s="12">
        <v>0.75</v>
      </c>
      <c r="U841" s="12">
        <v>0.8</v>
      </c>
      <c r="V841" s="12">
        <v>278.14999999999998</v>
      </c>
      <c r="W841" s="12">
        <v>10.542921081408</v>
      </c>
      <c r="X841" s="12">
        <v>35.34747836723507</v>
      </c>
      <c r="Y841" s="12">
        <v>2718.75</v>
      </c>
      <c r="Z841" s="12">
        <v>10.66666666666667</v>
      </c>
      <c r="AA841" s="12" t="s">
        <v>1268</v>
      </c>
      <c r="AB841" s="12"/>
    </row>
    <row r="842" spans="1:28" x14ac:dyDescent="0.3">
      <c r="A842" s="12" t="s">
        <v>2744</v>
      </c>
      <c r="B842" s="12" t="s">
        <v>120</v>
      </c>
      <c r="C842" s="12" t="s">
        <v>392</v>
      </c>
      <c r="D842" s="12" t="s">
        <v>2478</v>
      </c>
      <c r="E842" s="12" t="s">
        <v>2033</v>
      </c>
      <c r="F842" s="12" t="s">
        <v>1861</v>
      </c>
      <c r="G842" s="12" t="s">
        <v>1861</v>
      </c>
      <c r="H842" s="12" t="b">
        <v>1</v>
      </c>
      <c r="I842" s="12" t="b">
        <v>0</v>
      </c>
      <c r="J842" s="12" t="b">
        <v>0</v>
      </c>
      <c r="K842" s="12" t="b">
        <v>0</v>
      </c>
      <c r="L842" s="12">
        <v>403</v>
      </c>
      <c r="M842" s="12">
        <v>283.14999999999998</v>
      </c>
      <c r="N842" s="12">
        <v>3000</v>
      </c>
      <c r="O842" s="12">
        <v>318.75</v>
      </c>
      <c r="P842" s="12">
        <v>0.5</v>
      </c>
      <c r="Q842" s="12">
        <v>0.85</v>
      </c>
      <c r="R842" s="12">
        <v>0.75</v>
      </c>
      <c r="S842" s="12">
        <v>0.85</v>
      </c>
      <c r="T842" s="12">
        <v>0.75</v>
      </c>
      <c r="U842" s="12">
        <v>0.8</v>
      </c>
      <c r="V842" s="12">
        <v>283.14999999999998</v>
      </c>
      <c r="W842" s="12">
        <v>10.273389650953609</v>
      </c>
      <c r="X842" s="12">
        <v>33.764123168880722</v>
      </c>
      <c r="Y842" s="12">
        <v>2681.25</v>
      </c>
      <c r="Z842" s="12">
        <v>9.4117647058823515</v>
      </c>
      <c r="AA842" s="12" t="s">
        <v>1268</v>
      </c>
      <c r="AB842" s="12"/>
    </row>
    <row r="843" spans="1:28" x14ac:dyDescent="0.3">
      <c r="A843" s="12" t="s">
        <v>2745</v>
      </c>
      <c r="B843" s="12" t="s">
        <v>120</v>
      </c>
      <c r="C843" s="12" t="s">
        <v>392</v>
      </c>
      <c r="D843" s="12" t="s">
        <v>2478</v>
      </c>
      <c r="E843" s="12" t="s">
        <v>2033</v>
      </c>
      <c r="F843" s="12" t="s">
        <v>1861</v>
      </c>
      <c r="G843" s="12" t="s">
        <v>1861</v>
      </c>
      <c r="H843" s="12" t="b">
        <v>1</v>
      </c>
      <c r="I843" s="12" t="b">
        <v>0</v>
      </c>
      <c r="J843" s="12" t="b">
        <v>0</v>
      </c>
      <c r="K843" s="12" t="b">
        <v>0</v>
      </c>
      <c r="L843" s="12">
        <v>403</v>
      </c>
      <c r="M843" s="12">
        <v>283.14999999999998</v>
      </c>
      <c r="N843" s="12">
        <v>3000</v>
      </c>
      <c r="O843" s="12">
        <v>318.75</v>
      </c>
      <c r="P843" s="12">
        <v>0.5</v>
      </c>
      <c r="Q843" s="12">
        <v>0.85</v>
      </c>
      <c r="R843" s="12">
        <v>0.75</v>
      </c>
      <c r="S843" s="12">
        <v>0.85</v>
      </c>
      <c r="T843" s="12">
        <v>0.75</v>
      </c>
      <c r="U843" s="12">
        <v>0.8</v>
      </c>
      <c r="V843" s="12">
        <v>283.14999999999998</v>
      </c>
      <c r="W843" s="12">
        <v>10.273389650953609</v>
      </c>
      <c r="X843" s="12">
        <v>33.764123168880722</v>
      </c>
      <c r="Y843" s="12">
        <v>2681.25</v>
      </c>
      <c r="Z843" s="12">
        <v>9.4117647058823515</v>
      </c>
      <c r="AA843" s="12" t="s">
        <v>1268</v>
      </c>
      <c r="AB843" s="12"/>
    </row>
    <row r="844" spans="1:28" x14ac:dyDescent="0.3">
      <c r="A844" s="12" t="s">
        <v>2746</v>
      </c>
      <c r="B844" s="12" t="s">
        <v>120</v>
      </c>
      <c r="C844" s="12" t="s">
        <v>392</v>
      </c>
      <c r="D844" s="12" t="s">
        <v>2478</v>
      </c>
      <c r="E844" s="12" t="s">
        <v>2033</v>
      </c>
      <c r="F844" s="12" t="s">
        <v>1861</v>
      </c>
      <c r="G844" s="12" t="s">
        <v>1861</v>
      </c>
      <c r="H844" s="12" t="b">
        <v>1</v>
      </c>
      <c r="I844" s="12" t="b">
        <v>0</v>
      </c>
      <c r="J844" s="12" t="b">
        <v>0</v>
      </c>
      <c r="K844" s="12" t="b">
        <v>0</v>
      </c>
      <c r="L844" s="12">
        <v>403</v>
      </c>
      <c r="M844" s="12">
        <v>278.14999999999998</v>
      </c>
      <c r="N844" s="12">
        <v>3000</v>
      </c>
      <c r="O844" s="12">
        <v>281.25</v>
      </c>
      <c r="P844" s="12">
        <v>0.5</v>
      </c>
      <c r="Q844" s="12">
        <v>0.85</v>
      </c>
      <c r="R844" s="12">
        <v>0.75</v>
      </c>
      <c r="S844" s="12">
        <v>0.85</v>
      </c>
      <c r="T844" s="12">
        <v>0.75</v>
      </c>
      <c r="U844" s="12">
        <v>0.8</v>
      </c>
      <c r="V844" s="12">
        <v>278.14999999999998</v>
      </c>
      <c r="W844" s="12">
        <v>10.542921081408</v>
      </c>
      <c r="X844" s="12">
        <v>35.34747836723507</v>
      </c>
      <c r="Y844" s="12">
        <v>2718.75</v>
      </c>
      <c r="Z844" s="12">
        <v>10.66666666666667</v>
      </c>
      <c r="AA844" s="12" t="s">
        <v>1268</v>
      </c>
      <c r="AB844" s="12"/>
    </row>
    <row r="845" spans="1:28" x14ac:dyDescent="0.3">
      <c r="A845" s="12" t="s">
        <v>2747</v>
      </c>
      <c r="B845" s="12" t="s">
        <v>120</v>
      </c>
      <c r="C845" s="12" t="s">
        <v>392</v>
      </c>
      <c r="D845" s="12" t="s">
        <v>2478</v>
      </c>
      <c r="E845" s="12" t="s">
        <v>2033</v>
      </c>
      <c r="F845" s="12" t="s">
        <v>32</v>
      </c>
      <c r="G845" s="12" t="s">
        <v>32</v>
      </c>
      <c r="H845" s="12" t="b">
        <v>1</v>
      </c>
      <c r="I845" s="12" t="b">
        <v>1</v>
      </c>
      <c r="J845" s="12" t="b">
        <v>0</v>
      </c>
      <c r="K845" s="12" t="b">
        <v>0</v>
      </c>
      <c r="L845" s="12">
        <v>403</v>
      </c>
      <c r="M845" s="12">
        <v>288.14999999999998</v>
      </c>
      <c r="N845" s="12">
        <v>3000</v>
      </c>
      <c r="O845" s="12">
        <v>393.75</v>
      </c>
      <c r="P845" s="12">
        <v>0.5</v>
      </c>
      <c r="Q845" s="12">
        <v>0.85</v>
      </c>
      <c r="R845" s="12">
        <v>0.75</v>
      </c>
      <c r="S845" s="12">
        <v>0.85</v>
      </c>
      <c r="T845" s="12">
        <v>0.75</v>
      </c>
      <c r="U845" s="12">
        <v>0.8</v>
      </c>
      <c r="V845" s="12">
        <v>288.14999999999998</v>
      </c>
      <c r="W845" s="12">
        <v>9.6060438726362207</v>
      </c>
      <c r="X845" s="12">
        <v>30.923896131613439</v>
      </c>
      <c r="Y845" s="12">
        <v>2606.25</v>
      </c>
      <c r="Z845" s="12">
        <v>7.6190476190476186</v>
      </c>
      <c r="AA845" s="12"/>
      <c r="AB845" s="12"/>
    </row>
    <row r="846" spans="1:28" x14ac:dyDescent="0.3">
      <c r="A846" s="12" t="s">
        <v>2748</v>
      </c>
      <c r="B846" s="12" t="s">
        <v>120</v>
      </c>
      <c r="C846" s="12" t="s">
        <v>392</v>
      </c>
      <c r="D846" s="12" t="s">
        <v>2478</v>
      </c>
      <c r="E846" s="12" t="s">
        <v>2033</v>
      </c>
      <c r="F846" s="12" t="s">
        <v>1861</v>
      </c>
      <c r="G846" s="12" t="s">
        <v>1861</v>
      </c>
      <c r="H846" s="12" t="b">
        <v>1</v>
      </c>
      <c r="I846" s="12" t="b">
        <v>0</v>
      </c>
      <c r="J846" s="12" t="b">
        <v>0</v>
      </c>
      <c r="K846" s="12" t="b">
        <v>0</v>
      </c>
      <c r="L846" s="12">
        <v>403</v>
      </c>
      <c r="M846" s="12">
        <v>300.032917</v>
      </c>
      <c r="N846" s="12">
        <v>3000</v>
      </c>
      <c r="O846" s="12">
        <v>543.75</v>
      </c>
      <c r="P846" s="12">
        <v>0.5</v>
      </c>
      <c r="Q846" s="12">
        <v>0.85</v>
      </c>
      <c r="R846" s="12">
        <v>0.75</v>
      </c>
      <c r="S846" s="12">
        <v>0.85</v>
      </c>
      <c r="T846" s="12">
        <v>0.75</v>
      </c>
      <c r="U846" s="12">
        <v>0.8</v>
      </c>
      <c r="V846" s="12">
        <v>300.032917</v>
      </c>
      <c r="W846" s="12">
        <v>8.6572760000231899</v>
      </c>
      <c r="X846" s="12">
        <v>26.481098324290251</v>
      </c>
      <c r="Y846" s="12">
        <v>2456.25</v>
      </c>
      <c r="Z846" s="12">
        <v>5.5172413793103452</v>
      </c>
      <c r="AA846" s="12" t="s">
        <v>1268</v>
      </c>
      <c r="AB846" s="12"/>
    </row>
    <row r="847" spans="1:28" x14ac:dyDescent="0.3">
      <c r="A847" s="12" t="s">
        <v>2749</v>
      </c>
      <c r="B847" s="12" t="s">
        <v>120</v>
      </c>
      <c r="C847" s="12" t="s">
        <v>392</v>
      </c>
      <c r="D847" s="12" t="s">
        <v>2478</v>
      </c>
      <c r="E847" s="12" t="s">
        <v>2033</v>
      </c>
      <c r="F847" s="12" t="s">
        <v>32</v>
      </c>
      <c r="G847" s="12" t="s">
        <v>32</v>
      </c>
      <c r="H847" s="12" t="b">
        <v>1</v>
      </c>
      <c r="I847" s="12" t="b">
        <v>1</v>
      </c>
      <c r="J847" s="12" t="b">
        <v>0</v>
      </c>
      <c r="K847" s="12" t="b">
        <v>0</v>
      </c>
      <c r="L847" s="12">
        <v>403</v>
      </c>
      <c r="M847" s="12">
        <v>293.14999999999998</v>
      </c>
      <c r="N847" s="12">
        <v>3000</v>
      </c>
      <c r="O847" s="12">
        <v>468.75</v>
      </c>
      <c r="P847" s="12">
        <v>0.5</v>
      </c>
      <c r="Q847" s="12">
        <v>0.85</v>
      </c>
      <c r="R847" s="12">
        <v>0.75</v>
      </c>
      <c r="S847" s="12">
        <v>0.85</v>
      </c>
      <c r="T847" s="12">
        <v>0.75</v>
      </c>
      <c r="U847" s="12">
        <v>0.8</v>
      </c>
      <c r="V847" s="12">
        <v>293.14999999999998</v>
      </c>
      <c r="W847" s="12">
        <v>9.0486422518797607</v>
      </c>
      <c r="X847" s="12">
        <v>28.518447922045429</v>
      </c>
      <c r="Y847" s="12">
        <v>2531.25</v>
      </c>
      <c r="Z847" s="12">
        <v>6.4</v>
      </c>
      <c r="AA847" s="12"/>
      <c r="AB847" s="12"/>
    </row>
    <row r="848" spans="1:28" x14ac:dyDescent="0.3">
      <c r="A848" s="12" t="s">
        <v>2750</v>
      </c>
      <c r="B848" s="12" t="s">
        <v>120</v>
      </c>
      <c r="C848" s="12" t="s">
        <v>392</v>
      </c>
      <c r="D848" s="12" t="s">
        <v>2478</v>
      </c>
      <c r="E848" s="12" t="s">
        <v>2033</v>
      </c>
      <c r="F848" s="12" t="s">
        <v>32</v>
      </c>
      <c r="G848" s="12" t="s">
        <v>32</v>
      </c>
      <c r="H848" s="12" t="b">
        <v>1</v>
      </c>
      <c r="I848" s="12" t="b">
        <v>1</v>
      </c>
      <c r="J848" s="12" t="b">
        <v>0</v>
      </c>
      <c r="K848" s="12" t="b">
        <v>0</v>
      </c>
      <c r="L848" s="12">
        <v>403</v>
      </c>
      <c r="M848" s="12">
        <v>293.14999999999998</v>
      </c>
      <c r="N848" s="12">
        <v>3000</v>
      </c>
      <c r="O848" s="12">
        <v>468.75</v>
      </c>
      <c r="P848" s="12">
        <v>0.5</v>
      </c>
      <c r="Q848" s="12">
        <v>0.85</v>
      </c>
      <c r="R848" s="12">
        <v>0.75</v>
      </c>
      <c r="S848" s="12">
        <v>0.85</v>
      </c>
      <c r="T848" s="12">
        <v>0.75</v>
      </c>
      <c r="U848" s="12">
        <v>0.8</v>
      </c>
      <c r="V848" s="12">
        <v>293.14999999999998</v>
      </c>
      <c r="W848" s="12">
        <v>9.0486422518797607</v>
      </c>
      <c r="X848" s="12">
        <v>28.518447922045429</v>
      </c>
      <c r="Y848" s="12">
        <v>2531.25</v>
      </c>
      <c r="Z848" s="12">
        <v>6.4</v>
      </c>
      <c r="AA848" s="12"/>
      <c r="AB848" s="12"/>
    </row>
    <row r="849" spans="1:28" x14ac:dyDescent="0.3">
      <c r="A849" s="12" t="s">
        <v>2751</v>
      </c>
      <c r="B849" s="12" t="s">
        <v>120</v>
      </c>
      <c r="C849" s="12" t="s">
        <v>392</v>
      </c>
      <c r="D849" s="12" t="s">
        <v>2478</v>
      </c>
      <c r="E849" s="12" t="s">
        <v>2033</v>
      </c>
      <c r="F849" s="12" t="s">
        <v>1861</v>
      </c>
      <c r="G849" s="12" t="s">
        <v>1861</v>
      </c>
      <c r="H849" s="12" t="b">
        <v>1</v>
      </c>
      <c r="I849" s="12" t="b">
        <v>0</v>
      </c>
      <c r="J849" s="12" t="b">
        <v>0</v>
      </c>
      <c r="K849" s="12" t="b">
        <v>0</v>
      </c>
      <c r="L849" s="12">
        <v>403</v>
      </c>
      <c r="M849" s="12">
        <v>300.032917</v>
      </c>
      <c r="N849" s="12">
        <v>3000</v>
      </c>
      <c r="O849" s="12">
        <v>543.75</v>
      </c>
      <c r="P849" s="12">
        <v>0.5</v>
      </c>
      <c r="Q849" s="12">
        <v>0.85</v>
      </c>
      <c r="R849" s="12">
        <v>0.75</v>
      </c>
      <c r="S849" s="12">
        <v>0.85</v>
      </c>
      <c r="T849" s="12">
        <v>0.75</v>
      </c>
      <c r="U849" s="12">
        <v>0.8</v>
      </c>
      <c r="V849" s="12">
        <v>300.032917</v>
      </c>
      <c r="W849" s="12">
        <v>8.6572760000231899</v>
      </c>
      <c r="X849" s="12">
        <v>26.481098324290251</v>
      </c>
      <c r="Y849" s="12">
        <v>2456.25</v>
      </c>
      <c r="Z849" s="12">
        <v>5.5172413793103452</v>
      </c>
      <c r="AA849" s="12" t="s">
        <v>1268</v>
      </c>
      <c r="AB849" s="12"/>
    </row>
    <row r="850" spans="1:28" x14ac:dyDescent="0.3">
      <c r="A850" s="12" t="s">
        <v>2752</v>
      </c>
      <c r="B850" s="12" t="s">
        <v>120</v>
      </c>
      <c r="C850" s="12" t="s">
        <v>392</v>
      </c>
      <c r="D850" s="12" t="s">
        <v>2478</v>
      </c>
      <c r="E850" s="12" t="s">
        <v>2033</v>
      </c>
      <c r="F850" s="12" t="s">
        <v>32</v>
      </c>
      <c r="G850" s="12" t="s">
        <v>32</v>
      </c>
      <c r="H850" s="12" t="b">
        <v>1</v>
      </c>
      <c r="I850" s="12" t="b">
        <v>1</v>
      </c>
      <c r="J850" s="12" t="b">
        <v>0</v>
      </c>
      <c r="K850" s="12" t="b">
        <v>0</v>
      </c>
      <c r="L850" s="12">
        <v>403</v>
      </c>
      <c r="M850" s="12">
        <v>288.14999999999998</v>
      </c>
      <c r="N850" s="12">
        <v>3000</v>
      </c>
      <c r="O850" s="12">
        <v>393.75</v>
      </c>
      <c r="P850" s="12">
        <v>0.5</v>
      </c>
      <c r="Q850" s="12">
        <v>0.85</v>
      </c>
      <c r="R850" s="12">
        <v>0.75</v>
      </c>
      <c r="S850" s="12">
        <v>0.85</v>
      </c>
      <c r="T850" s="12">
        <v>0.75</v>
      </c>
      <c r="U850" s="12">
        <v>0.8</v>
      </c>
      <c r="V850" s="12">
        <v>288.14999999999998</v>
      </c>
      <c r="W850" s="12">
        <v>9.6060438726362207</v>
      </c>
      <c r="X850" s="12">
        <v>30.923896131613439</v>
      </c>
      <c r="Y850" s="12">
        <v>2606.25</v>
      </c>
      <c r="Z850" s="12">
        <v>7.6190476190476186</v>
      </c>
      <c r="AA850" s="12"/>
      <c r="AB850" s="12"/>
    </row>
    <row r="851" spans="1:28" x14ac:dyDescent="0.3">
      <c r="A851" s="12" t="s">
        <v>2753</v>
      </c>
      <c r="B851" s="12" t="s">
        <v>120</v>
      </c>
      <c r="C851" s="12" t="s">
        <v>395</v>
      </c>
      <c r="D851" s="12" t="s">
        <v>2530</v>
      </c>
      <c r="E851" s="12" t="s">
        <v>2033</v>
      </c>
      <c r="F851" s="12" t="s">
        <v>32</v>
      </c>
      <c r="G851" s="12" t="s">
        <v>32</v>
      </c>
      <c r="H851" s="12" t="b">
        <v>1</v>
      </c>
      <c r="I851" s="12" t="b">
        <v>1</v>
      </c>
      <c r="J851" s="12" t="b">
        <v>0</v>
      </c>
      <c r="K851" s="12" t="b">
        <v>0</v>
      </c>
      <c r="L851" s="12">
        <v>420</v>
      </c>
      <c r="M851" s="12">
        <v>278.14999999999998</v>
      </c>
      <c r="N851" s="12">
        <v>3000</v>
      </c>
      <c r="O851" s="12">
        <v>393.75</v>
      </c>
      <c r="P851" s="12">
        <v>0.5</v>
      </c>
      <c r="Q851" s="12">
        <v>0.85</v>
      </c>
      <c r="R851" s="12">
        <v>0.75</v>
      </c>
      <c r="S851" s="12">
        <v>0.85</v>
      </c>
      <c r="T851" s="12">
        <v>0.75</v>
      </c>
      <c r="U851" s="12">
        <v>0.8</v>
      </c>
      <c r="V851" s="12">
        <v>278.14999999999998</v>
      </c>
      <c r="W851" s="12">
        <v>11.90841397447066</v>
      </c>
      <c r="X851" s="12">
        <v>64.294341119429092</v>
      </c>
      <c r="Y851" s="12">
        <v>2606.25</v>
      </c>
      <c r="Z851" s="12">
        <v>7.6190476190476186</v>
      </c>
      <c r="AA851" s="12"/>
      <c r="AB851" s="12"/>
    </row>
    <row r="852" spans="1:28" x14ac:dyDescent="0.3">
      <c r="A852" s="12" t="s">
        <v>2754</v>
      </c>
      <c r="B852" s="12" t="s">
        <v>120</v>
      </c>
      <c r="C852" s="12" t="s">
        <v>395</v>
      </c>
      <c r="D852" s="12" t="s">
        <v>2530</v>
      </c>
      <c r="E852" s="12" t="s">
        <v>2033</v>
      </c>
      <c r="F852" s="12" t="s">
        <v>32</v>
      </c>
      <c r="G852" s="12" t="s">
        <v>32</v>
      </c>
      <c r="H852" s="12" t="b">
        <v>1</v>
      </c>
      <c r="I852" s="12" t="b">
        <v>1</v>
      </c>
      <c r="J852" s="12" t="b">
        <v>0</v>
      </c>
      <c r="K852" s="12" t="b">
        <v>0</v>
      </c>
      <c r="L852" s="12">
        <v>420</v>
      </c>
      <c r="M852" s="12">
        <v>278.14999999999998</v>
      </c>
      <c r="N852" s="12">
        <v>3000</v>
      </c>
      <c r="O852" s="12">
        <v>393.75</v>
      </c>
      <c r="P852" s="12">
        <v>0.5</v>
      </c>
      <c r="Q852" s="12">
        <v>0.85</v>
      </c>
      <c r="R852" s="12">
        <v>0.75</v>
      </c>
      <c r="S852" s="12">
        <v>0.85</v>
      </c>
      <c r="T852" s="12">
        <v>0.75</v>
      </c>
      <c r="U852" s="12">
        <v>0.8</v>
      </c>
      <c r="V852" s="12">
        <v>278.14999999999998</v>
      </c>
      <c r="W852" s="12">
        <v>11.90841397447066</v>
      </c>
      <c r="X852" s="12">
        <v>64.294341119429092</v>
      </c>
      <c r="Y852" s="12">
        <v>2606.25</v>
      </c>
      <c r="Z852" s="12">
        <v>7.6190476190476186</v>
      </c>
      <c r="AA852" s="12"/>
      <c r="AB852" s="12"/>
    </row>
    <row r="853" spans="1:28" x14ac:dyDescent="0.3">
      <c r="A853" s="12" t="s">
        <v>2755</v>
      </c>
      <c r="B853" s="12" t="s">
        <v>120</v>
      </c>
      <c r="C853" s="12" t="s">
        <v>395</v>
      </c>
      <c r="D853" s="12" t="s">
        <v>2530</v>
      </c>
      <c r="E853" s="12" t="s">
        <v>2033</v>
      </c>
      <c r="F853" s="12" t="s">
        <v>32</v>
      </c>
      <c r="G853" s="12" t="s">
        <v>32</v>
      </c>
      <c r="H853" s="12" t="b">
        <v>1</v>
      </c>
      <c r="I853" s="12" t="b">
        <v>1</v>
      </c>
      <c r="J853" s="12" t="b">
        <v>0</v>
      </c>
      <c r="K853" s="12" t="b">
        <v>0</v>
      </c>
      <c r="L853" s="12">
        <v>420</v>
      </c>
      <c r="M853" s="12">
        <v>283.14999999999998</v>
      </c>
      <c r="N853" s="12">
        <v>3000</v>
      </c>
      <c r="O853" s="12">
        <v>468.75</v>
      </c>
      <c r="P853" s="12">
        <v>0.5</v>
      </c>
      <c r="Q853" s="12">
        <v>0.85</v>
      </c>
      <c r="R853" s="12">
        <v>0.75</v>
      </c>
      <c r="S853" s="12">
        <v>0.85</v>
      </c>
      <c r="T853" s="12">
        <v>0.75</v>
      </c>
      <c r="U853" s="12">
        <v>0.8</v>
      </c>
      <c r="V853" s="12">
        <v>283.14999999999998</v>
      </c>
      <c r="W853" s="12">
        <v>11.163386054669321</v>
      </c>
      <c r="X853" s="12">
        <v>59.325255345571982</v>
      </c>
      <c r="Y853" s="12">
        <v>2531.25</v>
      </c>
      <c r="Z853" s="12">
        <v>6.4</v>
      </c>
      <c r="AA853" s="12"/>
      <c r="AB853" s="12"/>
    </row>
    <row r="854" spans="1:28" x14ac:dyDescent="0.3">
      <c r="A854" s="12" t="s">
        <v>2756</v>
      </c>
      <c r="B854" s="12" t="s">
        <v>120</v>
      </c>
      <c r="C854" s="12" t="s">
        <v>395</v>
      </c>
      <c r="D854" s="12" t="s">
        <v>2530</v>
      </c>
      <c r="E854" s="12" t="s">
        <v>2033</v>
      </c>
      <c r="F854" s="12" t="s">
        <v>32</v>
      </c>
      <c r="G854" s="12" t="s">
        <v>32</v>
      </c>
      <c r="H854" s="12" t="b">
        <v>1</v>
      </c>
      <c r="I854" s="12" t="b">
        <v>1</v>
      </c>
      <c r="J854" s="12" t="b">
        <v>0</v>
      </c>
      <c r="K854" s="12" t="b">
        <v>0</v>
      </c>
      <c r="L854" s="12">
        <v>420</v>
      </c>
      <c r="M854" s="12">
        <v>288.14999999999998</v>
      </c>
      <c r="N854" s="12">
        <v>3000</v>
      </c>
      <c r="O854" s="12">
        <v>543.75</v>
      </c>
      <c r="P854" s="12">
        <v>0.5</v>
      </c>
      <c r="Q854" s="12">
        <v>0.85</v>
      </c>
      <c r="R854" s="12">
        <v>0.75</v>
      </c>
      <c r="S854" s="12">
        <v>0.85</v>
      </c>
      <c r="T854" s="12">
        <v>0.75</v>
      </c>
      <c r="U854" s="12">
        <v>0.8</v>
      </c>
      <c r="V854" s="12">
        <v>288.14999999999998</v>
      </c>
      <c r="W854" s="12">
        <v>10.521762260225451</v>
      </c>
      <c r="X854" s="12">
        <v>55.023633115187721</v>
      </c>
      <c r="Y854" s="12">
        <v>2456.25</v>
      </c>
      <c r="Z854" s="12">
        <v>5.5172413793103452</v>
      </c>
      <c r="AA854" s="12"/>
      <c r="AB854" s="12"/>
    </row>
    <row r="855" spans="1:28" x14ac:dyDescent="0.3">
      <c r="A855" s="12" t="s">
        <v>2757</v>
      </c>
      <c r="B855" s="12" t="s">
        <v>120</v>
      </c>
      <c r="C855" s="12" t="s">
        <v>395</v>
      </c>
      <c r="D855" s="12" t="s">
        <v>2530</v>
      </c>
      <c r="E855" s="12" t="s">
        <v>2033</v>
      </c>
      <c r="F855" s="12" t="s">
        <v>32</v>
      </c>
      <c r="G855" s="12" t="s">
        <v>32</v>
      </c>
      <c r="H855" s="12" t="b">
        <v>1</v>
      </c>
      <c r="I855" s="12" t="b">
        <v>1</v>
      </c>
      <c r="J855" s="12" t="b">
        <v>0</v>
      </c>
      <c r="K855" s="12" t="b">
        <v>0</v>
      </c>
      <c r="L855" s="12">
        <v>420</v>
      </c>
      <c r="M855" s="12">
        <v>283.14999999999998</v>
      </c>
      <c r="N855" s="12">
        <v>3000</v>
      </c>
      <c r="O855" s="12">
        <v>468.75</v>
      </c>
      <c r="P855" s="12">
        <v>0.5</v>
      </c>
      <c r="Q855" s="12">
        <v>0.85</v>
      </c>
      <c r="R855" s="12">
        <v>0.75</v>
      </c>
      <c r="S855" s="12">
        <v>0.85</v>
      </c>
      <c r="T855" s="12">
        <v>0.75</v>
      </c>
      <c r="U855" s="12">
        <v>0.8</v>
      </c>
      <c r="V855" s="12">
        <v>283.14999999999998</v>
      </c>
      <c r="W855" s="12">
        <v>11.163386054669321</v>
      </c>
      <c r="X855" s="12">
        <v>59.325255345571982</v>
      </c>
      <c r="Y855" s="12">
        <v>2531.25</v>
      </c>
      <c r="Z855" s="12">
        <v>6.4</v>
      </c>
      <c r="AA855" s="12"/>
      <c r="AB855" s="12"/>
    </row>
    <row r="856" spans="1:28" x14ac:dyDescent="0.3">
      <c r="A856" s="12" t="s">
        <v>2758</v>
      </c>
      <c r="B856" s="12" t="s">
        <v>120</v>
      </c>
      <c r="C856" s="12" t="s">
        <v>395</v>
      </c>
      <c r="D856" s="12" t="s">
        <v>2530</v>
      </c>
      <c r="E856" s="12" t="s">
        <v>2033</v>
      </c>
      <c r="F856" s="12" t="s">
        <v>32</v>
      </c>
      <c r="G856" s="12" t="s">
        <v>32</v>
      </c>
      <c r="H856" s="12" t="b">
        <v>1</v>
      </c>
      <c r="I856" s="12" t="b">
        <v>1</v>
      </c>
      <c r="J856" s="12" t="b">
        <v>0</v>
      </c>
      <c r="K856" s="12" t="b">
        <v>0</v>
      </c>
      <c r="L856" s="12">
        <v>420</v>
      </c>
      <c r="M856" s="12">
        <v>288.14999999999998</v>
      </c>
      <c r="N856" s="12">
        <v>3000</v>
      </c>
      <c r="O856" s="12">
        <v>543.75</v>
      </c>
      <c r="P856" s="12">
        <v>0.5</v>
      </c>
      <c r="Q856" s="12">
        <v>0.85</v>
      </c>
      <c r="R856" s="12">
        <v>0.75</v>
      </c>
      <c r="S856" s="12">
        <v>0.85</v>
      </c>
      <c r="T856" s="12">
        <v>0.75</v>
      </c>
      <c r="U856" s="12">
        <v>0.8</v>
      </c>
      <c r="V856" s="12">
        <v>288.14999999999998</v>
      </c>
      <c r="W856" s="12">
        <v>10.521762260225451</v>
      </c>
      <c r="X856" s="12">
        <v>55.023633115187721</v>
      </c>
      <c r="Y856" s="12">
        <v>2456.25</v>
      </c>
      <c r="Z856" s="12">
        <v>5.5172413793103452</v>
      </c>
      <c r="AA856" s="12"/>
      <c r="AB856" s="12"/>
    </row>
    <row r="857" spans="1:28" x14ac:dyDescent="0.3">
      <c r="A857" s="12" t="s">
        <v>2759</v>
      </c>
      <c r="B857" s="12" t="s">
        <v>120</v>
      </c>
      <c r="C857" s="12" t="s">
        <v>395</v>
      </c>
      <c r="D857" s="12" t="s">
        <v>2530</v>
      </c>
      <c r="E857" s="12" t="s">
        <v>2033</v>
      </c>
      <c r="F857" s="12" t="s">
        <v>32</v>
      </c>
      <c r="G857" s="12" t="s">
        <v>32</v>
      </c>
      <c r="H857" s="12" t="b">
        <v>1</v>
      </c>
      <c r="I857" s="12" t="b">
        <v>1</v>
      </c>
      <c r="J857" s="12" t="b">
        <v>0</v>
      </c>
      <c r="K857" s="12" t="b">
        <v>0</v>
      </c>
      <c r="L857" s="12">
        <v>420</v>
      </c>
      <c r="M857" s="12">
        <v>293.14999999999998</v>
      </c>
      <c r="N857" s="12">
        <v>3000</v>
      </c>
      <c r="O857" s="12">
        <v>618.75</v>
      </c>
      <c r="P857" s="12">
        <v>0.5</v>
      </c>
      <c r="Q857" s="12">
        <v>0.85</v>
      </c>
      <c r="R857" s="12">
        <v>0.75</v>
      </c>
      <c r="S857" s="12">
        <v>0.85</v>
      </c>
      <c r="T857" s="12">
        <v>0.75</v>
      </c>
      <c r="U857" s="12">
        <v>0.8</v>
      </c>
      <c r="V857" s="12">
        <v>293.14999999999998</v>
      </c>
      <c r="W857" s="12">
        <v>9.9568233658744401</v>
      </c>
      <c r="X857" s="12">
        <v>51.224355832553258</v>
      </c>
      <c r="Y857" s="12">
        <v>2381.25</v>
      </c>
      <c r="Z857" s="12">
        <v>4.8484848484848486</v>
      </c>
      <c r="AA857" s="12"/>
      <c r="AB857" s="12"/>
    </row>
    <row r="858" spans="1:28" x14ac:dyDescent="0.3">
      <c r="A858" s="12" t="s">
        <v>2760</v>
      </c>
      <c r="B858" s="12" t="s">
        <v>120</v>
      </c>
      <c r="C858" s="12" t="s">
        <v>395</v>
      </c>
      <c r="D858" s="12" t="s">
        <v>2530</v>
      </c>
      <c r="E858" s="12" t="s">
        <v>2033</v>
      </c>
      <c r="F858" s="12" t="s">
        <v>1861</v>
      </c>
      <c r="G858" s="12" t="s">
        <v>1861</v>
      </c>
      <c r="H858" s="12" t="b">
        <v>1</v>
      </c>
      <c r="I858" s="12" t="b">
        <v>0</v>
      </c>
      <c r="J858" s="12" t="b">
        <v>0</v>
      </c>
      <c r="K858" s="12" t="b">
        <v>0</v>
      </c>
      <c r="L858" s="12">
        <v>420</v>
      </c>
      <c r="M858" s="12">
        <v>300.032917</v>
      </c>
      <c r="N858" s="12">
        <v>3000</v>
      </c>
      <c r="O858" s="12">
        <v>731.25</v>
      </c>
      <c r="P858" s="12">
        <v>0.5</v>
      </c>
      <c r="Q858" s="12">
        <v>0.85</v>
      </c>
      <c r="R858" s="12">
        <v>0.75</v>
      </c>
      <c r="S858" s="12">
        <v>0.85</v>
      </c>
      <c r="T858" s="12">
        <v>0.75</v>
      </c>
      <c r="U858" s="12">
        <v>0.8</v>
      </c>
      <c r="V858" s="12">
        <v>300.032917</v>
      </c>
      <c r="W858" s="12">
        <v>9.1936850313615892</v>
      </c>
      <c r="X858" s="12">
        <v>46.218366137102542</v>
      </c>
      <c r="Y858" s="12">
        <v>2268.75</v>
      </c>
      <c r="Z858" s="12">
        <v>4.1025641025641022</v>
      </c>
      <c r="AA858" s="12" t="s">
        <v>1268</v>
      </c>
      <c r="AB858" s="12"/>
    </row>
    <row r="859" spans="1:28" x14ac:dyDescent="0.3">
      <c r="A859" s="12" t="s">
        <v>2761</v>
      </c>
      <c r="B859" s="12" t="s">
        <v>120</v>
      </c>
      <c r="C859" s="12" t="s">
        <v>395</v>
      </c>
      <c r="D859" s="12" t="s">
        <v>2530</v>
      </c>
      <c r="E859" s="12" t="s">
        <v>2033</v>
      </c>
      <c r="F859" s="12" t="s">
        <v>32</v>
      </c>
      <c r="G859" s="12" t="s">
        <v>32</v>
      </c>
      <c r="H859" s="12" t="b">
        <v>1</v>
      </c>
      <c r="I859" s="12" t="b">
        <v>1</v>
      </c>
      <c r="J859" s="12" t="b">
        <v>0</v>
      </c>
      <c r="K859" s="12" t="b">
        <v>0</v>
      </c>
      <c r="L859" s="12">
        <v>420</v>
      </c>
      <c r="M859" s="12">
        <v>293.14999999999998</v>
      </c>
      <c r="N859" s="12">
        <v>3000</v>
      </c>
      <c r="O859" s="12">
        <v>618.75</v>
      </c>
      <c r="P859" s="12">
        <v>0.5</v>
      </c>
      <c r="Q859" s="12">
        <v>0.85</v>
      </c>
      <c r="R859" s="12">
        <v>0.75</v>
      </c>
      <c r="S859" s="12">
        <v>0.85</v>
      </c>
      <c r="T859" s="12">
        <v>0.75</v>
      </c>
      <c r="U859" s="12">
        <v>0.8</v>
      </c>
      <c r="V859" s="12">
        <v>293.14999999999998</v>
      </c>
      <c r="W859" s="12">
        <v>9.9568233658744401</v>
      </c>
      <c r="X859" s="12">
        <v>51.224355832553258</v>
      </c>
      <c r="Y859" s="12">
        <v>2381.25</v>
      </c>
      <c r="Z859" s="12">
        <v>4.8484848484848486</v>
      </c>
      <c r="AA859" s="12"/>
      <c r="AB859" s="12"/>
    </row>
    <row r="860" spans="1:28" x14ac:dyDescent="0.3">
      <c r="A860" s="12" t="s">
        <v>2762</v>
      </c>
      <c r="B860" s="12" t="s">
        <v>120</v>
      </c>
      <c r="C860" s="12" t="s">
        <v>395</v>
      </c>
      <c r="D860" s="12" t="s">
        <v>2530</v>
      </c>
      <c r="E860" s="12" t="s">
        <v>2033</v>
      </c>
      <c r="F860" s="12" t="s">
        <v>1861</v>
      </c>
      <c r="G860" s="12" t="s">
        <v>1861</v>
      </c>
      <c r="H860" s="12" t="b">
        <v>1</v>
      </c>
      <c r="I860" s="12" t="b">
        <v>0</v>
      </c>
      <c r="J860" s="12" t="b">
        <v>0</v>
      </c>
      <c r="K860" s="12" t="b">
        <v>0</v>
      </c>
      <c r="L860" s="12">
        <v>420</v>
      </c>
      <c r="M860" s="12">
        <v>300.032917</v>
      </c>
      <c r="N860" s="12">
        <v>3000</v>
      </c>
      <c r="O860" s="12">
        <v>731.25</v>
      </c>
      <c r="P860" s="12">
        <v>0.5</v>
      </c>
      <c r="Q860" s="12">
        <v>0.85</v>
      </c>
      <c r="R860" s="12">
        <v>0.75</v>
      </c>
      <c r="S860" s="12">
        <v>0.85</v>
      </c>
      <c r="T860" s="12">
        <v>0.75</v>
      </c>
      <c r="U860" s="12">
        <v>0.8</v>
      </c>
      <c r="V860" s="12">
        <v>300.032917</v>
      </c>
      <c r="W860" s="12">
        <v>9.1936850313615892</v>
      </c>
      <c r="X860" s="12">
        <v>46.218366137102542</v>
      </c>
      <c r="Y860" s="12">
        <v>2268.75</v>
      </c>
      <c r="Z860" s="12">
        <v>4.1025641025641022</v>
      </c>
      <c r="AA860" s="12" t="s">
        <v>1268</v>
      </c>
      <c r="AB860" s="12"/>
    </row>
    <row r="861" spans="1:28" x14ac:dyDescent="0.3">
      <c r="A861" s="12" t="s">
        <v>2763</v>
      </c>
      <c r="B861" s="12" t="s">
        <v>120</v>
      </c>
      <c r="C861" s="12" t="s">
        <v>397</v>
      </c>
      <c r="D861" s="12" t="s">
        <v>2581</v>
      </c>
      <c r="E861" s="12" t="s">
        <v>2033</v>
      </c>
      <c r="F861" s="12" t="s">
        <v>1861</v>
      </c>
      <c r="G861" s="12" t="s">
        <v>1861</v>
      </c>
      <c r="H861" s="12" t="b">
        <v>1</v>
      </c>
      <c r="I861" s="12" t="b">
        <v>0</v>
      </c>
      <c r="J861" s="12" t="b">
        <v>1</v>
      </c>
      <c r="K861" s="12" t="b">
        <v>0</v>
      </c>
      <c r="L861" s="12">
        <v>623.15</v>
      </c>
      <c r="M861" s="12">
        <v>278.14999999999998</v>
      </c>
      <c r="N861" s="12">
        <v>3000</v>
      </c>
      <c r="O861" s="12">
        <v>731.25</v>
      </c>
      <c r="P861" s="12">
        <v>0.5</v>
      </c>
      <c r="Q861" s="12">
        <v>0.85</v>
      </c>
      <c r="R861" s="12">
        <v>0.75</v>
      </c>
      <c r="S861" s="12">
        <v>0.4</v>
      </c>
      <c r="T861" s="12">
        <v>0.75</v>
      </c>
      <c r="U861" s="12">
        <v>0.8</v>
      </c>
      <c r="V861" s="12">
        <v>278.14999999999998</v>
      </c>
      <c r="W861" s="12">
        <v>9.8514941118141</v>
      </c>
      <c r="X861" s="12">
        <v>94.7689429413265</v>
      </c>
      <c r="Y861" s="12">
        <v>2268.75</v>
      </c>
      <c r="Z861" s="12">
        <v>4.1025641025641022</v>
      </c>
      <c r="AA861" s="12" t="s">
        <v>1268</v>
      </c>
      <c r="AB861" s="12"/>
    </row>
    <row r="862" spans="1:28" x14ac:dyDescent="0.3">
      <c r="A862" s="12" t="s">
        <v>2764</v>
      </c>
      <c r="B862" s="12" t="s">
        <v>120</v>
      </c>
      <c r="C862" s="12" t="s">
        <v>397</v>
      </c>
      <c r="D862" s="12" t="s">
        <v>2581</v>
      </c>
      <c r="E862" s="12" t="s">
        <v>2033</v>
      </c>
      <c r="F862" s="12" t="s">
        <v>1861</v>
      </c>
      <c r="G862" s="12" t="s">
        <v>1861</v>
      </c>
      <c r="H862" s="12" t="b">
        <v>1</v>
      </c>
      <c r="I862" s="12" t="b">
        <v>0</v>
      </c>
      <c r="J862" s="12" t="b">
        <v>1</v>
      </c>
      <c r="K862" s="12" t="b">
        <v>0</v>
      </c>
      <c r="L862" s="12">
        <v>623.15</v>
      </c>
      <c r="M862" s="12">
        <v>278.14999999999998</v>
      </c>
      <c r="N862" s="12">
        <v>3000</v>
      </c>
      <c r="O862" s="12">
        <v>731.25</v>
      </c>
      <c r="P862" s="12">
        <v>0.5</v>
      </c>
      <c r="Q862" s="12">
        <v>0.85</v>
      </c>
      <c r="R862" s="12">
        <v>0.75</v>
      </c>
      <c r="S862" s="12">
        <v>0.4</v>
      </c>
      <c r="T862" s="12">
        <v>0.75</v>
      </c>
      <c r="U862" s="12">
        <v>0.8</v>
      </c>
      <c r="V862" s="12">
        <v>278.14999999999998</v>
      </c>
      <c r="W862" s="12">
        <v>9.8514941118141</v>
      </c>
      <c r="X862" s="12">
        <v>94.7689429413265</v>
      </c>
      <c r="Y862" s="12">
        <v>2268.75</v>
      </c>
      <c r="Z862" s="12">
        <v>4.1025641025641022</v>
      </c>
      <c r="AA862" s="12" t="s">
        <v>1268</v>
      </c>
      <c r="AB862" s="12"/>
    </row>
    <row r="863" spans="1:28" x14ac:dyDescent="0.3">
      <c r="A863" s="12" t="s">
        <v>2765</v>
      </c>
      <c r="B863" s="12" t="s">
        <v>120</v>
      </c>
      <c r="C863" s="12" t="s">
        <v>397</v>
      </c>
      <c r="D863" s="12" t="s">
        <v>2581</v>
      </c>
      <c r="E863" s="12" t="s">
        <v>2033</v>
      </c>
      <c r="F863" s="12" t="s">
        <v>1861</v>
      </c>
      <c r="G863" s="12" t="s">
        <v>1861</v>
      </c>
      <c r="H863" s="12" t="b">
        <v>1</v>
      </c>
      <c r="I863" s="12" t="b">
        <v>0</v>
      </c>
      <c r="J863" s="12" t="b">
        <v>1</v>
      </c>
      <c r="K863" s="12" t="b">
        <v>0</v>
      </c>
      <c r="L863" s="12">
        <v>623.15</v>
      </c>
      <c r="M863" s="12">
        <v>283.14999999999998</v>
      </c>
      <c r="N863" s="12">
        <v>3000</v>
      </c>
      <c r="O863" s="12">
        <v>843.75</v>
      </c>
      <c r="P863" s="12">
        <v>0.5</v>
      </c>
      <c r="Q863" s="12">
        <v>0.85</v>
      </c>
      <c r="R863" s="12">
        <v>0.75</v>
      </c>
      <c r="S863" s="12">
        <v>0.4</v>
      </c>
      <c r="T863" s="12">
        <v>0.75</v>
      </c>
      <c r="U863" s="12">
        <v>0.8</v>
      </c>
      <c r="V863" s="12">
        <v>283.14999999999998</v>
      </c>
      <c r="W863" s="12">
        <v>9.0376882929803912</v>
      </c>
      <c r="X863" s="12">
        <v>86.441941696366143</v>
      </c>
      <c r="Y863" s="12">
        <v>2156.25</v>
      </c>
      <c r="Z863" s="12">
        <v>3.5555555555555558</v>
      </c>
      <c r="AA863" s="12" t="s">
        <v>1268</v>
      </c>
      <c r="AB863" s="12"/>
    </row>
    <row r="864" spans="1:28" x14ac:dyDescent="0.3">
      <c r="A864" s="12" t="s">
        <v>2766</v>
      </c>
      <c r="B864" s="12" t="s">
        <v>120</v>
      </c>
      <c r="C864" s="12" t="s">
        <v>397</v>
      </c>
      <c r="D864" s="12" t="s">
        <v>2581</v>
      </c>
      <c r="E864" s="12" t="s">
        <v>2033</v>
      </c>
      <c r="F864" s="12" t="s">
        <v>1861</v>
      </c>
      <c r="G864" s="12" t="s">
        <v>1861</v>
      </c>
      <c r="H864" s="12" t="b">
        <v>1</v>
      </c>
      <c r="I864" s="12" t="b">
        <v>0</v>
      </c>
      <c r="J864" s="12" t="b">
        <v>1</v>
      </c>
      <c r="K864" s="12" t="b">
        <v>0</v>
      </c>
      <c r="L864" s="12">
        <v>623.15</v>
      </c>
      <c r="M864" s="12">
        <v>283.14999999999998</v>
      </c>
      <c r="N864" s="12">
        <v>3000</v>
      </c>
      <c r="O864" s="12">
        <v>843.75</v>
      </c>
      <c r="P864" s="12">
        <v>0.5</v>
      </c>
      <c r="Q864" s="12">
        <v>0.85</v>
      </c>
      <c r="R864" s="12">
        <v>0.75</v>
      </c>
      <c r="S864" s="12">
        <v>0.4</v>
      </c>
      <c r="T864" s="12">
        <v>0.75</v>
      </c>
      <c r="U864" s="12">
        <v>0.8</v>
      </c>
      <c r="V864" s="12">
        <v>283.14999999999998</v>
      </c>
      <c r="W864" s="12">
        <v>9.0376882929803912</v>
      </c>
      <c r="X864" s="12">
        <v>86.441941696366143</v>
      </c>
      <c r="Y864" s="12">
        <v>2156.25</v>
      </c>
      <c r="Z864" s="12">
        <v>3.5555555555555558</v>
      </c>
      <c r="AA864" s="12" t="s">
        <v>1268</v>
      </c>
      <c r="AB864" s="12"/>
    </row>
    <row r="865" spans="1:28" x14ac:dyDescent="0.3">
      <c r="A865" s="12" t="s">
        <v>2767</v>
      </c>
      <c r="B865" s="12" t="s">
        <v>120</v>
      </c>
      <c r="C865" s="12" t="s">
        <v>397</v>
      </c>
      <c r="D865" s="12" t="s">
        <v>2581</v>
      </c>
      <c r="E865" s="12" t="s">
        <v>2033</v>
      </c>
      <c r="F865" s="12" t="s">
        <v>32</v>
      </c>
      <c r="G865" s="12" t="s">
        <v>32</v>
      </c>
      <c r="H865" s="12" t="b">
        <v>1</v>
      </c>
      <c r="I865" s="12" t="b">
        <v>0</v>
      </c>
      <c r="J865" s="12" t="b">
        <v>1</v>
      </c>
      <c r="K865" s="12" t="b">
        <v>0</v>
      </c>
      <c r="L865" s="12">
        <v>623.15</v>
      </c>
      <c r="M865" s="12">
        <v>288.14999999999998</v>
      </c>
      <c r="N865" s="12">
        <v>3000</v>
      </c>
      <c r="O865" s="12">
        <v>993.75</v>
      </c>
      <c r="P865" s="12">
        <v>0.5</v>
      </c>
      <c r="Q865" s="12">
        <v>0.85</v>
      </c>
      <c r="R865" s="12">
        <v>0.75</v>
      </c>
      <c r="S865" s="12">
        <v>0.4</v>
      </c>
      <c r="T865" s="12">
        <v>0.75</v>
      </c>
      <c r="U865" s="12">
        <v>0.8</v>
      </c>
      <c r="V865" s="12">
        <v>288.14999999999998</v>
      </c>
      <c r="W865" s="12">
        <v>8.0435460018881209</v>
      </c>
      <c r="X865" s="12">
        <v>76.477128980365265</v>
      </c>
      <c r="Y865" s="12">
        <v>2006.25</v>
      </c>
      <c r="Z865" s="12">
        <v>3.0188679245283021</v>
      </c>
      <c r="AA865" s="12"/>
      <c r="AB865" s="12"/>
    </row>
    <row r="866" spans="1:28" x14ac:dyDescent="0.3">
      <c r="A866" s="12" t="s">
        <v>2768</v>
      </c>
      <c r="B866" s="12" t="s">
        <v>120</v>
      </c>
      <c r="C866" s="12" t="s">
        <v>397</v>
      </c>
      <c r="D866" s="12" t="s">
        <v>2581</v>
      </c>
      <c r="E866" s="12" t="s">
        <v>2033</v>
      </c>
      <c r="F866" s="12" t="s">
        <v>32</v>
      </c>
      <c r="G866" s="12" t="s">
        <v>32</v>
      </c>
      <c r="H866" s="12" t="b">
        <v>1</v>
      </c>
      <c r="I866" s="12" t="b">
        <v>0</v>
      </c>
      <c r="J866" s="12" t="b">
        <v>1</v>
      </c>
      <c r="K866" s="12" t="b">
        <v>0</v>
      </c>
      <c r="L866" s="12">
        <v>623.15</v>
      </c>
      <c r="M866" s="12">
        <v>288.14999999999998</v>
      </c>
      <c r="N866" s="12">
        <v>3000</v>
      </c>
      <c r="O866" s="12">
        <v>993.75</v>
      </c>
      <c r="P866" s="12">
        <v>0.5</v>
      </c>
      <c r="Q866" s="12">
        <v>0.85</v>
      </c>
      <c r="R866" s="12">
        <v>0.75</v>
      </c>
      <c r="S866" s="12">
        <v>0.4</v>
      </c>
      <c r="T866" s="12">
        <v>0.75</v>
      </c>
      <c r="U866" s="12">
        <v>0.8</v>
      </c>
      <c r="V866" s="12">
        <v>288.14999999999998</v>
      </c>
      <c r="W866" s="12">
        <v>8.0435460018881209</v>
      </c>
      <c r="X866" s="12">
        <v>76.477128980365265</v>
      </c>
      <c r="Y866" s="12">
        <v>2006.25</v>
      </c>
      <c r="Z866" s="12">
        <v>3.0188679245283021</v>
      </c>
      <c r="AA866" s="12"/>
      <c r="AB866" s="12"/>
    </row>
    <row r="867" spans="1:28" x14ac:dyDescent="0.3">
      <c r="A867" s="12" t="s">
        <v>2769</v>
      </c>
      <c r="B867" s="12" t="s">
        <v>120</v>
      </c>
      <c r="C867" s="12" t="s">
        <v>397</v>
      </c>
      <c r="D867" s="12" t="s">
        <v>2581</v>
      </c>
      <c r="E867" s="12" t="s">
        <v>2033</v>
      </c>
      <c r="F867" s="12" t="s">
        <v>1861</v>
      </c>
      <c r="G867" s="12" t="s">
        <v>1861</v>
      </c>
      <c r="H867" s="12" t="b">
        <v>1</v>
      </c>
      <c r="I867" s="12" t="b">
        <v>0</v>
      </c>
      <c r="J867" s="12" t="b">
        <v>1</v>
      </c>
      <c r="K867" s="12" t="b">
        <v>0</v>
      </c>
      <c r="L867" s="12">
        <v>623.15</v>
      </c>
      <c r="M867" s="12">
        <v>293.14999999999998</v>
      </c>
      <c r="N867" s="12">
        <v>3000</v>
      </c>
      <c r="O867" s="12">
        <v>1106.25</v>
      </c>
      <c r="P867" s="12">
        <v>0.5</v>
      </c>
      <c r="Q867" s="12">
        <v>0.85</v>
      </c>
      <c r="R867" s="12">
        <v>0.75</v>
      </c>
      <c r="S867" s="12">
        <v>0.4</v>
      </c>
      <c r="T867" s="12">
        <v>0.75</v>
      </c>
      <c r="U867" s="12">
        <v>0.8</v>
      </c>
      <c r="V867" s="12">
        <v>293.14999999999998</v>
      </c>
      <c r="W867" s="12">
        <v>7.4019961694711496</v>
      </c>
      <c r="X867" s="12">
        <v>69.966065972750116</v>
      </c>
      <c r="Y867" s="12">
        <v>1893.75</v>
      </c>
      <c r="Z867" s="12">
        <v>2.7118644067796609</v>
      </c>
      <c r="AA867" s="12" t="s">
        <v>1268</v>
      </c>
      <c r="AB867" s="12"/>
    </row>
    <row r="868" spans="1:28" x14ac:dyDescent="0.3">
      <c r="A868" s="12" t="s">
        <v>2770</v>
      </c>
      <c r="B868" s="12" t="s">
        <v>120</v>
      </c>
      <c r="C868" s="12" t="s">
        <v>397</v>
      </c>
      <c r="D868" s="12" t="s">
        <v>2581</v>
      </c>
      <c r="E868" s="12" t="s">
        <v>2033</v>
      </c>
      <c r="F868" s="12" t="s">
        <v>1861</v>
      </c>
      <c r="G868" s="12" t="s">
        <v>1861</v>
      </c>
      <c r="H868" s="12" t="b">
        <v>1</v>
      </c>
      <c r="I868" s="12" t="b">
        <v>0</v>
      </c>
      <c r="J868" s="12" t="b">
        <v>1</v>
      </c>
      <c r="K868" s="12" t="b">
        <v>0</v>
      </c>
      <c r="L868" s="12">
        <v>623.15</v>
      </c>
      <c r="M868" s="12">
        <v>300.032917</v>
      </c>
      <c r="N868" s="12">
        <v>3000</v>
      </c>
      <c r="O868" s="12">
        <v>1293.75</v>
      </c>
      <c r="P868" s="12">
        <v>0.5</v>
      </c>
      <c r="Q868" s="12">
        <v>0.85</v>
      </c>
      <c r="R868" s="12">
        <v>0.75</v>
      </c>
      <c r="S868" s="12">
        <v>0.4</v>
      </c>
      <c r="T868" s="12">
        <v>0.75</v>
      </c>
      <c r="U868" s="12">
        <v>0.8</v>
      </c>
      <c r="V868" s="12">
        <v>300.032917</v>
      </c>
      <c r="W868" s="12">
        <v>6.4080101043367907</v>
      </c>
      <c r="X868" s="12">
        <v>60.070059612573758</v>
      </c>
      <c r="Y868" s="12">
        <v>1706.25</v>
      </c>
      <c r="Z868" s="12">
        <v>2.318840579710145</v>
      </c>
      <c r="AA868" s="12" t="s">
        <v>1268</v>
      </c>
      <c r="AB868" s="12"/>
    </row>
    <row r="869" spans="1:28" x14ac:dyDescent="0.3">
      <c r="A869" s="12" t="s">
        <v>2771</v>
      </c>
      <c r="B869" s="12" t="s">
        <v>120</v>
      </c>
      <c r="C869" s="12" t="s">
        <v>397</v>
      </c>
      <c r="D869" s="12" t="s">
        <v>2581</v>
      </c>
      <c r="E869" s="12" t="s">
        <v>2033</v>
      </c>
      <c r="F869" s="12" t="s">
        <v>1861</v>
      </c>
      <c r="G869" s="12" t="s">
        <v>1861</v>
      </c>
      <c r="H869" s="12" t="b">
        <v>1</v>
      </c>
      <c r="I869" s="12" t="b">
        <v>0</v>
      </c>
      <c r="J869" s="12" t="b">
        <v>1</v>
      </c>
      <c r="K869" s="12" t="b">
        <v>0</v>
      </c>
      <c r="L869" s="12">
        <v>623.15</v>
      </c>
      <c r="M869" s="12">
        <v>293.14999999999998</v>
      </c>
      <c r="N869" s="12">
        <v>3000</v>
      </c>
      <c r="O869" s="12">
        <v>1106.25</v>
      </c>
      <c r="P869" s="12">
        <v>0.5</v>
      </c>
      <c r="Q869" s="12">
        <v>0.85</v>
      </c>
      <c r="R869" s="12">
        <v>0.75</v>
      </c>
      <c r="S869" s="12">
        <v>0.4</v>
      </c>
      <c r="T869" s="12">
        <v>0.75</v>
      </c>
      <c r="U869" s="12">
        <v>0.8</v>
      </c>
      <c r="V869" s="12">
        <v>293.14999999999998</v>
      </c>
      <c r="W869" s="12">
        <v>7.4019961694711496</v>
      </c>
      <c r="X869" s="12">
        <v>69.966065972750116</v>
      </c>
      <c r="Y869" s="12">
        <v>1893.75</v>
      </c>
      <c r="Z869" s="12">
        <v>2.7118644067796609</v>
      </c>
      <c r="AA869" s="12" t="s">
        <v>1268</v>
      </c>
      <c r="AB869" s="12"/>
    </row>
    <row r="870" spans="1:28" x14ac:dyDescent="0.3">
      <c r="A870" s="12" t="s">
        <v>2772</v>
      </c>
      <c r="B870" s="12" t="s">
        <v>120</v>
      </c>
      <c r="C870" s="12" t="s">
        <v>397</v>
      </c>
      <c r="D870" s="12" t="s">
        <v>2581</v>
      </c>
      <c r="E870" s="12" t="s">
        <v>2033</v>
      </c>
      <c r="F870" s="12" t="s">
        <v>1861</v>
      </c>
      <c r="G870" s="12" t="s">
        <v>1861</v>
      </c>
      <c r="H870" s="12" t="b">
        <v>1</v>
      </c>
      <c r="I870" s="12" t="b">
        <v>0</v>
      </c>
      <c r="J870" s="12" t="b">
        <v>1</v>
      </c>
      <c r="K870" s="12" t="b">
        <v>0</v>
      </c>
      <c r="L870" s="12">
        <v>623.15</v>
      </c>
      <c r="M870" s="12">
        <v>300.032917</v>
      </c>
      <c r="N870" s="12">
        <v>3000</v>
      </c>
      <c r="O870" s="12">
        <v>1293.75</v>
      </c>
      <c r="P870" s="12">
        <v>0.5</v>
      </c>
      <c r="Q870" s="12">
        <v>0.85</v>
      </c>
      <c r="R870" s="12">
        <v>0.75</v>
      </c>
      <c r="S870" s="12">
        <v>0.4</v>
      </c>
      <c r="T870" s="12">
        <v>0.75</v>
      </c>
      <c r="U870" s="12">
        <v>0.8</v>
      </c>
      <c r="V870" s="12">
        <v>300.032917</v>
      </c>
      <c r="W870" s="12">
        <v>6.4080101043367907</v>
      </c>
      <c r="X870" s="12">
        <v>60.070059612573758</v>
      </c>
      <c r="Y870" s="12">
        <v>1706.25</v>
      </c>
      <c r="Z870" s="12">
        <v>2.318840579710145</v>
      </c>
      <c r="AA870" s="12" t="s">
        <v>1268</v>
      </c>
      <c r="AB870" s="12"/>
    </row>
    <row r="871" spans="1:28" x14ac:dyDescent="0.3">
      <c r="A871" s="12" t="s">
        <v>2773</v>
      </c>
      <c r="B871" s="12" t="s">
        <v>120</v>
      </c>
      <c r="C871" s="12" t="s">
        <v>392</v>
      </c>
      <c r="D871" s="12" t="s">
        <v>2478</v>
      </c>
      <c r="E871" s="12" t="s">
        <v>2033</v>
      </c>
      <c r="F871" s="12" t="s">
        <v>1861</v>
      </c>
      <c r="G871" s="12" t="s">
        <v>1861</v>
      </c>
      <c r="H871" s="12" t="b">
        <v>1</v>
      </c>
      <c r="I871" s="12" t="b">
        <v>0</v>
      </c>
      <c r="J871" s="12" t="b">
        <v>0</v>
      </c>
      <c r="K871" s="12" t="b">
        <v>0</v>
      </c>
      <c r="L871" s="12">
        <v>403</v>
      </c>
      <c r="M871" s="12">
        <v>288.14999999999998</v>
      </c>
      <c r="N871" s="12">
        <v>3000</v>
      </c>
      <c r="O871" s="12">
        <v>384.375</v>
      </c>
      <c r="P871" s="12">
        <v>0.5</v>
      </c>
      <c r="Q871" s="12">
        <v>0.85</v>
      </c>
      <c r="R871" s="12">
        <v>0.75</v>
      </c>
      <c r="S871" s="12">
        <v>0.85</v>
      </c>
      <c r="T871" s="12">
        <v>0.75</v>
      </c>
      <c r="U871" s="12">
        <v>0.8</v>
      </c>
      <c r="V871" s="12">
        <v>288.14999999999998</v>
      </c>
      <c r="W871" s="12">
        <v>9.7129929910253896</v>
      </c>
      <c r="X871" s="12">
        <v>31.27031981834736</v>
      </c>
      <c r="Y871" s="12">
        <v>2615.625</v>
      </c>
      <c r="Z871" s="12">
        <v>7.8048780487804876</v>
      </c>
      <c r="AA871" s="12" t="s">
        <v>1268</v>
      </c>
      <c r="AB871" s="12"/>
    </row>
    <row r="872" spans="1:28" x14ac:dyDescent="0.3">
      <c r="A872" s="12" t="s">
        <v>2774</v>
      </c>
      <c r="B872" s="12" t="s">
        <v>120</v>
      </c>
      <c r="C872" s="12" t="s">
        <v>392</v>
      </c>
      <c r="D872" s="12" t="s">
        <v>2478</v>
      </c>
      <c r="E872" s="12" t="s">
        <v>2033</v>
      </c>
      <c r="F872" s="12" t="s">
        <v>1861</v>
      </c>
      <c r="G872" s="12" t="s">
        <v>1861</v>
      </c>
      <c r="H872" s="12" t="b">
        <v>1</v>
      </c>
      <c r="I872" s="12" t="b">
        <v>0</v>
      </c>
      <c r="J872" s="12" t="b">
        <v>0</v>
      </c>
      <c r="K872" s="12" t="b">
        <v>0</v>
      </c>
      <c r="L872" s="12">
        <v>403</v>
      </c>
      <c r="M872" s="12">
        <v>283.14999999999998</v>
      </c>
      <c r="N872" s="12">
        <v>3000</v>
      </c>
      <c r="O872" s="12">
        <v>328.125</v>
      </c>
      <c r="P872" s="12">
        <v>0.5</v>
      </c>
      <c r="Q872" s="12">
        <v>0.85</v>
      </c>
      <c r="R872" s="12">
        <v>0.75</v>
      </c>
      <c r="S872" s="12">
        <v>0.85</v>
      </c>
      <c r="T872" s="12">
        <v>0.75</v>
      </c>
      <c r="U872" s="12">
        <v>0.8</v>
      </c>
      <c r="V872" s="12">
        <v>283.14999999999998</v>
      </c>
      <c r="W872" s="12">
        <v>10.15345080197827</v>
      </c>
      <c r="X872" s="12">
        <v>33.36764105716199</v>
      </c>
      <c r="Y872" s="12">
        <v>2671.875</v>
      </c>
      <c r="Z872" s="12">
        <v>9.1428571428571423</v>
      </c>
      <c r="AA872" s="12" t="s">
        <v>1268</v>
      </c>
      <c r="AB872" s="12"/>
    </row>
    <row r="873" spans="1:28" x14ac:dyDescent="0.3">
      <c r="A873" s="12" t="s">
        <v>2775</v>
      </c>
      <c r="B873" s="12" t="s">
        <v>120</v>
      </c>
      <c r="C873" s="12" t="s">
        <v>392</v>
      </c>
      <c r="D873" s="12" t="s">
        <v>2478</v>
      </c>
      <c r="E873" s="12" t="s">
        <v>2033</v>
      </c>
      <c r="F873" s="12" t="s">
        <v>1861</v>
      </c>
      <c r="G873" s="12" t="s">
        <v>1861</v>
      </c>
      <c r="H873" s="12" t="b">
        <v>1</v>
      </c>
      <c r="I873" s="12" t="b">
        <v>0</v>
      </c>
      <c r="J873" s="12" t="b">
        <v>0</v>
      </c>
      <c r="K873" s="12" t="b">
        <v>0</v>
      </c>
      <c r="L873" s="12">
        <v>403</v>
      </c>
      <c r="M873" s="12">
        <v>283.14999999999998</v>
      </c>
      <c r="N873" s="12">
        <v>3000</v>
      </c>
      <c r="O873" s="12">
        <v>328.125</v>
      </c>
      <c r="P873" s="12">
        <v>0.5</v>
      </c>
      <c r="Q873" s="12">
        <v>0.85</v>
      </c>
      <c r="R873" s="12">
        <v>0.75</v>
      </c>
      <c r="S873" s="12">
        <v>0.85</v>
      </c>
      <c r="T873" s="12">
        <v>0.75</v>
      </c>
      <c r="U873" s="12">
        <v>0.8</v>
      </c>
      <c r="V873" s="12">
        <v>283.14999999999998</v>
      </c>
      <c r="W873" s="12">
        <v>10.15345080197827</v>
      </c>
      <c r="X873" s="12">
        <v>33.36764105716199</v>
      </c>
      <c r="Y873" s="12">
        <v>2671.875</v>
      </c>
      <c r="Z873" s="12">
        <v>9.1428571428571423</v>
      </c>
      <c r="AA873" s="12" t="s">
        <v>1268</v>
      </c>
      <c r="AB873" s="12"/>
    </row>
    <row r="874" spans="1:28" x14ac:dyDescent="0.3">
      <c r="A874" s="12" t="s">
        <v>2776</v>
      </c>
      <c r="B874" s="12" t="s">
        <v>120</v>
      </c>
      <c r="C874" s="12" t="s">
        <v>392</v>
      </c>
      <c r="D874" s="12" t="s">
        <v>2478</v>
      </c>
      <c r="E874" s="12" t="s">
        <v>2033</v>
      </c>
      <c r="F874" s="12" t="s">
        <v>32</v>
      </c>
      <c r="G874" s="12" t="s">
        <v>32</v>
      </c>
      <c r="H874" s="12" t="b">
        <v>1</v>
      </c>
      <c r="I874" s="12" t="b">
        <v>1</v>
      </c>
      <c r="J874" s="12" t="b">
        <v>0</v>
      </c>
      <c r="K874" s="12" t="b">
        <v>0</v>
      </c>
      <c r="L874" s="12">
        <v>403</v>
      </c>
      <c r="M874" s="12">
        <v>278.14999999999998</v>
      </c>
      <c r="N874" s="12">
        <v>3000</v>
      </c>
      <c r="O874" s="12">
        <v>290.625</v>
      </c>
      <c r="P874" s="12">
        <v>0.5</v>
      </c>
      <c r="Q874" s="12">
        <v>0.85</v>
      </c>
      <c r="R874" s="12">
        <v>0.75</v>
      </c>
      <c r="S874" s="12">
        <v>0.85</v>
      </c>
      <c r="T874" s="12">
        <v>0.75</v>
      </c>
      <c r="U874" s="12">
        <v>0.8</v>
      </c>
      <c r="V874" s="12">
        <v>278.14999999999998</v>
      </c>
      <c r="W874" s="12">
        <v>10.408616078958991</v>
      </c>
      <c r="X874" s="12">
        <v>34.894042191060947</v>
      </c>
      <c r="Y874" s="12">
        <v>2709.375</v>
      </c>
      <c r="Z874" s="12">
        <v>10.32258064516129</v>
      </c>
      <c r="AA874" s="12"/>
      <c r="AB874" s="12"/>
    </row>
    <row r="875" spans="1:28" x14ac:dyDescent="0.3">
      <c r="A875" s="12" t="s">
        <v>2777</v>
      </c>
      <c r="B875" s="12" t="s">
        <v>120</v>
      </c>
      <c r="C875" s="12" t="s">
        <v>392</v>
      </c>
      <c r="D875" s="12" t="s">
        <v>2478</v>
      </c>
      <c r="E875" s="12" t="s">
        <v>2033</v>
      </c>
      <c r="F875" s="12" t="s">
        <v>32</v>
      </c>
      <c r="G875" s="12" t="s">
        <v>32</v>
      </c>
      <c r="H875" s="12" t="b">
        <v>1</v>
      </c>
      <c r="I875" s="12" t="b">
        <v>1</v>
      </c>
      <c r="J875" s="12" t="b">
        <v>0</v>
      </c>
      <c r="K875" s="12" t="b">
        <v>0</v>
      </c>
      <c r="L875" s="12">
        <v>403</v>
      </c>
      <c r="M875" s="12">
        <v>278.14999999999998</v>
      </c>
      <c r="N875" s="12">
        <v>3000</v>
      </c>
      <c r="O875" s="12">
        <v>290.625</v>
      </c>
      <c r="P875" s="12">
        <v>0.5</v>
      </c>
      <c r="Q875" s="12">
        <v>0.85</v>
      </c>
      <c r="R875" s="12">
        <v>0.75</v>
      </c>
      <c r="S875" s="12">
        <v>0.85</v>
      </c>
      <c r="T875" s="12">
        <v>0.75</v>
      </c>
      <c r="U875" s="12">
        <v>0.8</v>
      </c>
      <c r="V875" s="12">
        <v>278.14999999999998</v>
      </c>
      <c r="W875" s="12">
        <v>10.408616078958991</v>
      </c>
      <c r="X875" s="12">
        <v>34.894042191060947</v>
      </c>
      <c r="Y875" s="12">
        <v>2709.375</v>
      </c>
      <c r="Z875" s="12">
        <v>10.32258064516129</v>
      </c>
      <c r="AA875" s="12"/>
      <c r="AB875" s="12"/>
    </row>
    <row r="876" spans="1:28" x14ac:dyDescent="0.3">
      <c r="A876" s="12" t="s">
        <v>2778</v>
      </c>
      <c r="B876" s="12" t="s">
        <v>120</v>
      </c>
      <c r="C876" s="12" t="s">
        <v>392</v>
      </c>
      <c r="D876" s="12" t="s">
        <v>2478</v>
      </c>
      <c r="E876" s="12" t="s">
        <v>2033</v>
      </c>
      <c r="F876" s="12" t="s">
        <v>1861</v>
      </c>
      <c r="G876" s="12" t="s">
        <v>1861</v>
      </c>
      <c r="H876" s="12" t="b">
        <v>1</v>
      </c>
      <c r="I876" s="12" t="b">
        <v>0</v>
      </c>
      <c r="J876" s="12" t="b">
        <v>0</v>
      </c>
      <c r="K876" s="12" t="b">
        <v>0</v>
      </c>
      <c r="L876" s="12">
        <v>403</v>
      </c>
      <c r="M876" s="12">
        <v>288.14999999999998</v>
      </c>
      <c r="N876" s="12">
        <v>3000</v>
      </c>
      <c r="O876" s="12">
        <v>384.375</v>
      </c>
      <c r="P876" s="12">
        <v>0.5</v>
      </c>
      <c r="Q876" s="12">
        <v>0.85</v>
      </c>
      <c r="R876" s="12">
        <v>0.75</v>
      </c>
      <c r="S876" s="12">
        <v>0.85</v>
      </c>
      <c r="T876" s="12">
        <v>0.75</v>
      </c>
      <c r="U876" s="12">
        <v>0.8</v>
      </c>
      <c r="V876" s="12">
        <v>288.14999999999998</v>
      </c>
      <c r="W876" s="12">
        <v>9.7129929910253896</v>
      </c>
      <c r="X876" s="12">
        <v>31.27031981834736</v>
      </c>
      <c r="Y876" s="12">
        <v>2615.625</v>
      </c>
      <c r="Z876" s="12">
        <v>7.8048780487804876</v>
      </c>
      <c r="AA876" s="12" t="s">
        <v>1268</v>
      </c>
      <c r="AB876" s="12"/>
    </row>
    <row r="877" spans="1:28" x14ac:dyDescent="0.3">
      <c r="A877" s="12" t="s">
        <v>2779</v>
      </c>
      <c r="B877" s="12" t="s">
        <v>120</v>
      </c>
      <c r="C877" s="12" t="s">
        <v>392</v>
      </c>
      <c r="D877" s="12" t="s">
        <v>2478</v>
      </c>
      <c r="E877" s="12" t="s">
        <v>2033</v>
      </c>
      <c r="F877" s="12" t="s">
        <v>1861</v>
      </c>
      <c r="G877" s="12" t="s">
        <v>1861</v>
      </c>
      <c r="H877" s="12" t="b">
        <v>1</v>
      </c>
      <c r="I877" s="12" t="b">
        <v>0</v>
      </c>
      <c r="J877" s="12" t="b">
        <v>0</v>
      </c>
      <c r="K877" s="12" t="b">
        <v>0</v>
      </c>
      <c r="L877" s="12">
        <v>403</v>
      </c>
      <c r="M877" s="12">
        <v>300.032917</v>
      </c>
      <c r="N877" s="12">
        <v>3000</v>
      </c>
      <c r="O877" s="12">
        <v>553.125</v>
      </c>
      <c r="P877" s="12">
        <v>0.5</v>
      </c>
      <c r="Q877" s="12">
        <v>0.85</v>
      </c>
      <c r="R877" s="12">
        <v>0.75</v>
      </c>
      <c r="S877" s="12">
        <v>0.85</v>
      </c>
      <c r="T877" s="12">
        <v>0.75</v>
      </c>
      <c r="U877" s="12">
        <v>0.8</v>
      </c>
      <c r="V877" s="12">
        <v>300.032917</v>
      </c>
      <c r="W877" s="12">
        <v>8.5745911838674402</v>
      </c>
      <c r="X877" s="12">
        <v>26.22692825973288</v>
      </c>
      <c r="Y877" s="12">
        <v>2446.875</v>
      </c>
      <c r="Z877" s="12">
        <v>5.4237288135593218</v>
      </c>
      <c r="AA877" s="12" t="s">
        <v>1268</v>
      </c>
      <c r="AB877" s="12"/>
    </row>
    <row r="878" spans="1:28" x14ac:dyDescent="0.3">
      <c r="A878" s="12" t="s">
        <v>2780</v>
      </c>
      <c r="B878" s="12" t="s">
        <v>120</v>
      </c>
      <c r="C878" s="12" t="s">
        <v>392</v>
      </c>
      <c r="D878" s="12" t="s">
        <v>2478</v>
      </c>
      <c r="E878" s="12" t="s">
        <v>2033</v>
      </c>
      <c r="F878" s="12" t="s">
        <v>1861</v>
      </c>
      <c r="G878" s="12" t="s">
        <v>1861</v>
      </c>
      <c r="H878" s="12" t="b">
        <v>1</v>
      </c>
      <c r="I878" s="12" t="b">
        <v>0</v>
      </c>
      <c r="J878" s="12" t="b">
        <v>0</v>
      </c>
      <c r="K878" s="12" t="b">
        <v>0</v>
      </c>
      <c r="L878" s="12">
        <v>403</v>
      </c>
      <c r="M878" s="12">
        <v>300.032917</v>
      </c>
      <c r="N878" s="12">
        <v>3000</v>
      </c>
      <c r="O878" s="12">
        <v>553.125</v>
      </c>
      <c r="P878" s="12">
        <v>0.5</v>
      </c>
      <c r="Q878" s="12">
        <v>0.85</v>
      </c>
      <c r="R878" s="12">
        <v>0.75</v>
      </c>
      <c r="S878" s="12">
        <v>0.85</v>
      </c>
      <c r="T878" s="12">
        <v>0.75</v>
      </c>
      <c r="U878" s="12">
        <v>0.8</v>
      </c>
      <c r="V878" s="12">
        <v>300.032917</v>
      </c>
      <c r="W878" s="12">
        <v>8.5745911838674402</v>
      </c>
      <c r="X878" s="12">
        <v>26.22692825973288</v>
      </c>
      <c r="Y878" s="12">
        <v>2446.875</v>
      </c>
      <c r="Z878" s="12">
        <v>5.4237288135593218</v>
      </c>
      <c r="AA878" s="12" t="s">
        <v>1268</v>
      </c>
      <c r="AB878" s="12"/>
    </row>
    <row r="879" spans="1:28" x14ac:dyDescent="0.3">
      <c r="A879" s="12" t="s">
        <v>2781</v>
      </c>
      <c r="B879" s="12" t="s">
        <v>120</v>
      </c>
      <c r="C879" s="12" t="s">
        <v>392</v>
      </c>
      <c r="D879" s="12" t="s">
        <v>2478</v>
      </c>
      <c r="E879" s="12" t="s">
        <v>2033</v>
      </c>
      <c r="F879" s="12" t="s">
        <v>32</v>
      </c>
      <c r="G879" s="12" t="s">
        <v>32</v>
      </c>
      <c r="H879" s="12" t="b">
        <v>1</v>
      </c>
      <c r="I879" s="12" t="b">
        <v>1</v>
      </c>
      <c r="J879" s="12" t="b">
        <v>0</v>
      </c>
      <c r="K879" s="12" t="b">
        <v>0</v>
      </c>
      <c r="L879" s="12">
        <v>403</v>
      </c>
      <c r="M879" s="12">
        <v>293.14999999999998</v>
      </c>
      <c r="N879" s="12">
        <v>3000</v>
      </c>
      <c r="O879" s="12">
        <v>459.375</v>
      </c>
      <c r="P879" s="12">
        <v>0.5</v>
      </c>
      <c r="Q879" s="12">
        <v>0.85</v>
      </c>
      <c r="R879" s="12">
        <v>0.75</v>
      </c>
      <c r="S879" s="12">
        <v>0.85</v>
      </c>
      <c r="T879" s="12">
        <v>0.75</v>
      </c>
      <c r="U879" s="12">
        <v>0.8</v>
      </c>
      <c r="V879" s="12">
        <v>293.14999999999998</v>
      </c>
      <c r="W879" s="12">
        <v>9.1430772770279312</v>
      </c>
      <c r="X879" s="12">
        <v>28.817841446012711</v>
      </c>
      <c r="Y879" s="12">
        <v>2540.625</v>
      </c>
      <c r="Z879" s="12">
        <v>6.5306122448979593</v>
      </c>
      <c r="AA879" s="12"/>
      <c r="AB879" s="12"/>
    </row>
    <row r="880" spans="1:28" x14ac:dyDescent="0.3">
      <c r="A880" s="12" t="s">
        <v>2782</v>
      </c>
      <c r="B880" s="12" t="s">
        <v>120</v>
      </c>
      <c r="C880" s="12" t="s">
        <v>392</v>
      </c>
      <c r="D880" s="12" t="s">
        <v>2478</v>
      </c>
      <c r="E880" s="12" t="s">
        <v>2033</v>
      </c>
      <c r="F880" s="12" t="s">
        <v>32</v>
      </c>
      <c r="G880" s="12" t="s">
        <v>32</v>
      </c>
      <c r="H880" s="12" t="b">
        <v>1</v>
      </c>
      <c r="I880" s="12" t="b">
        <v>1</v>
      </c>
      <c r="J880" s="12" t="b">
        <v>0</v>
      </c>
      <c r="K880" s="12" t="b">
        <v>0</v>
      </c>
      <c r="L880" s="12">
        <v>403</v>
      </c>
      <c r="M880" s="12">
        <v>293.14999999999998</v>
      </c>
      <c r="N880" s="12">
        <v>3000</v>
      </c>
      <c r="O880" s="12">
        <v>459.375</v>
      </c>
      <c r="P880" s="12">
        <v>0.5</v>
      </c>
      <c r="Q880" s="12">
        <v>0.85</v>
      </c>
      <c r="R880" s="12">
        <v>0.75</v>
      </c>
      <c r="S880" s="12">
        <v>0.85</v>
      </c>
      <c r="T880" s="12">
        <v>0.75</v>
      </c>
      <c r="U880" s="12">
        <v>0.8</v>
      </c>
      <c r="V880" s="12">
        <v>293.14999999999998</v>
      </c>
      <c r="W880" s="12">
        <v>9.1430772770279312</v>
      </c>
      <c r="X880" s="12">
        <v>28.817841446012711</v>
      </c>
      <c r="Y880" s="12">
        <v>2540.625</v>
      </c>
      <c r="Z880" s="12">
        <v>6.5306122448979593</v>
      </c>
      <c r="AA880" s="12"/>
      <c r="AB880" s="12"/>
    </row>
    <row r="881" spans="1:28" x14ac:dyDescent="0.3">
      <c r="A881" s="12" t="s">
        <v>2783</v>
      </c>
      <c r="B881" s="12" t="s">
        <v>120</v>
      </c>
      <c r="C881" s="12" t="s">
        <v>395</v>
      </c>
      <c r="D881" s="12" t="s">
        <v>2530</v>
      </c>
      <c r="E881" s="12" t="s">
        <v>2033</v>
      </c>
      <c r="F881" s="12" t="s">
        <v>1861</v>
      </c>
      <c r="G881" s="12" t="s">
        <v>1861</v>
      </c>
      <c r="H881" s="12" t="b">
        <v>1</v>
      </c>
      <c r="I881" s="12" t="b">
        <v>0</v>
      </c>
      <c r="J881" s="12" t="b">
        <v>0</v>
      </c>
      <c r="K881" s="12" t="b">
        <v>0</v>
      </c>
      <c r="L881" s="12">
        <v>420</v>
      </c>
      <c r="M881" s="12">
        <v>278.14999999999998</v>
      </c>
      <c r="N881" s="12">
        <v>3000</v>
      </c>
      <c r="O881" s="12">
        <v>384.375</v>
      </c>
      <c r="P881" s="12">
        <v>0.5</v>
      </c>
      <c r="Q881" s="12">
        <v>0.85</v>
      </c>
      <c r="R881" s="12">
        <v>0.75</v>
      </c>
      <c r="S881" s="12">
        <v>0.85</v>
      </c>
      <c r="T881" s="12">
        <v>0.75</v>
      </c>
      <c r="U881" s="12">
        <v>0.8</v>
      </c>
      <c r="V881" s="12">
        <v>278.14999999999998</v>
      </c>
      <c r="W881" s="12">
        <v>12.03693394844753</v>
      </c>
      <c r="X881" s="12">
        <v>64.995234171337742</v>
      </c>
      <c r="Y881" s="12">
        <v>2615.625</v>
      </c>
      <c r="Z881" s="12">
        <v>7.8048780487804876</v>
      </c>
      <c r="AA881" s="12" t="s">
        <v>1268</v>
      </c>
      <c r="AB881" s="12"/>
    </row>
    <row r="882" spans="1:28" x14ac:dyDescent="0.3">
      <c r="A882" s="12" t="s">
        <v>2784</v>
      </c>
      <c r="B882" s="12" t="s">
        <v>120</v>
      </c>
      <c r="C882" s="12" t="s">
        <v>395</v>
      </c>
      <c r="D882" s="12" t="s">
        <v>2530</v>
      </c>
      <c r="E882" s="12" t="s">
        <v>2033</v>
      </c>
      <c r="F882" s="12" t="s">
        <v>1861</v>
      </c>
      <c r="G882" s="12" t="s">
        <v>1861</v>
      </c>
      <c r="H882" s="12" t="b">
        <v>1</v>
      </c>
      <c r="I882" s="12" t="b">
        <v>0</v>
      </c>
      <c r="J882" s="12" t="b">
        <v>0</v>
      </c>
      <c r="K882" s="12" t="b">
        <v>0</v>
      </c>
      <c r="L882" s="12">
        <v>420</v>
      </c>
      <c r="M882" s="12">
        <v>278.14999999999998</v>
      </c>
      <c r="N882" s="12">
        <v>3000</v>
      </c>
      <c r="O882" s="12">
        <v>384.375</v>
      </c>
      <c r="P882" s="12">
        <v>0.5</v>
      </c>
      <c r="Q882" s="12">
        <v>0.85</v>
      </c>
      <c r="R882" s="12">
        <v>0.75</v>
      </c>
      <c r="S882" s="12">
        <v>0.85</v>
      </c>
      <c r="T882" s="12">
        <v>0.75</v>
      </c>
      <c r="U882" s="12">
        <v>0.8</v>
      </c>
      <c r="V882" s="12">
        <v>278.14999999999998</v>
      </c>
      <c r="W882" s="12">
        <v>12.03693394844753</v>
      </c>
      <c r="X882" s="12">
        <v>64.995234171337742</v>
      </c>
      <c r="Y882" s="12">
        <v>2615.625</v>
      </c>
      <c r="Z882" s="12">
        <v>7.8048780487804876</v>
      </c>
      <c r="AA882" s="12" t="s">
        <v>1268</v>
      </c>
      <c r="AB882" s="12"/>
    </row>
    <row r="883" spans="1:28" x14ac:dyDescent="0.3">
      <c r="A883" s="12" t="s">
        <v>2785</v>
      </c>
      <c r="B883" s="12" t="s">
        <v>120</v>
      </c>
      <c r="C883" s="12" t="s">
        <v>395</v>
      </c>
      <c r="D883" s="12" t="s">
        <v>2530</v>
      </c>
      <c r="E883" s="12" t="s">
        <v>2033</v>
      </c>
      <c r="F883" s="12" t="s">
        <v>32</v>
      </c>
      <c r="G883" s="12" t="s">
        <v>32</v>
      </c>
      <c r="H883" s="12" t="b">
        <v>1</v>
      </c>
      <c r="I883" s="12" t="b">
        <v>1</v>
      </c>
      <c r="J883" s="12" t="b">
        <v>0</v>
      </c>
      <c r="K883" s="12" t="b">
        <v>0</v>
      </c>
      <c r="L883" s="12">
        <v>420</v>
      </c>
      <c r="M883" s="12">
        <v>283.14999999999998</v>
      </c>
      <c r="N883" s="12">
        <v>3000</v>
      </c>
      <c r="O883" s="12">
        <v>459.375</v>
      </c>
      <c r="P883" s="12">
        <v>0.5</v>
      </c>
      <c r="Q883" s="12">
        <v>0.85</v>
      </c>
      <c r="R883" s="12">
        <v>0.75</v>
      </c>
      <c r="S883" s="12">
        <v>0.85</v>
      </c>
      <c r="T883" s="12">
        <v>0.75</v>
      </c>
      <c r="U883" s="12">
        <v>0.8</v>
      </c>
      <c r="V883" s="12">
        <v>283.14999999999998</v>
      </c>
      <c r="W883" s="12">
        <v>11.27583657674989</v>
      </c>
      <c r="X883" s="12">
        <v>59.928583697084719</v>
      </c>
      <c r="Y883" s="12">
        <v>2540.625</v>
      </c>
      <c r="Z883" s="12">
        <v>6.5306122448979593</v>
      </c>
      <c r="AA883" s="12"/>
      <c r="AB883" s="12"/>
    </row>
    <row r="884" spans="1:28" x14ac:dyDescent="0.3">
      <c r="A884" s="12" t="s">
        <v>2786</v>
      </c>
      <c r="B884" s="12" t="s">
        <v>120</v>
      </c>
      <c r="C884" s="12" t="s">
        <v>395</v>
      </c>
      <c r="D884" s="12" t="s">
        <v>2530</v>
      </c>
      <c r="E884" s="12" t="s">
        <v>2033</v>
      </c>
      <c r="F884" s="12" t="s">
        <v>32</v>
      </c>
      <c r="G884" s="12" t="s">
        <v>32</v>
      </c>
      <c r="H884" s="12" t="b">
        <v>1</v>
      </c>
      <c r="I884" s="12" t="b">
        <v>1</v>
      </c>
      <c r="J884" s="12" t="b">
        <v>0</v>
      </c>
      <c r="K884" s="12" t="b">
        <v>0</v>
      </c>
      <c r="L884" s="12">
        <v>420</v>
      </c>
      <c r="M884" s="12">
        <v>288.14999999999998</v>
      </c>
      <c r="N884" s="12">
        <v>3000</v>
      </c>
      <c r="O884" s="12">
        <v>534.375</v>
      </c>
      <c r="P884" s="12">
        <v>0.5</v>
      </c>
      <c r="Q884" s="12">
        <v>0.85</v>
      </c>
      <c r="R884" s="12">
        <v>0.75</v>
      </c>
      <c r="S884" s="12">
        <v>0.85</v>
      </c>
      <c r="T884" s="12">
        <v>0.75</v>
      </c>
      <c r="U884" s="12">
        <v>0.8</v>
      </c>
      <c r="V884" s="12">
        <v>288.14999999999998</v>
      </c>
      <c r="W884" s="12">
        <v>10.62196052106462</v>
      </c>
      <c r="X884" s="12">
        <v>55.552320116614887</v>
      </c>
      <c r="Y884" s="12">
        <v>2465.625</v>
      </c>
      <c r="Z884" s="12">
        <v>5.6140350877192979</v>
      </c>
      <c r="AA884" s="12"/>
      <c r="AB884" s="12"/>
    </row>
    <row r="885" spans="1:28" x14ac:dyDescent="0.3">
      <c r="A885" s="12" t="s">
        <v>2787</v>
      </c>
      <c r="B885" s="12" t="s">
        <v>120</v>
      </c>
      <c r="C885" s="12" t="s">
        <v>395</v>
      </c>
      <c r="D885" s="12" t="s">
        <v>2530</v>
      </c>
      <c r="E885" s="12" t="s">
        <v>2033</v>
      </c>
      <c r="F885" s="12" t="s">
        <v>32</v>
      </c>
      <c r="G885" s="12" t="s">
        <v>32</v>
      </c>
      <c r="H885" s="12" t="b">
        <v>1</v>
      </c>
      <c r="I885" s="12" t="b">
        <v>1</v>
      </c>
      <c r="J885" s="12" t="b">
        <v>0</v>
      </c>
      <c r="K885" s="12" t="b">
        <v>0</v>
      </c>
      <c r="L885" s="12">
        <v>420</v>
      </c>
      <c r="M885" s="12">
        <v>283.14999999999998</v>
      </c>
      <c r="N885" s="12">
        <v>3000</v>
      </c>
      <c r="O885" s="12">
        <v>459.375</v>
      </c>
      <c r="P885" s="12">
        <v>0.5</v>
      </c>
      <c r="Q885" s="12">
        <v>0.85</v>
      </c>
      <c r="R885" s="12">
        <v>0.75</v>
      </c>
      <c r="S885" s="12">
        <v>0.85</v>
      </c>
      <c r="T885" s="12">
        <v>0.75</v>
      </c>
      <c r="U885" s="12">
        <v>0.8</v>
      </c>
      <c r="V885" s="12">
        <v>283.14999999999998</v>
      </c>
      <c r="W885" s="12">
        <v>11.27583657674989</v>
      </c>
      <c r="X885" s="12">
        <v>59.928583697084719</v>
      </c>
      <c r="Y885" s="12">
        <v>2540.625</v>
      </c>
      <c r="Z885" s="12">
        <v>6.5306122448979593</v>
      </c>
      <c r="AA885" s="12"/>
      <c r="AB885" s="12"/>
    </row>
    <row r="886" spans="1:28" x14ac:dyDescent="0.3">
      <c r="A886" s="12" t="s">
        <v>2788</v>
      </c>
      <c r="B886" s="12" t="s">
        <v>120</v>
      </c>
      <c r="C886" s="12" t="s">
        <v>395</v>
      </c>
      <c r="D886" s="12" t="s">
        <v>2530</v>
      </c>
      <c r="E886" s="12" t="s">
        <v>2033</v>
      </c>
      <c r="F886" s="12" t="s">
        <v>32</v>
      </c>
      <c r="G886" s="12" t="s">
        <v>32</v>
      </c>
      <c r="H886" s="12" t="b">
        <v>1</v>
      </c>
      <c r="I886" s="12" t="b">
        <v>1</v>
      </c>
      <c r="J886" s="12" t="b">
        <v>0</v>
      </c>
      <c r="K886" s="12" t="b">
        <v>0</v>
      </c>
      <c r="L886" s="12">
        <v>420</v>
      </c>
      <c r="M886" s="12">
        <v>288.14999999999998</v>
      </c>
      <c r="N886" s="12">
        <v>3000</v>
      </c>
      <c r="O886" s="12">
        <v>534.375</v>
      </c>
      <c r="P886" s="12">
        <v>0.5</v>
      </c>
      <c r="Q886" s="12">
        <v>0.85</v>
      </c>
      <c r="R886" s="12">
        <v>0.75</v>
      </c>
      <c r="S886" s="12">
        <v>0.85</v>
      </c>
      <c r="T886" s="12">
        <v>0.75</v>
      </c>
      <c r="U886" s="12">
        <v>0.8</v>
      </c>
      <c r="V886" s="12">
        <v>288.14999999999998</v>
      </c>
      <c r="W886" s="12">
        <v>10.62196052106462</v>
      </c>
      <c r="X886" s="12">
        <v>55.552320116614887</v>
      </c>
      <c r="Y886" s="12">
        <v>2465.625</v>
      </c>
      <c r="Z886" s="12">
        <v>5.6140350877192979</v>
      </c>
      <c r="AA886" s="12"/>
      <c r="AB886" s="12"/>
    </row>
    <row r="887" spans="1:28" x14ac:dyDescent="0.3">
      <c r="A887" s="12" t="s">
        <v>2789</v>
      </c>
      <c r="B887" s="12" t="s">
        <v>120</v>
      </c>
      <c r="C887" s="12" t="s">
        <v>395</v>
      </c>
      <c r="D887" s="12" t="s">
        <v>2530</v>
      </c>
      <c r="E887" s="12" t="s">
        <v>2033</v>
      </c>
      <c r="F887" s="12" t="s">
        <v>1861</v>
      </c>
      <c r="G887" s="12" t="s">
        <v>1861</v>
      </c>
      <c r="H887" s="12" t="b">
        <v>1</v>
      </c>
      <c r="I887" s="12" t="b">
        <v>0</v>
      </c>
      <c r="J887" s="12" t="b">
        <v>0</v>
      </c>
      <c r="K887" s="12" t="b">
        <v>0</v>
      </c>
      <c r="L887" s="12">
        <v>420</v>
      </c>
      <c r="M887" s="12">
        <v>293.14999999999998</v>
      </c>
      <c r="N887" s="12">
        <v>3000</v>
      </c>
      <c r="O887" s="12">
        <v>609.375</v>
      </c>
      <c r="P887" s="12">
        <v>0.5</v>
      </c>
      <c r="Q887" s="12">
        <v>0.85</v>
      </c>
      <c r="R887" s="12">
        <v>0.75</v>
      </c>
      <c r="S887" s="12">
        <v>0.85</v>
      </c>
      <c r="T887" s="12">
        <v>0.75</v>
      </c>
      <c r="U887" s="12">
        <v>0.8</v>
      </c>
      <c r="V887" s="12">
        <v>293.14999999999998</v>
      </c>
      <c r="W887" s="12">
        <v>10.04765433055355</v>
      </c>
      <c r="X887" s="12">
        <v>51.695580260289809</v>
      </c>
      <c r="Y887" s="12">
        <v>2390.625</v>
      </c>
      <c r="Z887" s="12">
        <v>4.9230769230769234</v>
      </c>
      <c r="AA887" s="12" t="s">
        <v>1268</v>
      </c>
      <c r="AB887" s="12"/>
    </row>
    <row r="888" spans="1:28" x14ac:dyDescent="0.3">
      <c r="A888" s="12" t="s">
        <v>2790</v>
      </c>
      <c r="B888" s="12" t="s">
        <v>120</v>
      </c>
      <c r="C888" s="12" t="s">
        <v>395</v>
      </c>
      <c r="D888" s="12" t="s">
        <v>2530</v>
      </c>
      <c r="E888" s="12" t="s">
        <v>2033</v>
      </c>
      <c r="F888" s="12" t="s">
        <v>1861</v>
      </c>
      <c r="G888" s="12" t="s">
        <v>1861</v>
      </c>
      <c r="H888" s="12" t="b">
        <v>1</v>
      </c>
      <c r="I888" s="12" t="b">
        <v>0</v>
      </c>
      <c r="J888" s="12" t="b">
        <v>0</v>
      </c>
      <c r="K888" s="12" t="b">
        <v>0</v>
      </c>
      <c r="L888" s="12">
        <v>420</v>
      </c>
      <c r="M888" s="12">
        <v>293.14999999999998</v>
      </c>
      <c r="N888" s="12">
        <v>3000</v>
      </c>
      <c r="O888" s="12">
        <v>609.375</v>
      </c>
      <c r="P888" s="12">
        <v>0.5</v>
      </c>
      <c r="Q888" s="12">
        <v>0.85</v>
      </c>
      <c r="R888" s="12">
        <v>0.75</v>
      </c>
      <c r="S888" s="12">
        <v>0.85</v>
      </c>
      <c r="T888" s="12">
        <v>0.75</v>
      </c>
      <c r="U888" s="12">
        <v>0.8</v>
      </c>
      <c r="V888" s="12">
        <v>293.14999999999998</v>
      </c>
      <c r="W888" s="12">
        <v>10.04765433055355</v>
      </c>
      <c r="X888" s="12">
        <v>51.695580260289809</v>
      </c>
      <c r="Y888" s="12">
        <v>2390.625</v>
      </c>
      <c r="Z888" s="12">
        <v>4.9230769230769234</v>
      </c>
      <c r="AA888" s="12" t="s">
        <v>1268</v>
      </c>
      <c r="AB888" s="12"/>
    </row>
    <row r="889" spans="1:28" x14ac:dyDescent="0.3">
      <c r="A889" s="12" t="s">
        <v>2791</v>
      </c>
      <c r="B889" s="12" t="s">
        <v>120</v>
      </c>
      <c r="C889" s="12" t="s">
        <v>395</v>
      </c>
      <c r="D889" s="12" t="s">
        <v>2530</v>
      </c>
      <c r="E889" s="12" t="s">
        <v>2033</v>
      </c>
      <c r="F889" s="12" t="s">
        <v>32</v>
      </c>
      <c r="G889" s="12" t="s">
        <v>32</v>
      </c>
      <c r="H889" s="12" t="b">
        <v>1</v>
      </c>
      <c r="I889" s="12" t="b">
        <v>1</v>
      </c>
      <c r="J889" s="12" t="b">
        <v>0</v>
      </c>
      <c r="K889" s="12" t="b">
        <v>0</v>
      </c>
      <c r="L889" s="12">
        <v>420</v>
      </c>
      <c r="M889" s="12">
        <v>300.032917</v>
      </c>
      <c r="N889" s="12">
        <v>3000</v>
      </c>
      <c r="O889" s="12">
        <v>740.625</v>
      </c>
      <c r="P889" s="12">
        <v>0.5</v>
      </c>
      <c r="Q889" s="12">
        <v>0.85</v>
      </c>
      <c r="R889" s="12">
        <v>0.75</v>
      </c>
      <c r="S889" s="12">
        <v>0.85</v>
      </c>
      <c r="T889" s="12">
        <v>0.75</v>
      </c>
      <c r="U889" s="12">
        <v>0.8</v>
      </c>
      <c r="V889" s="12">
        <v>300.032917</v>
      </c>
      <c r="W889" s="12">
        <v>9.1145294398968204</v>
      </c>
      <c r="X889" s="12">
        <v>45.817450225625997</v>
      </c>
      <c r="Y889" s="12">
        <v>2259.375</v>
      </c>
      <c r="Z889" s="12">
        <v>4.0506329113924053</v>
      </c>
      <c r="AA889" s="12"/>
      <c r="AB889" s="12"/>
    </row>
    <row r="890" spans="1:28" x14ac:dyDescent="0.3">
      <c r="A890" s="12" t="s">
        <v>2792</v>
      </c>
      <c r="B890" s="12" t="s">
        <v>120</v>
      </c>
      <c r="C890" s="12" t="s">
        <v>395</v>
      </c>
      <c r="D890" s="12" t="s">
        <v>2530</v>
      </c>
      <c r="E890" s="12" t="s">
        <v>2033</v>
      </c>
      <c r="F890" s="12" t="s">
        <v>32</v>
      </c>
      <c r="G890" s="12" t="s">
        <v>32</v>
      </c>
      <c r="H890" s="12" t="b">
        <v>1</v>
      </c>
      <c r="I890" s="12" t="b">
        <v>1</v>
      </c>
      <c r="J890" s="12" t="b">
        <v>0</v>
      </c>
      <c r="K890" s="12" t="b">
        <v>0</v>
      </c>
      <c r="L890" s="12">
        <v>420</v>
      </c>
      <c r="M890" s="12">
        <v>300.032917</v>
      </c>
      <c r="N890" s="12">
        <v>3000</v>
      </c>
      <c r="O890" s="12">
        <v>740.625</v>
      </c>
      <c r="P890" s="12">
        <v>0.5</v>
      </c>
      <c r="Q890" s="12">
        <v>0.85</v>
      </c>
      <c r="R890" s="12">
        <v>0.75</v>
      </c>
      <c r="S890" s="12">
        <v>0.85</v>
      </c>
      <c r="T890" s="12">
        <v>0.75</v>
      </c>
      <c r="U890" s="12">
        <v>0.8</v>
      </c>
      <c r="V890" s="12">
        <v>300.032917</v>
      </c>
      <c r="W890" s="12">
        <v>9.1145294398968204</v>
      </c>
      <c r="X890" s="12">
        <v>45.817450225625997</v>
      </c>
      <c r="Y890" s="12">
        <v>2259.375</v>
      </c>
      <c r="Z890" s="12">
        <v>4.0506329113924053</v>
      </c>
      <c r="AA890" s="12"/>
      <c r="AB890" s="12"/>
    </row>
    <row r="891" spans="1:28" x14ac:dyDescent="0.3">
      <c r="A891" s="12" t="s">
        <v>2793</v>
      </c>
      <c r="B891" s="12" t="s">
        <v>120</v>
      </c>
      <c r="C891" s="12" t="s">
        <v>397</v>
      </c>
      <c r="D891" s="12" t="s">
        <v>2581</v>
      </c>
      <c r="E891" s="12" t="s">
        <v>2033</v>
      </c>
      <c r="F891" s="12" t="s">
        <v>1861</v>
      </c>
      <c r="G891" s="12" t="s">
        <v>1861</v>
      </c>
      <c r="H891" s="12" t="b">
        <v>1</v>
      </c>
      <c r="I891" s="12" t="b">
        <v>0</v>
      </c>
      <c r="J891" s="12" t="b">
        <v>1</v>
      </c>
      <c r="K891" s="12" t="b">
        <v>0</v>
      </c>
      <c r="L891" s="12">
        <v>623.15</v>
      </c>
      <c r="M891" s="12">
        <v>278.14999999999998</v>
      </c>
      <c r="N891" s="12">
        <v>3000</v>
      </c>
      <c r="O891" s="12">
        <v>740.625</v>
      </c>
      <c r="P891" s="12">
        <v>0.5</v>
      </c>
      <c r="Q891" s="12">
        <v>0.85</v>
      </c>
      <c r="R891" s="12">
        <v>0.75</v>
      </c>
      <c r="S891" s="12">
        <v>0.4</v>
      </c>
      <c r="T891" s="12">
        <v>0.75</v>
      </c>
      <c r="U891" s="12">
        <v>0.8</v>
      </c>
      <c r="V891" s="12">
        <v>278.14999999999998</v>
      </c>
      <c r="W891" s="12">
        <v>9.7688000001067792</v>
      </c>
      <c r="X891" s="12">
        <v>93.969339872949874</v>
      </c>
      <c r="Y891" s="12">
        <v>2259.375</v>
      </c>
      <c r="Z891" s="12">
        <v>4.0506329113924053</v>
      </c>
      <c r="AA891" s="12" t="s">
        <v>1268</v>
      </c>
      <c r="AB891" s="12"/>
    </row>
    <row r="892" spans="1:28" x14ac:dyDescent="0.3">
      <c r="A892" s="12" t="s">
        <v>2794</v>
      </c>
      <c r="B892" s="12" t="s">
        <v>120</v>
      </c>
      <c r="C892" s="12" t="s">
        <v>397</v>
      </c>
      <c r="D892" s="12" t="s">
        <v>2581</v>
      </c>
      <c r="E892" s="12" t="s">
        <v>2033</v>
      </c>
      <c r="F892" s="12" t="s">
        <v>1861</v>
      </c>
      <c r="G892" s="12" t="s">
        <v>1861</v>
      </c>
      <c r="H892" s="12" t="b">
        <v>1</v>
      </c>
      <c r="I892" s="12" t="b">
        <v>0</v>
      </c>
      <c r="J892" s="12" t="b">
        <v>1</v>
      </c>
      <c r="K892" s="12" t="b">
        <v>0</v>
      </c>
      <c r="L892" s="12">
        <v>623.15</v>
      </c>
      <c r="M892" s="12">
        <v>278.14999999999998</v>
      </c>
      <c r="N892" s="12">
        <v>3000</v>
      </c>
      <c r="O892" s="12">
        <v>740.625</v>
      </c>
      <c r="P892" s="12">
        <v>0.5</v>
      </c>
      <c r="Q892" s="12">
        <v>0.85</v>
      </c>
      <c r="R892" s="12">
        <v>0.75</v>
      </c>
      <c r="S892" s="12">
        <v>0.4</v>
      </c>
      <c r="T892" s="12">
        <v>0.75</v>
      </c>
      <c r="U892" s="12">
        <v>0.8</v>
      </c>
      <c r="V892" s="12">
        <v>278.14999999999998</v>
      </c>
      <c r="W892" s="12">
        <v>9.7688000001067792</v>
      </c>
      <c r="X892" s="12">
        <v>93.969339872949874</v>
      </c>
      <c r="Y892" s="12">
        <v>2259.375</v>
      </c>
      <c r="Z892" s="12">
        <v>4.0506329113924053</v>
      </c>
      <c r="AA892" s="12" t="s">
        <v>1268</v>
      </c>
      <c r="AB892" s="12"/>
    </row>
    <row r="893" spans="1:28" x14ac:dyDescent="0.3">
      <c r="A893" s="12" t="s">
        <v>2795</v>
      </c>
      <c r="B893" s="12" t="s">
        <v>120</v>
      </c>
      <c r="C893" s="12" t="s">
        <v>397</v>
      </c>
      <c r="D893" s="12" t="s">
        <v>2581</v>
      </c>
      <c r="E893" s="12" t="s">
        <v>2033</v>
      </c>
      <c r="F893" s="12" t="s">
        <v>1861</v>
      </c>
      <c r="G893" s="12" t="s">
        <v>1861</v>
      </c>
      <c r="H893" s="12" t="b">
        <v>1</v>
      </c>
      <c r="I893" s="12" t="b">
        <v>0</v>
      </c>
      <c r="J893" s="12" t="b">
        <v>1</v>
      </c>
      <c r="K893" s="12" t="b">
        <v>0</v>
      </c>
      <c r="L893" s="12">
        <v>623.15</v>
      </c>
      <c r="M893" s="12">
        <v>283.14999999999998</v>
      </c>
      <c r="N893" s="12">
        <v>3000</v>
      </c>
      <c r="O893" s="12">
        <v>853.125</v>
      </c>
      <c r="P893" s="12">
        <v>0.5</v>
      </c>
      <c r="Q893" s="12">
        <v>0.85</v>
      </c>
      <c r="R893" s="12">
        <v>0.75</v>
      </c>
      <c r="S893" s="12">
        <v>0.4</v>
      </c>
      <c r="T893" s="12">
        <v>0.75</v>
      </c>
      <c r="U893" s="12">
        <v>0.8</v>
      </c>
      <c r="V893" s="12">
        <v>283.14999999999998</v>
      </c>
      <c r="W893" s="12">
        <v>8.9637237375662</v>
      </c>
      <c r="X893" s="12">
        <v>85.731124355052899</v>
      </c>
      <c r="Y893" s="12">
        <v>2146.875</v>
      </c>
      <c r="Z893" s="12">
        <v>3.516483516483516</v>
      </c>
      <c r="AA893" s="12" t="s">
        <v>1268</v>
      </c>
      <c r="AB893" s="12"/>
    </row>
    <row r="894" spans="1:28" x14ac:dyDescent="0.3">
      <c r="A894" s="12" t="s">
        <v>2796</v>
      </c>
      <c r="B894" s="12" t="s">
        <v>120</v>
      </c>
      <c r="C894" s="12" t="s">
        <v>397</v>
      </c>
      <c r="D894" s="12" t="s">
        <v>2581</v>
      </c>
      <c r="E894" s="12" t="s">
        <v>2033</v>
      </c>
      <c r="F894" s="12" t="s">
        <v>1861</v>
      </c>
      <c r="G894" s="12" t="s">
        <v>1861</v>
      </c>
      <c r="H894" s="12" t="b">
        <v>1</v>
      </c>
      <c r="I894" s="12" t="b">
        <v>0</v>
      </c>
      <c r="J894" s="12" t="b">
        <v>1</v>
      </c>
      <c r="K894" s="12" t="b">
        <v>0</v>
      </c>
      <c r="L894" s="12">
        <v>623.15</v>
      </c>
      <c r="M894" s="12">
        <v>283.14999999999998</v>
      </c>
      <c r="N894" s="12">
        <v>3000</v>
      </c>
      <c r="O894" s="12">
        <v>853.125</v>
      </c>
      <c r="P894" s="12">
        <v>0.5</v>
      </c>
      <c r="Q894" s="12">
        <v>0.85</v>
      </c>
      <c r="R894" s="12">
        <v>0.75</v>
      </c>
      <c r="S894" s="12">
        <v>0.4</v>
      </c>
      <c r="T894" s="12">
        <v>0.75</v>
      </c>
      <c r="U894" s="12">
        <v>0.8</v>
      </c>
      <c r="V894" s="12">
        <v>283.14999999999998</v>
      </c>
      <c r="W894" s="12">
        <v>8.9637237375662</v>
      </c>
      <c r="X894" s="12">
        <v>85.731124355052899</v>
      </c>
      <c r="Y894" s="12">
        <v>2146.875</v>
      </c>
      <c r="Z894" s="12">
        <v>3.516483516483516</v>
      </c>
      <c r="AA894" s="12" t="s">
        <v>1268</v>
      </c>
      <c r="AB894" s="12"/>
    </row>
    <row r="895" spans="1:28" x14ac:dyDescent="0.3">
      <c r="A895" s="12" t="s">
        <v>2797</v>
      </c>
      <c r="B895" s="12" t="s">
        <v>120</v>
      </c>
      <c r="C895" s="12" t="s">
        <v>397</v>
      </c>
      <c r="D895" s="12" t="s">
        <v>2581</v>
      </c>
      <c r="E895" s="12" t="s">
        <v>2033</v>
      </c>
      <c r="F895" s="12" t="s">
        <v>32</v>
      </c>
      <c r="G895" s="12" t="s">
        <v>32</v>
      </c>
      <c r="H895" s="12" t="b">
        <v>1</v>
      </c>
      <c r="I895" s="12" t="b">
        <v>0</v>
      </c>
      <c r="J895" s="12" t="b">
        <v>1</v>
      </c>
      <c r="K895" s="12" t="b">
        <v>0</v>
      </c>
      <c r="L895" s="12">
        <v>623.15</v>
      </c>
      <c r="M895" s="12">
        <v>288.14999999999998</v>
      </c>
      <c r="N895" s="12">
        <v>3000</v>
      </c>
      <c r="O895" s="12">
        <v>984.375</v>
      </c>
      <c r="P895" s="12">
        <v>0.5</v>
      </c>
      <c r="Q895" s="12">
        <v>0.85</v>
      </c>
      <c r="R895" s="12">
        <v>0.75</v>
      </c>
      <c r="S895" s="12">
        <v>0.4</v>
      </c>
      <c r="T895" s="12">
        <v>0.75</v>
      </c>
      <c r="U895" s="12">
        <v>0.8</v>
      </c>
      <c r="V895" s="12">
        <v>288.14999999999998</v>
      </c>
      <c r="W895" s="12">
        <v>8.1091002655191495</v>
      </c>
      <c r="X895" s="12">
        <v>77.103130297620865</v>
      </c>
      <c r="Y895" s="12">
        <v>2015.625</v>
      </c>
      <c r="Z895" s="12">
        <v>3.047619047619047</v>
      </c>
      <c r="AA895" s="12"/>
      <c r="AB895" s="12"/>
    </row>
    <row r="896" spans="1:28" x14ac:dyDescent="0.3">
      <c r="A896" s="12" t="s">
        <v>2798</v>
      </c>
      <c r="B896" s="12" t="s">
        <v>120</v>
      </c>
      <c r="C896" s="12" t="s">
        <v>397</v>
      </c>
      <c r="D896" s="12" t="s">
        <v>2581</v>
      </c>
      <c r="E896" s="12" t="s">
        <v>2033</v>
      </c>
      <c r="F896" s="12" t="s">
        <v>32</v>
      </c>
      <c r="G896" s="12" t="s">
        <v>32</v>
      </c>
      <c r="H896" s="12" t="b">
        <v>1</v>
      </c>
      <c r="I896" s="12" t="b">
        <v>0</v>
      </c>
      <c r="J896" s="12" t="b">
        <v>1</v>
      </c>
      <c r="K896" s="12" t="b">
        <v>0</v>
      </c>
      <c r="L896" s="12">
        <v>623.15</v>
      </c>
      <c r="M896" s="12">
        <v>288.14999999999998</v>
      </c>
      <c r="N896" s="12">
        <v>3000</v>
      </c>
      <c r="O896" s="12">
        <v>984.375</v>
      </c>
      <c r="P896" s="12">
        <v>0.5</v>
      </c>
      <c r="Q896" s="12">
        <v>0.85</v>
      </c>
      <c r="R896" s="12">
        <v>0.75</v>
      </c>
      <c r="S896" s="12">
        <v>0.4</v>
      </c>
      <c r="T896" s="12">
        <v>0.75</v>
      </c>
      <c r="U896" s="12">
        <v>0.8</v>
      </c>
      <c r="V896" s="12">
        <v>288.14999999999998</v>
      </c>
      <c r="W896" s="12">
        <v>8.1091002655191495</v>
      </c>
      <c r="X896" s="12">
        <v>77.103130297620865</v>
      </c>
      <c r="Y896" s="12">
        <v>2015.625</v>
      </c>
      <c r="Z896" s="12">
        <v>3.047619047619047</v>
      </c>
      <c r="AA896" s="12"/>
      <c r="AB896" s="12"/>
    </row>
    <row r="897" spans="1:28" x14ac:dyDescent="0.3">
      <c r="A897" s="12" t="s">
        <v>2799</v>
      </c>
      <c r="B897" s="12" t="s">
        <v>120</v>
      </c>
      <c r="C897" s="12" t="s">
        <v>397</v>
      </c>
      <c r="D897" s="12" t="s">
        <v>2581</v>
      </c>
      <c r="E897" s="12" t="s">
        <v>2033</v>
      </c>
      <c r="F897" s="12" t="s">
        <v>32</v>
      </c>
      <c r="G897" s="12" t="s">
        <v>32</v>
      </c>
      <c r="H897" s="12" t="b">
        <v>1</v>
      </c>
      <c r="I897" s="12" t="b">
        <v>0</v>
      </c>
      <c r="J897" s="12" t="b">
        <v>1</v>
      </c>
      <c r="K897" s="12" t="b">
        <v>0</v>
      </c>
      <c r="L897" s="12">
        <v>623.15</v>
      </c>
      <c r="M897" s="12">
        <v>293.14999999999998</v>
      </c>
      <c r="N897" s="12">
        <v>3000</v>
      </c>
      <c r="O897" s="12">
        <v>1115.625</v>
      </c>
      <c r="P897" s="12">
        <v>0.5</v>
      </c>
      <c r="Q897" s="12">
        <v>0.85</v>
      </c>
      <c r="R897" s="12">
        <v>0.75</v>
      </c>
      <c r="S897" s="12">
        <v>0.4</v>
      </c>
      <c r="T897" s="12">
        <v>0.75</v>
      </c>
      <c r="U897" s="12">
        <v>0.8</v>
      </c>
      <c r="V897" s="12">
        <v>293.14999999999998</v>
      </c>
      <c r="W897" s="12">
        <v>7.3420920417465103</v>
      </c>
      <c r="X897" s="12">
        <v>69.397595593738856</v>
      </c>
      <c r="Y897" s="12">
        <v>1884.375</v>
      </c>
      <c r="Z897" s="12">
        <v>2.6890756302521011</v>
      </c>
      <c r="AA897" s="12"/>
      <c r="AB897" s="12"/>
    </row>
    <row r="898" spans="1:28" x14ac:dyDescent="0.3">
      <c r="A898" s="12" t="s">
        <v>2800</v>
      </c>
      <c r="B898" s="12" t="s">
        <v>120</v>
      </c>
      <c r="C898" s="12" t="s">
        <v>397</v>
      </c>
      <c r="D898" s="12" t="s">
        <v>2581</v>
      </c>
      <c r="E898" s="12" t="s">
        <v>2033</v>
      </c>
      <c r="F898" s="12" t="s">
        <v>1861</v>
      </c>
      <c r="G898" s="12" t="s">
        <v>1861</v>
      </c>
      <c r="H898" s="12" t="b">
        <v>1</v>
      </c>
      <c r="I898" s="12" t="b">
        <v>0</v>
      </c>
      <c r="J898" s="12" t="b">
        <v>1</v>
      </c>
      <c r="K898" s="12" t="b">
        <v>0</v>
      </c>
      <c r="L898" s="12">
        <v>623.15</v>
      </c>
      <c r="M898" s="12">
        <v>300.032917</v>
      </c>
      <c r="N898" s="12">
        <v>3000</v>
      </c>
      <c r="O898" s="12">
        <v>1303.125</v>
      </c>
      <c r="P898" s="12">
        <v>0.5</v>
      </c>
      <c r="Q898" s="12">
        <v>0.85</v>
      </c>
      <c r="R898" s="12">
        <v>0.75</v>
      </c>
      <c r="S898" s="12">
        <v>0.4</v>
      </c>
      <c r="T898" s="12">
        <v>0.75</v>
      </c>
      <c r="U898" s="12">
        <v>0.8</v>
      </c>
      <c r="V898" s="12">
        <v>300.032917</v>
      </c>
      <c r="W898" s="12">
        <v>6.3550455144340603</v>
      </c>
      <c r="X898" s="12">
        <v>59.571879390140523</v>
      </c>
      <c r="Y898" s="12">
        <v>1696.875</v>
      </c>
      <c r="Z898" s="12">
        <v>2.3021582733812949</v>
      </c>
      <c r="AA898" s="12" t="s">
        <v>1268</v>
      </c>
      <c r="AB898" s="12"/>
    </row>
    <row r="899" spans="1:28" x14ac:dyDescent="0.3">
      <c r="A899" s="12" t="s">
        <v>2801</v>
      </c>
      <c r="B899" s="12" t="s">
        <v>120</v>
      </c>
      <c r="C899" s="12" t="s">
        <v>397</v>
      </c>
      <c r="D899" s="12" t="s">
        <v>2581</v>
      </c>
      <c r="E899" s="12" t="s">
        <v>2033</v>
      </c>
      <c r="F899" s="12" t="s">
        <v>32</v>
      </c>
      <c r="G899" s="12" t="s">
        <v>32</v>
      </c>
      <c r="H899" s="12" t="b">
        <v>1</v>
      </c>
      <c r="I899" s="12" t="b">
        <v>0</v>
      </c>
      <c r="J899" s="12" t="b">
        <v>1</v>
      </c>
      <c r="K899" s="12" t="b">
        <v>0</v>
      </c>
      <c r="L899" s="12">
        <v>623.15</v>
      </c>
      <c r="M899" s="12">
        <v>293.14999999999998</v>
      </c>
      <c r="N899" s="12">
        <v>3000</v>
      </c>
      <c r="O899" s="12">
        <v>1115.625</v>
      </c>
      <c r="P899" s="12">
        <v>0.5</v>
      </c>
      <c r="Q899" s="12">
        <v>0.85</v>
      </c>
      <c r="R899" s="12">
        <v>0.75</v>
      </c>
      <c r="S899" s="12">
        <v>0.4</v>
      </c>
      <c r="T899" s="12">
        <v>0.75</v>
      </c>
      <c r="U899" s="12">
        <v>0.8</v>
      </c>
      <c r="V899" s="12">
        <v>293.14999999999998</v>
      </c>
      <c r="W899" s="12">
        <v>7.3420920417465103</v>
      </c>
      <c r="X899" s="12">
        <v>69.397595593738856</v>
      </c>
      <c r="Y899" s="12">
        <v>1884.375</v>
      </c>
      <c r="Z899" s="12">
        <v>2.6890756302521011</v>
      </c>
      <c r="AA899" s="12"/>
      <c r="AB899" s="12"/>
    </row>
    <row r="900" spans="1:28" x14ac:dyDescent="0.3">
      <c r="A900" s="12" t="s">
        <v>2802</v>
      </c>
      <c r="B900" s="12" t="s">
        <v>120</v>
      </c>
      <c r="C900" s="12" t="s">
        <v>397</v>
      </c>
      <c r="D900" s="12" t="s">
        <v>2581</v>
      </c>
      <c r="E900" s="12" t="s">
        <v>2033</v>
      </c>
      <c r="F900" s="12" t="s">
        <v>1861</v>
      </c>
      <c r="G900" s="12" t="s">
        <v>1861</v>
      </c>
      <c r="H900" s="12" t="b">
        <v>1</v>
      </c>
      <c r="I900" s="12" t="b">
        <v>0</v>
      </c>
      <c r="J900" s="12" t="b">
        <v>1</v>
      </c>
      <c r="K900" s="12" t="b">
        <v>0</v>
      </c>
      <c r="L900" s="12">
        <v>623.15</v>
      </c>
      <c r="M900" s="12">
        <v>300.032917</v>
      </c>
      <c r="N900" s="12">
        <v>3000</v>
      </c>
      <c r="O900" s="12">
        <v>1303.125</v>
      </c>
      <c r="P900" s="12">
        <v>0.5</v>
      </c>
      <c r="Q900" s="12">
        <v>0.85</v>
      </c>
      <c r="R900" s="12">
        <v>0.75</v>
      </c>
      <c r="S900" s="12">
        <v>0.4</v>
      </c>
      <c r="T900" s="12">
        <v>0.75</v>
      </c>
      <c r="U900" s="12">
        <v>0.8</v>
      </c>
      <c r="V900" s="12">
        <v>300.032917</v>
      </c>
      <c r="W900" s="12">
        <v>6.3550455144340603</v>
      </c>
      <c r="X900" s="12">
        <v>59.571879390140523</v>
      </c>
      <c r="Y900" s="12">
        <v>1696.875</v>
      </c>
      <c r="Z900" s="12">
        <v>2.3021582733812949</v>
      </c>
      <c r="AA900" s="12" t="s">
        <v>1268</v>
      </c>
      <c r="AB900" s="12"/>
    </row>
    <row r="901" spans="1:28" x14ac:dyDescent="0.3">
      <c r="A901" s="12" t="s">
        <v>2803</v>
      </c>
      <c r="B901" s="12" t="s">
        <v>128</v>
      </c>
      <c r="C901" s="12" t="s">
        <v>128</v>
      </c>
      <c r="D901" s="12" t="s">
        <v>129</v>
      </c>
      <c r="E901" s="12" t="s">
        <v>1886</v>
      </c>
      <c r="F901" s="12" t="s">
        <v>832</v>
      </c>
      <c r="G901" s="12" t="s">
        <v>832</v>
      </c>
      <c r="H901" s="12" t="b">
        <v>0</v>
      </c>
      <c r="I901" s="12" t="b">
        <v>0</v>
      </c>
      <c r="J901" s="12" t="b">
        <v>0</v>
      </c>
      <c r="K901" s="12" t="b">
        <v>0</v>
      </c>
      <c r="L901" s="12">
        <v>340</v>
      </c>
      <c r="M901" s="12">
        <v>300.032917</v>
      </c>
      <c r="N901" s="12">
        <v>3000</v>
      </c>
      <c r="O901" s="12">
        <v>563.63636363636374</v>
      </c>
      <c r="P901" s="12">
        <v>0.5</v>
      </c>
      <c r="Q901" s="12">
        <v>0.85</v>
      </c>
      <c r="R901" s="12">
        <v>0.75</v>
      </c>
      <c r="S901" s="12">
        <v>0.85</v>
      </c>
      <c r="T901" s="12">
        <v>0.75</v>
      </c>
      <c r="U901" s="12">
        <v>0.8</v>
      </c>
      <c r="V901" s="12"/>
      <c r="W901" s="12"/>
      <c r="X901" s="12"/>
      <c r="Y901" s="12">
        <v>2436.363636363636</v>
      </c>
      <c r="Z901" s="12">
        <v>5.3225806451612891</v>
      </c>
      <c r="AA901" s="12"/>
      <c r="AB901" s="12" t="s">
        <v>274</v>
      </c>
    </row>
    <row r="902" spans="1:28" x14ac:dyDescent="0.3">
      <c r="A902" s="12" t="s">
        <v>2804</v>
      </c>
      <c r="B902" s="12" t="s">
        <v>128</v>
      </c>
      <c r="C902" s="12" t="s">
        <v>128</v>
      </c>
      <c r="D902" s="12" t="s">
        <v>129</v>
      </c>
      <c r="E902" s="12" t="s">
        <v>1886</v>
      </c>
      <c r="F902" s="12" t="s">
        <v>32</v>
      </c>
      <c r="G902" s="12" t="s">
        <v>32</v>
      </c>
      <c r="H902" s="12" t="b">
        <v>1</v>
      </c>
      <c r="I902" s="12" t="b">
        <v>1</v>
      </c>
      <c r="J902" s="12" t="b">
        <v>0</v>
      </c>
      <c r="K902" s="12" t="b">
        <v>0</v>
      </c>
      <c r="L902" s="12">
        <v>400.67500000000001</v>
      </c>
      <c r="M902" s="12">
        <v>300.032917</v>
      </c>
      <c r="N902" s="12">
        <v>3000</v>
      </c>
      <c r="O902" s="12">
        <v>563.63636363636374</v>
      </c>
      <c r="P902" s="12">
        <v>0.5</v>
      </c>
      <c r="Q902" s="12">
        <v>0.85</v>
      </c>
      <c r="R902" s="12">
        <v>0.75</v>
      </c>
      <c r="S902" s="12">
        <v>0.85</v>
      </c>
      <c r="T902" s="12">
        <v>0.75</v>
      </c>
      <c r="U902" s="12">
        <v>0.8</v>
      </c>
      <c r="V902" s="12"/>
      <c r="W902" s="12">
        <v>7.9012410583171908</v>
      </c>
      <c r="X902" s="12">
        <v>22.008640543517501</v>
      </c>
      <c r="Y902" s="12">
        <v>2436.363636363636</v>
      </c>
      <c r="Z902" s="12">
        <v>5.3225806451612891</v>
      </c>
      <c r="AA902" s="12"/>
      <c r="AB902" s="12" t="s">
        <v>274</v>
      </c>
    </row>
    <row r="903" spans="1:28" x14ac:dyDescent="0.3">
      <c r="A903" s="12" t="s">
        <v>2805</v>
      </c>
      <c r="B903" s="12" t="s">
        <v>128</v>
      </c>
      <c r="C903" s="12" t="s">
        <v>128</v>
      </c>
      <c r="D903" s="12" t="s">
        <v>129</v>
      </c>
      <c r="E903" s="12" t="s">
        <v>2806</v>
      </c>
      <c r="F903" s="12" t="s">
        <v>32</v>
      </c>
      <c r="G903" s="12" t="s">
        <v>32</v>
      </c>
      <c r="H903" s="12" t="b">
        <v>1</v>
      </c>
      <c r="I903" s="12" t="b">
        <v>1</v>
      </c>
      <c r="J903" s="12" t="b">
        <v>0</v>
      </c>
      <c r="K903" s="12" t="b">
        <v>0</v>
      </c>
      <c r="L903" s="12">
        <v>403</v>
      </c>
      <c r="M903" s="12">
        <v>300.032917</v>
      </c>
      <c r="N903" s="12">
        <v>3000</v>
      </c>
      <c r="O903" s="12">
        <v>563.63636363636374</v>
      </c>
      <c r="P903" s="12">
        <v>0.5</v>
      </c>
      <c r="Q903" s="12">
        <v>0.85</v>
      </c>
      <c r="R903" s="12">
        <v>0.75</v>
      </c>
      <c r="S903" s="12">
        <v>0.85</v>
      </c>
      <c r="T903" s="12">
        <v>0.75</v>
      </c>
      <c r="U903" s="12">
        <v>0.8</v>
      </c>
      <c r="V903" s="12"/>
      <c r="W903" s="12">
        <v>8.4818912050065691</v>
      </c>
      <c r="X903" s="12">
        <v>25.941881729421411</v>
      </c>
      <c r="Y903" s="12">
        <v>2436.363636363636</v>
      </c>
      <c r="Z903" s="12">
        <v>5.3225806451612891</v>
      </c>
      <c r="AA903" s="12"/>
      <c r="AB903" s="12"/>
    </row>
    <row r="904" spans="1:28" x14ac:dyDescent="0.3">
      <c r="A904" s="12" t="s">
        <v>2807</v>
      </c>
      <c r="B904" s="12" t="s">
        <v>128</v>
      </c>
      <c r="C904" s="12" t="s">
        <v>128</v>
      </c>
      <c r="D904" s="12" t="s">
        <v>129</v>
      </c>
      <c r="E904" s="12" t="s">
        <v>1886</v>
      </c>
      <c r="F904" s="12" t="s">
        <v>832</v>
      </c>
      <c r="G904" s="12" t="s">
        <v>832</v>
      </c>
      <c r="H904" s="12" t="b">
        <v>0</v>
      </c>
      <c r="I904" s="12" t="b">
        <v>0</v>
      </c>
      <c r="J904" s="12" t="b">
        <v>0</v>
      </c>
      <c r="K904" s="12" t="b">
        <v>0</v>
      </c>
      <c r="L904" s="12">
        <v>360.22500000000002</v>
      </c>
      <c r="M904" s="12">
        <v>300.032917</v>
      </c>
      <c r="N904" s="12">
        <v>3000</v>
      </c>
      <c r="O904" s="12">
        <v>563.63636363636374</v>
      </c>
      <c r="P904" s="12">
        <v>0.5</v>
      </c>
      <c r="Q904" s="12">
        <v>0.85</v>
      </c>
      <c r="R904" s="12">
        <v>0.75</v>
      </c>
      <c r="S904" s="12">
        <v>0.85</v>
      </c>
      <c r="T904" s="12">
        <v>0.75</v>
      </c>
      <c r="U904" s="12">
        <v>0.8</v>
      </c>
      <c r="V904" s="12"/>
      <c r="W904" s="12"/>
      <c r="X904" s="12"/>
      <c r="Y904" s="12">
        <v>2436.363636363636</v>
      </c>
      <c r="Z904" s="12">
        <v>5.3225806451612891</v>
      </c>
      <c r="AA904" s="12"/>
      <c r="AB904" s="12" t="s">
        <v>274</v>
      </c>
    </row>
    <row r="905" spans="1:28" x14ac:dyDescent="0.3">
      <c r="A905" s="12" t="s">
        <v>2808</v>
      </c>
      <c r="B905" s="12" t="s">
        <v>128</v>
      </c>
      <c r="C905" s="12" t="s">
        <v>128</v>
      </c>
      <c r="D905" s="12" t="s">
        <v>129</v>
      </c>
      <c r="E905" s="12" t="s">
        <v>1886</v>
      </c>
      <c r="F905" s="12" t="s">
        <v>1863</v>
      </c>
      <c r="G905" s="12" t="s">
        <v>832</v>
      </c>
      <c r="H905" s="12" t="b">
        <v>0</v>
      </c>
      <c r="I905" s="12" t="b">
        <v>0</v>
      </c>
      <c r="J905" s="12" t="b">
        <v>0</v>
      </c>
      <c r="K905" s="12" t="b">
        <v>0</v>
      </c>
      <c r="L905" s="12">
        <v>380.45</v>
      </c>
      <c r="M905" s="12">
        <v>300.032917</v>
      </c>
      <c r="N905" s="12">
        <v>3000</v>
      </c>
      <c r="O905" s="12">
        <v>563.63636363636374</v>
      </c>
      <c r="P905" s="12">
        <v>0.5</v>
      </c>
      <c r="Q905" s="12">
        <v>0.85</v>
      </c>
      <c r="R905" s="12">
        <v>0.75</v>
      </c>
      <c r="S905" s="12">
        <v>0.85</v>
      </c>
      <c r="T905" s="12">
        <v>0.75</v>
      </c>
      <c r="U905" s="12">
        <v>0.8</v>
      </c>
      <c r="V905" s="12"/>
      <c r="W905" s="12">
        <v>-36.629517602112372</v>
      </c>
      <c r="X905" s="12">
        <v>-23.388928512064151</v>
      </c>
      <c r="Y905" s="12">
        <v>2436.363636363636</v>
      </c>
      <c r="Z905" s="12">
        <v>5.3225806451612891</v>
      </c>
      <c r="AA905" s="12" t="s">
        <v>2018</v>
      </c>
      <c r="AB905" s="12" t="s">
        <v>274</v>
      </c>
    </row>
    <row r="906" spans="1:28" x14ac:dyDescent="0.3">
      <c r="A906" s="12" t="s">
        <v>2809</v>
      </c>
      <c r="B906" s="12" t="s">
        <v>128</v>
      </c>
      <c r="C906" s="12" t="s">
        <v>128</v>
      </c>
      <c r="D906" s="12" t="s">
        <v>129</v>
      </c>
      <c r="E906" s="12" t="s">
        <v>1886</v>
      </c>
      <c r="F906" s="12" t="s">
        <v>1861</v>
      </c>
      <c r="G906" s="12" t="s">
        <v>1861</v>
      </c>
      <c r="H906" s="12" t="b">
        <v>1</v>
      </c>
      <c r="I906" s="12" t="b">
        <v>0</v>
      </c>
      <c r="J906" s="12" t="b">
        <v>0</v>
      </c>
      <c r="K906" s="12" t="b">
        <v>0</v>
      </c>
      <c r="L906" s="12">
        <v>420.9</v>
      </c>
      <c r="M906" s="12">
        <v>300.032917</v>
      </c>
      <c r="N906" s="12">
        <v>3000</v>
      </c>
      <c r="O906" s="12">
        <v>563.63636363636374</v>
      </c>
      <c r="P906" s="12">
        <v>0.5</v>
      </c>
      <c r="Q906" s="12">
        <v>0.85</v>
      </c>
      <c r="R906" s="12">
        <v>0.75</v>
      </c>
      <c r="S906" s="12">
        <v>0.85</v>
      </c>
      <c r="T906" s="12">
        <v>0.75</v>
      </c>
      <c r="U906" s="12">
        <v>0.8</v>
      </c>
      <c r="V906" s="12"/>
      <c r="W906" s="12">
        <v>10.74105785424298</v>
      </c>
      <c r="X906" s="12">
        <v>55.202389458688558</v>
      </c>
      <c r="Y906" s="12">
        <v>2436.363636363636</v>
      </c>
      <c r="Z906" s="12">
        <v>5.3225806451612891</v>
      </c>
      <c r="AA906" s="12" t="s">
        <v>1268</v>
      </c>
      <c r="AB906" s="12" t="s">
        <v>274</v>
      </c>
    </row>
    <row r="907" spans="1:28" x14ac:dyDescent="0.3">
      <c r="A907" s="12" t="s">
        <v>2810</v>
      </c>
      <c r="B907" s="12" t="s">
        <v>128</v>
      </c>
      <c r="C907" s="12" t="s">
        <v>128</v>
      </c>
      <c r="D907" s="12" t="s">
        <v>129</v>
      </c>
      <c r="E907" s="12" t="s">
        <v>1886</v>
      </c>
      <c r="F907" s="12" t="s">
        <v>1861</v>
      </c>
      <c r="G907" s="12" t="s">
        <v>1861</v>
      </c>
      <c r="H907" s="12" t="b">
        <v>1</v>
      </c>
      <c r="I907" s="12" t="b">
        <v>0</v>
      </c>
      <c r="J907" s="12" t="b">
        <v>1</v>
      </c>
      <c r="K907" s="12" t="b">
        <v>0</v>
      </c>
      <c r="L907" s="12">
        <v>441.125</v>
      </c>
      <c r="M907" s="12">
        <v>300.032917</v>
      </c>
      <c r="N907" s="12">
        <v>3000</v>
      </c>
      <c r="O907" s="12">
        <v>563.63636363636374</v>
      </c>
      <c r="P907" s="12">
        <v>0.5</v>
      </c>
      <c r="Q907" s="12">
        <v>0.85</v>
      </c>
      <c r="R907" s="12">
        <v>0.75</v>
      </c>
      <c r="S907" s="12">
        <v>0.85</v>
      </c>
      <c r="T907" s="12">
        <v>0.75</v>
      </c>
      <c r="U907" s="12">
        <v>0.8</v>
      </c>
      <c r="V907" s="12"/>
      <c r="W907" s="12">
        <v>11.529753988312651</v>
      </c>
      <c r="X907" s="12">
        <v>91.489019165439601</v>
      </c>
      <c r="Y907" s="12">
        <v>2436.363636363636</v>
      </c>
      <c r="Z907" s="12">
        <v>5.3225806451612891</v>
      </c>
      <c r="AA907" s="12" t="s">
        <v>1268</v>
      </c>
      <c r="AB907" s="12" t="s">
        <v>274</v>
      </c>
    </row>
    <row r="908" spans="1:28" x14ac:dyDescent="0.3">
      <c r="A908" s="12" t="s">
        <v>2811</v>
      </c>
      <c r="B908" s="12" t="s">
        <v>128</v>
      </c>
      <c r="C908" s="12" t="s">
        <v>128</v>
      </c>
      <c r="D908" s="12" t="s">
        <v>129</v>
      </c>
      <c r="E908" s="12" t="s">
        <v>1886</v>
      </c>
      <c r="F908" s="12" t="s">
        <v>1861</v>
      </c>
      <c r="G908" s="12" t="s">
        <v>1861</v>
      </c>
      <c r="H908" s="12" t="b">
        <v>1</v>
      </c>
      <c r="I908" s="12" t="b">
        <v>0</v>
      </c>
      <c r="J908" s="12" t="b">
        <v>1</v>
      </c>
      <c r="K908" s="12" t="b">
        <v>0</v>
      </c>
      <c r="L908" s="12">
        <v>461.35</v>
      </c>
      <c r="M908" s="12">
        <v>300.032917</v>
      </c>
      <c r="N908" s="12">
        <v>3000</v>
      </c>
      <c r="O908" s="12">
        <v>563.63636363636374</v>
      </c>
      <c r="P908" s="12">
        <v>0.5</v>
      </c>
      <c r="Q908" s="12">
        <v>0.85</v>
      </c>
      <c r="R908" s="12">
        <v>0.75</v>
      </c>
      <c r="S908" s="12">
        <v>0.85</v>
      </c>
      <c r="T908" s="12">
        <v>0.75</v>
      </c>
      <c r="U908" s="12">
        <v>0.8</v>
      </c>
      <c r="V908" s="12"/>
      <c r="W908" s="12">
        <v>11.568635061591181</v>
      </c>
      <c r="X908" s="12">
        <v>142.64697085843369</v>
      </c>
      <c r="Y908" s="12">
        <v>2436.363636363636</v>
      </c>
      <c r="Z908" s="12">
        <v>5.3225806451612891</v>
      </c>
      <c r="AA908" s="12" t="s">
        <v>1268</v>
      </c>
      <c r="AB908" s="12" t="s">
        <v>274</v>
      </c>
    </row>
    <row r="909" spans="1:28" x14ac:dyDescent="0.3">
      <c r="A909" s="12" t="s">
        <v>2812</v>
      </c>
      <c r="B909" s="12" t="s">
        <v>128</v>
      </c>
      <c r="C909" s="12" t="s">
        <v>128</v>
      </c>
      <c r="D909" s="12" t="s">
        <v>129</v>
      </c>
      <c r="E909" s="12" t="s">
        <v>1886</v>
      </c>
      <c r="F909" s="12" t="s">
        <v>1861</v>
      </c>
      <c r="G909" s="12" t="s">
        <v>1861</v>
      </c>
      <c r="H909" s="12" t="b">
        <v>1</v>
      </c>
      <c r="I909" s="12" t="b">
        <v>0</v>
      </c>
      <c r="J909" s="12" t="b">
        <v>1</v>
      </c>
      <c r="K909" s="12" t="b">
        <v>0</v>
      </c>
      <c r="L909" s="12">
        <v>481.57499999999999</v>
      </c>
      <c r="M909" s="12">
        <v>300.032917</v>
      </c>
      <c r="N909" s="12">
        <v>3000</v>
      </c>
      <c r="O909" s="12">
        <v>563.63636363636374</v>
      </c>
      <c r="P909" s="12">
        <v>0.5</v>
      </c>
      <c r="Q909" s="12">
        <v>0.85</v>
      </c>
      <c r="R909" s="12">
        <v>0.75</v>
      </c>
      <c r="S909" s="12">
        <v>0.85</v>
      </c>
      <c r="T909" s="12">
        <v>0.75</v>
      </c>
      <c r="U909" s="12">
        <v>0.8</v>
      </c>
      <c r="V909" s="12"/>
      <c r="W909" s="12">
        <v>11.35643745671123</v>
      </c>
      <c r="X909" s="12">
        <v>185.68400314380719</v>
      </c>
      <c r="Y909" s="12">
        <v>2436.363636363636</v>
      </c>
      <c r="Z909" s="12">
        <v>5.3225806451612891</v>
      </c>
      <c r="AA909" s="12" t="s">
        <v>1268</v>
      </c>
      <c r="AB909" s="12" t="s">
        <v>274</v>
      </c>
    </row>
    <row r="910" spans="1:28" x14ac:dyDescent="0.3">
      <c r="A910" s="12" t="s">
        <v>2813</v>
      </c>
      <c r="B910" s="12" t="s">
        <v>128</v>
      </c>
      <c r="C910" s="12" t="s">
        <v>128</v>
      </c>
      <c r="D910" s="12" t="s">
        <v>129</v>
      </c>
      <c r="E910" s="12" t="s">
        <v>1886</v>
      </c>
      <c r="F910" s="12" t="s">
        <v>1861</v>
      </c>
      <c r="G910" s="12" t="s">
        <v>1861</v>
      </c>
      <c r="H910" s="12" t="b">
        <v>1</v>
      </c>
      <c r="I910" s="12" t="b">
        <v>0</v>
      </c>
      <c r="J910" s="12" t="b">
        <v>1</v>
      </c>
      <c r="K910" s="12" t="b">
        <v>0</v>
      </c>
      <c r="L910" s="12">
        <v>522.02499999999998</v>
      </c>
      <c r="M910" s="12">
        <v>300.032917</v>
      </c>
      <c r="N910" s="12">
        <v>3000</v>
      </c>
      <c r="O910" s="12">
        <v>563.63636363636374</v>
      </c>
      <c r="P910" s="12">
        <v>0.5</v>
      </c>
      <c r="Q910" s="12">
        <v>0.85</v>
      </c>
      <c r="R910" s="12">
        <v>0.75</v>
      </c>
      <c r="S910" s="12">
        <v>0.85</v>
      </c>
      <c r="T910" s="12">
        <v>0.75</v>
      </c>
      <c r="U910" s="12">
        <v>0.8</v>
      </c>
      <c r="V910" s="12"/>
      <c r="W910" s="12">
        <v>11.307554606459391</v>
      </c>
      <c r="X910" s="12">
        <v>195.07352188953581</v>
      </c>
      <c r="Y910" s="12">
        <v>2436.363636363636</v>
      </c>
      <c r="Z910" s="12">
        <v>5.3225806451612891</v>
      </c>
      <c r="AA910" s="12" t="s">
        <v>1268</v>
      </c>
      <c r="AB910" s="12" t="s">
        <v>274</v>
      </c>
    </row>
    <row r="911" spans="1:28" x14ac:dyDescent="0.3">
      <c r="A911" s="12" t="s">
        <v>2814</v>
      </c>
      <c r="B911" s="12" t="s">
        <v>128</v>
      </c>
      <c r="C911" s="12" t="s">
        <v>128</v>
      </c>
      <c r="D911" s="12" t="s">
        <v>129</v>
      </c>
      <c r="E911" s="12" t="s">
        <v>1886</v>
      </c>
      <c r="F911" s="12" t="s">
        <v>1861</v>
      </c>
      <c r="G911" s="12" t="s">
        <v>1861</v>
      </c>
      <c r="H911" s="12" t="b">
        <v>1</v>
      </c>
      <c r="I911" s="12" t="b">
        <v>0</v>
      </c>
      <c r="J911" s="12" t="b">
        <v>1</v>
      </c>
      <c r="K911" s="12" t="b">
        <v>0</v>
      </c>
      <c r="L911" s="12">
        <v>501.8</v>
      </c>
      <c r="M911" s="12">
        <v>300.032917</v>
      </c>
      <c r="N911" s="12">
        <v>3000</v>
      </c>
      <c r="O911" s="12">
        <v>563.63636363636374</v>
      </c>
      <c r="P911" s="12">
        <v>0.5</v>
      </c>
      <c r="Q911" s="12">
        <v>0.85</v>
      </c>
      <c r="R911" s="12">
        <v>0.75</v>
      </c>
      <c r="S911" s="12">
        <v>0.85</v>
      </c>
      <c r="T911" s="12">
        <v>0.75</v>
      </c>
      <c r="U911" s="12">
        <v>0.8</v>
      </c>
      <c r="V911" s="12"/>
      <c r="W911" s="12">
        <v>11.330252813248</v>
      </c>
      <c r="X911" s="12">
        <v>190.5026723860033</v>
      </c>
      <c r="Y911" s="12">
        <v>2436.363636363636</v>
      </c>
      <c r="Z911" s="12">
        <v>5.3225806451612891</v>
      </c>
      <c r="AA911" s="12" t="s">
        <v>1268</v>
      </c>
      <c r="AB911" s="12" t="s">
        <v>274</v>
      </c>
    </row>
    <row r="912" spans="1:28" x14ac:dyDescent="0.3">
      <c r="A912" s="12" t="s">
        <v>2815</v>
      </c>
      <c r="B912" s="12" t="s">
        <v>128</v>
      </c>
      <c r="C912" s="12" t="s">
        <v>128</v>
      </c>
      <c r="D912" s="12" t="s">
        <v>129</v>
      </c>
      <c r="E912" s="12" t="s">
        <v>1886</v>
      </c>
      <c r="F912" s="12" t="s">
        <v>1861</v>
      </c>
      <c r="G912" s="12" t="s">
        <v>1861</v>
      </c>
      <c r="H912" s="12" t="b">
        <v>1</v>
      </c>
      <c r="I912" s="12" t="b">
        <v>0</v>
      </c>
      <c r="J912" s="12" t="b">
        <v>1</v>
      </c>
      <c r="K912" s="12" t="b">
        <v>0</v>
      </c>
      <c r="L912" s="12">
        <v>542.25</v>
      </c>
      <c r="M912" s="12">
        <v>300.032917</v>
      </c>
      <c r="N912" s="12">
        <v>3000</v>
      </c>
      <c r="O912" s="12">
        <v>563.63636363636374</v>
      </c>
      <c r="P912" s="12">
        <v>0.5</v>
      </c>
      <c r="Q912" s="12">
        <v>0.85</v>
      </c>
      <c r="R912" s="12">
        <v>0.75</v>
      </c>
      <c r="S912" s="12">
        <v>0.85</v>
      </c>
      <c r="T912" s="12">
        <v>0.75</v>
      </c>
      <c r="U912" s="12">
        <v>0.8</v>
      </c>
      <c r="V912" s="12"/>
      <c r="W912" s="12">
        <v>11.28657037253576</v>
      </c>
      <c r="X912" s="12">
        <v>199.4849814759846</v>
      </c>
      <c r="Y912" s="12">
        <v>2436.363636363636</v>
      </c>
      <c r="Z912" s="12">
        <v>5.3225806451612891</v>
      </c>
      <c r="AA912" s="12" t="s">
        <v>1268</v>
      </c>
      <c r="AB912" s="12" t="s">
        <v>274</v>
      </c>
    </row>
    <row r="913" spans="1:28" x14ac:dyDescent="0.3">
      <c r="A913" s="12" t="s">
        <v>2816</v>
      </c>
      <c r="B913" s="12" t="s">
        <v>128</v>
      </c>
      <c r="C913" s="12" t="s">
        <v>128</v>
      </c>
      <c r="D913" s="12" t="s">
        <v>129</v>
      </c>
      <c r="E913" s="12" t="s">
        <v>1886</v>
      </c>
      <c r="F913" s="12" t="s">
        <v>832</v>
      </c>
      <c r="G913" s="12" t="s">
        <v>832</v>
      </c>
      <c r="H913" s="12" t="b">
        <v>0</v>
      </c>
      <c r="I913" s="12" t="b">
        <v>0</v>
      </c>
      <c r="J913" s="12" t="b">
        <v>0</v>
      </c>
      <c r="K913" s="12" t="b">
        <v>0</v>
      </c>
      <c r="L913" s="12">
        <v>602.92499999999995</v>
      </c>
      <c r="M913" s="12">
        <v>300.032917</v>
      </c>
      <c r="N913" s="12">
        <v>3000</v>
      </c>
      <c r="O913" s="12">
        <v>563.63636363636374</v>
      </c>
      <c r="P913" s="12">
        <v>0.5</v>
      </c>
      <c r="Q913" s="12">
        <v>0.85</v>
      </c>
      <c r="R913" s="12">
        <v>0.75</v>
      </c>
      <c r="S913" s="12">
        <v>0.85</v>
      </c>
      <c r="T913" s="12">
        <v>0.75</v>
      </c>
      <c r="U913" s="12">
        <v>0.8</v>
      </c>
      <c r="V913" s="12"/>
      <c r="W913" s="12"/>
      <c r="X913" s="12"/>
      <c r="Y913" s="12">
        <v>2436.363636363636</v>
      </c>
      <c r="Z913" s="12">
        <v>5.3225806451612891</v>
      </c>
      <c r="AA913" s="12"/>
      <c r="AB913" s="12" t="s">
        <v>274</v>
      </c>
    </row>
    <row r="914" spans="1:28" x14ac:dyDescent="0.3">
      <c r="A914" s="12" t="s">
        <v>2817</v>
      </c>
      <c r="B914" s="12" t="s">
        <v>128</v>
      </c>
      <c r="C914" s="12" t="s">
        <v>128</v>
      </c>
      <c r="D914" s="12" t="s">
        <v>129</v>
      </c>
      <c r="E914" s="12" t="s">
        <v>1886</v>
      </c>
      <c r="F914" s="12" t="s">
        <v>1861</v>
      </c>
      <c r="G914" s="12" t="s">
        <v>1861</v>
      </c>
      <c r="H914" s="12" t="b">
        <v>1</v>
      </c>
      <c r="I914" s="12" t="b">
        <v>0</v>
      </c>
      <c r="J914" s="12" t="b">
        <v>1</v>
      </c>
      <c r="K914" s="12" t="b">
        <v>0</v>
      </c>
      <c r="L914" s="12">
        <v>562.47499999999991</v>
      </c>
      <c r="M914" s="12">
        <v>300.032917</v>
      </c>
      <c r="N914" s="12">
        <v>3000</v>
      </c>
      <c r="O914" s="12">
        <v>563.63636363636374</v>
      </c>
      <c r="P914" s="12">
        <v>0.5</v>
      </c>
      <c r="Q914" s="12">
        <v>0.85</v>
      </c>
      <c r="R914" s="12">
        <v>0.75</v>
      </c>
      <c r="S914" s="12">
        <v>0.85</v>
      </c>
      <c r="T914" s="12">
        <v>0.75</v>
      </c>
      <c r="U914" s="12">
        <v>0.8</v>
      </c>
      <c r="V914" s="12"/>
      <c r="W914" s="12">
        <v>11.26716403941931</v>
      </c>
      <c r="X914" s="12">
        <v>203.8154959014158</v>
      </c>
      <c r="Y914" s="12">
        <v>2436.363636363636</v>
      </c>
      <c r="Z914" s="12">
        <v>5.3225806451612891</v>
      </c>
      <c r="AA914" s="12" t="s">
        <v>1268</v>
      </c>
      <c r="AB914" s="12" t="s">
        <v>274</v>
      </c>
    </row>
    <row r="915" spans="1:28" x14ac:dyDescent="0.3">
      <c r="A915" s="12" t="s">
        <v>2818</v>
      </c>
      <c r="B915" s="12" t="s">
        <v>128</v>
      </c>
      <c r="C915" s="12" t="s">
        <v>128</v>
      </c>
      <c r="D915" s="12" t="s">
        <v>129</v>
      </c>
      <c r="E915" s="12" t="s">
        <v>1886</v>
      </c>
      <c r="F915" s="12" t="s">
        <v>1861</v>
      </c>
      <c r="G915" s="12" t="s">
        <v>1861</v>
      </c>
      <c r="H915" s="12" t="b">
        <v>1</v>
      </c>
      <c r="I915" s="12" t="b">
        <v>0</v>
      </c>
      <c r="J915" s="12" t="b">
        <v>1</v>
      </c>
      <c r="K915" s="12" t="b">
        <v>0</v>
      </c>
      <c r="L915" s="12">
        <v>582.70000000000005</v>
      </c>
      <c r="M915" s="12">
        <v>300.032917</v>
      </c>
      <c r="N915" s="12">
        <v>3000</v>
      </c>
      <c r="O915" s="12">
        <v>563.63636363636374</v>
      </c>
      <c r="P915" s="12">
        <v>0.5</v>
      </c>
      <c r="Q915" s="12">
        <v>0.85</v>
      </c>
      <c r="R915" s="12">
        <v>0.75</v>
      </c>
      <c r="S915" s="12">
        <v>0.85</v>
      </c>
      <c r="T915" s="12">
        <v>0.75</v>
      </c>
      <c r="U915" s="12">
        <v>0.8</v>
      </c>
      <c r="V915" s="12"/>
      <c r="W915" s="12">
        <v>11.24919898631345</v>
      </c>
      <c r="X915" s="12">
        <v>208.09976239538921</v>
      </c>
      <c r="Y915" s="12">
        <v>2436.363636363636</v>
      </c>
      <c r="Z915" s="12">
        <v>5.3225806451612891</v>
      </c>
      <c r="AA915" s="12" t="s">
        <v>1268</v>
      </c>
      <c r="AB915" s="12" t="s">
        <v>274</v>
      </c>
    </row>
    <row r="916" spans="1:28" x14ac:dyDescent="0.3">
      <c r="A916" s="12" t="s">
        <v>2819</v>
      </c>
      <c r="B916" s="12" t="s">
        <v>128</v>
      </c>
      <c r="C916" s="12" t="s">
        <v>128</v>
      </c>
      <c r="D916" s="12" t="s">
        <v>129</v>
      </c>
      <c r="E916" s="12" t="s">
        <v>1886</v>
      </c>
      <c r="F916" s="12" t="s">
        <v>832</v>
      </c>
      <c r="G916" s="12" t="s">
        <v>832</v>
      </c>
      <c r="H916" s="12" t="b">
        <v>0</v>
      </c>
      <c r="I916" s="12" t="b">
        <v>0</v>
      </c>
      <c r="J916" s="12" t="b">
        <v>0</v>
      </c>
      <c r="K916" s="12" t="b">
        <v>0</v>
      </c>
      <c r="L916" s="12">
        <v>623.15</v>
      </c>
      <c r="M916" s="12">
        <v>300.032917</v>
      </c>
      <c r="N916" s="12">
        <v>3000</v>
      </c>
      <c r="O916" s="12">
        <v>563.63636363636374</v>
      </c>
      <c r="P916" s="12">
        <v>0.5</v>
      </c>
      <c r="Q916" s="12">
        <v>0.85</v>
      </c>
      <c r="R916" s="12">
        <v>0.75</v>
      </c>
      <c r="S916" s="12">
        <v>0.85</v>
      </c>
      <c r="T916" s="12">
        <v>0.75</v>
      </c>
      <c r="U916" s="12">
        <v>0.8</v>
      </c>
      <c r="V916" s="12"/>
      <c r="W916" s="12"/>
      <c r="X916" s="12"/>
      <c r="Y916" s="12">
        <v>2436.363636363636</v>
      </c>
      <c r="Z916" s="12">
        <v>5.3225806451612891</v>
      </c>
      <c r="AA916" s="12"/>
      <c r="AB916" s="12" t="s">
        <v>274</v>
      </c>
    </row>
    <row r="917" spans="1:28" x14ac:dyDescent="0.3">
      <c r="A917" s="12" t="s">
        <v>2820</v>
      </c>
      <c r="B917" s="12" t="s">
        <v>128</v>
      </c>
      <c r="C917" s="12" t="s">
        <v>128</v>
      </c>
      <c r="D917" s="12" t="s">
        <v>129</v>
      </c>
      <c r="E917" s="12" t="s">
        <v>2821</v>
      </c>
      <c r="F917" s="12" t="s">
        <v>32</v>
      </c>
      <c r="G917" s="12" t="s">
        <v>32</v>
      </c>
      <c r="H917" s="12" t="b">
        <v>1</v>
      </c>
      <c r="I917" s="12" t="b">
        <v>1</v>
      </c>
      <c r="J917" s="12" t="b">
        <v>0</v>
      </c>
      <c r="K917" s="12" t="b">
        <v>0</v>
      </c>
      <c r="L917" s="12">
        <v>400.16849999999999</v>
      </c>
      <c r="M917" s="12">
        <v>300.032917</v>
      </c>
      <c r="N917" s="12">
        <v>3000</v>
      </c>
      <c r="O917" s="12">
        <v>563.63636363636374</v>
      </c>
      <c r="P917" s="12">
        <v>0.5</v>
      </c>
      <c r="Q917" s="12">
        <v>0.85</v>
      </c>
      <c r="R917" s="12">
        <v>0.75</v>
      </c>
      <c r="S917" s="12">
        <v>0.85</v>
      </c>
      <c r="T917" s="12">
        <v>0.75</v>
      </c>
      <c r="U917" s="12">
        <v>0.8</v>
      </c>
      <c r="V917" s="12"/>
      <c r="W917" s="12">
        <v>7.7581994774661007</v>
      </c>
      <c r="X917" s="12">
        <v>21.144451946468539</v>
      </c>
      <c r="Y917" s="12">
        <v>2436.363636363636</v>
      </c>
      <c r="Z917" s="12">
        <v>5.3225806451612891</v>
      </c>
      <c r="AA917" s="12"/>
      <c r="AB917" s="12" t="s">
        <v>274</v>
      </c>
    </row>
    <row r="918" spans="1:28" x14ac:dyDescent="0.3">
      <c r="A918" s="12" t="s">
        <v>2822</v>
      </c>
      <c r="B918" s="12" t="s">
        <v>128</v>
      </c>
      <c r="C918" s="12" t="s">
        <v>128</v>
      </c>
      <c r="D918" s="12" t="s">
        <v>129</v>
      </c>
      <c r="E918" s="12" t="s">
        <v>1886</v>
      </c>
      <c r="F918" s="12" t="s">
        <v>32</v>
      </c>
      <c r="G918" s="12" t="s">
        <v>32</v>
      </c>
      <c r="H918" s="12" t="b">
        <v>1</v>
      </c>
      <c r="I918" s="12" t="b">
        <v>1</v>
      </c>
      <c r="J918" s="12" t="b">
        <v>0</v>
      </c>
      <c r="K918" s="12" t="b">
        <v>0</v>
      </c>
      <c r="L918" s="12">
        <v>403</v>
      </c>
      <c r="M918" s="12">
        <v>284.60714285714278</v>
      </c>
      <c r="N918" s="12">
        <v>3000</v>
      </c>
      <c r="O918" s="12">
        <v>563.63636363636374</v>
      </c>
      <c r="P918" s="12">
        <v>0.5</v>
      </c>
      <c r="Q918" s="12">
        <v>0.85</v>
      </c>
      <c r="R918" s="12">
        <v>0.75</v>
      </c>
      <c r="S918" s="12">
        <v>0.85</v>
      </c>
      <c r="T918" s="12">
        <v>0.75</v>
      </c>
      <c r="U918" s="12">
        <v>0.8</v>
      </c>
      <c r="V918" s="12"/>
      <c r="W918" s="12">
        <v>7.8281916838821202</v>
      </c>
      <c r="X918" s="12">
        <v>25.537255301580061</v>
      </c>
      <c r="Y918" s="12">
        <v>2436.363636363636</v>
      </c>
      <c r="Z918" s="12">
        <v>5.3225806451612891</v>
      </c>
      <c r="AA918" s="12"/>
      <c r="AB918" s="12" t="s">
        <v>276</v>
      </c>
    </row>
    <row r="919" spans="1:28" x14ac:dyDescent="0.3">
      <c r="A919" s="12" t="s">
        <v>2823</v>
      </c>
      <c r="B919" s="12" t="s">
        <v>128</v>
      </c>
      <c r="C919" s="12" t="s">
        <v>128</v>
      </c>
      <c r="D919" s="12" t="s">
        <v>129</v>
      </c>
      <c r="E919" s="12" t="s">
        <v>2821</v>
      </c>
      <c r="F919" s="12" t="s">
        <v>1861</v>
      </c>
      <c r="G919" s="12" t="s">
        <v>1861</v>
      </c>
      <c r="H919" s="12" t="b">
        <v>1</v>
      </c>
      <c r="I919" s="12" t="b">
        <v>0</v>
      </c>
      <c r="J919" s="12" t="b">
        <v>0</v>
      </c>
      <c r="K919" s="12" t="b">
        <v>0</v>
      </c>
      <c r="L919" s="12">
        <v>405.83150000000001</v>
      </c>
      <c r="M919" s="12">
        <v>300.032917</v>
      </c>
      <c r="N919" s="12">
        <v>3000</v>
      </c>
      <c r="O919" s="12">
        <v>563.63636363636374</v>
      </c>
      <c r="P919" s="12">
        <v>0.5</v>
      </c>
      <c r="Q919" s="12">
        <v>0.85</v>
      </c>
      <c r="R919" s="12">
        <v>0.75</v>
      </c>
      <c r="S919" s="12">
        <v>0.85</v>
      </c>
      <c r="T919" s="12">
        <v>0.75</v>
      </c>
      <c r="U919" s="12">
        <v>0.8</v>
      </c>
      <c r="V919" s="12"/>
      <c r="W919" s="12">
        <v>9.0539154217597098</v>
      </c>
      <c r="X919" s="12">
        <v>30.66372902819186</v>
      </c>
      <c r="Y919" s="12">
        <v>2436.363636363636</v>
      </c>
      <c r="Z919" s="12">
        <v>5.3225806451612891</v>
      </c>
      <c r="AA919" s="12" t="s">
        <v>1268</v>
      </c>
      <c r="AB919" s="12" t="s">
        <v>274</v>
      </c>
    </row>
    <row r="920" spans="1:28" x14ac:dyDescent="0.3">
      <c r="A920" s="12" t="s">
        <v>2824</v>
      </c>
      <c r="B920" s="12" t="s">
        <v>128</v>
      </c>
      <c r="C920" s="12" t="s">
        <v>128</v>
      </c>
      <c r="D920" s="12" t="s">
        <v>129</v>
      </c>
      <c r="E920" s="12" t="s">
        <v>1886</v>
      </c>
      <c r="F920" s="12" t="s">
        <v>32</v>
      </c>
      <c r="G920" s="12" t="s">
        <v>32</v>
      </c>
      <c r="H920" s="12" t="b">
        <v>1</v>
      </c>
      <c r="I920" s="12" t="b">
        <v>1</v>
      </c>
      <c r="J920" s="12" t="b">
        <v>0</v>
      </c>
      <c r="K920" s="12" t="b">
        <v>0</v>
      </c>
      <c r="L920" s="12">
        <v>403</v>
      </c>
      <c r="M920" s="12">
        <v>283.14999999999998</v>
      </c>
      <c r="N920" s="12">
        <v>3000</v>
      </c>
      <c r="O920" s="12">
        <v>563.63636363636374</v>
      </c>
      <c r="P920" s="12">
        <v>0.5</v>
      </c>
      <c r="Q920" s="12">
        <v>0.85</v>
      </c>
      <c r="R920" s="12">
        <v>0.75</v>
      </c>
      <c r="S920" s="12">
        <v>0.85</v>
      </c>
      <c r="T920" s="12">
        <v>0.75</v>
      </c>
      <c r="U920" s="12">
        <v>0.8</v>
      </c>
      <c r="V920" s="12"/>
      <c r="W920" s="12">
        <v>7.7712400857310699</v>
      </c>
      <c r="X920" s="12">
        <v>25.499286570816508</v>
      </c>
      <c r="Y920" s="12">
        <v>2436.363636363636</v>
      </c>
      <c r="Z920" s="12">
        <v>5.3225806451612891</v>
      </c>
      <c r="AA920" s="12"/>
      <c r="AB920" s="12" t="s">
        <v>276</v>
      </c>
    </row>
    <row r="921" spans="1:28" x14ac:dyDescent="0.3">
      <c r="A921" s="12" t="s">
        <v>2825</v>
      </c>
      <c r="B921" s="12" t="s">
        <v>128</v>
      </c>
      <c r="C921" s="12" t="s">
        <v>128</v>
      </c>
      <c r="D921" s="12" t="s">
        <v>129</v>
      </c>
      <c r="E921" s="12" t="s">
        <v>1886</v>
      </c>
      <c r="F921" s="12" t="s">
        <v>32</v>
      </c>
      <c r="G921" s="12" t="s">
        <v>32</v>
      </c>
      <c r="H921" s="12" t="b">
        <v>1</v>
      </c>
      <c r="I921" s="12" t="b">
        <v>1</v>
      </c>
      <c r="J921" s="12" t="b">
        <v>0</v>
      </c>
      <c r="K921" s="12" t="b">
        <v>0</v>
      </c>
      <c r="L921" s="12">
        <v>403</v>
      </c>
      <c r="M921" s="12">
        <v>287.52142857142849</v>
      </c>
      <c r="N921" s="12">
        <v>3000</v>
      </c>
      <c r="O921" s="12">
        <v>563.63636363636374</v>
      </c>
      <c r="P921" s="12">
        <v>0.5</v>
      </c>
      <c r="Q921" s="12">
        <v>0.85</v>
      </c>
      <c r="R921" s="12">
        <v>0.75</v>
      </c>
      <c r="S921" s="12">
        <v>0.85</v>
      </c>
      <c r="T921" s="12">
        <v>0.75</v>
      </c>
      <c r="U921" s="12">
        <v>0.8</v>
      </c>
      <c r="V921" s="12"/>
      <c r="W921" s="12">
        <v>7.944439444895619</v>
      </c>
      <c r="X921" s="12">
        <v>25.613330027745281</v>
      </c>
      <c r="Y921" s="12">
        <v>2436.363636363636</v>
      </c>
      <c r="Z921" s="12">
        <v>5.3225806451612891</v>
      </c>
      <c r="AA921" s="12"/>
      <c r="AB921" s="12" t="s">
        <v>276</v>
      </c>
    </row>
    <row r="922" spans="1:28" x14ac:dyDescent="0.3">
      <c r="A922" s="12" t="s">
        <v>2826</v>
      </c>
      <c r="B922" s="12" t="s">
        <v>128</v>
      </c>
      <c r="C922" s="12" t="s">
        <v>128</v>
      </c>
      <c r="D922" s="12" t="s">
        <v>129</v>
      </c>
      <c r="E922" s="12" t="s">
        <v>1886</v>
      </c>
      <c r="F922" s="12" t="s">
        <v>32</v>
      </c>
      <c r="G922" s="12" t="s">
        <v>32</v>
      </c>
      <c r="H922" s="12" t="b">
        <v>1</v>
      </c>
      <c r="I922" s="12" t="b">
        <v>1</v>
      </c>
      <c r="J922" s="12" t="b">
        <v>0</v>
      </c>
      <c r="K922" s="12" t="b">
        <v>0</v>
      </c>
      <c r="L922" s="12">
        <v>403</v>
      </c>
      <c r="M922" s="12">
        <v>286.06428571428569</v>
      </c>
      <c r="N922" s="12">
        <v>3000</v>
      </c>
      <c r="O922" s="12">
        <v>563.63636363636374</v>
      </c>
      <c r="P922" s="12">
        <v>0.5</v>
      </c>
      <c r="Q922" s="12">
        <v>0.85</v>
      </c>
      <c r="R922" s="12">
        <v>0.75</v>
      </c>
      <c r="S922" s="12">
        <v>0.85</v>
      </c>
      <c r="T922" s="12">
        <v>0.75</v>
      </c>
      <c r="U922" s="12">
        <v>0.8</v>
      </c>
      <c r="V922" s="12"/>
      <c r="W922" s="12">
        <v>7.8859198140672202</v>
      </c>
      <c r="X922" s="12">
        <v>25.575270090712682</v>
      </c>
      <c r="Y922" s="12">
        <v>2436.363636363636</v>
      </c>
      <c r="Z922" s="12">
        <v>5.3225806451612891</v>
      </c>
      <c r="AA922" s="12"/>
      <c r="AB922" s="12" t="s">
        <v>276</v>
      </c>
    </row>
    <row r="923" spans="1:28" x14ac:dyDescent="0.3">
      <c r="A923" s="12" t="s">
        <v>2827</v>
      </c>
      <c r="B923" s="12" t="s">
        <v>128</v>
      </c>
      <c r="C923" s="12" t="s">
        <v>128</v>
      </c>
      <c r="D923" s="12" t="s">
        <v>129</v>
      </c>
      <c r="E923" s="12" t="s">
        <v>1886</v>
      </c>
      <c r="F923" s="12" t="s">
        <v>32</v>
      </c>
      <c r="G923" s="12" t="s">
        <v>32</v>
      </c>
      <c r="H923" s="12" t="b">
        <v>1</v>
      </c>
      <c r="I923" s="12" t="b">
        <v>1</v>
      </c>
      <c r="J923" s="12" t="b">
        <v>0</v>
      </c>
      <c r="K923" s="12" t="b">
        <v>0</v>
      </c>
      <c r="L923" s="12">
        <v>403</v>
      </c>
      <c r="M923" s="12">
        <v>288.9785714285714</v>
      </c>
      <c r="N923" s="12">
        <v>3000</v>
      </c>
      <c r="O923" s="12">
        <v>563.63636363636374</v>
      </c>
      <c r="P923" s="12">
        <v>0.5</v>
      </c>
      <c r="Q923" s="12">
        <v>0.85</v>
      </c>
      <c r="R923" s="12">
        <v>0.75</v>
      </c>
      <c r="S923" s="12">
        <v>0.85</v>
      </c>
      <c r="T923" s="12">
        <v>0.75</v>
      </c>
      <c r="U923" s="12">
        <v>0.8</v>
      </c>
      <c r="V923" s="12"/>
      <c r="W923" s="12">
        <v>8.0037660801246098</v>
      </c>
      <c r="X923" s="12">
        <v>25.651434282183711</v>
      </c>
      <c r="Y923" s="12">
        <v>2436.363636363636</v>
      </c>
      <c r="Z923" s="12">
        <v>5.3225806451612891</v>
      </c>
      <c r="AA923" s="12"/>
      <c r="AB923" s="12" t="s">
        <v>276</v>
      </c>
    </row>
    <row r="924" spans="1:28" x14ac:dyDescent="0.3">
      <c r="A924" s="12" t="s">
        <v>2828</v>
      </c>
      <c r="B924" s="12" t="s">
        <v>128</v>
      </c>
      <c r="C924" s="12" t="s">
        <v>128</v>
      </c>
      <c r="D924" s="12" t="s">
        <v>129</v>
      </c>
      <c r="E924" s="12" t="s">
        <v>1886</v>
      </c>
      <c r="F924" s="12" t="s">
        <v>32</v>
      </c>
      <c r="G924" s="12" t="s">
        <v>32</v>
      </c>
      <c r="H924" s="12" t="b">
        <v>1</v>
      </c>
      <c r="I924" s="12" t="b">
        <v>1</v>
      </c>
      <c r="J924" s="12" t="b">
        <v>0</v>
      </c>
      <c r="K924" s="12" t="b">
        <v>0</v>
      </c>
      <c r="L924" s="12">
        <v>403</v>
      </c>
      <c r="M924" s="12">
        <v>290.43571428571431</v>
      </c>
      <c r="N924" s="12">
        <v>3000</v>
      </c>
      <c r="O924" s="12">
        <v>563.63636363636374</v>
      </c>
      <c r="P924" s="12">
        <v>0.5</v>
      </c>
      <c r="Q924" s="12">
        <v>0.85</v>
      </c>
      <c r="R924" s="12">
        <v>0.75</v>
      </c>
      <c r="S924" s="12">
        <v>0.85</v>
      </c>
      <c r="T924" s="12">
        <v>0.75</v>
      </c>
      <c r="U924" s="12">
        <v>0.8</v>
      </c>
      <c r="V924" s="12"/>
      <c r="W924" s="12">
        <v>8.0639157745736298</v>
      </c>
      <c r="X924" s="12">
        <v>25.689582099994201</v>
      </c>
      <c r="Y924" s="12">
        <v>2436.363636363636</v>
      </c>
      <c r="Z924" s="12">
        <v>5.3225806451612891</v>
      </c>
      <c r="AA924" s="12"/>
      <c r="AB924" s="12" t="s">
        <v>276</v>
      </c>
    </row>
    <row r="925" spans="1:28" x14ac:dyDescent="0.3">
      <c r="A925" s="12" t="s">
        <v>2829</v>
      </c>
      <c r="B925" s="12" t="s">
        <v>128</v>
      </c>
      <c r="C925" s="12" t="s">
        <v>128</v>
      </c>
      <c r="D925" s="12" t="s">
        <v>129</v>
      </c>
      <c r="E925" s="12" t="s">
        <v>1886</v>
      </c>
      <c r="F925" s="12" t="s">
        <v>32</v>
      </c>
      <c r="G925" s="12" t="s">
        <v>32</v>
      </c>
      <c r="H925" s="12" t="b">
        <v>1</v>
      </c>
      <c r="I925" s="12" t="b">
        <v>1</v>
      </c>
      <c r="J925" s="12" t="b">
        <v>0</v>
      </c>
      <c r="K925" s="12" t="b">
        <v>0</v>
      </c>
      <c r="L925" s="12">
        <v>403</v>
      </c>
      <c r="M925" s="12">
        <v>291.89285714285711</v>
      </c>
      <c r="N925" s="12">
        <v>3000</v>
      </c>
      <c r="O925" s="12">
        <v>563.63636363636374</v>
      </c>
      <c r="P925" s="12">
        <v>0.5</v>
      </c>
      <c r="Q925" s="12">
        <v>0.85</v>
      </c>
      <c r="R925" s="12">
        <v>0.75</v>
      </c>
      <c r="S925" s="12">
        <v>0.85</v>
      </c>
      <c r="T925" s="12">
        <v>0.75</v>
      </c>
      <c r="U925" s="12">
        <v>0.8</v>
      </c>
      <c r="V925" s="12"/>
      <c r="W925" s="12">
        <v>8.1249051435252788</v>
      </c>
      <c r="X925" s="12">
        <v>25.72777278615488</v>
      </c>
      <c r="Y925" s="12">
        <v>2436.363636363636</v>
      </c>
      <c r="Z925" s="12">
        <v>5.3225806451612891</v>
      </c>
      <c r="AA925" s="12"/>
      <c r="AB925" s="12" t="s">
        <v>276</v>
      </c>
    </row>
    <row r="926" spans="1:28" x14ac:dyDescent="0.3">
      <c r="A926" s="12" t="s">
        <v>2830</v>
      </c>
      <c r="B926" s="12" t="s">
        <v>128</v>
      </c>
      <c r="C926" s="12" t="s">
        <v>128</v>
      </c>
      <c r="D926" s="12" t="s">
        <v>129</v>
      </c>
      <c r="E926" s="12" t="s">
        <v>1886</v>
      </c>
      <c r="F926" s="12" t="s">
        <v>32</v>
      </c>
      <c r="G926" s="12" t="s">
        <v>32</v>
      </c>
      <c r="H926" s="12" t="b">
        <v>1</v>
      </c>
      <c r="I926" s="12" t="b">
        <v>1</v>
      </c>
      <c r="J926" s="12" t="b">
        <v>0</v>
      </c>
      <c r="K926" s="12" t="b">
        <v>0</v>
      </c>
      <c r="L926" s="12">
        <v>403</v>
      </c>
      <c r="M926" s="12">
        <v>294.80714285714288</v>
      </c>
      <c r="N926" s="12">
        <v>3000</v>
      </c>
      <c r="O926" s="12">
        <v>563.63636363636374</v>
      </c>
      <c r="P926" s="12">
        <v>0.5</v>
      </c>
      <c r="Q926" s="12">
        <v>0.85</v>
      </c>
      <c r="R926" s="12">
        <v>0.75</v>
      </c>
      <c r="S926" s="12">
        <v>0.85</v>
      </c>
      <c r="T926" s="12">
        <v>0.75</v>
      </c>
      <c r="U926" s="12">
        <v>0.8</v>
      </c>
      <c r="V926" s="12"/>
      <c r="W926" s="12">
        <v>8.2494723225738404</v>
      </c>
      <c r="X926" s="12">
        <v>25.80428042206708</v>
      </c>
      <c r="Y926" s="12">
        <v>2436.363636363636</v>
      </c>
      <c r="Z926" s="12">
        <v>5.3225806451612891</v>
      </c>
      <c r="AA926" s="12"/>
      <c r="AB926" s="12" t="s">
        <v>276</v>
      </c>
    </row>
    <row r="927" spans="1:28" x14ac:dyDescent="0.3">
      <c r="A927" s="12" t="s">
        <v>2831</v>
      </c>
      <c r="B927" s="12" t="s">
        <v>128</v>
      </c>
      <c r="C927" s="12" t="s">
        <v>128</v>
      </c>
      <c r="D927" s="12" t="s">
        <v>129</v>
      </c>
      <c r="E927" s="12" t="s">
        <v>1886</v>
      </c>
      <c r="F927" s="12" t="s">
        <v>32</v>
      </c>
      <c r="G927" s="12" t="s">
        <v>32</v>
      </c>
      <c r="H927" s="12" t="b">
        <v>1</v>
      </c>
      <c r="I927" s="12" t="b">
        <v>1</v>
      </c>
      <c r="J927" s="12" t="b">
        <v>0</v>
      </c>
      <c r="K927" s="12" t="b">
        <v>0</v>
      </c>
      <c r="L927" s="12">
        <v>403</v>
      </c>
      <c r="M927" s="12">
        <v>293.35000000000002</v>
      </c>
      <c r="N927" s="12">
        <v>3000</v>
      </c>
      <c r="O927" s="12">
        <v>563.63636363636374</v>
      </c>
      <c r="P927" s="12">
        <v>0.5</v>
      </c>
      <c r="Q927" s="12">
        <v>0.85</v>
      </c>
      <c r="R927" s="12">
        <v>0.75</v>
      </c>
      <c r="S927" s="12">
        <v>0.85</v>
      </c>
      <c r="T927" s="12">
        <v>0.75</v>
      </c>
      <c r="U927" s="12">
        <v>0.8</v>
      </c>
      <c r="V927" s="12"/>
      <c r="W927" s="12">
        <v>8.1867513955931699</v>
      </c>
      <c r="X927" s="12">
        <v>25.766005751458781</v>
      </c>
      <c r="Y927" s="12">
        <v>2436.363636363636</v>
      </c>
      <c r="Z927" s="12">
        <v>5.3225806451612891</v>
      </c>
      <c r="AA927" s="12"/>
      <c r="AB927" s="12" t="s">
        <v>276</v>
      </c>
    </row>
    <row r="928" spans="1:28" x14ac:dyDescent="0.3">
      <c r="A928" s="12" t="s">
        <v>2832</v>
      </c>
      <c r="B928" s="12" t="s">
        <v>128</v>
      </c>
      <c r="C928" s="12" t="s">
        <v>128</v>
      </c>
      <c r="D928" s="12" t="s">
        <v>129</v>
      </c>
      <c r="E928" s="12" t="s">
        <v>1886</v>
      </c>
      <c r="F928" s="12" t="s">
        <v>32</v>
      </c>
      <c r="G928" s="12" t="s">
        <v>32</v>
      </c>
      <c r="H928" s="12" t="b">
        <v>1</v>
      </c>
      <c r="I928" s="12" t="b">
        <v>1</v>
      </c>
      <c r="J928" s="12" t="b">
        <v>0</v>
      </c>
      <c r="K928" s="12" t="b">
        <v>0</v>
      </c>
      <c r="L928" s="12">
        <v>403</v>
      </c>
      <c r="M928" s="12">
        <v>296.26428571428568</v>
      </c>
      <c r="N928" s="12">
        <v>3000</v>
      </c>
      <c r="O928" s="12">
        <v>563.63636363636374</v>
      </c>
      <c r="P928" s="12">
        <v>0.5</v>
      </c>
      <c r="Q928" s="12">
        <v>0.85</v>
      </c>
      <c r="R928" s="12">
        <v>0.75</v>
      </c>
      <c r="S928" s="12">
        <v>0.85</v>
      </c>
      <c r="T928" s="12">
        <v>0.75</v>
      </c>
      <c r="U928" s="12">
        <v>0.8</v>
      </c>
      <c r="V928" s="12"/>
      <c r="W928" s="12">
        <v>8.3130863387889402</v>
      </c>
      <c r="X928" s="12">
        <v>25.842596302072739</v>
      </c>
      <c r="Y928" s="12">
        <v>2436.363636363636</v>
      </c>
      <c r="Z928" s="12">
        <v>5.3225806451612891</v>
      </c>
      <c r="AA928" s="12"/>
      <c r="AB928" s="12" t="s">
        <v>276</v>
      </c>
    </row>
    <row r="929" spans="1:28" x14ac:dyDescent="0.3">
      <c r="A929" s="12" t="s">
        <v>2833</v>
      </c>
      <c r="B929" s="12" t="s">
        <v>128</v>
      </c>
      <c r="C929" s="12" t="s">
        <v>128</v>
      </c>
      <c r="D929" s="12" t="s">
        <v>129</v>
      </c>
      <c r="E929" s="12" t="s">
        <v>1886</v>
      </c>
      <c r="F929" s="12" t="s">
        <v>32</v>
      </c>
      <c r="G929" s="12" t="s">
        <v>32</v>
      </c>
      <c r="H929" s="12" t="b">
        <v>1</v>
      </c>
      <c r="I929" s="12" t="b">
        <v>1</v>
      </c>
      <c r="J929" s="12" t="b">
        <v>0</v>
      </c>
      <c r="K929" s="12" t="b">
        <v>0</v>
      </c>
      <c r="L929" s="12">
        <v>403</v>
      </c>
      <c r="M929" s="12">
        <v>297.72142857142859</v>
      </c>
      <c r="N929" s="12">
        <v>3000</v>
      </c>
      <c r="O929" s="12">
        <v>563.63636363636374</v>
      </c>
      <c r="P929" s="12">
        <v>0.5</v>
      </c>
      <c r="Q929" s="12">
        <v>0.85</v>
      </c>
      <c r="R929" s="12">
        <v>0.75</v>
      </c>
      <c r="S929" s="12">
        <v>0.85</v>
      </c>
      <c r="T929" s="12">
        <v>0.75</v>
      </c>
      <c r="U929" s="12">
        <v>0.8</v>
      </c>
      <c r="V929" s="12"/>
      <c r="W929" s="12">
        <v>8.3776124948838913</v>
      </c>
      <c r="X929" s="12">
        <v>25.88095295261229</v>
      </c>
      <c r="Y929" s="12">
        <v>2436.363636363636</v>
      </c>
      <c r="Z929" s="12">
        <v>5.3225806451612891</v>
      </c>
      <c r="AA929" s="12"/>
      <c r="AB929" s="12" t="s">
        <v>276</v>
      </c>
    </row>
    <row r="930" spans="1:28" x14ac:dyDescent="0.3">
      <c r="A930" s="12" t="s">
        <v>2834</v>
      </c>
      <c r="B930" s="12" t="s">
        <v>128</v>
      </c>
      <c r="C930" s="12" t="s">
        <v>128</v>
      </c>
      <c r="D930" s="12" t="s">
        <v>129</v>
      </c>
      <c r="E930" s="12" t="s">
        <v>1886</v>
      </c>
      <c r="F930" s="12" t="s">
        <v>32</v>
      </c>
      <c r="G930" s="12" t="s">
        <v>32</v>
      </c>
      <c r="H930" s="12" t="b">
        <v>1</v>
      </c>
      <c r="I930" s="12" t="b">
        <v>1</v>
      </c>
      <c r="J930" s="12" t="b">
        <v>0</v>
      </c>
      <c r="K930" s="12" t="b">
        <v>0</v>
      </c>
      <c r="L930" s="12">
        <v>403</v>
      </c>
      <c r="M930" s="12">
        <v>299.17857142857139</v>
      </c>
      <c r="N930" s="12">
        <v>3000</v>
      </c>
      <c r="O930" s="12">
        <v>563.63636363636374</v>
      </c>
      <c r="P930" s="12">
        <v>0.5</v>
      </c>
      <c r="Q930" s="12">
        <v>0.85</v>
      </c>
      <c r="R930" s="12">
        <v>0.75</v>
      </c>
      <c r="S930" s="12">
        <v>0.85</v>
      </c>
      <c r="T930" s="12">
        <v>0.75</v>
      </c>
      <c r="U930" s="12">
        <v>0.8</v>
      </c>
      <c r="V930" s="12"/>
      <c r="W930" s="12">
        <v>8.4430705241976796</v>
      </c>
      <c r="X930" s="12">
        <v>25.919350000984821</v>
      </c>
      <c r="Y930" s="12">
        <v>2436.363636363636</v>
      </c>
      <c r="Z930" s="12">
        <v>5.3225806451612891</v>
      </c>
      <c r="AA930" s="12"/>
      <c r="AB930" s="12" t="s">
        <v>276</v>
      </c>
    </row>
    <row r="931" spans="1:28" x14ac:dyDescent="0.3">
      <c r="A931" s="12" t="s">
        <v>2835</v>
      </c>
      <c r="B931" s="12" t="s">
        <v>128</v>
      </c>
      <c r="C931" s="12" t="s">
        <v>128</v>
      </c>
      <c r="D931" s="12" t="s">
        <v>129</v>
      </c>
      <c r="E931" s="12" t="s">
        <v>1886</v>
      </c>
      <c r="F931" s="12" t="s">
        <v>1861</v>
      </c>
      <c r="G931" s="12" t="s">
        <v>1861</v>
      </c>
      <c r="H931" s="12" t="b">
        <v>1</v>
      </c>
      <c r="I931" s="12" t="b">
        <v>0</v>
      </c>
      <c r="J931" s="12" t="b">
        <v>0</v>
      </c>
      <c r="K931" s="12" t="b">
        <v>0</v>
      </c>
      <c r="L931" s="12">
        <v>403</v>
      </c>
      <c r="M931" s="12">
        <v>300.6357142857143</v>
      </c>
      <c r="N931" s="12">
        <v>3000</v>
      </c>
      <c r="O931" s="12">
        <v>563.63636363636374</v>
      </c>
      <c r="P931" s="12">
        <v>0.5</v>
      </c>
      <c r="Q931" s="12">
        <v>0.85</v>
      </c>
      <c r="R931" s="12">
        <v>0.75</v>
      </c>
      <c r="S931" s="12">
        <v>0.85</v>
      </c>
      <c r="T931" s="12">
        <v>0.75</v>
      </c>
      <c r="U931" s="12">
        <v>0.8</v>
      </c>
      <c r="V931" s="12"/>
      <c r="W931" s="12">
        <v>8.5093363822064898</v>
      </c>
      <c r="X931" s="12">
        <v>25.957332349410059</v>
      </c>
      <c r="Y931" s="12">
        <v>2436.363636363636</v>
      </c>
      <c r="Z931" s="12">
        <v>5.3225806451612891</v>
      </c>
      <c r="AA931" s="12" t="s">
        <v>1268</v>
      </c>
      <c r="AB931" s="12" t="s">
        <v>276</v>
      </c>
    </row>
    <row r="932" spans="1:28" x14ac:dyDescent="0.3">
      <c r="A932" s="12" t="s">
        <v>2836</v>
      </c>
      <c r="B932" s="12" t="s">
        <v>128</v>
      </c>
      <c r="C932" s="12" t="s">
        <v>128</v>
      </c>
      <c r="D932" s="12" t="s">
        <v>129</v>
      </c>
      <c r="E932" s="12" t="s">
        <v>1886</v>
      </c>
      <c r="F932" s="12" t="s">
        <v>1861</v>
      </c>
      <c r="G932" s="12" t="s">
        <v>1861</v>
      </c>
      <c r="H932" s="12" t="b">
        <v>1</v>
      </c>
      <c r="I932" s="12" t="b">
        <v>0</v>
      </c>
      <c r="J932" s="12" t="b">
        <v>0</v>
      </c>
      <c r="K932" s="12" t="b">
        <v>0</v>
      </c>
      <c r="L932" s="12">
        <v>403</v>
      </c>
      <c r="M932" s="12">
        <v>302.09285714285721</v>
      </c>
      <c r="N932" s="12">
        <v>3000</v>
      </c>
      <c r="O932" s="12">
        <v>563.63636363636374</v>
      </c>
      <c r="P932" s="12">
        <v>0.5</v>
      </c>
      <c r="Q932" s="12">
        <v>0.85</v>
      </c>
      <c r="R932" s="12">
        <v>0.75</v>
      </c>
      <c r="S932" s="12">
        <v>0.85</v>
      </c>
      <c r="T932" s="12">
        <v>0.75</v>
      </c>
      <c r="U932" s="12">
        <v>0.8</v>
      </c>
      <c r="V932" s="12"/>
      <c r="W932" s="12">
        <v>8.5706234219916198</v>
      </c>
      <c r="X932" s="12">
        <v>25.976739867620051</v>
      </c>
      <c r="Y932" s="12">
        <v>2436.363636363636</v>
      </c>
      <c r="Z932" s="12">
        <v>5.3225806451612891</v>
      </c>
      <c r="AA932" s="12" t="s">
        <v>1268</v>
      </c>
      <c r="AB932" s="12" t="s">
        <v>276</v>
      </c>
    </row>
    <row r="933" spans="1:28" x14ac:dyDescent="0.3">
      <c r="A933" s="12" t="s">
        <v>2837</v>
      </c>
      <c r="B933" s="12" t="s">
        <v>128</v>
      </c>
      <c r="C933" s="12" t="s">
        <v>128</v>
      </c>
      <c r="D933" s="12" t="s">
        <v>129</v>
      </c>
      <c r="E933" s="12" t="s">
        <v>1886</v>
      </c>
      <c r="F933" s="12" t="s">
        <v>1861</v>
      </c>
      <c r="G933" s="12" t="s">
        <v>1861</v>
      </c>
      <c r="H933" s="12" t="b">
        <v>1</v>
      </c>
      <c r="I933" s="12" t="b">
        <v>0</v>
      </c>
      <c r="J933" s="12" t="b">
        <v>0</v>
      </c>
      <c r="K933" s="12" t="b">
        <v>0</v>
      </c>
      <c r="L933" s="12">
        <v>403</v>
      </c>
      <c r="M933" s="12">
        <v>303.55</v>
      </c>
      <c r="N933" s="12">
        <v>3000</v>
      </c>
      <c r="O933" s="12">
        <v>563.63636363636374</v>
      </c>
      <c r="P933" s="12">
        <v>0.5</v>
      </c>
      <c r="Q933" s="12">
        <v>0.85</v>
      </c>
      <c r="R933" s="12">
        <v>0.75</v>
      </c>
      <c r="S933" s="12">
        <v>0.85</v>
      </c>
      <c r="T933" s="12">
        <v>0.75</v>
      </c>
      <c r="U933" s="12">
        <v>0.8</v>
      </c>
      <c r="V933" s="12"/>
      <c r="W933" s="12">
        <v>8.623774447903509</v>
      </c>
      <c r="X933" s="12">
        <v>25.968055768944229</v>
      </c>
      <c r="Y933" s="12">
        <v>2436.363636363636</v>
      </c>
      <c r="Z933" s="12">
        <v>5.3225806451612891</v>
      </c>
      <c r="AA933" s="12" t="s">
        <v>1268</v>
      </c>
      <c r="AB933" s="12" t="s">
        <v>276</v>
      </c>
    </row>
    <row r="934" spans="1:28" x14ac:dyDescent="0.3">
      <c r="A934" s="12" t="s">
        <v>2838</v>
      </c>
      <c r="B934" s="12" t="s">
        <v>128</v>
      </c>
      <c r="C934" s="12" t="s">
        <v>128</v>
      </c>
      <c r="D934" s="12" t="s">
        <v>129</v>
      </c>
      <c r="E934" s="12" t="s">
        <v>2821</v>
      </c>
      <c r="F934" s="12" t="s">
        <v>32</v>
      </c>
      <c r="G934" s="12" t="s">
        <v>32</v>
      </c>
      <c r="H934" s="12" t="b">
        <v>1</v>
      </c>
      <c r="I934" s="12" t="b">
        <v>1</v>
      </c>
      <c r="J934" s="12" t="b">
        <v>0</v>
      </c>
      <c r="K934" s="12" t="b">
        <v>0</v>
      </c>
      <c r="L934" s="12">
        <v>403</v>
      </c>
      <c r="M934" s="12">
        <v>299.82891699999999</v>
      </c>
      <c r="N934" s="12">
        <v>3000</v>
      </c>
      <c r="O934" s="12">
        <v>563.63636363636374</v>
      </c>
      <c r="P934" s="12">
        <v>0.5</v>
      </c>
      <c r="Q934" s="12">
        <v>0.85</v>
      </c>
      <c r="R934" s="12">
        <v>0.75</v>
      </c>
      <c r="S934" s="12">
        <v>0.85</v>
      </c>
      <c r="T934" s="12">
        <v>0.75</v>
      </c>
      <c r="U934" s="12">
        <v>0.8</v>
      </c>
      <c r="V934" s="12"/>
      <c r="W934" s="12">
        <v>8.4725915906925895</v>
      </c>
      <c r="X934" s="12">
        <v>25.936500162751081</v>
      </c>
      <c r="Y934" s="12">
        <v>2436.363636363636</v>
      </c>
      <c r="Z934" s="12">
        <v>5.3225806451612891</v>
      </c>
      <c r="AA934" s="12"/>
      <c r="AB934" s="12" t="s">
        <v>276</v>
      </c>
    </row>
    <row r="935" spans="1:28" x14ac:dyDescent="0.3">
      <c r="A935" s="12" t="s">
        <v>2839</v>
      </c>
      <c r="B935" s="12" t="s">
        <v>128</v>
      </c>
      <c r="C935" s="12" t="s">
        <v>128</v>
      </c>
      <c r="D935" s="12" t="s">
        <v>129</v>
      </c>
      <c r="E935" s="12" t="s">
        <v>1886</v>
      </c>
      <c r="F935" s="12" t="s">
        <v>1861</v>
      </c>
      <c r="G935" s="12" t="s">
        <v>1861</v>
      </c>
      <c r="H935" s="12" t="b">
        <v>1</v>
      </c>
      <c r="I935" s="12" t="b">
        <v>0</v>
      </c>
      <c r="J935" s="12" t="b">
        <v>0</v>
      </c>
      <c r="K935" s="12" t="b">
        <v>0</v>
      </c>
      <c r="L935" s="12">
        <v>403</v>
      </c>
      <c r="M935" s="12">
        <v>300.032917</v>
      </c>
      <c r="N935" s="12">
        <v>1000</v>
      </c>
      <c r="O935" s="12">
        <v>563.63636363636374</v>
      </c>
      <c r="P935" s="12">
        <v>0.5</v>
      </c>
      <c r="Q935" s="12">
        <v>0.85</v>
      </c>
      <c r="R935" s="12">
        <v>0.75</v>
      </c>
      <c r="S935" s="12">
        <v>0.85</v>
      </c>
      <c r="T935" s="12">
        <v>0.75</v>
      </c>
      <c r="U935" s="12">
        <v>0.8</v>
      </c>
      <c r="V935" s="12"/>
      <c r="W935" s="12">
        <v>4.0475656046749799</v>
      </c>
      <c r="X935" s="12">
        <v>34.861921409237901</v>
      </c>
      <c r="Y935" s="12">
        <v>436.36363636363632</v>
      </c>
      <c r="Z935" s="12">
        <v>1.7741935483870961</v>
      </c>
      <c r="AA935" s="12" t="s">
        <v>1268</v>
      </c>
      <c r="AB935" s="12" t="s">
        <v>269</v>
      </c>
    </row>
    <row r="936" spans="1:28" x14ac:dyDescent="0.3">
      <c r="A936" s="12" t="s">
        <v>2840</v>
      </c>
      <c r="B936" s="12" t="s">
        <v>128</v>
      </c>
      <c r="C936" s="12" t="s">
        <v>128</v>
      </c>
      <c r="D936" s="12" t="s">
        <v>129</v>
      </c>
      <c r="E936" s="12" t="s">
        <v>2821</v>
      </c>
      <c r="F936" s="12" t="s">
        <v>32</v>
      </c>
      <c r="G936" s="12" t="s">
        <v>32</v>
      </c>
      <c r="H936" s="12" t="b">
        <v>1</v>
      </c>
      <c r="I936" s="12" t="b">
        <v>1</v>
      </c>
      <c r="J936" s="12" t="b">
        <v>0</v>
      </c>
      <c r="K936" s="12" t="b">
        <v>0</v>
      </c>
      <c r="L936" s="12">
        <v>403</v>
      </c>
      <c r="M936" s="12">
        <v>300.23691700000001</v>
      </c>
      <c r="N936" s="12">
        <v>3000</v>
      </c>
      <c r="O936" s="12">
        <v>563.63636363636374</v>
      </c>
      <c r="P936" s="12">
        <v>0.5</v>
      </c>
      <c r="Q936" s="12">
        <v>0.85</v>
      </c>
      <c r="R936" s="12">
        <v>0.75</v>
      </c>
      <c r="S936" s="12">
        <v>0.85</v>
      </c>
      <c r="T936" s="12">
        <v>0.75</v>
      </c>
      <c r="U936" s="12">
        <v>0.8</v>
      </c>
      <c r="V936" s="12"/>
      <c r="W936" s="12">
        <v>8.4912095537560592</v>
      </c>
      <c r="X936" s="12">
        <v>25.947263538268128</v>
      </c>
      <c r="Y936" s="12">
        <v>2436.363636363636</v>
      </c>
      <c r="Z936" s="12">
        <v>5.3225806451612891</v>
      </c>
      <c r="AA936" s="12"/>
      <c r="AB936" s="12" t="s">
        <v>276</v>
      </c>
    </row>
    <row r="937" spans="1:28" x14ac:dyDescent="0.3">
      <c r="A937" s="12" t="s">
        <v>2841</v>
      </c>
      <c r="B937" s="12" t="s">
        <v>128</v>
      </c>
      <c r="C937" s="12" t="s">
        <v>128</v>
      </c>
      <c r="D937" s="12" t="s">
        <v>129</v>
      </c>
      <c r="E937" s="12" t="s">
        <v>1886</v>
      </c>
      <c r="F937" s="12" t="s">
        <v>1861</v>
      </c>
      <c r="G937" s="12" t="s">
        <v>1861</v>
      </c>
      <c r="H937" s="12" t="b">
        <v>1</v>
      </c>
      <c r="I937" s="12" t="b">
        <v>0</v>
      </c>
      <c r="J937" s="12" t="b">
        <v>0</v>
      </c>
      <c r="K937" s="12" t="b">
        <v>0</v>
      </c>
      <c r="L937" s="12">
        <v>403</v>
      </c>
      <c r="M937" s="12">
        <v>300.032917</v>
      </c>
      <c r="N937" s="12">
        <v>2285.7142857142858</v>
      </c>
      <c r="O937" s="12">
        <v>563.63636363636374</v>
      </c>
      <c r="P937" s="12">
        <v>0.5</v>
      </c>
      <c r="Q937" s="12">
        <v>0.85</v>
      </c>
      <c r="R937" s="12">
        <v>0.75</v>
      </c>
      <c r="S937" s="12">
        <v>0.85</v>
      </c>
      <c r="T937" s="12">
        <v>0.75</v>
      </c>
      <c r="U937" s="12">
        <v>0.8</v>
      </c>
      <c r="V937" s="12"/>
      <c r="W937" s="12">
        <v>9.1922357201553702</v>
      </c>
      <c r="X937" s="12">
        <v>41.187891571487199</v>
      </c>
      <c r="Y937" s="12">
        <v>1722.077922077922</v>
      </c>
      <c r="Z937" s="12">
        <v>4.0552995391705062</v>
      </c>
      <c r="AA937" s="12" t="s">
        <v>1268</v>
      </c>
      <c r="AB937" s="12" t="s">
        <v>269</v>
      </c>
    </row>
    <row r="938" spans="1:28" x14ac:dyDescent="0.3">
      <c r="A938" s="12" t="s">
        <v>2842</v>
      </c>
      <c r="B938" s="12" t="s">
        <v>128</v>
      </c>
      <c r="C938" s="12" t="s">
        <v>128</v>
      </c>
      <c r="D938" s="12" t="s">
        <v>129</v>
      </c>
      <c r="E938" s="12" t="s">
        <v>1886</v>
      </c>
      <c r="F938" s="12" t="s">
        <v>1861</v>
      </c>
      <c r="G938" s="12" t="s">
        <v>1861</v>
      </c>
      <c r="H938" s="12" t="b">
        <v>1</v>
      </c>
      <c r="I938" s="12" t="b">
        <v>0</v>
      </c>
      <c r="J938" s="12" t="b">
        <v>0</v>
      </c>
      <c r="K938" s="12" t="b">
        <v>0</v>
      </c>
      <c r="L938" s="12">
        <v>403</v>
      </c>
      <c r="M938" s="12">
        <v>300.032917</v>
      </c>
      <c r="N938" s="12">
        <v>2928.571428571428</v>
      </c>
      <c r="O938" s="12">
        <v>563.63636363636374</v>
      </c>
      <c r="P938" s="12">
        <v>0.5</v>
      </c>
      <c r="Q938" s="12">
        <v>0.85</v>
      </c>
      <c r="R938" s="12">
        <v>0.75</v>
      </c>
      <c r="S938" s="12">
        <v>0.85</v>
      </c>
      <c r="T938" s="12">
        <v>0.75</v>
      </c>
      <c r="U938" s="12">
        <v>0.8</v>
      </c>
      <c r="V938" s="12"/>
      <c r="W938" s="12">
        <v>8.6959099750911495</v>
      </c>
      <c r="X938" s="12">
        <v>27.780927290036651</v>
      </c>
      <c r="Y938" s="12">
        <v>2364.935064935064</v>
      </c>
      <c r="Z938" s="12">
        <v>5.1958525345622109</v>
      </c>
      <c r="AA938" s="12" t="s">
        <v>1268</v>
      </c>
      <c r="AB938" s="12" t="s">
        <v>269</v>
      </c>
    </row>
    <row r="939" spans="1:28" x14ac:dyDescent="0.3">
      <c r="A939" s="12" t="s">
        <v>2843</v>
      </c>
      <c r="B939" s="12" t="s">
        <v>128</v>
      </c>
      <c r="C939" s="12" t="s">
        <v>128</v>
      </c>
      <c r="D939" s="12" t="s">
        <v>129</v>
      </c>
      <c r="E939" s="12" t="s">
        <v>1886</v>
      </c>
      <c r="F939" s="12" t="s">
        <v>1861</v>
      </c>
      <c r="G939" s="12" t="s">
        <v>1861</v>
      </c>
      <c r="H939" s="12" t="b">
        <v>1</v>
      </c>
      <c r="I939" s="12" t="b">
        <v>0</v>
      </c>
      <c r="J939" s="12" t="b">
        <v>0</v>
      </c>
      <c r="K939" s="12" t="b">
        <v>0</v>
      </c>
      <c r="L939" s="12">
        <v>403</v>
      </c>
      <c r="M939" s="12">
        <v>300.032917</v>
      </c>
      <c r="N939" s="12">
        <v>1642.8571428571429</v>
      </c>
      <c r="O939" s="12">
        <v>563.63636363636374</v>
      </c>
      <c r="P939" s="12">
        <v>0.5</v>
      </c>
      <c r="Q939" s="12">
        <v>0.85</v>
      </c>
      <c r="R939" s="12">
        <v>0.75</v>
      </c>
      <c r="S939" s="12">
        <v>0.85</v>
      </c>
      <c r="T939" s="12">
        <v>0.75</v>
      </c>
      <c r="U939" s="12">
        <v>0.8</v>
      </c>
      <c r="V939" s="12"/>
      <c r="W939" s="12">
        <v>7.73560545666684</v>
      </c>
      <c r="X939" s="12">
        <v>46.801301689829373</v>
      </c>
      <c r="Y939" s="12">
        <v>1079.2207792207789</v>
      </c>
      <c r="Z939" s="12">
        <v>2.9147465437788012</v>
      </c>
      <c r="AA939" s="12" t="s">
        <v>1268</v>
      </c>
      <c r="AB939" s="12" t="s">
        <v>269</v>
      </c>
    </row>
    <row r="940" spans="1:28" x14ac:dyDescent="0.3">
      <c r="A940" s="12" t="s">
        <v>2844</v>
      </c>
      <c r="B940" s="12" t="s">
        <v>128</v>
      </c>
      <c r="C940" s="12" t="s">
        <v>128</v>
      </c>
      <c r="D940" s="12" t="s">
        <v>129</v>
      </c>
      <c r="E940" s="12" t="s">
        <v>1886</v>
      </c>
      <c r="F940" s="12" t="s">
        <v>32</v>
      </c>
      <c r="G940" s="12" t="s">
        <v>32</v>
      </c>
      <c r="H940" s="12" t="b">
        <v>1</v>
      </c>
      <c r="I940" s="12" t="b">
        <v>1</v>
      </c>
      <c r="J940" s="12" t="b">
        <v>0</v>
      </c>
      <c r="K940" s="12" t="b">
        <v>0</v>
      </c>
      <c r="L940" s="12">
        <v>403</v>
      </c>
      <c r="M940" s="12">
        <v>300.032917</v>
      </c>
      <c r="N940" s="12">
        <v>3571.428571428572</v>
      </c>
      <c r="O940" s="12">
        <v>563.63636363636374</v>
      </c>
      <c r="P940" s="12">
        <v>0.5</v>
      </c>
      <c r="Q940" s="12">
        <v>0.85</v>
      </c>
      <c r="R940" s="12">
        <v>0.75</v>
      </c>
      <c r="S940" s="12">
        <v>0.85</v>
      </c>
      <c r="T940" s="12">
        <v>0.75</v>
      </c>
      <c r="U940" s="12">
        <v>0.8</v>
      </c>
      <c r="V940" s="12"/>
      <c r="W940" s="12">
        <v>4.6550373737321404</v>
      </c>
      <c r="X940" s="12">
        <v>9.2125681543055276</v>
      </c>
      <c r="Y940" s="12">
        <v>3007.792207792209</v>
      </c>
      <c r="Z940" s="12">
        <v>6.3364055299539173</v>
      </c>
      <c r="AA940" s="12"/>
      <c r="AB940" s="12" t="s">
        <v>269</v>
      </c>
    </row>
    <row r="941" spans="1:28" x14ac:dyDescent="0.3">
      <c r="A941" s="12" t="s">
        <v>2845</v>
      </c>
      <c r="B941" s="12" t="s">
        <v>128</v>
      </c>
      <c r="C941" s="12" t="s">
        <v>128</v>
      </c>
      <c r="D941" s="12" t="s">
        <v>129</v>
      </c>
      <c r="E941" s="12" t="s">
        <v>1886</v>
      </c>
      <c r="F941" s="12" t="s">
        <v>1863</v>
      </c>
      <c r="G941" s="12" t="s">
        <v>832</v>
      </c>
      <c r="H941" s="12" t="b">
        <v>0</v>
      </c>
      <c r="I941" s="12" t="b">
        <v>0</v>
      </c>
      <c r="J941" s="12" t="b">
        <v>0</v>
      </c>
      <c r="K941" s="12" t="b">
        <v>0</v>
      </c>
      <c r="L941" s="12">
        <v>403</v>
      </c>
      <c r="M941" s="12">
        <v>300.032917</v>
      </c>
      <c r="N941" s="12">
        <v>4214.2857142857138</v>
      </c>
      <c r="O941" s="12">
        <v>563.63636363636374</v>
      </c>
      <c r="P941" s="12">
        <v>0.5</v>
      </c>
      <c r="Q941" s="12">
        <v>0.85</v>
      </c>
      <c r="R941" s="12">
        <v>0.75</v>
      </c>
      <c r="S941" s="12">
        <v>0.85</v>
      </c>
      <c r="T941" s="12">
        <v>0.75</v>
      </c>
      <c r="U941" s="12">
        <v>0.8</v>
      </c>
      <c r="V941" s="12"/>
      <c r="W941" s="12">
        <v>-23.13140974075618</v>
      </c>
      <c r="X941" s="12">
        <v>-21.399609966981</v>
      </c>
      <c r="Y941" s="12">
        <v>3650.6493506493498</v>
      </c>
      <c r="Z941" s="12">
        <v>7.4769585253456201</v>
      </c>
      <c r="AA941" s="12" t="s">
        <v>2846</v>
      </c>
      <c r="AB941" s="12" t="s">
        <v>269</v>
      </c>
    </row>
    <row r="942" spans="1:28" x14ac:dyDescent="0.3">
      <c r="A942" s="12" t="s">
        <v>2847</v>
      </c>
      <c r="B942" s="12" t="s">
        <v>128</v>
      </c>
      <c r="C942" s="12" t="s">
        <v>128</v>
      </c>
      <c r="D942" s="12" t="s">
        <v>129</v>
      </c>
      <c r="E942" s="12" t="s">
        <v>1886</v>
      </c>
      <c r="F942" s="12" t="s">
        <v>832</v>
      </c>
      <c r="G942" s="12" t="s">
        <v>832</v>
      </c>
      <c r="H942" s="12" t="b">
        <v>0</v>
      </c>
      <c r="I942" s="12" t="b">
        <v>0</v>
      </c>
      <c r="J942" s="12" t="b">
        <v>0</v>
      </c>
      <c r="K942" s="12" t="b">
        <v>0</v>
      </c>
      <c r="L942" s="12">
        <v>403</v>
      </c>
      <c r="M942" s="12">
        <v>300.032917</v>
      </c>
      <c r="N942" s="12">
        <v>6142.8571428571431</v>
      </c>
      <c r="O942" s="12">
        <v>563.63636363636374</v>
      </c>
      <c r="P942" s="12">
        <v>0.5</v>
      </c>
      <c r="Q942" s="12">
        <v>0.85</v>
      </c>
      <c r="R942" s="12">
        <v>0.75</v>
      </c>
      <c r="S942" s="12">
        <v>0.85</v>
      </c>
      <c r="T942" s="12">
        <v>0.75</v>
      </c>
      <c r="U942" s="12">
        <v>0.8</v>
      </c>
      <c r="V942" s="12"/>
      <c r="W942" s="12"/>
      <c r="X942" s="12"/>
      <c r="Y942" s="12">
        <v>5579.2207792207791</v>
      </c>
      <c r="Z942" s="12">
        <v>10.89861751152074</v>
      </c>
      <c r="AA942" s="12"/>
      <c r="AB942" s="12" t="s">
        <v>269</v>
      </c>
    </row>
    <row r="943" spans="1:28" x14ac:dyDescent="0.3">
      <c r="A943" s="12" t="s">
        <v>2848</v>
      </c>
      <c r="B943" s="12" t="s">
        <v>128</v>
      </c>
      <c r="C943" s="12" t="s">
        <v>128</v>
      </c>
      <c r="D943" s="12" t="s">
        <v>129</v>
      </c>
      <c r="E943" s="12" t="s">
        <v>1886</v>
      </c>
      <c r="F943" s="12" t="s">
        <v>832</v>
      </c>
      <c r="G943" s="12" t="s">
        <v>832</v>
      </c>
      <c r="H943" s="12" t="b">
        <v>0</v>
      </c>
      <c r="I943" s="12" t="b">
        <v>0</v>
      </c>
      <c r="J943" s="12" t="b">
        <v>0</v>
      </c>
      <c r="K943" s="12" t="b">
        <v>0</v>
      </c>
      <c r="L943" s="12">
        <v>403</v>
      </c>
      <c r="M943" s="12">
        <v>300.032917</v>
      </c>
      <c r="N943" s="12">
        <v>5500</v>
      </c>
      <c r="O943" s="12">
        <v>563.63636363636374</v>
      </c>
      <c r="P943" s="12">
        <v>0.5</v>
      </c>
      <c r="Q943" s="12">
        <v>0.85</v>
      </c>
      <c r="R943" s="12">
        <v>0.75</v>
      </c>
      <c r="S943" s="12">
        <v>0.85</v>
      </c>
      <c r="T943" s="12">
        <v>0.75</v>
      </c>
      <c r="U943" s="12">
        <v>0.8</v>
      </c>
      <c r="V943" s="12"/>
      <c r="W943" s="12"/>
      <c r="X943" s="12"/>
      <c r="Y943" s="12">
        <v>4936.363636363636</v>
      </c>
      <c r="Z943" s="12">
        <v>9.7580645161290303</v>
      </c>
      <c r="AA943" s="12"/>
      <c r="AB943" s="12" t="s">
        <v>269</v>
      </c>
    </row>
    <row r="944" spans="1:28" x14ac:dyDescent="0.3">
      <c r="A944" s="12" t="s">
        <v>2849</v>
      </c>
      <c r="B944" s="12" t="s">
        <v>128</v>
      </c>
      <c r="C944" s="12" t="s">
        <v>128</v>
      </c>
      <c r="D944" s="12" t="s">
        <v>129</v>
      </c>
      <c r="E944" s="12" t="s">
        <v>1886</v>
      </c>
      <c r="F944" s="12" t="s">
        <v>832</v>
      </c>
      <c r="G944" s="12" t="s">
        <v>832</v>
      </c>
      <c r="H944" s="12" t="b">
        <v>0</v>
      </c>
      <c r="I944" s="12" t="b">
        <v>0</v>
      </c>
      <c r="J944" s="12" t="b">
        <v>0</v>
      </c>
      <c r="K944" s="12" t="b">
        <v>0</v>
      </c>
      <c r="L944" s="12">
        <v>403</v>
      </c>
      <c r="M944" s="12">
        <v>300.032917</v>
      </c>
      <c r="N944" s="12">
        <v>6785.7142857142853</v>
      </c>
      <c r="O944" s="12">
        <v>563.63636363636374</v>
      </c>
      <c r="P944" s="12">
        <v>0.5</v>
      </c>
      <c r="Q944" s="12">
        <v>0.85</v>
      </c>
      <c r="R944" s="12">
        <v>0.75</v>
      </c>
      <c r="S944" s="12">
        <v>0.85</v>
      </c>
      <c r="T944" s="12">
        <v>0.75</v>
      </c>
      <c r="U944" s="12">
        <v>0.8</v>
      </c>
      <c r="V944" s="12"/>
      <c r="W944" s="12"/>
      <c r="X944" s="12"/>
      <c r="Y944" s="12">
        <v>6222.0779220779214</v>
      </c>
      <c r="Z944" s="12">
        <v>12.03917050691244</v>
      </c>
      <c r="AA944" s="12"/>
      <c r="AB944" s="12" t="s">
        <v>269</v>
      </c>
    </row>
    <row r="945" spans="1:28" x14ac:dyDescent="0.3">
      <c r="A945" s="12" t="s">
        <v>2850</v>
      </c>
      <c r="B945" s="12" t="s">
        <v>128</v>
      </c>
      <c r="C945" s="12" t="s">
        <v>128</v>
      </c>
      <c r="D945" s="12" t="s">
        <v>129</v>
      </c>
      <c r="E945" s="12" t="s">
        <v>1886</v>
      </c>
      <c r="F945" s="12" t="s">
        <v>1863</v>
      </c>
      <c r="G945" s="12" t="s">
        <v>832</v>
      </c>
      <c r="H945" s="12" t="b">
        <v>0</v>
      </c>
      <c r="I945" s="12" t="b">
        <v>0</v>
      </c>
      <c r="J945" s="12" t="b">
        <v>0</v>
      </c>
      <c r="K945" s="12" t="b">
        <v>0</v>
      </c>
      <c r="L945" s="12">
        <v>403</v>
      </c>
      <c r="M945" s="12">
        <v>300.032917</v>
      </c>
      <c r="N945" s="12">
        <v>4857.1428571428569</v>
      </c>
      <c r="O945" s="12">
        <v>563.63636363636374</v>
      </c>
      <c r="P945" s="12">
        <v>0.5</v>
      </c>
      <c r="Q945" s="12">
        <v>0.85</v>
      </c>
      <c r="R945" s="12">
        <v>0.75</v>
      </c>
      <c r="S945" s="12">
        <v>0.85</v>
      </c>
      <c r="T945" s="12">
        <v>0.75</v>
      </c>
      <c r="U945" s="12">
        <v>0.8</v>
      </c>
      <c r="V945" s="12"/>
      <c r="W945" s="12">
        <v>-99.24457646427112</v>
      </c>
      <c r="X945" s="12">
        <v>-51.473739916315687</v>
      </c>
      <c r="Y945" s="12">
        <v>4293.5064935064929</v>
      </c>
      <c r="Z945" s="12">
        <v>8.6175115207373256</v>
      </c>
      <c r="AA945" s="12" t="s">
        <v>2018</v>
      </c>
      <c r="AB945" s="12" t="s">
        <v>269</v>
      </c>
    </row>
    <row r="946" spans="1:28" x14ac:dyDescent="0.3">
      <c r="A946" s="12" t="s">
        <v>2851</v>
      </c>
      <c r="B946" s="12" t="s">
        <v>128</v>
      </c>
      <c r="C946" s="12" t="s">
        <v>128</v>
      </c>
      <c r="D946" s="12" t="s">
        <v>129</v>
      </c>
      <c r="E946" s="12" t="s">
        <v>1886</v>
      </c>
      <c r="F946" s="12" t="s">
        <v>832</v>
      </c>
      <c r="G946" s="12" t="s">
        <v>832</v>
      </c>
      <c r="H946" s="12" t="b">
        <v>0</v>
      </c>
      <c r="I946" s="12" t="b">
        <v>0</v>
      </c>
      <c r="J946" s="12" t="b">
        <v>0</v>
      </c>
      <c r="K946" s="12" t="b">
        <v>0</v>
      </c>
      <c r="L946" s="12">
        <v>403</v>
      </c>
      <c r="M946" s="12">
        <v>300.032917</v>
      </c>
      <c r="N946" s="12">
        <v>7428.5714285714284</v>
      </c>
      <c r="O946" s="12">
        <v>563.63636363636374</v>
      </c>
      <c r="P946" s="12">
        <v>0.5</v>
      </c>
      <c r="Q946" s="12">
        <v>0.85</v>
      </c>
      <c r="R946" s="12">
        <v>0.75</v>
      </c>
      <c r="S946" s="12">
        <v>0.85</v>
      </c>
      <c r="T946" s="12">
        <v>0.75</v>
      </c>
      <c r="U946" s="12">
        <v>0.8</v>
      </c>
      <c r="V946" s="12"/>
      <c r="W946" s="12"/>
      <c r="X946" s="12"/>
      <c r="Y946" s="12">
        <v>6864.9350649350636</v>
      </c>
      <c r="Z946" s="12">
        <v>13.179723502304141</v>
      </c>
      <c r="AA946" s="12"/>
      <c r="AB946" s="12" t="s">
        <v>269</v>
      </c>
    </row>
    <row r="947" spans="1:28" x14ac:dyDescent="0.3">
      <c r="A947" s="12" t="s">
        <v>2852</v>
      </c>
      <c r="B947" s="12" t="s">
        <v>128</v>
      </c>
      <c r="C947" s="12" t="s">
        <v>128</v>
      </c>
      <c r="D947" s="12" t="s">
        <v>129</v>
      </c>
      <c r="E947" s="12" t="s">
        <v>1886</v>
      </c>
      <c r="F947" s="12" t="s">
        <v>832</v>
      </c>
      <c r="G947" s="12" t="s">
        <v>832</v>
      </c>
      <c r="H947" s="12" t="b">
        <v>0</v>
      </c>
      <c r="I947" s="12" t="b">
        <v>0</v>
      </c>
      <c r="J947" s="12" t="b">
        <v>0</v>
      </c>
      <c r="K947" s="12" t="b">
        <v>0</v>
      </c>
      <c r="L947" s="12">
        <v>403</v>
      </c>
      <c r="M947" s="12">
        <v>300.032917</v>
      </c>
      <c r="N947" s="12">
        <v>8071.4285714285716</v>
      </c>
      <c r="O947" s="12">
        <v>563.63636363636374</v>
      </c>
      <c r="P947" s="12">
        <v>0.5</v>
      </c>
      <c r="Q947" s="12">
        <v>0.85</v>
      </c>
      <c r="R947" s="12">
        <v>0.75</v>
      </c>
      <c r="S947" s="12">
        <v>0.85</v>
      </c>
      <c r="T947" s="12">
        <v>0.75</v>
      </c>
      <c r="U947" s="12">
        <v>0.8</v>
      </c>
      <c r="V947" s="12"/>
      <c r="W947" s="12"/>
      <c r="X947" s="12"/>
      <c r="Y947" s="12">
        <v>7507.7922077922076</v>
      </c>
      <c r="Z947" s="12">
        <v>14.320276497695851</v>
      </c>
      <c r="AA947" s="12"/>
      <c r="AB947" s="12" t="s">
        <v>269</v>
      </c>
    </row>
    <row r="948" spans="1:28" x14ac:dyDescent="0.3">
      <c r="A948" s="12" t="s">
        <v>2853</v>
      </c>
      <c r="B948" s="12" t="s">
        <v>128</v>
      </c>
      <c r="C948" s="12" t="s">
        <v>128</v>
      </c>
      <c r="D948" s="12" t="s">
        <v>129</v>
      </c>
      <c r="E948" s="12" t="s">
        <v>1886</v>
      </c>
      <c r="F948" s="12" t="s">
        <v>832</v>
      </c>
      <c r="G948" s="12" t="s">
        <v>832</v>
      </c>
      <c r="H948" s="12" t="b">
        <v>0</v>
      </c>
      <c r="I948" s="12" t="b">
        <v>0</v>
      </c>
      <c r="J948" s="12" t="b">
        <v>0</v>
      </c>
      <c r="K948" s="12" t="b">
        <v>0</v>
      </c>
      <c r="L948" s="12">
        <v>403</v>
      </c>
      <c r="M948" s="12">
        <v>300.032917</v>
      </c>
      <c r="N948" s="12">
        <v>8714.2857142857138</v>
      </c>
      <c r="O948" s="12">
        <v>563.63636363636374</v>
      </c>
      <c r="P948" s="12">
        <v>0.5</v>
      </c>
      <c r="Q948" s="12">
        <v>0.85</v>
      </c>
      <c r="R948" s="12">
        <v>0.75</v>
      </c>
      <c r="S948" s="12">
        <v>0.85</v>
      </c>
      <c r="T948" s="12">
        <v>0.75</v>
      </c>
      <c r="U948" s="12">
        <v>0.8</v>
      </c>
      <c r="V948" s="12"/>
      <c r="W948" s="12"/>
      <c r="X948" s="12"/>
      <c r="Y948" s="12">
        <v>8150.6493506493498</v>
      </c>
      <c r="Z948" s="12">
        <v>15.46082949308755</v>
      </c>
      <c r="AA948" s="12"/>
      <c r="AB948" s="12" t="s">
        <v>269</v>
      </c>
    </row>
    <row r="949" spans="1:28" x14ac:dyDescent="0.3">
      <c r="A949" s="12" t="s">
        <v>2854</v>
      </c>
      <c r="B949" s="12" t="s">
        <v>128</v>
      </c>
      <c r="C949" s="12" t="s">
        <v>128</v>
      </c>
      <c r="D949" s="12" t="s">
        <v>129</v>
      </c>
      <c r="E949" s="12" t="s">
        <v>1886</v>
      </c>
      <c r="F949" s="12" t="s">
        <v>832</v>
      </c>
      <c r="G949" s="12" t="s">
        <v>832</v>
      </c>
      <c r="H949" s="12" t="b">
        <v>0</v>
      </c>
      <c r="I949" s="12" t="b">
        <v>0</v>
      </c>
      <c r="J949" s="12" t="b">
        <v>0</v>
      </c>
      <c r="K949" s="12" t="b">
        <v>0</v>
      </c>
      <c r="L949" s="12">
        <v>403</v>
      </c>
      <c r="M949" s="12">
        <v>300.032917</v>
      </c>
      <c r="N949" s="12">
        <v>9357.1428571428569</v>
      </c>
      <c r="O949" s="12">
        <v>563.63636363636374</v>
      </c>
      <c r="P949" s="12">
        <v>0.5</v>
      </c>
      <c r="Q949" s="12">
        <v>0.85</v>
      </c>
      <c r="R949" s="12">
        <v>0.75</v>
      </c>
      <c r="S949" s="12">
        <v>0.85</v>
      </c>
      <c r="T949" s="12">
        <v>0.75</v>
      </c>
      <c r="U949" s="12">
        <v>0.8</v>
      </c>
      <c r="V949" s="12"/>
      <c r="W949" s="12"/>
      <c r="X949" s="12"/>
      <c r="Y949" s="12">
        <v>8793.5064935064929</v>
      </c>
      <c r="Z949" s="12">
        <v>16.60138248847926</v>
      </c>
      <c r="AA949" s="12"/>
      <c r="AB949" s="12" t="s">
        <v>269</v>
      </c>
    </row>
    <row r="950" spans="1:28" x14ac:dyDescent="0.3">
      <c r="A950" s="12" t="s">
        <v>2855</v>
      </c>
      <c r="B950" s="12" t="s">
        <v>128</v>
      </c>
      <c r="C950" s="12" t="s">
        <v>128</v>
      </c>
      <c r="D950" s="12" t="s">
        <v>129</v>
      </c>
      <c r="E950" s="12" t="s">
        <v>1886</v>
      </c>
      <c r="F950" s="12" t="s">
        <v>832</v>
      </c>
      <c r="G950" s="12" t="s">
        <v>832</v>
      </c>
      <c r="H950" s="12" t="b">
        <v>0</v>
      </c>
      <c r="I950" s="12" t="b">
        <v>0</v>
      </c>
      <c r="J950" s="12" t="b">
        <v>0</v>
      </c>
      <c r="K950" s="12" t="b">
        <v>0</v>
      </c>
      <c r="L950" s="12">
        <v>403</v>
      </c>
      <c r="M950" s="12">
        <v>300.032917</v>
      </c>
      <c r="N950" s="12">
        <v>10000</v>
      </c>
      <c r="O950" s="12">
        <v>563.63636363636374</v>
      </c>
      <c r="P950" s="12">
        <v>0.5</v>
      </c>
      <c r="Q950" s="12">
        <v>0.85</v>
      </c>
      <c r="R950" s="12">
        <v>0.75</v>
      </c>
      <c r="S950" s="12">
        <v>0.85</v>
      </c>
      <c r="T950" s="12">
        <v>0.75</v>
      </c>
      <c r="U950" s="12">
        <v>0.8</v>
      </c>
      <c r="V950" s="12"/>
      <c r="W950" s="12"/>
      <c r="X950" s="12"/>
      <c r="Y950" s="12">
        <v>9436.363636363636</v>
      </c>
      <c r="Z950" s="12">
        <v>17.741935483870961</v>
      </c>
      <c r="AA950" s="12"/>
      <c r="AB950" s="12" t="s">
        <v>269</v>
      </c>
    </row>
    <row r="951" spans="1:28" x14ac:dyDescent="0.3">
      <c r="A951" s="12" t="s">
        <v>2856</v>
      </c>
      <c r="B951" s="12" t="s">
        <v>128</v>
      </c>
      <c r="C951" s="12" t="s">
        <v>128</v>
      </c>
      <c r="D951" s="12" t="s">
        <v>129</v>
      </c>
      <c r="E951" s="12" t="s">
        <v>1886</v>
      </c>
      <c r="F951" s="12" t="s">
        <v>1862</v>
      </c>
      <c r="G951" s="12" t="s">
        <v>1862</v>
      </c>
      <c r="H951" s="12" t="b">
        <v>1</v>
      </c>
      <c r="I951" s="12" t="b">
        <v>0</v>
      </c>
      <c r="J951" s="12" t="b">
        <v>0</v>
      </c>
      <c r="K951" s="12" t="b">
        <v>0</v>
      </c>
      <c r="L951" s="12">
        <v>403</v>
      </c>
      <c r="M951" s="12">
        <v>300.032917</v>
      </c>
      <c r="N951" s="12">
        <v>3000</v>
      </c>
      <c r="O951" s="12">
        <v>150</v>
      </c>
      <c r="P951" s="12">
        <v>0.5</v>
      </c>
      <c r="Q951" s="12">
        <v>0.85</v>
      </c>
      <c r="R951" s="12">
        <v>0.75</v>
      </c>
      <c r="S951" s="12">
        <v>0.85</v>
      </c>
      <c r="T951" s="12">
        <v>0.75</v>
      </c>
      <c r="U951" s="12">
        <v>0.8</v>
      </c>
      <c r="V951" s="12"/>
      <c r="W951" s="12">
        <v>-40.371308617285429</v>
      </c>
      <c r="X951" s="12">
        <v>-53.829330759994299</v>
      </c>
      <c r="Y951" s="12">
        <v>2850</v>
      </c>
      <c r="Z951" s="12">
        <v>20</v>
      </c>
      <c r="AA951" s="12" t="s">
        <v>2513</v>
      </c>
      <c r="AB951" s="12" t="s">
        <v>271</v>
      </c>
    </row>
    <row r="952" spans="1:28" x14ac:dyDescent="0.3">
      <c r="A952" s="12" t="s">
        <v>2857</v>
      </c>
      <c r="B952" s="12" t="s">
        <v>128</v>
      </c>
      <c r="C952" s="12" t="s">
        <v>128</v>
      </c>
      <c r="D952" s="12" t="s">
        <v>129</v>
      </c>
      <c r="E952" s="12" t="s">
        <v>2821</v>
      </c>
      <c r="F952" s="12" t="s">
        <v>32</v>
      </c>
      <c r="G952" s="12" t="s">
        <v>32</v>
      </c>
      <c r="H952" s="12" t="b">
        <v>1</v>
      </c>
      <c r="I952" s="12" t="b">
        <v>1</v>
      </c>
      <c r="J952" s="12" t="b">
        <v>0</v>
      </c>
      <c r="K952" s="12" t="b">
        <v>0</v>
      </c>
      <c r="L952" s="12">
        <v>403</v>
      </c>
      <c r="M952" s="12">
        <v>300.032917</v>
      </c>
      <c r="N952" s="12">
        <v>3090</v>
      </c>
      <c r="O952" s="12">
        <v>563.63636363636374</v>
      </c>
      <c r="P952" s="12">
        <v>0.5</v>
      </c>
      <c r="Q952" s="12">
        <v>0.85</v>
      </c>
      <c r="R952" s="12">
        <v>0.75</v>
      </c>
      <c r="S952" s="12">
        <v>0.85</v>
      </c>
      <c r="T952" s="12">
        <v>0.75</v>
      </c>
      <c r="U952" s="12">
        <v>0.8</v>
      </c>
      <c r="V952" s="12"/>
      <c r="W952" s="12">
        <v>8.1524347787986304</v>
      </c>
      <c r="X952" s="12">
        <v>23.542254653133501</v>
      </c>
      <c r="Y952" s="12">
        <v>2526.363636363636</v>
      </c>
      <c r="Z952" s="12">
        <v>5.4822580645161283</v>
      </c>
      <c r="AA952" s="12"/>
      <c r="AB952" s="12" t="s">
        <v>269</v>
      </c>
    </row>
    <row r="953" spans="1:28" x14ac:dyDescent="0.3">
      <c r="A953" s="12" t="s">
        <v>2858</v>
      </c>
      <c r="B953" s="12" t="s">
        <v>128</v>
      </c>
      <c r="C953" s="12" t="s">
        <v>128</v>
      </c>
      <c r="D953" s="12" t="s">
        <v>129</v>
      </c>
      <c r="E953" s="12" t="s">
        <v>2821</v>
      </c>
      <c r="F953" s="12" t="s">
        <v>1861</v>
      </c>
      <c r="G953" s="12" t="s">
        <v>1861</v>
      </c>
      <c r="H953" s="12" t="b">
        <v>1</v>
      </c>
      <c r="I953" s="12" t="b">
        <v>0</v>
      </c>
      <c r="J953" s="12" t="b">
        <v>0</v>
      </c>
      <c r="K953" s="12" t="b">
        <v>0</v>
      </c>
      <c r="L953" s="12">
        <v>403</v>
      </c>
      <c r="M953" s="12">
        <v>300.032917</v>
      </c>
      <c r="N953" s="12">
        <v>2910</v>
      </c>
      <c r="O953" s="12">
        <v>563.63636363636374</v>
      </c>
      <c r="P953" s="12">
        <v>0.5</v>
      </c>
      <c r="Q953" s="12">
        <v>0.85</v>
      </c>
      <c r="R953" s="12">
        <v>0.75</v>
      </c>
      <c r="S953" s="12">
        <v>0.85</v>
      </c>
      <c r="T953" s="12">
        <v>0.75</v>
      </c>
      <c r="U953" s="12">
        <v>0.8</v>
      </c>
      <c r="V953" s="12"/>
      <c r="W953" s="12">
        <v>8.7450763409786898</v>
      </c>
      <c r="X953" s="12">
        <v>28.248759218020432</v>
      </c>
      <c r="Y953" s="12">
        <v>2346.363636363636</v>
      </c>
      <c r="Z953" s="12">
        <v>5.1629032258064509</v>
      </c>
      <c r="AA953" s="12" t="s">
        <v>1268</v>
      </c>
      <c r="AB953" s="12" t="s">
        <v>269</v>
      </c>
    </row>
    <row r="954" spans="1:28" x14ac:dyDescent="0.3">
      <c r="A954" s="12" t="s">
        <v>2859</v>
      </c>
      <c r="B954" s="12" t="s">
        <v>128</v>
      </c>
      <c r="C954" s="12" t="s">
        <v>128</v>
      </c>
      <c r="D954" s="12" t="s">
        <v>129</v>
      </c>
      <c r="E954" s="12" t="s">
        <v>1886</v>
      </c>
      <c r="F954" s="12" t="s">
        <v>1861</v>
      </c>
      <c r="G954" s="12" t="s">
        <v>1861</v>
      </c>
      <c r="H954" s="12" t="b">
        <v>1</v>
      </c>
      <c r="I954" s="12" t="b">
        <v>0</v>
      </c>
      <c r="J954" s="12" t="b">
        <v>0</v>
      </c>
      <c r="K954" s="12" t="b">
        <v>0</v>
      </c>
      <c r="L954" s="12">
        <v>403</v>
      </c>
      <c r="M954" s="12">
        <v>300.032917</v>
      </c>
      <c r="N954" s="12">
        <v>3000</v>
      </c>
      <c r="O954" s="12">
        <v>246.42857142857139</v>
      </c>
      <c r="P954" s="12">
        <v>0.5</v>
      </c>
      <c r="Q954" s="12">
        <v>0.85</v>
      </c>
      <c r="R954" s="12">
        <v>0.75</v>
      </c>
      <c r="S954" s="12">
        <v>0.85</v>
      </c>
      <c r="T954" s="12">
        <v>0.75</v>
      </c>
      <c r="U954" s="12">
        <v>0.8</v>
      </c>
      <c r="V954" s="12"/>
      <c r="W954" s="12">
        <v>4.1992574913160103</v>
      </c>
      <c r="X954" s="12">
        <v>10.39162737870946</v>
      </c>
      <c r="Y954" s="12">
        <v>2753.571428571428</v>
      </c>
      <c r="Z954" s="12">
        <v>12.17391304347826</v>
      </c>
      <c r="AA954" s="12" t="s">
        <v>1268</v>
      </c>
      <c r="AB954" s="12" t="s">
        <v>271</v>
      </c>
    </row>
    <row r="955" spans="1:28" x14ac:dyDescent="0.3">
      <c r="A955" s="12" t="s">
        <v>2860</v>
      </c>
      <c r="B955" s="12" t="s">
        <v>128</v>
      </c>
      <c r="C955" s="12" t="s">
        <v>128</v>
      </c>
      <c r="D955" s="12" t="s">
        <v>129</v>
      </c>
      <c r="E955" s="12" t="s">
        <v>1886</v>
      </c>
      <c r="F955" s="12" t="s">
        <v>1861</v>
      </c>
      <c r="G955" s="12" t="s">
        <v>1861</v>
      </c>
      <c r="H955" s="12" t="b">
        <v>1</v>
      </c>
      <c r="I955" s="12" t="b">
        <v>0</v>
      </c>
      <c r="J955" s="12" t="b">
        <v>0</v>
      </c>
      <c r="K955" s="12" t="b">
        <v>0</v>
      </c>
      <c r="L955" s="12">
        <v>403</v>
      </c>
      <c r="M955" s="12">
        <v>300.032917</v>
      </c>
      <c r="N955" s="12">
        <v>3000</v>
      </c>
      <c r="O955" s="12">
        <v>342.85714285714289</v>
      </c>
      <c r="P955" s="12">
        <v>0.5</v>
      </c>
      <c r="Q955" s="12">
        <v>0.85</v>
      </c>
      <c r="R955" s="12">
        <v>0.75</v>
      </c>
      <c r="S955" s="12">
        <v>0.85</v>
      </c>
      <c r="T955" s="12">
        <v>0.75</v>
      </c>
      <c r="U955" s="12">
        <v>0.8</v>
      </c>
      <c r="V955" s="12"/>
      <c r="W955" s="12">
        <v>10.29690767870775</v>
      </c>
      <c r="X955" s="12">
        <v>31.430127242283639</v>
      </c>
      <c r="Y955" s="12">
        <v>2657.1428571428569</v>
      </c>
      <c r="Z955" s="12">
        <v>8.75</v>
      </c>
      <c r="AA955" s="12" t="s">
        <v>1268</v>
      </c>
      <c r="AB955" s="12" t="s">
        <v>271</v>
      </c>
    </row>
    <row r="956" spans="1:28" x14ac:dyDescent="0.3">
      <c r="A956" s="12" t="s">
        <v>2861</v>
      </c>
      <c r="B956" s="12" t="s">
        <v>128</v>
      </c>
      <c r="C956" s="12" t="s">
        <v>128</v>
      </c>
      <c r="D956" s="12" t="s">
        <v>129</v>
      </c>
      <c r="E956" s="12" t="s">
        <v>1886</v>
      </c>
      <c r="F956" s="12" t="s">
        <v>1861</v>
      </c>
      <c r="G956" s="12" t="s">
        <v>1861</v>
      </c>
      <c r="H956" s="12" t="b">
        <v>1</v>
      </c>
      <c r="I956" s="12" t="b">
        <v>0</v>
      </c>
      <c r="J956" s="12" t="b">
        <v>0</v>
      </c>
      <c r="K956" s="12" t="b">
        <v>0</v>
      </c>
      <c r="L956" s="12">
        <v>403</v>
      </c>
      <c r="M956" s="12">
        <v>300.032917</v>
      </c>
      <c r="N956" s="12">
        <v>3000</v>
      </c>
      <c r="O956" s="12">
        <v>439.28571428571428</v>
      </c>
      <c r="P956" s="12">
        <v>0.5</v>
      </c>
      <c r="Q956" s="12">
        <v>0.85</v>
      </c>
      <c r="R956" s="12">
        <v>0.75</v>
      </c>
      <c r="S956" s="12">
        <v>0.85</v>
      </c>
      <c r="T956" s="12">
        <v>0.75</v>
      </c>
      <c r="U956" s="12">
        <v>0.8</v>
      </c>
      <c r="V956" s="12"/>
      <c r="W956" s="12">
        <v>9.5555437829159899</v>
      </c>
      <c r="X956" s="12">
        <v>29.232789849614289</v>
      </c>
      <c r="Y956" s="12">
        <v>2560.7142857142858</v>
      </c>
      <c r="Z956" s="12">
        <v>6.8292682926829267</v>
      </c>
      <c r="AA956" s="12" t="s">
        <v>1268</v>
      </c>
      <c r="AB956" s="12" t="s">
        <v>271</v>
      </c>
    </row>
    <row r="957" spans="1:28" x14ac:dyDescent="0.3">
      <c r="A957" s="12" t="s">
        <v>2862</v>
      </c>
      <c r="B957" s="12" t="s">
        <v>128</v>
      </c>
      <c r="C957" s="12" t="s">
        <v>128</v>
      </c>
      <c r="D957" s="12" t="s">
        <v>129</v>
      </c>
      <c r="E957" s="12" t="s">
        <v>1886</v>
      </c>
      <c r="F957" s="12" t="s">
        <v>1861</v>
      </c>
      <c r="G957" s="12" t="s">
        <v>1861</v>
      </c>
      <c r="H957" s="12" t="b">
        <v>1</v>
      </c>
      <c r="I957" s="12" t="b">
        <v>0</v>
      </c>
      <c r="J957" s="12" t="b">
        <v>0</v>
      </c>
      <c r="K957" s="12" t="b">
        <v>0</v>
      </c>
      <c r="L957" s="12">
        <v>403</v>
      </c>
      <c r="M957" s="12">
        <v>300.032917</v>
      </c>
      <c r="N957" s="12">
        <v>3000</v>
      </c>
      <c r="O957" s="12">
        <v>535.71428571428578</v>
      </c>
      <c r="P957" s="12">
        <v>0.5</v>
      </c>
      <c r="Q957" s="12">
        <v>0.85</v>
      </c>
      <c r="R957" s="12">
        <v>0.75</v>
      </c>
      <c r="S957" s="12">
        <v>0.85</v>
      </c>
      <c r="T957" s="12">
        <v>0.75</v>
      </c>
      <c r="U957" s="12">
        <v>0.8</v>
      </c>
      <c r="V957" s="12"/>
      <c r="W957" s="12">
        <v>8.7279709887487211</v>
      </c>
      <c r="X957" s="12">
        <v>26.698331150345009</v>
      </c>
      <c r="Y957" s="12">
        <v>2464.2857142857142</v>
      </c>
      <c r="Z957" s="12">
        <v>5.6</v>
      </c>
      <c r="AA957" s="12" t="s">
        <v>1268</v>
      </c>
      <c r="AB957" s="12" t="s">
        <v>271</v>
      </c>
    </row>
    <row r="958" spans="1:28" x14ac:dyDescent="0.3">
      <c r="A958" s="12" t="s">
        <v>2863</v>
      </c>
      <c r="B958" s="12" t="s">
        <v>128</v>
      </c>
      <c r="C958" s="12" t="s">
        <v>128</v>
      </c>
      <c r="D958" s="12" t="s">
        <v>129</v>
      </c>
      <c r="E958" s="12" t="s">
        <v>1886</v>
      </c>
      <c r="F958" s="12" t="s">
        <v>32</v>
      </c>
      <c r="G958" s="12" t="s">
        <v>32</v>
      </c>
      <c r="H958" s="12" t="b">
        <v>1</v>
      </c>
      <c r="I958" s="12" t="b">
        <v>1</v>
      </c>
      <c r="J958" s="12" t="b">
        <v>0</v>
      </c>
      <c r="K958" s="12" t="b">
        <v>0</v>
      </c>
      <c r="L958" s="12">
        <v>403</v>
      </c>
      <c r="M958" s="12">
        <v>300.032917</v>
      </c>
      <c r="N958" s="12">
        <v>3000</v>
      </c>
      <c r="O958" s="12">
        <v>632.14285714285711</v>
      </c>
      <c r="P958" s="12">
        <v>0.5</v>
      </c>
      <c r="Q958" s="12">
        <v>0.85</v>
      </c>
      <c r="R958" s="12">
        <v>0.75</v>
      </c>
      <c r="S958" s="12">
        <v>0.85</v>
      </c>
      <c r="T958" s="12">
        <v>0.75</v>
      </c>
      <c r="U958" s="12">
        <v>0.8</v>
      </c>
      <c r="V958" s="12"/>
      <c r="W958" s="12">
        <v>7.9123984430302086</v>
      </c>
      <c r="X958" s="12">
        <v>24.191435044266921</v>
      </c>
      <c r="Y958" s="12">
        <v>2367.8571428571431</v>
      </c>
      <c r="Z958" s="12">
        <v>4.7457627118644083</v>
      </c>
      <c r="AA958" s="12"/>
      <c r="AB958" s="12" t="s">
        <v>271</v>
      </c>
    </row>
    <row r="959" spans="1:28" x14ac:dyDescent="0.3">
      <c r="A959" s="12" t="s">
        <v>2864</v>
      </c>
      <c r="B959" s="12" t="s">
        <v>128</v>
      </c>
      <c r="C959" s="12" t="s">
        <v>128</v>
      </c>
      <c r="D959" s="12" t="s">
        <v>129</v>
      </c>
      <c r="E959" s="12" t="s">
        <v>1886</v>
      </c>
      <c r="F959" s="12" t="s">
        <v>32</v>
      </c>
      <c r="G959" s="12" t="s">
        <v>32</v>
      </c>
      <c r="H959" s="12" t="b">
        <v>1</v>
      </c>
      <c r="I959" s="12" t="b">
        <v>1</v>
      </c>
      <c r="J959" s="12" t="b">
        <v>0</v>
      </c>
      <c r="K959" s="12" t="b">
        <v>0</v>
      </c>
      <c r="L959" s="12">
        <v>403</v>
      </c>
      <c r="M959" s="12">
        <v>300.032917</v>
      </c>
      <c r="N959" s="12">
        <v>3000</v>
      </c>
      <c r="O959" s="12">
        <v>728.57142857142856</v>
      </c>
      <c r="P959" s="12">
        <v>0.5</v>
      </c>
      <c r="Q959" s="12">
        <v>0.85</v>
      </c>
      <c r="R959" s="12">
        <v>0.75</v>
      </c>
      <c r="S959" s="12">
        <v>0.85</v>
      </c>
      <c r="T959" s="12">
        <v>0.75</v>
      </c>
      <c r="U959" s="12">
        <v>0.8</v>
      </c>
      <c r="V959" s="12"/>
      <c r="W959" s="12">
        <v>7.2001370664999707</v>
      </c>
      <c r="X959" s="12">
        <v>22.004115176872119</v>
      </c>
      <c r="Y959" s="12">
        <v>2271.428571428572</v>
      </c>
      <c r="Z959" s="12">
        <v>4.1176470588235299</v>
      </c>
      <c r="AA959" s="12"/>
      <c r="AB959" s="12" t="s">
        <v>271</v>
      </c>
    </row>
    <row r="960" spans="1:28" x14ac:dyDescent="0.3">
      <c r="A960" s="12" t="s">
        <v>2865</v>
      </c>
      <c r="B960" s="12" t="s">
        <v>128</v>
      </c>
      <c r="C960" s="12" t="s">
        <v>128</v>
      </c>
      <c r="D960" s="12" t="s">
        <v>129</v>
      </c>
      <c r="E960" s="12" t="s">
        <v>1886</v>
      </c>
      <c r="F960" s="12" t="s">
        <v>32</v>
      </c>
      <c r="G960" s="12" t="s">
        <v>32</v>
      </c>
      <c r="H960" s="12" t="b">
        <v>1</v>
      </c>
      <c r="I960" s="12" t="b">
        <v>1</v>
      </c>
      <c r="J960" s="12" t="b">
        <v>0</v>
      </c>
      <c r="K960" s="12" t="b">
        <v>0</v>
      </c>
      <c r="L960" s="12">
        <v>403</v>
      </c>
      <c r="M960" s="12">
        <v>300.032917</v>
      </c>
      <c r="N960" s="12">
        <v>3000</v>
      </c>
      <c r="O960" s="12">
        <v>825</v>
      </c>
      <c r="P960" s="12">
        <v>0.5</v>
      </c>
      <c r="Q960" s="12">
        <v>0.85</v>
      </c>
      <c r="R960" s="12">
        <v>0.75</v>
      </c>
      <c r="S960" s="12">
        <v>0.85</v>
      </c>
      <c r="T960" s="12">
        <v>0.75</v>
      </c>
      <c r="U960" s="12">
        <v>0.8</v>
      </c>
      <c r="V960" s="12"/>
      <c r="W960" s="12">
        <v>6.5705952091731614</v>
      </c>
      <c r="X960" s="12">
        <v>20.072601858671419</v>
      </c>
      <c r="Y960" s="12">
        <v>2175</v>
      </c>
      <c r="Z960" s="12">
        <v>3.6363636363636358</v>
      </c>
      <c r="AA960" s="12"/>
      <c r="AB960" s="12" t="s">
        <v>271</v>
      </c>
    </row>
    <row r="961" spans="1:28" x14ac:dyDescent="0.3">
      <c r="A961" s="12" t="s">
        <v>2866</v>
      </c>
      <c r="B961" s="12" t="s">
        <v>128</v>
      </c>
      <c r="C961" s="12" t="s">
        <v>128</v>
      </c>
      <c r="D961" s="12" t="s">
        <v>129</v>
      </c>
      <c r="E961" s="12" t="s">
        <v>1886</v>
      </c>
      <c r="F961" s="12" t="s">
        <v>32</v>
      </c>
      <c r="G961" s="12" t="s">
        <v>32</v>
      </c>
      <c r="H961" s="12" t="b">
        <v>1</v>
      </c>
      <c r="I961" s="12" t="b">
        <v>1</v>
      </c>
      <c r="J961" s="12" t="b">
        <v>0</v>
      </c>
      <c r="K961" s="12" t="b">
        <v>0</v>
      </c>
      <c r="L961" s="12">
        <v>403</v>
      </c>
      <c r="M961" s="12">
        <v>300.032917</v>
      </c>
      <c r="N961" s="12">
        <v>3000</v>
      </c>
      <c r="O961" s="12">
        <v>921.42857142857144</v>
      </c>
      <c r="P961" s="12">
        <v>0.5</v>
      </c>
      <c r="Q961" s="12">
        <v>0.85</v>
      </c>
      <c r="R961" s="12">
        <v>0.75</v>
      </c>
      <c r="S961" s="12">
        <v>0.85</v>
      </c>
      <c r="T961" s="12">
        <v>0.75</v>
      </c>
      <c r="U961" s="12">
        <v>0.8</v>
      </c>
      <c r="V961" s="12"/>
      <c r="W961" s="12">
        <v>6.0067627392746097</v>
      </c>
      <c r="X961" s="12">
        <v>18.34408315197642</v>
      </c>
      <c r="Y961" s="12">
        <v>2078.571428571428</v>
      </c>
      <c r="Z961" s="12">
        <v>3.2558139534883721</v>
      </c>
      <c r="AA961" s="12"/>
      <c r="AB961" s="12" t="s">
        <v>271</v>
      </c>
    </row>
    <row r="962" spans="1:28" x14ac:dyDescent="0.3">
      <c r="A962" s="12" t="s">
        <v>2867</v>
      </c>
      <c r="B962" s="12" t="s">
        <v>128</v>
      </c>
      <c r="C962" s="12" t="s">
        <v>128</v>
      </c>
      <c r="D962" s="12" t="s">
        <v>129</v>
      </c>
      <c r="E962" s="12" t="s">
        <v>1886</v>
      </c>
      <c r="F962" s="12" t="s">
        <v>32</v>
      </c>
      <c r="G962" s="12" t="s">
        <v>32</v>
      </c>
      <c r="H962" s="12" t="b">
        <v>1</v>
      </c>
      <c r="I962" s="12" t="b">
        <v>1</v>
      </c>
      <c r="J962" s="12" t="b">
        <v>0</v>
      </c>
      <c r="K962" s="12" t="b">
        <v>0</v>
      </c>
      <c r="L962" s="12">
        <v>403</v>
      </c>
      <c r="M962" s="12">
        <v>300.032917</v>
      </c>
      <c r="N962" s="12">
        <v>3000</v>
      </c>
      <c r="O962" s="12">
        <v>1114.285714285714</v>
      </c>
      <c r="P962" s="12">
        <v>0.5</v>
      </c>
      <c r="Q962" s="12">
        <v>0.85</v>
      </c>
      <c r="R962" s="12">
        <v>0.75</v>
      </c>
      <c r="S962" s="12">
        <v>0.85</v>
      </c>
      <c r="T962" s="12">
        <v>0.75</v>
      </c>
      <c r="U962" s="12">
        <v>0.8</v>
      </c>
      <c r="V962" s="12"/>
      <c r="W962" s="12">
        <v>5.0307388144835201</v>
      </c>
      <c r="X962" s="12">
        <v>15.354958208181131</v>
      </c>
      <c r="Y962" s="12">
        <v>1885.714285714286</v>
      </c>
      <c r="Z962" s="12">
        <v>2.692307692307693</v>
      </c>
      <c r="AA962" s="12"/>
      <c r="AB962" s="12" t="s">
        <v>271</v>
      </c>
    </row>
    <row r="963" spans="1:28" x14ac:dyDescent="0.3">
      <c r="A963" s="12" t="s">
        <v>2868</v>
      </c>
      <c r="B963" s="12" t="s">
        <v>128</v>
      </c>
      <c r="C963" s="12" t="s">
        <v>128</v>
      </c>
      <c r="D963" s="12" t="s">
        <v>129</v>
      </c>
      <c r="E963" s="12" t="s">
        <v>1886</v>
      </c>
      <c r="F963" s="12" t="s">
        <v>32</v>
      </c>
      <c r="G963" s="12" t="s">
        <v>32</v>
      </c>
      <c r="H963" s="12" t="b">
        <v>1</v>
      </c>
      <c r="I963" s="12" t="b">
        <v>1</v>
      </c>
      <c r="J963" s="12" t="b">
        <v>0</v>
      </c>
      <c r="K963" s="12" t="b">
        <v>0</v>
      </c>
      <c r="L963" s="12">
        <v>403</v>
      </c>
      <c r="M963" s="12">
        <v>300.032917</v>
      </c>
      <c r="N963" s="12">
        <v>3000</v>
      </c>
      <c r="O963" s="12">
        <v>1017.857142857143</v>
      </c>
      <c r="P963" s="12">
        <v>0.5</v>
      </c>
      <c r="Q963" s="12">
        <v>0.85</v>
      </c>
      <c r="R963" s="12">
        <v>0.75</v>
      </c>
      <c r="S963" s="12">
        <v>0.85</v>
      </c>
      <c r="T963" s="12">
        <v>0.75</v>
      </c>
      <c r="U963" s="12">
        <v>0.8</v>
      </c>
      <c r="V963" s="12"/>
      <c r="W963" s="12">
        <v>5.4964812719060214</v>
      </c>
      <c r="X963" s="12">
        <v>16.780842919330791</v>
      </c>
      <c r="Y963" s="12">
        <v>1982.1428571428571</v>
      </c>
      <c r="Z963" s="12">
        <v>2.9473684210526319</v>
      </c>
      <c r="AA963" s="12"/>
      <c r="AB963" s="12" t="s">
        <v>271</v>
      </c>
    </row>
    <row r="964" spans="1:28" x14ac:dyDescent="0.3">
      <c r="A964" s="12" t="s">
        <v>2869</v>
      </c>
      <c r="B964" s="12" t="s">
        <v>128</v>
      </c>
      <c r="C964" s="12" t="s">
        <v>128</v>
      </c>
      <c r="D964" s="12" t="s">
        <v>129</v>
      </c>
      <c r="E964" s="12" t="s">
        <v>1886</v>
      </c>
      <c r="F964" s="12" t="s">
        <v>32</v>
      </c>
      <c r="G964" s="12" t="s">
        <v>32</v>
      </c>
      <c r="H964" s="12" t="b">
        <v>1</v>
      </c>
      <c r="I964" s="12" t="b">
        <v>1</v>
      </c>
      <c r="J964" s="12" t="b">
        <v>0</v>
      </c>
      <c r="K964" s="12" t="b">
        <v>0</v>
      </c>
      <c r="L964" s="12">
        <v>403</v>
      </c>
      <c r="M964" s="12">
        <v>300.032917</v>
      </c>
      <c r="N964" s="12">
        <v>3000</v>
      </c>
      <c r="O964" s="12">
        <v>1210.714285714286</v>
      </c>
      <c r="P964" s="12">
        <v>0.5</v>
      </c>
      <c r="Q964" s="12">
        <v>0.85</v>
      </c>
      <c r="R964" s="12">
        <v>0.75</v>
      </c>
      <c r="S964" s="12">
        <v>0.85</v>
      </c>
      <c r="T964" s="12">
        <v>0.75</v>
      </c>
      <c r="U964" s="12">
        <v>0.8</v>
      </c>
      <c r="V964" s="12"/>
      <c r="W964" s="12">
        <v>4.6026766280677398</v>
      </c>
      <c r="X964" s="12">
        <v>14.045162581461691</v>
      </c>
      <c r="Y964" s="12">
        <v>1789.285714285714</v>
      </c>
      <c r="Z964" s="12">
        <v>2.4778761061946901</v>
      </c>
      <c r="AA964" s="12"/>
      <c r="AB964" s="12" t="s">
        <v>271</v>
      </c>
    </row>
    <row r="965" spans="1:28" x14ac:dyDescent="0.3">
      <c r="A965" s="12" t="s">
        <v>2870</v>
      </c>
      <c r="B965" s="12" t="s">
        <v>128</v>
      </c>
      <c r="C965" s="12" t="s">
        <v>128</v>
      </c>
      <c r="D965" s="12" t="s">
        <v>129</v>
      </c>
      <c r="E965" s="12" t="s">
        <v>1886</v>
      </c>
      <c r="F965" s="12" t="s">
        <v>32</v>
      </c>
      <c r="G965" s="12" t="s">
        <v>32</v>
      </c>
      <c r="H965" s="12" t="b">
        <v>1</v>
      </c>
      <c r="I965" s="12" t="b">
        <v>1</v>
      </c>
      <c r="J965" s="12" t="b">
        <v>0</v>
      </c>
      <c r="K965" s="12" t="b">
        <v>0</v>
      </c>
      <c r="L965" s="12">
        <v>403</v>
      </c>
      <c r="M965" s="12">
        <v>300.032917</v>
      </c>
      <c r="N965" s="12">
        <v>3000</v>
      </c>
      <c r="O965" s="12">
        <v>1307.1428571428571</v>
      </c>
      <c r="P965" s="12">
        <v>0.5</v>
      </c>
      <c r="Q965" s="12">
        <v>0.85</v>
      </c>
      <c r="R965" s="12">
        <v>0.75</v>
      </c>
      <c r="S965" s="12">
        <v>0.85</v>
      </c>
      <c r="T965" s="12">
        <v>0.75</v>
      </c>
      <c r="U965" s="12">
        <v>0.8</v>
      </c>
      <c r="V965" s="12"/>
      <c r="W965" s="12">
        <v>4.2069268641018196</v>
      </c>
      <c r="X965" s="12">
        <v>12.834853193137739</v>
      </c>
      <c r="Y965" s="12">
        <v>1692.8571428571429</v>
      </c>
      <c r="Z965" s="12">
        <v>2.2950819672131142</v>
      </c>
      <c r="AA965" s="12"/>
      <c r="AB965" s="12" t="s">
        <v>271</v>
      </c>
    </row>
    <row r="966" spans="1:28" x14ac:dyDescent="0.3">
      <c r="A966" s="12" t="s">
        <v>2871</v>
      </c>
      <c r="B966" s="12" t="s">
        <v>128</v>
      </c>
      <c r="C966" s="12" t="s">
        <v>128</v>
      </c>
      <c r="D966" s="12" t="s">
        <v>129</v>
      </c>
      <c r="E966" s="12" t="s">
        <v>1886</v>
      </c>
      <c r="F966" s="12" t="s">
        <v>32</v>
      </c>
      <c r="G966" s="12" t="s">
        <v>32</v>
      </c>
      <c r="H966" s="12" t="b">
        <v>1</v>
      </c>
      <c r="I966" s="12" t="b">
        <v>1</v>
      </c>
      <c r="J966" s="12" t="b">
        <v>0</v>
      </c>
      <c r="K966" s="12" t="b">
        <v>0</v>
      </c>
      <c r="L966" s="12">
        <v>403</v>
      </c>
      <c r="M966" s="12">
        <v>300.032917</v>
      </c>
      <c r="N966" s="12">
        <v>3000</v>
      </c>
      <c r="O966" s="12">
        <v>1403.5714285714289</v>
      </c>
      <c r="P966" s="12">
        <v>0.5</v>
      </c>
      <c r="Q966" s="12">
        <v>0.85</v>
      </c>
      <c r="R966" s="12">
        <v>0.75</v>
      </c>
      <c r="S966" s="12">
        <v>0.85</v>
      </c>
      <c r="T966" s="12">
        <v>0.75</v>
      </c>
      <c r="U966" s="12">
        <v>0.8</v>
      </c>
      <c r="V966" s="12"/>
      <c r="W966" s="12">
        <v>3.83921841178707</v>
      </c>
      <c r="X966" s="12">
        <v>11.71081824031368</v>
      </c>
      <c r="Y966" s="12">
        <v>1596.4285714285711</v>
      </c>
      <c r="Z966" s="12">
        <v>2.1374045801526722</v>
      </c>
      <c r="AA966" s="12"/>
      <c r="AB966" s="12" t="s">
        <v>271</v>
      </c>
    </row>
    <row r="967" spans="1:28" x14ac:dyDescent="0.3">
      <c r="A967" s="12" t="s">
        <v>2872</v>
      </c>
      <c r="B967" s="12" t="s">
        <v>128</v>
      </c>
      <c r="C967" s="12" t="s">
        <v>128</v>
      </c>
      <c r="D967" s="12" t="s">
        <v>129</v>
      </c>
      <c r="E967" s="12" t="s">
        <v>2821</v>
      </c>
      <c r="F967" s="12" t="s">
        <v>1861</v>
      </c>
      <c r="G967" s="12" t="s">
        <v>1861</v>
      </c>
      <c r="H967" s="12" t="b">
        <v>1</v>
      </c>
      <c r="I967" s="12" t="b">
        <v>0</v>
      </c>
      <c r="J967" s="12" t="b">
        <v>0</v>
      </c>
      <c r="K967" s="12" t="b">
        <v>0</v>
      </c>
      <c r="L967" s="12">
        <v>403</v>
      </c>
      <c r="M967" s="12">
        <v>300.032917</v>
      </c>
      <c r="N967" s="12">
        <v>3000</v>
      </c>
      <c r="O967" s="12">
        <v>550.13636363636374</v>
      </c>
      <c r="P967" s="12">
        <v>0.5</v>
      </c>
      <c r="Q967" s="12">
        <v>0.85</v>
      </c>
      <c r="R967" s="12">
        <v>0.75</v>
      </c>
      <c r="S967" s="12">
        <v>0.85</v>
      </c>
      <c r="T967" s="12">
        <v>0.75</v>
      </c>
      <c r="U967" s="12">
        <v>0.8</v>
      </c>
      <c r="V967" s="12"/>
      <c r="W967" s="12">
        <v>8.6009724486440398</v>
      </c>
      <c r="X967" s="12">
        <v>26.30803377608057</v>
      </c>
      <c r="Y967" s="12">
        <v>2449.863636363636</v>
      </c>
      <c r="Z967" s="12">
        <v>5.4531934231182344</v>
      </c>
      <c r="AA967" s="12" t="s">
        <v>1268</v>
      </c>
      <c r="AB967" s="12" t="s">
        <v>271</v>
      </c>
    </row>
    <row r="968" spans="1:28" x14ac:dyDescent="0.3">
      <c r="A968" s="12" t="s">
        <v>2873</v>
      </c>
      <c r="B968" s="12" t="s">
        <v>128</v>
      </c>
      <c r="C968" s="12" t="s">
        <v>128</v>
      </c>
      <c r="D968" s="12" t="s">
        <v>129</v>
      </c>
      <c r="E968" s="12" t="s">
        <v>1886</v>
      </c>
      <c r="F968" s="12" t="s">
        <v>32</v>
      </c>
      <c r="G968" s="12" t="s">
        <v>32</v>
      </c>
      <c r="H968" s="12" t="b">
        <v>1</v>
      </c>
      <c r="I968" s="12" t="b">
        <v>1</v>
      </c>
      <c r="J968" s="12" t="b">
        <v>0</v>
      </c>
      <c r="K968" s="12" t="b">
        <v>0</v>
      </c>
      <c r="L968" s="12">
        <v>403</v>
      </c>
      <c r="M968" s="12">
        <v>300.032917</v>
      </c>
      <c r="N968" s="12">
        <v>3000</v>
      </c>
      <c r="O968" s="12">
        <v>1500</v>
      </c>
      <c r="P968" s="12">
        <v>0.5</v>
      </c>
      <c r="Q968" s="12">
        <v>0.85</v>
      </c>
      <c r="R968" s="12">
        <v>0.75</v>
      </c>
      <c r="S968" s="12">
        <v>0.85</v>
      </c>
      <c r="T968" s="12">
        <v>0.75</v>
      </c>
      <c r="U968" s="12">
        <v>0.8</v>
      </c>
      <c r="V968" s="12"/>
      <c r="W968" s="12">
        <v>3.4960913910065199</v>
      </c>
      <c r="X968" s="12">
        <v>10.66236197414988</v>
      </c>
      <c r="Y968" s="12">
        <v>1500</v>
      </c>
      <c r="Z968" s="12">
        <v>2</v>
      </c>
      <c r="AA968" s="12"/>
      <c r="AB968" s="12" t="s">
        <v>271</v>
      </c>
    </row>
    <row r="969" spans="1:28" x14ac:dyDescent="0.3">
      <c r="A969" s="12" t="s">
        <v>2874</v>
      </c>
      <c r="B969" s="12" t="s">
        <v>128</v>
      </c>
      <c r="C969" s="12" t="s">
        <v>128</v>
      </c>
      <c r="D969" s="12" t="s">
        <v>129</v>
      </c>
      <c r="E969" s="12" t="s">
        <v>2821</v>
      </c>
      <c r="F969" s="12" t="s">
        <v>32</v>
      </c>
      <c r="G969" s="12" t="s">
        <v>32</v>
      </c>
      <c r="H969" s="12" t="b">
        <v>1</v>
      </c>
      <c r="I969" s="12" t="b">
        <v>1</v>
      </c>
      <c r="J969" s="12" t="b">
        <v>0</v>
      </c>
      <c r="K969" s="12" t="b">
        <v>0</v>
      </c>
      <c r="L969" s="12">
        <v>403</v>
      </c>
      <c r="M969" s="12">
        <v>300.032917</v>
      </c>
      <c r="N969" s="12">
        <v>3000</v>
      </c>
      <c r="O969" s="12">
        <v>577.13636363636374</v>
      </c>
      <c r="P969" s="12">
        <v>0.5</v>
      </c>
      <c r="Q969" s="12">
        <v>0.85</v>
      </c>
      <c r="R969" s="12">
        <v>0.75</v>
      </c>
      <c r="S969" s="12">
        <v>0.85</v>
      </c>
      <c r="T969" s="12">
        <v>0.75</v>
      </c>
      <c r="U969" s="12">
        <v>0.8</v>
      </c>
      <c r="V969" s="12"/>
      <c r="W969" s="12">
        <v>8.3648440639525301</v>
      </c>
      <c r="X969" s="12">
        <v>25.582000331950539</v>
      </c>
      <c r="Y969" s="12">
        <v>2422.863636363636</v>
      </c>
      <c r="Z969" s="12">
        <v>5.1980782862093404</v>
      </c>
      <c r="AA969" s="12"/>
      <c r="AB969" s="12" t="s">
        <v>271</v>
      </c>
    </row>
    <row r="970" spans="1:28" x14ac:dyDescent="0.3">
      <c r="A970" s="12" t="s">
        <v>2875</v>
      </c>
      <c r="B970" s="12" t="s">
        <v>128</v>
      </c>
      <c r="C970" s="12" t="s">
        <v>128</v>
      </c>
      <c r="D970" s="12" t="s">
        <v>129</v>
      </c>
      <c r="E970" s="12" t="s">
        <v>1886</v>
      </c>
      <c r="F970" s="12" t="s">
        <v>1862</v>
      </c>
      <c r="G970" s="12" t="s">
        <v>1862</v>
      </c>
      <c r="H970" s="12" t="b">
        <v>1</v>
      </c>
      <c r="I970" s="12" t="b">
        <v>0</v>
      </c>
      <c r="J970" s="12" t="b">
        <v>0</v>
      </c>
      <c r="K970" s="12" t="b">
        <v>0</v>
      </c>
      <c r="L970" s="12">
        <v>403</v>
      </c>
      <c r="M970" s="12">
        <v>300.032917</v>
      </c>
      <c r="N970" s="12">
        <v>3000</v>
      </c>
      <c r="O970" s="12">
        <v>563.63636363636374</v>
      </c>
      <c r="P970" s="12">
        <v>0.4285714285714286</v>
      </c>
      <c r="Q970" s="12">
        <v>0.85</v>
      </c>
      <c r="R970" s="12">
        <v>0.75</v>
      </c>
      <c r="S970" s="12">
        <v>0.85</v>
      </c>
      <c r="T970" s="12">
        <v>0.75</v>
      </c>
      <c r="U970" s="12">
        <v>0.8</v>
      </c>
      <c r="V970" s="12"/>
      <c r="W970" s="12">
        <v>-0.20893550751727999</v>
      </c>
      <c r="X970" s="12">
        <v>-0.28680756418760112</v>
      </c>
      <c r="Y970" s="12">
        <v>2436.363636363636</v>
      </c>
      <c r="Z970" s="12">
        <v>5.3225806451612891</v>
      </c>
      <c r="AA970" s="12" t="s">
        <v>1696</v>
      </c>
      <c r="AB970" s="12" t="s">
        <v>272</v>
      </c>
    </row>
    <row r="971" spans="1:28" x14ac:dyDescent="0.3">
      <c r="A971" s="12" t="s">
        <v>2876</v>
      </c>
      <c r="B971" s="12" t="s">
        <v>128</v>
      </c>
      <c r="C971" s="12" t="s">
        <v>128</v>
      </c>
      <c r="D971" s="12" t="s">
        <v>129</v>
      </c>
      <c r="E971" s="12" t="s">
        <v>1886</v>
      </c>
      <c r="F971" s="12" t="s">
        <v>1863</v>
      </c>
      <c r="G971" s="12" t="s">
        <v>832</v>
      </c>
      <c r="H971" s="12" t="b">
        <v>0</v>
      </c>
      <c r="I971" s="12" t="b">
        <v>0</v>
      </c>
      <c r="J971" s="12" t="b">
        <v>0</v>
      </c>
      <c r="K971" s="12" t="b">
        <v>0</v>
      </c>
      <c r="L971" s="12">
        <v>403</v>
      </c>
      <c r="M971" s="12">
        <v>300.032917</v>
      </c>
      <c r="N971" s="12">
        <v>3000</v>
      </c>
      <c r="O971" s="12">
        <v>563.63636363636374</v>
      </c>
      <c r="P971" s="12">
        <v>0.3428571428571428</v>
      </c>
      <c r="Q971" s="12">
        <v>0.85</v>
      </c>
      <c r="R971" s="12">
        <v>0.75</v>
      </c>
      <c r="S971" s="12">
        <v>0.85</v>
      </c>
      <c r="T971" s="12">
        <v>0.75</v>
      </c>
      <c r="U971" s="12">
        <v>0.8</v>
      </c>
      <c r="V971" s="12"/>
      <c r="W971" s="12">
        <v>-67.549813975966586</v>
      </c>
      <c r="X971" s="12">
        <v>-37.514077837034243</v>
      </c>
      <c r="Y971" s="12">
        <v>2436.363636363636</v>
      </c>
      <c r="Z971" s="12">
        <v>5.3225806451612891</v>
      </c>
      <c r="AA971" s="12" t="s">
        <v>2018</v>
      </c>
      <c r="AB971" s="12" t="s">
        <v>272</v>
      </c>
    </row>
    <row r="972" spans="1:28" x14ac:dyDescent="0.3">
      <c r="A972" s="12" t="s">
        <v>2877</v>
      </c>
      <c r="B972" s="12" t="s">
        <v>128</v>
      </c>
      <c r="C972" s="12" t="s">
        <v>128</v>
      </c>
      <c r="D972" s="12" t="s">
        <v>129</v>
      </c>
      <c r="E972" s="12" t="s">
        <v>1886</v>
      </c>
      <c r="F972" s="12" t="s">
        <v>1863</v>
      </c>
      <c r="G972" s="12" t="s">
        <v>832</v>
      </c>
      <c r="H972" s="12" t="b">
        <v>0</v>
      </c>
      <c r="I972" s="12" t="b">
        <v>0</v>
      </c>
      <c r="J972" s="12" t="b">
        <v>0</v>
      </c>
      <c r="K972" s="12" t="b">
        <v>0</v>
      </c>
      <c r="L972" s="12">
        <v>403</v>
      </c>
      <c r="M972" s="12">
        <v>300.032917</v>
      </c>
      <c r="N972" s="12">
        <v>3000</v>
      </c>
      <c r="O972" s="12">
        <v>563.63636363636374</v>
      </c>
      <c r="P972" s="12">
        <v>0.38571428571428568</v>
      </c>
      <c r="Q972" s="12">
        <v>0.85</v>
      </c>
      <c r="R972" s="12">
        <v>0.75</v>
      </c>
      <c r="S972" s="12">
        <v>0.85</v>
      </c>
      <c r="T972" s="12">
        <v>0.75</v>
      </c>
      <c r="U972" s="12">
        <v>0.8</v>
      </c>
      <c r="V972" s="12"/>
      <c r="W972" s="12">
        <v>-25.407390074155</v>
      </c>
      <c r="X972" s="12">
        <v>-21.298901303970961</v>
      </c>
      <c r="Y972" s="12">
        <v>2436.363636363636</v>
      </c>
      <c r="Z972" s="12">
        <v>5.3225806451612891</v>
      </c>
      <c r="AA972" s="12" t="s">
        <v>2846</v>
      </c>
      <c r="AB972" s="12" t="s">
        <v>272</v>
      </c>
    </row>
    <row r="973" spans="1:28" x14ac:dyDescent="0.3">
      <c r="A973" s="12" t="s">
        <v>2878</v>
      </c>
      <c r="B973" s="12" t="s">
        <v>128</v>
      </c>
      <c r="C973" s="12" t="s">
        <v>128</v>
      </c>
      <c r="D973" s="12" t="s">
        <v>129</v>
      </c>
      <c r="E973" s="12" t="s">
        <v>1886</v>
      </c>
      <c r="F973" s="12" t="s">
        <v>1863</v>
      </c>
      <c r="G973" s="12" t="s">
        <v>832</v>
      </c>
      <c r="H973" s="12" t="b">
        <v>0</v>
      </c>
      <c r="I973" s="12" t="b">
        <v>0</v>
      </c>
      <c r="J973" s="12" t="b">
        <v>0</v>
      </c>
      <c r="K973" s="12" t="b">
        <v>0</v>
      </c>
      <c r="L973" s="12">
        <v>403</v>
      </c>
      <c r="M973" s="12">
        <v>300.032917</v>
      </c>
      <c r="N973" s="12">
        <v>3000</v>
      </c>
      <c r="O973" s="12">
        <v>563.63636363636374</v>
      </c>
      <c r="P973" s="12">
        <v>0.3</v>
      </c>
      <c r="Q973" s="12">
        <v>0.85</v>
      </c>
      <c r="R973" s="12">
        <v>0.75</v>
      </c>
      <c r="S973" s="12">
        <v>0.85</v>
      </c>
      <c r="T973" s="12">
        <v>0.75</v>
      </c>
      <c r="U973" s="12">
        <v>0.8</v>
      </c>
      <c r="V973" s="12"/>
      <c r="W973" s="12">
        <v>-220.51176928602149</v>
      </c>
      <c r="X973" s="12">
        <v>-53.441434160791736</v>
      </c>
      <c r="Y973" s="12">
        <v>2436.363636363636</v>
      </c>
      <c r="Z973" s="12">
        <v>5.3225806451612891</v>
      </c>
      <c r="AA973" s="12" t="s">
        <v>2018</v>
      </c>
      <c r="AB973" s="12" t="s">
        <v>272</v>
      </c>
    </row>
    <row r="974" spans="1:28" x14ac:dyDescent="0.3">
      <c r="A974" s="12" t="s">
        <v>2879</v>
      </c>
      <c r="B974" s="12" t="s">
        <v>128</v>
      </c>
      <c r="C974" s="12" t="s">
        <v>128</v>
      </c>
      <c r="D974" s="12" t="s">
        <v>129</v>
      </c>
      <c r="E974" s="12" t="s">
        <v>1886</v>
      </c>
      <c r="F974" s="12" t="s">
        <v>32</v>
      </c>
      <c r="G974" s="12" t="s">
        <v>32</v>
      </c>
      <c r="H974" s="12" t="b">
        <v>1</v>
      </c>
      <c r="I974" s="12" t="b">
        <v>1</v>
      </c>
      <c r="J974" s="12" t="b">
        <v>0</v>
      </c>
      <c r="K974" s="12" t="b">
        <v>0</v>
      </c>
      <c r="L974" s="12">
        <v>403</v>
      </c>
      <c r="M974" s="12">
        <v>300.032917</v>
      </c>
      <c r="N974" s="12">
        <v>3000</v>
      </c>
      <c r="O974" s="12">
        <v>563.63636363636374</v>
      </c>
      <c r="P974" s="12">
        <v>0.47142857142857142</v>
      </c>
      <c r="Q974" s="12">
        <v>0.85</v>
      </c>
      <c r="R974" s="12">
        <v>0.75</v>
      </c>
      <c r="S974" s="12">
        <v>0.85</v>
      </c>
      <c r="T974" s="12">
        <v>0.75</v>
      </c>
      <c r="U974" s="12">
        <v>0.8</v>
      </c>
      <c r="V974" s="12"/>
      <c r="W974" s="12">
        <v>6.4244050719975894</v>
      </c>
      <c r="X974" s="12">
        <v>15.4415590158656</v>
      </c>
      <c r="Y974" s="12">
        <v>2436.363636363636</v>
      </c>
      <c r="Z974" s="12">
        <v>5.3225806451612891</v>
      </c>
      <c r="AA974" s="12"/>
      <c r="AB974" s="12" t="s">
        <v>272</v>
      </c>
    </row>
    <row r="975" spans="1:28" x14ac:dyDescent="0.3">
      <c r="A975" s="12" t="s">
        <v>2880</v>
      </c>
      <c r="B975" s="12" t="s">
        <v>128</v>
      </c>
      <c r="C975" s="12" t="s">
        <v>128</v>
      </c>
      <c r="D975" s="12" t="s">
        <v>129</v>
      </c>
      <c r="E975" s="12" t="s">
        <v>1886</v>
      </c>
      <c r="F975" s="12" t="s">
        <v>1861</v>
      </c>
      <c r="G975" s="12" t="s">
        <v>1861</v>
      </c>
      <c r="H975" s="12" t="b">
        <v>1</v>
      </c>
      <c r="I975" s="12" t="b">
        <v>0</v>
      </c>
      <c r="J975" s="12" t="b">
        <v>0</v>
      </c>
      <c r="K975" s="12" t="b">
        <v>0</v>
      </c>
      <c r="L975" s="12">
        <v>403</v>
      </c>
      <c r="M975" s="12">
        <v>300.032917</v>
      </c>
      <c r="N975" s="12">
        <v>3000</v>
      </c>
      <c r="O975" s="12">
        <v>563.63636363636374</v>
      </c>
      <c r="P975" s="12">
        <v>0.51428571428571435</v>
      </c>
      <c r="Q975" s="12">
        <v>0.85</v>
      </c>
      <c r="R975" s="12">
        <v>0.75</v>
      </c>
      <c r="S975" s="12">
        <v>0.85</v>
      </c>
      <c r="T975" s="12">
        <v>0.75</v>
      </c>
      <c r="U975" s="12">
        <v>0.8</v>
      </c>
      <c r="V975" s="12"/>
      <c r="W975" s="12">
        <v>9.2158541148162705</v>
      </c>
      <c r="X975" s="12">
        <v>31.115467603801811</v>
      </c>
      <c r="Y975" s="12">
        <v>2436.363636363636</v>
      </c>
      <c r="Z975" s="12">
        <v>5.3225806451612891</v>
      </c>
      <c r="AA975" s="12" t="s">
        <v>1268</v>
      </c>
      <c r="AB975" s="12" t="s">
        <v>272</v>
      </c>
    </row>
    <row r="976" spans="1:28" x14ac:dyDescent="0.3">
      <c r="A976" s="12" t="s">
        <v>2881</v>
      </c>
      <c r="B976" s="12" t="s">
        <v>128</v>
      </c>
      <c r="C976" s="12" t="s">
        <v>128</v>
      </c>
      <c r="D976" s="12" t="s">
        <v>129</v>
      </c>
      <c r="E976" s="12" t="s">
        <v>1886</v>
      </c>
      <c r="F976" s="12" t="s">
        <v>1861</v>
      </c>
      <c r="G976" s="12" t="s">
        <v>1861</v>
      </c>
      <c r="H976" s="12" t="b">
        <v>1</v>
      </c>
      <c r="I976" s="12" t="b">
        <v>0</v>
      </c>
      <c r="J976" s="12" t="b">
        <v>0</v>
      </c>
      <c r="K976" s="12" t="b">
        <v>0</v>
      </c>
      <c r="L976" s="12">
        <v>403</v>
      </c>
      <c r="M976" s="12">
        <v>300.032917</v>
      </c>
      <c r="N976" s="12">
        <v>3000</v>
      </c>
      <c r="O976" s="12">
        <v>563.63636363636374</v>
      </c>
      <c r="P976" s="12">
        <v>0.60000000000000009</v>
      </c>
      <c r="Q976" s="12">
        <v>0.85</v>
      </c>
      <c r="R976" s="12">
        <v>0.75</v>
      </c>
      <c r="S976" s="12">
        <v>0.85</v>
      </c>
      <c r="T976" s="12">
        <v>0.75</v>
      </c>
      <c r="U976" s="12">
        <v>0.8</v>
      </c>
      <c r="V976" s="12"/>
      <c r="W976" s="12">
        <v>11.382367415957111</v>
      </c>
      <c r="X976" s="12">
        <v>58.522129915871112</v>
      </c>
      <c r="Y976" s="12">
        <v>2436.363636363636</v>
      </c>
      <c r="Z976" s="12">
        <v>5.3225806451612891</v>
      </c>
      <c r="AA976" s="12" t="s">
        <v>1268</v>
      </c>
      <c r="AB976" s="12" t="s">
        <v>272</v>
      </c>
    </row>
    <row r="977" spans="1:28" x14ac:dyDescent="0.3">
      <c r="A977" s="12" t="s">
        <v>2882</v>
      </c>
      <c r="B977" s="12" t="s">
        <v>128</v>
      </c>
      <c r="C977" s="12" t="s">
        <v>128</v>
      </c>
      <c r="D977" s="12" t="s">
        <v>129</v>
      </c>
      <c r="E977" s="12" t="s">
        <v>1886</v>
      </c>
      <c r="F977" s="12" t="s">
        <v>1861</v>
      </c>
      <c r="G977" s="12" t="s">
        <v>1861</v>
      </c>
      <c r="H977" s="12" t="b">
        <v>1</v>
      </c>
      <c r="I977" s="12" t="b">
        <v>0</v>
      </c>
      <c r="J977" s="12" t="b">
        <v>0</v>
      </c>
      <c r="K977" s="12" t="b">
        <v>0</v>
      </c>
      <c r="L977" s="12">
        <v>403</v>
      </c>
      <c r="M977" s="12">
        <v>300.032917</v>
      </c>
      <c r="N977" s="12">
        <v>3000</v>
      </c>
      <c r="O977" s="12">
        <v>563.63636363636374</v>
      </c>
      <c r="P977" s="12">
        <v>0.68571428571428572</v>
      </c>
      <c r="Q977" s="12">
        <v>0.85</v>
      </c>
      <c r="R977" s="12">
        <v>0.75</v>
      </c>
      <c r="S977" s="12">
        <v>0.85</v>
      </c>
      <c r="T977" s="12">
        <v>0.75</v>
      </c>
      <c r="U977" s="12">
        <v>0.8</v>
      </c>
      <c r="V977" s="12"/>
      <c r="W977" s="12">
        <v>8.2370094776091811</v>
      </c>
      <c r="X977" s="12">
        <v>42.630417017226222</v>
      </c>
      <c r="Y977" s="12">
        <v>2436.363636363636</v>
      </c>
      <c r="Z977" s="12">
        <v>5.3225806451612891</v>
      </c>
      <c r="AA977" s="12" t="s">
        <v>1268</v>
      </c>
      <c r="AB977" s="12" t="s">
        <v>272</v>
      </c>
    </row>
    <row r="978" spans="1:28" x14ac:dyDescent="0.3">
      <c r="A978" s="12" t="s">
        <v>2883</v>
      </c>
      <c r="B978" s="12" t="s">
        <v>128</v>
      </c>
      <c r="C978" s="12" t="s">
        <v>128</v>
      </c>
      <c r="D978" s="12" t="s">
        <v>129</v>
      </c>
      <c r="E978" s="12" t="s">
        <v>1886</v>
      </c>
      <c r="F978" s="12" t="s">
        <v>1861</v>
      </c>
      <c r="G978" s="12" t="s">
        <v>1861</v>
      </c>
      <c r="H978" s="12" t="b">
        <v>1</v>
      </c>
      <c r="I978" s="12" t="b">
        <v>0</v>
      </c>
      <c r="J978" s="12" t="b">
        <v>0</v>
      </c>
      <c r="K978" s="12" t="b">
        <v>0</v>
      </c>
      <c r="L978" s="12">
        <v>403</v>
      </c>
      <c r="M978" s="12">
        <v>300.032917</v>
      </c>
      <c r="N978" s="12">
        <v>3000</v>
      </c>
      <c r="O978" s="12">
        <v>563.63636363636374</v>
      </c>
      <c r="P978" s="12">
        <v>0.55714285714285716</v>
      </c>
      <c r="Q978" s="12">
        <v>0.85</v>
      </c>
      <c r="R978" s="12">
        <v>0.75</v>
      </c>
      <c r="S978" s="12">
        <v>0.85</v>
      </c>
      <c r="T978" s="12">
        <v>0.75</v>
      </c>
      <c r="U978" s="12">
        <v>0.8</v>
      </c>
      <c r="V978" s="12"/>
      <c r="W978" s="12">
        <v>10.62093803633538</v>
      </c>
      <c r="X978" s="12">
        <v>45.550746387905797</v>
      </c>
      <c r="Y978" s="12">
        <v>2436.363636363636</v>
      </c>
      <c r="Z978" s="12">
        <v>5.3225806451612891</v>
      </c>
      <c r="AA978" s="12" t="s">
        <v>1268</v>
      </c>
      <c r="AB978" s="12" t="s">
        <v>272</v>
      </c>
    </row>
    <row r="979" spans="1:28" x14ac:dyDescent="0.3">
      <c r="A979" s="12" t="s">
        <v>2884</v>
      </c>
      <c r="B979" s="12" t="s">
        <v>128</v>
      </c>
      <c r="C979" s="12" t="s">
        <v>128</v>
      </c>
      <c r="D979" s="12" t="s">
        <v>129</v>
      </c>
      <c r="E979" s="12" t="s">
        <v>1886</v>
      </c>
      <c r="F979" s="12" t="s">
        <v>1861</v>
      </c>
      <c r="G979" s="12" t="s">
        <v>1861</v>
      </c>
      <c r="H979" s="12" t="b">
        <v>1</v>
      </c>
      <c r="I979" s="12" t="b">
        <v>0</v>
      </c>
      <c r="J979" s="12" t="b">
        <v>0</v>
      </c>
      <c r="K979" s="12" t="b">
        <v>0</v>
      </c>
      <c r="L979" s="12">
        <v>403</v>
      </c>
      <c r="M979" s="12">
        <v>300.032917</v>
      </c>
      <c r="N979" s="12">
        <v>3000</v>
      </c>
      <c r="O979" s="12">
        <v>563.63636363636374</v>
      </c>
      <c r="P979" s="12">
        <v>0.6428571428571429</v>
      </c>
      <c r="Q979" s="12">
        <v>0.85</v>
      </c>
      <c r="R979" s="12">
        <v>0.75</v>
      </c>
      <c r="S979" s="12">
        <v>0.85</v>
      </c>
      <c r="T979" s="12">
        <v>0.75</v>
      </c>
      <c r="U979" s="12">
        <v>0.8</v>
      </c>
      <c r="V979" s="12"/>
      <c r="W979" s="12">
        <v>11.039926430673351</v>
      </c>
      <c r="X979" s="12">
        <v>61.645400835309033</v>
      </c>
      <c r="Y979" s="12">
        <v>2436.363636363636</v>
      </c>
      <c r="Z979" s="12">
        <v>5.3225806451612891</v>
      </c>
      <c r="AA979" s="12" t="s">
        <v>1268</v>
      </c>
      <c r="AB979" s="12" t="s">
        <v>272</v>
      </c>
    </row>
    <row r="980" spans="1:28" x14ac:dyDescent="0.3">
      <c r="A980" s="12" t="s">
        <v>2885</v>
      </c>
      <c r="B980" s="12" t="s">
        <v>128</v>
      </c>
      <c r="C980" s="12" t="s">
        <v>128</v>
      </c>
      <c r="D980" s="12" t="s">
        <v>129</v>
      </c>
      <c r="E980" s="12" t="s">
        <v>1886</v>
      </c>
      <c r="F980" s="12" t="s">
        <v>1861</v>
      </c>
      <c r="G980" s="12" t="s">
        <v>1861</v>
      </c>
      <c r="H980" s="12" t="b">
        <v>1</v>
      </c>
      <c r="I980" s="12" t="b">
        <v>0</v>
      </c>
      <c r="J980" s="12" t="b">
        <v>0</v>
      </c>
      <c r="K980" s="12" t="b">
        <v>0</v>
      </c>
      <c r="L980" s="12">
        <v>403</v>
      </c>
      <c r="M980" s="12">
        <v>300.032917</v>
      </c>
      <c r="N980" s="12">
        <v>3000</v>
      </c>
      <c r="O980" s="12">
        <v>563.63636363636374</v>
      </c>
      <c r="P980" s="12">
        <v>0.72857142857142865</v>
      </c>
      <c r="Q980" s="12">
        <v>0.85</v>
      </c>
      <c r="R980" s="12">
        <v>0.75</v>
      </c>
      <c r="S980" s="12">
        <v>0.85</v>
      </c>
      <c r="T980" s="12">
        <v>0.75</v>
      </c>
      <c r="U980" s="12">
        <v>0.8</v>
      </c>
      <c r="V980" s="12"/>
      <c r="W980" s="12">
        <v>5.0115014809308303</v>
      </c>
      <c r="X980" s="12">
        <v>22.517413262762219</v>
      </c>
      <c r="Y980" s="12">
        <v>2436.363636363636</v>
      </c>
      <c r="Z980" s="12">
        <v>5.3225806451612891</v>
      </c>
      <c r="AA980" s="12" t="s">
        <v>1268</v>
      </c>
      <c r="AB980" s="12" t="s">
        <v>272</v>
      </c>
    </row>
    <row r="981" spans="1:28" x14ac:dyDescent="0.3">
      <c r="A981" s="12" t="s">
        <v>2886</v>
      </c>
      <c r="B981" s="12" t="s">
        <v>128</v>
      </c>
      <c r="C981" s="12" t="s">
        <v>128</v>
      </c>
      <c r="D981" s="12" t="s">
        <v>129</v>
      </c>
      <c r="E981" s="12" t="s">
        <v>1886</v>
      </c>
      <c r="F981" s="12" t="s">
        <v>832</v>
      </c>
      <c r="G981" s="12" t="s">
        <v>832</v>
      </c>
      <c r="H981" s="12" t="b">
        <v>0</v>
      </c>
      <c r="I981" s="12" t="b">
        <v>0</v>
      </c>
      <c r="J981" s="12" t="b">
        <v>0</v>
      </c>
      <c r="K981" s="12" t="b">
        <v>0</v>
      </c>
      <c r="L981" s="12">
        <v>403</v>
      </c>
      <c r="M981" s="12">
        <v>300.032917</v>
      </c>
      <c r="N981" s="12">
        <v>3000</v>
      </c>
      <c r="O981" s="12">
        <v>563.63636363636374</v>
      </c>
      <c r="P981" s="12">
        <v>0.85714285714285721</v>
      </c>
      <c r="Q981" s="12">
        <v>0.85</v>
      </c>
      <c r="R981" s="12">
        <v>0.75</v>
      </c>
      <c r="S981" s="12">
        <v>0.85</v>
      </c>
      <c r="T981" s="12">
        <v>0.75</v>
      </c>
      <c r="U981" s="12">
        <v>0.8</v>
      </c>
      <c r="V981" s="12"/>
      <c r="W981" s="12"/>
      <c r="X981" s="12"/>
      <c r="Y981" s="12">
        <v>2436.363636363636</v>
      </c>
      <c r="Z981" s="12">
        <v>5.3225806451612891</v>
      </c>
      <c r="AA981" s="12"/>
      <c r="AB981" s="12" t="s">
        <v>272</v>
      </c>
    </row>
    <row r="982" spans="1:28" x14ac:dyDescent="0.3">
      <c r="A982" s="12" t="s">
        <v>2887</v>
      </c>
      <c r="B982" s="12" t="s">
        <v>128</v>
      </c>
      <c r="C982" s="12" t="s">
        <v>128</v>
      </c>
      <c r="D982" s="12" t="s">
        <v>129</v>
      </c>
      <c r="E982" s="12" t="s">
        <v>1886</v>
      </c>
      <c r="F982" s="12" t="s">
        <v>1861</v>
      </c>
      <c r="G982" s="12" t="s">
        <v>1861</v>
      </c>
      <c r="H982" s="12" t="b">
        <v>1</v>
      </c>
      <c r="I982" s="12" t="b">
        <v>0</v>
      </c>
      <c r="J982" s="12" t="b">
        <v>0</v>
      </c>
      <c r="K982" s="12" t="b">
        <v>0</v>
      </c>
      <c r="L982" s="12">
        <v>403</v>
      </c>
      <c r="M982" s="12">
        <v>300.032917</v>
      </c>
      <c r="N982" s="12">
        <v>3000</v>
      </c>
      <c r="O982" s="12">
        <v>563.63636363636374</v>
      </c>
      <c r="P982" s="12">
        <v>0.77142857142857157</v>
      </c>
      <c r="Q982" s="12">
        <v>0.85</v>
      </c>
      <c r="R982" s="12">
        <v>0.75</v>
      </c>
      <c r="S982" s="12">
        <v>0.85</v>
      </c>
      <c r="T982" s="12">
        <v>0.75</v>
      </c>
      <c r="U982" s="12">
        <v>0.8</v>
      </c>
      <c r="V982" s="12"/>
      <c r="W982" s="12">
        <v>0.60712276201791004</v>
      </c>
      <c r="X982" s="12">
        <v>2.3136534352230171</v>
      </c>
      <c r="Y982" s="12">
        <v>2436.363636363636</v>
      </c>
      <c r="Z982" s="12">
        <v>5.3225806451612891</v>
      </c>
      <c r="AA982" s="12" t="s">
        <v>1268</v>
      </c>
      <c r="AB982" s="12" t="s">
        <v>272</v>
      </c>
    </row>
    <row r="983" spans="1:28" x14ac:dyDescent="0.3">
      <c r="A983" s="12" t="s">
        <v>2888</v>
      </c>
      <c r="B983" s="12" t="s">
        <v>128</v>
      </c>
      <c r="C983" s="12" t="s">
        <v>128</v>
      </c>
      <c r="D983" s="12" t="s">
        <v>129</v>
      </c>
      <c r="E983" s="12" t="s">
        <v>1886</v>
      </c>
      <c r="F983" s="12" t="s">
        <v>1862</v>
      </c>
      <c r="G983" s="12" t="s">
        <v>1862</v>
      </c>
      <c r="H983" s="12" t="b">
        <v>1</v>
      </c>
      <c r="I983" s="12" t="b">
        <v>0</v>
      </c>
      <c r="J983" s="12" t="b">
        <v>0</v>
      </c>
      <c r="K983" s="12" t="b">
        <v>0</v>
      </c>
      <c r="L983" s="12">
        <v>403</v>
      </c>
      <c r="M983" s="12">
        <v>300.032917</v>
      </c>
      <c r="N983" s="12">
        <v>3000</v>
      </c>
      <c r="O983" s="12">
        <v>563.63636363636374</v>
      </c>
      <c r="P983" s="12">
        <v>0.81428571428571428</v>
      </c>
      <c r="Q983" s="12">
        <v>0.85</v>
      </c>
      <c r="R983" s="12">
        <v>0.75</v>
      </c>
      <c r="S983" s="12">
        <v>0.85</v>
      </c>
      <c r="T983" s="12">
        <v>0.75</v>
      </c>
      <c r="U983" s="12">
        <v>0.8</v>
      </c>
      <c r="V983" s="12"/>
      <c r="W983" s="12">
        <v>-5.77645911027341</v>
      </c>
      <c r="X983" s="12">
        <v>-18.05936956942336</v>
      </c>
      <c r="Y983" s="12">
        <v>2436.363636363636</v>
      </c>
      <c r="Z983" s="12">
        <v>5.3225806451612891</v>
      </c>
      <c r="AA983" s="12" t="s">
        <v>2513</v>
      </c>
      <c r="AB983" s="12" t="s">
        <v>272</v>
      </c>
    </row>
    <row r="984" spans="1:28" x14ac:dyDescent="0.3">
      <c r="A984" s="12" t="s">
        <v>2889</v>
      </c>
      <c r="B984" s="12" t="s">
        <v>128</v>
      </c>
      <c r="C984" s="12" t="s">
        <v>128</v>
      </c>
      <c r="D984" s="12" t="s">
        <v>129</v>
      </c>
      <c r="E984" s="12" t="s">
        <v>1886</v>
      </c>
      <c r="F984" s="12" t="s">
        <v>1862</v>
      </c>
      <c r="G984" s="12" t="s">
        <v>1862</v>
      </c>
      <c r="H984" s="12" t="b">
        <v>1</v>
      </c>
      <c r="I984" s="12" t="b">
        <v>0</v>
      </c>
      <c r="J984" s="12" t="b">
        <v>0</v>
      </c>
      <c r="K984" s="12" t="b">
        <v>0</v>
      </c>
      <c r="L984" s="12">
        <v>403</v>
      </c>
      <c r="M984" s="12">
        <v>300.032917</v>
      </c>
      <c r="N984" s="12">
        <v>3000</v>
      </c>
      <c r="O984" s="12">
        <v>563.63636363636374</v>
      </c>
      <c r="P984" s="12">
        <v>0.90000000000000013</v>
      </c>
      <c r="Q984" s="12">
        <v>0.85</v>
      </c>
      <c r="R984" s="12">
        <v>0.75</v>
      </c>
      <c r="S984" s="12">
        <v>0.85</v>
      </c>
      <c r="T984" s="12">
        <v>0.75</v>
      </c>
      <c r="U984" s="12">
        <v>0.8</v>
      </c>
      <c r="V984" s="12"/>
      <c r="W984" s="12">
        <v>-34.830132039440578</v>
      </c>
      <c r="X984" s="12">
        <v>-59.952391843241458</v>
      </c>
      <c r="Y984" s="12">
        <v>2436.363636363636</v>
      </c>
      <c r="Z984" s="12">
        <v>5.3225806451612891</v>
      </c>
      <c r="AA984" s="12" t="s">
        <v>2513</v>
      </c>
      <c r="AB984" s="12" t="s">
        <v>272</v>
      </c>
    </row>
    <row r="985" spans="1:28" x14ac:dyDescent="0.3">
      <c r="A985" s="12" t="s">
        <v>2890</v>
      </c>
      <c r="B985" s="12" t="s">
        <v>128</v>
      </c>
      <c r="C985" s="12" t="s">
        <v>128</v>
      </c>
      <c r="D985" s="12" t="s">
        <v>129</v>
      </c>
      <c r="E985" s="12" t="s">
        <v>2821</v>
      </c>
      <c r="F985" s="12" t="s">
        <v>32</v>
      </c>
      <c r="G985" s="12" t="s">
        <v>32</v>
      </c>
      <c r="H985" s="12" t="b">
        <v>1</v>
      </c>
      <c r="I985" s="12" t="b">
        <v>1</v>
      </c>
      <c r="J985" s="12" t="b">
        <v>0</v>
      </c>
      <c r="K985" s="12" t="b">
        <v>0</v>
      </c>
      <c r="L985" s="12">
        <v>403</v>
      </c>
      <c r="M985" s="12">
        <v>300.032917</v>
      </c>
      <c r="N985" s="12">
        <v>3000</v>
      </c>
      <c r="O985" s="12">
        <v>563.63636363636374</v>
      </c>
      <c r="P985" s="12">
        <v>0.49399999999999999</v>
      </c>
      <c r="Q985" s="12">
        <v>0.85</v>
      </c>
      <c r="R985" s="12">
        <v>0.75</v>
      </c>
      <c r="S985" s="12">
        <v>0.85</v>
      </c>
      <c r="T985" s="12">
        <v>0.75</v>
      </c>
      <c r="U985" s="12">
        <v>0.8</v>
      </c>
      <c r="V985" s="12"/>
      <c r="W985" s="12">
        <v>8.12026905547512</v>
      </c>
      <c r="X985" s="12">
        <v>23.73601578814699</v>
      </c>
      <c r="Y985" s="12">
        <v>2436.363636363636</v>
      </c>
      <c r="Z985" s="12">
        <v>5.3225806451612891</v>
      </c>
      <c r="AA985" s="12"/>
      <c r="AB985" s="12" t="s">
        <v>272</v>
      </c>
    </row>
    <row r="986" spans="1:28" x14ac:dyDescent="0.3">
      <c r="A986" s="12" t="s">
        <v>2891</v>
      </c>
      <c r="B986" s="12" t="s">
        <v>128</v>
      </c>
      <c r="C986" s="12" t="s">
        <v>128</v>
      </c>
      <c r="D986" s="12" t="s">
        <v>129</v>
      </c>
      <c r="E986" s="12" t="s">
        <v>2821</v>
      </c>
      <c r="F986" s="12" t="s">
        <v>1861</v>
      </c>
      <c r="G986" s="12" t="s">
        <v>1861</v>
      </c>
      <c r="H986" s="12" t="b">
        <v>1</v>
      </c>
      <c r="I986" s="12" t="b">
        <v>0</v>
      </c>
      <c r="J986" s="12" t="b">
        <v>0</v>
      </c>
      <c r="K986" s="12" t="b">
        <v>0</v>
      </c>
      <c r="L986" s="12">
        <v>403</v>
      </c>
      <c r="M986" s="12">
        <v>300.032917</v>
      </c>
      <c r="N986" s="12">
        <v>3000</v>
      </c>
      <c r="O986" s="12">
        <v>563.63636363636374</v>
      </c>
      <c r="P986" s="12">
        <v>0.50600000000000001</v>
      </c>
      <c r="Q986" s="12">
        <v>0.85</v>
      </c>
      <c r="R986" s="12">
        <v>0.75</v>
      </c>
      <c r="S986" s="12">
        <v>0.85</v>
      </c>
      <c r="T986" s="12">
        <v>0.75</v>
      </c>
      <c r="U986" s="12">
        <v>0.8</v>
      </c>
      <c r="V986" s="12"/>
      <c r="W986" s="12">
        <v>8.8127539518391202</v>
      </c>
      <c r="X986" s="12">
        <v>28.137470463383728</v>
      </c>
      <c r="Y986" s="12">
        <v>2436.363636363636</v>
      </c>
      <c r="Z986" s="12">
        <v>5.3225806451612891</v>
      </c>
      <c r="AA986" s="12" t="s">
        <v>1268</v>
      </c>
      <c r="AB986" s="12" t="s">
        <v>272</v>
      </c>
    </row>
    <row r="987" spans="1:28" x14ac:dyDescent="0.3">
      <c r="A987" s="12" t="s">
        <v>2892</v>
      </c>
      <c r="B987" s="12" t="s">
        <v>128</v>
      </c>
      <c r="C987" s="12" t="s">
        <v>128</v>
      </c>
      <c r="D987" s="12" t="s">
        <v>129</v>
      </c>
      <c r="E987" s="12" t="s">
        <v>1886</v>
      </c>
      <c r="F987" s="12" t="s">
        <v>1861</v>
      </c>
      <c r="G987" s="12" t="s">
        <v>1861</v>
      </c>
      <c r="H987" s="12" t="b">
        <v>1</v>
      </c>
      <c r="I987" s="12" t="b">
        <v>0</v>
      </c>
      <c r="J987" s="12" t="b">
        <v>0</v>
      </c>
      <c r="K987" s="12" t="b">
        <v>0</v>
      </c>
      <c r="L987" s="12">
        <v>403</v>
      </c>
      <c r="M987" s="12">
        <v>300.032917</v>
      </c>
      <c r="N987" s="12">
        <v>3000</v>
      </c>
      <c r="O987" s="12">
        <v>563.63636363636374</v>
      </c>
      <c r="P987" s="12">
        <v>0.5</v>
      </c>
      <c r="Q987" s="12">
        <v>0.4</v>
      </c>
      <c r="R987" s="12">
        <v>0.75</v>
      </c>
      <c r="S987" s="12">
        <v>0.85</v>
      </c>
      <c r="T987" s="12">
        <v>0.75</v>
      </c>
      <c r="U987" s="12">
        <v>0.8</v>
      </c>
      <c r="V987" s="12"/>
      <c r="W987" s="12">
        <v>3.3094979564172098</v>
      </c>
      <c r="X987" s="12">
        <v>10.08423651758285</v>
      </c>
      <c r="Y987" s="12">
        <v>2436.363636363636</v>
      </c>
      <c r="Z987" s="12">
        <v>5.3225806451612891</v>
      </c>
      <c r="AA987" s="12" t="s">
        <v>1268</v>
      </c>
      <c r="AB987" s="12" t="s">
        <v>1875</v>
      </c>
    </row>
    <row r="988" spans="1:28" x14ac:dyDescent="0.3">
      <c r="A988" s="12" t="s">
        <v>2893</v>
      </c>
      <c r="B988" s="12" t="s">
        <v>128</v>
      </c>
      <c r="C988" s="12" t="s">
        <v>128</v>
      </c>
      <c r="D988" s="12" t="s">
        <v>129</v>
      </c>
      <c r="E988" s="12" t="s">
        <v>1886</v>
      </c>
      <c r="F988" s="12" t="s">
        <v>1861</v>
      </c>
      <c r="G988" s="12" t="s">
        <v>1861</v>
      </c>
      <c r="H988" s="12" t="b">
        <v>1</v>
      </c>
      <c r="I988" s="12" t="b">
        <v>0</v>
      </c>
      <c r="J988" s="12" t="b">
        <v>0</v>
      </c>
      <c r="K988" s="12" t="b">
        <v>0</v>
      </c>
      <c r="L988" s="12">
        <v>403</v>
      </c>
      <c r="M988" s="12">
        <v>300.032917</v>
      </c>
      <c r="N988" s="12">
        <v>3000</v>
      </c>
      <c r="O988" s="12">
        <v>563.63636363636374</v>
      </c>
      <c r="P988" s="12">
        <v>0.5</v>
      </c>
      <c r="Q988" s="12">
        <v>0.43928571428571428</v>
      </c>
      <c r="R988" s="12">
        <v>0.75</v>
      </c>
      <c r="S988" s="12">
        <v>0.85</v>
      </c>
      <c r="T988" s="12">
        <v>0.75</v>
      </c>
      <c r="U988" s="12">
        <v>0.8</v>
      </c>
      <c r="V988" s="12"/>
      <c r="W988" s="12">
        <v>3.7630717940348402</v>
      </c>
      <c r="X988" s="12">
        <v>11.47007072069912</v>
      </c>
      <c r="Y988" s="12">
        <v>2436.363636363636</v>
      </c>
      <c r="Z988" s="12">
        <v>5.3225806451612891</v>
      </c>
      <c r="AA988" s="12" t="s">
        <v>1268</v>
      </c>
      <c r="AB988" s="12" t="s">
        <v>1875</v>
      </c>
    </row>
    <row r="989" spans="1:28" x14ac:dyDescent="0.3">
      <c r="A989" s="12" t="s">
        <v>2894</v>
      </c>
      <c r="B989" s="12" t="s">
        <v>128</v>
      </c>
      <c r="C989" s="12" t="s">
        <v>128</v>
      </c>
      <c r="D989" s="12" t="s">
        <v>129</v>
      </c>
      <c r="E989" s="12" t="s">
        <v>1886</v>
      </c>
      <c r="F989" s="12" t="s">
        <v>1861</v>
      </c>
      <c r="G989" s="12" t="s">
        <v>1861</v>
      </c>
      <c r="H989" s="12" t="b">
        <v>1</v>
      </c>
      <c r="I989" s="12" t="b">
        <v>0</v>
      </c>
      <c r="J989" s="12" t="b">
        <v>0</v>
      </c>
      <c r="K989" s="12" t="b">
        <v>0</v>
      </c>
      <c r="L989" s="12">
        <v>403</v>
      </c>
      <c r="M989" s="12">
        <v>300.032917</v>
      </c>
      <c r="N989" s="12">
        <v>3000</v>
      </c>
      <c r="O989" s="12">
        <v>563.63636363636374</v>
      </c>
      <c r="P989" s="12">
        <v>0.5</v>
      </c>
      <c r="Q989" s="12">
        <v>0.47857142857142859</v>
      </c>
      <c r="R989" s="12">
        <v>0.75</v>
      </c>
      <c r="S989" s="12">
        <v>0.85</v>
      </c>
      <c r="T989" s="12">
        <v>0.75</v>
      </c>
      <c r="U989" s="12">
        <v>0.8</v>
      </c>
      <c r="V989" s="12"/>
      <c r="W989" s="12">
        <v>4.2162545105130196</v>
      </c>
      <c r="X989" s="12">
        <v>12.855618771361639</v>
      </c>
      <c r="Y989" s="12">
        <v>2436.363636363636</v>
      </c>
      <c r="Z989" s="12">
        <v>5.3225806451612891</v>
      </c>
      <c r="AA989" s="12" t="s">
        <v>1268</v>
      </c>
      <c r="AB989" s="12" t="s">
        <v>1875</v>
      </c>
    </row>
    <row r="990" spans="1:28" x14ac:dyDescent="0.3">
      <c r="A990" s="12" t="s">
        <v>2895</v>
      </c>
      <c r="B990" s="12" t="s">
        <v>128</v>
      </c>
      <c r="C990" s="12" t="s">
        <v>128</v>
      </c>
      <c r="D990" s="12" t="s">
        <v>129</v>
      </c>
      <c r="E990" s="12" t="s">
        <v>1886</v>
      </c>
      <c r="F990" s="12" t="s">
        <v>1861</v>
      </c>
      <c r="G990" s="12" t="s">
        <v>1861</v>
      </c>
      <c r="H990" s="12" t="b">
        <v>1</v>
      </c>
      <c r="I990" s="12" t="b">
        <v>0</v>
      </c>
      <c r="J990" s="12" t="b">
        <v>0</v>
      </c>
      <c r="K990" s="12" t="b">
        <v>0</v>
      </c>
      <c r="L990" s="12">
        <v>403</v>
      </c>
      <c r="M990" s="12">
        <v>300.032917</v>
      </c>
      <c r="N990" s="12">
        <v>3000</v>
      </c>
      <c r="O990" s="12">
        <v>563.63636363636374</v>
      </c>
      <c r="P990" s="12">
        <v>0.5</v>
      </c>
      <c r="Q990" s="12">
        <v>0.5178571428571429</v>
      </c>
      <c r="R990" s="12">
        <v>0.75</v>
      </c>
      <c r="S990" s="12">
        <v>0.85</v>
      </c>
      <c r="T990" s="12">
        <v>0.75</v>
      </c>
      <c r="U990" s="12">
        <v>0.8</v>
      </c>
      <c r="V990" s="12"/>
      <c r="W990" s="12">
        <v>4.6690443548779301</v>
      </c>
      <c r="X990" s="12">
        <v>14.240873419855861</v>
      </c>
      <c r="Y990" s="12">
        <v>2436.363636363636</v>
      </c>
      <c r="Z990" s="12">
        <v>5.3225806451612891</v>
      </c>
      <c r="AA990" s="12" t="s">
        <v>1268</v>
      </c>
      <c r="AB990" s="12" t="s">
        <v>1875</v>
      </c>
    </row>
    <row r="991" spans="1:28" x14ac:dyDescent="0.3">
      <c r="A991" s="12" t="s">
        <v>2896</v>
      </c>
      <c r="B991" s="12" t="s">
        <v>128</v>
      </c>
      <c r="C991" s="12" t="s">
        <v>128</v>
      </c>
      <c r="D991" s="12" t="s">
        <v>129</v>
      </c>
      <c r="E991" s="12" t="s">
        <v>1886</v>
      </c>
      <c r="F991" s="12" t="s">
        <v>1861</v>
      </c>
      <c r="G991" s="12" t="s">
        <v>1861</v>
      </c>
      <c r="H991" s="12" t="b">
        <v>1</v>
      </c>
      <c r="I991" s="12" t="b">
        <v>0</v>
      </c>
      <c r="J991" s="12" t="b">
        <v>0</v>
      </c>
      <c r="K991" s="12" t="b">
        <v>0</v>
      </c>
      <c r="L991" s="12">
        <v>403</v>
      </c>
      <c r="M991" s="12">
        <v>300.032917</v>
      </c>
      <c r="N991" s="12">
        <v>3000</v>
      </c>
      <c r="O991" s="12">
        <v>563.63636363636374</v>
      </c>
      <c r="P991" s="12">
        <v>0.5</v>
      </c>
      <c r="Q991" s="12">
        <v>0.59642857142857142</v>
      </c>
      <c r="R991" s="12">
        <v>0.75</v>
      </c>
      <c r="S991" s="12">
        <v>0.85</v>
      </c>
      <c r="T991" s="12">
        <v>0.75</v>
      </c>
      <c r="U991" s="12">
        <v>0.8</v>
      </c>
      <c r="V991" s="12"/>
      <c r="W991" s="12">
        <v>5.5734605518946898</v>
      </c>
      <c r="X991" s="12">
        <v>17.010530583961071</v>
      </c>
      <c r="Y991" s="12">
        <v>2436.363636363636</v>
      </c>
      <c r="Z991" s="12">
        <v>5.3225806451612891</v>
      </c>
      <c r="AA991" s="12" t="s">
        <v>1268</v>
      </c>
      <c r="AB991" s="12" t="s">
        <v>1875</v>
      </c>
    </row>
    <row r="992" spans="1:28" x14ac:dyDescent="0.3">
      <c r="A992" s="12" t="s">
        <v>2897</v>
      </c>
      <c r="B992" s="12" t="s">
        <v>128</v>
      </c>
      <c r="C992" s="12" t="s">
        <v>128</v>
      </c>
      <c r="D992" s="12" t="s">
        <v>129</v>
      </c>
      <c r="E992" s="12" t="s">
        <v>1886</v>
      </c>
      <c r="F992" s="12" t="s">
        <v>1861</v>
      </c>
      <c r="G992" s="12" t="s">
        <v>1861</v>
      </c>
      <c r="H992" s="12" t="b">
        <v>1</v>
      </c>
      <c r="I992" s="12" t="b">
        <v>0</v>
      </c>
      <c r="J992" s="12" t="b">
        <v>0</v>
      </c>
      <c r="K992" s="12" t="b">
        <v>0</v>
      </c>
      <c r="L992" s="12">
        <v>403</v>
      </c>
      <c r="M992" s="12">
        <v>300.032917</v>
      </c>
      <c r="N992" s="12">
        <v>3000</v>
      </c>
      <c r="O992" s="12">
        <v>563.63636363636374</v>
      </c>
      <c r="P992" s="12">
        <v>0.5</v>
      </c>
      <c r="Q992" s="12">
        <v>0.55714285714285716</v>
      </c>
      <c r="R992" s="12">
        <v>0.75</v>
      </c>
      <c r="S992" s="12">
        <v>0.85</v>
      </c>
      <c r="T992" s="12">
        <v>0.75</v>
      </c>
      <c r="U992" s="12">
        <v>0.8</v>
      </c>
      <c r="V992" s="12"/>
      <c r="W992" s="12">
        <v>5.1214441415316898</v>
      </c>
      <c r="X992" s="12">
        <v>15.625841739584709</v>
      </c>
      <c r="Y992" s="12">
        <v>2436.363636363636</v>
      </c>
      <c r="Z992" s="12">
        <v>5.3225806451612891</v>
      </c>
      <c r="AA992" s="12" t="s">
        <v>1268</v>
      </c>
      <c r="AB992" s="12" t="s">
        <v>1875</v>
      </c>
    </row>
    <row r="993" spans="1:28" x14ac:dyDescent="0.3">
      <c r="A993" s="12" t="s">
        <v>2898</v>
      </c>
      <c r="B993" s="12" t="s">
        <v>128</v>
      </c>
      <c r="C993" s="12" t="s">
        <v>128</v>
      </c>
      <c r="D993" s="12" t="s">
        <v>129</v>
      </c>
      <c r="E993" s="12" t="s">
        <v>1886</v>
      </c>
      <c r="F993" s="12" t="s">
        <v>1861</v>
      </c>
      <c r="G993" s="12" t="s">
        <v>1861</v>
      </c>
      <c r="H993" s="12" t="b">
        <v>1</v>
      </c>
      <c r="I993" s="12" t="b">
        <v>0</v>
      </c>
      <c r="J993" s="12" t="b">
        <v>0</v>
      </c>
      <c r="K993" s="12" t="b">
        <v>0</v>
      </c>
      <c r="L993" s="12">
        <v>403</v>
      </c>
      <c r="M993" s="12">
        <v>300.032917</v>
      </c>
      <c r="N993" s="12">
        <v>3000</v>
      </c>
      <c r="O993" s="12">
        <v>563.63636363636374</v>
      </c>
      <c r="P993" s="12">
        <v>0.5</v>
      </c>
      <c r="Q993" s="12">
        <v>0.63571428571428568</v>
      </c>
      <c r="R993" s="12">
        <v>0.75</v>
      </c>
      <c r="S993" s="12">
        <v>0.85</v>
      </c>
      <c r="T993" s="12">
        <v>0.75</v>
      </c>
      <c r="U993" s="12">
        <v>0.8</v>
      </c>
      <c r="V993" s="12"/>
      <c r="W993" s="12">
        <v>6.0250819642600204</v>
      </c>
      <c r="X993" s="12">
        <v>18.394924983553839</v>
      </c>
      <c r="Y993" s="12">
        <v>2436.363636363636</v>
      </c>
      <c r="Z993" s="12">
        <v>5.3225806451612891</v>
      </c>
      <c r="AA993" s="12" t="s">
        <v>1268</v>
      </c>
      <c r="AB993" s="12" t="s">
        <v>1875</v>
      </c>
    </row>
    <row r="994" spans="1:28" x14ac:dyDescent="0.3">
      <c r="A994" s="12" t="s">
        <v>2899</v>
      </c>
      <c r="B994" s="12" t="s">
        <v>128</v>
      </c>
      <c r="C994" s="12" t="s">
        <v>128</v>
      </c>
      <c r="D994" s="12" t="s">
        <v>129</v>
      </c>
      <c r="E994" s="12" t="s">
        <v>1886</v>
      </c>
      <c r="F994" s="12" t="s">
        <v>32</v>
      </c>
      <c r="G994" s="12" t="s">
        <v>32</v>
      </c>
      <c r="H994" s="12" t="b">
        <v>1</v>
      </c>
      <c r="I994" s="12" t="b">
        <v>1</v>
      </c>
      <c r="J994" s="12" t="b">
        <v>0</v>
      </c>
      <c r="K994" s="12" t="b">
        <v>0</v>
      </c>
      <c r="L994" s="12">
        <v>403</v>
      </c>
      <c r="M994" s="12">
        <v>300.032917</v>
      </c>
      <c r="N994" s="12">
        <v>3000</v>
      </c>
      <c r="O994" s="12">
        <v>563.63636363636374</v>
      </c>
      <c r="P994" s="12">
        <v>0.5</v>
      </c>
      <c r="Q994" s="12">
        <v>0.67500000000000004</v>
      </c>
      <c r="R994" s="12">
        <v>0.75</v>
      </c>
      <c r="S994" s="12">
        <v>0.85</v>
      </c>
      <c r="T994" s="12">
        <v>0.75</v>
      </c>
      <c r="U994" s="12">
        <v>0.8</v>
      </c>
      <c r="V994" s="12"/>
      <c r="W994" s="12">
        <v>6.4763154422325302</v>
      </c>
      <c r="X994" s="12">
        <v>19.779034121524109</v>
      </c>
      <c r="Y994" s="12">
        <v>2436.363636363636</v>
      </c>
      <c r="Z994" s="12">
        <v>5.3225806451612891</v>
      </c>
      <c r="AA994" s="12"/>
      <c r="AB994" s="12" t="s">
        <v>1875</v>
      </c>
    </row>
    <row r="995" spans="1:28" x14ac:dyDescent="0.3">
      <c r="A995" s="12" t="s">
        <v>2900</v>
      </c>
      <c r="B995" s="12" t="s">
        <v>128</v>
      </c>
      <c r="C995" s="12" t="s">
        <v>128</v>
      </c>
      <c r="D995" s="12" t="s">
        <v>129</v>
      </c>
      <c r="E995" s="12" t="s">
        <v>1886</v>
      </c>
      <c r="F995" s="12" t="s">
        <v>32</v>
      </c>
      <c r="G995" s="12" t="s">
        <v>32</v>
      </c>
      <c r="H995" s="12" t="b">
        <v>1</v>
      </c>
      <c r="I995" s="12" t="b">
        <v>1</v>
      </c>
      <c r="J995" s="12" t="b">
        <v>0</v>
      </c>
      <c r="K995" s="12" t="b">
        <v>0</v>
      </c>
      <c r="L995" s="12">
        <v>403</v>
      </c>
      <c r="M995" s="12">
        <v>300.032917</v>
      </c>
      <c r="N995" s="12">
        <v>3000</v>
      </c>
      <c r="O995" s="12">
        <v>563.63636363636374</v>
      </c>
      <c r="P995" s="12">
        <v>0.5</v>
      </c>
      <c r="Q995" s="12">
        <v>0.71428571428571419</v>
      </c>
      <c r="R995" s="12">
        <v>0.75</v>
      </c>
      <c r="S995" s="12">
        <v>0.85</v>
      </c>
      <c r="T995" s="12">
        <v>0.75</v>
      </c>
      <c r="U995" s="12">
        <v>0.8</v>
      </c>
      <c r="V995" s="12"/>
      <c r="W995" s="12">
        <v>6.9271745654811507</v>
      </c>
      <c r="X995" s="12">
        <v>21.16289865884195</v>
      </c>
      <c r="Y995" s="12">
        <v>2436.363636363636</v>
      </c>
      <c r="Z995" s="12">
        <v>5.3225806451612891</v>
      </c>
      <c r="AA995" s="12"/>
      <c r="AB995" s="12" t="s">
        <v>1875</v>
      </c>
    </row>
    <row r="996" spans="1:28" x14ac:dyDescent="0.3">
      <c r="A996" s="12" t="s">
        <v>2901</v>
      </c>
      <c r="B996" s="12" t="s">
        <v>128</v>
      </c>
      <c r="C996" s="12" t="s">
        <v>128</v>
      </c>
      <c r="D996" s="12" t="s">
        <v>129</v>
      </c>
      <c r="E996" s="12" t="s">
        <v>1886</v>
      </c>
      <c r="F996" s="12" t="s">
        <v>32</v>
      </c>
      <c r="G996" s="12" t="s">
        <v>32</v>
      </c>
      <c r="H996" s="12" t="b">
        <v>1</v>
      </c>
      <c r="I996" s="12" t="b">
        <v>1</v>
      </c>
      <c r="J996" s="12" t="b">
        <v>0</v>
      </c>
      <c r="K996" s="12" t="b">
        <v>0</v>
      </c>
      <c r="L996" s="12">
        <v>403</v>
      </c>
      <c r="M996" s="12">
        <v>300.032917</v>
      </c>
      <c r="N996" s="12">
        <v>3000</v>
      </c>
      <c r="O996" s="12">
        <v>563.63636363636374</v>
      </c>
      <c r="P996" s="12">
        <v>0.5</v>
      </c>
      <c r="Q996" s="12">
        <v>0.79285714285714282</v>
      </c>
      <c r="R996" s="12">
        <v>0.75</v>
      </c>
      <c r="S996" s="12">
        <v>0.85</v>
      </c>
      <c r="T996" s="12">
        <v>0.75</v>
      </c>
      <c r="U996" s="12">
        <v>0.8</v>
      </c>
      <c r="V996" s="12"/>
      <c r="W996" s="12">
        <v>7.8278018821846098</v>
      </c>
      <c r="X996" s="12">
        <v>23.92998881054222</v>
      </c>
      <c r="Y996" s="12">
        <v>2436.363636363636</v>
      </c>
      <c r="Z996" s="12">
        <v>5.3225806451612891</v>
      </c>
      <c r="AA996" s="12"/>
      <c r="AB996" s="12" t="s">
        <v>1875</v>
      </c>
    </row>
    <row r="997" spans="1:28" x14ac:dyDescent="0.3">
      <c r="A997" s="12" t="s">
        <v>2902</v>
      </c>
      <c r="B997" s="12" t="s">
        <v>128</v>
      </c>
      <c r="C997" s="12" t="s">
        <v>128</v>
      </c>
      <c r="D997" s="12" t="s">
        <v>129</v>
      </c>
      <c r="E997" s="12" t="s">
        <v>1886</v>
      </c>
      <c r="F997" s="12" t="s">
        <v>32</v>
      </c>
      <c r="G997" s="12" t="s">
        <v>32</v>
      </c>
      <c r="H997" s="12" t="b">
        <v>1</v>
      </c>
      <c r="I997" s="12" t="b">
        <v>1</v>
      </c>
      <c r="J997" s="12" t="b">
        <v>0</v>
      </c>
      <c r="K997" s="12" t="b">
        <v>0</v>
      </c>
      <c r="L997" s="12">
        <v>403</v>
      </c>
      <c r="M997" s="12">
        <v>300.032917</v>
      </c>
      <c r="N997" s="12">
        <v>3000</v>
      </c>
      <c r="O997" s="12">
        <v>563.63636363636374</v>
      </c>
      <c r="P997" s="12">
        <v>0.5</v>
      </c>
      <c r="Q997" s="12">
        <v>0.75357142857142856</v>
      </c>
      <c r="R997" s="12">
        <v>0.75</v>
      </c>
      <c r="S997" s="12">
        <v>0.85</v>
      </c>
      <c r="T997" s="12">
        <v>0.75</v>
      </c>
      <c r="U997" s="12">
        <v>0.8</v>
      </c>
      <c r="V997" s="12"/>
      <c r="W997" s="12">
        <v>7.3776698308264406</v>
      </c>
      <c r="X997" s="12">
        <v>22.546550007702461</v>
      </c>
      <c r="Y997" s="12">
        <v>2436.363636363636</v>
      </c>
      <c r="Z997" s="12">
        <v>5.3225806451612891</v>
      </c>
      <c r="AA997" s="12"/>
      <c r="AB997" s="12" t="s">
        <v>1875</v>
      </c>
    </row>
    <row r="998" spans="1:28" x14ac:dyDescent="0.3">
      <c r="A998" s="12" t="s">
        <v>2903</v>
      </c>
      <c r="B998" s="12" t="s">
        <v>128</v>
      </c>
      <c r="C998" s="12" t="s">
        <v>128</v>
      </c>
      <c r="D998" s="12" t="s">
        <v>129</v>
      </c>
      <c r="E998" s="12" t="s">
        <v>1886</v>
      </c>
      <c r="F998" s="12" t="s">
        <v>32</v>
      </c>
      <c r="G998" s="12" t="s">
        <v>32</v>
      </c>
      <c r="H998" s="12" t="b">
        <v>1</v>
      </c>
      <c r="I998" s="12" t="b">
        <v>1</v>
      </c>
      <c r="J998" s="12" t="b">
        <v>0</v>
      </c>
      <c r="K998" s="12" t="b">
        <v>0</v>
      </c>
      <c r="L998" s="12">
        <v>403</v>
      </c>
      <c r="M998" s="12">
        <v>300.032917</v>
      </c>
      <c r="N998" s="12">
        <v>3000</v>
      </c>
      <c r="O998" s="12">
        <v>563.63636363636374</v>
      </c>
      <c r="P998" s="12">
        <v>0.5</v>
      </c>
      <c r="Q998" s="12">
        <v>0.83214285714285707</v>
      </c>
      <c r="R998" s="12">
        <v>0.75</v>
      </c>
      <c r="S998" s="12">
        <v>0.85</v>
      </c>
      <c r="T998" s="12">
        <v>0.75</v>
      </c>
      <c r="U998" s="12">
        <v>0.8</v>
      </c>
      <c r="V998" s="12"/>
      <c r="W998" s="12">
        <v>8.2775709210193504</v>
      </c>
      <c r="X998" s="12">
        <v>25.31321432495384</v>
      </c>
      <c r="Y998" s="12">
        <v>2436.363636363636</v>
      </c>
      <c r="Z998" s="12">
        <v>5.3225806451612891</v>
      </c>
      <c r="AA998" s="12"/>
      <c r="AB998" s="12" t="s">
        <v>1875</v>
      </c>
    </row>
    <row r="999" spans="1:28" x14ac:dyDescent="0.3">
      <c r="A999" s="12" t="s">
        <v>2904</v>
      </c>
      <c r="B999" s="12" t="s">
        <v>128</v>
      </c>
      <c r="C999" s="12" t="s">
        <v>128</v>
      </c>
      <c r="D999" s="12" t="s">
        <v>129</v>
      </c>
      <c r="E999" s="12" t="s">
        <v>1886</v>
      </c>
      <c r="F999" s="12" t="s">
        <v>32</v>
      </c>
      <c r="G999" s="12" t="s">
        <v>32</v>
      </c>
      <c r="H999" s="12" t="b">
        <v>1</v>
      </c>
      <c r="I999" s="12" t="b">
        <v>1</v>
      </c>
      <c r="J999" s="12" t="b">
        <v>0</v>
      </c>
      <c r="K999" s="12" t="b">
        <v>0</v>
      </c>
      <c r="L999" s="12">
        <v>403</v>
      </c>
      <c r="M999" s="12">
        <v>300.032917</v>
      </c>
      <c r="N999" s="12">
        <v>3000</v>
      </c>
      <c r="O999" s="12">
        <v>563.63636363636374</v>
      </c>
      <c r="P999" s="12">
        <v>0.5</v>
      </c>
      <c r="Q999" s="12">
        <v>0.87142857142857144</v>
      </c>
      <c r="R999" s="12">
        <v>0.75</v>
      </c>
      <c r="S999" s="12">
        <v>0.85</v>
      </c>
      <c r="T999" s="12">
        <v>0.75</v>
      </c>
      <c r="U999" s="12">
        <v>0.8</v>
      </c>
      <c r="V999" s="12"/>
      <c r="W999" s="12">
        <v>8.7269769646471715</v>
      </c>
      <c r="X999" s="12">
        <v>26.696225215636812</v>
      </c>
      <c r="Y999" s="12">
        <v>2436.363636363636</v>
      </c>
      <c r="Z999" s="12">
        <v>5.3225806451612891</v>
      </c>
      <c r="AA999" s="12"/>
      <c r="AB999" s="12" t="s">
        <v>1875</v>
      </c>
    </row>
    <row r="1000" spans="1:28" x14ac:dyDescent="0.3">
      <c r="A1000" s="12" t="s">
        <v>2905</v>
      </c>
      <c r="B1000" s="12" t="s">
        <v>128</v>
      </c>
      <c r="C1000" s="12" t="s">
        <v>128</v>
      </c>
      <c r="D1000" s="12" t="s">
        <v>129</v>
      </c>
      <c r="E1000" s="12" t="s">
        <v>1886</v>
      </c>
      <c r="F1000" s="12" t="s">
        <v>32</v>
      </c>
      <c r="G1000" s="12" t="s">
        <v>32</v>
      </c>
      <c r="H1000" s="12" t="b">
        <v>1</v>
      </c>
      <c r="I1000" s="12" t="b">
        <v>1</v>
      </c>
      <c r="J1000" s="12" t="b">
        <v>0</v>
      </c>
      <c r="K1000" s="12" t="b">
        <v>0</v>
      </c>
      <c r="L1000" s="12">
        <v>403</v>
      </c>
      <c r="M1000" s="12">
        <v>300.032917</v>
      </c>
      <c r="N1000" s="12">
        <v>3000</v>
      </c>
      <c r="O1000" s="12">
        <v>563.63636363636374</v>
      </c>
      <c r="P1000" s="12">
        <v>0.5</v>
      </c>
      <c r="Q1000" s="12">
        <v>0.91071428571428559</v>
      </c>
      <c r="R1000" s="12">
        <v>0.75</v>
      </c>
      <c r="S1000" s="12">
        <v>0.85</v>
      </c>
      <c r="T1000" s="12">
        <v>0.75</v>
      </c>
      <c r="U1000" s="12">
        <v>0.8</v>
      </c>
      <c r="V1000" s="12"/>
      <c r="W1000" s="12">
        <v>9.1760213044026795</v>
      </c>
      <c r="X1000" s="12">
        <v>28.079024180318001</v>
      </c>
      <c r="Y1000" s="12">
        <v>2436.363636363636</v>
      </c>
      <c r="Z1000" s="12">
        <v>5.3225806451612891</v>
      </c>
      <c r="AA1000" s="12"/>
      <c r="AB1000" s="12" t="s">
        <v>1875</v>
      </c>
    </row>
    <row r="1001" spans="1:28" x14ac:dyDescent="0.3">
      <c r="A1001" s="12" t="s">
        <v>2906</v>
      </c>
      <c r="B1001" s="12" t="s">
        <v>128</v>
      </c>
      <c r="C1001" s="12" t="s">
        <v>128</v>
      </c>
      <c r="D1001" s="12" t="s">
        <v>129</v>
      </c>
      <c r="E1001" s="12" t="s">
        <v>2821</v>
      </c>
      <c r="F1001" s="12" t="s">
        <v>32</v>
      </c>
      <c r="G1001" s="12" t="s">
        <v>32</v>
      </c>
      <c r="H1001" s="12" t="b">
        <v>1</v>
      </c>
      <c r="I1001" s="12" t="b">
        <v>1</v>
      </c>
      <c r="J1001" s="12" t="b">
        <v>0</v>
      </c>
      <c r="K1001" s="12" t="b">
        <v>0</v>
      </c>
      <c r="L1001" s="12">
        <v>403</v>
      </c>
      <c r="M1001" s="12">
        <v>300.032917</v>
      </c>
      <c r="N1001" s="12">
        <v>3000</v>
      </c>
      <c r="O1001" s="12">
        <v>563.63636363636374</v>
      </c>
      <c r="P1001" s="12">
        <v>0.5</v>
      </c>
      <c r="Q1001" s="12">
        <v>0.84450000000000003</v>
      </c>
      <c r="R1001" s="12">
        <v>0.75</v>
      </c>
      <c r="S1001" s="12">
        <v>0.85</v>
      </c>
      <c r="T1001" s="12">
        <v>0.75</v>
      </c>
      <c r="U1001" s="12">
        <v>0.8</v>
      </c>
      <c r="V1001" s="12"/>
      <c r="W1001" s="12">
        <v>8.418968371579739</v>
      </c>
      <c r="X1001" s="12">
        <v>25.748256338573992</v>
      </c>
      <c r="Y1001" s="12">
        <v>2436.363636363636</v>
      </c>
      <c r="Z1001" s="12">
        <v>5.3225806451612891</v>
      </c>
      <c r="AA1001" s="12"/>
      <c r="AB1001" s="12" t="s">
        <v>1875</v>
      </c>
    </row>
    <row r="1002" spans="1:28" x14ac:dyDescent="0.3">
      <c r="A1002" s="12" t="s">
        <v>2907</v>
      </c>
      <c r="B1002" s="12" t="s">
        <v>128</v>
      </c>
      <c r="C1002" s="12" t="s">
        <v>128</v>
      </c>
      <c r="D1002" s="12" t="s">
        <v>129</v>
      </c>
      <c r="E1002" s="12" t="s">
        <v>1886</v>
      </c>
      <c r="F1002" s="12" t="s">
        <v>32</v>
      </c>
      <c r="G1002" s="12" t="s">
        <v>32</v>
      </c>
      <c r="H1002" s="12" t="b">
        <v>1</v>
      </c>
      <c r="I1002" s="12" t="b">
        <v>1</v>
      </c>
      <c r="J1002" s="12" t="b">
        <v>0</v>
      </c>
      <c r="K1002" s="12" t="b">
        <v>0</v>
      </c>
      <c r="L1002" s="12">
        <v>403</v>
      </c>
      <c r="M1002" s="12">
        <v>300.032917</v>
      </c>
      <c r="N1002" s="12">
        <v>3000</v>
      </c>
      <c r="O1002" s="12">
        <v>563.63636363636374</v>
      </c>
      <c r="P1002" s="12">
        <v>0.5</v>
      </c>
      <c r="Q1002" s="12">
        <v>0.95</v>
      </c>
      <c r="R1002" s="12">
        <v>0.75</v>
      </c>
      <c r="S1002" s="12">
        <v>0.85</v>
      </c>
      <c r="T1002" s="12">
        <v>0.75</v>
      </c>
      <c r="U1002" s="12">
        <v>0.8</v>
      </c>
      <c r="V1002" s="12"/>
      <c r="W1002" s="12">
        <v>9.6247040513853204</v>
      </c>
      <c r="X1002" s="12">
        <v>29.461610191708282</v>
      </c>
      <c r="Y1002" s="12">
        <v>2436.363636363636</v>
      </c>
      <c r="Z1002" s="12">
        <v>5.3225806451612891</v>
      </c>
      <c r="AA1002" s="12"/>
      <c r="AB1002" s="12" t="s">
        <v>1875</v>
      </c>
    </row>
    <row r="1003" spans="1:28" x14ac:dyDescent="0.3">
      <c r="A1003" s="12" t="s">
        <v>2908</v>
      </c>
      <c r="B1003" s="12" t="s">
        <v>128</v>
      </c>
      <c r="C1003" s="12" t="s">
        <v>128</v>
      </c>
      <c r="D1003" s="12" t="s">
        <v>129</v>
      </c>
      <c r="E1003" s="12" t="s">
        <v>2821</v>
      </c>
      <c r="F1003" s="12" t="s">
        <v>32</v>
      </c>
      <c r="G1003" s="12" t="s">
        <v>32</v>
      </c>
      <c r="H1003" s="12" t="b">
        <v>1</v>
      </c>
      <c r="I1003" s="12" t="b">
        <v>1</v>
      </c>
      <c r="J1003" s="12" t="b">
        <v>0</v>
      </c>
      <c r="K1003" s="12" t="b">
        <v>0</v>
      </c>
      <c r="L1003" s="12">
        <v>403</v>
      </c>
      <c r="M1003" s="12">
        <v>300.032917</v>
      </c>
      <c r="N1003" s="12">
        <v>3000</v>
      </c>
      <c r="O1003" s="12">
        <v>563.63636363636374</v>
      </c>
      <c r="P1003" s="12">
        <v>0.5</v>
      </c>
      <c r="Q1003" s="12">
        <v>0.85549999999999993</v>
      </c>
      <c r="R1003" s="12">
        <v>0.75</v>
      </c>
      <c r="S1003" s="12">
        <v>0.85</v>
      </c>
      <c r="T1003" s="12">
        <v>0.75</v>
      </c>
      <c r="U1003" s="12">
        <v>0.8</v>
      </c>
      <c r="V1003" s="12"/>
      <c r="W1003" s="12">
        <v>8.5448067657539308</v>
      </c>
      <c r="X1003" s="12">
        <v>26.13550240097425</v>
      </c>
      <c r="Y1003" s="12">
        <v>2436.363636363636</v>
      </c>
      <c r="Z1003" s="12">
        <v>5.3225806451612891</v>
      </c>
      <c r="AA1003" s="12"/>
      <c r="AB1003" s="12" t="s">
        <v>1875</v>
      </c>
    </row>
    <row r="1004" spans="1:28" x14ac:dyDescent="0.3">
      <c r="A1004" s="12" t="s">
        <v>2909</v>
      </c>
      <c r="B1004" s="12" t="s">
        <v>128</v>
      </c>
      <c r="C1004" s="12" t="s">
        <v>128</v>
      </c>
      <c r="D1004" s="12" t="s">
        <v>129</v>
      </c>
      <c r="E1004" s="12" t="s">
        <v>1886</v>
      </c>
      <c r="F1004" s="12" t="s">
        <v>32</v>
      </c>
      <c r="G1004" s="12" t="s">
        <v>32</v>
      </c>
      <c r="H1004" s="12" t="b">
        <v>1</v>
      </c>
      <c r="I1004" s="12" t="b">
        <v>1</v>
      </c>
      <c r="J1004" s="12" t="b">
        <v>0</v>
      </c>
      <c r="K1004" s="12" t="b">
        <v>0</v>
      </c>
      <c r="L1004" s="12">
        <v>403</v>
      </c>
      <c r="M1004" s="12">
        <v>300.032917</v>
      </c>
      <c r="N1004" s="12">
        <v>3000</v>
      </c>
      <c r="O1004" s="12">
        <v>563.63636363636374</v>
      </c>
      <c r="P1004" s="12">
        <v>0.5</v>
      </c>
      <c r="Q1004" s="12">
        <v>0.85</v>
      </c>
      <c r="R1004" s="12">
        <v>0.4</v>
      </c>
      <c r="S1004" s="12">
        <v>0.85</v>
      </c>
      <c r="T1004" s="12">
        <v>0.75</v>
      </c>
      <c r="U1004" s="12">
        <v>0.8</v>
      </c>
      <c r="V1004" s="12"/>
      <c r="W1004" s="12">
        <v>7.3703373945199502</v>
      </c>
      <c r="X1004" s="12">
        <v>22.448798661548871</v>
      </c>
      <c r="Y1004" s="12">
        <v>2436.363636363636</v>
      </c>
      <c r="Z1004" s="12">
        <v>5.3225806451612891</v>
      </c>
      <c r="AA1004" s="12"/>
      <c r="AB1004" s="12" t="s">
        <v>1876</v>
      </c>
    </row>
    <row r="1005" spans="1:28" x14ac:dyDescent="0.3">
      <c r="A1005" s="12" t="s">
        <v>2910</v>
      </c>
      <c r="B1005" s="12" t="s">
        <v>128</v>
      </c>
      <c r="C1005" s="12" t="s">
        <v>128</v>
      </c>
      <c r="D1005" s="12" t="s">
        <v>129</v>
      </c>
      <c r="E1005" s="12" t="s">
        <v>1886</v>
      </c>
      <c r="F1005" s="12" t="s">
        <v>32</v>
      </c>
      <c r="G1005" s="12" t="s">
        <v>32</v>
      </c>
      <c r="H1005" s="12" t="b">
        <v>1</v>
      </c>
      <c r="I1005" s="12" t="b">
        <v>1</v>
      </c>
      <c r="J1005" s="12" t="b">
        <v>0</v>
      </c>
      <c r="K1005" s="12" t="b">
        <v>0</v>
      </c>
      <c r="L1005" s="12">
        <v>403</v>
      </c>
      <c r="M1005" s="12">
        <v>300.032917</v>
      </c>
      <c r="N1005" s="12">
        <v>3000</v>
      </c>
      <c r="O1005" s="12">
        <v>563.63636363636374</v>
      </c>
      <c r="P1005" s="12">
        <v>0.5</v>
      </c>
      <c r="Q1005" s="12">
        <v>0.85</v>
      </c>
      <c r="R1005" s="12">
        <v>0.43928571428571428</v>
      </c>
      <c r="S1005" s="12">
        <v>0.85</v>
      </c>
      <c r="T1005" s="12">
        <v>0.75</v>
      </c>
      <c r="U1005" s="12">
        <v>0.8</v>
      </c>
      <c r="V1005" s="12"/>
      <c r="W1005" s="12">
        <v>7.5840932821836686</v>
      </c>
      <c r="X1005" s="12">
        <v>23.118284955681268</v>
      </c>
      <c r="Y1005" s="12">
        <v>2436.363636363636</v>
      </c>
      <c r="Z1005" s="12">
        <v>5.3225806451612891</v>
      </c>
      <c r="AA1005" s="12"/>
      <c r="AB1005" s="12" t="s">
        <v>1876</v>
      </c>
    </row>
    <row r="1006" spans="1:28" x14ac:dyDescent="0.3">
      <c r="A1006" s="12" t="s">
        <v>2911</v>
      </c>
      <c r="B1006" s="12" t="s">
        <v>128</v>
      </c>
      <c r="C1006" s="12" t="s">
        <v>128</v>
      </c>
      <c r="D1006" s="12" t="s">
        <v>129</v>
      </c>
      <c r="E1006" s="12" t="s">
        <v>1886</v>
      </c>
      <c r="F1006" s="12" t="s">
        <v>32</v>
      </c>
      <c r="G1006" s="12" t="s">
        <v>32</v>
      </c>
      <c r="H1006" s="12" t="b">
        <v>1</v>
      </c>
      <c r="I1006" s="12" t="b">
        <v>1</v>
      </c>
      <c r="J1006" s="12" t="b">
        <v>0</v>
      </c>
      <c r="K1006" s="12" t="b">
        <v>0</v>
      </c>
      <c r="L1006" s="12">
        <v>403</v>
      </c>
      <c r="M1006" s="12">
        <v>300.032917</v>
      </c>
      <c r="N1006" s="12">
        <v>3000</v>
      </c>
      <c r="O1006" s="12">
        <v>563.63636363636374</v>
      </c>
      <c r="P1006" s="12">
        <v>0.5</v>
      </c>
      <c r="Q1006" s="12">
        <v>0.85</v>
      </c>
      <c r="R1006" s="12">
        <v>0.47857142857142859</v>
      </c>
      <c r="S1006" s="12">
        <v>0.85</v>
      </c>
      <c r="T1006" s="12">
        <v>0.75</v>
      </c>
      <c r="U1006" s="12">
        <v>0.8</v>
      </c>
      <c r="V1006" s="12"/>
      <c r="W1006" s="12">
        <v>7.7624840684167902</v>
      </c>
      <c r="X1006" s="12">
        <v>23.677824068940009</v>
      </c>
      <c r="Y1006" s="12">
        <v>2436.363636363636</v>
      </c>
      <c r="Z1006" s="12">
        <v>5.3225806451612891</v>
      </c>
      <c r="AA1006" s="12"/>
      <c r="AB1006" s="12" t="s">
        <v>1876</v>
      </c>
    </row>
    <row r="1007" spans="1:28" x14ac:dyDescent="0.3">
      <c r="A1007" s="12" t="s">
        <v>2912</v>
      </c>
      <c r="B1007" s="12" t="s">
        <v>128</v>
      </c>
      <c r="C1007" s="12" t="s">
        <v>128</v>
      </c>
      <c r="D1007" s="12" t="s">
        <v>129</v>
      </c>
      <c r="E1007" s="12" t="s">
        <v>1886</v>
      </c>
      <c r="F1007" s="12" t="s">
        <v>32</v>
      </c>
      <c r="G1007" s="12" t="s">
        <v>32</v>
      </c>
      <c r="H1007" s="12" t="b">
        <v>1</v>
      </c>
      <c r="I1007" s="12" t="b">
        <v>1</v>
      </c>
      <c r="J1007" s="12" t="b">
        <v>0</v>
      </c>
      <c r="K1007" s="12" t="b">
        <v>0</v>
      </c>
      <c r="L1007" s="12">
        <v>403</v>
      </c>
      <c r="M1007" s="12">
        <v>300.032917</v>
      </c>
      <c r="N1007" s="12">
        <v>3000</v>
      </c>
      <c r="O1007" s="12">
        <v>563.63636363636374</v>
      </c>
      <c r="P1007" s="12">
        <v>0.5</v>
      </c>
      <c r="Q1007" s="12">
        <v>0.85</v>
      </c>
      <c r="R1007" s="12">
        <v>0.5178571428571429</v>
      </c>
      <c r="S1007" s="12">
        <v>0.85</v>
      </c>
      <c r="T1007" s="12">
        <v>0.75</v>
      </c>
      <c r="U1007" s="12">
        <v>0.8</v>
      </c>
      <c r="V1007" s="12"/>
      <c r="W1007" s="12">
        <v>7.9136166498309306</v>
      </c>
      <c r="X1007" s="12">
        <v>24.15244791209221</v>
      </c>
      <c r="Y1007" s="12">
        <v>2436.363636363636</v>
      </c>
      <c r="Z1007" s="12">
        <v>5.3225806451612891</v>
      </c>
      <c r="AA1007" s="12"/>
      <c r="AB1007" s="12" t="s">
        <v>1876</v>
      </c>
    </row>
    <row r="1008" spans="1:28" x14ac:dyDescent="0.3">
      <c r="A1008" s="12" t="s">
        <v>2913</v>
      </c>
      <c r="B1008" s="12" t="s">
        <v>128</v>
      </c>
      <c r="C1008" s="12" t="s">
        <v>128</v>
      </c>
      <c r="D1008" s="12" t="s">
        <v>129</v>
      </c>
      <c r="E1008" s="12" t="s">
        <v>1886</v>
      </c>
      <c r="F1008" s="12" t="s">
        <v>32</v>
      </c>
      <c r="G1008" s="12" t="s">
        <v>32</v>
      </c>
      <c r="H1008" s="12" t="b">
        <v>1</v>
      </c>
      <c r="I1008" s="12" t="b">
        <v>1</v>
      </c>
      <c r="J1008" s="12" t="b">
        <v>0</v>
      </c>
      <c r="K1008" s="12" t="b">
        <v>0</v>
      </c>
      <c r="L1008" s="12">
        <v>403</v>
      </c>
      <c r="M1008" s="12">
        <v>300.032917</v>
      </c>
      <c r="N1008" s="12">
        <v>3000</v>
      </c>
      <c r="O1008" s="12">
        <v>563.63636363636374</v>
      </c>
      <c r="P1008" s="12">
        <v>0.5</v>
      </c>
      <c r="Q1008" s="12">
        <v>0.85</v>
      </c>
      <c r="R1008" s="12">
        <v>0.55714285714285716</v>
      </c>
      <c r="S1008" s="12">
        <v>0.85</v>
      </c>
      <c r="T1008" s="12">
        <v>0.75</v>
      </c>
      <c r="U1008" s="12">
        <v>0.8</v>
      </c>
      <c r="V1008" s="12"/>
      <c r="W1008" s="12">
        <v>8.0432951325759792</v>
      </c>
      <c r="X1008" s="12">
        <v>24.560122988065832</v>
      </c>
      <c r="Y1008" s="12">
        <v>2436.363636363636</v>
      </c>
      <c r="Z1008" s="12">
        <v>5.3225806451612891</v>
      </c>
      <c r="AA1008" s="12"/>
      <c r="AB1008" s="12" t="s">
        <v>1876</v>
      </c>
    </row>
    <row r="1009" spans="1:28" x14ac:dyDescent="0.3">
      <c r="A1009" s="12" t="s">
        <v>2914</v>
      </c>
      <c r="B1009" s="12" t="s">
        <v>128</v>
      </c>
      <c r="C1009" s="12" t="s">
        <v>128</v>
      </c>
      <c r="D1009" s="12" t="s">
        <v>129</v>
      </c>
      <c r="E1009" s="12" t="s">
        <v>1886</v>
      </c>
      <c r="F1009" s="12" t="s">
        <v>32</v>
      </c>
      <c r="G1009" s="12" t="s">
        <v>32</v>
      </c>
      <c r="H1009" s="12" t="b">
        <v>1</v>
      </c>
      <c r="I1009" s="12" t="b">
        <v>1</v>
      </c>
      <c r="J1009" s="12" t="b">
        <v>0</v>
      </c>
      <c r="K1009" s="12" t="b">
        <v>0</v>
      </c>
      <c r="L1009" s="12">
        <v>403</v>
      </c>
      <c r="M1009" s="12">
        <v>300.032917</v>
      </c>
      <c r="N1009" s="12">
        <v>3000</v>
      </c>
      <c r="O1009" s="12">
        <v>563.63636363636374</v>
      </c>
      <c r="P1009" s="12">
        <v>0.5</v>
      </c>
      <c r="Q1009" s="12">
        <v>0.85</v>
      </c>
      <c r="R1009" s="12">
        <v>0.59642857142857142</v>
      </c>
      <c r="S1009" s="12">
        <v>0.85</v>
      </c>
      <c r="T1009" s="12">
        <v>0.75</v>
      </c>
      <c r="U1009" s="12">
        <v>0.8</v>
      </c>
      <c r="V1009" s="12"/>
      <c r="W1009" s="12">
        <v>8.1557846125030693</v>
      </c>
      <c r="X1009" s="12">
        <v>24.91407999854049</v>
      </c>
      <c r="Y1009" s="12">
        <v>2436.363636363636</v>
      </c>
      <c r="Z1009" s="12">
        <v>5.3225806451612891</v>
      </c>
      <c r="AA1009" s="12"/>
      <c r="AB1009" s="12" t="s">
        <v>1876</v>
      </c>
    </row>
    <row r="1010" spans="1:28" x14ac:dyDescent="0.3">
      <c r="A1010" s="12" t="s">
        <v>2915</v>
      </c>
      <c r="B1010" s="12" t="s">
        <v>128</v>
      </c>
      <c r="C1010" s="12" t="s">
        <v>128</v>
      </c>
      <c r="D1010" s="12" t="s">
        <v>129</v>
      </c>
      <c r="E1010" s="12" t="s">
        <v>1886</v>
      </c>
      <c r="F1010" s="12" t="s">
        <v>32</v>
      </c>
      <c r="G1010" s="12" t="s">
        <v>32</v>
      </c>
      <c r="H1010" s="12" t="b">
        <v>1</v>
      </c>
      <c r="I1010" s="12" t="b">
        <v>1</v>
      </c>
      <c r="J1010" s="12" t="b">
        <v>0</v>
      </c>
      <c r="K1010" s="12" t="b">
        <v>0</v>
      </c>
      <c r="L1010" s="12">
        <v>403</v>
      </c>
      <c r="M1010" s="12">
        <v>300.032917</v>
      </c>
      <c r="N1010" s="12">
        <v>3000</v>
      </c>
      <c r="O1010" s="12">
        <v>563.63636363636374</v>
      </c>
      <c r="P1010" s="12">
        <v>0.5</v>
      </c>
      <c r="Q1010" s="12">
        <v>0.85</v>
      </c>
      <c r="R1010" s="12">
        <v>0.63571428571428568</v>
      </c>
      <c r="S1010" s="12">
        <v>0.85</v>
      </c>
      <c r="T1010" s="12">
        <v>0.75</v>
      </c>
      <c r="U1010" s="12">
        <v>0.8</v>
      </c>
      <c r="V1010" s="12"/>
      <c r="W1010" s="12">
        <v>8.2542915246221593</v>
      </c>
      <c r="X1010" s="12">
        <v>25.224283933104179</v>
      </c>
      <c r="Y1010" s="12">
        <v>2436.363636363636</v>
      </c>
      <c r="Z1010" s="12">
        <v>5.3225806451612891</v>
      </c>
      <c r="AA1010" s="12"/>
      <c r="AB1010" s="12" t="s">
        <v>1876</v>
      </c>
    </row>
    <row r="1011" spans="1:28" x14ac:dyDescent="0.3">
      <c r="A1011" s="12" t="s">
        <v>2916</v>
      </c>
      <c r="B1011" s="12" t="s">
        <v>128</v>
      </c>
      <c r="C1011" s="12" t="s">
        <v>128</v>
      </c>
      <c r="D1011" s="12" t="s">
        <v>129</v>
      </c>
      <c r="E1011" s="12" t="s">
        <v>1886</v>
      </c>
      <c r="F1011" s="12" t="s">
        <v>32</v>
      </c>
      <c r="G1011" s="12" t="s">
        <v>32</v>
      </c>
      <c r="H1011" s="12" t="b">
        <v>1</v>
      </c>
      <c r="I1011" s="12" t="b">
        <v>1</v>
      </c>
      <c r="J1011" s="12" t="b">
        <v>0</v>
      </c>
      <c r="K1011" s="12" t="b">
        <v>0</v>
      </c>
      <c r="L1011" s="12">
        <v>403</v>
      </c>
      <c r="M1011" s="12">
        <v>300.032917</v>
      </c>
      <c r="N1011" s="12">
        <v>3000</v>
      </c>
      <c r="O1011" s="12">
        <v>563.63636363636374</v>
      </c>
      <c r="P1011" s="12">
        <v>0.5</v>
      </c>
      <c r="Q1011" s="12">
        <v>0.85</v>
      </c>
      <c r="R1011" s="12">
        <v>0.67500000000000004</v>
      </c>
      <c r="S1011" s="12">
        <v>0.85</v>
      </c>
      <c r="T1011" s="12">
        <v>0.75</v>
      </c>
      <c r="U1011" s="12">
        <v>0.8</v>
      </c>
      <c r="V1011" s="12"/>
      <c r="W1011" s="12">
        <v>8.3412691203550597</v>
      </c>
      <c r="X1011" s="12">
        <v>25.498371114693789</v>
      </c>
      <c r="Y1011" s="12">
        <v>2436.363636363636</v>
      </c>
      <c r="Z1011" s="12">
        <v>5.3225806451612891</v>
      </c>
      <c r="AA1011" s="12"/>
      <c r="AB1011" s="12" t="s">
        <v>1876</v>
      </c>
    </row>
    <row r="1012" spans="1:28" x14ac:dyDescent="0.3">
      <c r="A1012" s="12" t="s">
        <v>2917</v>
      </c>
      <c r="B1012" s="12" t="s">
        <v>128</v>
      </c>
      <c r="C1012" s="12" t="s">
        <v>128</v>
      </c>
      <c r="D1012" s="12" t="s">
        <v>129</v>
      </c>
      <c r="E1012" s="12" t="s">
        <v>1886</v>
      </c>
      <c r="F1012" s="12" t="s">
        <v>32</v>
      </c>
      <c r="G1012" s="12" t="s">
        <v>32</v>
      </c>
      <c r="H1012" s="12" t="b">
        <v>1</v>
      </c>
      <c r="I1012" s="12" t="b">
        <v>1</v>
      </c>
      <c r="J1012" s="12" t="b">
        <v>0</v>
      </c>
      <c r="K1012" s="12" t="b">
        <v>0</v>
      </c>
      <c r="L1012" s="12">
        <v>403</v>
      </c>
      <c r="M1012" s="12">
        <v>300.032917</v>
      </c>
      <c r="N1012" s="12">
        <v>3000</v>
      </c>
      <c r="O1012" s="12">
        <v>563.63636363636374</v>
      </c>
      <c r="P1012" s="12">
        <v>0.5</v>
      </c>
      <c r="Q1012" s="12">
        <v>0.85</v>
      </c>
      <c r="R1012" s="12">
        <v>0.71428571428571419</v>
      </c>
      <c r="S1012" s="12">
        <v>0.85</v>
      </c>
      <c r="T1012" s="12">
        <v>0.75</v>
      </c>
      <c r="U1012" s="12">
        <v>0.8</v>
      </c>
      <c r="V1012" s="12"/>
      <c r="W1012" s="12">
        <v>8.4186301286119001</v>
      </c>
      <c r="X1012" s="12">
        <v>25.742303786248609</v>
      </c>
      <c r="Y1012" s="12">
        <v>2436.363636363636</v>
      </c>
      <c r="Z1012" s="12">
        <v>5.3225806451612891</v>
      </c>
      <c r="AA1012" s="12"/>
      <c r="AB1012" s="12" t="s">
        <v>1876</v>
      </c>
    </row>
    <row r="1013" spans="1:28" x14ac:dyDescent="0.3">
      <c r="A1013" s="12" t="s">
        <v>2918</v>
      </c>
      <c r="B1013" s="12" t="s">
        <v>128</v>
      </c>
      <c r="C1013" s="12" t="s">
        <v>128</v>
      </c>
      <c r="D1013" s="12" t="s">
        <v>129</v>
      </c>
      <c r="E1013" s="12" t="s">
        <v>1886</v>
      </c>
      <c r="F1013" s="12" t="s">
        <v>32</v>
      </c>
      <c r="G1013" s="12" t="s">
        <v>32</v>
      </c>
      <c r="H1013" s="12" t="b">
        <v>1</v>
      </c>
      <c r="I1013" s="12" t="b">
        <v>1</v>
      </c>
      <c r="J1013" s="12" t="b">
        <v>0</v>
      </c>
      <c r="K1013" s="12" t="b">
        <v>0</v>
      </c>
      <c r="L1013" s="12">
        <v>403</v>
      </c>
      <c r="M1013" s="12">
        <v>300.032917</v>
      </c>
      <c r="N1013" s="12">
        <v>3000</v>
      </c>
      <c r="O1013" s="12">
        <v>563.63636363636374</v>
      </c>
      <c r="P1013" s="12">
        <v>0.5</v>
      </c>
      <c r="Q1013" s="12">
        <v>0.85</v>
      </c>
      <c r="R1013" s="12">
        <v>0.75357142857142856</v>
      </c>
      <c r="S1013" s="12">
        <v>0.85</v>
      </c>
      <c r="T1013" s="12">
        <v>0.75</v>
      </c>
      <c r="U1013" s="12">
        <v>0.8</v>
      </c>
      <c r="V1013" s="12"/>
      <c r="W1013" s="12">
        <v>8.4878858731131501</v>
      </c>
      <c r="X1013" s="12">
        <v>25.960798781624181</v>
      </c>
      <c r="Y1013" s="12">
        <v>2436.363636363636</v>
      </c>
      <c r="Z1013" s="12">
        <v>5.3225806451612891</v>
      </c>
      <c r="AA1013" s="12"/>
      <c r="AB1013" s="12" t="s">
        <v>1876</v>
      </c>
    </row>
    <row r="1014" spans="1:28" x14ac:dyDescent="0.3">
      <c r="A1014" s="12" t="s">
        <v>2919</v>
      </c>
      <c r="B1014" s="12" t="s">
        <v>128</v>
      </c>
      <c r="C1014" s="12" t="s">
        <v>128</v>
      </c>
      <c r="D1014" s="12" t="s">
        <v>129</v>
      </c>
      <c r="E1014" s="12" t="s">
        <v>1886</v>
      </c>
      <c r="F1014" s="12" t="s">
        <v>32</v>
      </c>
      <c r="G1014" s="12" t="s">
        <v>32</v>
      </c>
      <c r="H1014" s="12" t="b">
        <v>1</v>
      </c>
      <c r="I1014" s="12" t="b">
        <v>1</v>
      </c>
      <c r="J1014" s="12" t="b">
        <v>0</v>
      </c>
      <c r="K1014" s="12" t="b">
        <v>0</v>
      </c>
      <c r="L1014" s="12">
        <v>403</v>
      </c>
      <c r="M1014" s="12">
        <v>300.032917</v>
      </c>
      <c r="N1014" s="12">
        <v>3000</v>
      </c>
      <c r="O1014" s="12">
        <v>563.63636363636374</v>
      </c>
      <c r="P1014" s="12">
        <v>0.5</v>
      </c>
      <c r="Q1014" s="12">
        <v>0.85</v>
      </c>
      <c r="R1014" s="12">
        <v>0.79285714285714282</v>
      </c>
      <c r="S1014" s="12">
        <v>0.85</v>
      </c>
      <c r="T1014" s="12">
        <v>0.75</v>
      </c>
      <c r="U1014" s="12">
        <v>0.8</v>
      </c>
      <c r="V1014" s="12"/>
      <c r="W1014" s="12">
        <v>8.5502461947164594</v>
      </c>
      <c r="X1014" s="12">
        <v>26.157636039743199</v>
      </c>
      <c r="Y1014" s="12">
        <v>2436.363636363636</v>
      </c>
      <c r="Z1014" s="12">
        <v>5.3225806451612891</v>
      </c>
      <c r="AA1014" s="12"/>
      <c r="AB1014" s="12" t="s">
        <v>1876</v>
      </c>
    </row>
    <row r="1015" spans="1:28" x14ac:dyDescent="0.3">
      <c r="A1015" s="12" t="s">
        <v>2920</v>
      </c>
      <c r="B1015" s="12" t="s">
        <v>128</v>
      </c>
      <c r="C1015" s="12" t="s">
        <v>128</v>
      </c>
      <c r="D1015" s="12" t="s">
        <v>129</v>
      </c>
      <c r="E1015" s="12" t="s">
        <v>1886</v>
      </c>
      <c r="F1015" s="12" t="s">
        <v>32</v>
      </c>
      <c r="G1015" s="12" t="s">
        <v>32</v>
      </c>
      <c r="H1015" s="12" t="b">
        <v>1</v>
      </c>
      <c r="I1015" s="12" t="b">
        <v>1</v>
      </c>
      <c r="J1015" s="12" t="b">
        <v>0</v>
      </c>
      <c r="K1015" s="12" t="b">
        <v>0</v>
      </c>
      <c r="L1015" s="12">
        <v>403</v>
      </c>
      <c r="M1015" s="12">
        <v>300.032917</v>
      </c>
      <c r="N1015" s="12">
        <v>3000</v>
      </c>
      <c r="O1015" s="12">
        <v>563.63636363636374</v>
      </c>
      <c r="P1015" s="12">
        <v>0.5</v>
      </c>
      <c r="Q1015" s="12">
        <v>0.85</v>
      </c>
      <c r="R1015" s="12">
        <v>0.83214285714285707</v>
      </c>
      <c r="S1015" s="12">
        <v>0.85</v>
      </c>
      <c r="T1015" s="12">
        <v>0.75</v>
      </c>
      <c r="U1015" s="12">
        <v>0.8</v>
      </c>
      <c r="V1015" s="12"/>
      <c r="W1015" s="12">
        <v>8.6066932970745587</v>
      </c>
      <c r="X1015" s="12">
        <v>26.335887878936369</v>
      </c>
      <c r="Y1015" s="12">
        <v>2436.363636363636</v>
      </c>
      <c r="Z1015" s="12">
        <v>5.3225806451612891</v>
      </c>
      <c r="AA1015" s="12"/>
      <c r="AB1015" s="12" t="s">
        <v>1876</v>
      </c>
    </row>
    <row r="1016" spans="1:28" x14ac:dyDescent="0.3">
      <c r="A1016" s="12" t="s">
        <v>2921</v>
      </c>
      <c r="B1016" s="12" t="s">
        <v>128</v>
      </c>
      <c r="C1016" s="12" t="s">
        <v>128</v>
      </c>
      <c r="D1016" s="12" t="s">
        <v>129</v>
      </c>
      <c r="E1016" s="12" t="s">
        <v>1886</v>
      </c>
      <c r="F1016" s="12" t="s">
        <v>32</v>
      </c>
      <c r="G1016" s="12" t="s">
        <v>32</v>
      </c>
      <c r="H1016" s="12" t="b">
        <v>1</v>
      </c>
      <c r="I1016" s="12" t="b">
        <v>1</v>
      </c>
      <c r="J1016" s="12" t="b">
        <v>0</v>
      </c>
      <c r="K1016" s="12" t="b">
        <v>0</v>
      </c>
      <c r="L1016" s="12">
        <v>403</v>
      </c>
      <c r="M1016" s="12">
        <v>300.032917</v>
      </c>
      <c r="N1016" s="12">
        <v>3000</v>
      </c>
      <c r="O1016" s="12">
        <v>563.63636363636374</v>
      </c>
      <c r="P1016" s="12">
        <v>0.5</v>
      </c>
      <c r="Q1016" s="12">
        <v>0.85</v>
      </c>
      <c r="R1016" s="12">
        <v>0.87142857142857144</v>
      </c>
      <c r="S1016" s="12">
        <v>0.85</v>
      </c>
      <c r="T1016" s="12">
        <v>0.75</v>
      </c>
      <c r="U1016" s="12">
        <v>0.8</v>
      </c>
      <c r="V1016" s="12"/>
      <c r="W1016" s="12">
        <v>8.6580291428481413</v>
      </c>
      <c r="X1016" s="12">
        <v>26.498064305007691</v>
      </c>
      <c r="Y1016" s="12">
        <v>2436.363636363636</v>
      </c>
      <c r="Z1016" s="12">
        <v>5.3225806451612891</v>
      </c>
      <c r="AA1016" s="12"/>
      <c r="AB1016" s="12" t="s">
        <v>1876</v>
      </c>
    </row>
    <row r="1017" spans="1:28" x14ac:dyDescent="0.3">
      <c r="A1017" s="12" t="s">
        <v>2922</v>
      </c>
      <c r="B1017" s="12" t="s">
        <v>128</v>
      </c>
      <c r="C1017" s="12" t="s">
        <v>128</v>
      </c>
      <c r="D1017" s="12" t="s">
        <v>129</v>
      </c>
      <c r="E1017" s="12" t="s">
        <v>1886</v>
      </c>
      <c r="F1017" s="12" t="s">
        <v>32</v>
      </c>
      <c r="G1017" s="12" t="s">
        <v>32</v>
      </c>
      <c r="H1017" s="12" t="b">
        <v>1</v>
      </c>
      <c r="I1017" s="12" t="b">
        <v>1</v>
      </c>
      <c r="J1017" s="12" t="b">
        <v>0</v>
      </c>
      <c r="K1017" s="12" t="b">
        <v>0</v>
      </c>
      <c r="L1017" s="12">
        <v>403</v>
      </c>
      <c r="M1017" s="12">
        <v>300.032917</v>
      </c>
      <c r="N1017" s="12">
        <v>3000</v>
      </c>
      <c r="O1017" s="12">
        <v>563.63636363636374</v>
      </c>
      <c r="P1017" s="12">
        <v>0.5</v>
      </c>
      <c r="Q1017" s="12">
        <v>0.85</v>
      </c>
      <c r="R1017" s="12">
        <v>0.91071428571428559</v>
      </c>
      <c r="S1017" s="12">
        <v>0.85</v>
      </c>
      <c r="T1017" s="12">
        <v>0.75</v>
      </c>
      <c r="U1017" s="12">
        <v>0.8</v>
      </c>
      <c r="V1017" s="12"/>
      <c r="W1017" s="12">
        <v>8.7049181977992998</v>
      </c>
      <c r="X1017" s="12">
        <v>26.646247155738561</v>
      </c>
      <c r="Y1017" s="12">
        <v>2436.363636363636</v>
      </c>
      <c r="Z1017" s="12">
        <v>5.3225806451612891</v>
      </c>
      <c r="AA1017" s="12"/>
      <c r="AB1017" s="12" t="s">
        <v>1876</v>
      </c>
    </row>
    <row r="1018" spans="1:28" x14ac:dyDescent="0.3">
      <c r="A1018" s="12" t="s">
        <v>2923</v>
      </c>
      <c r="B1018" s="12" t="s">
        <v>128</v>
      </c>
      <c r="C1018" s="12" t="s">
        <v>128</v>
      </c>
      <c r="D1018" s="12" t="s">
        <v>129</v>
      </c>
      <c r="E1018" s="12" t="s">
        <v>1886</v>
      </c>
      <c r="F1018" s="12" t="s">
        <v>32</v>
      </c>
      <c r="G1018" s="12" t="s">
        <v>32</v>
      </c>
      <c r="H1018" s="12" t="b">
        <v>1</v>
      </c>
      <c r="I1018" s="12" t="b">
        <v>1</v>
      </c>
      <c r="J1018" s="12" t="b">
        <v>0</v>
      </c>
      <c r="K1018" s="12" t="b">
        <v>0</v>
      </c>
      <c r="L1018" s="12">
        <v>403</v>
      </c>
      <c r="M1018" s="12">
        <v>300.032917</v>
      </c>
      <c r="N1018" s="12">
        <v>3000</v>
      </c>
      <c r="O1018" s="12">
        <v>563.63636363636374</v>
      </c>
      <c r="P1018" s="12">
        <v>0.5</v>
      </c>
      <c r="Q1018" s="12">
        <v>0.85</v>
      </c>
      <c r="R1018" s="12">
        <v>0.95</v>
      </c>
      <c r="S1018" s="12">
        <v>0.85</v>
      </c>
      <c r="T1018" s="12">
        <v>0.75</v>
      </c>
      <c r="U1018" s="12">
        <v>0.8</v>
      </c>
      <c r="V1018" s="12"/>
      <c r="W1018" s="12">
        <v>8.7479142588494092</v>
      </c>
      <c r="X1018" s="12">
        <v>26.7821727001356</v>
      </c>
      <c r="Y1018" s="12">
        <v>2436.363636363636</v>
      </c>
      <c r="Z1018" s="12">
        <v>5.3225806451612891</v>
      </c>
      <c r="AA1018" s="12"/>
      <c r="AB1018" s="12" t="s">
        <v>1876</v>
      </c>
    </row>
    <row r="1019" spans="1:28" x14ac:dyDescent="0.3">
      <c r="A1019" s="12" t="s">
        <v>2924</v>
      </c>
      <c r="B1019" s="12" t="s">
        <v>128</v>
      </c>
      <c r="C1019" s="12" t="s">
        <v>128</v>
      </c>
      <c r="D1019" s="12" t="s">
        <v>129</v>
      </c>
      <c r="E1019" s="12" t="s">
        <v>2821</v>
      </c>
      <c r="F1019" s="12" t="s">
        <v>32</v>
      </c>
      <c r="G1019" s="12" t="s">
        <v>32</v>
      </c>
      <c r="H1019" s="12" t="b">
        <v>1</v>
      </c>
      <c r="I1019" s="12" t="b">
        <v>1</v>
      </c>
      <c r="J1019" s="12" t="b">
        <v>0</v>
      </c>
      <c r="K1019" s="12" t="b">
        <v>0</v>
      </c>
      <c r="L1019" s="12">
        <v>403</v>
      </c>
      <c r="M1019" s="12">
        <v>300.032917</v>
      </c>
      <c r="N1019" s="12">
        <v>3000</v>
      </c>
      <c r="O1019" s="12">
        <v>563.63636363636374</v>
      </c>
      <c r="P1019" s="12">
        <v>0.5</v>
      </c>
      <c r="Q1019" s="12">
        <v>0.85</v>
      </c>
      <c r="R1019" s="12">
        <v>0.74450000000000005</v>
      </c>
      <c r="S1019" s="12">
        <v>0.85</v>
      </c>
      <c r="T1019" s="12">
        <v>0.75</v>
      </c>
      <c r="U1019" s="12">
        <v>0.8</v>
      </c>
      <c r="V1019" s="12"/>
      <c r="W1019" s="12">
        <v>8.4725464002776292</v>
      </c>
      <c r="X1019" s="12">
        <v>25.91239452105285</v>
      </c>
      <c r="Y1019" s="12">
        <v>2436.363636363636</v>
      </c>
      <c r="Z1019" s="12">
        <v>5.3225806451612891</v>
      </c>
      <c r="AA1019" s="12"/>
      <c r="AB1019" s="12" t="s">
        <v>1876</v>
      </c>
    </row>
    <row r="1020" spans="1:28" x14ac:dyDescent="0.3">
      <c r="A1020" s="12" t="s">
        <v>2925</v>
      </c>
      <c r="B1020" s="12" t="s">
        <v>128</v>
      </c>
      <c r="C1020" s="12" t="s">
        <v>128</v>
      </c>
      <c r="D1020" s="12" t="s">
        <v>129</v>
      </c>
      <c r="E1020" s="12" t="s">
        <v>2821</v>
      </c>
      <c r="F1020" s="12" t="s">
        <v>32</v>
      </c>
      <c r="G1020" s="12" t="s">
        <v>32</v>
      </c>
      <c r="H1020" s="12" t="b">
        <v>1</v>
      </c>
      <c r="I1020" s="12" t="b">
        <v>1</v>
      </c>
      <c r="J1020" s="12" t="b">
        <v>0</v>
      </c>
      <c r="K1020" s="12" t="b">
        <v>0</v>
      </c>
      <c r="L1020" s="12">
        <v>403</v>
      </c>
      <c r="M1020" s="12">
        <v>300.032917</v>
      </c>
      <c r="N1020" s="12">
        <v>3000</v>
      </c>
      <c r="O1020" s="12">
        <v>563.63636363636374</v>
      </c>
      <c r="P1020" s="12">
        <v>0.5</v>
      </c>
      <c r="Q1020" s="12">
        <v>0.85</v>
      </c>
      <c r="R1020" s="12">
        <v>0.75549999999999995</v>
      </c>
      <c r="S1020" s="12">
        <v>0.85</v>
      </c>
      <c r="T1020" s="12">
        <v>0.75</v>
      </c>
      <c r="U1020" s="12">
        <v>0.8</v>
      </c>
      <c r="V1020" s="12"/>
      <c r="W1020" s="12">
        <v>8.4910993172788309</v>
      </c>
      <c r="X1020" s="12">
        <v>25.9709396236731</v>
      </c>
      <c r="Y1020" s="12">
        <v>2436.363636363636</v>
      </c>
      <c r="Z1020" s="12">
        <v>5.3225806451612891</v>
      </c>
      <c r="AA1020" s="12"/>
      <c r="AB1020" s="12" t="s">
        <v>1876</v>
      </c>
    </row>
    <row r="1021" spans="1:28" x14ac:dyDescent="0.3">
      <c r="A1021" s="12" t="s">
        <v>2926</v>
      </c>
      <c r="B1021" s="12" t="s">
        <v>128</v>
      </c>
      <c r="C1021" s="12" t="s">
        <v>128</v>
      </c>
      <c r="D1021" s="12" t="s">
        <v>129</v>
      </c>
      <c r="E1021" s="12" t="s">
        <v>1886</v>
      </c>
      <c r="F1021" s="12" t="s">
        <v>32</v>
      </c>
      <c r="G1021" s="12" t="s">
        <v>32</v>
      </c>
      <c r="H1021" s="12" t="b">
        <v>1</v>
      </c>
      <c r="I1021" s="12" t="b">
        <v>1</v>
      </c>
      <c r="J1021" s="12" t="b">
        <v>0</v>
      </c>
      <c r="K1021" s="12" t="b">
        <v>0</v>
      </c>
      <c r="L1021" s="12">
        <v>403</v>
      </c>
      <c r="M1021" s="12">
        <v>300.032917</v>
      </c>
      <c r="N1021" s="12">
        <v>3000</v>
      </c>
      <c r="O1021" s="12">
        <v>563.63636363636374</v>
      </c>
      <c r="P1021" s="12">
        <v>0.5</v>
      </c>
      <c r="Q1021" s="12">
        <v>0.85</v>
      </c>
      <c r="R1021" s="12">
        <v>0.75</v>
      </c>
      <c r="S1021" s="12">
        <v>0.43928571428571428</v>
      </c>
      <c r="T1021" s="12">
        <v>0.75</v>
      </c>
      <c r="U1021" s="12">
        <v>0.8</v>
      </c>
      <c r="V1021" s="12"/>
      <c r="W1021" s="12">
        <v>3.3916032476472902</v>
      </c>
      <c r="X1021" s="12">
        <v>5.5506579997406487</v>
      </c>
      <c r="Y1021" s="12">
        <v>2436.363636363636</v>
      </c>
      <c r="Z1021" s="12">
        <v>5.3225806451612891</v>
      </c>
      <c r="AA1021" s="12"/>
      <c r="AB1021" s="12" t="s">
        <v>1877</v>
      </c>
    </row>
    <row r="1022" spans="1:28" x14ac:dyDescent="0.3">
      <c r="A1022" s="12" t="s">
        <v>2927</v>
      </c>
      <c r="B1022" s="12" t="s">
        <v>128</v>
      </c>
      <c r="C1022" s="12" t="s">
        <v>128</v>
      </c>
      <c r="D1022" s="12" t="s">
        <v>129</v>
      </c>
      <c r="E1022" s="12" t="s">
        <v>1886</v>
      </c>
      <c r="F1022" s="12" t="s">
        <v>32</v>
      </c>
      <c r="G1022" s="12" t="s">
        <v>32</v>
      </c>
      <c r="H1022" s="12" t="b">
        <v>1</v>
      </c>
      <c r="I1022" s="12" t="b">
        <v>1</v>
      </c>
      <c r="J1022" s="12" t="b">
        <v>0</v>
      </c>
      <c r="K1022" s="12" t="b">
        <v>0</v>
      </c>
      <c r="L1022" s="12">
        <v>403</v>
      </c>
      <c r="M1022" s="12">
        <v>300.032917</v>
      </c>
      <c r="N1022" s="12">
        <v>3000</v>
      </c>
      <c r="O1022" s="12">
        <v>563.63636363636374</v>
      </c>
      <c r="P1022" s="12">
        <v>0.5</v>
      </c>
      <c r="Q1022" s="12">
        <v>0.85</v>
      </c>
      <c r="R1022" s="12">
        <v>0.75</v>
      </c>
      <c r="S1022" s="12">
        <v>0.4</v>
      </c>
      <c r="T1022" s="12">
        <v>0.75</v>
      </c>
      <c r="U1022" s="12">
        <v>0.8</v>
      </c>
      <c r="V1022" s="12"/>
      <c r="W1022" s="12">
        <v>2.3620491231949399</v>
      </c>
      <c r="X1022" s="12">
        <v>3.5297629333670448</v>
      </c>
      <c r="Y1022" s="12">
        <v>2436.363636363636</v>
      </c>
      <c r="Z1022" s="12">
        <v>5.3225806451612891</v>
      </c>
      <c r="AA1022" s="12"/>
      <c r="AB1022" s="12" t="s">
        <v>1877</v>
      </c>
    </row>
    <row r="1023" spans="1:28" x14ac:dyDescent="0.3">
      <c r="A1023" s="12" t="s">
        <v>2928</v>
      </c>
      <c r="B1023" s="12" t="s">
        <v>128</v>
      </c>
      <c r="C1023" s="12" t="s">
        <v>128</v>
      </c>
      <c r="D1023" s="12" t="s">
        <v>129</v>
      </c>
      <c r="E1023" s="12" t="s">
        <v>1886</v>
      </c>
      <c r="F1023" s="12" t="s">
        <v>32</v>
      </c>
      <c r="G1023" s="12" t="s">
        <v>32</v>
      </c>
      <c r="H1023" s="12" t="b">
        <v>1</v>
      </c>
      <c r="I1023" s="12" t="b">
        <v>1</v>
      </c>
      <c r="J1023" s="12" t="b">
        <v>0</v>
      </c>
      <c r="K1023" s="12" t="b">
        <v>0</v>
      </c>
      <c r="L1023" s="12">
        <v>403</v>
      </c>
      <c r="M1023" s="12">
        <v>300.032917</v>
      </c>
      <c r="N1023" s="12">
        <v>3000</v>
      </c>
      <c r="O1023" s="12">
        <v>563.63636363636374</v>
      </c>
      <c r="P1023" s="12">
        <v>0.5</v>
      </c>
      <c r="Q1023" s="12">
        <v>0.85</v>
      </c>
      <c r="R1023" s="12">
        <v>0.75</v>
      </c>
      <c r="S1023" s="12">
        <v>0.47857142857142859</v>
      </c>
      <c r="T1023" s="12">
        <v>0.75</v>
      </c>
      <c r="U1023" s="12">
        <v>0.8</v>
      </c>
      <c r="V1023" s="12"/>
      <c r="W1023" s="12">
        <v>4.2532457692730299</v>
      </c>
      <c r="X1023" s="12">
        <v>7.5613844038761844</v>
      </c>
      <c r="Y1023" s="12">
        <v>2436.363636363636</v>
      </c>
      <c r="Z1023" s="12">
        <v>5.3225806451612891</v>
      </c>
      <c r="AA1023" s="12"/>
      <c r="AB1023" s="12" t="s">
        <v>1877</v>
      </c>
    </row>
    <row r="1024" spans="1:28" x14ac:dyDescent="0.3">
      <c r="A1024" s="12" t="s">
        <v>2929</v>
      </c>
      <c r="B1024" s="12" t="s">
        <v>128</v>
      </c>
      <c r="C1024" s="12" t="s">
        <v>128</v>
      </c>
      <c r="D1024" s="12" t="s">
        <v>129</v>
      </c>
      <c r="E1024" s="12" t="s">
        <v>1886</v>
      </c>
      <c r="F1024" s="12" t="s">
        <v>32</v>
      </c>
      <c r="G1024" s="12" t="s">
        <v>32</v>
      </c>
      <c r="H1024" s="12" t="b">
        <v>1</v>
      </c>
      <c r="I1024" s="12" t="b">
        <v>1</v>
      </c>
      <c r="J1024" s="12" t="b">
        <v>0</v>
      </c>
      <c r="K1024" s="12" t="b">
        <v>0</v>
      </c>
      <c r="L1024" s="12">
        <v>403</v>
      </c>
      <c r="M1024" s="12">
        <v>300.032917</v>
      </c>
      <c r="N1024" s="12">
        <v>3000</v>
      </c>
      <c r="O1024" s="12">
        <v>563.63636363636374</v>
      </c>
      <c r="P1024" s="12">
        <v>0.5</v>
      </c>
      <c r="Q1024" s="12">
        <v>0.85</v>
      </c>
      <c r="R1024" s="12">
        <v>0.75</v>
      </c>
      <c r="S1024" s="12">
        <v>0.5178571428571429</v>
      </c>
      <c r="T1024" s="12">
        <v>0.75</v>
      </c>
      <c r="U1024" s="12">
        <v>0.8</v>
      </c>
      <c r="V1024" s="12"/>
      <c r="W1024" s="12">
        <v>4.98511165795313</v>
      </c>
      <c r="X1024" s="12">
        <v>9.5611459491522126</v>
      </c>
      <c r="Y1024" s="12">
        <v>2436.363636363636</v>
      </c>
      <c r="Z1024" s="12">
        <v>5.3225806451612891</v>
      </c>
      <c r="AA1024" s="12"/>
      <c r="AB1024" s="12" t="s">
        <v>1877</v>
      </c>
    </row>
    <row r="1025" spans="1:28" x14ac:dyDescent="0.3">
      <c r="A1025" s="12" t="s">
        <v>2930</v>
      </c>
      <c r="B1025" s="12" t="s">
        <v>128</v>
      </c>
      <c r="C1025" s="12" t="s">
        <v>128</v>
      </c>
      <c r="D1025" s="12" t="s">
        <v>129</v>
      </c>
      <c r="E1025" s="12" t="s">
        <v>1886</v>
      </c>
      <c r="F1025" s="12" t="s">
        <v>32</v>
      </c>
      <c r="G1025" s="12" t="s">
        <v>32</v>
      </c>
      <c r="H1025" s="12" t="b">
        <v>1</v>
      </c>
      <c r="I1025" s="12" t="b">
        <v>1</v>
      </c>
      <c r="J1025" s="12" t="b">
        <v>0</v>
      </c>
      <c r="K1025" s="12" t="b">
        <v>0</v>
      </c>
      <c r="L1025" s="12">
        <v>403</v>
      </c>
      <c r="M1025" s="12">
        <v>300.032917</v>
      </c>
      <c r="N1025" s="12">
        <v>3000</v>
      </c>
      <c r="O1025" s="12">
        <v>563.63636363636374</v>
      </c>
      <c r="P1025" s="12">
        <v>0.5</v>
      </c>
      <c r="Q1025" s="12">
        <v>0.85</v>
      </c>
      <c r="R1025" s="12">
        <v>0.75</v>
      </c>
      <c r="S1025" s="12">
        <v>0.55714285714285716</v>
      </c>
      <c r="T1025" s="12">
        <v>0.75</v>
      </c>
      <c r="U1025" s="12">
        <v>0.8</v>
      </c>
      <c r="V1025" s="12"/>
      <c r="W1025" s="12">
        <v>5.6145400997755504</v>
      </c>
      <c r="X1025" s="12">
        <v>11.54915938353207</v>
      </c>
      <c r="Y1025" s="12">
        <v>2436.363636363636</v>
      </c>
      <c r="Z1025" s="12">
        <v>5.3225806451612891</v>
      </c>
      <c r="AA1025" s="12"/>
      <c r="AB1025" s="12" t="s">
        <v>1877</v>
      </c>
    </row>
    <row r="1026" spans="1:28" x14ac:dyDescent="0.3">
      <c r="A1026" s="12" t="s">
        <v>2931</v>
      </c>
      <c r="B1026" s="12" t="s">
        <v>128</v>
      </c>
      <c r="C1026" s="12" t="s">
        <v>128</v>
      </c>
      <c r="D1026" s="12" t="s">
        <v>129</v>
      </c>
      <c r="E1026" s="12" t="s">
        <v>1886</v>
      </c>
      <c r="F1026" s="12" t="s">
        <v>32</v>
      </c>
      <c r="G1026" s="12" t="s">
        <v>32</v>
      </c>
      <c r="H1026" s="12" t="b">
        <v>1</v>
      </c>
      <c r="I1026" s="12" t="b">
        <v>1</v>
      </c>
      <c r="J1026" s="12" t="b">
        <v>0</v>
      </c>
      <c r="K1026" s="12" t="b">
        <v>0</v>
      </c>
      <c r="L1026" s="12">
        <v>403</v>
      </c>
      <c r="M1026" s="12">
        <v>300.032917</v>
      </c>
      <c r="N1026" s="12">
        <v>3000</v>
      </c>
      <c r="O1026" s="12">
        <v>563.63636363636374</v>
      </c>
      <c r="P1026" s="12">
        <v>0.5</v>
      </c>
      <c r="Q1026" s="12">
        <v>0.85</v>
      </c>
      <c r="R1026" s="12">
        <v>0.75</v>
      </c>
      <c r="S1026" s="12">
        <v>0.63571428571428568</v>
      </c>
      <c r="T1026" s="12">
        <v>0.75</v>
      </c>
      <c r="U1026" s="12">
        <v>0.8</v>
      </c>
      <c r="V1026" s="12"/>
      <c r="W1026" s="12">
        <v>6.641646835838209</v>
      </c>
      <c r="X1026" s="12">
        <v>15.487216700890761</v>
      </c>
      <c r="Y1026" s="12">
        <v>2436.363636363636</v>
      </c>
      <c r="Z1026" s="12">
        <v>5.3225806451612891</v>
      </c>
      <c r="AA1026" s="12"/>
      <c r="AB1026" s="12" t="s">
        <v>1877</v>
      </c>
    </row>
    <row r="1027" spans="1:28" x14ac:dyDescent="0.3">
      <c r="A1027" s="12" t="s">
        <v>2932</v>
      </c>
      <c r="B1027" s="12" t="s">
        <v>128</v>
      </c>
      <c r="C1027" s="12" t="s">
        <v>128</v>
      </c>
      <c r="D1027" s="12" t="s">
        <v>129</v>
      </c>
      <c r="E1027" s="12" t="s">
        <v>1886</v>
      </c>
      <c r="F1027" s="12" t="s">
        <v>32</v>
      </c>
      <c r="G1027" s="12" t="s">
        <v>32</v>
      </c>
      <c r="H1027" s="12" t="b">
        <v>1</v>
      </c>
      <c r="I1027" s="12" t="b">
        <v>1</v>
      </c>
      <c r="J1027" s="12" t="b">
        <v>0</v>
      </c>
      <c r="K1027" s="12" t="b">
        <v>0</v>
      </c>
      <c r="L1027" s="12">
        <v>403</v>
      </c>
      <c r="M1027" s="12">
        <v>300.032917</v>
      </c>
      <c r="N1027" s="12">
        <v>3000</v>
      </c>
      <c r="O1027" s="12">
        <v>563.63636363636374</v>
      </c>
      <c r="P1027" s="12">
        <v>0.5</v>
      </c>
      <c r="Q1027" s="12">
        <v>0.85</v>
      </c>
      <c r="R1027" s="12">
        <v>0.75</v>
      </c>
      <c r="S1027" s="12">
        <v>0.59642857142857142</v>
      </c>
      <c r="T1027" s="12">
        <v>0.75</v>
      </c>
      <c r="U1027" s="12">
        <v>0.8</v>
      </c>
      <c r="V1027" s="12"/>
      <c r="W1027" s="12">
        <v>6.1616575195758498</v>
      </c>
      <c r="X1027" s="12">
        <v>13.52471199139795</v>
      </c>
      <c r="Y1027" s="12">
        <v>2436.363636363636</v>
      </c>
      <c r="Z1027" s="12">
        <v>5.3225806451612891</v>
      </c>
      <c r="AA1027" s="12"/>
      <c r="AB1027" s="12" t="s">
        <v>1877</v>
      </c>
    </row>
    <row r="1028" spans="1:28" x14ac:dyDescent="0.3">
      <c r="A1028" s="12" t="s">
        <v>2933</v>
      </c>
      <c r="B1028" s="12" t="s">
        <v>128</v>
      </c>
      <c r="C1028" s="12" t="s">
        <v>128</v>
      </c>
      <c r="D1028" s="12" t="s">
        <v>129</v>
      </c>
      <c r="E1028" s="12" t="s">
        <v>1886</v>
      </c>
      <c r="F1028" s="12" t="s">
        <v>32</v>
      </c>
      <c r="G1028" s="12" t="s">
        <v>32</v>
      </c>
      <c r="H1028" s="12" t="b">
        <v>1</v>
      </c>
      <c r="I1028" s="12" t="b">
        <v>1</v>
      </c>
      <c r="J1028" s="12" t="b">
        <v>0</v>
      </c>
      <c r="K1028" s="12" t="b">
        <v>0</v>
      </c>
      <c r="L1028" s="12">
        <v>403</v>
      </c>
      <c r="M1028" s="12">
        <v>300.032917</v>
      </c>
      <c r="N1028" s="12">
        <v>3000</v>
      </c>
      <c r="O1028" s="12">
        <v>563.63636363636374</v>
      </c>
      <c r="P1028" s="12">
        <v>0.5</v>
      </c>
      <c r="Q1028" s="12">
        <v>0.85</v>
      </c>
      <c r="R1028" s="12">
        <v>0.75</v>
      </c>
      <c r="S1028" s="12">
        <v>0.67500000000000004</v>
      </c>
      <c r="T1028" s="12">
        <v>0.75</v>
      </c>
      <c r="U1028" s="12">
        <v>0.8</v>
      </c>
      <c r="V1028" s="12"/>
      <c r="W1028" s="12">
        <v>7.0661222523894303</v>
      </c>
      <c r="X1028" s="12">
        <v>17.436112240512578</v>
      </c>
      <c r="Y1028" s="12">
        <v>2436.363636363636</v>
      </c>
      <c r="Z1028" s="12">
        <v>5.3225806451612891</v>
      </c>
      <c r="AA1028" s="12"/>
      <c r="AB1028" s="12" t="s">
        <v>1877</v>
      </c>
    </row>
    <row r="1029" spans="1:28" x14ac:dyDescent="0.3">
      <c r="A1029" s="12" t="s">
        <v>2934</v>
      </c>
      <c r="B1029" s="12" t="s">
        <v>128</v>
      </c>
      <c r="C1029" s="12" t="s">
        <v>128</v>
      </c>
      <c r="D1029" s="12" t="s">
        <v>129</v>
      </c>
      <c r="E1029" s="12" t="s">
        <v>1886</v>
      </c>
      <c r="F1029" s="12" t="s">
        <v>32</v>
      </c>
      <c r="G1029" s="12" t="s">
        <v>32</v>
      </c>
      <c r="H1029" s="12" t="b">
        <v>1</v>
      </c>
      <c r="I1029" s="12" t="b">
        <v>1</v>
      </c>
      <c r="J1029" s="12" t="b">
        <v>0</v>
      </c>
      <c r="K1029" s="12" t="b">
        <v>0</v>
      </c>
      <c r="L1029" s="12">
        <v>403</v>
      </c>
      <c r="M1029" s="12">
        <v>300.032917</v>
      </c>
      <c r="N1029" s="12">
        <v>3000</v>
      </c>
      <c r="O1029" s="12">
        <v>563.63636363636374</v>
      </c>
      <c r="P1029" s="12">
        <v>0.5</v>
      </c>
      <c r="Q1029" s="12">
        <v>0.85</v>
      </c>
      <c r="R1029" s="12">
        <v>0.75</v>
      </c>
      <c r="S1029" s="12">
        <v>0.71428571428571419</v>
      </c>
      <c r="T1029" s="12">
        <v>0.75</v>
      </c>
      <c r="U1029" s="12">
        <v>0.8</v>
      </c>
      <c r="V1029" s="12"/>
      <c r="W1029" s="12">
        <v>7.4441626726590604</v>
      </c>
      <c r="X1029" s="12">
        <v>19.370943580136341</v>
      </c>
      <c r="Y1029" s="12">
        <v>2436.363636363636</v>
      </c>
      <c r="Z1029" s="12">
        <v>5.3225806451612891</v>
      </c>
      <c r="AA1029" s="12"/>
      <c r="AB1029" s="12" t="s">
        <v>1877</v>
      </c>
    </row>
    <row r="1030" spans="1:28" x14ac:dyDescent="0.3">
      <c r="A1030" s="12" t="s">
        <v>2935</v>
      </c>
      <c r="B1030" s="12" t="s">
        <v>128</v>
      </c>
      <c r="C1030" s="12" t="s">
        <v>128</v>
      </c>
      <c r="D1030" s="12" t="s">
        <v>129</v>
      </c>
      <c r="E1030" s="12" t="s">
        <v>1886</v>
      </c>
      <c r="F1030" s="12" t="s">
        <v>32</v>
      </c>
      <c r="G1030" s="12" t="s">
        <v>32</v>
      </c>
      <c r="H1030" s="12" t="b">
        <v>1</v>
      </c>
      <c r="I1030" s="12" t="b">
        <v>1</v>
      </c>
      <c r="J1030" s="12" t="b">
        <v>0</v>
      </c>
      <c r="K1030" s="12" t="b">
        <v>0</v>
      </c>
      <c r="L1030" s="12">
        <v>403</v>
      </c>
      <c r="M1030" s="12">
        <v>300.032917</v>
      </c>
      <c r="N1030" s="12">
        <v>3000</v>
      </c>
      <c r="O1030" s="12">
        <v>563.63636363636374</v>
      </c>
      <c r="P1030" s="12">
        <v>0.5</v>
      </c>
      <c r="Q1030" s="12">
        <v>0.85</v>
      </c>
      <c r="R1030" s="12">
        <v>0.75</v>
      </c>
      <c r="S1030" s="12">
        <v>0.75357142857142856</v>
      </c>
      <c r="T1030" s="12">
        <v>0.75</v>
      </c>
      <c r="U1030" s="12">
        <v>0.8</v>
      </c>
      <c r="V1030" s="12"/>
      <c r="W1030" s="12">
        <v>7.7829461150891994</v>
      </c>
      <c r="X1030" s="12">
        <v>21.291319198754572</v>
      </c>
      <c r="Y1030" s="12">
        <v>2436.363636363636</v>
      </c>
      <c r="Z1030" s="12">
        <v>5.3225806451612891</v>
      </c>
      <c r="AA1030" s="12"/>
      <c r="AB1030" s="12" t="s">
        <v>1877</v>
      </c>
    </row>
    <row r="1031" spans="1:28" x14ac:dyDescent="0.3">
      <c r="A1031" s="12" t="s">
        <v>2936</v>
      </c>
      <c r="B1031" s="12" t="s">
        <v>128</v>
      </c>
      <c r="C1031" s="12" t="s">
        <v>128</v>
      </c>
      <c r="D1031" s="12" t="s">
        <v>129</v>
      </c>
      <c r="E1031" s="12" t="s">
        <v>1886</v>
      </c>
      <c r="F1031" s="12" t="s">
        <v>1861</v>
      </c>
      <c r="G1031" s="12" t="s">
        <v>1861</v>
      </c>
      <c r="H1031" s="12" t="b">
        <v>1</v>
      </c>
      <c r="I1031" s="12" t="b">
        <v>0</v>
      </c>
      <c r="J1031" s="12" t="b">
        <v>0</v>
      </c>
      <c r="K1031" s="12" t="b">
        <v>0</v>
      </c>
      <c r="L1031" s="12">
        <v>403</v>
      </c>
      <c r="M1031" s="12">
        <v>300.032917</v>
      </c>
      <c r="N1031" s="12">
        <v>3000</v>
      </c>
      <c r="O1031" s="12">
        <v>563.63636363636374</v>
      </c>
      <c r="P1031" s="12">
        <v>0.5</v>
      </c>
      <c r="Q1031" s="12">
        <v>0.85</v>
      </c>
      <c r="R1031" s="12">
        <v>0.75</v>
      </c>
      <c r="S1031" s="12">
        <v>0.87142857142857144</v>
      </c>
      <c r="T1031" s="12">
        <v>0.75</v>
      </c>
      <c r="U1031" s="12">
        <v>0.8</v>
      </c>
      <c r="V1031" s="12"/>
      <c r="W1031" s="12">
        <v>8.6161616138495596</v>
      </c>
      <c r="X1031" s="12">
        <v>26.962951250740119</v>
      </c>
      <c r="Y1031" s="12">
        <v>2436.363636363636</v>
      </c>
      <c r="Z1031" s="12">
        <v>5.3225806451612891</v>
      </c>
      <c r="AA1031" s="12" t="s">
        <v>1268</v>
      </c>
      <c r="AB1031" s="12" t="s">
        <v>1877</v>
      </c>
    </row>
    <row r="1032" spans="1:28" x14ac:dyDescent="0.3">
      <c r="A1032" s="12" t="s">
        <v>2937</v>
      </c>
      <c r="B1032" s="12" t="s">
        <v>128</v>
      </c>
      <c r="C1032" s="12" t="s">
        <v>128</v>
      </c>
      <c r="D1032" s="12" t="s">
        <v>129</v>
      </c>
      <c r="E1032" s="12" t="s">
        <v>1886</v>
      </c>
      <c r="F1032" s="12" t="s">
        <v>32</v>
      </c>
      <c r="G1032" s="12" t="s">
        <v>32</v>
      </c>
      <c r="H1032" s="12" t="b">
        <v>1</v>
      </c>
      <c r="I1032" s="12" t="b">
        <v>1</v>
      </c>
      <c r="J1032" s="12" t="b">
        <v>0</v>
      </c>
      <c r="K1032" s="12" t="b">
        <v>0</v>
      </c>
      <c r="L1032" s="12">
        <v>403</v>
      </c>
      <c r="M1032" s="12">
        <v>300.032917</v>
      </c>
      <c r="N1032" s="12">
        <v>3000</v>
      </c>
      <c r="O1032" s="12">
        <v>563.63636363636374</v>
      </c>
      <c r="P1032" s="12">
        <v>0.5</v>
      </c>
      <c r="Q1032" s="12">
        <v>0.85</v>
      </c>
      <c r="R1032" s="12">
        <v>0.75</v>
      </c>
      <c r="S1032" s="12">
        <v>0.83214285714285707</v>
      </c>
      <c r="T1032" s="12">
        <v>0.75</v>
      </c>
      <c r="U1032" s="12">
        <v>0.8</v>
      </c>
      <c r="V1032" s="12"/>
      <c r="W1032" s="12">
        <v>8.3646884146716207</v>
      </c>
      <c r="X1032" s="12">
        <v>25.087523659125541</v>
      </c>
      <c r="Y1032" s="12">
        <v>2436.363636363636</v>
      </c>
      <c r="Z1032" s="12">
        <v>5.3225806451612891</v>
      </c>
      <c r="AA1032" s="12"/>
      <c r="AB1032" s="12" t="s">
        <v>1877</v>
      </c>
    </row>
    <row r="1033" spans="1:28" x14ac:dyDescent="0.3">
      <c r="A1033" s="12" t="s">
        <v>2938</v>
      </c>
      <c r="B1033" s="12" t="s">
        <v>128</v>
      </c>
      <c r="C1033" s="12" t="s">
        <v>128</v>
      </c>
      <c r="D1033" s="12" t="s">
        <v>129</v>
      </c>
      <c r="E1033" s="12" t="s">
        <v>1886</v>
      </c>
      <c r="F1033" s="12" t="s">
        <v>32</v>
      </c>
      <c r="G1033" s="12" t="s">
        <v>32</v>
      </c>
      <c r="H1033" s="12" t="b">
        <v>1</v>
      </c>
      <c r="I1033" s="12" t="b">
        <v>1</v>
      </c>
      <c r="J1033" s="12" t="b">
        <v>0</v>
      </c>
      <c r="K1033" s="12" t="b">
        <v>0</v>
      </c>
      <c r="L1033" s="12">
        <v>403</v>
      </c>
      <c r="M1033" s="12">
        <v>300.032917</v>
      </c>
      <c r="N1033" s="12">
        <v>3000</v>
      </c>
      <c r="O1033" s="12">
        <v>563.63636363636374</v>
      </c>
      <c r="P1033" s="12">
        <v>0.5</v>
      </c>
      <c r="Q1033" s="12">
        <v>0.85</v>
      </c>
      <c r="R1033" s="12">
        <v>0.75</v>
      </c>
      <c r="S1033" s="12">
        <v>0.79285714285714282</v>
      </c>
      <c r="T1033" s="12">
        <v>0.75</v>
      </c>
      <c r="U1033" s="12">
        <v>0.8</v>
      </c>
      <c r="V1033" s="12"/>
      <c r="W1033" s="12">
        <v>8.0882304365208295</v>
      </c>
      <c r="X1033" s="12">
        <v>23.196925640576598</v>
      </c>
      <c r="Y1033" s="12">
        <v>2436.363636363636</v>
      </c>
      <c r="Z1033" s="12">
        <v>5.3225806451612891</v>
      </c>
      <c r="AA1033" s="12"/>
      <c r="AB1033" s="12" t="s">
        <v>1877</v>
      </c>
    </row>
    <row r="1034" spans="1:28" x14ac:dyDescent="0.3">
      <c r="A1034" s="12" t="s">
        <v>2939</v>
      </c>
      <c r="B1034" s="12" t="s">
        <v>128</v>
      </c>
      <c r="C1034" s="12" t="s">
        <v>128</v>
      </c>
      <c r="D1034" s="12" t="s">
        <v>129</v>
      </c>
      <c r="E1034" s="12" t="s">
        <v>1886</v>
      </c>
      <c r="F1034" s="12" t="s">
        <v>1862</v>
      </c>
      <c r="G1034" s="12" t="s">
        <v>1862</v>
      </c>
      <c r="H1034" s="12" t="b">
        <v>1</v>
      </c>
      <c r="I1034" s="12" t="b">
        <v>0</v>
      </c>
      <c r="J1034" s="12" t="b">
        <v>0</v>
      </c>
      <c r="K1034" s="12" t="b">
        <v>0</v>
      </c>
      <c r="L1034" s="12">
        <v>403</v>
      </c>
      <c r="M1034" s="12">
        <v>300.032917</v>
      </c>
      <c r="N1034" s="12">
        <v>3000</v>
      </c>
      <c r="O1034" s="12">
        <v>563.63636363636374</v>
      </c>
      <c r="P1034" s="12">
        <v>0.5</v>
      </c>
      <c r="Q1034" s="12">
        <v>0.85</v>
      </c>
      <c r="R1034" s="12">
        <v>0.75</v>
      </c>
      <c r="S1034" s="12">
        <v>0.91071428571428559</v>
      </c>
      <c r="T1034" s="12">
        <v>0.75</v>
      </c>
      <c r="U1034" s="12">
        <v>0.8</v>
      </c>
      <c r="V1034" s="12"/>
      <c r="W1034" s="12">
        <v>8.8449748323073702</v>
      </c>
      <c r="X1034" s="12">
        <v>28.820260712277989</v>
      </c>
      <c r="Y1034" s="12">
        <v>2436.363636363636</v>
      </c>
      <c r="Z1034" s="12">
        <v>5.3225806451612891</v>
      </c>
      <c r="AA1034" s="12" t="s">
        <v>2459</v>
      </c>
      <c r="AB1034" s="12" t="s">
        <v>1877</v>
      </c>
    </row>
    <row r="1035" spans="1:28" x14ac:dyDescent="0.3">
      <c r="A1035" s="12" t="s">
        <v>2940</v>
      </c>
      <c r="B1035" s="12" t="s">
        <v>128</v>
      </c>
      <c r="C1035" s="12" t="s">
        <v>128</v>
      </c>
      <c r="D1035" s="12" t="s">
        <v>129</v>
      </c>
      <c r="E1035" s="12" t="s">
        <v>1886</v>
      </c>
      <c r="F1035" s="12" t="s">
        <v>1861</v>
      </c>
      <c r="G1035" s="12" t="s">
        <v>1861</v>
      </c>
      <c r="H1035" s="12" t="b">
        <v>1</v>
      </c>
      <c r="I1035" s="12" t="b">
        <v>0</v>
      </c>
      <c r="J1035" s="12" t="b">
        <v>0</v>
      </c>
      <c r="K1035" s="12" t="b">
        <v>0</v>
      </c>
      <c r="L1035" s="12">
        <v>403</v>
      </c>
      <c r="M1035" s="12">
        <v>300.032917</v>
      </c>
      <c r="N1035" s="12">
        <v>3000</v>
      </c>
      <c r="O1035" s="12">
        <v>563.63636363636374</v>
      </c>
      <c r="P1035" s="12">
        <v>0.5</v>
      </c>
      <c r="Q1035" s="12">
        <v>0.85</v>
      </c>
      <c r="R1035" s="12">
        <v>0.75</v>
      </c>
      <c r="S1035" s="12">
        <v>0.95</v>
      </c>
      <c r="T1035" s="12">
        <v>0.75</v>
      </c>
      <c r="U1035" s="12">
        <v>0.8</v>
      </c>
      <c r="V1035" s="12"/>
      <c r="W1035" s="12">
        <v>9.0531724265578397</v>
      </c>
      <c r="X1035" s="12">
        <v>30.65686718267041</v>
      </c>
      <c r="Y1035" s="12">
        <v>2436.363636363636</v>
      </c>
      <c r="Z1035" s="12">
        <v>5.3225806451612891</v>
      </c>
      <c r="AA1035" s="12" t="s">
        <v>1268</v>
      </c>
      <c r="AB1035" s="12" t="s">
        <v>1877</v>
      </c>
    </row>
    <row r="1036" spans="1:28" x14ac:dyDescent="0.3">
      <c r="A1036" s="12" t="s">
        <v>2941</v>
      </c>
      <c r="B1036" s="12" t="s">
        <v>128</v>
      </c>
      <c r="C1036" s="12" t="s">
        <v>128</v>
      </c>
      <c r="D1036" s="12" t="s">
        <v>129</v>
      </c>
      <c r="E1036" s="12" t="s">
        <v>2821</v>
      </c>
      <c r="F1036" s="12" t="s">
        <v>32</v>
      </c>
      <c r="G1036" s="12" t="s">
        <v>32</v>
      </c>
      <c r="H1036" s="12" t="b">
        <v>1</v>
      </c>
      <c r="I1036" s="12" t="b">
        <v>1</v>
      </c>
      <c r="J1036" s="12" t="b">
        <v>0</v>
      </c>
      <c r="K1036" s="12" t="b">
        <v>0</v>
      </c>
      <c r="L1036" s="12">
        <v>403</v>
      </c>
      <c r="M1036" s="12">
        <v>300.032917</v>
      </c>
      <c r="N1036" s="12">
        <v>3000</v>
      </c>
      <c r="O1036" s="12">
        <v>563.63636363636374</v>
      </c>
      <c r="P1036" s="12">
        <v>0.5</v>
      </c>
      <c r="Q1036" s="12">
        <v>0.85</v>
      </c>
      <c r="R1036" s="12">
        <v>0.75</v>
      </c>
      <c r="S1036" s="12">
        <v>0.84450000000000003</v>
      </c>
      <c r="T1036" s="12">
        <v>0.75</v>
      </c>
      <c r="U1036" s="12">
        <v>0.8</v>
      </c>
      <c r="V1036" s="12"/>
      <c r="W1036" s="12">
        <v>8.4463252359850998</v>
      </c>
      <c r="X1036" s="12">
        <v>25.679075956769388</v>
      </c>
      <c r="Y1036" s="12">
        <v>2436.363636363636</v>
      </c>
      <c r="Z1036" s="12">
        <v>5.3225806451612891</v>
      </c>
      <c r="AA1036" s="12"/>
      <c r="AB1036" s="12" t="s">
        <v>1877</v>
      </c>
    </row>
    <row r="1037" spans="1:28" x14ac:dyDescent="0.3">
      <c r="A1037" s="12" t="s">
        <v>2942</v>
      </c>
      <c r="B1037" s="12" t="s">
        <v>128</v>
      </c>
      <c r="C1037" s="12" t="s">
        <v>128</v>
      </c>
      <c r="D1037" s="12" t="s">
        <v>129</v>
      </c>
      <c r="E1037" s="12" t="s">
        <v>2821</v>
      </c>
      <c r="F1037" s="12" t="s">
        <v>32</v>
      </c>
      <c r="G1037" s="12" t="s">
        <v>32</v>
      </c>
      <c r="H1037" s="12" t="b">
        <v>1</v>
      </c>
      <c r="I1037" s="12" t="b">
        <v>1</v>
      </c>
      <c r="J1037" s="12" t="b">
        <v>0</v>
      </c>
      <c r="K1037" s="12" t="b">
        <v>0</v>
      </c>
      <c r="L1037" s="12">
        <v>403</v>
      </c>
      <c r="M1037" s="12">
        <v>300.032917</v>
      </c>
      <c r="N1037" s="12">
        <v>3000</v>
      </c>
      <c r="O1037" s="12">
        <v>563.63636363636374</v>
      </c>
      <c r="P1037" s="12">
        <v>0.5</v>
      </c>
      <c r="Q1037" s="12">
        <v>0.85</v>
      </c>
      <c r="R1037" s="12">
        <v>0.75</v>
      </c>
      <c r="S1037" s="12">
        <v>0.85549999999999993</v>
      </c>
      <c r="T1037" s="12">
        <v>0.75</v>
      </c>
      <c r="U1037" s="12">
        <v>0.8</v>
      </c>
      <c r="V1037" s="12"/>
      <c r="W1037" s="12">
        <v>8.5169980524126796</v>
      </c>
      <c r="X1037" s="12">
        <v>26.204388738397839</v>
      </c>
      <c r="Y1037" s="12">
        <v>2436.363636363636</v>
      </c>
      <c r="Z1037" s="12">
        <v>5.3225806451612891</v>
      </c>
      <c r="AA1037" s="12"/>
      <c r="AB1037" s="12" t="s">
        <v>1877</v>
      </c>
    </row>
    <row r="1038" spans="1:28" x14ac:dyDescent="0.3">
      <c r="A1038" s="12" t="s">
        <v>2943</v>
      </c>
      <c r="B1038" s="12" t="s">
        <v>128</v>
      </c>
      <c r="C1038" s="12" t="s">
        <v>128</v>
      </c>
      <c r="D1038" s="12" t="s">
        <v>129</v>
      </c>
      <c r="E1038" s="12" t="s">
        <v>1886</v>
      </c>
      <c r="F1038" s="12" t="s">
        <v>1861</v>
      </c>
      <c r="G1038" s="12" t="s">
        <v>1861</v>
      </c>
      <c r="H1038" s="12" t="b">
        <v>1</v>
      </c>
      <c r="I1038" s="12" t="b">
        <v>0</v>
      </c>
      <c r="J1038" s="12" t="b">
        <v>0</v>
      </c>
      <c r="K1038" s="12" t="b">
        <v>0</v>
      </c>
      <c r="L1038" s="12">
        <v>403</v>
      </c>
      <c r="M1038" s="12">
        <v>300.032917</v>
      </c>
      <c r="N1038" s="12">
        <v>3000</v>
      </c>
      <c r="O1038" s="12">
        <v>563.63636363636374</v>
      </c>
      <c r="P1038" s="12">
        <v>0.5</v>
      </c>
      <c r="Q1038" s="12">
        <v>0.85</v>
      </c>
      <c r="R1038" s="12">
        <v>0.75</v>
      </c>
      <c r="S1038" s="12">
        <v>0.85</v>
      </c>
      <c r="T1038" s="12">
        <v>0.4</v>
      </c>
      <c r="U1038" s="12">
        <v>0.8</v>
      </c>
      <c r="V1038" s="12"/>
      <c r="W1038" s="12">
        <v>5.9646126820381502</v>
      </c>
      <c r="X1038" s="12">
        <v>23.648770960805152</v>
      </c>
      <c r="Y1038" s="12">
        <v>2436.363636363636</v>
      </c>
      <c r="Z1038" s="12">
        <v>5.3225806451612891</v>
      </c>
      <c r="AA1038" s="12" t="s">
        <v>1268</v>
      </c>
      <c r="AB1038" s="12" t="s">
        <v>1878</v>
      </c>
    </row>
    <row r="1039" spans="1:28" x14ac:dyDescent="0.3">
      <c r="A1039" s="12" t="s">
        <v>2944</v>
      </c>
      <c r="B1039" s="12" t="s">
        <v>128</v>
      </c>
      <c r="C1039" s="12" t="s">
        <v>128</v>
      </c>
      <c r="D1039" s="12" t="s">
        <v>129</v>
      </c>
      <c r="E1039" s="12" t="s">
        <v>1886</v>
      </c>
      <c r="F1039" s="12" t="s">
        <v>1861</v>
      </c>
      <c r="G1039" s="12" t="s">
        <v>1861</v>
      </c>
      <c r="H1039" s="12" t="b">
        <v>1</v>
      </c>
      <c r="I1039" s="12" t="b">
        <v>0</v>
      </c>
      <c r="J1039" s="12" t="b">
        <v>0</v>
      </c>
      <c r="K1039" s="12" t="b">
        <v>0</v>
      </c>
      <c r="L1039" s="12">
        <v>403</v>
      </c>
      <c r="M1039" s="12">
        <v>300.032917</v>
      </c>
      <c r="N1039" s="12">
        <v>3000</v>
      </c>
      <c r="O1039" s="12">
        <v>563.63636363636374</v>
      </c>
      <c r="P1039" s="12">
        <v>0.5</v>
      </c>
      <c r="Q1039" s="12">
        <v>0.85</v>
      </c>
      <c r="R1039" s="12">
        <v>0.75</v>
      </c>
      <c r="S1039" s="12">
        <v>0.85</v>
      </c>
      <c r="T1039" s="12">
        <v>0.43928571428571428</v>
      </c>
      <c r="U1039" s="12">
        <v>0.8</v>
      </c>
      <c r="V1039" s="12"/>
      <c r="W1039" s="12">
        <v>6.18094896905352</v>
      </c>
      <c r="X1039" s="12">
        <v>23.911060936412241</v>
      </c>
      <c r="Y1039" s="12">
        <v>2436.363636363636</v>
      </c>
      <c r="Z1039" s="12">
        <v>5.3225806451612891</v>
      </c>
      <c r="AA1039" s="12" t="s">
        <v>1268</v>
      </c>
      <c r="AB1039" s="12" t="s">
        <v>1878</v>
      </c>
    </row>
    <row r="1040" spans="1:28" x14ac:dyDescent="0.3">
      <c r="A1040" s="12" t="s">
        <v>2945</v>
      </c>
      <c r="B1040" s="12" t="s">
        <v>128</v>
      </c>
      <c r="C1040" s="12" t="s">
        <v>128</v>
      </c>
      <c r="D1040" s="12" t="s">
        <v>129</v>
      </c>
      <c r="E1040" s="12" t="s">
        <v>1886</v>
      </c>
      <c r="F1040" s="12" t="s">
        <v>1861</v>
      </c>
      <c r="G1040" s="12" t="s">
        <v>1861</v>
      </c>
      <c r="H1040" s="12" t="b">
        <v>1</v>
      </c>
      <c r="I1040" s="12" t="b">
        <v>0</v>
      </c>
      <c r="J1040" s="12" t="b">
        <v>0</v>
      </c>
      <c r="K1040" s="12" t="b">
        <v>0</v>
      </c>
      <c r="L1040" s="12">
        <v>403</v>
      </c>
      <c r="M1040" s="12">
        <v>300.032917</v>
      </c>
      <c r="N1040" s="12">
        <v>3000</v>
      </c>
      <c r="O1040" s="12">
        <v>563.63636363636374</v>
      </c>
      <c r="P1040" s="12">
        <v>0.5</v>
      </c>
      <c r="Q1040" s="12">
        <v>0.85</v>
      </c>
      <c r="R1040" s="12">
        <v>0.75</v>
      </c>
      <c r="S1040" s="12">
        <v>0.85</v>
      </c>
      <c r="T1040" s="12">
        <v>0.47857142857142859</v>
      </c>
      <c r="U1040" s="12">
        <v>0.8</v>
      </c>
      <c r="V1040" s="12"/>
      <c r="W1040" s="12">
        <v>6.4103339482975503</v>
      </c>
      <c r="X1040" s="12">
        <v>24.172417417508839</v>
      </c>
      <c r="Y1040" s="12">
        <v>2436.363636363636</v>
      </c>
      <c r="Z1040" s="12">
        <v>5.3225806451612891</v>
      </c>
      <c r="AA1040" s="12" t="s">
        <v>1268</v>
      </c>
      <c r="AB1040" s="12" t="s">
        <v>1878</v>
      </c>
    </row>
    <row r="1041" spans="1:28" x14ac:dyDescent="0.3">
      <c r="A1041" s="12" t="s">
        <v>2946</v>
      </c>
      <c r="B1041" s="12" t="s">
        <v>128</v>
      </c>
      <c r="C1041" s="12" t="s">
        <v>128</v>
      </c>
      <c r="D1041" s="12" t="s">
        <v>129</v>
      </c>
      <c r="E1041" s="12" t="s">
        <v>1886</v>
      </c>
      <c r="F1041" s="12" t="s">
        <v>1861</v>
      </c>
      <c r="G1041" s="12" t="s">
        <v>1861</v>
      </c>
      <c r="H1041" s="12" t="b">
        <v>1</v>
      </c>
      <c r="I1041" s="12" t="b">
        <v>0</v>
      </c>
      <c r="J1041" s="12" t="b">
        <v>0</v>
      </c>
      <c r="K1041" s="12" t="b">
        <v>0</v>
      </c>
      <c r="L1041" s="12">
        <v>403</v>
      </c>
      <c r="M1041" s="12">
        <v>300.032917</v>
      </c>
      <c r="N1041" s="12">
        <v>3000</v>
      </c>
      <c r="O1041" s="12">
        <v>563.63636363636374</v>
      </c>
      <c r="P1041" s="12">
        <v>0.5</v>
      </c>
      <c r="Q1041" s="12">
        <v>0.85</v>
      </c>
      <c r="R1041" s="12">
        <v>0.75</v>
      </c>
      <c r="S1041" s="12">
        <v>0.85</v>
      </c>
      <c r="T1041" s="12">
        <v>0.5178571428571429</v>
      </c>
      <c r="U1041" s="12">
        <v>0.8</v>
      </c>
      <c r="V1041" s="12"/>
      <c r="W1041" s="12">
        <v>6.6540621975119301</v>
      </c>
      <c r="X1041" s="12">
        <v>24.432713792409011</v>
      </c>
      <c r="Y1041" s="12">
        <v>2436.363636363636</v>
      </c>
      <c r="Z1041" s="12">
        <v>5.3225806451612891</v>
      </c>
      <c r="AA1041" s="12" t="s">
        <v>1268</v>
      </c>
      <c r="AB1041" s="12" t="s">
        <v>1878</v>
      </c>
    </row>
    <row r="1042" spans="1:28" x14ac:dyDescent="0.3">
      <c r="A1042" s="12" t="s">
        <v>2947</v>
      </c>
      <c r="B1042" s="12" t="s">
        <v>128</v>
      </c>
      <c r="C1042" s="12" t="s">
        <v>128</v>
      </c>
      <c r="D1042" s="12" t="s">
        <v>129</v>
      </c>
      <c r="E1042" s="12" t="s">
        <v>1886</v>
      </c>
      <c r="F1042" s="12" t="s">
        <v>1861</v>
      </c>
      <c r="G1042" s="12" t="s">
        <v>1861</v>
      </c>
      <c r="H1042" s="12" t="b">
        <v>1</v>
      </c>
      <c r="I1042" s="12" t="b">
        <v>0</v>
      </c>
      <c r="J1042" s="12" t="b">
        <v>0</v>
      </c>
      <c r="K1042" s="12" t="b">
        <v>0</v>
      </c>
      <c r="L1042" s="12">
        <v>403</v>
      </c>
      <c r="M1042" s="12">
        <v>300.032917</v>
      </c>
      <c r="N1042" s="12">
        <v>3000</v>
      </c>
      <c r="O1042" s="12">
        <v>563.63636363636374</v>
      </c>
      <c r="P1042" s="12">
        <v>0.5</v>
      </c>
      <c r="Q1042" s="12">
        <v>0.85</v>
      </c>
      <c r="R1042" s="12">
        <v>0.75</v>
      </c>
      <c r="S1042" s="12">
        <v>0.85</v>
      </c>
      <c r="T1042" s="12">
        <v>0.55714285714285716</v>
      </c>
      <c r="U1042" s="12">
        <v>0.8</v>
      </c>
      <c r="V1042" s="12"/>
      <c r="W1042" s="12">
        <v>6.9135873303467692</v>
      </c>
      <c r="X1042" s="12">
        <v>24.691801445314091</v>
      </c>
      <c r="Y1042" s="12">
        <v>2436.363636363636</v>
      </c>
      <c r="Z1042" s="12">
        <v>5.3225806451612891</v>
      </c>
      <c r="AA1042" s="12" t="s">
        <v>1268</v>
      </c>
      <c r="AB1042" s="12" t="s">
        <v>1878</v>
      </c>
    </row>
    <row r="1043" spans="1:28" x14ac:dyDescent="0.3">
      <c r="A1043" s="12" t="s">
        <v>2948</v>
      </c>
      <c r="B1043" s="12" t="s">
        <v>128</v>
      </c>
      <c r="C1043" s="12" t="s">
        <v>128</v>
      </c>
      <c r="D1043" s="12" t="s">
        <v>129</v>
      </c>
      <c r="E1043" s="12" t="s">
        <v>1886</v>
      </c>
      <c r="F1043" s="12" t="s">
        <v>1861</v>
      </c>
      <c r="G1043" s="12" t="s">
        <v>1861</v>
      </c>
      <c r="H1043" s="12" t="b">
        <v>1</v>
      </c>
      <c r="I1043" s="12" t="b">
        <v>0</v>
      </c>
      <c r="J1043" s="12" t="b">
        <v>0</v>
      </c>
      <c r="K1043" s="12" t="b">
        <v>0</v>
      </c>
      <c r="L1043" s="12">
        <v>403</v>
      </c>
      <c r="M1043" s="12">
        <v>300.032917</v>
      </c>
      <c r="N1043" s="12">
        <v>3000</v>
      </c>
      <c r="O1043" s="12">
        <v>563.63636363636374</v>
      </c>
      <c r="P1043" s="12">
        <v>0.5</v>
      </c>
      <c r="Q1043" s="12">
        <v>0.85</v>
      </c>
      <c r="R1043" s="12">
        <v>0.75</v>
      </c>
      <c r="S1043" s="12">
        <v>0.85</v>
      </c>
      <c r="T1043" s="12">
        <v>0.59642857142857142</v>
      </c>
      <c r="U1043" s="12">
        <v>0.8</v>
      </c>
      <c r="V1043" s="12"/>
      <c r="W1043" s="12">
        <v>7.1905840342767204</v>
      </c>
      <c r="X1043" s="12">
        <v>24.9495377599196</v>
      </c>
      <c r="Y1043" s="12">
        <v>2436.363636363636</v>
      </c>
      <c r="Z1043" s="12">
        <v>5.3225806451612891</v>
      </c>
      <c r="AA1043" s="12" t="s">
        <v>1268</v>
      </c>
      <c r="AB1043" s="12" t="s">
        <v>1878</v>
      </c>
    </row>
    <row r="1044" spans="1:28" x14ac:dyDescent="0.3">
      <c r="A1044" s="12" t="s">
        <v>2949</v>
      </c>
      <c r="B1044" s="12" t="s">
        <v>128</v>
      </c>
      <c r="C1044" s="12" t="s">
        <v>128</v>
      </c>
      <c r="D1044" s="12" t="s">
        <v>129</v>
      </c>
      <c r="E1044" s="12" t="s">
        <v>1886</v>
      </c>
      <c r="F1044" s="12" t="s">
        <v>1861</v>
      </c>
      <c r="G1044" s="12" t="s">
        <v>1861</v>
      </c>
      <c r="H1044" s="12" t="b">
        <v>1</v>
      </c>
      <c r="I1044" s="12" t="b">
        <v>0</v>
      </c>
      <c r="J1044" s="12" t="b">
        <v>0</v>
      </c>
      <c r="K1044" s="12" t="b">
        <v>0</v>
      </c>
      <c r="L1044" s="12">
        <v>403</v>
      </c>
      <c r="M1044" s="12">
        <v>300.032917</v>
      </c>
      <c r="N1044" s="12">
        <v>3000</v>
      </c>
      <c r="O1044" s="12">
        <v>563.63636363636374</v>
      </c>
      <c r="P1044" s="12">
        <v>0.5</v>
      </c>
      <c r="Q1044" s="12">
        <v>0.85</v>
      </c>
      <c r="R1044" s="12">
        <v>0.75</v>
      </c>
      <c r="S1044" s="12">
        <v>0.85</v>
      </c>
      <c r="T1044" s="12">
        <v>0.63571428571428568</v>
      </c>
      <c r="U1044" s="12">
        <v>0.8</v>
      </c>
      <c r="V1044" s="12"/>
      <c r="W1044" s="12">
        <v>7.4869641418511792</v>
      </c>
      <c r="X1044" s="12">
        <v>25.205764722018511</v>
      </c>
      <c r="Y1044" s="12">
        <v>2436.363636363636</v>
      </c>
      <c r="Z1044" s="12">
        <v>5.3225806451612891</v>
      </c>
      <c r="AA1044" s="12" t="s">
        <v>1268</v>
      </c>
      <c r="AB1044" s="12" t="s">
        <v>1878</v>
      </c>
    </row>
    <row r="1045" spans="1:28" x14ac:dyDescent="0.3">
      <c r="A1045" s="12" t="s">
        <v>2950</v>
      </c>
      <c r="B1045" s="12" t="s">
        <v>128</v>
      </c>
      <c r="C1045" s="12" t="s">
        <v>128</v>
      </c>
      <c r="D1045" s="12" t="s">
        <v>129</v>
      </c>
      <c r="E1045" s="12" t="s">
        <v>1886</v>
      </c>
      <c r="F1045" s="12" t="s">
        <v>1861</v>
      </c>
      <c r="G1045" s="12" t="s">
        <v>1861</v>
      </c>
      <c r="H1045" s="12" t="b">
        <v>1</v>
      </c>
      <c r="I1045" s="12" t="b">
        <v>0</v>
      </c>
      <c r="J1045" s="12" t="b">
        <v>0</v>
      </c>
      <c r="K1045" s="12" t="b">
        <v>0</v>
      </c>
      <c r="L1045" s="12">
        <v>403</v>
      </c>
      <c r="M1045" s="12">
        <v>300.032917</v>
      </c>
      <c r="N1045" s="12">
        <v>3000</v>
      </c>
      <c r="O1045" s="12">
        <v>563.63636363636374</v>
      </c>
      <c r="P1045" s="12">
        <v>0.5</v>
      </c>
      <c r="Q1045" s="12">
        <v>0.85</v>
      </c>
      <c r="R1045" s="12">
        <v>0.75</v>
      </c>
      <c r="S1045" s="12">
        <v>0.85</v>
      </c>
      <c r="T1045" s="12">
        <v>0.67500000000000004</v>
      </c>
      <c r="U1045" s="12">
        <v>0.8</v>
      </c>
      <c r="V1045" s="12"/>
      <c r="W1045" s="12">
        <v>7.8049532334983001</v>
      </c>
      <c r="X1045" s="12">
        <v>25.460336313525961</v>
      </c>
      <c r="Y1045" s="12">
        <v>2436.363636363636</v>
      </c>
      <c r="Z1045" s="12">
        <v>5.3225806451612891</v>
      </c>
      <c r="AA1045" s="12" t="s">
        <v>1268</v>
      </c>
      <c r="AB1045" s="12" t="s">
        <v>1878</v>
      </c>
    </row>
    <row r="1046" spans="1:28" x14ac:dyDescent="0.3">
      <c r="A1046" s="12" t="s">
        <v>2951</v>
      </c>
      <c r="B1046" s="12" t="s">
        <v>128</v>
      </c>
      <c r="C1046" s="12" t="s">
        <v>128</v>
      </c>
      <c r="D1046" s="12" t="s">
        <v>129</v>
      </c>
      <c r="E1046" s="12" t="s">
        <v>1886</v>
      </c>
      <c r="F1046" s="12" t="s">
        <v>1861</v>
      </c>
      <c r="G1046" s="12" t="s">
        <v>1861</v>
      </c>
      <c r="H1046" s="12" t="b">
        <v>1</v>
      </c>
      <c r="I1046" s="12" t="b">
        <v>0</v>
      </c>
      <c r="J1046" s="12" t="b">
        <v>0</v>
      </c>
      <c r="K1046" s="12" t="b">
        <v>0</v>
      </c>
      <c r="L1046" s="12">
        <v>403</v>
      </c>
      <c r="M1046" s="12">
        <v>300.032917</v>
      </c>
      <c r="N1046" s="12">
        <v>3000</v>
      </c>
      <c r="O1046" s="12">
        <v>563.63636363636374</v>
      </c>
      <c r="P1046" s="12">
        <v>0.5</v>
      </c>
      <c r="Q1046" s="12">
        <v>0.85</v>
      </c>
      <c r="R1046" s="12">
        <v>0.75</v>
      </c>
      <c r="S1046" s="12">
        <v>0.85</v>
      </c>
      <c r="T1046" s="12">
        <v>0.71428571428571419</v>
      </c>
      <c r="U1046" s="12">
        <v>0.8</v>
      </c>
      <c r="V1046" s="12"/>
      <c r="W1046" s="12">
        <v>8.14711193476818</v>
      </c>
      <c r="X1046" s="12">
        <v>25.713080649692831</v>
      </c>
      <c r="Y1046" s="12">
        <v>2436.363636363636</v>
      </c>
      <c r="Z1046" s="12">
        <v>5.3225806451612891</v>
      </c>
      <c r="AA1046" s="12" t="s">
        <v>1268</v>
      </c>
      <c r="AB1046" s="12" t="s">
        <v>1878</v>
      </c>
    </row>
    <row r="1047" spans="1:28" x14ac:dyDescent="0.3">
      <c r="A1047" s="12" t="s">
        <v>2952</v>
      </c>
      <c r="B1047" s="12" t="s">
        <v>128</v>
      </c>
      <c r="C1047" s="12" t="s">
        <v>128</v>
      </c>
      <c r="D1047" s="12" t="s">
        <v>129</v>
      </c>
      <c r="E1047" s="12" t="s">
        <v>1886</v>
      </c>
      <c r="F1047" s="12" t="s">
        <v>32</v>
      </c>
      <c r="G1047" s="12" t="s">
        <v>32</v>
      </c>
      <c r="H1047" s="12" t="b">
        <v>1</v>
      </c>
      <c r="I1047" s="12" t="b">
        <v>1</v>
      </c>
      <c r="J1047" s="12" t="b">
        <v>0</v>
      </c>
      <c r="K1047" s="12" t="b">
        <v>0</v>
      </c>
      <c r="L1047" s="12">
        <v>403</v>
      </c>
      <c r="M1047" s="12">
        <v>300.032917</v>
      </c>
      <c r="N1047" s="12">
        <v>3000</v>
      </c>
      <c r="O1047" s="12">
        <v>563.63636363636374</v>
      </c>
      <c r="P1047" s="12">
        <v>0.5</v>
      </c>
      <c r="Q1047" s="12">
        <v>0.85</v>
      </c>
      <c r="R1047" s="12">
        <v>0.75</v>
      </c>
      <c r="S1047" s="12">
        <v>0.85</v>
      </c>
      <c r="T1047" s="12">
        <v>0.79285714285714282</v>
      </c>
      <c r="U1047" s="12">
        <v>0.8</v>
      </c>
      <c r="V1047" s="12"/>
      <c r="W1047" s="12">
        <v>8.9188264939265594</v>
      </c>
      <c r="X1047" s="12">
        <v>26.21963091660453</v>
      </c>
      <c r="Y1047" s="12">
        <v>2436.363636363636</v>
      </c>
      <c r="Z1047" s="12">
        <v>5.3225806451612891</v>
      </c>
      <c r="AA1047" s="12"/>
      <c r="AB1047" s="12" t="s">
        <v>1878</v>
      </c>
    </row>
    <row r="1048" spans="1:28" x14ac:dyDescent="0.3">
      <c r="A1048" s="12" t="s">
        <v>2953</v>
      </c>
      <c r="B1048" s="12" t="s">
        <v>128</v>
      </c>
      <c r="C1048" s="12" t="s">
        <v>128</v>
      </c>
      <c r="D1048" s="12" t="s">
        <v>129</v>
      </c>
      <c r="E1048" s="12" t="s">
        <v>1886</v>
      </c>
      <c r="F1048" s="12" t="s">
        <v>32</v>
      </c>
      <c r="G1048" s="12" t="s">
        <v>32</v>
      </c>
      <c r="H1048" s="12" t="b">
        <v>1</v>
      </c>
      <c r="I1048" s="12" t="b">
        <v>1</v>
      </c>
      <c r="J1048" s="12" t="b">
        <v>0</v>
      </c>
      <c r="K1048" s="12" t="b">
        <v>0</v>
      </c>
      <c r="L1048" s="12">
        <v>403</v>
      </c>
      <c r="M1048" s="12">
        <v>300.032917</v>
      </c>
      <c r="N1048" s="12">
        <v>3000</v>
      </c>
      <c r="O1048" s="12">
        <v>563.63636363636374</v>
      </c>
      <c r="P1048" s="12">
        <v>0.5</v>
      </c>
      <c r="Q1048" s="12">
        <v>0.85</v>
      </c>
      <c r="R1048" s="12">
        <v>0.75</v>
      </c>
      <c r="S1048" s="12">
        <v>0.85</v>
      </c>
      <c r="T1048" s="12">
        <v>0.75357142857142856</v>
      </c>
      <c r="U1048" s="12">
        <v>0.8</v>
      </c>
      <c r="V1048" s="12"/>
      <c r="W1048" s="12">
        <v>8.5167681500787502</v>
      </c>
      <c r="X1048" s="12">
        <v>25.96487444183758</v>
      </c>
      <c r="Y1048" s="12">
        <v>2436.363636363636</v>
      </c>
      <c r="Z1048" s="12">
        <v>5.3225806451612891</v>
      </c>
      <c r="AA1048" s="12"/>
      <c r="AB1048" s="12" t="s">
        <v>1878</v>
      </c>
    </row>
    <row r="1049" spans="1:28" x14ac:dyDescent="0.3">
      <c r="A1049" s="12" t="s">
        <v>2954</v>
      </c>
      <c r="B1049" s="12" t="s">
        <v>128</v>
      </c>
      <c r="C1049" s="12" t="s">
        <v>128</v>
      </c>
      <c r="D1049" s="12" t="s">
        <v>129</v>
      </c>
      <c r="E1049" s="12" t="s">
        <v>1886</v>
      </c>
      <c r="F1049" s="12" t="s">
        <v>32</v>
      </c>
      <c r="G1049" s="12" t="s">
        <v>32</v>
      </c>
      <c r="H1049" s="12" t="b">
        <v>1</v>
      </c>
      <c r="I1049" s="12" t="b">
        <v>1</v>
      </c>
      <c r="J1049" s="12" t="b">
        <v>0</v>
      </c>
      <c r="K1049" s="12" t="b">
        <v>0</v>
      </c>
      <c r="L1049" s="12">
        <v>403</v>
      </c>
      <c r="M1049" s="12">
        <v>300.032917</v>
      </c>
      <c r="N1049" s="12">
        <v>3000</v>
      </c>
      <c r="O1049" s="12">
        <v>563.63636363636374</v>
      </c>
      <c r="P1049" s="12">
        <v>0.5</v>
      </c>
      <c r="Q1049" s="12">
        <v>0.85</v>
      </c>
      <c r="R1049" s="12">
        <v>0.75</v>
      </c>
      <c r="S1049" s="12">
        <v>0.85</v>
      </c>
      <c r="T1049" s="12">
        <v>0.83214285714285707</v>
      </c>
      <c r="U1049" s="12">
        <v>0.8</v>
      </c>
      <c r="V1049" s="12"/>
      <c r="W1049" s="12">
        <v>9.3578640335653702</v>
      </c>
      <c r="X1049" s="12">
        <v>26.47778313263867</v>
      </c>
      <c r="Y1049" s="12">
        <v>2436.363636363636</v>
      </c>
      <c r="Z1049" s="12">
        <v>5.3225806451612891</v>
      </c>
      <c r="AA1049" s="12"/>
      <c r="AB1049" s="12" t="s">
        <v>1878</v>
      </c>
    </row>
    <row r="1050" spans="1:28" x14ac:dyDescent="0.3">
      <c r="A1050" s="12" t="s">
        <v>2955</v>
      </c>
      <c r="B1050" s="12" t="s">
        <v>128</v>
      </c>
      <c r="C1050" s="12" t="s">
        <v>128</v>
      </c>
      <c r="D1050" s="12" t="s">
        <v>129</v>
      </c>
      <c r="E1050" s="12" t="s">
        <v>1886</v>
      </c>
      <c r="F1050" s="12" t="s">
        <v>32</v>
      </c>
      <c r="G1050" s="12" t="s">
        <v>32</v>
      </c>
      <c r="H1050" s="12" t="b">
        <v>1</v>
      </c>
      <c r="I1050" s="12" t="b">
        <v>1</v>
      </c>
      <c r="J1050" s="12" t="b">
        <v>0</v>
      </c>
      <c r="K1050" s="12" t="b">
        <v>0</v>
      </c>
      <c r="L1050" s="12">
        <v>403</v>
      </c>
      <c r="M1050" s="12">
        <v>300.032917</v>
      </c>
      <c r="N1050" s="12">
        <v>3000</v>
      </c>
      <c r="O1050" s="12">
        <v>563.63636363636374</v>
      </c>
      <c r="P1050" s="12">
        <v>0.5</v>
      </c>
      <c r="Q1050" s="12">
        <v>0.85</v>
      </c>
      <c r="R1050" s="12">
        <v>0.75</v>
      </c>
      <c r="S1050" s="12">
        <v>0.85</v>
      </c>
      <c r="T1050" s="12">
        <v>0.87142857142857144</v>
      </c>
      <c r="U1050" s="12">
        <v>0.8</v>
      </c>
      <c r="V1050" s="12"/>
      <c r="W1050" s="12">
        <v>9.8391837047449506</v>
      </c>
      <c r="X1050" s="12">
        <v>26.73937524815587</v>
      </c>
      <c r="Y1050" s="12">
        <v>2436.363636363636</v>
      </c>
      <c r="Z1050" s="12">
        <v>5.3225806451612891</v>
      </c>
      <c r="AA1050" s="12"/>
      <c r="AB1050" s="12" t="s">
        <v>1878</v>
      </c>
    </row>
    <row r="1051" spans="1:28" x14ac:dyDescent="0.3">
      <c r="A1051" s="12" t="s">
        <v>2956</v>
      </c>
      <c r="B1051" s="12" t="s">
        <v>128</v>
      </c>
      <c r="C1051" s="12" t="s">
        <v>128</v>
      </c>
      <c r="D1051" s="12" t="s">
        <v>129</v>
      </c>
      <c r="E1051" s="12" t="s">
        <v>1886</v>
      </c>
      <c r="F1051" s="12" t="s">
        <v>32</v>
      </c>
      <c r="G1051" s="12" t="s">
        <v>32</v>
      </c>
      <c r="H1051" s="12" t="b">
        <v>1</v>
      </c>
      <c r="I1051" s="12" t="b">
        <v>1</v>
      </c>
      <c r="J1051" s="12" t="b">
        <v>0</v>
      </c>
      <c r="K1051" s="12" t="b">
        <v>0</v>
      </c>
      <c r="L1051" s="12">
        <v>403</v>
      </c>
      <c r="M1051" s="12">
        <v>300.032917</v>
      </c>
      <c r="N1051" s="12">
        <v>3000</v>
      </c>
      <c r="O1051" s="12">
        <v>563.63636363636374</v>
      </c>
      <c r="P1051" s="12">
        <v>0.5</v>
      </c>
      <c r="Q1051" s="12">
        <v>0.85</v>
      </c>
      <c r="R1051" s="12">
        <v>0.75</v>
      </c>
      <c r="S1051" s="12">
        <v>0.85</v>
      </c>
      <c r="T1051" s="12">
        <v>0.91071428571428559</v>
      </c>
      <c r="U1051" s="12">
        <v>0.8</v>
      </c>
      <c r="V1051" s="12"/>
      <c r="W1051" s="12">
        <v>10.369183925254671</v>
      </c>
      <c r="X1051" s="12">
        <v>27.004467314404021</v>
      </c>
      <c r="Y1051" s="12">
        <v>2436.363636363636</v>
      </c>
      <c r="Z1051" s="12">
        <v>5.3225806451612891</v>
      </c>
      <c r="AA1051" s="12"/>
      <c r="AB1051" s="12" t="s">
        <v>1878</v>
      </c>
    </row>
    <row r="1052" spans="1:28" x14ac:dyDescent="0.3">
      <c r="A1052" s="12" t="s">
        <v>2957</v>
      </c>
      <c r="B1052" s="12" t="s">
        <v>128</v>
      </c>
      <c r="C1052" s="12" t="s">
        <v>128</v>
      </c>
      <c r="D1052" s="12" t="s">
        <v>129</v>
      </c>
      <c r="E1052" s="12" t="s">
        <v>1886</v>
      </c>
      <c r="F1052" s="12" t="s">
        <v>32</v>
      </c>
      <c r="G1052" s="12" t="s">
        <v>32</v>
      </c>
      <c r="H1052" s="12" t="b">
        <v>1</v>
      </c>
      <c r="I1052" s="12" t="b">
        <v>1</v>
      </c>
      <c r="J1052" s="12" t="b">
        <v>0</v>
      </c>
      <c r="K1052" s="12" t="b">
        <v>0</v>
      </c>
      <c r="L1052" s="12">
        <v>403</v>
      </c>
      <c r="M1052" s="12">
        <v>300.032917</v>
      </c>
      <c r="N1052" s="12">
        <v>3000</v>
      </c>
      <c r="O1052" s="12">
        <v>563.63636363636374</v>
      </c>
      <c r="P1052" s="12">
        <v>0.5</v>
      </c>
      <c r="Q1052" s="12">
        <v>0.85</v>
      </c>
      <c r="R1052" s="12">
        <v>0.75</v>
      </c>
      <c r="S1052" s="12">
        <v>0.85</v>
      </c>
      <c r="T1052" s="12">
        <v>0.95</v>
      </c>
      <c r="U1052" s="12">
        <v>0.8</v>
      </c>
      <c r="V1052" s="12"/>
      <c r="W1052" s="12">
        <v>10.955585500514889</v>
      </c>
      <c r="X1052" s="12">
        <v>27.273102149854779</v>
      </c>
      <c r="Y1052" s="12">
        <v>2436.363636363636</v>
      </c>
      <c r="Z1052" s="12">
        <v>5.3225806451612891</v>
      </c>
      <c r="AA1052" s="12"/>
      <c r="AB1052" s="12" t="s">
        <v>1878</v>
      </c>
    </row>
    <row r="1053" spans="1:28" x14ac:dyDescent="0.3">
      <c r="A1053" s="12" t="s">
        <v>2958</v>
      </c>
      <c r="B1053" s="12" t="s">
        <v>128</v>
      </c>
      <c r="C1053" s="12" t="s">
        <v>128</v>
      </c>
      <c r="D1053" s="12" t="s">
        <v>129</v>
      </c>
      <c r="E1053" s="12" t="s">
        <v>2821</v>
      </c>
      <c r="F1053" s="12" t="s">
        <v>32</v>
      </c>
      <c r="G1053" s="12" t="s">
        <v>32</v>
      </c>
      <c r="H1053" s="12" t="b">
        <v>1</v>
      </c>
      <c r="I1053" s="12" t="b">
        <v>1</v>
      </c>
      <c r="J1053" s="12" t="b">
        <v>0</v>
      </c>
      <c r="K1053" s="12" t="b">
        <v>0</v>
      </c>
      <c r="L1053" s="12">
        <v>403</v>
      </c>
      <c r="M1053" s="12">
        <v>300.032917</v>
      </c>
      <c r="N1053" s="12">
        <v>3000</v>
      </c>
      <c r="O1053" s="12">
        <v>563.63636363636374</v>
      </c>
      <c r="P1053" s="12">
        <v>0.5</v>
      </c>
      <c r="Q1053" s="12">
        <v>0.85</v>
      </c>
      <c r="R1053" s="12">
        <v>0.75</v>
      </c>
      <c r="S1053" s="12">
        <v>0.85</v>
      </c>
      <c r="T1053" s="12">
        <v>0.74450000000000005</v>
      </c>
      <c r="U1053" s="12">
        <v>0.8</v>
      </c>
      <c r="V1053" s="12"/>
      <c r="W1053" s="12">
        <v>8.4286982693751504</v>
      </c>
      <c r="X1053" s="12">
        <v>25.906526448329579</v>
      </c>
      <c r="Y1053" s="12">
        <v>2436.363636363636</v>
      </c>
      <c r="Z1053" s="12">
        <v>5.3225806451612891</v>
      </c>
      <c r="AA1053" s="12"/>
      <c r="AB1053" s="12" t="s">
        <v>1878</v>
      </c>
    </row>
    <row r="1054" spans="1:28" x14ac:dyDescent="0.3">
      <c r="A1054" s="12" t="s">
        <v>2959</v>
      </c>
      <c r="B1054" s="12" t="s">
        <v>128</v>
      </c>
      <c r="C1054" s="12" t="s">
        <v>128</v>
      </c>
      <c r="D1054" s="12" t="s">
        <v>129</v>
      </c>
      <c r="E1054" s="12" t="s">
        <v>2821</v>
      </c>
      <c r="F1054" s="12" t="s">
        <v>32</v>
      </c>
      <c r="G1054" s="12" t="s">
        <v>32</v>
      </c>
      <c r="H1054" s="12" t="b">
        <v>1</v>
      </c>
      <c r="I1054" s="12" t="b">
        <v>1</v>
      </c>
      <c r="J1054" s="12" t="b">
        <v>0</v>
      </c>
      <c r="K1054" s="12" t="b">
        <v>0</v>
      </c>
      <c r="L1054" s="12">
        <v>403</v>
      </c>
      <c r="M1054" s="12">
        <v>300.032917</v>
      </c>
      <c r="N1054" s="12">
        <v>3000</v>
      </c>
      <c r="O1054" s="12">
        <v>563.63636363636374</v>
      </c>
      <c r="P1054" s="12">
        <v>0.5</v>
      </c>
      <c r="Q1054" s="12">
        <v>0.85</v>
      </c>
      <c r="R1054" s="12">
        <v>0.75</v>
      </c>
      <c r="S1054" s="12">
        <v>0.85</v>
      </c>
      <c r="T1054" s="12">
        <v>0.75549999999999995</v>
      </c>
      <c r="U1054" s="12">
        <v>0.8</v>
      </c>
      <c r="V1054" s="12"/>
      <c r="W1054" s="12">
        <v>8.535713107749201</v>
      </c>
      <c r="X1054" s="12">
        <v>25.97730215299762</v>
      </c>
      <c r="Y1054" s="12">
        <v>2436.363636363636</v>
      </c>
      <c r="Z1054" s="12">
        <v>5.3225806451612891</v>
      </c>
      <c r="AA1054" s="12"/>
      <c r="AB1054" s="12" t="s">
        <v>1878</v>
      </c>
    </row>
    <row r="1055" spans="1:28" x14ac:dyDescent="0.3">
      <c r="A1055" s="12" t="s">
        <v>2960</v>
      </c>
      <c r="B1055" s="12" t="s">
        <v>128</v>
      </c>
      <c r="C1055" s="12" t="s">
        <v>128</v>
      </c>
      <c r="D1055" s="12" t="s">
        <v>129</v>
      </c>
      <c r="E1055" s="12" t="s">
        <v>1886</v>
      </c>
      <c r="F1055" s="12" t="s">
        <v>832</v>
      </c>
      <c r="G1055" s="12" t="s">
        <v>832</v>
      </c>
      <c r="H1055" s="12" t="b">
        <v>0</v>
      </c>
      <c r="I1055" s="12" t="b">
        <v>0</v>
      </c>
      <c r="J1055" s="12" t="b">
        <v>0</v>
      </c>
      <c r="K1055" s="12" t="b">
        <v>0</v>
      </c>
      <c r="L1055" s="12">
        <v>403</v>
      </c>
      <c r="M1055" s="12">
        <v>300.032917</v>
      </c>
      <c r="N1055" s="12">
        <v>3000</v>
      </c>
      <c r="O1055" s="12">
        <v>563.63636363636374</v>
      </c>
      <c r="P1055" s="12">
        <v>0.5</v>
      </c>
      <c r="Q1055" s="12">
        <v>0.85</v>
      </c>
      <c r="R1055" s="12">
        <v>0.75</v>
      </c>
      <c r="S1055" s="12">
        <v>0.85</v>
      </c>
      <c r="T1055" s="12">
        <v>0.75</v>
      </c>
      <c r="U1055" s="12">
        <v>0.4</v>
      </c>
      <c r="V1055" s="12"/>
      <c r="W1055" s="12"/>
      <c r="X1055" s="12"/>
      <c r="Y1055" s="12">
        <v>2436.363636363636</v>
      </c>
      <c r="Z1055" s="12">
        <v>5.3225806451612891</v>
      </c>
      <c r="AA1055" s="12"/>
      <c r="AB1055" s="12" t="s">
        <v>1879</v>
      </c>
    </row>
    <row r="1056" spans="1:28" x14ac:dyDescent="0.3">
      <c r="A1056" s="12" t="s">
        <v>2961</v>
      </c>
      <c r="B1056" s="12" t="s">
        <v>128</v>
      </c>
      <c r="C1056" s="12" t="s">
        <v>128</v>
      </c>
      <c r="D1056" s="12" t="s">
        <v>129</v>
      </c>
      <c r="E1056" s="12" t="s">
        <v>1886</v>
      </c>
      <c r="F1056" s="12" t="s">
        <v>832</v>
      </c>
      <c r="G1056" s="12" t="s">
        <v>832</v>
      </c>
      <c r="H1056" s="12" t="b">
        <v>0</v>
      </c>
      <c r="I1056" s="12" t="b">
        <v>0</v>
      </c>
      <c r="J1056" s="12" t="b">
        <v>0</v>
      </c>
      <c r="K1056" s="12" t="b">
        <v>0</v>
      </c>
      <c r="L1056" s="12">
        <v>403</v>
      </c>
      <c r="M1056" s="12">
        <v>300.032917</v>
      </c>
      <c r="N1056" s="12">
        <v>3000</v>
      </c>
      <c r="O1056" s="12">
        <v>563.63636363636374</v>
      </c>
      <c r="P1056" s="12">
        <v>0.5</v>
      </c>
      <c r="Q1056" s="12">
        <v>0.85</v>
      </c>
      <c r="R1056" s="12">
        <v>0.75</v>
      </c>
      <c r="S1056" s="12">
        <v>0.85</v>
      </c>
      <c r="T1056" s="12">
        <v>0.75</v>
      </c>
      <c r="U1056" s="12">
        <v>0.43928571428571428</v>
      </c>
      <c r="V1056" s="12"/>
      <c r="W1056" s="12"/>
      <c r="X1056" s="12"/>
      <c r="Y1056" s="12">
        <v>2436.363636363636</v>
      </c>
      <c r="Z1056" s="12">
        <v>5.3225806451612891</v>
      </c>
      <c r="AA1056" s="12"/>
      <c r="AB1056" s="12" t="s">
        <v>1879</v>
      </c>
    </row>
    <row r="1057" spans="1:28" x14ac:dyDescent="0.3">
      <c r="A1057" s="12" t="s">
        <v>2962</v>
      </c>
      <c r="B1057" s="12" t="s">
        <v>128</v>
      </c>
      <c r="C1057" s="12" t="s">
        <v>128</v>
      </c>
      <c r="D1057" s="12" t="s">
        <v>129</v>
      </c>
      <c r="E1057" s="12" t="s">
        <v>1886</v>
      </c>
      <c r="F1057" s="12" t="s">
        <v>832</v>
      </c>
      <c r="G1057" s="12" t="s">
        <v>832</v>
      </c>
      <c r="H1057" s="12" t="b">
        <v>0</v>
      </c>
      <c r="I1057" s="12" t="b">
        <v>0</v>
      </c>
      <c r="J1057" s="12" t="b">
        <v>0</v>
      </c>
      <c r="K1057" s="12" t="b">
        <v>0</v>
      </c>
      <c r="L1057" s="12">
        <v>403</v>
      </c>
      <c r="M1057" s="12">
        <v>300.032917</v>
      </c>
      <c r="N1057" s="12">
        <v>3000</v>
      </c>
      <c r="O1057" s="12">
        <v>563.63636363636374</v>
      </c>
      <c r="P1057" s="12">
        <v>0.5</v>
      </c>
      <c r="Q1057" s="12">
        <v>0.85</v>
      </c>
      <c r="R1057" s="12">
        <v>0.75</v>
      </c>
      <c r="S1057" s="12">
        <v>0.85</v>
      </c>
      <c r="T1057" s="12">
        <v>0.75</v>
      </c>
      <c r="U1057" s="12">
        <v>0.47857142857142859</v>
      </c>
      <c r="V1057" s="12"/>
      <c r="W1057" s="12"/>
      <c r="X1057" s="12"/>
      <c r="Y1057" s="12">
        <v>2436.363636363636</v>
      </c>
      <c r="Z1057" s="12">
        <v>5.3225806451612891</v>
      </c>
      <c r="AA1057" s="12"/>
      <c r="AB1057" s="12" t="s">
        <v>1879</v>
      </c>
    </row>
    <row r="1058" spans="1:28" x14ac:dyDescent="0.3">
      <c r="A1058" s="12" t="s">
        <v>2963</v>
      </c>
      <c r="B1058" s="12" t="s">
        <v>128</v>
      </c>
      <c r="C1058" s="12" t="s">
        <v>128</v>
      </c>
      <c r="D1058" s="12" t="s">
        <v>129</v>
      </c>
      <c r="E1058" s="12" t="s">
        <v>1886</v>
      </c>
      <c r="F1058" s="12" t="s">
        <v>832</v>
      </c>
      <c r="G1058" s="12" t="s">
        <v>832</v>
      </c>
      <c r="H1058" s="12" t="b">
        <v>0</v>
      </c>
      <c r="I1058" s="12" t="b">
        <v>0</v>
      </c>
      <c r="J1058" s="12" t="b">
        <v>0</v>
      </c>
      <c r="K1058" s="12" t="b">
        <v>0</v>
      </c>
      <c r="L1058" s="12">
        <v>403</v>
      </c>
      <c r="M1058" s="12">
        <v>300.032917</v>
      </c>
      <c r="N1058" s="12">
        <v>3000</v>
      </c>
      <c r="O1058" s="12">
        <v>563.63636363636374</v>
      </c>
      <c r="P1058" s="12">
        <v>0.5</v>
      </c>
      <c r="Q1058" s="12">
        <v>0.85</v>
      </c>
      <c r="R1058" s="12">
        <v>0.75</v>
      </c>
      <c r="S1058" s="12">
        <v>0.85</v>
      </c>
      <c r="T1058" s="12">
        <v>0.75</v>
      </c>
      <c r="U1058" s="12">
        <v>0.5178571428571429</v>
      </c>
      <c r="V1058" s="12"/>
      <c r="W1058" s="12"/>
      <c r="X1058" s="12"/>
      <c r="Y1058" s="12">
        <v>2436.363636363636</v>
      </c>
      <c r="Z1058" s="12">
        <v>5.3225806451612891</v>
      </c>
      <c r="AA1058" s="12"/>
      <c r="AB1058" s="12" t="s">
        <v>1879</v>
      </c>
    </row>
    <row r="1059" spans="1:28" x14ac:dyDescent="0.3">
      <c r="A1059" s="12" t="s">
        <v>2964</v>
      </c>
      <c r="B1059" s="12" t="s">
        <v>128</v>
      </c>
      <c r="C1059" s="12" t="s">
        <v>128</v>
      </c>
      <c r="D1059" s="12" t="s">
        <v>129</v>
      </c>
      <c r="E1059" s="12" t="s">
        <v>1886</v>
      </c>
      <c r="F1059" s="12" t="s">
        <v>1861</v>
      </c>
      <c r="G1059" s="12" t="s">
        <v>1861</v>
      </c>
      <c r="H1059" s="12" t="b">
        <v>1</v>
      </c>
      <c r="I1059" s="12" t="b">
        <v>0</v>
      </c>
      <c r="J1059" s="12" t="b">
        <v>0</v>
      </c>
      <c r="K1059" s="12" t="b">
        <v>0</v>
      </c>
      <c r="L1059" s="12">
        <v>403</v>
      </c>
      <c r="M1059" s="12">
        <v>300.032917</v>
      </c>
      <c r="N1059" s="12">
        <v>3000</v>
      </c>
      <c r="O1059" s="12">
        <v>563.63636363636374</v>
      </c>
      <c r="P1059" s="12">
        <v>0.5</v>
      </c>
      <c r="Q1059" s="12">
        <v>0.85</v>
      </c>
      <c r="R1059" s="12">
        <v>0.75</v>
      </c>
      <c r="S1059" s="12">
        <v>0.85</v>
      </c>
      <c r="T1059" s="12">
        <v>0.75</v>
      </c>
      <c r="U1059" s="12">
        <v>0.55714285714285716</v>
      </c>
      <c r="V1059" s="12"/>
      <c r="W1059" s="12">
        <v>8.0591596198353201</v>
      </c>
      <c r="X1059" s="12">
        <v>21.383195489817961</v>
      </c>
      <c r="Y1059" s="12">
        <v>2436.363636363636</v>
      </c>
      <c r="Z1059" s="12">
        <v>5.3225806451612891</v>
      </c>
      <c r="AA1059" s="12" t="s">
        <v>1268</v>
      </c>
      <c r="AB1059" s="12" t="s">
        <v>1879</v>
      </c>
    </row>
    <row r="1060" spans="1:28" x14ac:dyDescent="0.3">
      <c r="A1060" s="12" t="s">
        <v>2965</v>
      </c>
      <c r="B1060" s="12" t="s">
        <v>128</v>
      </c>
      <c r="C1060" s="12" t="s">
        <v>128</v>
      </c>
      <c r="D1060" s="12" t="s">
        <v>129</v>
      </c>
      <c r="E1060" s="12" t="s">
        <v>1886</v>
      </c>
      <c r="F1060" s="12" t="s">
        <v>1861</v>
      </c>
      <c r="G1060" s="12" t="s">
        <v>1861</v>
      </c>
      <c r="H1060" s="12" t="b">
        <v>1</v>
      </c>
      <c r="I1060" s="12" t="b">
        <v>0</v>
      </c>
      <c r="J1060" s="12" t="b">
        <v>0</v>
      </c>
      <c r="K1060" s="12" t="b">
        <v>0</v>
      </c>
      <c r="L1060" s="12">
        <v>403</v>
      </c>
      <c r="M1060" s="12">
        <v>300.032917</v>
      </c>
      <c r="N1060" s="12">
        <v>3000</v>
      </c>
      <c r="O1060" s="12">
        <v>563.63636363636374</v>
      </c>
      <c r="P1060" s="12">
        <v>0.5</v>
      </c>
      <c r="Q1060" s="12">
        <v>0.85</v>
      </c>
      <c r="R1060" s="12">
        <v>0.75</v>
      </c>
      <c r="S1060" s="12">
        <v>0.85</v>
      </c>
      <c r="T1060" s="12">
        <v>0.75</v>
      </c>
      <c r="U1060" s="12">
        <v>0.75357142857142856</v>
      </c>
      <c r="V1060" s="12"/>
      <c r="W1060" s="12">
        <v>8.6562081101418507</v>
      </c>
      <c r="X1060" s="12">
        <v>25.945032639357741</v>
      </c>
      <c r="Y1060" s="12">
        <v>2436.363636363636</v>
      </c>
      <c r="Z1060" s="12">
        <v>5.3225806451612891</v>
      </c>
      <c r="AA1060" s="12" t="s">
        <v>1268</v>
      </c>
      <c r="AB1060" s="12" t="s">
        <v>1879</v>
      </c>
    </row>
    <row r="1061" spans="1:28" x14ac:dyDescent="0.3">
      <c r="A1061" s="12" t="s">
        <v>2966</v>
      </c>
      <c r="B1061" s="12" t="s">
        <v>128</v>
      </c>
      <c r="C1061" s="12" t="s">
        <v>128</v>
      </c>
      <c r="D1061" s="12" t="s">
        <v>129</v>
      </c>
      <c r="E1061" s="12" t="s">
        <v>1886</v>
      </c>
      <c r="F1061" s="12" t="s">
        <v>1861</v>
      </c>
      <c r="G1061" s="12" t="s">
        <v>1861</v>
      </c>
      <c r="H1061" s="12" t="b">
        <v>1</v>
      </c>
      <c r="I1061" s="12" t="b">
        <v>0</v>
      </c>
      <c r="J1061" s="12" t="b">
        <v>0</v>
      </c>
      <c r="K1061" s="12" t="b">
        <v>0</v>
      </c>
      <c r="L1061" s="12">
        <v>403</v>
      </c>
      <c r="M1061" s="12">
        <v>300.032917</v>
      </c>
      <c r="N1061" s="12">
        <v>3000</v>
      </c>
      <c r="O1061" s="12">
        <v>563.63636363636374</v>
      </c>
      <c r="P1061" s="12">
        <v>0.5</v>
      </c>
      <c r="Q1061" s="12">
        <v>0.85</v>
      </c>
      <c r="R1061" s="12">
        <v>0.75</v>
      </c>
      <c r="S1061" s="12">
        <v>0.85</v>
      </c>
      <c r="T1061" s="12">
        <v>0.75</v>
      </c>
      <c r="U1061" s="12">
        <v>0.67500000000000004</v>
      </c>
      <c r="V1061" s="12"/>
      <c r="W1061" s="12">
        <v>8.7565764230868997</v>
      </c>
      <c r="X1061" s="12">
        <v>25.208979353252751</v>
      </c>
      <c r="Y1061" s="12">
        <v>2436.363636363636</v>
      </c>
      <c r="Z1061" s="12">
        <v>5.3225806451612891</v>
      </c>
      <c r="AA1061" s="12" t="s">
        <v>1268</v>
      </c>
      <c r="AB1061" s="12" t="s">
        <v>1879</v>
      </c>
    </row>
    <row r="1062" spans="1:28" x14ac:dyDescent="0.3">
      <c r="A1062" s="12" t="s">
        <v>2967</v>
      </c>
      <c r="B1062" s="12" t="s">
        <v>128</v>
      </c>
      <c r="C1062" s="12" t="s">
        <v>128</v>
      </c>
      <c r="D1062" s="12" t="s">
        <v>129</v>
      </c>
      <c r="E1062" s="12" t="s">
        <v>1886</v>
      </c>
      <c r="F1062" s="12" t="s">
        <v>1861</v>
      </c>
      <c r="G1062" s="12" t="s">
        <v>1861</v>
      </c>
      <c r="H1062" s="12" t="b">
        <v>1</v>
      </c>
      <c r="I1062" s="12" t="b">
        <v>0</v>
      </c>
      <c r="J1062" s="12" t="b">
        <v>0</v>
      </c>
      <c r="K1062" s="12" t="b">
        <v>0</v>
      </c>
      <c r="L1062" s="12">
        <v>403</v>
      </c>
      <c r="M1062" s="12">
        <v>300.032917</v>
      </c>
      <c r="N1062" s="12">
        <v>3000</v>
      </c>
      <c r="O1062" s="12">
        <v>563.63636363636374</v>
      </c>
      <c r="P1062" s="12">
        <v>0.5</v>
      </c>
      <c r="Q1062" s="12">
        <v>0.85</v>
      </c>
      <c r="R1062" s="12">
        <v>0.75</v>
      </c>
      <c r="S1062" s="12">
        <v>0.85</v>
      </c>
      <c r="T1062" s="12">
        <v>0.75</v>
      </c>
      <c r="U1062" s="12">
        <v>0.59642857142857142</v>
      </c>
      <c r="V1062" s="12"/>
      <c r="W1062" s="12">
        <v>8.4548540086650501</v>
      </c>
      <c r="X1062" s="12">
        <v>23.135489033399249</v>
      </c>
      <c r="Y1062" s="12">
        <v>2436.363636363636</v>
      </c>
      <c r="Z1062" s="12">
        <v>5.3225806451612891</v>
      </c>
      <c r="AA1062" s="12" t="s">
        <v>1268</v>
      </c>
      <c r="AB1062" s="12" t="s">
        <v>1879</v>
      </c>
    </row>
    <row r="1063" spans="1:28" x14ac:dyDescent="0.3">
      <c r="A1063" s="12" t="s">
        <v>2968</v>
      </c>
      <c r="B1063" s="12" t="s">
        <v>128</v>
      </c>
      <c r="C1063" s="12" t="s">
        <v>128</v>
      </c>
      <c r="D1063" s="12" t="s">
        <v>129</v>
      </c>
      <c r="E1063" s="12" t="s">
        <v>1886</v>
      </c>
      <c r="F1063" s="12" t="s">
        <v>1861</v>
      </c>
      <c r="G1063" s="12" t="s">
        <v>1861</v>
      </c>
      <c r="H1063" s="12" t="b">
        <v>1</v>
      </c>
      <c r="I1063" s="12" t="b">
        <v>0</v>
      </c>
      <c r="J1063" s="12" t="b">
        <v>0</v>
      </c>
      <c r="K1063" s="12" t="b">
        <v>0</v>
      </c>
      <c r="L1063" s="12">
        <v>403</v>
      </c>
      <c r="M1063" s="12">
        <v>300.032917</v>
      </c>
      <c r="N1063" s="12">
        <v>3000</v>
      </c>
      <c r="O1063" s="12">
        <v>563.63636363636374</v>
      </c>
      <c r="P1063" s="12">
        <v>0.5</v>
      </c>
      <c r="Q1063" s="12">
        <v>0.85</v>
      </c>
      <c r="R1063" s="12">
        <v>0.75</v>
      </c>
      <c r="S1063" s="12">
        <v>0.85</v>
      </c>
      <c r="T1063" s="12">
        <v>0.75</v>
      </c>
      <c r="U1063" s="12">
        <v>0.71428571428571419</v>
      </c>
      <c r="V1063" s="12"/>
      <c r="W1063" s="12">
        <v>8.7434206745801291</v>
      </c>
      <c r="X1063" s="12">
        <v>25.711247024231451</v>
      </c>
      <c r="Y1063" s="12">
        <v>2436.363636363636</v>
      </c>
      <c r="Z1063" s="12">
        <v>5.3225806451612891</v>
      </c>
      <c r="AA1063" s="12" t="s">
        <v>1268</v>
      </c>
      <c r="AB1063" s="12" t="s">
        <v>1879</v>
      </c>
    </row>
    <row r="1064" spans="1:28" x14ac:dyDescent="0.3">
      <c r="A1064" s="12" t="s">
        <v>2969</v>
      </c>
      <c r="B1064" s="12" t="s">
        <v>128</v>
      </c>
      <c r="C1064" s="12" t="s">
        <v>128</v>
      </c>
      <c r="D1064" s="12" t="s">
        <v>129</v>
      </c>
      <c r="E1064" s="12" t="s">
        <v>1886</v>
      </c>
      <c r="F1064" s="12" t="s">
        <v>1861</v>
      </c>
      <c r="G1064" s="12" t="s">
        <v>1861</v>
      </c>
      <c r="H1064" s="12" t="b">
        <v>1</v>
      </c>
      <c r="I1064" s="12" t="b">
        <v>0</v>
      </c>
      <c r="J1064" s="12" t="b">
        <v>0</v>
      </c>
      <c r="K1064" s="12" t="b">
        <v>0</v>
      </c>
      <c r="L1064" s="12">
        <v>403</v>
      </c>
      <c r="M1064" s="12">
        <v>300.032917</v>
      </c>
      <c r="N1064" s="12">
        <v>3000</v>
      </c>
      <c r="O1064" s="12">
        <v>563.63636363636374</v>
      </c>
      <c r="P1064" s="12">
        <v>0.5</v>
      </c>
      <c r="Q1064" s="12">
        <v>0.85</v>
      </c>
      <c r="R1064" s="12">
        <v>0.75</v>
      </c>
      <c r="S1064" s="12">
        <v>0.85</v>
      </c>
      <c r="T1064" s="12">
        <v>0.75</v>
      </c>
      <c r="U1064" s="12">
        <v>0.63571428571428568</v>
      </c>
      <c r="V1064" s="12"/>
      <c r="W1064" s="12">
        <v>8.67152951239059</v>
      </c>
      <c r="X1064" s="12">
        <v>24.37665711592302</v>
      </c>
      <c r="Y1064" s="12">
        <v>2436.363636363636</v>
      </c>
      <c r="Z1064" s="12">
        <v>5.3225806451612891</v>
      </c>
      <c r="AA1064" s="12" t="s">
        <v>1268</v>
      </c>
      <c r="AB1064" s="12" t="s">
        <v>1879</v>
      </c>
    </row>
    <row r="1065" spans="1:28" x14ac:dyDescent="0.3">
      <c r="A1065" s="12" t="s">
        <v>2970</v>
      </c>
      <c r="B1065" s="12" t="s">
        <v>128</v>
      </c>
      <c r="C1065" s="12" t="s">
        <v>128</v>
      </c>
      <c r="D1065" s="12" t="s">
        <v>129</v>
      </c>
      <c r="E1065" s="12" t="s">
        <v>1886</v>
      </c>
      <c r="F1065" s="12" t="s">
        <v>32</v>
      </c>
      <c r="G1065" s="12" t="s">
        <v>32</v>
      </c>
      <c r="H1065" s="12" t="b">
        <v>1</v>
      </c>
      <c r="I1065" s="12" t="b">
        <v>1</v>
      </c>
      <c r="J1065" s="12" t="b">
        <v>0</v>
      </c>
      <c r="K1065" s="12" t="b">
        <v>0</v>
      </c>
      <c r="L1065" s="12">
        <v>403</v>
      </c>
      <c r="M1065" s="12">
        <v>300.032917</v>
      </c>
      <c r="N1065" s="12">
        <v>3000</v>
      </c>
      <c r="O1065" s="12">
        <v>563.63636363636374</v>
      </c>
      <c r="P1065" s="12">
        <v>0.5</v>
      </c>
      <c r="Q1065" s="12">
        <v>0.85</v>
      </c>
      <c r="R1065" s="12">
        <v>0.75</v>
      </c>
      <c r="S1065" s="12">
        <v>0.85</v>
      </c>
      <c r="T1065" s="12">
        <v>0.75</v>
      </c>
      <c r="U1065" s="12">
        <v>0.91071428571428559</v>
      </c>
      <c r="V1065" s="12"/>
      <c r="W1065" s="12">
        <v>8.0615436257084401</v>
      </c>
      <c r="X1065" s="12">
        <v>25.6880869636638</v>
      </c>
      <c r="Y1065" s="12">
        <v>2436.363636363636</v>
      </c>
      <c r="Z1065" s="12">
        <v>5.3225806451612891</v>
      </c>
      <c r="AA1065" s="12"/>
      <c r="AB1065" s="12" t="s">
        <v>1879</v>
      </c>
    </row>
    <row r="1066" spans="1:28" x14ac:dyDescent="0.3">
      <c r="A1066" s="12" t="s">
        <v>2971</v>
      </c>
      <c r="B1066" s="12" t="s">
        <v>128</v>
      </c>
      <c r="C1066" s="12" t="s">
        <v>128</v>
      </c>
      <c r="D1066" s="12" t="s">
        <v>129</v>
      </c>
      <c r="E1066" s="12" t="s">
        <v>1886</v>
      </c>
      <c r="F1066" s="12" t="s">
        <v>32</v>
      </c>
      <c r="G1066" s="12" t="s">
        <v>32</v>
      </c>
      <c r="H1066" s="12" t="b">
        <v>1</v>
      </c>
      <c r="I1066" s="12" t="b">
        <v>1</v>
      </c>
      <c r="J1066" s="12" t="b">
        <v>0</v>
      </c>
      <c r="K1066" s="12" t="b">
        <v>0</v>
      </c>
      <c r="L1066" s="12">
        <v>403</v>
      </c>
      <c r="M1066" s="12">
        <v>300.032917</v>
      </c>
      <c r="N1066" s="12">
        <v>3000</v>
      </c>
      <c r="O1066" s="12">
        <v>563.63636363636374</v>
      </c>
      <c r="P1066" s="12">
        <v>0.5</v>
      </c>
      <c r="Q1066" s="12">
        <v>0.85</v>
      </c>
      <c r="R1066" s="12">
        <v>0.75</v>
      </c>
      <c r="S1066" s="12">
        <v>0.85</v>
      </c>
      <c r="T1066" s="12">
        <v>0.75</v>
      </c>
      <c r="U1066" s="12">
        <v>0.83214285714285707</v>
      </c>
      <c r="V1066" s="12"/>
      <c r="W1066" s="12">
        <v>8.3486200220147389</v>
      </c>
      <c r="X1066" s="12">
        <v>25.86378151122852</v>
      </c>
      <c r="Y1066" s="12">
        <v>2436.363636363636</v>
      </c>
      <c r="Z1066" s="12">
        <v>5.3225806451612891</v>
      </c>
      <c r="AA1066" s="12"/>
      <c r="AB1066" s="12" t="s">
        <v>1879</v>
      </c>
    </row>
    <row r="1067" spans="1:28" x14ac:dyDescent="0.3">
      <c r="A1067" s="12" t="s">
        <v>2972</v>
      </c>
      <c r="B1067" s="12" t="s">
        <v>128</v>
      </c>
      <c r="C1067" s="12" t="s">
        <v>128</v>
      </c>
      <c r="D1067" s="12" t="s">
        <v>129</v>
      </c>
      <c r="E1067" s="12" t="s">
        <v>1886</v>
      </c>
      <c r="F1067" s="12" t="s">
        <v>32</v>
      </c>
      <c r="G1067" s="12" t="s">
        <v>32</v>
      </c>
      <c r="H1067" s="12" t="b">
        <v>1</v>
      </c>
      <c r="I1067" s="12" t="b">
        <v>1</v>
      </c>
      <c r="J1067" s="12" t="b">
        <v>0</v>
      </c>
      <c r="K1067" s="12" t="b">
        <v>0</v>
      </c>
      <c r="L1067" s="12">
        <v>403</v>
      </c>
      <c r="M1067" s="12">
        <v>300.032917</v>
      </c>
      <c r="N1067" s="12">
        <v>3000</v>
      </c>
      <c r="O1067" s="12">
        <v>563.63636363636374</v>
      </c>
      <c r="P1067" s="12">
        <v>0.5</v>
      </c>
      <c r="Q1067" s="12">
        <v>0.85</v>
      </c>
      <c r="R1067" s="12">
        <v>0.75</v>
      </c>
      <c r="S1067" s="12">
        <v>0.85</v>
      </c>
      <c r="T1067" s="12">
        <v>0.75</v>
      </c>
      <c r="U1067" s="12">
        <v>0.87142857142857144</v>
      </c>
      <c r="V1067" s="12"/>
      <c r="W1067" s="12">
        <v>8.1987705445133905</v>
      </c>
      <c r="X1067" s="12">
        <v>25.77337922825318</v>
      </c>
      <c r="Y1067" s="12">
        <v>2436.363636363636</v>
      </c>
      <c r="Z1067" s="12">
        <v>5.3225806451612891</v>
      </c>
      <c r="AA1067" s="12"/>
      <c r="AB1067" s="12" t="s">
        <v>1879</v>
      </c>
    </row>
    <row r="1068" spans="1:28" x14ac:dyDescent="0.3">
      <c r="A1068" s="12" t="s">
        <v>2973</v>
      </c>
      <c r="B1068" s="12" t="s">
        <v>128</v>
      </c>
      <c r="C1068" s="12" t="s">
        <v>128</v>
      </c>
      <c r="D1068" s="12" t="s">
        <v>129</v>
      </c>
      <c r="E1068" s="12" t="s">
        <v>1886</v>
      </c>
      <c r="F1068" s="12" t="s">
        <v>1861</v>
      </c>
      <c r="G1068" s="12" t="s">
        <v>1861</v>
      </c>
      <c r="H1068" s="12" t="b">
        <v>1</v>
      </c>
      <c r="I1068" s="12" t="b">
        <v>0</v>
      </c>
      <c r="J1068" s="12" t="b">
        <v>0</v>
      </c>
      <c r="K1068" s="12" t="b">
        <v>0</v>
      </c>
      <c r="L1068" s="12">
        <v>403</v>
      </c>
      <c r="M1068" s="12">
        <v>300.032917</v>
      </c>
      <c r="N1068" s="12">
        <v>3000</v>
      </c>
      <c r="O1068" s="12">
        <v>563.63636363636374</v>
      </c>
      <c r="P1068" s="12">
        <v>0.5</v>
      </c>
      <c r="Q1068" s="12">
        <v>0.85</v>
      </c>
      <c r="R1068" s="12">
        <v>0.75</v>
      </c>
      <c r="S1068" s="12">
        <v>0.85</v>
      </c>
      <c r="T1068" s="12">
        <v>0.75</v>
      </c>
      <c r="U1068" s="12">
        <v>0.79285714285714282</v>
      </c>
      <c r="V1068" s="12"/>
      <c r="W1068" s="12">
        <v>8.51269627068916</v>
      </c>
      <c r="X1068" s="12">
        <v>25.95901527592077</v>
      </c>
      <c r="Y1068" s="12">
        <v>2436.363636363636</v>
      </c>
      <c r="Z1068" s="12">
        <v>5.3225806451612891</v>
      </c>
      <c r="AA1068" s="12" t="s">
        <v>1268</v>
      </c>
      <c r="AB1068" s="12" t="s">
        <v>1879</v>
      </c>
    </row>
    <row r="1069" spans="1:28" x14ac:dyDescent="0.3">
      <c r="A1069" s="12" t="s">
        <v>2974</v>
      </c>
      <c r="B1069" s="12" t="s">
        <v>128</v>
      </c>
      <c r="C1069" s="12" t="s">
        <v>128</v>
      </c>
      <c r="D1069" s="12" t="s">
        <v>129</v>
      </c>
      <c r="E1069" s="12" t="s">
        <v>1886</v>
      </c>
      <c r="F1069" s="12" t="s">
        <v>32</v>
      </c>
      <c r="G1069" s="12" t="s">
        <v>32</v>
      </c>
      <c r="H1069" s="12" t="b">
        <v>1</v>
      </c>
      <c r="I1069" s="12" t="b">
        <v>1</v>
      </c>
      <c r="J1069" s="12" t="b">
        <v>0</v>
      </c>
      <c r="K1069" s="12" t="b">
        <v>0</v>
      </c>
      <c r="L1069" s="12">
        <v>403</v>
      </c>
      <c r="M1069" s="12">
        <v>300.032917</v>
      </c>
      <c r="N1069" s="12">
        <v>3000</v>
      </c>
      <c r="O1069" s="12">
        <v>563.63636363636374</v>
      </c>
      <c r="P1069" s="12">
        <v>0.5</v>
      </c>
      <c r="Q1069" s="12">
        <v>0.85</v>
      </c>
      <c r="R1069" s="12">
        <v>0.75</v>
      </c>
      <c r="S1069" s="12">
        <v>0.85</v>
      </c>
      <c r="T1069" s="12">
        <v>0.75</v>
      </c>
      <c r="U1069" s="12">
        <v>0.95</v>
      </c>
      <c r="V1069" s="12"/>
      <c r="W1069" s="12">
        <v>7.9354097060928996</v>
      </c>
      <c r="X1069" s="12">
        <v>25.60748833924379</v>
      </c>
      <c r="Y1069" s="12">
        <v>2436.363636363636</v>
      </c>
      <c r="Z1069" s="12">
        <v>5.3225806451612891</v>
      </c>
      <c r="AA1069" s="12"/>
      <c r="AB1069" s="12" t="s">
        <v>1879</v>
      </c>
    </row>
    <row r="1070" spans="1:28" x14ac:dyDescent="0.3">
      <c r="A1070" s="12" t="s">
        <v>2975</v>
      </c>
      <c r="B1070" s="12" t="s">
        <v>128</v>
      </c>
      <c r="C1070" s="12" t="s">
        <v>128</v>
      </c>
      <c r="D1070" s="12" t="s">
        <v>129</v>
      </c>
      <c r="E1070" s="12" t="s">
        <v>2821</v>
      </c>
      <c r="F1070" s="12" t="s">
        <v>1861</v>
      </c>
      <c r="G1070" s="12" t="s">
        <v>1861</v>
      </c>
      <c r="H1070" s="12" t="b">
        <v>1</v>
      </c>
      <c r="I1070" s="12" t="b">
        <v>0</v>
      </c>
      <c r="J1070" s="12" t="b">
        <v>0</v>
      </c>
      <c r="K1070" s="12" t="b">
        <v>0</v>
      </c>
      <c r="L1070" s="12">
        <v>403</v>
      </c>
      <c r="M1070" s="12">
        <v>300.032917</v>
      </c>
      <c r="N1070" s="12">
        <v>3000</v>
      </c>
      <c r="O1070" s="12">
        <v>563.63636363636374</v>
      </c>
      <c r="P1070" s="12">
        <v>0.5</v>
      </c>
      <c r="Q1070" s="12">
        <v>0.85</v>
      </c>
      <c r="R1070" s="12">
        <v>0.75</v>
      </c>
      <c r="S1070" s="12">
        <v>0.85</v>
      </c>
      <c r="T1070" s="12">
        <v>0.75</v>
      </c>
      <c r="U1070" s="12">
        <v>0.7945000000000001</v>
      </c>
      <c r="V1070" s="12"/>
      <c r="W1070" s="12">
        <v>8.5056795905580191</v>
      </c>
      <c r="X1070" s="12">
        <v>25.955423746241109</v>
      </c>
      <c r="Y1070" s="12">
        <v>2436.363636363636</v>
      </c>
      <c r="Z1070" s="12">
        <v>5.3225806451612891</v>
      </c>
      <c r="AA1070" s="12" t="s">
        <v>1268</v>
      </c>
      <c r="AB1070" s="12" t="s">
        <v>1879</v>
      </c>
    </row>
    <row r="1071" spans="1:28" x14ac:dyDescent="0.3">
      <c r="A1071" s="12" t="s">
        <v>2976</v>
      </c>
      <c r="B1071" s="12" t="s">
        <v>128</v>
      </c>
      <c r="C1071" s="12" t="s">
        <v>128</v>
      </c>
      <c r="D1071" s="12" t="s">
        <v>129</v>
      </c>
      <c r="E1071" s="12" t="s">
        <v>2821</v>
      </c>
      <c r="F1071" s="12" t="s">
        <v>32</v>
      </c>
      <c r="G1071" s="12" t="s">
        <v>32</v>
      </c>
      <c r="H1071" s="12" t="b">
        <v>1</v>
      </c>
      <c r="I1071" s="12" t="b">
        <v>1</v>
      </c>
      <c r="J1071" s="12" t="b">
        <v>0</v>
      </c>
      <c r="K1071" s="12" t="b">
        <v>0</v>
      </c>
      <c r="L1071" s="12">
        <v>403</v>
      </c>
      <c r="M1071" s="12">
        <v>300.032917</v>
      </c>
      <c r="N1071" s="12">
        <v>3000</v>
      </c>
      <c r="O1071" s="12">
        <v>563.63636363636374</v>
      </c>
      <c r="P1071" s="12">
        <v>0.5</v>
      </c>
      <c r="Q1071" s="12">
        <v>0.85</v>
      </c>
      <c r="R1071" s="12">
        <v>0.75</v>
      </c>
      <c r="S1071" s="12">
        <v>0.85</v>
      </c>
      <c r="T1071" s="12">
        <v>0.75</v>
      </c>
      <c r="U1071" s="12">
        <v>0.80549999999999999</v>
      </c>
      <c r="V1071" s="12"/>
      <c r="W1071" s="12">
        <v>8.4583513320303201</v>
      </c>
      <c r="X1071" s="12">
        <v>25.928240105362519</v>
      </c>
      <c r="Y1071" s="12">
        <v>2436.363636363636</v>
      </c>
      <c r="Z1071" s="12">
        <v>5.3225806451612891</v>
      </c>
      <c r="AA1071" s="12"/>
      <c r="AB1071" s="12" t="s">
        <v>1879</v>
      </c>
    </row>
    <row r="1072" spans="1:28" x14ac:dyDescent="0.3">
      <c r="A1072" s="12" t="s">
        <v>2977</v>
      </c>
      <c r="B1072" s="12" t="s">
        <v>136</v>
      </c>
      <c r="C1072" s="12" t="s">
        <v>136</v>
      </c>
      <c r="D1072" s="12" t="s">
        <v>137</v>
      </c>
      <c r="E1072" s="12" t="s">
        <v>2978</v>
      </c>
      <c r="F1072" s="12" t="s">
        <v>32</v>
      </c>
      <c r="G1072" s="12" t="s">
        <v>32</v>
      </c>
      <c r="H1072" s="12" t="b">
        <v>1</v>
      </c>
      <c r="I1072" s="12" t="b">
        <v>1</v>
      </c>
      <c r="J1072" s="12" t="b">
        <v>0</v>
      </c>
      <c r="K1072" s="12" t="b">
        <v>0</v>
      </c>
      <c r="L1072" s="12">
        <v>407.13404164110233</v>
      </c>
      <c r="M1072" s="12">
        <v>281.34148819987388</v>
      </c>
      <c r="N1072" s="12">
        <v>4011.0372940846132</v>
      </c>
      <c r="O1072" s="12">
        <v>1460.7125851451451</v>
      </c>
      <c r="P1072" s="12">
        <v>0.51100709602686334</v>
      </c>
      <c r="Q1072" s="12">
        <v>0.87636916093881179</v>
      </c>
      <c r="R1072" s="12">
        <v>0.8666441069626174</v>
      </c>
      <c r="S1072" s="12">
        <v>0.81128754168921591</v>
      </c>
      <c r="T1072" s="12">
        <v>0.9213041607672976</v>
      </c>
      <c r="U1072" s="12">
        <v>0.77972921800657491</v>
      </c>
      <c r="V1072" s="12">
        <v>281.34148819987388</v>
      </c>
      <c r="W1072" s="12">
        <v>3.2691617739064198</v>
      </c>
      <c r="X1072" s="12">
        <v>4.5419934674451738</v>
      </c>
      <c r="Y1072" s="12">
        <v>2550.3247089394681</v>
      </c>
      <c r="Z1072" s="12">
        <v>2.7459455986586518</v>
      </c>
      <c r="AA1072" s="12"/>
      <c r="AB1072" s="12"/>
    </row>
    <row r="1073" spans="1:28" x14ac:dyDescent="0.3">
      <c r="A1073" s="12" t="s">
        <v>2979</v>
      </c>
      <c r="B1073" s="12" t="s">
        <v>136</v>
      </c>
      <c r="C1073" s="12" t="s">
        <v>136</v>
      </c>
      <c r="D1073" s="12" t="s">
        <v>137</v>
      </c>
      <c r="E1073" s="12" t="s">
        <v>2978</v>
      </c>
      <c r="F1073" s="12" t="s">
        <v>1861</v>
      </c>
      <c r="G1073" s="12" t="s">
        <v>1861</v>
      </c>
      <c r="H1073" s="12" t="b">
        <v>1</v>
      </c>
      <c r="I1073" s="12" t="b">
        <v>0</v>
      </c>
      <c r="J1073" s="12" t="b">
        <v>1</v>
      </c>
      <c r="K1073" s="12" t="b">
        <v>0</v>
      </c>
      <c r="L1073" s="12">
        <v>451.48775062653851</v>
      </c>
      <c r="M1073" s="12">
        <v>286.57442488686911</v>
      </c>
      <c r="N1073" s="12">
        <v>3665.962676103748</v>
      </c>
      <c r="O1073" s="12">
        <v>662.41031193744834</v>
      </c>
      <c r="P1073" s="12">
        <v>0.82197568980958613</v>
      </c>
      <c r="Q1073" s="12">
        <v>0.79134951766694761</v>
      </c>
      <c r="R1073" s="12">
        <v>0.7271676099957175</v>
      </c>
      <c r="S1073" s="12">
        <v>0.84241975540375802</v>
      </c>
      <c r="T1073" s="12">
        <v>0.66316443704929184</v>
      </c>
      <c r="U1073" s="12">
        <v>0.91239291855358096</v>
      </c>
      <c r="V1073" s="12">
        <v>286.57442488686911</v>
      </c>
      <c r="W1073" s="12">
        <v>13.07843876470006</v>
      </c>
      <c r="X1073" s="12">
        <v>187.0893139673974</v>
      </c>
      <c r="Y1073" s="12">
        <v>3003.552364166299</v>
      </c>
      <c r="Z1073" s="12">
        <v>5.5342777883112522</v>
      </c>
      <c r="AA1073" s="12" t="s">
        <v>1268</v>
      </c>
      <c r="AB1073" s="12"/>
    </row>
    <row r="1074" spans="1:28" x14ac:dyDescent="0.3">
      <c r="A1074" s="12" t="s">
        <v>2980</v>
      </c>
      <c r="B1074" s="12" t="s">
        <v>136</v>
      </c>
      <c r="C1074" s="12" t="s">
        <v>136</v>
      </c>
      <c r="D1074" s="12" t="s">
        <v>137</v>
      </c>
      <c r="E1074" s="12" t="s">
        <v>2978</v>
      </c>
      <c r="F1074" s="12" t="s">
        <v>32</v>
      </c>
      <c r="G1074" s="12" t="s">
        <v>32</v>
      </c>
      <c r="H1074" s="12" t="b">
        <v>1</v>
      </c>
      <c r="I1074" s="12" t="b">
        <v>1</v>
      </c>
      <c r="J1074" s="12" t="b">
        <v>0</v>
      </c>
      <c r="K1074" s="12" t="b">
        <v>0</v>
      </c>
      <c r="L1074" s="12">
        <v>386.18073039109271</v>
      </c>
      <c r="M1074" s="12">
        <v>293.70272890789232</v>
      </c>
      <c r="N1074" s="12">
        <v>2967.685564843559</v>
      </c>
      <c r="O1074" s="12">
        <v>885.59006331456192</v>
      </c>
      <c r="P1074" s="12">
        <v>0.55644162847095036</v>
      </c>
      <c r="Q1074" s="12">
        <v>0.848154575125184</v>
      </c>
      <c r="R1074" s="12">
        <v>0.89513856398288982</v>
      </c>
      <c r="S1074" s="12">
        <v>0.78332797172925972</v>
      </c>
      <c r="T1074" s="12">
        <v>0.6526669076160373</v>
      </c>
      <c r="U1074" s="12">
        <v>0.83678585437820407</v>
      </c>
      <c r="V1074" s="12">
        <v>293.70272890789232</v>
      </c>
      <c r="W1074" s="12">
        <v>4.1629193221974514</v>
      </c>
      <c r="X1074" s="12">
        <v>10.5170162896404</v>
      </c>
      <c r="Y1074" s="12">
        <v>2082.0955015289969</v>
      </c>
      <c r="Z1074" s="12">
        <v>3.3510827275276651</v>
      </c>
      <c r="AA1074" s="12"/>
      <c r="AB1074" s="12"/>
    </row>
    <row r="1075" spans="1:28" x14ac:dyDescent="0.3">
      <c r="A1075" s="12" t="s">
        <v>2981</v>
      </c>
      <c r="B1075" s="12" t="s">
        <v>136</v>
      </c>
      <c r="C1075" s="12" t="s">
        <v>136</v>
      </c>
      <c r="D1075" s="12" t="s">
        <v>137</v>
      </c>
      <c r="E1075" s="12" t="s">
        <v>2978</v>
      </c>
      <c r="F1075" s="12" t="s">
        <v>832</v>
      </c>
      <c r="G1075" s="12" t="s">
        <v>832</v>
      </c>
      <c r="H1075" s="12" t="b">
        <v>0</v>
      </c>
      <c r="I1075" s="12" t="b">
        <v>0</v>
      </c>
      <c r="J1075" s="12" t="b">
        <v>0</v>
      </c>
      <c r="K1075" s="12" t="b">
        <v>0</v>
      </c>
      <c r="L1075" s="12">
        <v>396.75109566561002</v>
      </c>
      <c r="M1075" s="12">
        <v>302.16026741199119</v>
      </c>
      <c r="N1075" s="12">
        <v>4932.9941049818726</v>
      </c>
      <c r="O1075" s="12">
        <v>405.24034988169097</v>
      </c>
      <c r="P1075" s="12">
        <v>0.78718812353810064</v>
      </c>
      <c r="Q1075" s="12">
        <v>0.91047847322453523</v>
      </c>
      <c r="R1075" s="12">
        <v>0.83580386084323421</v>
      </c>
      <c r="S1075" s="12">
        <v>0.60620778129420494</v>
      </c>
      <c r="T1075" s="12">
        <v>0.7938305415557918</v>
      </c>
      <c r="U1075" s="12">
        <v>0.92801547848462818</v>
      </c>
      <c r="V1075" s="12">
        <v>302.16026741199119</v>
      </c>
      <c r="W1075" s="12"/>
      <c r="X1075" s="12"/>
      <c r="Y1075" s="12">
        <v>4527.7537551001806</v>
      </c>
      <c r="Z1075" s="12">
        <v>12.17300820715916</v>
      </c>
      <c r="AA1075" s="12"/>
      <c r="AB1075" s="12"/>
    </row>
    <row r="1076" spans="1:28" x14ac:dyDescent="0.3">
      <c r="A1076" s="12" t="s">
        <v>2982</v>
      </c>
      <c r="B1076" s="12" t="s">
        <v>136</v>
      </c>
      <c r="C1076" s="12" t="s">
        <v>136</v>
      </c>
      <c r="D1076" s="12" t="s">
        <v>137</v>
      </c>
      <c r="E1076" s="12" t="s">
        <v>2978</v>
      </c>
      <c r="F1076" s="12" t="s">
        <v>1861</v>
      </c>
      <c r="G1076" s="12" t="s">
        <v>1861</v>
      </c>
      <c r="H1076" s="12" t="b">
        <v>1</v>
      </c>
      <c r="I1076" s="12" t="b">
        <v>0</v>
      </c>
      <c r="J1076" s="12" t="b">
        <v>1</v>
      </c>
      <c r="K1076" s="12" t="b">
        <v>0</v>
      </c>
      <c r="L1076" s="12">
        <v>479.67549510759011</v>
      </c>
      <c r="M1076" s="12">
        <v>298.52736800353841</v>
      </c>
      <c r="N1076" s="12">
        <v>4020.0570555647082</v>
      </c>
      <c r="O1076" s="12">
        <v>1483.107052397032</v>
      </c>
      <c r="P1076" s="12">
        <v>0.59502674640895292</v>
      </c>
      <c r="Q1076" s="12">
        <v>0.86888061419470874</v>
      </c>
      <c r="R1076" s="12">
        <v>0.85950833349314082</v>
      </c>
      <c r="S1076" s="12">
        <v>0.91701747048592763</v>
      </c>
      <c r="T1076" s="12">
        <v>0.85213051485345304</v>
      </c>
      <c r="U1076" s="12">
        <v>0.84674202625063277</v>
      </c>
      <c r="V1076" s="12">
        <v>298.52736800353841</v>
      </c>
      <c r="W1076" s="12">
        <v>8.0965703883864109</v>
      </c>
      <c r="X1076" s="12">
        <v>139.8761883528681</v>
      </c>
      <c r="Y1076" s="12">
        <v>2536.9500031676762</v>
      </c>
      <c r="Z1076" s="12">
        <v>2.7105643177054541</v>
      </c>
      <c r="AA1076" s="12" t="s">
        <v>1268</v>
      </c>
      <c r="AB1076" s="12"/>
    </row>
    <row r="1077" spans="1:28" x14ac:dyDescent="0.3">
      <c r="A1077" s="12" t="s">
        <v>2983</v>
      </c>
      <c r="B1077" s="12" t="s">
        <v>136</v>
      </c>
      <c r="C1077" s="12" t="s">
        <v>136</v>
      </c>
      <c r="D1077" s="12" t="s">
        <v>137</v>
      </c>
      <c r="E1077" s="12" t="s">
        <v>2978</v>
      </c>
      <c r="F1077" s="12" t="s">
        <v>1861</v>
      </c>
      <c r="G1077" s="12" t="s">
        <v>1861</v>
      </c>
      <c r="H1077" s="12" t="b">
        <v>1</v>
      </c>
      <c r="I1077" s="12" t="b">
        <v>0</v>
      </c>
      <c r="J1077" s="12" t="b">
        <v>1</v>
      </c>
      <c r="K1077" s="12" t="b">
        <v>0</v>
      </c>
      <c r="L1077" s="12">
        <v>487.17966109798391</v>
      </c>
      <c r="M1077" s="12">
        <v>287.24413861120291</v>
      </c>
      <c r="N1077" s="12">
        <v>3440.0100955242892</v>
      </c>
      <c r="O1077" s="12">
        <v>1334.2338684319161</v>
      </c>
      <c r="P1077" s="12">
        <v>0.66448204321978921</v>
      </c>
      <c r="Q1077" s="12">
        <v>0.7800044475207355</v>
      </c>
      <c r="R1077" s="12">
        <v>0.88095672097944311</v>
      </c>
      <c r="S1077" s="12">
        <v>0.7319672186009154</v>
      </c>
      <c r="T1077" s="12">
        <v>0.60357856889285444</v>
      </c>
      <c r="U1077" s="12">
        <v>0.77442724079208414</v>
      </c>
      <c r="V1077" s="12">
        <v>287.24413861120291</v>
      </c>
      <c r="W1077" s="12">
        <v>7.0214438634680398</v>
      </c>
      <c r="X1077" s="12">
        <v>92.451491791031245</v>
      </c>
      <c r="Y1077" s="12">
        <v>2105.7762270923731</v>
      </c>
      <c r="Z1077" s="12">
        <v>2.5782662072333888</v>
      </c>
      <c r="AA1077" s="12" t="s">
        <v>1268</v>
      </c>
      <c r="AB1077" s="12"/>
    </row>
    <row r="1078" spans="1:28" x14ac:dyDescent="0.3">
      <c r="A1078" s="12" t="s">
        <v>2984</v>
      </c>
      <c r="B1078" s="12" t="s">
        <v>136</v>
      </c>
      <c r="C1078" s="12" t="s">
        <v>136</v>
      </c>
      <c r="D1078" s="12" t="s">
        <v>137</v>
      </c>
      <c r="E1078" s="12" t="s">
        <v>2978</v>
      </c>
      <c r="F1078" s="12" t="s">
        <v>1861</v>
      </c>
      <c r="G1078" s="12" t="s">
        <v>1861</v>
      </c>
      <c r="H1078" s="12" t="b">
        <v>1</v>
      </c>
      <c r="I1078" s="12" t="b">
        <v>0</v>
      </c>
      <c r="J1078" s="12" t="b">
        <v>0</v>
      </c>
      <c r="K1078" s="12" t="b">
        <v>0</v>
      </c>
      <c r="L1078" s="12">
        <v>398.53351602171978</v>
      </c>
      <c r="M1078" s="12">
        <v>293.87394988039421</v>
      </c>
      <c r="N1078" s="12">
        <v>3659.8997462232151</v>
      </c>
      <c r="O1078" s="12">
        <v>1152.0911325165939</v>
      </c>
      <c r="P1078" s="12">
        <v>0.69577303607536722</v>
      </c>
      <c r="Q1078" s="12">
        <v>0.78333776066795546</v>
      </c>
      <c r="R1078" s="12">
        <v>0.82105042085503466</v>
      </c>
      <c r="S1078" s="12">
        <v>0.77772376897025841</v>
      </c>
      <c r="T1078" s="12">
        <v>0.7078869448285835</v>
      </c>
      <c r="U1078" s="12">
        <v>0.73282230176512175</v>
      </c>
      <c r="V1078" s="12">
        <v>293.87394988039421</v>
      </c>
      <c r="W1078" s="12">
        <v>8.1488457172658304</v>
      </c>
      <c r="X1078" s="12">
        <v>41.317999461643957</v>
      </c>
      <c r="Y1078" s="12">
        <v>2507.8086137066211</v>
      </c>
      <c r="Z1078" s="12">
        <v>3.1767450012644729</v>
      </c>
      <c r="AA1078" s="12" t="s">
        <v>1268</v>
      </c>
      <c r="AB1078" s="12"/>
    </row>
    <row r="1079" spans="1:28" x14ac:dyDescent="0.3">
      <c r="A1079" s="12" t="s">
        <v>2985</v>
      </c>
      <c r="B1079" s="12" t="s">
        <v>136</v>
      </c>
      <c r="C1079" s="12" t="s">
        <v>136</v>
      </c>
      <c r="D1079" s="12" t="s">
        <v>137</v>
      </c>
      <c r="E1079" s="12" t="s">
        <v>2978</v>
      </c>
      <c r="F1079" s="12" t="s">
        <v>1861</v>
      </c>
      <c r="G1079" s="12" t="s">
        <v>1861</v>
      </c>
      <c r="H1079" s="12" t="b">
        <v>1</v>
      </c>
      <c r="I1079" s="12" t="b">
        <v>0</v>
      </c>
      <c r="J1079" s="12" t="b">
        <v>0</v>
      </c>
      <c r="K1079" s="12" t="b">
        <v>0</v>
      </c>
      <c r="L1079" s="12">
        <v>420.36660126487402</v>
      </c>
      <c r="M1079" s="12">
        <v>299.87127790382192</v>
      </c>
      <c r="N1079" s="12">
        <v>2317.767297101228</v>
      </c>
      <c r="O1079" s="12">
        <v>1489.610249973807</v>
      </c>
      <c r="P1079" s="12">
        <v>0.79395557837618025</v>
      </c>
      <c r="Q1079" s="12">
        <v>0.76196862643591146</v>
      </c>
      <c r="R1079" s="12">
        <v>0.73329599540163359</v>
      </c>
      <c r="S1079" s="12">
        <v>0.79048509808235856</v>
      </c>
      <c r="T1079" s="12">
        <v>0.72352981190632004</v>
      </c>
      <c r="U1079" s="12">
        <v>0.77721216249841674</v>
      </c>
      <c r="V1079" s="12">
        <v>299.87127790382192</v>
      </c>
      <c r="W1079" s="12">
        <v>3.2857725216443501</v>
      </c>
      <c r="X1079" s="12">
        <v>34.126387741319633</v>
      </c>
      <c r="Y1079" s="12">
        <v>828.15704712742058</v>
      </c>
      <c r="Z1079" s="12">
        <v>1.5559555240318621</v>
      </c>
      <c r="AA1079" s="12" t="s">
        <v>1268</v>
      </c>
      <c r="AB1079" s="12"/>
    </row>
    <row r="1080" spans="1:28" x14ac:dyDescent="0.3">
      <c r="A1080" s="12" t="s">
        <v>2986</v>
      </c>
      <c r="B1080" s="12" t="s">
        <v>136</v>
      </c>
      <c r="C1080" s="12" t="s">
        <v>136</v>
      </c>
      <c r="D1080" s="12" t="s">
        <v>137</v>
      </c>
      <c r="E1080" s="12" t="s">
        <v>2978</v>
      </c>
      <c r="F1080" s="12" t="s">
        <v>1861</v>
      </c>
      <c r="G1080" s="12" t="s">
        <v>1861</v>
      </c>
      <c r="H1080" s="12" t="b">
        <v>1</v>
      </c>
      <c r="I1080" s="12" t="b">
        <v>0</v>
      </c>
      <c r="J1080" s="12" t="b">
        <v>1</v>
      </c>
      <c r="K1080" s="12" t="b">
        <v>0</v>
      </c>
      <c r="L1080" s="12">
        <v>444.73777265448808</v>
      </c>
      <c r="M1080" s="12">
        <v>298.42925698142562</v>
      </c>
      <c r="N1080" s="12">
        <v>2081.421554425518</v>
      </c>
      <c r="O1080" s="12">
        <v>366.23079889621209</v>
      </c>
      <c r="P1080" s="12">
        <v>0.57149800509950199</v>
      </c>
      <c r="Q1080" s="12">
        <v>0.82225412355197047</v>
      </c>
      <c r="R1080" s="12">
        <v>0.8934280885636271</v>
      </c>
      <c r="S1080" s="12">
        <v>0.78211754284614921</v>
      </c>
      <c r="T1080" s="12">
        <v>0.88226718535121007</v>
      </c>
      <c r="U1080" s="12">
        <v>0.73560029725881271</v>
      </c>
      <c r="V1080" s="12">
        <v>298.42925698142562</v>
      </c>
      <c r="W1080" s="12">
        <v>10.19403471116266</v>
      </c>
      <c r="X1080" s="12">
        <v>110.7332816096698</v>
      </c>
      <c r="Y1080" s="12">
        <v>1715.190755529306</v>
      </c>
      <c r="Z1080" s="12">
        <v>5.6833602217474386</v>
      </c>
      <c r="AA1080" s="12" t="s">
        <v>1268</v>
      </c>
      <c r="AB1080" s="12"/>
    </row>
    <row r="1081" spans="1:28" x14ac:dyDescent="0.3">
      <c r="A1081" s="12" t="s">
        <v>2987</v>
      </c>
      <c r="B1081" s="12" t="s">
        <v>136</v>
      </c>
      <c r="C1081" s="12" t="s">
        <v>136</v>
      </c>
      <c r="D1081" s="12" t="s">
        <v>137</v>
      </c>
      <c r="E1081" s="12" t="s">
        <v>2978</v>
      </c>
      <c r="F1081" s="12" t="s">
        <v>1861</v>
      </c>
      <c r="G1081" s="12" t="s">
        <v>1861</v>
      </c>
      <c r="H1081" s="12" t="b">
        <v>1</v>
      </c>
      <c r="I1081" s="12" t="b">
        <v>0</v>
      </c>
      <c r="J1081" s="12" t="b">
        <v>1</v>
      </c>
      <c r="K1081" s="12" t="b">
        <v>0</v>
      </c>
      <c r="L1081" s="12">
        <v>499.35042660431009</v>
      </c>
      <c r="M1081" s="12">
        <v>284.23788232300728</v>
      </c>
      <c r="N1081" s="12">
        <v>3959.4110726562189</v>
      </c>
      <c r="O1081" s="12">
        <v>551.55033902060268</v>
      </c>
      <c r="P1081" s="12">
        <v>0.56814116480429899</v>
      </c>
      <c r="Q1081" s="12">
        <v>0.81637632213907396</v>
      </c>
      <c r="R1081" s="12">
        <v>0.65269198884521962</v>
      </c>
      <c r="S1081" s="12">
        <v>0.86556495422937774</v>
      </c>
      <c r="T1081" s="12">
        <v>0.76019062554654782</v>
      </c>
      <c r="U1081" s="12">
        <v>0.92892456048779137</v>
      </c>
      <c r="V1081" s="12">
        <v>284.23788232300728</v>
      </c>
      <c r="W1081" s="12">
        <v>12.78816711244389</v>
      </c>
      <c r="X1081" s="12">
        <v>240.87917734719821</v>
      </c>
      <c r="Y1081" s="12">
        <v>3407.8607336356172</v>
      </c>
      <c r="Z1081" s="12">
        <v>7.1786939333352837</v>
      </c>
      <c r="AA1081" s="12" t="s">
        <v>1268</v>
      </c>
      <c r="AB1081" s="12"/>
    </row>
    <row r="1082" spans="1:28" x14ac:dyDescent="0.3">
      <c r="A1082" s="12" t="s">
        <v>2988</v>
      </c>
      <c r="B1082" s="12" t="s">
        <v>136</v>
      </c>
      <c r="C1082" s="12" t="s">
        <v>136</v>
      </c>
      <c r="D1082" s="12" t="s">
        <v>137</v>
      </c>
      <c r="E1082" s="12" t="s">
        <v>2978</v>
      </c>
      <c r="F1082" s="12" t="s">
        <v>32</v>
      </c>
      <c r="G1082" s="12" t="s">
        <v>32</v>
      </c>
      <c r="H1082" s="12" t="b">
        <v>1</v>
      </c>
      <c r="I1082" s="12" t="b">
        <v>0</v>
      </c>
      <c r="J1082" s="12" t="b">
        <v>1</v>
      </c>
      <c r="K1082" s="12" t="b">
        <v>0</v>
      </c>
      <c r="L1082" s="12">
        <v>448.32988727165599</v>
      </c>
      <c r="M1082" s="12">
        <v>295.64647589638889</v>
      </c>
      <c r="N1082" s="12">
        <v>2367.2023772947241</v>
      </c>
      <c r="O1082" s="12">
        <v>1372.2307387663011</v>
      </c>
      <c r="P1082" s="12">
        <v>0.6055933834579269</v>
      </c>
      <c r="Q1082" s="12">
        <v>0.87066024742256576</v>
      </c>
      <c r="R1082" s="12">
        <v>0.82069703400291893</v>
      </c>
      <c r="S1082" s="12">
        <v>0.94160474540905081</v>
      </c>
      <c r="T1082" s="12">
        <v>0.62140172147372374</v>
      </c>
      <c r="U1082" s="12">
        <v>0.94335825047986244</v>
      </c>
      <c r="V1082" s="12">
        <v>295.64647589638889</v>
      </c>
      <c r="W1082" s="12">
        <v>4.2325124449419604</v>
      </c>
      <c r="X1082" s="12">
        <v>76.135391504596257</v>
      </c>
      <c r="Y1082" s="12">
        <v>994.971638528423</v>
      </c>
      <c r="Z1082" s="12">
        <v>1.7250760461924559</v>
      </c>
      <c r="AA1082" s="12"/>
      <c r="AB1082" s="12"/>
    </row>
    <row r="1083" spans="1:28" x14ac:dyDescent="0.3">
      <c r="A1083" s="12" t="s">
        <v>2989</v>
      </c>
      <c r="B1083" s="12" t="s">
        <v>136</v>
      </c>
      <c r="C1083" s="12" t="s">
        <v>136</v>
      </c>
      <c r="D1083" s="12" t="s">
        <v>137</v>
      </c>
      <c r="E1083" s="12" t="s">
        <v>2978</v>
      </c>
      <c r="F1083" s="12" t="s">
        <v>1861</v>
      </c>
      <c r="G1083" s="12" t="s">
        <v>1861</v>
      </c>
      <c r="H1083" s="12" t="b">
        <v>1</v>
      </c>
      <c r="I1083" s="12" t="b">
        <v>0</v>
      </c>
      <c r="J1083" s="12" t="b">
        <v>0</v>
      </c>
      <c r="K1083" s="12" t="b">
        <v>0</v>
      </c>
      <c r="L1083" s="12">
        <v>393.07489105580032</v>
      </c>
      <c r="M1083" s="12">
        <v>300.0078082063647</v>
      </c>
      <c r="N1083" s="12">
        <v>4074.3852917683948</v>
      </c>
      <c r="O1083" s="12">
        <v>752.45039440498363</v>
      </c>
      <c r="P1083" s="12">
        <v>0.84656253659817193</v>
      </c>
      <c r="Q1083" s="12">
        <v>0.90644683607716836</v>
      </c>
      <c r="R1083" s="12">
        <v>0.86442980124901814</v>
      </c>
      <c r="S1083" s="12">
        <v>0.91471953172383602</v>
      </c>
      <c r="T1083" s="12">
        <v>0.61731866192701035</v>
      </c>
      <c r="U1083" s="12">
        <v>0.72878893344991647</v>
      </c>
      <c r="V1083" s="12">
        <v>300.0078082063647</v>
      </c>
      <c r="W1083" s="12">
        <v>5.0643159121276398</v>
      </c>
      <c r="X1083" s="12">
        <v>15.78208748758712</v>
      </c>
      <c r="Y1083" s="12">
        <v>3321.934897363411</v>
      </c>
      <c r="Z1083" s="12">
        <v>5.4148224548281387</v>
      </c>
      <c r="AA1083" s="12" t="s">
        <v>1268</v>
      </c>
      <c r="AB1083" s="12"/>
    </row>
    <row r="1084" spans="1:28" x14ac:dyDescent="0.3">
      <c r="A1084" s="12" t="s">
        <v>2990</v>
      </c>
      <c r="B1084" s="12" t="s">
        <v>136</v>
      </c>
      <c r="C1084" s="12" t="s">
        <v>136</v>
      </c>
      <c r="D1084" s="12" t="s">
        <v>137</v>
      </c>
      <c r="E1084" s="12" t="s">
        <v>2978</v>
      </c>
      <c r="F1084" s="12" t="s">
        <v>832</v>
      </c>
      <c r="G1084" s="12" t="s">
        <v>832</v>
      </c>
      <c r="H1084" s="12" t="b">
        <v>0</v>
      </c>
      <c r="I1084" s="12" t="b">
        <v>0</v>
      </c>
      <c r="J1084" s="12" t="b">
        <v>0</v>
      </c>
      <c r="K1084" s="12" t="b">
        <v>0</v>
      </c>
      <c r="L1084" s="12">
        <v>492.97264027955168</v>
      </c>
      <c r="M1084" s="12">
        <v>282.6757405852386</v>
      </c>
      <c r="N1084" s="12">
        <v>3466.398943143784</v>
      </c>
      <c r="O1084" s="12">
        <v>1350.2081524096679</v>
      </c>
      <c r="P1084" s="12">
        <v>0.79970687920046724</v>
      </c>
      <c r="Q1084" s="12">
        <v>0.89111090757941369</v>
      </c>
      <c r="R1084" s="12">
        <v>0.78425332796834768</v>
      </c>
      <c r="S1084" s="12">
        <v>0.94904727527857879</v>
      </c>
      <c r="T1084" s="12">
        <v>0.68902584608166639</v>
      </c>
      <c r="U1084" s="12">
        <v>0.91008985041118895</v>
      </c>
      <c r="V1084" s="12">
        <v>282.6757405852386</v>
      </c>
      <c r="W1084" s="12"/>
      <c r="X1084" s="12"/>
      <c r="Y1084" s="12">
        <v>2116.190790734116</v>
      </c>
      <c r="Z1084" s="12">
        <v>2.5673070755478888</v>
      </c>
      <c r="AA1084" s="12"/>
      <c r="AB1084" s="12"/>
    </row>
    <row r="1085" spans="1:28" x14ac:dyDescent="0.3">
      <c r="A1085" s="12" t="s">
        <v>2991</v>
      </c>
      <c r="B1085" s="12" t="s">
        <v>136</v>
      </c>
      <c r="C1085" s="12" t="s">
        <v>136</v>
      </c>
      <c r="D1085" s="12" t="s">
        <v>137</v>
      </c>
      <c r="E1085" s="12" t="s">
        <v>2978</v>
      </c>
      <c r="F1085" s="12" t="s">
        <v>1861</v>
      </c>
      <c r="G1085" s="12" t="s">
        <v>1861</v>
      </c>
      <c r="H1085" s="12" t="b">
        <v>1</v>
      </c>
      <c r="I1085" s="12" t="b">
        <v>0</v>
      </c>
      <c r="J1085" s="12" t="b">
        <v>1</v>
      </c>
      <c r="K1085" s="12" t="b">
        <v>0</v>
      </c>
      <c r="L1085" s="12">
        <v>458.45895174935521</v>
      </c>
      <c r="M1085" s="12">
        <v>280.36167556254048</v>
      </c>
      <c r="N1085" s="12">
        <v>4887.5967029197154</v>
      </c>
      <c r="O1085" s="12">
        <v>1145.6968651424461</v>
      </c>
      <c r="P1085" s="12">
        <v>0.59899280003718414</v>
      </c>
      <c r="Q1085" s="12">
        <v>0.81734384307700136</v>
      </c>
      <c r="R1085" s="12">
        <v>0.7563686298506922</v>
      </c>
      <c r="S1085" s="12">
        <v>0.72699722693597568</v>
      </c>
      <c r="T1085" s="12">
        <v>0.63086651495541946</v>
      </c>
      <c r="U1085" s="12">
        <v>0.71922198368612744</v>
      </c>
      <c r="V1085" s="12">
        <v>280.36167556254048</v>
      </c>
      <c r="W1085" s="12">
        <v>10.030529342581991</v>
      </c>
      <c r="X1085" s="12">
        <v>81.288763157968503</v>
      </c>
      <c r="Y1085" s="12">
        <v>3741.8998377772682</v>
      </c>
      <c r="Z1085" s="12">
        <v>4.2660470248489606</v>
      </c>
      <c r="AA1085" s="12" t="s">
        <v>1268</v>
      </c>
      <c r="AB1085" s="12"/>
    </row>
    <row r="1086" spans="1:28" x14ac:dyDescent="0.3">
      <c r="A1086" s="12" t="s">
        <v>2992</v>
      </c>
      <c r="B1086" s="12" t="s">
        <v>136</v>
      </c>
      <c r="C1086" s="12" t="s">
        <v>136</v>
      </c>
      <c r="D1086" s="12" t="s">
        <v>137</v>
      </c>
      <c r="E1086" s="12" t="s">
        <v>2978</v>
      </c>
      <c r="F1086" s="12" t="s">
        <v>1861</v>
      </c>
      <c r="G1086" s="12" t="s">
        <v>1861</v>
      </c>
      <c r="H1086" s="12" t="b">
        <v>1</v>
      </c>
      <c r="I1086" s="12" t="b">
        <v>0</v>
      </c>
      <c r="J1086" s="12" t="b">
        <v>0</v>
      </c>
      <c r="K1086" s="12" t="b">
        <v>0</v>
      </c>
      <c r="L1086" s="12">
        <v>402.27112091919707</v>
      </c>
      <c r="M1086" s="12">
        <v>299.76485480667537</v>
      </c>
      <c r="N1086" s="12">
        <v>3368.976964654717</v>
      </c>
      <c r="O1086" s="12">
        <v>853.35442767123982</v>
      </c>
      <c r="P1086" s="12">
        <v>0.73966943799973051</v>
      </c>
      <c r="Q1086" s="12">
        <v>0.86799029050371157</v>
      </c>
      <c r="R1086" s="12">
        <v>0.76014445653161977</v>
      </c>
      <c r="S1086" s="12">
        <v>0.85879559815050732</v>
      </c>
      <c r="T1086" s="12">
        <v>0.63180741253918349</v>
      </c>
      <c r="U1086" s="12">
        <v>0.81388625685745963</v>
      </c>
      <c r="V1086" s="12">
        <v>299.76485480667537</v>
      </c>
      <c r="W1086" s="12">
        <v>11.11998469574395</v>
      </c>
      <c r="X1086" s="12">
        <v>81.579361387229213</v>
      </c>
      <c r="Y1086" s="12">
        <v>2515.622536983476</v>
      </c>
      <c r="Z1086" s="12">
        <v>3.947922288103058</v>
      </c>
      <c r="AA1086" s="12" t="s">
        <v>1268</v>
      </c>
      <c r="AB1086" s="12"/>
    </row>
    <row r="1087" spans="1:28" x14ac:dyDescent="0.3">
      <c r="A1087" s="12" t="s">
        <v>2993</v>
      </c>
      <c r="B1087" s="12" t="s">
        <v>136</v>
      </c>
      <c r="C1087" s="12" t="s">
        <v>136</v>
      </c>
      <c r="D1087" s="12" t="s">
        <v>137</v>
      </c>
      <c r="E1087" s="12" t="s">
        <v>2978</v>
      </c>
      <c r="F1087" s="12" t="s">
        <v>32</v>
      </c>
      <c r="G1087" s="12" t="s">
        <v>32</v>
      </c>
      <c r="H1087" s="12" t="b">
        <v>1</v>
      </c>
      <c r="I1087" s="12" t="b">
        <v>1</v>
      </c>
      <c r="J1087" s="12" t="b">
        <v>0</v>
      </c>
      <c r="K1087" s="12" t="b">
        <v>0</v>
      </c>
      <c r="L1087" s="12">
        <v>410.48158306861251</v>
      </c>
      <c r="M1087" s="12">
        <v>287.61152289055173</v>
      </c>
      <c r="N1087" s="12">
        <v>3682.6179643924288</v>
      </c>
      <c r="O1087" s="12">
        <v>1434.311362270726</v>
      </c>
      <c r="P1087" s="12">
        <v>0.75223186826669497</v>
      </c>
      <c r="Q1087" s="12">
        <v>0.78404499124169902</v>
      </c>
      <c r="R1087" s="12">
        <v>0.83233289327901505</v>
      </c>
      <c r="S1087" s="12">
        <v>0.82964229146414958</v>
      </c>
      <c r="T1087" s="12">
        <v>0.82623796363490576</v>
      </c>
      <c r="U1087" s="12">
        <v>0.92647102504340784</v>
      </c>
      <c r="V1087" s="12">
        <v>287.61152289055173</v>
      </c>
      <c r="W1087" s="12">
        <v>7.0284516347668999</v>
      </c>
      <c r="X1087" s="12">
        <v>58.706405887344417</v>
      </c>
      <c r="Y1087" s="12">
        <v>2248.3066021217019</v>
      </c>
      <c r="Z1087" s="12">
        <v>2.5675164132858161</v>
      </c>
      <c r="AA1087" s="12"/>
      <c r="AB1087" s="12"/>
    </row>
    <row r="1088" spans="1:28" x14ac:dyDescent="0.3">
      <c r="A1088" s="12" t="s">
        <v>2994</v>
      </c>
      <c r="B1088" s="12" t="s">
        <v>136</v>
      </c>
      <c r="C1088" s="12" t="s">
        <v>136</v>
      </c>
      <c r="D1088" s="12" t="s">
        <v>137</v>
      </c>
      <c r="E1088" s="12" t="s">
        <v>2978</v>
      </c>
      <c r="F1088" s="12" t="s">
        <v>32</v>
      </c>
      <c r="G1088" s="12" t="s">
        <v>32</v>
      </c>
      <c r="H1088" s="12" t="b">
        <v>1</v>
      </c>
      <c r="I1088" s="12" t="b">
        <v>1</v>
      </c>
      <c r="J1088" s="12" t="b">
        <v>0</v>
      </c>
      <c r="K1088" s="12" t="b">
        <v>0</v>
      </c>
      <c r="L1088" s="12">
        <v>384.39900578337478</v>
      </c>
      <c r="M1088" s="12">
        <v>291.53884866845311</v>
      </c>
      <c r="N1088" s="12">
        <v>3558.4432046992929</v>
      </c>
      <c r="O1088" s="12">
        <v>668.3467653773705</v>
      </c>
      <c r="P1088" s="12">
        <v>0.67512277009229482</v>
      </c>
      <c r="Q1088" s="12">
        <v>0.86270950967805271</v>
      </c>
      <c r="R1088" s="12">
        <v>0.75524508877349839</v>
      </c>
      <c r="S1088" s="12">
        <v>0.62323308573166625</v>
      </c>
      <c r="T1088" s="12">
        <v>0.91305232909812317</v>
      </c>
      <c r="U1088" s="12">
        <v>0.86649564797319423</v>
      </c>
      <c r="V1088" s="12">
        <v>291.53884866845311</v>
      </c>
      <c r="W1088" s="12">
        <v>10.540220110564601</v>
      </c>
      <c r="X1088" s="12">
        <v>26.533514124254481</v>
      </c>
      <c r="Y1088" s="12">
        <v>2890.0964393219228</v>
      </c>
      <c r="Z1088" s="12">
        <v>5.3242469164791721</v>
      </c>
      <c r="AA1088" s="12"/>
      <c r="AB1088" s="12"/>
    </row>
    <row r="1089" spans="1:28" x14ac:dyDescent="0.3">
      <c r="A1089" s="12" t="s">
        <v>2995</v>
      </c>
      <c r="B1089" s="12" t="s">
        <v>136</v>
      </c>
      <c r="C1089" s="12" t="s">
        <v>136</v>
      </c>
      <c r="D1089" s="12" t="s">
        <v>137</v>
      </c>
      <c r="E1089" s="12" t="s">
        <v>2978</v>
      </c>
      <c r="F1089" s="12" t="s">
        <v>32</v>
      </c>
      <c r="G1089" s="12" t="s">
        <v>32</v>
      </c>
      <c r="H1089" s="12" t="b">
        <v>1</v>
      </c>
      <c r="I1089" s="12" t="b">
        <v>0</v>
      </c>
      <c r="J1089" s="12" t="b">
        <v>1</v>
      </c>
      <c r="K1089" s="12" t="b">
        <v>0</v>
      </c>
      <c r="L1089" s="12">
        <v>445.60852360656861</v>
      </c>
      <c r="M1089" s="12">
        <v>285.70212888912948</v>
      </c>
      <c r="N1089" s="12">
        <v>3600.2437005479292</v>
      </c>
      <c r="O1089" s="12">
        <v>1228.609862350464</v>
      </c>
      <c r="P1089" s="12">
        <v>0.51640470657971216</v>
      </c>
      <c r="Q1089" s="12">
        <v>0.82122790641706833</v>
      </c>
      <c r="R1089" s="12">
        <v>0.72318822652185255</v>
      </c>
      <c r="S1089" s="12">
        <v>0.76185994455753092</v>
      </c>
      <c r="T1089" s="12">
        <v>0.90862056200821917</v>
      </c>
      <c r="U1089" s="12">
        <v>0.86360432633538453</v>
      </c>
      <c r="V1089" s="12">
        <v>285.70212888912948</v>
      </c>
      <c r="W1089" s="12">
        <v>7.2810820170188197</v>
      </c>
      <c r="X1089" s="12">
        <v>50.769729844464941</v>
      </c>
      <c r="Y1089" s="12">
        <v>2371.6338381974651</v>
      </c>
      <c r="Z1089" s="12">
        <v>2.9303392483438748</v>
      </c>
      <c r="AA1089" s="12"/>
      <c r="AB1089" s="12"/>
    </row>
    <row r="1090" spans="1:28" x14ac:dyDescent="0.3">
      <c r="A1090" s="12" t="s">
        <v>2996</v>
      </c>
      <c r="B1090" s="12" t="s">
        <v>136</v>
      </c>
      <c r="C1090" s="12" t="s">
        <v>136</v>
      </c>
      <c r="D1090" s="12" t="s">
        <v>137</v>
      </c>
      <c r="E1090" s="12" t="s">
        <v>2978</v>
      </c>
      <c r="F1090" s="12" t="s">
        <v>1861</v>
      </c>
      <c r="G1090" s="12" t="s">
        <v>1861</v>
      </c>
      <c r="H1090" s="12" t="b">
        <v>1</v>
      </c>
      <c r="I1090" s="12" t="b">
        <v>0</v>
      </c>
      <c r="J1090" s="12" t="b">
        <v>1</v>
      </c>
      <c r="K1090" s="12" t="b">
        <v>0</v>
      </c>
      <c r="L1090" s="12">
        <v>460.79603853286329</v>
      </c>
      <c r="M1090" s="12">
        <v>283.74344642805369</v>
      </c>
      <c r="N1090" s="12">
        <v>2092.4793058098921</v>
      </c>
      <c r="O1090" s="12">
        <v>1165.1772642822559</v>
      </c>
      <c r="P1090" s="12">
        <v>0.50157280112969926</v>
      </c>
      <c r="Q1090" s="12">
        <v>0.8110089865729434</v>
      </c>
      <c r="R1090" s="12">
        <v>0.81328210304017179</v>
      </c>
      <c r="S1090" s="12">
        <v>0.82574155888382184</v>
      </c>
      <c r="T1090" s="12">
        <v>0.8675492684641708</v>
      </c>
      <c r="U1090" s="12">
        <v>0.71023580061804237</v>
      </c>
      <c r="V1090" s="12">
        <v>283.74344642805369</v>
      </c>
      <c r="W1090" s="12">
        <v>3.9514720716921499</v>
      </c>
      <c r="X1090" s="12">
        <v>57.925452730940449</v>
      </c>
      <c r="Y1090" s="12">
        <v>927.30204152763645</v>
      </c>
      <c r="Z1090" s="12">
        <v>1.795846323090462</v>
      </c>
      <c r="AA1090" s="12" t="s">
        <v>1268</v>
      </c>
      <c r="AB1090" s="12"/>
    </row>
    <row r="1091" spans="1:28" x14ac:dyDescent="0.3">
      <c r="A1091" s="12" t="s">
        <v>2997</v>
      </c>
      <c r="B1091" s="12" t="s">
        <v>136</v>
      </c>
      <c r="C1091" s="12" t="s">
        <v>136</v>
      </c>
      <c r="D1091" s="12" t="s">
        <v>137</v>
      </c>
      <c r="E1091" s="12" t="s">
        <v>2978</v>
      </c>
      <c r="F1091" s="12" t="s">
        <v>1863</v>
      </c>
      <c r="G1091" s="12" t="s">
        <v>832</v>
      </c>
      <c r="H1091" s="12" t="b">
        <v>0</v>
      </c>
      <c r="I1091" s="12" t="b">
        <v>0</v>
      </c>
      <c r="J1091" s="12" t="b">
        <v>0</v>
      </c>
      <c r="K1091" s="12" t="b">
        <v>0</v>
      </c>
      <c r="L1091" s="12">
        <v>381.51704072286202</v>
      </c>
      <c r="M1091" s="12">
        <v>298.95084093522649</v>
      </c>
      <c r="N1091" s="12">
        <v>3885.3970774790569</v>
      </c>
      <c r="O1091" s="12">
        <v>490.84358744158521</v>
      </c>
      <c r="P1091" s="12">
        <v>0.57916110873080839</v>
      </c>
      <c r="Q1091" s="12">
        <v>0.78042229137481034</v>
      </c>
      <c r="R1091" s="12">
        <v>0.86339796441972916</v>
      </c>
      <c r="S1091" s="12">
        <v>0.900531642858731</v>
      </c>
      <c r="T1091" s="12">
        <v>0.77010461908163741</v>
      </c>
      <c r="U1091" s="12">
        <v>0.71607328234842393</v>
      </c>
      <c r="V1091" s="12">
        <v>298.95084093522649</v>
      </c>
      <c r="W1091" s="12">
        <v>-56.253149460969482</v>
      </c>
      <c r="X1091" s="12">
        <v>-30.20505302547069</v>
      </c>
      <c r="Y1091" s="12">
        <v>3394.553490037471</v>
      </c>
      <c r="Z1091" s="12">
        <v>7.9157539731360016</v>
      </c>
      <c r="AA1091" s="12" t="s">
        <v>2018</v>
      </c>
      <c r="AB1091" s="12"/>
    </row>
    <row r="1092" spans="1:28" x14ac:dyDescent="0.3">
      <c r="A1092" s="12" t="s">
        <v>2998</v>
      </c>
      <c r="B1092" s="12" t="s">
        <v>136</v>
      </c>
      <c r="C1092" s="12" t="s">
        <v>136</v>
      </c>
      <c r="D1092" s="12" t="s">
        <v>137</v>
      </c>
      <c r="E1092" s="12" t="s">
        <v>2978</v>
      </c>
      <c r="F1092" s="12" t="s">
        <v>32</v>
      </c>
      <c r="G1092" s="12" t="s">
        <v>32</v>
      </c>
      <c r="H1092" s="12" t="b">
        <v>1</v>
      </c>
      <c r="I1092" s="12" t="b">
        <v>1</v>
      </c>
      <c r="J1092" s="12" t="b">
        <v>0</v>
      </c>
      <c r="K1092" s="12" t="b">
        <v>0</v>
      </c>
      <c r="L1092" s="12">
        <v>414.26480552734762</v>
      </c>
      <c r="M1092" s="12">
        <v>287.82205451183222</v>
      </c>
      <c r="N1092" s="12">
        <v>4841.7770826055921</v>
      </c>
      <c r="O1092" s="12">
        <v>1106.6535202822031</v>
      </c>
      <c r="P1092" s="12">
        <v>0.67667892114557038</v>
      </c>
      <c r="Q1092" s="12">
        <v>0.8264975762861092</v>
      </c>
      <c r="R1092" s="12">
        <v>0.81821222919362391</v>
      </c>
      <c r="S1092" s="12">
        <v>0.86916411208435751</v>
      </c>
      <c r="T1092" s="12">
        <v>0.90436972583019037</v>
      </c>
      <c r="U1092" s="12">
        <v>0.79486200357184333</v>
      </c>
      <c r="V1092" s="12">
        <v>287.82205451183222</v>
      </c>
      <c r="W1092" s="12">
        <v>10.90847078288936</v>
      </c>
      <c r="X1092" s="12">
        <v>57.835860014658223</v>
      </c>
      <c r="Y1092" s="12">
        <v>3735.1235623233888</v>
      </c>
      <c r="Z1092" s="12">
        <v>4.3751517470173606</v>
      </c>
      <c r="AA1092" s="12"/>
      <c r="AB1092" s="12"/>
    </row>
    <row r="1093" spans="1:28" x14ac:dyDescent="0.3">
      <c r="A1093" s="12" t="s">
        <v>2999</v>
      </c>
      <c r="B1093" s="12" t="s">
        <v>136</v>
      </c>
      <c r="C1093" s="12" t="s">
        <v>136</v>
      </c>
      <c r="D1093" s="12" t="s">
        <v>137</v>
      </c>
      <c r="E1093" s="12" t="s">
        <v>2978</v>
      </c>
      <c r="F1093" s="12" t="s">
        <v>1861</v>
      </c>
      <c r="G1093" s="12" t="s">
        <v>1861</v>
      </c>
      <c r="H1093" s="12" t="b">
        <v>1</v>
      </c>
      <c r="I1093" s="12" t="b">
        <v>0</v>
      </c>
      <c r="J1093" s="12" t="b">
        <v>1</v>
      </c>
      <c r="K1093" s="12" t="b">
        <v>0</v>
      </c>
      <c r="L1093" s="12">
        <v>468.46873769576371</v>
      </c>
      <c r="M1093" s="12">
        <v>291.18775685432843</v>
      </c>
      <c r="N1093" s="12">
        <v>4360.0740089428709</v>
      </c>
      <c r="O1093" s="12">
        <v>1363.5481735925921</v>
      </c>
      <c r="P1093" s="12">
        <v>0.54991238191022207</v>
      </c>
      <c r="Q1093" s="12">
        <v>0.81832163207145758</v>
      </c>
      <c r="R1093" s="12">
        <v>0.70900681152254053</v>
      </c>
      <c r="S1093" s="12">
        <v>0.66921211731685071</v>
      </c>
      <c r="T1093" s="12">
        <v>0.94736709966209043</v>
      </c>
      <c r="U1093" s="12">
        <v>0.76551623640178679</v>
      </c>
      <c r="V1093" s="12">
        <v>291.18775685432843</v>
      </c>
      <c r="W1093" s="12">
        <v>8.8314745289653391</v>
      </c>
      <c r="X1093" s="12">
        <v>74.195548803966773</v>
      </c>
      <c r="Y1093" s="12">
        <v>2996.52583535028</v>
      </c>
      <c r="Z1093" s="12">
        <v>3.1975944036177468</v>
      </c>
      <c r="AA1093" s="12" t="s">
        <v>1268</v>
      </c>
      <c r="AB1093" s="12"/>
    </row>
    <row r="1094" spans="1:28" x14ac:dyDescent="0.3">
      <c r="A1094" s="12" t="s">
        <v>3000</v>
      </c>
      <c r="B1094" s="12" t="s">
        <v>136</v>
      </c>
      <c r="C1094" s="12" t="s">
        <v>136</v>
      </c>
      <c r="D1094" s="12" t="s">
        <v>137</v>
      </c>
      <c r="E1094" s="12" t="s">
        <v>2978</v>
      </c>
      <c r="F1094" s="12" t="s">
        <v>1861</v>
      </c>
      <c r="G1094" s="12" t="s">
        <v>1861</v>
      </c>
      <c r="H1094" s="12" t="b">
        <v>1</v>
      </c>
      <c r="I1094" s="12" t="b">
        <v>0</v>
      </c>
      <c r="J1094" s="12" t="b">
        <v>1</v>
      </c>
      <c r="K1094" s="12" t="b">
        <v>0</v>
      </c>
      <c r="L1094" s="12">
        <v>481.20953679965248</v>
      </c>
      <c r="M1094" s="12">
        <v>296.07918818438623</v>
      </c>
      <c r="N1094" s="12">
        <v>2419.5677954772191</v>
      </c>
      <c r="O1094" s="12">
        <v>376.82839650482282</v>
      </c>
      <c r="P1094" s="12">
        <v>0.50435089252548659</v>
      </c>
      <c r="Q1094" s="12">
        <v>0.80955447582905882</v>
      </c>
      <c r="R1094" s="12">
        <v>0.714459882917308</v>
      </c>
      <c r="S1094" s="12">
        <v>0.81913049078891054</v>
      </c>
      <c r="T1094" s="12">
        <v>0.71895169912653589</v>
      </c>
      <c r="U1094" s="12">
        <v>0.87919229188546488</v>
      </c>
      <c r="V1094" s="12">
        <v>296.07918818438623</v>
      </c>
      <c r="W1094" s="12">
        <v>11.82017515147912</v>
      </c>
      <c r="X1094" s="12">
        <v>204.1373156039437</v>
      </c>
      <c r="Y1094" s="12">
        <v>2042.739398972396</v>
      </c>
      <c r="Z1094" s="12">
        <v>6.4208743765579044</v>
      </c>
      <c r="AA1094" s="12" t="s">
        <v>1268</v>
      </c>
      <c r="AB1094" s="12"/>
    </row>
    <row r="1095" spans="1:28" x14ac:dyDescent="0.3">
      <c r="A1095" s="12" t="s">
        <v>3001</v>
      </c>
      <c r="B1095" s="12" t="s">
        <v>136</v>
      </c>
      <c r="C1095" s="12" t="s">
        <v>136</v>
      </c>
      <c r="D1095" s="12" t="s">
        <v>137</v>
      </c>
      <c r="E1095" s="12" t="s">
        <v>2978</v>
      </c>
      <c r="F1095" s="12" t="s">
        <v>1861</v>
      </c>
      <c r="G1095" s="12" t="s">
        <v>1861</v>
      </c>
      <c r="H1095" s="12" t="b">
        <v>1</v>
      </c>
      <c r="I1095" s="12" t="b">
        <v>0</v>
      </c>
      <c r="J1095" s="12" t="b">
        <v>0</v>
      </c>
      <c r="K1095" s="12" t="b">
        <v>0</v>
      </c>
      <c r="L1095" s="12">
        <v>435.5194320411548</v>
      </c>
      <c r="M1095" s="12">
        <v>279.23371719069303</v>
      </c>
      <c r="N1095" s="12">
        <v>4185.1408442010761</v>
      </c>
      <c r="O1095" s="12">
        <v>425.15595113974661</v>
      </c>
      <c r="P1095" s="12">
        <v>0.80494190504008123</v>
      </c>
      <c r="Q1095" s="12">
        <v>0.82907741659785861</v>
      </c>
      <c r="R1095" s="12">
        <v>0.83911731257357425</v>
      </c>
      <c r="S1095" s="12">
        <v>0.68405919501030643</v>
      </c>
      <c r="T1095" s="12">
        <v>0.84812627637945481</v>
      </c>
      <c r="U1095" s="12">
        <v>0.89725800027849323</v>
      </c>
      <c r="V1095" s="12">
        <v>279.23371719069303</v>
      </c>
      <c r="W1095" s="12">
        <v>17.218685061215069</v>
      </c>
      <c r="X1095" s="12">
        <v>164.73543371725381</v>
      </c>
      <c r="Y1095" s="12">
        <v>3759.9848930613289</v>
      </c>
      <c r="Z1095" s="12">
        <v>9.8437781077312057</v>
      </c>
      <c r="AA1095" s="12" t="s">
        <v>1268</v>
      </c>
      <c r="AB1095" s="12"/>
    </row>
    <row r="1096" spans="1:28" x14ac:dyDescent="0.3">
      <c r="A1096" s="12" t="s">
        <v>3002</v>
      </c>
      <c r="B1096" s="12" t="s">
        <v>136</v>
      </c>
      <c r="C1096" s="12" t="s">
        <v>136</v>
      </c>
      <c r="D1096" s="12" t="s">
        <v>137</v>
      </c>
      <c r="E1096" s="12" t="s">
        <v>2978</v>
      </c>
      <c r="F1096" s="12" t="s">
        <v>1861</v>
      </c>
      <c r="G1096" s="12" t="s">
        <v>1861</v>
      </c>
      <c r="H1096" s="12" t="b">
        <v>1</v>
      </c>
      <c r="I1096" s="12" t="b">
        <v>0</v>
      </c>
      <c r="J1096" s="12" t="b">
        <v>0</v>
      </c>
      <c r="K1096" s="12" t="b">
        <v>0</v>
      </c>
      <c r="L1096" s="12">
        <v>392.29040562547391</v>
      </c>
      <c r="M1096" s="12">
        <v>297.72318290796289</v>
      </c>
      <c r="N1096" s="12">
        <v>2596.9870283225532</v>
      </c>
      <c r="O1096" s="12">
        <v>1392.940294092044</v>
      </c>
      <c r="P1096" s="12">
        <v>0.82915280552807658</v>
      </c>
      <c r="Q1096" s="12">
        <v>0.8586511313333115</v>
      </c>
      <c r="R1096" s="12">
        <v>0.65980809913816829</v>
      </c>
      <c r="S1096" s="12">
        <v>0.65938373202226397</v>
      </c>
      <c r="T1096" s="12">
        <v>0.8154770952282242</v>
      </c>
      <c r="U1096" s="12">
        <v>0.71508516979644565</v>
      </c>
      <c r="V1096" s="12">
        <v>297.72318290796289</v>
      </c>
      <c r="W1096" s="12">
        <v>5.1427224064686703</v>
      </c>
      <c r="X1096" s="12">
        <v>32.798827110823318</v>
      </c>
      <c r="Y1096" s="12">
        <v>1204.046734230508</v>
      </c>
      <c r="Z1096" s="12">
        <v>1.864392206426434</v>
      </c>
      <c r="AA1096" s="12" t="s">
        <v>1268</v>
      </c>
      <c r="AB1096" s="12"/>
    </row>
    <row r="1097" spans="1:28" x14ac:dyDescent="0.3">
      <c r="A1097" s="12" t="s">
        <v>3003</v>
      </c>
      <c r="B1097" s="12" t="s">
        <v>136</v>
      </c>
      <c r="C1097" s="12" t="s">
        <v>136</v>
      </c>
      <c r="D1097" s="12" t="s">
        <v>137</v>
      </c>
      <c r="E1097" s="12" t="s">
        <v>2978</v>
      </c>
      <c r="F1097" s="12" t="s">
        <v>1861</v>
      </c>
      <c r="G1097" s="12" t="s">
        <v>1861</v>
      </c>
      <c r="H1097" s="12" t="b">
        <v>1</v>
      </c>
      <c r="I1097" s="12" t="b">
        <v>0</v>
      </c>
      <c r="J1097" s="12" t="b">
        <v>0</v>
      </c>
      <c r="K1097" s="12" t="b">
        <v>0</v>
      </c>
      <c r="L1097" s="12">
        <v>393.66685025091618</v>
      </c>
      <c r="M1097" s="12">
        <v>286.76174188179778</v>
      </c>
      <c r="N1097" s="12">
        <v>3569.5788322650392</v>
      </c>
      <c r="O1097" s="12">
        <v>649.18546080007081</v>
      </c>
      <c r="P1097" s="12">
        <v>0.82214173561740289</v>
      </c>
      <c r="Q1097" s="12">
        <v>0.91165194427052298</v>
      </c>
      <c r="R1097" s="12">
        <v>0.85724571686464035</v>
      </c>
      <c r="S1097" s="12">
        <v>0.66191010280052964</v>
      </c>
      <c r="T1097" s="12">
        <v>0.89476507502728442</v>
      </c>
      <c r="U1097" s="12">
        <v>0.70470594528389463</v>
      </c>
      <c r="V1097" s="12">
        <v>286.76174188179778</v>
      </c>
      <c r="W1097" s="12">
        <v>14.102225426612041</v>
      </c>
      <c r="X1097" s="12">
        <v>81.585164922831112</v>
      </c>
      <c r="Y1097" s="12">
        <v>2920.3933714649679</v>
      </c>
      <c r="Z1097" s="12">
        <v>5.4985501798912892</v>
      </c>
      <c r="AA1097" s="12" t="s">
        <v>1268</v>
      </c>
      <c r="AB1097" s="12"/>
    </row>
    <row r="1098" spans="1:28" x14ac:dyDescent="0.3">
      <c r="A1098" s="12" t="s">
        <v>3004</v>
      </c>
      <c r="B1098" s="12" t="s">
        <v>136</v>
      </c>
      <c r="C1098" s="12" t="s">
        <v>136</v>
      </c>
      <c r="D1098" s="12" t="s">
        <v>137</v>
      </c>
      <c r="E1098" s="12" t="s">
        <v>2978</v>
      </c>
      <c r="F1098" s="12" t="s">
        <v>1861</v>
      </c>
      <c r="G1098" s="12" t="s">
        <v>1861</v>
      </c>
      <c r="H1098" s="12" t="b">
        <v>1</v>
      </c>
      <c r="I1098" s="12" t="b">
        <v>0</v>
      </c>
      <c r="J1098" s="12" t="b">
        <v>1</v>
      </c>
      <c r="K1098" s="12" t="b">
        <v>0</v>
      </c>
      <c r="L1098" s="12">
        <v>469.99997809741262</v>
      </c>
      <c r="M1098" s="12">
        <v>292.25654337283697</v>
      </c>
      <c r="N1098" s="12">
        <v>4430.8092664561082</v>
      </c>
      <c r="O1098" s="12">
        <v>440.89117872893138</v>
      </c>
      <c r="P1098" s="12">
        <v>0.5804817754448367</v>
      </c>
      <c r="Q1098" s="12">
        <v>0.85328561505428535</v>
      </c>
      <c r="R1098" s="12">
        <v>0.82764312576135912</v>
      </c>
      <c r="S1098" s="12">
        <v>0.82346993806099344</v>
      </c>
      <c r="T1098" s="12">
        <v>0.65242511692178262</v>
      </c>
      <c r="U1098" s="12">
        <v>0.88391465527018975</v>
      </c>
      <c r="V1098" s="12">
        <v>292.25654337283697</v>
      </c>
      <c r="W1098" s="12">
        <v>15.59378728806765</v>
      </c>
      <c r="X1098" s="12">
        <v>197.8723592150954</v>
      </c>
      <c r="Y1098" s="12">
        <v>3989.918087727177</v>
      </c>
      <c r="Z1098" s="12">
        <v>10.049666403464739</v>
      </c>
      <c r="AA1098" s="12" t="s">
        <v>1981</v>
      </c>
      <c r="AB1098" s="12"/>
    </row>
    <row r="1099" spans="1:28" x14ac:dyDescent="0.3">
      <c r="A1099" s="12" t="s">
        <v>3005</v>
      </c>
      <c r="B1099" s="12" t="s">
        <v>136</v>
      </c>
      <c r="C1099" s="12" t="s">
        <v>136</v>
      </c>
      <c r="D1099" s="12" t="s">
        <v>137</v>
      </c>
      <c r="E1099" s="12" t="s">
        <v>2978</v>
      </c>
      <c r="F1099" s="12" t="s">
        <v>1861</v>
      </c>
      <c r="G1099" s="12" t="s">
        <v>1861</v>
      </c>
      <c r="H1099" s="12" t="b">
        <v>1</v>
      </c>
      <c r="I1099" s="12" t="b">
        <v>0</v>
      </c>
      <c r="J1099" s="12" t="b">
        <v>1</v>
      </c>
      <c r="K1099" s="12" t="b">
        <v>0</v>
      </c>
      <c r="L1099" s="12">
        <v>437.33846464311068</v>
      </c>
      <c r="M1099" s="12">
        <v>295.31427627243352</v>
      </c>
      <c r="N1099" s="12">
        <v>2551.7393786212042</v>
      </c>
      <c r="O1099" s="12">
        <v>705.04323211145129</v>
      </c>
      <c r="P1099" s="12">
        <v>0.77020977777055133</v>
      </c>
      <c r="Q1099" s="12">
        <v>0.83637419105503319</v>
      </c>
      <c r="R1099" s="12">
        <v>0.76739162273474992</v>
      </c>
      <c r="S1099" s="12">
        <v>0.94628951006092321</v>
      </c>
      <c r="T1099" s="12">
        <v>0.77669678797225317</v>
      </c>
      <c r="U1099" s="12">
        <v>0.73095079326565282</v>
      </c>
      <c r="V1099" s="12">
        <v>295.31427627243352</v>
      </c>
      <c r="W1099" s="12">
        <v>8.6579842916635901</v>
      </c>
      <c r="X1099" s="12">
        <v>113.5776010331161</v>
      </c>
      <c r="Y1099" s="12">
        <v>1846.6961465097529</v>
      </c>
      <c r="Z1099" s="12">
        <v>3.6192665391302312</v>
      </c>
      <c r="AA1099" s="12" t="s">
        <v>1268</v>
      </c>
      <c r="AB1099" s="12"/>
    </row>
    <row r="1100" spans="1:28" x14ac:dyDescent="0.3">
      <c r="A1100" s="12" t="s">
        <v>3006</v>
      </c>
      <c r="B1100" s="12" t="s">
        <v>136</v>
      </c>
      <c r="C1100" s="12" t="s">
        <v>136</v>
      </c>
      <c r="D1100" s="12" t="s">
        <v>137</v>
      </c>
      <c r="E1100" s="12" t="s">
        <v>2978</v>
      </c>
      <c r="F1100" s="12" t="s">
        <v>1861</v>
      </c>
      <c r="G1100" s="12" t="s">
        <v>1861</v>
      </c>
      <c r="H1100" s="12" t="b">
        <v>1</v>
      </c>
      <c r="I1100" s="12" t="b">
        <v>0</v>
      </c>
      <c r="J1100" s="12" t="b">
        <v>0</v>
      </c>
      <c r="K1100" s="12" t="b">
        <v>0</v>
      </c>
      <c r="L1100" s="12">
        <v>385.0173082371893</v>
      </c>
      <c r="M1100" s="12">
        <v>287.37436648065869</v>
      </c>
      <c r="N1100" s="12">
        <v>3540.032699498654</v>
      </c>
      <c r="O1100" s="12">
        <v>665.93200053815008</v>
      </c>
      <c r="P1100" s="12">
        <v>0.75327108981667701</v>
      </c>
      <c r="Q1100" s="12">
        <v>0.77869062928975841</v>
      </c>
      <c r="R1100" s="12">
        <v>0.67368005556442867</v>
      </c>
      <c r="S1100" s="12">
        <v>0.68286215819677232</v>
      </c>
      <c r="T1100" s="12">
        <v>0.82908309366845168</v>
      </c>
      <c r="U1100" s="12">
        <v>0.72325686608880202</v>
      </c>
      <c r="V1100" s="12">
        <v>287.37436648065869</v>
      </c>
      <c r="W1100" s="12">
        <v>10.10545759849014</v>
      </c>
      <c r="X1100" s="12">
        <v>43.770569253450248</v>
      </c>
      <c r="Y1100" s="12">
        <v>2874.1006989605039</v>
      </c>
      <c r="Z1100" s="12">
        <v>5.3159071746633257</v>
      </c>
      <c r="AA1100" s="12" t="s">
        <v>1268</v>
      </c>
      <c r="AB1100" s="12"/>
    </row>
    <row r="1101" spans="1:28" x14ac:dyDescent="0.3">
      <c r="A1101" s="12" t="s">
        <v>3007</v>
      </c>
      <c r="B1101" s="12" t="s">
        <v>136</v>
      </c>
      <c r="C1101" s="12" t="s">
        <v>136</v>
      </c>
      <c r="D1101" s="12" t="s">
        <v>137</v>
      </c>
      <c r="E1101" s="12" t="s">
        <v>2978</v>
      </c>
      <c r="F1101" s="12" t="s">
        <v>1861</v>
      </c>
      <c r="G1101" s="12" t="s">
        <v>1861</v>
      </c>
      <c r="H1101" s="12" t="b">
        <v>1</v>
      </c>
      <c r="I1101" s="12" t="b">
        <v>0</v>
      </c>
      <c r="J1101" s="12" t="b">
        <v>1</v>
      </c>
      <c r="K1101" s="12" t="b">
        <v>0</v>
      </c>
      <c r="L1101" s="12">
        <v>480.70069631365112</v>
      </c>
      <c r="M1101" s="12">
        <v>286.49467090195691</v>
      </c>
      <c r="N1101" s="12">
        <v>3206.4409362493971</v>
      </c>
      <c r="O1101" s="12">
        <v>577.37554436747882</v>
      </c>
      <c r="P1101" s="12">
        <v>0.69940567196737535</v>
      </c>
      <c r="Q1101" s="12">
        <v>0.89526216647130774</v>
      </c>
      <c r="R1101" s="12">
        <v>0.81695267036439656</v>
      </c>
      <c r="S1101" s="12">
        <v>0.91231315782489841</v>
      </c>
      <c r="T1101" s="12">
        <v>0.6770708312582564</v>
      </c>
      <c r="U1101" s="12">
        <v>0.73782136712277058</v>
      </c>
      <c r="V1101" s="12">
        <v>286.49467090195691</v>
      </c>
      <c r="W1101" s="12">
        <v>12.73555589222774</v>
      </c>
      <c r="X1101" s="12">
        <v>188.39831041553791</v>
      </c>
      <c r="Y1101" s="12">
        <v>2629.065391881918</v>
      </c>
      <c r="Z1101" s="12">
        <v>5.5534754936011144</v>
      </c>
      <c r="AA1101" s="12" t="s">
        <v>1268</v>
      </c>
      <c r="AB1101" s="12"/>
    </row>
    <row r="1102" spans="1:28" x14ac:dyDescent="0.3">
      <c r="A1102" s="12" t="s">
        <v>3008</v>
      </c>
      <c r="B1102" s="12" t="s">
        <v>136</v>
      </c>
      <c r="C1102" s="12" t="s">
        <v>136</v>
      </c>
      <c r="D1102" s="12" t="s">
        <v>137</v>
      </c>
      <c r="E1102" s="12" t="s">
        <v>2978</v>
      </c>
      <c r="F1102" s="12" t="s">
        <v>1861</v>
      </c>
      <c r="G1102" s="12" t="s">
        <v>1861</v>
      </c>
      <c r="H1102" s="12" t="b">
        <v>1</v>
      </c>
      <c r="I1102" s="12" t="b">
        <v>0</v>
      </c>
      <c r="J1102" s="12" t="b">
        <v>1</v>
      </c>
      <c r="K1102" s="12" t="b">
        <v>0</v>
      </c>
      <c r="L1102" s="12">
        <v>487.89129213392681</v>
      </c>
      <c r="M1102" s="12">
        <v>302.70148210429079</v>
      </c>
      <c r="N1102" s="12">
        <v>3899.2251228320879</v>
      </c>
      <c r="O1102" s="12">
        <v>987.85461202038402</v>
      </c>
      <c r="P1102" s="12">
        <v>0.69059167617926687</v>
      </c>
      <c r="Q1102" s="12">
        <v>0.88920676692502054</v>
      </c>
      <c r="R1102" s="12">
        <v>0.66228961464255676</v>
      </c>
      <c r="S1102" s="12">
        <v>0.93086413287358161</v>
      </c>
      <c r="T1102" s="12">
        <v>0.88691992246766671</v>
      </c>
      <c r="U1102" s="12">
        <v>0.85236966320617036</v>
      </c>
      <c r="V1102" s="12">
        <v>302.70148210429079</v>
      </c>
      <c r="W1102" s="12">
        <v>11.074133749428739</v>
      </c>
      <c r="X1102" s="12">
        <v>185.66340720779041</v>
      </c>
      <c r="Y1102" s="12">
        <v>2911.3705108117042</v>
      </c>
      <c r="Z1102" s="12">
        <v>3.9471649728468639</v>
      </c>
      <c r="AA1102" s="12" t="s">
        <v>1268</v>
      </c>
      <c r="AB1102" s="12"/>
    </row>
    <row r="1103" spans="1:28" x14ac:dyDescent="0.3">
      <c r="A1103" s="12" t="s">
        <v>3009</v>
      </c>
      <c r="B1103" s="12" t="s">
        <v>136</v>
      </c>
      <c r="C1103" s="12" t="s">
        <v>136</v>
      </c>
      <c r="D1103" s="12" t="s">
        <v>137</v>
      </c>
      <c r="E1103" s="12" t="s">
        <v>2978</v>
      </c>
      <c r="F1103" s="12" t="s">
        <v>1861</v>
      </c>
      <c r="G1103" s="12" t="s">
        <v>1861</v>
      </c>
      <c r="H1103" s="12" t="b">
        <v>1</v>
      </c>
      <c r="I1103" s="12" t="b">
        <v>0</v>
      </c>
      <c r="J1103" s="12" t="b">
        <v>1</v>
      </c>
      <c r="K1103" s="12" t="b">
        <v>0</v>
      </c>
      <c r="L1103" s="12">
        <v>494.32176284511212</v>
      </c>
      <c r="M1103" s="12">
        <v>282.79541256448852</v>
      </c>
      <c r="N1103" s="12">
        <v>3514.7013689886189</v>
      </c>
      <c r="O1103" s="12">
        <v>586.93843388817209</v>
      </c>
      <c r="P1103" s="12">
        <v>0.53428331231430404</v>
      </c>
      <c r="Q1103" s="12">
        <v>0.77330987701098297</v>
      </c>
      <c r="R1103" s="12">
        <v>0.78261338651447732</v>
      </c>
      <c r="S1103" s="12">
        <v>0.72348000354414543</v>
      </c>
      <c r="T1103" s="12">
        <v>0.85625491868893433</v>
      </c>
      <c r="U1103" s="12">
        <v>0.77190759743232817</v>
      </c>
      <c r="V1103" s="12">
        <v>282.79541256448852</v>
      </c>
      <c r="W1103" s="12">
        <v>11.34769036547371</v>
      </c>
      <c r="X1103" s="12">
        <v>158.50888454623129</v>
      </c>
      <c r="Y1103" s="12">
        <v>2927.7629351004471</v>
      </c>
      <c r="Z1103" s="12">
        <v>5.9881942739811551</v>
      </c>
      <c r="AA1103" s="12" t="s">
        <v>1268</v>
      </c>
      <c r="AB1103" s="12"/>
    </row>
    <row r="1104" spans="1:28" x14ac:dyDescent="0.3">
      <c r="A1104" s="12" t="s">
        <v>3010</v>
      </c>
      <c r="B1104" s="12" t="s">
        <v>136</v>
      </c>
      <c r="C1104" s="12" t="s">
        <v>136</v>
      </c>
      <c r="D1104" s="12" t="s">
        <v>137</v>
      </c>
      <c r="E1104" s="12" t="s">
        <v>2978</v>
      </c>
      <c r="F1104" s="12" t="s">
        <v>1861</v>
      </c>
      <c r="G1104" s="12" t="s">
        <v>1861</v>
      </c>
      <c r="H1104" s="12" t="b">
        <v>1</v>
      </c>
      <c r="I1104" s="12" t="b">
        <v>0</v>
      </c>
      <c r="J1104" s="12" t="b">
        <v>1</v>
      </c>
      <c r="K1104" s="12" t="b">
        <v>0</v>
      </c>
      <c r="L1104" s="12">
        <v>447.54030598177388</v>
      </c>
      <c r="M1104" s="12">
        <v>297.11132498527792</v>
      </c>
      <c r="N1104" s="12">
        <v>4546.3400131625676</v>
      </c>
      <c r="O1104" s="12">
        <v>495.37017408384202</v>
      </c>
      <c r="P1104" s="12">
        <v>0.61642598236718549</v>
      </c>
      <c r="Q1104" s="12">
        <v>0.75616834413025424</v>
      </c>
      <c r="R1104" s="12">
        <v>0.88816910029748708</v>
      </c>
      <c r="S1104" s="12">
        <v>0.70288927773369902</v>
      </c>
      <c r="T1104" s="12">
        <v>0.60938489828812603</v>
      </c>
      <c r="U1104" s="12">
        <v>0.82763510707964205</v>
      </c>
      <c r="V1104" s="12">
        <v>297.11132498527792</v>
      </c>
      <c r="W1104" s="12">
        <v>12.58898481019944</v>
      </c>
      <c r="X1104" s="12">
        <v>93.16990986427696</v>
      </c>
      <c r="Y1104" s="12">
        <v>4050.9698390787262</v>
      </c>
      <c r="Z1104" s="12">
        <v>9.1776619809029807</v>
      </c>
      <c r="AA1104" s="12" t="s">
        <v>1268</v>
      </c>
      <c r="AB1104" s="12"/>
    </row>
    <row r="1105" spans="1:28" x14ac:dyDescent="0.3">
      <c r="A1105" s="12" t="s">
        <v>3011</v>
      </c>
      <c r="B1105" s="12" t="s">
        <v>136</v>
      </c>
      <c r="C1105" s="12" t="s">
        <v>136</v>
      </c>
      <c r="D1105" s="12" t="s">
        <v>137</v>
      </c>
      <c r="E1105" s="12" t="s">
        <v>2978</v>
      </c>
      <c r="F1105" s="12" t="s">
        <v>1861</v>
      </c>
      <c r="G1105" s="12" t="s">
        <v>1861</v>
      </c>
      <c r="H1105" s="12" t="b">
        <v>1</v>
      </c>
      <c r="I1105" s="12" t="b">
        <v>0</v>
      </c>
      <c r="J1105" s="12" t="b">
        <v>0</v>
      </c>
      <c r="K1105" s="12" t="b">
        <v>0</v>
      </c>
      <c r="L1105" s="12">
        <v>433.62430589999218</v>
      </c>
      <c r="M1105" s="12">
        <v>279.92310311549659</v>
      </c>
      <c r="N1105" s="12">
        <v>2160.485723338179</v>
      </c>
      <c r="O1105" s="12">
        <v>451.18496691954749</v>
      </c>
      <c r="P1105" s="12">
        <v>0.77478046316297711</v>
      </c>
      <c r="Q1105" s="12">
        <v>0.80805170391826109</v>
      </c>
      <c r="R1105" s="12">
        <v>0.67889807398279423</v>
      </c>
      <c r="S1105" s="12">
        <v>0.6031970463922085</v>
      </c>
      <c r="T1105" s="12">
        <v>0.82792503369078241</v>
      </c>
      <c r="U1105" s="12">
        <v>0.75814808823212787</v>
      </c>
      <c r="V1105" s="12">
        <v>279.92310311549659</v>
      </c>
      <c r="W1105" s="12">
        <v>10.55836234269646</v>
      </c>
      <c r="X1105" s="12">
        <v>101.5809955264819</v>
      </c>
      <c r="Y1105" s="12">
        <v>1709.300756418631</v>
      </c>
      <c r="Z1105" s="12">
        <v>4.7884700992784266</v>
      </c>
      <c r="AA1105" s="12" t="s">
        <v>1268</v>
      </c>
      <c r="AB1105" s="12"/>
    </row>
    <row r="1106" spans="1:28" x14ac:dyDescent="0.3">
      <c r="A1106" s="12" t="s">
        <v>3012</v>
      </c>
      <c r="B1106" s="12" t="s">
        <v>136</v>
      </c>
      <c r="C1106" s="12" t="s">
        <v>136</v>
      </c>
      <c r="D1106" s="12" t="s">
        <v>137</v>
      </c>
      <c r="E1106" s="12" t="s">
        <v>2978</v>
      </c>
      <c r="F1106" s="12" t="s">
        <v>1861</v>
      </c>
      <c r="G1106" s="12" t="s">
        <v>1861</v>
      </c>
      <c r="H1106" s="12" t="b">
        <v>1</v>
      </c>
      <c r="I1106" s="12" t="b">
        <v>0</v>
      </c>
      <c r="J1106" s="12" t="b">
        <v>1</v>
      </c>
      <c r="K1106" s="12" t="b">
        <v>0</v>
      </c>
      <c r="L1106" s="12">
        <v>498.73187817156003</v>
      </c>
      <c r="M1106" s="12">
        <v>301.38087032688179</v>
      </c>
      <c r="N1106" s="12">
        <v>4238.795622881742</v>
      </c>
      <c r="O1106" s="12">
        <v>1208.258783111841</v>
      </c>
      <c r="P1106" s="12">
        <v>0.73746482059834184</v>
      </c>
      <c r="Q1106" s="12">
        <v>0.80915184810508511</v>
      </c>
      <c r="R1106" s="12">
        <v>0.84505169850319362</v>
      </c>
      <c r="S1106" s="12">
        <v>0.89557618547671969</v>
      </c>
      <c r="T1106" s="12">
        <v>0.75926789621721325</v>
      </c>
      <c r="U1106" s="12">
        <v>0.7243673056913783</v>
      </c>
      <c r="V1106" s="12">
        <v>301.38087032688179</v>
      </c>
      <c r="W1106" s="12">
        <v>8.8579480890856406</v>
      </c>
      <c r="X1106" s="12">
        <v>120.7152932802979</v>
      </c>
      <c r="Y1106" s="12">
        <v>3030.5368397699008</v>
      </c>
      <c r="Z1106" s="12">
        <v>3.5081852349252771</v>
      </c>
      <c r="AA1106" s="12" t="s">
        <v>1268</v>
      </c>
      <c r="AB1106" s="12"/>
    </row>
    <row r="1107" spans="1:28" x14ac:dyDescent="0.3">
      <c r="A1107" s="12" t="s">
        <v>3013</v>
      </c>
      <c r="B1107" s="12" t="s">
        <v>136</v>
      </c>
      <c r="C1107" s="12" t="s">
        <v>136</v>
      </c>
      <c r="D1107" s="12" t="s">
        <v>137</v>
      </c>
      <c r="E1107" s="12" t="s">
        <v>2978</v>
      </c>
      <c r="F1107" s="12" t="s">
        <v>32</v>
      </c>
      <c r="G1107" s="12" t="s">
        <v>32</v>
      </c>
      <c r="H1107" s="12" t="b">
        <v>1</v>
      </c>
      <c r="I1107" s="12" t="b">
        <v>1</v>
      </c>
      <c r="J1107" s="12" t="b">
        <v>0</v>
      </c>
      <c r="K1107" s="12" t="b">
        <v>0</v>
      </c>
      <c r="L1107" s="12">
        <v>429.51784774054062</v>
      </c>
      <c r="M1107" s="12">
        <v>300.65894628329841</v>
      </c>
      <c r="N1107" s="12">
        <v>4160.6852918196446</v>
      </c>
      <c r="O1107" s="12">
        <v>1168.545778067049</v>
      </c>
      <c r="P1107" s="12">
        <v>0.64570983755757638</v>
      </c>
      <c r="Q1107" s="12">
        <v>0.78223511970000625</v>
      </c>
      <c r="R1107" s="12">
        <v>0.77347640145951113</v>
      </c>
      <c r="S1107" s="12">
        <v>0.69430687064494256</v>
      </c>
      <c r="T1107" s="12">
        <v>0.82191330161403386</v>
      </c>
      <c r="U1107" s="12">
        <v>0.94254728386761244</v>
      </c>
      <c r="V1107" s="12">
        <v>300.65894628329841</v>
      </c>
      <c r="W1107" s="12">
        <v>8.4431430020843496</v>
      </c>
      <c r="X1107" s="12">
        <v>52.665266715703943</v>
      </c>
      <c r="Y1107" s="12">
        <v>2992.139513752596</v>
      </c>
      <c r="Z1107" s="12">
        <v>3.5605667915740931</v>
      </c>
      <c r="AA1107" s="12"/>
      <c r="AB1107" s="12"/>
    </row>
    <row r="1108" spans="1:28" x14ac:dyDescent="0.3">
      <c r="A1108" s="12" t="s">
        <v>3014</v>
      </c>
      <c r="B1108" s="12" t="s">
        <v>136</v>
      </c>
      <c r="C1108" s="12" t="s">
        <v>136</v>
      </c>
      <c r="D1108" s="12" t="s">
        <v>137</v>
      </c>
      <c r="E1108" s="12" t="s">
        <v>2978</v>
      </c>
      <c r="F1108" s="12" t="s">
        <v>1861</v>
      </c>
      <c r="G1108" s="12" t="s">
        <v>1861</v>
      </c>
      <c r="H1108" s="12" t="b">
        <v>1</v>
      </c>
      <c r="I1108" s="12" t="b">
        <v>0</v>
      </c>
      <c r="J1108" s="12" t="b">
        <v>0</v>
      </c>
      <c r="K1108" s="12" t="b">
        <v>0</v>
      </c>
      <c r="L1108" s="12">
        <v>418.00143862825382</v>
      </c>
      <c r="M1108" s="12">
        <v>300.38090084950733</v>
      </c>
      <c r="N1108" s="12">
        <v>4680.8931842474076</v>
      </c>
      <c r="O1108" s="12">
        <v>1389.747100071894</v>
      </c>
      <c r="P1108" s="12">
        <v>0.70767431712851492</v>
      </c>
      <c r="Q1108" s="12">
        <v>0.89246459550357859</v>
      </c>
      <c r="R1108" s="12">
        <v>0.83031722358672289</v>
      </c>
      <c r="S1108" s="12">
        <v>0.77537168555775327</v>
      </c>
      <c r="T1108" s="12">
        <v>0.6687830978321061</v>
      </c>
      <c r="U1108" s="12">
        <v>0.75193993183095476</v>
      </c>
      <c r="V1108" s="12">
        <v>300.38090084950733</v>
      </c>
      <c r="W1108" s="12">
        <v>10.09598604534723</v>
      </c>
      <c r="X1108" s="12">
        <v>59.99824933803005</v>
      </c>
      <c r="Y1108" s="12">
        <v>3291.1460841755138</v>
      </c>
      <c r="Z1108" s="12">
        <v>3.368161864849553</v>
      </c>
      <c r="AA1108" s="12" t="s">
        <v>1268</v>
      </c>
      <c r="AB1108" s="12"/>
    </row>
    <row r="1109" spans="1:28" x14ac:dyDescent="0.3">
      <c r="A1109" s="12" t="s">
        <v>3015</v>
      </c>
      <c r="B1109" s="12" t="s">
        <v>136</v>
      </c>
      <c r="C1109" s="12" t="s">
        <v>136</v>
      </c>
      <c r="D1109" s="12" t="s">
        <v>137</v>
      </c>
      <c r="E1109" s="12" t="s">
        <v>2978</v>
      </c>
      <c r="F1109" s="12" t="s">
        <v>832</v>
      </c>
      <c r="G1109" s="12" t="s">
        <v>832</v>
      </c>
      <c r="H1109" s="12" t="b">
        <v>0</v>
      </c>
      <c r="I1109" s="12" t="b">
        <v>0</v>
      </c>
      <c r="J1109" s="12" t="b">
        <v>0</v>
      </c>
      <c r="K1109" s="12" t="b">
        <v>0</v>
      </c>
      <c r="L1109" s="12">
        <v>484.10670350391371</v>
      </c>
      <c r="M1109" s="12">
        <v>290.75315962402988</v>
      </c>
      <c r="N1109" s="12">
        <v>4631.0351358272801</v>
      </c>
      <c r="O1109" s="12">
        <v>1377.5145963458781</v>
      </c>
      <c r="P1109" s="12">
        <v>0.58386405785154361</v>
      </c>
      <c r="Q1109" s="12">
        <v>0.91895147257771936</v>
      </c>
      <c r="R1109" s="12">
        <v>0.83665980934741502</v>
      </c>
      <c r="S1109" s="12">
        <v>0.6579134657054716</v>
      </c>
      <c r="T1109" s="12">
        <v>0.87901297549847013</v>
      </c>
      <c r="U1109" s="12">
        <v>0.91837705244752099</v>
      </c>
      <c r="V1109" s="12">
        <v>290.75315962402988</v>
      </c>
      <c r="W1109" s="12"/>
      <c r="X1109" s="12"/>
      <c r="Y1109" s="12">
        <v>3253.520539481402</v>
      </c>
      <c r="Z1109" s="12">
        <v>3.361877360945567</v>
      </c>
      <c r="AA1109" s="12"/>
      <c r="AB1109" s="12"/>
    </row>
    <row r="1110" spans="1:28" x14ac:dyDescent="0.3">
      <c r="A1110" s="12" t="s">
        <v>3016</v>
      </c>
      <c r="B1110" s="12" t="s">
        <v>136</v>
      </c>
      <c r="C1110" s="12" t="s">
        <v>136</v>
      </c>
      <c r="D1110" s="12" t="s">
        <v>137</v>
      </c>
      <c r="E1110" s="12" t="s">
        <v>2978</v>
      </c>
      <c r="F1110" s="12" t="s">
        <v>1862</v>
      </c>
      <c r="G1110" s="12" t="s">
        <v>1862</v>
      </c>
      <c r="H1110" s="12" t="b">
        <v>1</v>
      </c>
      <c r="I1110" s="12" t="b">
        <v>0</v>
      </c>
      <c r="J1110" s="12" t="b">
        <v>0</v>
      </c>
      <c r="K1110" s="12" t="b">
        <v>0</v>
      </c>
      <c r="L1110" s="12">
        <v>396.95133547840339</v>
      </c>
      <c r="M1110" s="12">
        <v>300.98565766607618</v>
      </c>
      <c r="N1110" s="12">
        <v>2805.7997396632072</v>
      </c>
      <c r="O1110" s="12">
        <v>395.24024168871722</v>
      </c>
      <c r="P1110" s="12">
        <v>0.71771086338682766</v>
      </c>
      <c r="Q1110" s="12">
        <v>0.82436977050881743</v>
      </c>
      <c r="R1110" s="12">
        <v>0.84674349484704803</v>
      </c>
      <c r="S1110" s="12">
        <v>0.78762834087714861</v>
      </c>
      <c r="T1110" s="12">
        <v>0.7561767878215887</v>
      </c>
      <c r="U1110" s="12">
        <v>0.7712453349726458</v>
      </c>
      <c r="V1110" s="12">
        <v>300.98565766607618</v>
      </c>
      <c r="W1110" s="12">
        <v>-9.02084917080232</v>
      </c>
      <c r="X1110" s="12">
        <v>-20.101779723272411</v>
      </c>
      <c r="Y1110" s="12">
        <v>2410.5594979744901</v>
      </c>
      <c r="Z1110" s="12">
        <v>7.0989728365589739</v>
      </c>
      <c r="AA1110" s="12" t="s">
        <v>2513</v>
      </c>
      <c r="AB1110" s="12"/>
    </row>
    <row r="1111" spans="1:28" x14ac:dyDescent="0.3">
      <c r="A1111" s="12" t="s">
        <v>3017</v>
      </c>
      <c r="B1111" s="12" t="s">
        <v>136</v>
      </c>
      <c r="C1111" s="12" t="s">
        <v>136</v>
      </c>
      <c r="D1111" s="12" t="s">
        <v>137</v>
      </c>
      <c r="E1111" s="12" t="s">
        <v>2978</v>
      </c>
      <c r="F1111" s="12" t="s">
        <v>1861</v>
      </c>
      <c r="G1111" s="12" t="s">
        <v>1861</v>
      </c>
      <c r="H1111" s="12" t="b">
        <v>1</v>
      </c>
      <c r="I1111" s="12" t="b">
        <v>0</v>
      </c>
      <c r="J1111" s="12" t="b">
        <v>1</v>
      </c>
      <c r="K1111" s="12" t="b">
        <v>0</v>
      </c>
      <c r="L1111" s="12">
        <v>479.30085725383333</v>
      </c>
      <c r="M1111" s="12">
        <v>283.25462332195929</v>
      </c>
      <c r="N1111" s="12">
        <v>4294.9672370021763</v>
      </c>
      <c r="O1111" s="12">
        <v>1497.9965048542119</v>
      </c>
      <c r="P1111" s="12">
        <v>0.84400992758193039</v>
      </c>
      <c r="Q1111" s="12">
        <v>0.86128056681660881</v>
      </c>
      <c r="R1111" s="12">
        <v>0.89919418056265343</v>
      </c>
      <c r="S1111" s="12">
        <v>0.8628960897448319</v>
      </c>
      <c r="T1111" s="12">
        <v>0.71454084714483734</v>
      </c>
      <c r="U1111" s="12">
        <v>0.73592687388045774</v>
      </c>
      <c r="V1111" s="12">
        <v>283.25462332195929</v>
      </c>
      <c r="W1111" s="12">
        <v>9.7464260623170595</v>
      </c>
      <c r="X1111" s="12">
        <v>123.44736668926581</v>
      </c>
      <c r="Y1111" s="12">
        <v>2796.970732147965</v>
      </c>
      <c r="Z1111" s="12">
        <v>2.8671410267543802</v>
      </c>
      <c r="AA1111" s="12" t="s">
        <v>1268</v>
      </c>
      <c r="AB1111" s="12"/>
    </row>
    <row r="1112" spans="1:28" x14ac:dyDescent="0.3">
      <c r="A1112" s="12" t="s">
        <v>3018</v>
      </c>
      <c r="B1112" s="12" t="s">
        <v>136</v>
      </c>
      <c r="C1112" s="12" t="s">
        <v>136</v>
      </c>
      <c r="D1112" s="12" t="s">
        <v>137</v>
      </c>
      <c r="E1112" s="12" t="s">
        <v>2978</v>
      </c>
      <c r="F1112" s="12" t="s">
        <v>32</v>
      </c>
      <c r="G1112" s="12" t="s">
        <v>32</v>
      </c>
      <c r="H1112" s="12" t="b">
        <v>1</v>
      </c>
      <c r="I1112" s="12" t="b">
        <v>1</v>
      </c>
      <c r="J1112" s="12" t="b">
        <v>0</v>
      </c>
      <c r="K1112" s="12" t="b">
        <v>0</v>
      </c>
      <c r="L1112" s="12">
        <v>401.58367161818393</v>
      </c>
      <c r="M1112" s="12">
        <v>281.37779390462651</v>
      </c>
      <c r="N1112" s="12">
        <v>3732.0690323904792</v>
      </c>
      <c r="O1112" s="12">
        <v>858.71851834016627</v>
      </c>
      <c r="P1112" s="12">
        <v>0.57648903080911851</v>
      </c>
      <c r="Q1112" s="12">
        <v>0.78629643734139743</v>
      </c>
      <c r="R1112" s="12">
        <v>0.79952390971956011</v>
      </c>
      <c r="S1112" s="12">
        <v>0.79396656318761083</v>
      </c>
      <c r="T1112" s="12">
        <v>0.74407965060485814</v>
      </c>
      <c r="U1112" s="12">
        <v>0.86750530033877904</v>
      </c>
      <c r="V1112" s="12">
        <v>281.37779390462651</v>
      </c>
      <c r="W1112" s="12">
        <v>6.0965994883622701</v>
      </c>
      <c r="X1112" s="12">
        <v>20.88822185191836</v>
      </c>
      <c r="Y1112" s="12">
        <v>2873.350514050313</v>
      </c>
      <c r="Z1112" s="12">
        <v>4.3460912425695302</v>
      </c>
      <c r="AA1112" s="12"/>
      <c r="AB1112" s="12"/>
    </row>
    <row r="1113" spans="1:28" x14ac:dyDescent="0.3">
      <c r="A1113" s="12" t="s">
        <v>3019</v>
      </c>
      <c r="B1113" s="12" t="s">
        <v>136</v>
      </c>
      <c r="C1113" s="12" t="s">
        <v>136</v>
      </c>
      <c r="D1113" s="12" t="s">
        <v>137</v>
      </c>
      <c r="E1113" s="12" t="s">
        <v>2978</v>
      </c>
      <c r="F1113" s="12" t="s">
        <v>1861</v>
      </c>
      <c r="G1113" s="12" t="s">
        <v>1861</v>
      </c>
      <c r="H1113" s="12" t="b">
        <v>1</v>
      </c>
      <c r="I1113" s="12" t="b">
        <v>0</v>
      </c>
      <c r="J1113" s="12" t="b">
        <v>1</v>
      </c>
      <c r="K1113" s="12" t="b">
        <v>0</v>
      </c>
      <c r="L1113" s="12">
        <v>460.36691114435882</v>
      </c>
      <c r="M1113" s="12">
        <v>294.39893365580332</v>
      </c>
      <c r="N1113" s="12">
        <v>4249.6334748563349</v>
      </c>
      <c r="O1113" s="12">
        <v>759.86308015841973</v>
      </c>
      <c r="P1113" s="12">
        <v>0.68516420359575647</v>
      </c>
      <c r="Q1113" s="12">
        <v>0.7770092817925025</v>
      </c>
      <c r="R1113" s="12">
        <v>0.8806025504532341</v>
      </c>
      <c r="S1113" s="12">
        <v>0.81470356451565196</v>
      </c>
      <c r="T1113" s="12">
        <v>0.84285092982672338</v>
      </c>
      <c r="U1113" s="12">
        <v>0.72805689127828555</v>
      </c>
      <c r="V1113" s="12">
        <v>294.39893365580332</v>
      </c>
      <c r="W1113" s="12">
        <v>11.5046396129952</v>
      </c>
      <c r="X1113" s="12">
        <v>129.20290918829119</v>
      </c>
      <c r="Y1113" s="12">
        <v>3489.770394697915</v>
      </c>
      <c r="Z1113" s="12">
        <v>5.5926305486119317</v>
      </c>
      <c r="AA1113" s="12" t="s">
        <v>1268</v>
      </c>
      <c r="AB1113" s="12"/>
    </row>
    <row r="1114" spans="1:28" x14ac:dyDescent="0.3">
      <c r="A1114" s="12" t="s">
        <v>3020</v>
      </c>
      <c r="B1114" s="12" t="s">
        <v>136</v>
      </c>
      <c r="C1114" s="12" t="s">
        <v>136</v>
      </c>
      <c r="D1114" s="12" t="s">
        <v>137</v>
      </c>
      <c r="E1114" s="12" t="s">
        <v>2978</v>
      </c>
      <c r="F1114" s="12" t="s">
        <v>32</v>
      </c>
      <c r="G1114" s="12" t="s">
        <v>32</v>
      </c>
      <c r="H1114" s="12" t="b">
        <v>1</v>
      </c>
      <c r="I1114" s="12" t="b">
        <v>1</v>
      </c>
      <c r="J1114" s="12" t="b">
        <v>0</v>
      </c>
      <c r="K1114" s="12" t="b">
        <v>0</v>
      </c>
      <c r="L1114" s="12">
        <v>395.676971806121</v>
      </c>
      <c r="M1114" s="12">
        <v>286.69571621371642</v>
      </c>
      <c r="N1114" s="12">
        <v>3160.356416844596</v>
      </c>
      <c r="O1114" s="12">
        <v>930.49414987767796</v>
      </c>
      <c r="P1114" s="12">
        <v>0.5961702593981435</v>
      </c>
      <c r="Q1114" s="12">
        <v>0.82547660141018386</v>
      </c>
      <c r="R1114" s="12">
        <v>0.65487452823960668</v>
      </c>
      <c r="S1114" s="12">
        <v>0.61111157902885627</v>
      </c>
      <c r="T1114" s="12">
        <v>0.60530428826708049</v>
      </c>
      <c r="U1114" s="12">
        <v>0.84021854387045869</v>
      </c>
      <c r="V1114" s="12">
        <v>286.69571621371642</v>
      </c>
      <c r="W1114" s="12">
        <v>4.7244662763837804</v>
      </c>
      <c r="X1114" s="12">
        <v>16.05308390285159</v>
      </c>
      <c r="Y1114" s="12">
        <v>2229.862266966918</v>
      </c>
      <c r="Z1114" s="12">
        <v>3.396428034781362</v>
      </c>
      <c r="AA1114" s="12"/>
      <c r="AB1114" s="12"/>
    </row>
    <row r="1115" spans="1:28" x14ac:dyDescent="0.3">
      <c r="A1115" s="12" t="s">
        <v>3021</v>
      </c>
      <c r="B1115" s="12" t="s">
        <v>136</v>
      </c>
      <c r="C1115" s="12" t="s">
        <v>136</v>
      </c>
      <c r="D1115" s="12" t="s">
        <v>137</v>
      </c>
      <c r="E1115" s="12" t="s">
        <v>2978</v>
      </c>
      <c r="F1115" s="12" t="s">
        <v>1861</v>
      </c>
      <c r="G1115" s="12" t="s">
        <v>1861</v>
      </c>
      <c r="H1115" s="12" t="b">
        <v>1</v>
      </c>
      <c r="I1115" s="12" t="b">
        <v>0</v>
      </c>
      <c r="J1115" s="12" t="b">
        <v>1</v>
      </c>
      <c r="K1115" s="12" t="b">
        <v>0</v>
      </c>
      <c r="L1115" s="12">
        <v>447.66652733176318</v>
      </c>
      <c r="M1115" s="12">
        <v>291.28817636796202</v>
      </c>
      <c r="N1115" s="12">
        <v>4991.2342408864988</v>
      </c>
      <c r="O1115" s="12">
        <v>516.17986149170144</v>
      </c>
      <c r="P1115" s="12">
        <v>0.79088584187529598</v>
      </c>
      <c r="Q1115" s="12">
        <v>0.8672646795531308</v>
      </c>
      <c r="R1115" s="12">
        <v>0.76313131540902901</v>
      </c>
      <c r="S1115" s="12">
        <v>0.86975389173799678</v>
      </c>
      <c r="T1115" s="12">
        <v>0.82047298539055935</v>
      </c>
      <c r="U1115" s="12">
        <v>0.72201401498801543</v>
      </c>
      <c r="V1115" s="12">
        <v>291.28817636796202</v>
      </c>
      <c r="W1115" s="12">
        <v>10.35387206617621</v>
      </c>
      <c r="X1115" s="12">
        <v>71.665348409059618</v>
      </c>
      <c r="Y1115" s="12">
        <v>4475.0543793947973</v>
      </c>
      <c r="Z1115" s="12">
        <v>9.6695640671885101</v>
      </c>
      <c r="AA1115" s="12" t="s">
        <v>1981</v>
      </c>
      <c r="AB1115" s="12"/>
    </row>
    <row r="1116" spans="1:28" x14ac:dyDescent="0.3">
      <c r="A1116" s="12" t="s">
        <v>3022</v>
      </c>
      <c r="B1116" s="12" t="s">
        <v>136</v>
      </c>
      <c r="C1116" s="12" t="s">
        <v>136</v>
      </c>
      <c r="D1116" s="12" t="s">
        <v>137</v>
      </c>
      <c r="E1116" s="12" t="s">
        <v>2978</v>
      </c>
      <c r="F1116" s="12" t="s">
        <v>1861</v>
      </c>
      <c r="G1116" s="12" t="s">
        <v>1861</v>
      </c>
      <c r="H1116" s="12" t="b">
        <v>1</v>
      </c>
      <c r="I1116" s="12" t="b">
        <v>0</v>
      </c>
      <c r="J1116" s="12" t="b">
        <v>1</v>
      </c>
      <c r="K1116" s="12" t="b">
        <v>0</v>
      </c>
      <c r="L1116" s="12">
        <v>466.78041421533072</v>
      </c>
      <c r="M1116" s="12">
        <v>278.55388742415471</v>
      </c>
      <c r="N1116" s="12">
        <v>3922.4585616753252</v>
      </c>
      <c r="O1116" s="12">
        <v>1248.24885800572</v>
      </c>
      <c r="P1116" s="12">
        <v>0.82733420888886222</v>
      </c>
      <c r="Q1116" s="12">
        <v>0.81536798549662726</v>
      </c>
      <c r="R1116" s="12">
        <v>0.86905993778571888</v>
      </c>
      <c r="S1116" s="12">
        <v>0.81235260883404048</v>
      </c>
      <c r="T1116" s="12">
        <v>0.94996519072068342</v>
      </c>
      <c r="U1116" s="12">
        <v>0.71810209823438542</v>
      </c>
      <c r="V1116" s="12">
        <v>278.55388742415471</v>
      </c>
      <c r="W1116" s="12">
        <v>9.6096653938810803</v>
      </c>
      <c r="X1116" s="12">
        <v>113.6421880448725</v>
      </c>
      <c r="Y1116" s="12">
        <v>2674.209703669605</v>
      </c>
      <c r="Z1116" s="12">
        <v>3.1423690368458161</v>
      </c>
      <c r="AA1116" s="12" t="s">
        <v>1268</v>
      </c>
      <c r="AB1116" s="12"/>
    </row>
    <row r="1117" spans="1:28" x14ac:dyDescent="0.3">
      <c r="A1117" s="12" t="s">
        <v>3023</v>
      </c>
      <c r="B1117" s="12" t="s">
        <v>136</v>
      </c>
      <c r="C1117" s="12" t="s">
        <v>136</v>
      </c>
      <c r="D1117" s="12" t="s">
        <v>137</v>
      </c>
      <c r="E1117" s="12" t="s">
        <v>2978</v>
      </c>
      <c r="F1117" s="12" t="s">
        <v>1861</v>
      </c>
      <c r="G1117" s="12" t="s">
        <v>1861</v>
      </c>
      <c r="H1117" s="12" t="b">
        <v>1</v>
      </c>
      <c r="I1117" s="12" t="b">
        <v>0</v>
      </c>
      <c r="J1117" s="12" t="b">
        <v>1</v>
      </c>
      <c r="K1117" s="12" t="b">
        <v>0</v>
      </c>
      <c r="L1117" s="12">
        <v>466.0350615415864</v>
      </c>
      <c r="M1117" s="12">
        <v>285.41612205807951</v>
      </c>
      <c r="N1117" s="12">
        <v>3078.5799568712609</v>
      </c>
      <c r="O1117" s="12">
        <v>352.97752943221923</v>
      </c>
      <c r="P1117" s="12">
        <v>0.76881997885350484</v>
      </c>
      <c r="Q1117" s="12">
        <v>0.75515601939696941</v>
      </c>
      <c r="R1117" s="12">
        <v>0.797267225013916</v>
      </c>
      <c r="S1117" s="12">
        <v>0.74338114916346543</v>
      </c>
      <c r="T1117" s="12">
        <v>0.80465579647248608</v>
      </c>
      <c r="U1117" s="12">
        <v>0.73237791371759819</v>
      </c>
      <c r="V1117" s="12">
        <v>285.41612205807951</v>
      </c>
      <c r="W1117" s="12">
        <v>4.5070897527185103</v>
      </c>
      <c r="X1117" s="12">
        <v>34.578868398109137</v>
      </c>
      <c r="Y1117" s="12">
        <v>2725.6024274390411</v>
      </c>
      <c r="Z1117" s="12">
        <v>8.721744870908072</v>
      </c>
      <c r="AA1117" s="12" t="s">
        <v>1268</v>
      </c>
      <c r="AB1117" s="12"/>
    </row>
    <row r="1118" spans="1:28" x14ac:dyDescent="0.3">
      <c r="A1118" s="12" t="s">
        <v>3024</v>
      </c>
      <c r="B1118" s="12" t="s">
        <v>136</v>
      </c>
      <c r="C1118" s="12" t="s">
        <v>136</v>
      </c>
      <c r="D1118" s="12" t="s">
        <v>137</v>
      </c>
      <c r="E1118" s="12" t="s">
        <v>2978</v>
      </c>
      <c r="F1118" s="12" t="s">
        <v>32</v>
      </c>
      <c r="G1118" s="12" t="s">
        <v>32</v>
      </c>
      <c r="H1118" s="12" t="b">
        <v>1</v>
      </c>
      <c r="I1118" s="12" t="b">
        <v>1</v>
      </c>
      <c r="J1118" s="12" t="b">
        <v>0</v>
      </c>
      <c r="K1118" s="12" t="b">
        <v>0</v>
      </c>
      <c r="L1118" s="12">
        <v>401.01836464738318</v>
      </c>
      <c r="M1118" s="12">
        <v>293.77111338665708</v>
      </c>
      <c r="N1118" s="12">
        <v>2867.3077316380732</v>
      </c>
      <c r="O1118" s="12">
        <v>683.16533660242283</v>
      </c>
      <c r="P1118" s="12">
        <v>0.66318922582208684</v>
      </c>
      <c r="Q1118" s="12">
        <v>0.77547619785640498</v>
      </c>
      <c r="R1118" s="12">
        <v>0.7697905616124896</v>
      </c>
      <c r="S1118" s="12">
        <v>0.62597914875267691</v>
      </c>
      <c r="T1118" s="12">
        <v>0.90271333444718316</v>
      </c>
      <c r="U1118" s="12">
        <v>0.94002885192097918</v>
      </c>
      <c r="V1118" s="12">
        <v>293.77111338665708</v>
      </c>
      <c r="W1118" s="12">
        <v>9.7055335668518996</v>
      </c>
      <c r="X1118" s="12">
        <v>47.58112849168716</v>
      </c>
      <c r="Y1118" s="12">
        <v>2184.1423950356502</v>
      </c>
      <c r="Z1118" s="12">
        <v>4.1970919454110716</v>
      </c>
      <c r="AA1118" s="12"/>
      <c r="AB1118" s="12"/>
    </row>
    <row r="1119" spans="1:28" x14ac:dyDescent="0.3">
      <c r="A1119" s="12" t="s">
        <v>3025</v>
      </c>
      <c r="B1119" s="12" t="s">
        <v>136</v>
      </c>
      <c r="C1119" s="12" t="s">
        <v>136</v>
      </c>
      <c r="D1119" s="12" t="s">
        <v>137</v>
      </c>
      <c r="E1119" s="12" t="s">
        <v>2978</v>
      </c>
      <c r="F1119" s="12" t="s">
        <v>1861</v>
      </c>
      <c r="G1119" s="12" t="s">
        <v>1861</v>
      </c>
      <c r="H1119" s="12" t="b">
        <v>1</v>
      </c>
      <c r="I1119" s="12" t="b">
        <v>0</v>
      </c>
      <c r="J1119" s="12" t="b">
        <v>1</v>
      </c>
      <c r="K1119" s="12" t="b">
        <v>0</v>
      </c>
      <c r="L1119" s="12">
        <v>431.97059580695412</v>
      </c>
      <c r="M1119" s="12">
        <v>300.2046878698165</v>
      </c>
      <c r="N1119" s="12">
        <v>2400.0708529909639</v>
      </c>
      <c r="O1119" s="12">
        <v>420.32728337968302</v>
      </c>
      <c r="P1119" s="12">
        <v>0.76060486291714047</v>
      </c>
      <c r="Q1119" s="12">
        <v>0.77431982224976492</v>
      </c>
      <c r="R1119" s="12">
        <v>0.83693828439279683</v>
      </c>
      <c r="S1119" s="12">
        <v>0.79669195142997384</v>
      </c>
      <c r="T1119" s="12">
        <v>0.77973202202620073</v>
      </c>
      <c r="U1119" s="12">
        <v>0.79035424281145683</v>
      </c>
      <c r="V1119" s="12">
        <v>300.2046878698165</v>
      </c>
      <c r="W1119" s="12">
        <v>3.1814800040593698</v>
      </c>
      <c r="X1119" s="12">
        <v>21.458415272991399</v>
      </c>
      <c r="Y1119" s="12">
        <v>1979.7435696112809</v>
      </c>
      <c r="Z1119" s="12">
        <v>5.7100049125837309</v>
      </c>
      <c r="AA1119" s="12" t="s">
        <v>1268</v>
      </c>
      <c r="AB1119" s="12"/>
    </row>
    <row r="1120" spans="1:28" x14ac:dyDescent="0.3">
      <c r="A1120" s="12" t="s">
        <v>3026</v>
      </c>
      <c r="B1120" s="12" t="s">
        <v>136</v>
      </c>
      <c r="C1120" s="12" t="s">
        <v>136</v>
      </c>
      <c r="D1120" s="12" t="s">
        <v>137</v>
      </c>
      <c r="E1120" s="12" t="s">
        <v>2978</v>
      </c>
      <c r="F1120" s="12" t="s">
        <v>1861</v>
      </c>
      <c r="G1120" s="12" t="s">
        <v>1861</v>
      </c>
      <c r="H1120" s="12" t="b">
        <v>1</v>
      </c>
      <c r="I1120" s="12" t="b">
        <v>0</v>
      </c>
      <c r="J1120" s="12" t="b">
        <v>1</v>
      </c>
      <c r="K1120" s="12" t="b">
        <v>0</v>
      </c>
      <c r="L1120" s="12">
        <v>448.91350940466748</v>
      </c>
      <c r="M1120" s="12">
        <v>297.85319805015251</v>
      </c>
      <c r="N1120" s="12">
        <v>3405.599188785769</v>
      </c>
      <c r="O1120" s="12">
        <v>360.80345072159372</v>
      </c>
      <c r="P1120" s="12">
        <v>0.63840331156057539</v>
      </c>
      <c r="Q1120" s="12">
        <v>0.91587032339978602</v>
      </c>
      <c r="R1120" s="12">
        <v>0.87853286346304049</v>
      </c>
      <c r="S1120" s="12">
        <v>0.71811486697090332</v>
      </c>
      <c r="T1120" s="12">
        <v>0.86613708449688209</v>
      </c>
      <c r="U1120" s="12">
        <v>0.94940937119279323</v>
      </c>
      <c r="V1120" s="12">
        <v>297.85319805015251</v>
      </c>
      <c r="W1120" s="12">
        <v>15.86934188551473</v>
      </c>
      <c r="X1120" s="12">
        <v>132.75617027433881</v>
      </c>
      <c r="Y1120" s="12">
        <v>3044.7957380641751</v>
      </c>
      <c r="Z1120" s="12">
        <v>9.4389318671279181</v>
      </c>
      <c r="AA1120" s="12" t="s">
        <v>1981</v>
      </c>
      <c r="AB1120" s="12"/>
    </row>
    <row r="1121" spans="1:28" x14ac:dyDescent="0.3">
      <c r="A1121" s="12" t="s">
        <v>3027</v>
      </c>
      <c r="B1121" s="12" t="s">
        <v>136</v>
      </c>
      <c r="C1121" s="12" t="s">
        <v>136</v>
      </c>
      <c r="D1121" s="12" t="s">
        <v>137</v>
      </c>
      <c r="E1121" s="12" t="s">
        <v>2978</v>
      </c>
      <c r="F1121" s="12" t="s">
        <v>1861</v>
      </c>
      <c r="G1121" s="12" t="s">
        <v>1861</v>
      </c>
      <c r="H1121" s="12" t="b">
        <v>1</v>
      </c>
      <c r="I1121" s="12" t="b">
        <v>0</v>
      </c>
      <c r="J1121" s="12" t="b">
        <v>0</v>
      </c>
      <c r="K1121" s="12" t="b">
        <v>0</v>
      </c>
      <c r="L1121" s="12">
        <v>413.06871112192522</v>
      </c>
      <c r="M1121" s="12">
        <v>299.41574165862539</v>
      </c>
      <c r="N1121" s="12">
        <v>2513.9998727900161</v>
      </c>
      <c r="O1121" s="12">
        <v>1369.5644733863919</v>
      </c>
      <c r="P1121" s="12">
        <v>0.63407655146262787</v>
      </c>
      <c r="Q1121" s="12">
        <v>0.76441808391045685</v>
      </c>
      <c r="R1121" s="12">
        <v>0.73367908558307027</v>
      </c>
      <c r="S1121" s="12">
        <v>0.85212045994825525</v>
      </c>
      <c r="T1121" s="12">
        <v>0.91062554120242878</v>
      </c>
      <c r="U1121" s="12">
        <v>0.78002108490717548</v>
      </c>
      <c r="V1121" s="12">
        <v>299.41574165862539</v>
      </c>
      <c r="W1121" s="12">
        <v>4.8168233118416302</v>
      </c>
      <c r="X1121" s="12">
        <v>35.588756799010277</v>
      </c>
      <c r="Y1121" s="12">
        <v>1144.4353994036239</v>
      </c>
      <c r="Z1121" s="12">
        <v>1.8356199519208369</v>
      </c>
      <c r="AA1121" s="12" t="s">
        <v>1268</v>
      </c>
      <c r="AB1121" s="12"/>
    </row>
    <row r="1122" spans="1:28" x14ac:dyDescent="0.3">
      <c r="A1122" s="12" t="s">
        <v>3028</v>
      </c>
      <c r="B1122" s="12" t="s">
        <v>136</v>
      </c>
      <c r="C1122" s="12" t="s">
        <v>136</v>
      </c>
      <c r="D1122" s="12" t="s">
        <v>137</v>
      </c>
      <c r="E1122" s="12" t="s">
        <v>2978</v>
      </c>
      <c r="F1122" s="12" t="s">
        <v>1861</v>
      </c>
      <c r="G1122" s="12" t="s">
        <v>1861</v>
      </c>
      <c r="H1122" s="12" t="b">
        <v>1</v>
      </c>
      <c r="I1122" s="12" t="b">
        <v>0</v>
      </c>
      <c r="J1122" s="12" t="b">
        <v>1</v>
      </c>
      <c r="K1122" s="12" t="b">
        <v>0</v>
      </c>
      <c r="L1122" s="12">
        <v>481.60666593606391</v>
      </c>
      <c r="M1122" s="12">
        <v>303.54038715320229</v>
      </c>
      <c r="N1122" s="12">
        <v>3030.7086873052458</v>
      </c>
      <c r="O1122" s="12">
        <v>646.8009595769654</v>
      </c>
      <c r="P1122" s="12">
        <v>0.72933169069200399</v>
      </c>
      <c r="Q1122" s="12">
        <v>0.75337832711584929</v>
      </c>
      <c r="R1122" s="12">
        <v>0.69609712245695998</v>
      </c>
      <c r="S1122" s="12">
        <v>0.7735089549851204</v>
      </c>
      <c r="T1122" s="12">
        <v>0.86339090491641213</v>
      </c>
      <c r="U1122" s="12">
        <v>0.88716602629779873</v>
      </c>
      <c r="V1122" s="12">
        <v>303.54038715320229</v>
      </c>
      <c r="W1122" s="12">
        <v>6.9202808326703407</v>
      </c>
      <c r="X1122" s="12">
        <v>77.035321299162433</v>
      </c>
      <c r="Y1122" s="12">
        <v>2383.90772772828</v>
      </c>
      <c r="Z1122" s="12">
        <v>4.6856898438855978</v>
      </c>
      <c r="AA1122" s="12" t="s">
        <v>1268</v>
      </c>
      <c r="AB1122" s="12"/>
    </row>
    <row r="1123" spans="1:28" x14ac:dyDescent="0.3">
      <c r="A1123" s="12" t="s">
        <v>3029</v>
      </c>
      <c r="B1123" s="12" t="s">
        <v>136</v>
      </c>
      <c r="C1123" s="12" t="s">
        <v>136</v>
      </c>
      <c r="D1123" s="12" t="s">
        <v>137</v>
      </c>
      <c r="E1123" s="12" t="s">
        <v>2978</v>
      </c>
      <c r="F1123" s="12" t="s">
        <v>1861</v>
      </c>
      <c r="G1123" s="12" t="s">
        <v>1861</v>
      </c>
      <c r="H1123" s="12" t="b">
        <v>1</v>
      </c>
      <c r="I1123" s="12" t="b">
        <v>0</v>
      </c>
      <c r="J1123" s="12" t="b">
        <v>0</v>
      </c>
      <c r="K1123" s="12" t="b">
        <v>0</v>
      </c>
      <c r="L1123" s="12">
        <v>454.45240456343072</v>
      </c>
      <c r="M1123" s="12">
        <v>284.92167311125752</v>
      </c>
      <c r="N1123" s="12">
        <v>2450.9615500526988</v>
      </c>
      <c r="O1123" s="12">
        <v>558.53242026543444</v>
      </c>
      <c r="P1123" s="12">
        <v>0.83365869038210338</v>
      </c>
      <c r="Q1123" s="12">
        <v>0.82330060774423131</v>
      </c>
      <c r="R1123" s="12">
        <v>0.70676850567348015</v>
      </c>
      <c r="S1123" s="12">
        <v>0.64551569155633159</v>
      </c>
      <c r="T1123" s="12">
        <v>0.67622602500734053</v>
      </c>
      <c r="U1123" s="12">
        <v>0.80614931346625474</v>
      </c>
      <c r="V1123" s="12">
        <v>284.92167311125752</v>
      </c>
      <c r="W1123" s="12">
        <v>11.39867510913616</v>
      </c>
      <c r="X1123" s="12">
        <v>118.5232719100042</v>
      </c>
      <c r="Y1123" s="12">
        <v>1892.4291297872639</v>
      </c>
      <c r="Z1123" s="12">
        <v>4.3882171582589864</v>
      </c>
      <c r="AA1123" s="12" t="s">
        <v>1268</v>
      </c>
      <c r="AB1123" s="12"/>
    </row>
    <row r="1124" spans="1:28" x14ac:dyDescent="0.3">
      <c r="A1124" s="12" t="s">
        <v>3030</v>
      </c>
      <c r="B1124" s="12" t="s">
        <v>136</v>
      </c>
      <c r="C1124" s="12" t="s">
        <v>136</v>
      </c>
      <c r="D1124" s="12" t="s">
        <v>137</v>
      </c>
      <c r="E1124" s="12" t="s">
        <v>2978</v>
      </c>
      <c r="F1124" s="12" t="s">
        <v>1861</v>
      </c>
      <c r="G1124" s="12" t="s">
        <v>1861</v>
      </c>
      <c r="H1124" s="12" t="b">
        <v>1</v>
      </c>
      <c r="I1124" s="12" t="b">
        <v>0</v>
      </c>
      <c r="J1124" s="12" t="b">
        <v>1</v>
      </c>
      <c r="K1124" s="12" t="b">
        <v>0</v>
      </c>
      <c r="L1124" s="12">
        <v>465.64675748207031</v>
      </c>
      <c r="M1124" s="12">
        <v>282.26709848296559</v>
      </c>
      <c r="N1124" s="12">
        <v>2481.4397070734658</v>
      </c>
      <c r="O1124" s="12">
        <v>563.00659889068857</v>
      </c>
      <c r="P1124" s="12">
        <v>0.55347665715374228</v>
      </c>
      <c r="Q1124" s="12">
        <v>0.87875380752054733</v>
      </c>
      <c r="R1124" s="12">
        <v>0.73451722175802781</v>
      </c>
      <c r="S1124" s="12">
        <v>0.8384746840278483</v>
      </c>
      <c r="T1124" s="12">
        <v>0.76467646970441105</v>
      </c>
      <c r="U1124" s="12">
        <v>0.84573461073080303</v>
      </c>
      <c r="V1124" s="12">
        <v>282.26709848296559</v>
      </c>
      <c r="W1124" s="12">
        <v>10.93110261728568</v>
      </c>
      <c r="X1124" s="12">
        <v>184.34709688756129</v>
      </c>
      <c r="Y1124" s="12">
        <v>1918.433108182777</v>
      </c>
      <c r="Z1124" s="12">
        <v>4.4074789033782773</v>
      </c>
      <c r="AA1124" s="12" t="s">
        <v>1268</v>
      </c>
      <c r="AB1124" s="12"/>
    </row>
    <row r="1125" spans="1:28" x14ac:dyDescent="0.3">
      <c r="A1125" s="12" t="s">
        <v>3031</v>
      </c>
      <c r="B1125" s="12" t="s">
        <v>136</v>
      </c>
      <c r="C1125" s="12" t="s">
        <v>136</v>
      </c>
      <c r="D1125" s="12" t="s">
        <v>137</v>
      </c>
      <c r="E1125" s="12" t="s">
        <v>2978</v>
      </c>
      <c r="F1125" s="12" t="s">
        <v>1861</v>
      </c>
      <c r="G1125" s="12" t="s">
        <v>1861</v>
      </c>
      <c r="H1125" s="12" t="b">
        <v>1</v>
      </c>
      <c r="I1125" s="12" t="b">
        <v>0</v>
      </c>
      <c r="J1125" s="12" t="b">
        <v>1</v>
      </c>
      <c r="K1125" s="12" t="b">
        <v>0</v>
      </c>
      <c r="L1125" s="12">
        <v>497.64319826440419</v>
      </c>
      <c r="M1125" s="12">
        <v>281.80180759394182</v>
      </c>
      <c r="N1125" s="12">
        <v>2443.769872928237</v>
      </c>
      <c r="O1125" s="12">
        <v>867.75388844891245</v>
      </c>
      <c r="P1125" s="12">
        <v>0.56256152776529977</v>
      </c>
      <c r="Q1125" s="12">
        <v>0.78464879347275129</v>
      </c>
      <c r="R1125" s="12">
        <v>0.7439813570048186</v>
      </c>
      <c r="S1125" s="12">
        <v>0.79906922208262687</v>
      </c>
      <c r="T1125" s="12">
        <v>0.77932412113972904</v>
      </c>
      <c r="U1125" s="12">
        <v>0.81672090674089448</v>
      </c>
      <c r="V1125" s="12">
        <v>281.80180759394182</v>
      </c>
      <c r="W1125" s="12">
        <v>7.0708500310845093</v>
      </c>
      <c r="X1125" s="12">
        <v>115.0382191381277</v>
      </c>
      <c r="Y1125" s="12">
        <v>1576.0159844793241</v>
      </c>
      <c r="Z1125" s="12">
        <v>2.816201581414302</v>
      </c>
      <c r="AA1125" s="12" t="s">
        <v>1268</v>
      </c>
      <c r="AB1125" s="12"/>
    </row>
    <row r="1126" spans="1:28" x14ac:dyDescent="0.3">
      <c r="A1126" s="12" t="s">
        <v>3032</v>
      </c>
      <c r="B1126" s="12" t="s">
        <v>136</v>
      </c>
      <c r="C1126" s="12" t="s">
        <v>136</v>
      </c>
      <c r="D1126" s="12" t="s">
        <v>137</v>
      </c>
      <c r="E1126" s="12" t="s">
        <v>2978</v>
      </c>
      <c r="F1126" s="12" t="s">
        <v>32</v>
      </c>
      <c r="G1126" s="12" t="s">
        <v>32</v>
      </c>
      <c r="H1126" s="12" t="b">
        <v>1</v>
      </c>
      <c r="I1126" s="12" t="b">
        <v>1</v>
      </c>
      <c r="J1126" s="12" t="b">
        <v>0</v>
      </c>
      <c r="K1126" s="12" t="b">
        <v>0</v>
      </c>
      <c r="L1126" s="12">
        <v>442.581649298424</v>
      </c>
      <c r="M1126" s="12">
        <v>286.15193980021053</v>
      </c>
      <c r="N1126" s="12">
        <v>2017.4898535705829</v>
      </c>
      <c r="O1126" s="12">
        <v>1032.6542947214091</v>
      </c>
      <c r="P1126" s="12">
        <v>0.7235830504858638</v>
      </c>
      <c r="Q1126" s="12">
        <v>0.7882533720560152</v>
      </c>
      <c r="R1126" s="12">
        <v>0.73976150149850117</v>
      </c>
      <c r="S1126" s="12">
        <v>0.6807163880278051</v>
      </c>
      <c r="T1126" s="12">
        <v>0.80119046398238458</v>
      </c>
      <c r="U1126" s="12">
        <v>0.91482567596030817</v>
      </c>
      <c r="V1126" s="12">
        <v>286.15193980021053</v>
      </c>
      <c r="W1126" s="12">
        <v>5.2350840211785501</v>
      </c>
      <c r="X1126" s="12">
        <v>65.832211877608529</v>
      </c>
      <c r="Y1126" s="12">
        <v>984.83555884917405</v>
      </c>
      <c r="Z1126" s="12">
        <v>1.9536933743299489</v>
      </c>
      <c r="AA1126" s="12"/>
      <c r="AB1126" s="12"/>
    </row>
    <row r="1127" spans="1:28" x14ac:dyDescent="0.3">
      <c r="A1127" s="12" t="s">
        <v>3033</v>
      </c>
      <c r="B1127" s="12" t="s">
        <v>136</v>
      </c>
      <c r="C1127" s="12" t="s">
        <v>136</v>
      </c>
      <c r="D1127" s="12" t="s">
        <v>137</v>
      </c>
      <c r="E1127" s="12" t="s">
        <v>2978</v>
      </c>
      <c r="F1127" s="12" t="s">
        <v>1861</v>
      </c>
      <c r="G1127" s="12" t="s">
        <v>1861</v>
      </c>
      <c r="H1127" s="12" t="b">
        <v>1</v>
      </c>
      <c r="I1127" s="12" t="b">
        <v>0</v>
      </c>
      <c r="J1127" s="12" t="b">
        <v>0</v>
      </c>
      <c r="K1127" s="12" t="b">
        <v>0</v>
      </c>
      <c r="L1127" s="12">
        <v>431.43487990260888</v>
      </c>
      <c r="M1127" s="12">
        <v>288.95640206246168</v>
      </c>
      <c r="N1127" s="12">
        <v>4255.1398485510472</v>
      </c>
      <c r="O1127" s="12">
        <v>1356.4623282553241</v>
      </c>
      <c r="P1127" s="12">
        <v>0.76510693100767679</v>
      </c>
      <c r="Q1127" s="12">
        <v>0.88192448484517927</v>
      </c>
      <c r="R1127" s="12">
        <v>0.86545961528306026</v>
      </c>
      <c r="S1127" s="12">
        <v>0.64126241758162261</v>
      </c>
      <c r="T1127" s="12">
        <v>0.63458692857755206</v>
      </c>
      <c r="U1127" s="12">
        <v>0.70602639837238912</v>
      </c>
      <c r="V1127" s="12">
        <v>288.95640206246168</v>
      </c>
      <c r="W1127" s="12">
        <v>10.24494733598503</v>
      </c>
      <c r="X1127" s="12">
        <v>73.476627703202311</v>
      </c>
      <c r="Y1127" s="12">
        <v>2898.6775202957242</v>
      </c>
      <c r="Z1127" s="12">
        <v>3.13693919832185</v>
      </c>
      <c r="AA1127" s="12" t="s">
        <v>1268</v>
      </c>
      <c r="AB1127" s="12"/>
    </row>
    <row r="1128" spans="1:28" x14ac:dyDescent="0.3">
      <c r="A1128" s="12" t="s">
        <v>3034</v>
      </c>
      <c r="B1128" s="12" t="s">
        <v>136</v>
      </c>
      <c r="C1128" s="12" t="s">
        <v>136</v>
      </c>
      <c r="D1128" s="12" t="s">
        <v>137</v>
      </c>
      <c r="E1128" s="12" t="s">
        <v>2978</v>
      </c>
      <c r="F1128" s="12" t="s">
        <v>32</v>
      </c>
      <c r="G1128" s="12" t="s">
        <v>32</v>
      </c>
      <c r="H1128" s="12" t="b">
        <v>1</v>
      </c>
      <c r="I1128" s="12" t="b">
        <v>0</v>
      </c>
      <c r="J1128" s="12" t="b">
        <v>1</v>
      </c>
      <c r="K1128" s="12" t="b">
        <v>0</v>
      </c>
      <c r="L1128" s="12">
        <v>441.63893894716608</v>
      </c>
      <c r="M1128" s="12">
        <v>296.24692820641621</v>
      </c>
      <c r="N1128" s="12">
        <v>3704.873890662413</v>
      </c>
      <c r="O1128" s="12">
        <v>920.14145857205085</v>
      </c>
      <c r="P1128" s="12">
        <v>0.59918241442558928</v>
      </c>
      <c r="Q1128" s="12">
        <v>0.76935497811274245</v>
      </c>
      <c r="R1128" s="12">
        <v>0.65616233626590148</v>
      </c>
      <c r="S1128" s="12">
        <v>0.82468776877702255</v>
      </c>
      <c r="T1128" s="12">
        <v>0.89396413711153178</v>
      </c>
      <c r="U1128" s="12">
        <v>0.92936907429130555</v>
      </c>
      <c r="V1128" s="12">
        <v>296.24692820641621</v>
      </c>
      <c r="W1128" s="12">
        <v>9.3176380358105799</v>
      </c>
      <c r="X1128" s="12">
        <v>82.078745091565054</v>
      </c>
      <c r="Y1128" s="12">
        <v>2784.7324320903622</v>
      </c>
      <c r="Z1128" s="12">
        <v>4.0264177384333193</v>
      </c>
      <c r="AA1128" s="12"/>
      <c r="AB1128" s="12"/>
    </row>
    <row r="1129" spans="1:28" x14ac:dyDescent="0.3">
      <c r="A1129" s="12" t="s">
        <v>3035</v>
      </c>
      <c r="B1129" s="12" t="s">
        <v>136</v>
      </c>
      <c r="C1129" s="12" t="s">
        <v>136</v>
      </c>
      <c r="D1129" s="12" t="s">
        <v>137</v>
      </c>
      <c r="E1129" s="12" t="s">
        <v>2978</v>
      </c>
      <c r="F1129" s="12" t="s">
        <v>1863</v>
      </c>
      <c r="G1129" s="12" t="s">
        <v>832</v>
      </c>
      <c r="H1129" s="12" t="b">
        <v>0</v>
      </c>
      <c r="I1129" s="12" t="b">
        <v>0</v>
      </c>
      <c r="J1129" s="12" t="b">
        <v>1</v>
      </c>
      <c r="K1129" s="12" t="b">
        <v>0</v>
      </c>
      <c r="L1129" s="12">
        <v>485.47222577188739</v>
      </c>
      <c r="M1129" s="12">
        <v>300.90783080914031</v>
      </c>
      <c r="N1129" s="12">
        <v>4629.4250474273622</v>
      </c>
      <c r="O1129" s="12">
        <v>473.45227107083252</v>
      </c>
      <c r="P1129" s="12">
        <v>0.80964346590891934</v>
      </c>
      <c r="Q1129" s="12">
        <v>0.88943844814362005</v>
      </c>
      <c r="R1129" s="12">
        <v>0.8012818557201955</v>
      </c>
      <c r="S1129" s="12">
        <v>0.93280082892374239</v>
      </c>
      <c r="T1129" s="12">
        <v>0.79733496108239288</v>
      </c>
      <c r="U1129" s="12">
        <v>0.80954584150442244</v>
      </c>
      <c r="V1129" s="12">
        <v>300.90783080914031</v>
      </c>
      <c r="W1129" s="12">
        <v>18.262290930673199</v>
      </c>
      <c r="X1129" s="12">
        <v>120.6399215902034</v>
      </c>
      <c r="Y1129" s="12">
        <v>4155.9727763565297</v>
      </c>
      <c r="Z1129" s="12">
        <v>9.7780184620442157</v>
      </c>
      <c r="AA1129" s="12" t="s">
        <v>1934</v>
      </c>
      <c r="AB1129" s="12"/>
    </row>
    <row r="1130" spans="1:28" x14ac:dyDescent="0.3">
      <c r="A1130" s="12" t="s">
        <v>3036</v>
      </c>
      <c r="B1130" s="12" t="s">
        <v>136</v>
      </c>
      <c r="C1130" s="12" t="s">
        <v>136</v>
      </c>
      <c r="D1130" s="12" t="s">
        <v>137</v>
      </c>
      <c r="E1130" s="12" t="s">
        <v>2978</v>
      </c>
      <c r="F1130" s="12" t="s">
        <v>32</v>
      </c>
      <c r="G1130" s="12" t="s">
        <v>32</v>
      </c>
      <c r="H1130" s="12" t="b">
        <v>1</v>
      </c>
      <c r="I1130" s="12" t="b">
        <v>0</v>
      </c>
      <c r="J1130" s="12" t="b">
        <v>1</v>
      </c>
      <c r="K1130" s="12" t="b">
        <v>0</v>
      </c>
      <c r="L1130" s="12">
        <v>449.94620989045228</v>
      </c>
      <c r="M1130" s="12">
        <v>281.98256848487972</v>
      </c>
      <c r="N1130" s="12">
        <v>3850.0014830623049</v>
      </c>
      <c r="O1130" s="12">
        <v>1479.809375298441</v>
      </c>
      <c r="P1130" s="12">
        <v>0.71208662202770356</v>
      </c>
      <c r="Q1130" s="12">
        <v>0.86665139384828793</v>
      </c>
      <c r="R1130" s="12">
        <v>0.78116279873267935</v>
      </c>
      <c r="S1130" s="12">
        <v>0.89195028950826238</v>
      </c>
      <c r="T1130" s="12">
        <v>0.73003017252707458</v>
      </c>
      <c r="U1130" s="12">
        <v>0.92418548389185795</v>
      </c>
      <c r="V1130" s="12">
        <v>281.98256848487972</v>
      </c>
      <c r="W1130" s="12">
        <v>7.6398972120168001</v>
      </c>
      <c r="X1130" s="12">
        <v>109.6457030644014</v>
      </c>
      <c r="Y1130" s="12">
        <v>2370.192107763864</v>
      </c>
      <c r="Z1130" s="12">
        <v>2.6016874519975621</v>
      </c>
      <c r="AA1130" s="12"/>
      <c r="AB1130" s="12"/>
    </row>
    <row r="1131" spans="1:28" x14ac:dyDescent="0.3">
      <c r="A1131" s="12" t="s">
        <v>3037</v>
      </c>
      <c r="B1131" s="12" t="s">
        <v>136</v>
      </c>
      <c r="C1131" s="12" t="s">
        <v>136</v>
      </c>
      <c r="D1131" s="12" t="s">
        <v>137</v>
      </c>
      <c r="E1131" s="12" t="s">
        <v>2978</v>
      </c>
      <c r="F1131" s="12" t="s">
        <v>1861</v>
      </c>
      <c r="G1131" s="12" t="s">
        <v>1861</v>
      </c>
      <c r="H1131" s="12" t="b">
        <v>1</v>
      </c>
      <c r="I1131" s="12" t="b">
        <v>0</v>
      </c>
      <c r="J1131" s="12" t="b">
        <v>0</v>
      </c>
      <c r="K1131" s="12" t="b">
        <v>0</v>
      </c>
      <c r="L1131" s="12">
        <v>388.0504086470886</v>
      </c>
      <c r="M1131" s="12">
        <v>292.33357871820652</v>
      </c>
      <c r="N1131" s="12">
        <v>3574.8374387542531</v>
      </c>
      <c r="O1131" s="12">
        <v>692.94504186664994</v>
      </c>
      <c r="P1131" s="12">
        <v>0.75505454431174845</v>
      </c>
      <c r="Q1131" s="12">
        <v>0.78155208771237972</v>
      </c>
      <c r="R1131" s="12">
        <v>0.77988237067874966</v>
      </c>
      <c r="S1131" s="12">
        <v>0.84799180893422532</v>
      </c>
      <c r="T1131" s="12">
        <v>0.6069622906904949</v>
      </c>
      <c r="U1131" s="12">
        <v>0.93840956328161562</v>
      </c>
      <c r="V1131" s="12">
        <v>292.33357871820652</v>
      </c>
      <c r="W1131" s="12">
        <v>10.37810494276915</v>
      </c>
      <c r="X1131" s="12">
        <v>68.467426567526914</v>
      </c>
      <c r="Y1131" s="12">
        <v>2881.892396887602</v>
      </c>
      <c r="Z1131" s="12">
        <v>5.1589047078313506</v>
      </c>
      <c r="AA1131" s="12" t="s">
        <v>1268</v>
      </c>
      <c r="AB1131" s="12"/>
    </row>
    <row r="1132" spans="1:28" x14ac:dyDescent="0.3">
      <c r="A1132" s="12" t="s">
        <v>3038</v>
      </c>
      <c r="B1132" s="12" t="s">
        <v>136</v>
      </c>
      <c r="C1132" s="12" t="s">
        <v>136</v>
      </c>
      <c r="D1132" s="12" t="s">
        <v>137</v>
      </c>
      <c r="E1132" s="12" t="s">
        <v>2978</v>
      </c>
      <c r="F1132" s="12" t="s">
        <v>1861</v>
      </c>
      <c r="G1132" s="12" t="s">
        <v>1861</v>
      </c>
      <c r="H1132" s="12" t="b">
        <v>1</v>
      </c>
      <c r="I1132" s="12" t="b">
        <v>0</v>
      </c>
      <c r="J1132" s="12" t="b">
        <v>1</v>
      </c>
      <c r="K1132" s="12" t="b">
        <v>0</v>
      </c>
      <c r="L1132" s="12">
        <v>450.15107478413017</v>
      </c>
      <c r="M1132" s="12">
        <v>302.46234319554628</v>
      </c>
      <c r="N1132" s="12">
        <v>3018.4333594799518</v>
      </c>
      <c r="O1132" s="12">
        <v>1078.9526693895129</v>
      </c>
      <c r="P1132" s="12">
        <v>0.64063305222819733</v>
      </c>
      <c r="Q1132" s="12">
        <v>0.85442979718078083</v>
      </c>
      <c r="R1132" s="12">
        <v>0.76598737387005977</v>
      </c>
      <c r="S1132" s="12">
        <v>0.72506260745405915</v>
      </c>
      <c r="T1132" s="12">
        <v>0.78111549604159491</v>
      </c>
      <c r="U1132" s="12">
        <v>0.86442279804682642</v>
      </c>
      <c r="V1132" s="12">
        <v>302.46234319554628</v>
      </c>
      <c r="W1132" s="12">
        <v>8.4327143746834601</v>
      </c>
      <c r="X1132" s="12">
        <v>94.806791540839782</v>
      </c>
      <c r="Y1132" s="12">
        <v>1939.4806900904391</v>
      </c>
      <c r="Z1132" s="12">
        <v>2.7975586372920551</v>
      </c>
      <c r="AA1132" s="12" t="s">
        <v>1268</v>
      </c>
      <c r="AB1132" s="12"/>
    </row>
    <row r="1133" spans="1:28" x14ac:dyDescent="0.3">
      <c r="A1133" s="12" t="s">
        <v>3039</v>
      </c>
      <c r="B1133" s="12" t="s">
        <v>136</v>
      </c>
      <c r="C1133" s="12" t="s">
        <v>136</v>
      </c>
      <c r="D1133" s="12" t="s">
        <v>137</v>
      </c>
      <c r="E1133" s="12" t="s">
        <v>2978</v>
      </c>
      <c r="F1133" s="12" t="s">
        <v>1861</v>
      </c>
      <c r="G1133" s="12" t="s">
        <v>1861</v>
      </c>
      <c r="H1133" s="12" t="b">
        <v>1</v>
      </c>
      <c r="I1133" s="12" t="b">
        <v>0</v>
      </c>
      <c r="J1133" s="12" t="b">
        <v>1</v>
      </c>
      <c r="K1133" s="12" t="b">
        <v>0</v>
      </c>
      <c r="L1133" s="12">
        <v>472.08142989139287</v>
      </c>
      <c r="M1133" s="12">
        <v>293.59147476942599</v>
      </c>
      <c r="N1133" s="12">
        <v>3281.0679180314919</v>
      </c>
      <c r="O1133" s="12">
        <v>817.33800223752814</v>
      </c>
      <c r="P1133" s="12">
        <v>0.64881154285583076</v>
      </c>
      <c r="Q1133" s="12">
        <v>0.87146494503349325</v>
      </c>
      <c r="R1133" s="12">
        <v>0.80659128655779011</v>
      </c>
      <c r="S1133" s="12">
        <v>0.65405110382314957</v>
      </c>
      <c r="T1133" s="12">
        <v>0.64497648850272882</v>
      </c>
      <c r="U1133" s="12">
        <v>0.83813040236830683</v>
      </c>
      <c r="V1133" s="12">
        <v>293.59147476942599</v>
      </c>
      <c r="W1133" s="12">
        <v>11.042526734613331</v>
      </c>
      <c r="X1133" s="12">
        <v>134.1811215641151</v>
      </c>
      <c r="Y1133" s="12">
        <v>2463.7299157939642</v>
      </c>
      <c r="Z1133" s="12">
        <v>4.0143342277604939</v>
      </c>
      <c r="AA1133" s="12" t="s">
        <v>1268</v>
      </c>
      <c r="AB1133" s="12"/>
    </row>
    <row r="1134" spans="1:28" x14ac:dyDescent="0.3">
      <c r="A1134" s="12" t="s">
        <v>3040</v>
      </c>
      <c r="B1134" s="12" t="s">
        <v>136</v>
      </c>
      <c r="C1134" s="12" t="s">
        <v>136</v>
      </c>
      <c r="D1134" s="12" t="s">
        <v>137</v>
      </c>
      <c r="E1134" s="12" t="s">
        <v>2978</v>
      </c>
      <c r="F1134" s="12" t="s">
        <v>832</v>
      </c>
      <c r="G1134" s="12" t="s">
        <v>832</v>
      </c>
      <c r="H1134" s="12" t="b">
        <v>0</v>
      </c>
      <c r="I1134" s="12" t="b">
        <v>0</v>
      </c>
      <c r="J1134" s="12" t="b">
        <v>0</v>
      </c>
      <c r="K1134" s="12" t="b">
        <v>0</v>
      </c>
      <c r="L1134" s="12">
        <v>467.76977223588227</v>
      </c>
      <c r="M1134" s="12">
        <v>290.65038772626428</v>
      </c>
      <c r="N1134" s="12">
        <v>2851.532116984768</v>
      </c>
      <c r="O1134" s="12">
        <v>790.34816799795499</v>
      </c>
      <c r="P1134" s="12">
        <v>0.71007519010451303</v>
      </c>
      <c r="Q1134" s="12">
        <v>0.8943881503955935</v>
      </c>
      <c r="R1134" s="12">
        <v>0.70253758792668486</v>
      </c>
      <c r="S1134" s="12">
        <v>0.85634822529023624</v>
      </c>
      <c r="T1134" s="12">
        <v>0.93179636253339559</v>
      </c>
      <c r="U1134" s="12">
        <v>0.93340805297961682</v>
      </c>
      <c r="V1134" s="12">
        <v>290.65038772626428</v>
      </c>
      <c r="W1134" s="12"/>
      <c r="X1134" s="12"/>
      <c r="Y1134" s="12">
        <v>2061.183948986813</v>
      </c>
      <c r="Z1134" s="12">
        <v>3.6079442357765381</v>
      </c>
      <c r="AA1134" s="12"/>
      <c r="AB1134" s="12"/>
    </row>
    <row r="1135" spans="1:28" x14ac:dyDescent="0.3">
      <c r="A1135" s="12" t="s">
        <v>3041</v>
      </c>
      <c r="B1135" s="12" t="s">
        <v>136</v>
      </c>
      <c r="C1135" s="12" t="s">
        <v>136</v>
      </c>
      <c r="D1135" s="12" t="s">
        <v>137</v>
      </c>
      <c r="E1135" s="12" t="s">
        <v>2978</v>
      </c>
      <c r="F1135" s="12" t="s">
        <v>1861</v>
      </c>
      <c r="G1135" s="12" t="s">
        <v>1861</v>
      </c>
      <c r="H1135" s="12" t="b">
        <v>1</v>
      </c>
      <c r="I1135" s="12" t="b">
        <v>0</v>
      </c>
      <c r="J1135" s="12" t="b">
        <v>1</v>
      </c>
      <c r="K1135" s="12" t="b">
        <v>0</v>
      </c>
      <c r="L1135" s="12">
        <v>480.8593833638887</v>
      </c>
      <c r="M1135" s="12">
        <v>282.20955910492091</v>
      </c>
      <c r="N1135" s="12">
        <v>4005.086734735974</v>
      </c>
      <c r="O1135" s="12">
        <v>455.27469191456868</v>
      </c>
      <c r="P1135" s="12">
        <v>0.82881188512319648</v>
      </c>
      <c r="Q1135" s="12">
        <v>0.76826370703477753</v>
      </c>
      <c r="R1135" s="12">
        <v>0.76571567817319697</v>
      </c>
      <c r="S1135" s="12">
        <v>0.73324255273420347</v>
      </c>
      <c r="T1135" s="12">
        <v>0.7177940744370952</v>
      </c>
      <c r="U1135" s="12">
        <v>0.78265827157027679</v>
      </c>
      <c r="V1135" s="12">
        <v>282.20955910492091</v>
      </c>
      <c r="W1135" s="12">
        <v>11.10847990198581</v>
      </c>
      <c r="X1135" s="12">
        <v>104.5945645598695</v>
      </c>
      <c r="Y1135" s="12">
        <v>3549.8120428214052</v>
      </c>
      <c r="Z1135" s="12">
        <v>8.7970774696334733</v>
      </c>
      <c r="AA1135" s="12" t="s">
        <v>1268</v>
      </c>
      <c r="AB1135" s="12"/>
    </row>
    <row r="1136" spans="1:28" x14ac:dyDescent="0.3">
      <c r="A1136" s="12" t="s">
        <v>3042</v>
      </c>
      <c r="B1136" s="12" t="s">
        <v>136</v>
      </c>
      <c r="C1136" s="12" t="s">
        <v>136</v>
      </c>
      <c r="D1136" s="12" t="s">
        <v>137</v>
      </c>
      <c r="E1136" s="12" t="s">
        <v>2978</v>
      </c>
      <c r="F1136" s="12" t="s">
        <v>1861</v>
      </c>
      <c r="G1136" s="12" t="s">
        <v>1861</v>
      </c>
      <c r="H1136" s="12" t="b">
        <v>1</v>
      </c>
      <c r="I1136" s="12" t="b">
        <v>0</v>
      </c>
      <c r="J1136" s="12" t="b">
        <v>1</v>
      </c>
      <c r="K1136" s="12" t="b">
        <v>0</v>
      </c>
      <c r="L1136" s="12">
        <v>467.59725865618532</v>
      </c>
      <c r="M1136" s="12">
        <v>288.10282153250819</v>
      </c>
      <c r="N1136" s="12">
        <v>3228.7283343541671</v>
      </c>
      <c r="O1136" s="12">
        <v>905.05150523572115</v>
      </c>
      <c r="P1136" s="12">
        <v>0.77698761169122899</v>
      </c>
      <c r="Q1136" s="12">
        <v>0.82009238060562495</v>
      </c>
      <c r="R1136" s="12">
        <v>0.81858995068130214</v>
      </c>
      <c r="S1136" s="12">
        <v>0.8834220512221207</v>
      </c>
      <c r="T1136" s="12">
        <v>0.63909438133323837</v>
      </c>
      <c r="U1136" s="12">
        <v>0.7824844345107167</v>
      </c>
      <c r="V1136" s="12">
        <v>288.10282153250819</v>
      </c>
      <c r="W1136" s="12">
        <v>9.7292500019887491</v>
      </c>
      <c r="X1136" s="12">
        <v>136.86720724740681</v>
      </c>
      <c r="Y1136" s="12">
        <v>2323.6768291184449</v>
      </c>
      <c r="Z1136" s="12">
        <v>3.567452587699131</v>
      </c>
      <c r="AA1136" s="12" t="s">
        <v>1268</v>
      </c>
      <c r="AB1136" s="12"/>
    </row>
    <row r="1137" spans="1:28" x14ac:dyDescent="0.3">
      <c r="A1137" s="12" t="s">
        <v>3043</v>
      </c>
      <c r="B1137" s="12" t="s">
        <v>136</v>
      </c>
      <c r="C1137" s="12" t="s">
        <v>136</v>
      </c>
      <c r="D1137" s="12" t="s">
        <v>137</v>
      </c>
      <c r="E1137" s="12" t="s">
        <v>2978</v>
      </c>
      <c r="F1137" s="12" t="s">
        <v>832</v>
      </c>
      <c r="G1137" s="12" t="s">
        <v>832</v>
      </c>
      <c r="H1137" s="12" t="b">
        <v>0</v>
      </c>
      <c r="I1137" s="12" t="b">
        <v>0</v>
      </c>
      <c r="J1137" s="12" t="b">
        <v>0</v>
      </c>
      <c r="K1137" s="12" t="b">
        <v>0</v>
      </c>
      <c r="L1137" s="12">
        <v>429.93536714506922</v>
      </c>
      <c r="M1137" s="12">
        <v>278.8592804824678</v>
      </c>
      <c r="N1137" s="12">
        <v>2791.884670335216</v>
      </c>
      <c r="O1137" s="12">
        <v>1344.8912614436899</v>
      </c>
      <c r="P1137" s="12">
        <v>0.77126810712722049</v>
      </c>
      <c r="Q1137" s="12">
        <v>0.78750523565435693</v>
      </c>
      <c r="R1137" s="12">
        <v>0.88176277769428024</v>
      </c>
      <c r="S1137" s="12">
        <v>0.86128256265725767</v>
      </c>
      <c r="T1137" s="12">
        <v>0.91657028043043165</v>
      </c>
      <c r="U1137" s="12">
        <v>0.85636194775551222</v>
      </c>
      <c r="V1137" s="12">
        <v>278.8592804824678</v>
      </c>
      <c r="W1137" s="12"/>
      <c r="X1137" s="12"/>
      <c r="Y1137" s="12">
        <v>1446.9934088915261</v>
      </c>
      <c r="Z1137" s="12">
        <v>2.0759185150316419</v>
      </c>
      <c r="AA1137" s="12"/>
      <c r="AB1137" s="12"/>
    </row>
    <row r="1138" spans="1:28" x14ac:dyDescent="0.3">
      <c r="A1138" s="12" t="s">
        <v>3044</v>
      </c>
      <c r="B1138" s="12" t="s">
        <v>136</v>
      </c>
      <c r="C1138" s="12" t="s">
        <v>136</v>
      </c>
      <c r="D1138" s="12" t="s">
        <v>137</v>
      </c>
      <c r="E1138" s="12" t="s">
        <v>2978</v>
      </c>
      <c r="F1138" s="12" t="s">
        <v>1861</v>
      </c>
      <c r="G1138" s="12" t="s">
        <v>1861</v>
      </c>
      <c r="H1138" s="12" t="b">
        <v>1</v>
      </c>
      <c r="I1138" s="12" t="b">
        <v>0</v>
      </c>
      <c r="J1138" s="12" t="b">
        <v>1</v>
      </c>
      <c r="K1138" s="12" t="b">
        <v>0</v>
      </c>
      <c r="L1138" s="12">
        <v>499.10272106541453</v>
      </c>
      <c r="M1138" s="12">
        <v>298.09945318388873</v>
      </c>
      <c r="N1138" s="12">
        <v>4928.0234379088861</v>
      </c>
      <c r="O1138" s="12">
        <v>642.78356589947543</v>
      </c>
      <c r="P1138" s="12">
        <v>0.63142586208664753</v>
      </c>
      <c r="Q1138" s="12">
        <v>0.75451788988097845</v>
      </c>
      <c r="R1138" s="12">
        <v>0.71143724936467367</v>
      </c>
      <c r="S1138" s="12">
        <v>0.67848709827934195</v>
      </c>
      <c r="T1138" s="12">
        <v>0.67336547935612689</v>
      </c>
      <c r="U1138" s="12">
        <v>0.76983075025247327</v>
      </c>
      <c r="V1138" s="12">
        <v>298.09945318388873</v>
      </c>
      <c r="W1138" s="12">
        <v>12.073657988400949</v>
      </c>
      <c r="X1138" s="12">
        <v>144.16995698987</v>
      </c>
      <c r="Y1138" s="12">
        <v>4285.2398720094106</v>
      </c>
      <c r="Z1138" s="12">
        <v>7.6666917129607777</v>
      </c>
      <c r="AA1138" s="12" t="s">
        <v>1268</v>
      </c>
      <c r="AB1138" s="12"/>
    </row>
    <row r="1139" spans="1:28" x14ac:dyDescent="0.3">
      <c r="A1139" s="12" t="s">
        <v>3045</v>
      </c>
      <c r="B1139" s="12" t="s">
        <v>136</v>
      </c>
      <c r="C1139" s="12" t="s">
        <v>136</v>
      </c>
      <c r="D1139" s="12" t="s">
        <v>137</v>
      </c>
      <c r="E1139" s="12" t="s">
        <v>2978</v>
      </c>
      <c r="F1139" s="12" t="s">
        <v>1861</v>
      </c>
      <c r="G1139" s="12" t="s">
        <v>1861</v>
      </c>
      <c r="H1139" s="12" t="b">
        <v>1</v>
      </c>
      <c r="I1139" s="12" t="b">
        <v>0</v>
      </c>
      <c r="J1139" s="12" t="b">
        <v>0</v>
      </c>
      <c r="K1139" s="12" t="b">
        <v>0</v>
      </c>
      <c r="L1139" s="12">
        <v>415.69432518311328</v>
      </c>
      <c r="M1139" s="12">
        <v>292.61684009552931</v>
      </c>
      <c r="N1139" s="12">
        <v>3303.8020977301112</v>
      </c>
      <c r="O1139" s="12">
        <v>1291.098246882884</v>
      </c>
      <c r="P1139" s="12">
        <v>0.77876449733269659</v>
      </c>
      <c r="Q1139" s="12">
        <v>0.89634983306591276</v>
      </c>
      <c r="R1139" s="12">
        <v>0.7478276319958933</v>
      </c>
      <c r="S1139" s="12">
        <v>0.94700615319347203</v>
      </c>
      <c r="T1139" s="12">
        <v>0.66124379760658358</v>
      </c>
      <c r="U1139" s="12">
        <v>0.70268915643598817</v>
      </c>
      <c r="V1139" s="12">
        <v>292.61684009552931</v>
      </c>
      <c r="W1139" s="12">
        <v>8.2219039289324094</v>
      </c>
      <c r="X1139" s="12">
        <v>74.804698524942737</v>
      </c>
      <c r="Y1139" s="12">
        <v>2012.7038508472281</v>
      </c>
      <c r="Z1139" s="12">
        <v>2.5589083601550282</v>
      </c>
      <c r="AA1139" s="12" t="s">
        <v>1268</v>
      </c>
      <c r="AB1139" s="12"/>
    </row>
    <row r="1140" spans="1:28" x14ac:dyDescent="0.3">
      <c r="A1140" s="12" t="s">
        <v>3046</v>
      </c>
      <c r="B1140" s="12" t="s">
        <v>136</v>
      </c>
      <c r="C1140" s="12" t="s">
        <v>136</v>
      </c>
      <c r="D1140" s="12" t="s">
        <v>137</v>
      </c>
      <c r="E1140" s="12" t="s">
        <v>2978</v>
      </c>
      <c r="F1140" s="12" t="s">
        <v>1861</v>
      </c>
      <c r="G1140" s="12" t="s">
        <v>1861</v>
      </c>
      <c r="H1140" s="12" t="b">
        <v>1</v>
      </c>
      <c r="I1140" s="12" t="b">
        <v>0</v>
      </c>
      <c r="J1140" s="12" t="b">
        <v>0</v>
      </c>
      <c r="K1140" s="12" t="b">
        <v>0</v>
      </c>
      <c r="L1140" s="12">
        <v>395.16209304409148</v>
      </c>
      <c r="M1140" s="12">
        <v>289.13291498493459</v>
      </c>
      <c r="N1140" s="12">
        <v>2676.464074572325</v>
      </c>
      <c r="O1140" s="12">
        <v>872.20860390269002</v>
      </c>
      <c r="P1140" s="12">
        <v>0.83181781857102344</v>
      </c>
      <c r="Q1140" s="12">
        <v>0.90806186965366342</v>
      </c>
      <c r="R1140" s="12">
        <v>0.78534143681291835</v>
      </c>
      <c r="S1140" s="12">
        <v>0.68238979460715288</v>
      </c>
      <c r="T1140" s="12">
        <v>0.70565504905049004</v>
      </c>
      <c r="U1140" s="12">
        <v>0.88630069828316693</v>
      </c>
      <c r="V1140" s="12">
        <v>289.13291498493459</v>
      </c>
      <c r="W1140" s="12">
        <v>10.088744848035899</v>
      </c>
      <c r="X1140" s="12">
        <v>79.288417376558925</v>
      </c>
      <c r="Y1140" s="12">
        <v>1804.255470669634</v>
      </c>
      <c r="Z1140" s="12">
        <v>3.0686054489677219</v>
      </c>
      <c r="AA1140" s="12" t="s">
        <v>1268</v>
      </c>
      <c r="AB1140" s="12"/>
    </row>
    <row r="1141" spans="1:28" x14ac:dyDescent="0.3">
      <c r="A1141" s="12" t="s">
        <v>3047</v>
      </c>
      <c r="B1141" s="12" t="s">
        <v>136</v>
      </c>
      <c r="C1141" s="12" t="s">
        <v>136</v>
      </c>
      <c r="D1141" s="12" t="s">
        <v>137</v>
      </c>
      <c r="E1141" s="12" t="s">
        <v>2978</v>
      </c>
      <c r="F1141" s="12" t="s">
        <v>1861</v>
      </c>
      <c r="G1141" s="12" t="s">
        <v>1861</v>
      </c>
      <c r="H1141" s="12" t="b">
        <v>1</v>
      </c>
      <c r="I1141" s="12" t="b">
        <v>0</v>
      </c>
      <c r="J1141" s="12" t="b">
        <v>1</v>
      </c>
      <c r="K1141" s="12" t="b">
        <v>0</v>
      </c>
      <c r="L1141" s="12">
        <v>453.53226755635671</v>
      </c>
      <c r="M1141" s="12">
        <v>280.54307930462539</v>
      </c>
      <c r="N1141" s="12">
        <v>3316.5739454530558</v>
      </c>
      <c r="O1141" s="12">
        <v>356.23691745028071</v>
      </c>
      <c r="P1141" s="12">
        <v>0.73893832819538874</v>
      </c>
      <c r="Q1141" s="12">
        <v>0.83559756217851455</v>
      </c>
      <c r="R1141" s="12">
        <v>0.68616807240862032</v>
      </c>
      <c r="S1141" s="12">
        <v>0.87547641300642853</v>
      </c>
      <c r="T1141" s="12">
        <v>0.80249984122673257</v>
      </c>
      <c r="U1141" s="12">
        <v>0.9033320958877632</v>
      </c>
      <c r="V1141" s="12">
        <v>280.54307930462539</v>
      </c>
      <c r="W1141" s="12">
        <v>14.94097898046169</v>
      </c>
      <c r="X1141" s="12">
        <v>211.54900365475791</v>
      </c>
      <c r="Y1141" s="12">
        <v>2960.3370280027748</v>
      </c>
      <c r="Z1141" s="12">
        <v>9.3100231418770445</v>
      </c>
      <c r="AA1141" s="12" t="s">
        <v>1268</v>
      </c>
      <c r="AB1141" s="12"/>
    </row>
    <row r="1142" spans="1:28" x14ac:dyDescent="0.3">
      <c r="A1142" s="12" t="s">
        <v>3048</v>
      </c>
      <c r="B1142" s="12" t="s">
        <v>136</v>
      </c>
      <c r="C1142" s="12" t="s">
        <v>136</v>
      </c>
      <c r="D1142" s="12" t="s">
        <v>137</v>
      </c>
      <c r="E1142" s="12" t="s">
        <v>2978</v>
      </c>
      <c r="F1142" s="12" t="s">
        <v>1861</v>
      </c>
      <c r="G1142" s="12" t="s">
        <v>1861</v>
      </c>
      <c r="H1142" s="12" t="b">
        <v>1</v>
      </c>
      <c r="I1142" s="12" t="b">
        <v>0</v>
      </c>
      <c r="J1142" s="12" t="b">
        <v>0</v>
      </c>
      <c r="K1142" s="12" t="b">
        <v>0</v>
      </c>
      <c r="L1142" s="12">
        <v>413.71124570018458</v>
      </c>
      <c r="M1142" s="12">
        <v>294.72443078156272</v>
      </c>
      <c r="N1142" s="12">
        <v>2838.322250845551</v>
      </c>
      <c r="O1142" s="12">
        <v>686.17598792300953</v>
      </c>
      <c r="P1142" s="12">
        <v>0.60334102656597977</v>
      </c>
      <c r="Q1142" s="12">
        <v>0.91716015300666942</v>
      </c>
      <c r="R1142" s="12">
        <v>0.87798253345230803</v>
      </c>
      <c r="S1142" s="12">
        <v>0.85382399293688471</v>
      </c>
      <c r="T1142" s="12">
        <v>0.79147488389772458</v>
      </c>
      <c r="U1142" s="12">
        <v>0.81861782756414359</v>
      </c>
      <c r="V1142" s="12">
        <v>294.72443078156272</v>
      </c>
      <c r="W1142" s="12">
        <v>11.750481082768969</v>
      </c>
      <c r="X1142" s="12">
        <v>79.817296754561411</v>
      </c>
      <c r="Y1142" s="12">
        <v>2152.1462629225421</v>
      </c>
      <c r="Z1142" s="12">
        <v>4.1364348225546141</v>
      </c>
      <c r="AA1142" s="12" t="s">
        <v>1268</v>
      </c>
      <c r="AB1142" s="12"/>
    </row>
    <row r="1143" spans="1:28" x14ac:dyDescent="0.3">
      <c r="A1143" s="12" t="s">
        <v>3049</v>
      </c>
      <c r="B1143" s="12" t="s">
        <v>136</v>
      </c>
      <c r="C1143" s="12" t="s">
        <v>136</v>
      </c>
      <c r="D1143" s="12" t="s">
        <v>137</v>
      </c>
      <c r="E1143" s="12" t="s">
        <v>2978</v>
      </c>
      <c r="F1143" s="12" t="s">
        <v>1862</v>
      </c>
      <c r="G1143" s="12" t="s">
        <v>1862</v>
      </c>
      <c r="H1143" s="12" t="b">
        <v>1</v>
      </c>
      <c r="I1143" s="12" t="b">
        <v>0</v>
      </c>
      <c r="J1143" s="12" t="b">
        <v>0</v>
      </c>
      <c r="K1143" s="12" t="b">
        <v>0</v>
      </c>
      <c r="L1143" s="12">
        <v>391.5257008929986</v>
      </c>
      <c r="M1143" s="12">
        <v>289.73629518185197</v>
      </c>
      <c r="N1143" s="12">
        <v>4344.1781891148576</v>
      </c>
      <c r="O1143" s="12">
        <v>347.13542630991373</v>
      </c>
      <c r="P1143" s="12">
        <v>0.61101471985341427</v>
      </c>
      <c r="Q1143" s="12">
        <v>0.81293591010349953</v>
      </c>
      <c r="R1143" s="12">
        <v>0.71384198369848484</v>
      </c>
      <c r="S1143" s="12">
        <v>0.79178452445963887</v>
      </c>
      <c r="T1143" s="12">
        <v>0.8872536842044505</v>
      </c>
      <c r="U1143" s="12">
        <v>0.72711873727953213</v>
      </c>
      <c r="V1143" s="12">
        <v>289.73629518185197</v>
      </c>
      <c r="W1143" s="12">
        <v>-6.8922148471606697</v>
      </c>
      <c r="X1143" s="12">
        <v>-6.2170124574570202</v>
      </c>
      <c r="Y1143" s="12">
        <v>3997.0427628049451</v>
      </c>
      <c r="Z1143" s="12">
        <v>12.514361427451909</v>
      </c>
      <c r="AA1143" s="12" t="s">
        <v>2513</v>
      </c>
      <c r="AB1143" s="12"/>
    </row>
    <row r="1144" spans="1:28" x14ac:dyDescent="0.3">
      <c r="A1144" s="12" t="s">
        <v>3050</v>
      </c>
      <c r="B1144" s="12" t="s">
        <v>136</v>
      </c>
      <c r="C1144" s="12" t="s">
        <v>136</v>
      </c>
      <c r="D1144" s="12" t="s">
        <v>137</v>
      </c>
      <c r="E1144" s="12" t="s">
        <v>2978</v>
      </c>
      <c r="F1144" s="12" t="s">
        <v>1861</v>
      </c>
      <c r="G1144" s="12" t="s">
        <v>1861</v>
      </c>
      <c r="H1144" s="12" t="b">
        <v>1</v>
      </c>
      <c r="I1144" s="12" t="b">
        <v>0</v>
      </c>
      <c r="J1144" s="12" t="b">
        <v>1</v>
      </c>
      <c r="K1144" s="12" t="b">
        <v>0</v>
      </c>
      <c r="L1144" s="12">
        <v>474.26592389735379</v>
      </c>
      <c r="M1144" s="12">
        <v>288.27487592543281</v>
      </c>
      <c r="N1144" s="12">
        <v>3143.4102948421728</v>
      </c>
      <c r="O1144" s="12">
        <v>879.44979149559902</v>
      </c>
      <c r="P1144" s="12">
        <v>0.60118498703255163</v>
      </c>
      <c r="Q1144" s="12">
        <v>0.83507664628254363</v>
      </c>
      <c r="R1144" s="12">
        <v>0.80372734036760085</v>
      </c>
      <c r="S1144" s="12">
        <v>0.88556585186473902</v>
      </c>
      <c r="T1144" s="12">
        <v>0.70443006495164706</v>
      </c>
      <c r="U1144" s="12">
        <v>0.91694154404467199</v>
      </c>
      <c r="V1144" s="12">
        <v>288.27487592543281</v>
      </c>
      <c r="W1144" s="12">
        <v>9.1700667546975208</v>
      </c>
      <c r="X1144" s="12">
        <v>167.94735984379329</v>
      </c>
      <c r="Y1144" s="12">
        <v>2263.9605033465741</v>
      </c>
      <c r="Z1144" s="12">
        <v>3.5742919325689591</v>
      </c>
      <c r="AA1144" s="12" t="s">
        <v>1268</v>
      </c>
      <c r="AB1144" s="12"/>
    </row>
    <row r="1145" spans="1:28" x14ac:dyDescent="0.3">
      <c r="A1145" s="12" t="s">
        <v>3051</v>
      </c>
      <c r="B1145" s="12" t="s">
        <v>136</v>
      </c>
      <c r="C1145" s="12" t="s">
        <v>136</v>
      </c>
      <c r="D1145" s="12" t="s">
        <v>137</v>
      </c>
      <c r="E1145" s="12" t="s">
        <v>2978</v>
      </c>
      <c r="F1145" s="12" t="s">
        <v>32</v>
      </c>
      <c r="G1145" s="12" t="s">
        <v>32</v>
      </c>
      <c r="H1145" s="12" t="b">
        <v>1</v>
      </c>
      <c r="I1145" s="12" t="b">
        <v>1</v>
      </c>
      <c r="J1145" s="12" t="b">
        <v>0</v>
      </c>
      <c r="K1145" s="12" t="b">
        <v>0</v>
      </c>
      <c r="L1145" s="12">
        <v>425.97431195348292</v>
      </c>
      <c r="M1145" s="12">
        <v>298.25857629308928</v>
      </c>
      <c r="N1145" s="12">
        <v>4398.7095789565983</v>
      </c>
      <c r="O1145" s="12">
        <v>634.29698301898202</v>
      </c>
      <c r="P1145" s="12">
        <v>0.51415253416842666</v>
      </c>
      <c r="Q1145" s="12">
        <v>0.87587695798273124</v>
      </c>
      <c r="R1145" s="12">
        <v>0.74942242618416466</v>
      </c>
      <c r="S1145" s="12">
        <v>0.61722628882729536</v>
      </c>
      <c r="T1145" s="12">
        <v>0.73337069956520529</v>
      </c>
      <c r="U1145" s="12">
        <v>0.93534694341556357</v>
      </c>
      <c r="V1145" s="12">
        <v>298.25857629308928</v>
      </c>
      <c r="W1145" s="12">
        <v>6.5857356167446106</v>
      </c>
      <c r="X1145" s="12">
        <v>19.208768162159419</v>
      </c>
      <c r="Y1145" s="12">
        <v>3764.4125959376161</v>
      </c>
      <c r="Z1145" s="12">
        <v>6.9347792859121364</v>
      </c>
      <c r="AA1145" s="12"/>
      <c r="AB1145" s="12"/>
    </row>
    <row r="1146" spans="1:28" x14ac:dyDescent="0.3">
      <c r="A1146" s="12" t="s">
        <v>3052</v>
      </c>
      <c r="B1146" s="12" t="s">
        <v>136</v>
      </c>
      <c r="C1146" s="12" t="s">
        <v>136</v>
      </c>
      <c r="D1146" s="12" t="s">
        <v>137</v>
      </c>
      <c r="E1146" s="12" t="s">
        <v>2978</v>
      </c>
      <c r="F1146" s="12" t="s">
        <v>1861</v>
      </c>
      <c r="G1146" s="12" t="s">
        <v>1861</v>
      </c>
      <c r="H1146" s="12" t="b">
        <v>1</v>
      </c>
      <c r="I1146" s="12" t="b">
        <v>0</v>
      </c>
      <c r="J1146" s="12" t="b">
        <v>1</v>
      </c>
      <c r="K1146" s="12" t="b">
        <v>0</v>
      </c>
      <c r="L1146" s="12">
        <v>466.85344449608289</v>
      </c>
      <c r="M1146" s="12">
        <v>280.60841431201072</v>
      </c>
      <c r="N1146" s="12">
        <v>2506.8360267557309</v>
      </c>
      <c r="O1146" s="12">
        <v>351.51524519365688</v>
      </c>
      <c r="P1146" s="12">
        <v>0.82609188761215302</v>
      </c>
      <c r="Q1146" s="12">
        <v>0.80694492207148427</v>
      </c>
      <c r="R1146" s="12">
        <v>0.6678182115196547</v>
      </c>
      <c r="S1146" s="12">
        <v>0.81432419021673885</v>
      </c>
      <c r="T1146" s="12">
        <v>0.7095129647968299</v>
      </c>
      <c r="U1146" s="12">
        <v>0.74408169018806325</v>
      </c>
      <c r="V1146" s="12">
        <v>280.60841431201072</v>
      </c>
      <c r="W1146" s="12">
        <v>0.18334210888492</v>
      </c>
      <c r="X1146" s="12">
        <v>1.320553198233597</v>
      </c>
      <c r="Y1146" s="12">
        <v>2155.320781562074</v>
      </c>
      <c r="Z1146" s="12">
        <v>7.1315143824691418</v>
      </c>
      <c r="AA1146" s="12" t="s">
        <v>1268</v>
      </c>
      <c r="AB1146" s="12"/>
    </row>
    <row r="1147" spans="1:28" x14ac:dyDescent="0.3">
      <c r="A1147" s="12" t="s">
        <v>3053</v>
      </c>
      <c r="B1147" s="12" t="s">
        <v>136</v>
      </c>
      <c r="C1147" s="12" t="s">
        <v>136</v>
      </c>
      <c r="D1147" s="12" t="s">
        <v>137</v>
      </c>
      <c r="E1147" s="12" t="s">
        <v>2978</v>
      </c>
      <c r="F1147" s="12" t="s">
        <v>1861</v>
      </c>
      <c r="G1147" s="12" t="s">
        <v>1861</v>
      </c>
      <c r="H1147" s="12" t="b">
        <v>1</v>
      </c>
      <c r="I1147" s="12" t="b">
        <v>0</v>
      </c>
      <c r="J1147" s="12" t="b">
        <v>1</v>
      </c>
      <c r="K1147" s="12" t="b">
        <v>0</v>
      </c>
      <c r="L1147" s="12">
        <v>488.11673836043877</v>
      </c>
      <c r="M1147" s="12">
        <v>280.27101276466709</v>
      </c>
      <c r="N1147" s="12">
        <v>2650.571912221968</v>
      </c>
      <c r="O1147" s="12">
        <v>916.06358348158994</v>
      </c>
      <c r="P1147" s="12">
        <v>0.64772277229578312</v>
      </c>
      <c r="Q1147" s="12">
        <v>0.83262621772047574</v>
      </c>
      <c r="R1147" s="12">
        <v>0.78991267127186005</v>
      </c>
      <c r="S1147" s="12">
        <v>0.78481607296017009</v>
      </c>
      <c r="T1147" s="12">
        <v>0.85470876726071188</v>
      </c>
      <c r="U1147" s="12">
        <v>0.9001919053297861</v>
      </c>
      <c r="V1147" s="12">
        <v>280.27101276466709</v>
      </c>
      <c r="W1147" s="12">
        <v>8.0226769260270192</v>
      </c>
      <c r="X1147" s="12">
        <v>129.06057480293779</v>
      </c>
      <c r="Y1147" s="12">
        <v>1734.5083287403791</v>
      </c>
      <c r="Z1147" s="12">
        <v>2.893436612934889</v>
      </c>
      <c r="AA1147" s="12" t="s">
        <v>1268</v>
      </c>
      <c r="AB1147" s="12"/>
    </row>
    <row r="1148" spans="1:28" x14ac:dyDescent="0.3">
      <c r="A1148" s="12" t="s">
        <v>3054</v>
      </c>
      <c r="B1148" s="12" t="s">
        <v>136</v>
      </c>
      <c r="C1148" s="12" t="s">
        <v>136</v>
      </c>
      <c r="D1148" s="12" t="s">
        <v>137</v>
      </c>
      <c r="E1148" s="12" t="s">
        <v>2978</v>
      </c>
      <c r="F1148" s="12" t="s">
        <v>32</v>
      </c>
      <c r="G1148" s="12" t="s">
        <v>32</v>
      </c>
      <c r="H1148" s="12" t="b">
        <v>1</v>
      </c>
      <c r="I1148" s="12" t="b">
        <v>1</v>
      </c>
      <c r="J1148" s="12" t="b">
        <v>0</v>
      </c>
      <c r="K1148" s="12" t="b">
        <v>0</v>
      </c>
      <c r="L1148" s="12">
        <v>412.29690339395819</v>
      </c>
      <c r="M1148" s="12">
        <v>282.95308645194069</v>
      </c>
      <c r="N1148" s="12">
        <v>3723.2852900100111</v>
      </c>
      <c r="O1148" s="12">
        <v>1030.303377686404</v>
      </c>
      <c r="P1148" s="12">
        <v>0.54738173181763083</v>
      </c>
      <c r="Q1148" s="12">
        <v>0.9097924384713304</v>
      </c>
      <c r="R1148" s="12">
        <v>0.83925613625830664</v>
      </c>
      <c r="S1148" s="12">
        <v>0.62727787519691924</v>
      </c>
      <c r="T1148" s="12">
        <v>0.6189841475039134</v>
      </c>
      <c r="U1148" s="12">
        <v>0.84154607545571836</v>
      </c>
      <c r="V1148" s="12">
        <v>282.95308645194069</v>
      </c>
      <c r="W1148" s="12">
        <v>4.70373958441919</v>
      </c>
      <c r="X1148" s="12">
        <v>16.421888753071471</v>
      </c>
      <c r="Y1148" s="12">
        <v>2692.981912323607</v>
      </c>
      <c r="Z1148" s="12">
        <v>3.613775680684292</v>
      </c>
      <c r="AA1148" s="12"/>
      <c r="AB1148" s="12"/>
    </row>
    <row r="1149" spans="1:28" x14ac:dyDescent="0.3">
      <c r="A1149" s="12" t="s">
        <v>3055</v>
      </c>
      <c r="B1149" s="12" t="s">
        <v>136</v>
      </c>
      <c r="C1149" s="12" t="s">
        <v>136</v>
      </c>
      <c r="D1149" s="12" t="s">
        <v>137</v>
      </c>
      <c r="E1149" s="12" t="s">
        <v>2978</v>
      </c>
      <c r="F1149" s="12" t="s">
        <v>32</v>
      </c>
      <c r="G1149" s="12" t="s">
        <v>32</v>
      </c>
      <c r="H1149" s="12" t="b">
        <v>1</v>
      </c>
      <c r="I1149" s="12" t="b">
        <v>0</v>
      </c>
      <c r="J1149" s="12" t="b">
        <v>1</v>
      </c>
      <c r="K1149" s="12" t="b">
        <v>0</v>
      </c>
      <c r="L1149" s="12">
        <v>490.77933297608018</v>
      </c>
      <c r="M1149" s="12">
        <v>287.89325434490951</v>
      </c>
      <c r="N1149" s="12">
        <v>4594.5598944577014</v>
      </c>
      <c r="O1149" s="12">
        <v>1315.7871292156799</v>
      </c>
      <c r="P1149" s="12">
        <v>0.82054696675214434</v>
      </c>
      <c r="Q1149" s="12">
        <v>0.85291936871779905</v>
      </c>
      <c r="R1149" s="12">
        <v>0.7303113672003082</v>
      </c>
      <c r="S1149" s="12">
        <v>0.80281376892058431</v>
      </c>
      <c r="T1149" s="12">
        <v>0.92637668841839116</v>
      </c>
      <c r="U1149" s="12">
        <v>0.9308272945162116</v>
      </c>
      <c r="V1149" s="12">
        <v>287.89325434490951</v>
      </c>
      <c r="W1149" s="12">
        <v>10.61019331739266</v>
      </c>
      <c r="X1149" s="12">
        <v>152.51343136359321</v>
      </c>
      <c r="Y1149" s="12">
        <v>3278.7727652420208</v>
      </c>
      <c r="Z1149" s="12">
        <v>3.4918717415912441</v>
      </c>
      <c r="AA1149" s="12"/>
      <c r="AB1149" s="12"/>
    </row>
    <row r="1150" spans="1:28" x14ac:dyDescent="0.3">
      <c r="A1150" s="12" t="s">
        <v>3056</v>
      </c>
      <c r="B1150" s="12" t="s">
        <v>136</v>
      </c>
      <c r="C1150" s="12" t="s">
        <v>136</v>
      </c>
      <c r="D1150" s="12" t="s">
        <v>137</v>
      </c>
      <c r="E1150" s="12" t="s">
        <v>2978</v>
      </c>
      <c r="F1150" s="12" t="s">
        <v>1861</v>
      </c>
      <c r="G1150" s="12" t="s">
        <v>1861</v>
      </c>
      <c r="H1150" s="12" t="b">
        <v>1</v>
      </c>
      <c r="I1150" s="12" t="b">
        <v>0</v>
      </c>
      <c r="J1150" s="12" t="b">
        <v>1</v>
      </c>
      <c r="K1150" s="12" t="b">
        <v>0</v>
      </c>
      <c r="L1150" s="12">
        <v>478.03222972869071</v>
      </c>
      <c r="M1150" s="12">
        <v>282.46278127606968</v>
      </c>
      <c r="N1150" s="12">
        <v>2915.52601975683</v>
      </c>
      <c r="O1150" s="12">
        <v>1410.7019134577531</v>
      </c>
      <c r="P1150" s="12">
        <v>0.7503205813715339</v>
      </c>
      <c r="Q1150" s="12">
        <v>0.81948930532735154</v>
      </c>
      <c r="R1150" s="12">
        <v>0.81611045759508771</v>
      </c>
      <c r="S1150" s="12">
        <v>0.91589229597654298</v>
      </c>
      <c r="T1150" s="12">
        <v>0.90946447863731883</v>
      </c>
      <c r="U1150" s="12">
        <v>0.77562137411630028</v>
      </c>
      <c r="V1150" s="12">
        <v>282.46278127606968</v>
      </c>
      <c r="W1150" s="12">
        <v>5.7014219715185286</v>
      </c>
      <c r="X1150" s="12">
        <v>86.672128627787885</v>
      </c>
      <c r="Y1150" s="12">
        <v>1504.824106299078</v>
      </c>
      <c r="Z1150" s="12">
        <v>2.0667201142519351</v>
      </c>
      <c r="AA1150" s="12" t="s">
        <v>1268</v>
      </c>
      <c r="AB1150" s="12"/>
    </row>
    <row r="1151" spans="1:28" x14ac:dyDescent="0.3">
      <c r="A1151" s="12" t="s">
        <v>3057</v>
      </c>
      <c r="B1151" s="12" t="s">
        <v>136</v>
      </c>
      <c r="C1151" s="12" t="s">
        <v>136</v>
      </c>
      <c r="D1151" s="12" t="s">
        <v>137</v>
      </c>
      <c r="E1151" s="12" t="s">
        <v>2978</v>
      </c>
      <c r="F1151" s="12" t="s">
        <v>32</v>
      </c>
      <c r="G1151" s="12" t="s">
        <v>32</v>
      </c>
      <c r="H1151" s="12" t="b">
        <v>1</v>
      </c>
      <c r="I1151" s="12" t="b">
        <v>1</v>
      </c>
      <c r="J1151" s="12" t="b">
        <v>0</v>
      </c>
      <c r="K1151" s="12" t="b">
        <v>0</v>
      </c>
      <c r="L1151" s="12">
        <v>398.99006072988408</v>
      </c>
      <c r="M1151" s="12">
        <v>302.81411793162658</v>
      </c>
      <c r="N1151" s="12">
        <v>3429.232588331723</v>
      </c>
      <c r="O1151" s="12">
        <v>1190.441137421511</v>
      </c>
      <c r="P1151" s="12">
        <v>0.61413296734675438</v>
      </c>
      <c r="Q1151" s="12">
        <v>0.76629526371224821</v>
      </c>
      <c r="R1151" s="12">
        <v>0.88490292201497178</v>
      </c>
      <c r="S1151" s="12">
        <v>0.90197596370403921</v>
      </c>
      <c r="T1151" s="12">
        <v>0.83110045700871638</v>
      </c>
      <c r="U1151" s="12">
        <v>0.8535233065529394</v>
      </c>
      <c r="V1151" s="12">
        <v>302.81411793162658</v>
      </c>
      <c r="W1151" s="12">
        <v>6.9569415941896597</v>
      </c>
      <c r="X1151" s="12">
        <v>30.776638701398451</v>
      </c>
      <c r="Y1151" s="12">
        <v>2238.791450910212</v>
      </c>
      <c r="Z1151" s="12">
        <v>2.8806401933987451</v>
      </c>
      <c r="AA1151" s="12"/>
      <c r="AB1151" s="12"/>
    </row>
    <row r="1152" spans="1:28" x14ac:dyDescent="0.3">
      <c r="A1152" s="12" t="s">
        <v>3058</v>
      </c>
      <c r="B1152" s="12" t="s">
        <v>136</v>
      </c>
      <c r="C1152" s="12" t="s">
        <v>136</v>
      </c>
      <c r="D1152" s="12" t="s">
        <v>137</v>
      </c>
      <c r="E1152" s="12" t="s">
        <v>2978</v>
      </c>
      <c r="F1152" s="12" t="s">
        <v>32</v>
      </c>
      <c r="G1152" s="12" t="s">
        <v>32</v>
      </c>
      <c r="H1152" s="12" t="b">
        <v>1</v>
      </c>
      <c r="I1152" s="12" t="b">
        <v>1</v>
      </c>
      <c r="J1152" s="12" t="b">
        <v>0</v>
      </c>
      <c r="K1152" s="12" t="b">
        <v>0</v>
      </c>
      <c r="L1152" s="12">
        <v>392.68270908850042</v>
      </c>
      <c r="M1152" s="12">
        <v>290.24949940478513</v>
      </c>
      <c r="N1152" s="12">
        <v>4148.9677855173231</v>
      </c>
      <c r="O1152" s="12">
        <v>1026.5199091775389</v>
      </c>
      <c r="P1152" s="12">
        <v>0.71339571330921192</v>
      </c>
      <c r="Q1152" s="12">
        <v>0.81366294443795462</v>
      </c>
      <c r="R1152" s="12">
        <v>0.65399172998531518</v>
      </c>
      <c r="S1152" s="12">
        <v>0.76883394584333131</v>
      </c>
      <c r="T1152" s="12">
        <v>0.84998468176827957</v>
      </c>
      <c r="U1152" s="12">
        <v>0.80897257460044636</v>
      </c>
      <c r="V1152" s="12">
        <v>290.24949940478513</v>
      </c>
      <c r="W1152" s="12">
        <v>9.0743595365816194</v>
      </c>
      <c r="X1152" s="12">
        <v>37.046441892105953</v>
      </c>
      <c r="Y1152" s="12">
        <v>3122.4478763397851</v>
      </c>
      <c r="Z1152" s="12">
        <v>4.0417801432039742</v>
      </c>
      <c r="AA1152" s="12"/>
      <c r="AB1152" s="12"/>
    </row>
    <row r="1153" spans="1:28" x14ac:dyDescent="0.3">
      <c r="A1153" s="12" t="s">
        <v>3059</v>
      </c>
      <c r="B1153" s="12" t="s">
        <v>136</v>
      </c>
      <c r="C1153" s="12" t="s">
        <v>136</v>
      </c>
      <c r="D1153" s="12" t="s">
        <v>137</v>
      </c>
      <c r="E1153" s="12" t="s">
        <v>2978</v>
      </c>
      <c r="F1153" s="12" t="s">
        <v>1861</v>
      </c>
      <c r="G1153" s="12" t="s">
        <v>1861</v>
      </c>
      <c r="H1153" s="12" t="b">
        <v>1</v>
      </c>
      <c r="I1153" s="12" t="b">
        <v>0</v>
      </c>
      <c r="J1153" s="12" t="b">
        <v>0</v>
      </c>
      <c r="K1153" s="12" t="b">
        <v>0</v>
      </c>
      <c r="L1153" s="12">
        <v>413.43965200864858</v>
      </c>
      <c r="M1153" s="12">
        <v>291.45441891788579</v>
      </c>
      <c r="N1153" s="12">
        <v>2733.3136168459582</v>
      </c>
      <c r="O1153" s="12">
        <v>573.75054738810513</v>
      </c>
      <c r="P1153" s="12">
        <v>0.65454266019598262</v>
      </c>
      <c r="Q1153" s="12">
        <v>0.90048624758508156</v>
      </c>
      <c r="R1153" s="12">
        <v>0.74574423844369031</v>
      </c>
      <c r="S1153" s="12">
        <v>0.71438893732678532</v>
      </c>
      <c r="T1153" s="12">
        <v>0.94279028613222882</v>
      </c>
      <c r="U1153" s="12">
        <v>0.89489962857232763</v>
      </c>
      <c r="V1153" s="12">
        <v>291.45441891788579</v>
      </c>
      <c r="W1153" s="12">
        <v>13.09825221462849</v>
      </c>
      <c r="X1153" s="12">
        <v>88.749014089402536</v>
      </c>
      <c r="Y1153" s="12">
        <v>2159.5630694578531</v>
      </c>
      <c r="Z1153" s="12">
        <v>4.7639407566387009</v>
      </c>
      <c r="AA1153" s="12" t="s">
        <v>1268</v>
      </c>
      <c r="AB1153" s="12"/>
    </row>
    <row r="1154" spans="1:28" x14ac:dyDescent="0.3">
      <c r="A1154" s="12" t="s">
        <v>3060</v>
      </c>
      <c r="B1154" s="12" t="s">
        <v>136</v>
      </c>
      <c r="C1154" s="12" t="s">
        <v>136</v>
      </c>
      <c r="D1154" s="12" t="s">
        <v>137</v>
      </c>
      <c r="E1154" s="12" t="s">
        <v>2978</v>
      </c>
      <c r="F1154" s="12" t="s">
        <v>32</v>
      </c>
      <c r="G1154" s="12" t="s">
        <v>32</v>
      </c>
      <c r="H1154" s="12" t="b">
        <v>1</v>
      </c>
      <c r="I1154" s="12" t="b">
        <v>0</v>
      </c>
      <c r="J1154" s="12" t="b">
        <v>1</v>
      </c>
      <c r="K1154" s="12" t="b">
        <v>0</v>
      </c>
      <c r="L1154" s="12">
        <v>450.58767753165017</v>
      </c>
      <c r="M1154" s="12">
        <v>282.1040831161979</v>
      </c>
      <c r="N1154" s="12">
        <v>2262.4701685262412</v>
      </c>
      <c r="O1154" s="12">
        <v>1454.83498234847</v>
      </c>
      <c r="P1154" s="12">
        <v>0.5844227708410078</v>
      </c>
      <c r="Q1154" s="12">
        <v>0.81207628504874041</v>
      </c>
      <c r="R1154" s="12">
        <v>0.87017987511079586</v>
      </c>
      <c r="S1154" s="12">
        <v>0.80155775219427217</v>
      </c>
      <c r="T1154" s="12">
        <v>0.76336968025280938</v>
      </c>
      <c r="U1154" s="12">
        <v>0.87768159489932529</v>
      </c>
      <c r="V1154" s="12">
        <v>282.1040831161979</v>
      </c>
      <c r="W1154" s="12">
        <v>3.2907645762116</v>
      </c>
      <c r="X1154" s="12">
        <v>51.209727062378747</v>
      </c>
      <c r="Y1154" s="12">
        <v>807.63518617777163</v>
      </c>
      <c r="Z1154" s="12">
        <v>1.5551386899385971</v>
      </c>
      <c r="AA1154" s="12"/>
      <c r="AB1154" s="12"/>
    </row>
    <row r="1155" spans="1:28" x14ac:dyDescent="0.3">
      <c r="A1155" s="12" t="s">
        <v>3061</v>
      </c>
      <c r="B1155" s="12" t="s">
        <v>136</v>
      </c>
      <c r="C1155" s="12" t="s">
        <v>136</v>
      </c>
      <c r="D1155" s="12" t="s">
        <v>137</v>
      </c>
      <c r="E1155" s="12" t="s">
        <v>2978</v>
      </c>
      <c r="F1155" s="12" t="s">
        <v>1861</v>
      </c>
      <c r="G1155" s="12" t="s">
        <v>1861</v>
      </c>
      <c r="H1155" s="12" t="b">
        <v>1</v>
      </c>
      <c r="I1155" s="12" t="b">
        <v>0</v>
      </c>
      <c r="J1155" s="12" t="b">
        <v>1</v>
      </c>
      <c r="K1155" s="12" t="b">
        <v>0</v>
      </c>
      <c r="L1155" s="12">
        <v>453.69556514867611</v>
      </c>
      <c r="M1155" s="12">
        <v>294.19910288287878</v>
      </c>
      <c r="N1155" s="12">
        <v>4717.402847573444</v>
      </c>
      <c r="O1155" s="12">
        <v>1094.4390403641489</v>
      </c>
      <c r="P1155" s="12">
        <v>0.64629131107906723</v>
      </c>
      <c r="Q1155" s="12">
        <v>0.8281186344496253</v>
      </c>
      <c r="R1155" s="12">
        <v>0.72850725559380813</v>
      </c>
      <c r="S1155" s="12">
        <v>0.94235384700842983</v>
      </c>
      <c r="T1155" s="12">
        <v>0.92941148689502717</v>
      </c>
      <c r="U1155" s="12">
        <v>0.76702560848047352</v>
      </c>
      <c r="V1155" s="12">
        <v>294.19910288287878</v>
      </c>
      <c r="W1155" s="12">
        <v>11.411725321136849</v>
      </c>
      <c r="X1155" s="12">
        <v>117.94797632053</v>
      </c>
      <c r="Y1155" s="12">
        <v>3622.9638072092948</v>
      </c>
      <c r="Z1155" s="12">
        <v>4.310338605980137</v>
      </c>
      <c r="AA1155" s="12" t="s">
        <v>1268</v>
      </c>
      <c r="AB1155" s="12"/>
    </row>
    <row r="1156" spans="1:28" x14ac:dyDescent="0.3">
      <c r="A1156" s="12" t="s">
        <v>3062</v>
      </c>
      <c r="B1156" s="12" t="s">
        <v>136</v>
      </c>
      <c r="C1156" s="12" t="s">
        <v>136</v>
      </c>
      <c r="D1156" s="12" t="s">
        <v>137</v>
      </c>
      <c r="E1156" s="12" t="s">
        <v>2978</v>
      </c>
      <c r="F1156" s="12" t="s">
        <v>832</v>
      </c>
      <c r="G1156" s="12" t="s">
        <v>832</v>
      </c>
      <c r="H1156" s="12" t="b">
        <v>0</v>
      </c>
      <c r="I1156" s="12" t="b">
        <v>0</v>
      </c>
      <c r="J1156" s="12" t="b">
        <v>0</v>
      </c>
      <c r="K1156" s="12" t="b">
        <v>0</v>
      </c>
      <c r="L1156" s="12">
        <v>487.45664629791662</v>
      </c>
      <c r="M1156" s="12">
        <v>300.75200422688988</v>
      </c>
      <c r="N1156" s="12">
        <v>4669.085636046515</v>
      </c>
      <c r="O1156" s="12">
        <v>1082.7540516489121</v>
      </c>
      <c r="P1156" s="12">
        <v>0.66604235709211013</v>
      </c>
      <c r="Q1156" s="12">
        <v>0.90289575034467684</v>
      </c>
      <c r="R1156" s="12">
        <v>0.88333225250039882</v>
      </c>
      <c r="S1156" s="12">
        <v>0.8370607713561149</v>
      </c>
      <c r="T1156" s="12">
        <v>0.71607844339938842</v>
      </c>
      <c r="U1156" s="12">
        <v>0.79609378561479915</v>
      </c>
      <c r="V1156" s="12">
        <v>300.75200422688988</v>
      </c>
      <c r="W1156" s="12"/>
      <c r="X1156" s="12"/>
      <c r="Y1156" s="12">
        <v>3586.331584397602</v>
      </c>
      <c r="Z1156" s="12">
        <v>4.3122310453939416</v>
      </c>
      <c r="AA1156" s="12"/>
      <c r="AB1156" s="12"/>
    </row>
    <row r="1157" spans="1:28" x14ac:dyDescent="0.3">
      <c r="A1157" s="12" t="s">
        <v>3063</v>
      </c>
      <c r="B1157" s="12" t="s">
        <v>136</v>
      </c>
      <c r="C1157" s="12" t="s">
        <v>136</v>
      </c>
      <c r="D1157" s="12" t="s">
        <v>137</v>
      </c>
      <c r="E1157" s="12" t="s">
        <v>2978</v>
      </c>
      <c r="F1157" s="12" t="s">
        <v>1862</v>
      </c>
      <c r="G1157" s="12" t="s">
        <v>1862</v>
      </c>
      <c r="H1157" s="12" t="b">
        <v>1</v>
      </c>
      <c r="I1157" s="12" t="b">
        <v>0</v>
      </c>
      <c r="J1157" s="12" t="b">
        <v>0</v>
      </c>
      <c r="K1157" s="12" t="b">
        <v>0</v>
      </c>
      <c r="L1157" s="12">
        <v>385.54001501813423</v>
      </c>
      <c r="M1157" s="12">
        <v>283.35934845847908</v>
      </c>
      <c r="N1157" s="12">
        <v>4275.300864904254</v>
      </c>
      <c r="O1157" s="12">
        <v>782.52545153384744</v>
      </c>
      <c r="P1157" s="12">
        <v>0.66112738689492034</v>
      </c>
      <c r="Q1157" s="12">
        <v>0.77732472533019126</v>
      </c>
      <c r="R1157" s="12">
        <v>0.86717051370355458</v>
      </c>
      <c r="S1157" s="12">
        <v>0.66712878162112044</v>
      </c>
      <c r="T1157" s="12">
        <v>0.61315346606490628</v>
      </c>
      <c r="U1157" s="12">
        <v>0.86151145535263529</v>
      </c>
      <c r="V1157" s="12">
        <v>283.35934845847908</v>
      </c>
      <c r="W1157" s="12">
        <v>-0.86722843618676992</v>
      </c>
      <c r="X1157" s="12">
        <v>-1.7214055437905631</v>
      </c>
      <c r="Y1157" s="12">
        <v>3492.775413370407</v>
      </c>
      <c r="Z1157" s="12">
        <v>5.4634655735786373</v>
      </c>
      <c r="AA1157" s="12" t="s">
        <v>1696</v>
      </c>
      <c r="AB1157" s="12"/>
    </row>
    <row r="1158" spans="1:28" x14ac:dyDescent="0.3">
      <c r="A1158" s="12" t="s">
        <v>3064</v>
      </c>
      <c r="B1158" s="12" t="s">
        <v>136</v>
      </c>
      <c r="C1158" s="12" t="s">
        <v>136</v>
      </c>
      <c r="D1158" s="12" t="s">
        <v>137</v>
      </c>
      <c r="E1158" s="12" t="s">
        <v>2978</v>
      </c>
      <c r="F1158" s="12" t="s">
        <v>1861</v>
      </c>
      <c r="G1158" s="12" t="s">
        <v>1861</v>
      </c>
      <c r="H1158" s="12" t="b">
        <v>1</v>
      </c>
      <c r="I1158" s="12" t="b">
        <v>0</v>
      </c>
      <c r="J1158" s="12" t="b">
        <v>1</v>
      </c>
      <c r="K1158" s="12" t="b">
        <v>0</v>
      </c>
      <c r="L1158" s="12">
        <v>490.8569959440714</v>
      </c>
      <c r="M1158" s="12">
        <v>296.39680845237962</v>
      </c>
      <c r="N1158" s="12">
        <v>3836.0134177842051</v>
      </c>
      <c r="O1158" s="12">
        <v>457.39442154550858</v>
      </c>
      <c r="P1158" s="12">
        <v>0.51969585808667962</v>
      </c>
      <c r="Q1158" s="12">
        <v>0.84788070276619121</v>
      </c>
      <c r="R1158" s="12">
        <v>0.75283073608173956</v>
      </c>
      <c r="S1158" s="12">
        <v>0.6364974366703936</v>
      </c>
      <c r="T1158" s="12">
        <v>0.89637034890799594</v>
      </c>
      <c r="U1158" s="12">
        <v>0.82198290055444356</v>
      </c>
      <c r="V1158" s="12">
        <v>296.39680845237962</v>
      </c>
      <c r="W1158" s="12">
        <v>14.671406776903311</v>
      </c>
      <c r="X1158" s="12">
        <v>180.3666111779749</v>
      </c>
      <c r="Y1158" s="12">
        <v>3378.6189962386961</v>
      </c>
      <c r="Z1158" s="12">
        <v>8.386664194159918</v>
      </c>
      <c r="AA1158" s="12" t="s">
        <v>1981</v>
      </c>
      <c r="AB1158" s="12"/>
    </row>
    <row r="1159" spans="1:28" x14ac:dyDescent="0.3">
      <c r="A1159" s="12" t="s">
        <v>3065</v>
      </c>
      <c r="B1159" s="12" t="s">
        <v>136</v>
      </c>
      <c r="C1159" s="12" t="s">
        <v>136</v>
      </c>
      <c r="D1159" s="12" t="s">
        <v>137</v>
      </c>
      <c r="E1159" s="12" t="s">
        <v>2978</v>
      </c>
      <c r="F1159" s="12" t="s">
        <v>1861</v>
      </c>
      <c r="G1159" s="12" t="s">
        <v>1861</v>
      </c>
      <c r="H1159" s="12" t="b">
        <v>1</v>
      </c>
      <c r="I1159" s="12" t="b">
        <v>0</v>
      </c>
      <c r="J1159" s="12" t="b">
        <v>1</v>
      </c>
      <c r="K1159" s="12" t="b">
        <v>0</v>
      </c>
      <c r="L1159" s="12">
        <v>453.13008205640062</v>
      </c>
      <c r="M1159" s="12">
        <v>285.56681286502891</v>
      </c>
      <c r="N1159" s="12">
        <v>3053.2395980138208</v>
      </c>
      <c r="O1159" s="12">
        <v>520.21159086120542</v>
      </c>
      <c r="P1159" s="12">
        <v>0.72586769499630921</v>
      </c>
      <c r="Q1159" s="12">
        <v>0.89964829845634398</v>
      </c>
      <c r="R1159" s="12">
        <v>0.89811688953820246</v>
      </c>
      <c r="S1159" s="12">
        <v>0.89149470791637597</v>
      </c>
      <c r="T1159" s="12">
        <v>0.72670085337011503</v>
      </c>
      <c r="U1159" s="12">
        <v>0.77770217528347207</v>
      </c>
      <c r="V1159" s="12">
        <v>285.56681286502891</v>
      </c>
      <c r="W1159" s="12">
        <v>14.08978732819987</v>
      </c>
      <c r="X1159" s="12">
        <v>203.8409986399362</v>
      </c>
      <c r="Y1159" s="12">
        <v>2533.0280071526149</v>
      </c>
      <c r="Z1159" s="12">
        <v>5.8692263910521696</v>
      </c>
      <c r="AA1159" s="12" t="s">
        <v>1268</v>
      </c>
      <c r="AB1159" s="12"/>
    </row>
    <row r="1160" spans="1:28" x14ac:dyDescent="0.3">
      <c r="A1160" s="12" t="s">
        <v>3066</v>
      </c>
      <c r="B1160" s="12" t="s">
        <v>136</v>
      </c>
      <c r="C1160" s="12" t="s">
        <v>136</v>
      </c>
      <c r="D1160" s="12" t="s">
        <v>137</v>
      </c>
      <c r="E1160" s="12" t="s">
        <v>2978</v>
      </c>
      <c r="F1160" s="12" t="s">
        <v>1861</v>
      </c>
      <c r="G1160" s="12" t="s">
        <v>1861</v>
      </c>
      <c r="H1160" s="12" t="b">
        <v>1</v>
      </c>
      <c r="I1160" s="12" t="b">
        <v>0</v>
      </c>
      <c r="J1160" s="12" t="b">
        <v>1</v>
      </c>
      <c r="K1160" s="12" t="b">
        <v>0</v>
      </c>
      <c r="L1160" s="12">
        <v>477.57057904404212</v>
      </c>
      <c r="M1160" s="12">
        <v>298.65830284822681</v>
      </c>
      <c r="N1160" s="12">
        <v>2248.475597248098</v>
      </c>
      <c r="O1160" s="12">
        <v>400.27464436978022</v>
      </c>
      <c r="P1160" s="12">
        <v>0.63279093460744584</v>
      </c>
      <c r="Q1160" s="12">
        <v>0.90904881630632162</v>
      </c>
      <c r="R1160" s="12">
        <v>0.70218368293851641</v>
      </c>
      <c r="S1160" s="12">
        <v>0.71315475368150449</v>
      </c>
      <c r="T1160" s="12">
        <v>0.626629626351764</v>
      </c>
      <c r="U1160" s="12">
        <v>0.90909352798229781</v>
      </c>
      <c r="V1160" s="12">
        <v>298.65830284822681</v>
      </c>
      <c r="W1160" s="12">
        <v>11.358078222903149</v>
      </c>
      <c r="X1160" s="12">
        <v>139.54027688718779</v>
      </c>
      <c r="Y1160" s="12">
        <v>1848.200952878319</v>
      </c>
      <c r="Z1160" s="12">
        <v>5.6173320715536521</v>
      </c>
      <c r="AA1160" s="12" t="s">
        <v>1268</v>
      </c>
      <c r="AB1160" s="12"/>
    </row>
    <row r="1161" spans="1:28" x14ac:dyDescent="0.3">
      <c r="A1161" s="12" t="s">
        <v>3067</v>
      </c>
      <c r="B1161" s="12" t="s">
        <v>136</v>
      </c>
      <c r="C1161" s="12" t="s">
        <v>136</v>
      </c>
      <c r="D1161" s="12" t="s">
        <v>137</v>
      </c>
      <c r="E1161" s="12" t="s">
        <v>2978</v>
      </c>
      <c r="F1161" s="12" t="s">
        <v>32</v>
      </c>
      <c r="G1161" s="12" t="s">
        <v>32</v>
      </c>
      <c r="H1161" s="12" t="b">
        <v>1</v>
      </c>
      <c r="I1161" s="12" t="b">
        <v>1</v>
      </c>
      <c r="J1161" s="12" t="b">
        <v>0</v>
      </c>
      <c r="K1161" s="12" t="b">
        <v>0</v>
      </c>
      <c r="L1161" s="12">
        <v>412.53689324532633</v>
      </c>
      <c r="M1161" s="12">
        <v>301.67586441421889</v>
      </c>
      <c r="N1161" s="12">
        <v>4908.5147002447429</v>
      </c>
      <c r="O1161" s="12">
        <v>1268.657707014368</v>
      </c>
      <c r="P1161" s="12">
        <v>0.57507910573551313</v>
      </c>
      <c r="Q1161" s="12">
        <v>0.86382696418635652</v>
      </c>
      <c r="R1161" s="12">
        <v>0.79476608304417262</v>
      </c>
      <c r="S1161" s="12">
        <v>0.92502791907213744</v>
      </c>
      <c r="T1161" s="12">
        <v>0.86586698187173594</v>
      </c>
      <c r="U1161" s="12">
        <v>0.84948909172396569</v>
      </c>
      <c r="V1161" s="12">
        <v>301.67586441421889</v>
      </c>
      <c r="W1161" s="12">
        <v>6.9170612112225101</v>
      </c>
      <c r="X1161" s="12">
        <v>17.885039482424919</v>
      </c>
      <c r="Y1161" s="12">
        <v>3639.856993230374</v>
      </c>
      <c r="Z1161" s="12">
        <v>3.8690615073756458</v>
      </c>
      <c r="AA1161" s="12"/>
      <c r="AB1161" s="12"/>
    </row>
    <row r="1162" spans="1:28" x14ac:dyDescent="0.3">
      <c r="A1162" s="12" t="s">
        <v>3068</v>
      </c>
      <c r="B1162" s="12" t="s">
        <v>136</v>
      </c>
      <c r="C1162" s="12" t="s">
        <v>136</v>
      </c>
      <c r="D1162" s="12" t="s">
        <v>137</v>
      </c>
      <c r="E1162" s="12" t="s">
        <v>2978</v>
      </c>
      <c r="F1162" s="12" t="s">
        <v>1861</v>
      </c>
      <c r="G1162" s="12" t="s">
        <v>1861</v>
      </c>
      <c r="H1162" s="12" t="b">
        <v>1</v>
      </c>
      <c r="I1162" s="12" t="b">
        <v>0</v>
      </c>
      <c r="J1162" s="12" t="b">
        <v>0</v>
      </c>
      <c r="K1162" s="12" t="b">
        <v>0</v>
      </c>
      <c r="L1162" s="12">
        <v>432.16413006938399</v>
      </c>
      <c r="M1162" s="12">
        <v>296.76644270125092</v>
      </c>
      <c r="N1162" s="12">
        <v>3598.295411482984</v>
      </c>
      <c r="O1162" s="12">
        <v>894.05451334329746</v>
      </c>
      <c r="P1162" s="12">
        <v>0.79539364723718187</v>
      </c>
      <c r="Q1162" s="12">
        <v>0.83053900234450051</v>
      </c>
      <c r="R1162" s="12">
        <v>0.83423260012054279</v>
      </c>
      <c r="S1162" s="12">
        <v>0.63291231221119759</v>
      </c>
      <c r="T1162" s="12">
        <v>0.77277920875012229</v>
      </c>
      <c r="U1162" s="12">
        <v>0.70950811491511312</v>
      </c>
      <c r="V1162" s="12">
        <v>296.76644270125092</v>
      </c>
      <c r="W1162" s="12">
        <v>10.80569301723096</v>
      </c>
      <c r="X1162" s="12">
        <v>84.286382348928967</v>
      </c>
      <c r="Y1162" s="12">
        <v>2704.240898139687</v>
      </c>
      <c r="Z1162" s="12">
        <v>4.0246935257082219</v>
      </c>
      <c r="AA1162" s="12" t="s">
        <v>1268</v>
      </c>
      <c r="AB1162" s="12"/>
    </row>
    <row r="1163" spans="1:28" x14ac:dyDescent="0.3">
      <c r="A1163" s="12" t="s">
        <v>3069</v>
      </c>
      <c r="B1163" s="12" t="s">
        <v>136</v>
      </c>
      <c r="C1163" s="12" t="s">
        <v>136</v>
      </c>
      <c r="D1163" s="12" t="s">
        <v>137</v>
      </c>
      <c r="E1163" s="12" t="s">
        <v>2978</v>
      </c>
      <c r="F1163" s="12" t="s">
        <v>32</v>
      </c>
      <c r="G1163" s="12" t="s">
        <v>32</v>
      </c>
      <c r="H1163" s="12" t="b">
        <v>1</v>
      </c>
      <c r="I1163" s="12" t="b">
        <v>1</v>
      </c>
      <c r="J1163" s="12" t="b">
        <v>0</v>
      </c>
      <c r="K1163" s="12" t="b">
        <v>0</v>
      </c>
      <c r="L1163" s="12">
        <v>405.39762833686211</v>
      </c>
      <c r="M1163" s="12">
        <v>284.5982305327081</v>
      </c>
      <c r="N1163" s="12">
        <v>3915.7974149588808</v>
      </c>
      <c r="O1163" s="12">
        <v>1047.0921937041351</v>
      </c>
      <c r="P1163" s="12">
        <v>0.77244675848515754</v>
      </c>
      <c r="Q1163" s="12">
        <v>0.77012707007603287</v>
      </c>
      <c r="R1163" s="12">
        <v>0.88841820932230409</v>
      </c>
      <c r="S1163" s="12">
        <v>0.80599156780683734</v>
      </c>
      <c r="T1163" s="12">
        <v>0.81754099709401407</v>
      </c>
      <c r="U1163" s="12">
        <v>0.90613140624528798</v>
      </c>
      <c r="V1163" s="12">
        <v>284.5982305327081</v>
      </c>
      <c r="W1163" s="12">
        <v>9.3666267589295504</v>
      </c>
      <c r="X1163" s="12">
        <v>72.004000621705075</v>
      </c>
      <c r="Y1163" s="12">
        <v>2868.705221254746</v>
      </c>
      <c r="Z1163" s="12">
        <v>3.7396873346047732</v>
      </c>
      <c r="AA1163" s="12"/>
      <c r="AB1163" s="12"/>
    </row>
    <row r="1164" spans="1:28" x14ac:dyDescent="0.3">
      <c r="A1164" s="12" t="s">
        <v>3070</v>
      </c>
      <c r="B1164" s="12" t="s">
        <v>136</v>
      </c>
      <c r="C1164" s="12" t="s">
        <v>136</v>
      </c>
      <c r="D1164" s="12" t="s">
        <v>137</v>
      </c>
      <c r="E1164" s="12" t="s">
        <v>2978</v>
      </c>
      <c r="F1164" s="12" t="s">
        <v>1863</v>
      </c>
      <c r="G1164" s="12" t="s">
        <v>832</v>
      </c>
      <c r="H1164" s="12" t="b">
        <v>0</v>
      </c>
      <c r="I1164" s="12" t="b">
        <v>0</v>
      </c>
      <c r="J1164" s="12" t="b">
        <v>0</v>
      </c>
      <c r="K1164" s="12" t="b">
        <v>0</v>
      </c>
      <c r="L1164" s="12">
        <v>397.86732252128041</v>
      </c>
      <c r="M1164" s="12">
        <v>282.31472873229598</v>
      </c>
      <c r="N1164" s="12">
        <v>4333.1156789015231</v>
      </c>
      <c r="O1164" s="12">
        <v>398.5432911679855</v>
      </c>
      <c r="P1164" s="12">
        <v>0.52721771454736965</v>
      </c>
      <c r="Q1164" s="12">
        <v>0.77093221139876977</v>
      </c>
      <c r="R1164" s="12">
        <v>0.73557833199280043</v>
      </c>
      <c r="S1164" s="12">
        <v>0.78038709590981381</v>
      </c>
      <c r="T1164" s="12">
        <v>0.74559721358262743</v>
      </c>
      <c r="U1164" s="12">
        <v>0.80305698470488374</v>
      </c>
      <c r="V1164" s="12">
        <v>282.31472873229598</v>
      </c>
      <c r="W1164" s="12">
        <v>-44.346847048177672</v>
      </c>
      <c r="X1164" s="12">
        <v>-36.560685735654609</v>
      </c>
      <c r="Y1164" s="12">
        <v>3934.5723877335381</v>
      </c>
      <c r="Z1164" s="12">
        <v>10.87238394153553</v>
      </c>
      <c r="AA1164" s="12" t="s">
        <v>2018</v>
      </c>
      <c r="AB1164" s="12"/>
    </row>
    <row r="1165" spans="1:28" x14ac:dyDescent="0.3">
      <c r="A1165" s="12" t="s">
        <v>3071</v>
      </c>
      <c r="B1165" s="12" t="s">
        <v>136</v>
      </c>
      <c r="C1165" s="12" t="s">
        <v>136</v>
      </c>
      <c r="D1165" s="12" t="s">
        <v>137</v>
      </c>
      <c r="E1165" s="12" t="s">
        <v>2978</v>
      </c>
      <c r="F1165" s="12" t="s">
        <v>1861</v>
      </c>
      <c r="G1165" s="12" t="s">
        <v>1861</v>
      </c>
      <c r="H1165" s="12" t="b">
        <v>1</v>
      </c>
      <c r="I1165" s="12" t="b">
        <v>0</v>
      </c>
      <c r="J1165" s="12" t="b">
        <v>0</v>
      </c>
      <c r="K1165" s="12" t="b">
        <v>0</v>
      </c>
      <c r="L1165" s="12">
        <v>407.5723859105924</v>
      </c>
      <c r="M1165" s="12">
        <v>286.84871870536762</v>
      </c>
      <c r="N1165" s="12">
        <v>4401.3673327341394</v>
      </c>
      <c r="O1165" s="12">
        <v>1159.0431504363009</v>
      </c>
      <c r="P1165" s="12">
        <v>0.83056759157044824</v>
      </c>
      <c r="Q1165" s="12">
        <v>0.83375896093715196</v>
      </c>
      <c r="R1165" s="12">
        <v>0.87745434311938442</v>
      </c>
      <c r="S1165" s="12">
        <v>0.78094709735735135</v>
      </c>
      <c r="T1165" s="12">
        <v>0.83054697699016877</v>
      </c>
      <c r="U1165" s="12">
        <v>0.85874404315817188</v>
      </c>
      <c r="V1165" s="12">
        <v>286.84871870536762</v>
      </c>
      <c r="W1165" s="12">
        <v>11.01582870714495</v>
      </c>
      <c r="X1165" s="12">
        <v>87.75882043514612</v>
      </c>
      <c r="Y1165" s="12">
        <v>3242.324182297838</v>
      </c>
      <c r="Z1165" s="12">
        <v>3.7974145579285139</v>
      </c>
      <c r="AA1165" s="12" t="s">
        <v>1268</v>
      </c>
      <c r="AB1165" s="12"/>
    </row>
    <row r="1166" spans="1:28" x14ac:dyDescent="0.3">
      <c r="A1166" s="12" t="s">
        <v>3072</v>
      </c>
      <c r="B1166" s="12" t="s">
        <v>136</v>
      </c>
      <c r="C1166" s="12" t="s">
        <v>136</v>
      </c>
      <c r="D1166" s="12" t="s">
        <v>137</v>
      </c>
      <c r="E1166" s="12" t="s">
        <v>2978</v>
      </c>
      <c r="F1166" s="12" t="s">
        <v>32</v>
      </c>
      <c r="G1166" s="12" t="s">
        <v>32</v>
      </c>
      <c r="H1166" s="12" t="b">
        <v>1</v>
      </c>
      <c r="I1166" s="12" t="b">
        <v>0</v>
      </c>
      <c r="J1166" s="12" t="b">
        <v>1</v>
      </c>
      <c r="K1166" s="12" t="b">
        <v>0</v>
      </c>
      <c r="L1166" s="12">
        <v>470.01840616237558</v>
      </c>
      <c r="M1166" s="12">
        <v>303.03065423591011</v>
      </c>
      <c r="N1166" s="12">
        <v>3349.66301260008</v>
      </c>
      <c r="O1166" s="12">
        <v>1354.066158881679</v>
      </c>
      <c r="P1166" s="12">
        <v>0.58624052828224626</v>
      </c>
      <c r="Q1166" s="12">
        <v>0.85036626586656316</v>
      </c>
      <c r="R1166" s="12">
        <v>0.68876351371728717</v>
      </c>
      <c r="S1166" s="12">
        <v>0.93152941732864281</v>
      </c>
      <c r="T1166" s="12">
        <v>0.72543322409998778</v>
      </c>
      <c r="U1166" s="12">
        <v>0.93451842764214399</v>
      </c>
      <c r="V1166" s="12">
        <v>303.03065423591011</v>
      </c>
      <c r="W1166" s="12">
        <v>6.7702613998097414</v>
      </c>
      <c r="X1166" s="12">
        <v>128.55073357565061</v>
      </c>
      <c r="Y1166" s="12">
        <v>1995.596853718401</v>
      </c>
      <c r="Z1166" s="12">
        <v>2.473780908435494</v>
      </c>
      <c r="AA1166" s="12"/>
      <c r="AB1166" s="12"/>
    </row>
    <row r="1167" spans="1:28" x14ac:dyDescent="0.3">
      <c r="A1167" s="12" t="s">
        <v>3073</v>
      </c>
      <c r="B1167" s="12" t="s">
        <v>136</v>
      </c>
      <c r="C1167" s="12" t="s">
        <v>136</v>
      </c>
      <c r="D1167" s="12" t="s">
        <v>137</v>
      </c>
      <c r="E1167" s="12" t="s">
        <v>2978</v>
      </c>
      <c r="F1167" s="12" t="s">
        <v>1861</v>
      </c>
      <c r="G1167" s="12" t="s">
        <v>1861</v>
      </c>
      <c r="H1167" s="12" t="b">
        <v>1</v>
      </c>
      <c r="I1167" s="12" t="b">
        <v>0</v>
      </c>
      <c r="J1167" s="12" t="b">
        <v>0</v>
      </c>
      <c r="K1167" s="12" t="b">
        <v>0</v>
      </c>
      <c r="L1167" s="12">
        <v>452.54370788356232</v>
      </c>
      <c r="M1167" s="12">
        <v>287.70773989459178</v>
      </c>
      <c r="N1167" s="12">
        <v>2116.1045632783312</v>
      </c>
      <c r="O1167" s="12">
        <v>676.15866438313469</v>
      </c>
      <c r="P1167" s="12">
        <v>0.80163704591439622</v>
      </c>
      <c r="Q1167" s="12">
        <v>0.86491825636773745</v>
      </c>
      <c r="R1167" s="12">
        <v>0.65753887588056548</v>
      </c>
      <c r="S1167" s="12">
        <v>0.79585418957697895</v>
      </c>
      <c r="T1167" s="12">
        <v>0.87055227590073048</v>
      </c>
      <c r="U1167" s="12">
        <v>0.81330602449083045</v>
      </c>
      <c r="V1167" s="12">
        <v>287.70773989459178</v>
      </c>
      <c r="W1167" s="12">
        <v>9.0193083303027599</v>
      </c>
      <c r="X1167" s="12">
        <v>115.4955786550033</v>
      </c>
      <c r="Y1167" s="12">
        <v>1439.945898895196</v>
      </c>
      <c r="Z1167" s="12">
        <v>3.1295976443766649</v>
      </c>
      <c r="AA1167" s="12" t="s">
        <v>1268</v>
      </c>
      <c r="AB1167" s="12"/>
    </row>
    <row r="1168" spans="1:28" x14ac:dyDescent="0.3">
      <c r="A1168" s="12" t="s">
        <v>3074</v>
      </c>
      <c r="B1168" s="12" t="s">
        <v>136</v>
      </c>
      <c r="C1168" s="12" t="s">
        <v>136</v>
      </c>
      <c r="D1168" s="12" t="s">
        <v>137</v>
      </c>
      <c r="E1168" s="12" t="s">
        <v>2978</v>
      </c>
      <c r="F1168" s="12" t="s">
        <v>32</v>
      </c>
      <c r="G1168" s="12" t="s">
        <v>32</v>
      </c>
      <c r="H1168" s="12" t="b">
        <v>1</v>
      </c>
      <c r="I1168" s="12" t="b">
        <v>1</v>
      </c>
      <c r="J1168" s="12" t="b">
        <v>0</v>
      </c>
      <c r="K1168" s="12" t="b">
        <v>0</v>
      </c>
      <c r="L1168" s="12">
        <v>390.55137386885667</v>
      </c>
      <c r="M1168" s="12">
        <v>280.01348685479923</v>
      </c>
      <c r="N1168" s="12">
        <v>3672.889560886802</v>
      </c>
      <c r="O1168" s="12">
        <v>1143.9190762883941</v>
      </c>
      <c r="P1168" s="12">
        <v>0.5727930247790437</v>
      </c>
      <c r="Q1168" s="12">
        <v>0.89808890734261959</v>
      </c>
      <c r="R1168" s="12">
        <v>0.84910639966975443</v>
      </c>
      <c r="S1168" s="12">
        <v>0.85068528758542694</v>
      </c>
      <c r="T1168" s="12">
        <v>0.65667460768605446</v>
      </c>
      <c r="U1168" s="12">
        <v>0.70345709550958657</v>
      </c>
      <c r="V1168" s="12">
        <v>280.01348685479923</v>
      </c>
      <c r="W1168" s="12">
        <v>2.3665938253984198</v>
      </c>
      <c r="X1168" s="12">
        <v>5.3775773393155113</v>
      </c>
      <c r="Y1168" s="12">
        <v>2528.9704845984079</v>
      </c>
      <c r="Z1168" s="12">
        <v>3.2107949216163152</v>
      </c>
      <c r="AA1168" s="12"/>
      <c r="AB1168" s="12"/>
    </row>
    <row r="1169" spans="1:28" x14ac:dyDescent="0.3">
      <c r="A1169" s="12" t="s">
        <v>3075</v>
      </c>
      <c r="B1169" s="12" t="s">
        <v>136</v>
      </c>
      <c r="C1169" s="12" t="s">
        <v>136</v>
      </c>
      <c r="D1169" s="12" t="s">
        <v>137</v>
      </c>
      <c r="E1169" s="12" t="s">
        <v>2978</v>
      </c>
      <c r="F1169" s="12" t="s">
        <v>1861</v>
      </c>
      <c r="G1169" s="12" t="s">
        <v>1861</v>
      </c>
      <c r="H1169" s="12" t="b">
        <v>1</v>
      </c>
      <c r="I1169" s="12" t="b">
        <v>0</v>
      </c>
      <c r="J1169" s="12" t="b">
        <v>1</v>
      </c>
      <c r="K1169" s="12" t="b">
        <v>0</v>
      </c>
      <c r="L1169" s="12">
        <v>473.15845150072909</v>
      </c>
      <c r="M1169" s="12">
        <v>287.461545703929</v>
      </c>
      <c r="N1169" s="12">
        <v>3755.3803760384062</v>
      </c>
      <c r="O1169" s="12">
        <v>967.34254318297076</v>
      </c>
      <c r="P1169" s="12">
        <v>0.61303284839831274</v>
      </c>
      <c r="Q1169" s="12">
        <v>0.79995682912084576</v>
      </c>
      <c r="R1169" s="12">
        <v>0.6689582066494304</v>
      </c>
      <c r="S1169" s="12">
        <v>0.68581226705106291</v>
      </c>
      <c r="T1169" s="12">
        <v>0.7841985020116683</v>
      </c>
      <c r="U1169" s="12">
        <v>0.72978429138645984</v>
      </c>
      <c r="V1169" s="12">
        <v>287.461545703929</v>
      </c>
      <c r="W1169" s="12">
        <v>9.0590299739266502</v>
      </c>
      <c r="X1169" s="12">
        <v>106.9507101649322</v>
      </c>
      <c r="Y1169" s="12">
        <v>2788.0378328554352</v>
      </c>
      <c r="Z1169" s="12">
        <v>3.8821619110037262</v>
      </c>
      <c r="AA1169" s="12" t="s">
        <v>1268</v>
      </c>
      <c r="AB1169" s="12"/>
    </row>
    <row r="1170" spans="1:28" x14ac:dyDescent="0.3">
      <c r="A1170" s="12" t="s">
        <v>3076</v>
      </c>
      <c r="B1170" s="12" t="s">
        <v>136</v>
      </c>
      <c r="C1170" s="12" t="s">
        <v>136</v>
      </c>
      <c r="D1170" s="12" t="s">
        <v>137</v>
      </c>
      <c r="E1170" s="12" t="s">
        <v>2978</v>
      </c>
      <c r="F1170" s="12" t="s">
        <v>1861</v>
      </c>
      <c r="G1170" s="12" t="s">
        <v>1861</v>
      </c>
      <c r="H1170" s="12" t="b">
        <v>1</v>
      </c>
      <c r="I1170" s="12" t="b">
        <v>0</v>
      </c>
      <c r="J1170" s="12" t="b">
        <v>0</v>
      </c>
      <c r="K1170" s="12" t="b">
        <v>0</v>
      </c>
      <c r="L1170" s="12">
        <v>443.27915949469042</v>
      </c>
      <c r="M1170" s="12">
        <v>287.46645601629342</v>
      </c>
      <c r="N1170" s="12">
        <v>2354.43524953111</v>
      </c>
      <c r="O1170" s="12">
        <v>437.2631795050562</v>
      </c>
      <c r="P1170" s="12">
        <v>0.78567742167242005</v>
      </c>
      <c r="Q1170" s="12">
        <v>0.84479553896066673</v>
      </c>
      <c r="R1170" s="12">
        <v>0.80984133256634339</v>
      </c>
      <c r="S1170" s="12">
        <v>0.75351448696245993</v>
      </c>
      <c r="T1170" s="12">
        <v>0.80707786068978304</v>
      </c>
      <c r="U1170" s="12">
        <v>0.75695848602160931</v>
      </c>
      <c r="V1170" s="12">
        <v>287.46645601629342</v>
      </c>
      <c r="W1170" s="12">
        <v>8.3548338348777609</v>
      </c>
      <c r="X1170" s="12">
        <v>69.182447322763352</v>
      </c>
      <c r="Y1170" s="12">
        <v>1917.1720700260539</v>
      </c>
      <c r="Z1170" s="12">
        <v>5.3844809256432828</v>
      </c>
      <c r="AA1170" s="12" t="s">
        <v>1268</v>
      </c>
      <c r="AB1170" s="12"/>
    </row>
    <row r="1171" spans="1:28" x14ac:dyDescent="0.3">
      <c r="A1171" s="12" t="s">
        <v>3077</v>
      </c>
      <c r="B1171" s="12" t="s">
        <v>136</v>
      </c>
      <c r="C1171" s="12" t="s">
        <v>136</v>
      </c>
      <c r="D1171" s="12" t="s">
        <v>137</v>
      </c>
      <c r="E1171" s="12" t="s">
        <v>2978</v>
      </c>
      <c r="F1171" s="12" t="s">
        <v>1861</v>
      </c>
      <c r="G1171" s="12" t="s">
        <v>1861</v>
      </c>
      <c r="H1171" s="12" t="b">
        <v>1</v>
      </c>
      <c r="I1171" s="12" t="b">
        <v>0</v>
      </c>
      <c r="J1171" s="12" t="b">
        <v>1</v>
      </c>
      <c r="K1171" s="12" t="b">
        <v>0</v>
      </c>
      <c r="L1171" s="12">
        <v>477.64703419578598</v>
      </c>
      <c r="M1171" s="12">
        <v>293.07172190121298</v>
      </c>
      <c r="N1171" s="12">
        <v>4470.3297031075399</v>
      </c>
      <c r="O1171" s="12">
        <v>778.49825461222599</v>
      </c>
      <c r="P1171" s="12">
        <v>0.67494179260210463</v>
      </c>
      <c r="Q1171" s="12">
        <v>0.82827555852026358</v>
      </c>
      <c r="R1171" s="12">
        <v>0.78081298036575342</v>
      </c>
      <c r="S1171" s="12">
        <v>0.8841634753152201</v>
      </c>
      <c r="T1171" s="12">
        <v>0.89816961471360601</v>
      </c>
      <c r="U1171" s="12">
        <v>0.84869851141340424</v>
      </c>
      <c r="V1171" s="12">
        <v>293.07172190121298</v>
      </c>
      <c r="W1171" s="12">
        <v>12.99011420639718</v>
      </c>
      <c r="X1171" s="12">
        <v>206.36162892609889</v>
      </c>
      <c r="Y1171" s="12">
        <v>3691.8314484953139</v>
      </c>
      <c r="Z1171" s="12">
        <v>5.7422475601236052</v>
      </c>
      <c r="AA1171" s="12" t="s">
        <v>1268</v>
      </c>
      <c r="AB1171" s="12"/>
    </row>
    <row r="1172" spans="1:28" x14ac:dyDescent="0.3">
      <c r="A1172" s="12" t="s">
        <v>3078</v>
      </c>
      <c r="B1172" s="12" t="s">
        <v>136</v>
      </c>
      <c r="C1172" s="12" t="s">
        <v>136</v>
      </c>
      <c r="D1172" s="12" t="s">
        <v>137</v>
      </c>
      <c r="E1172" s="12" t="s">
        <v>2978</v>
      </c>
      <c r="F1172" s="12" t="s">
        <v>1861</v>
      </c>
      <c r="G1172" s="12" t="s">
        <v>1861</v>
      </c>
      <c r="H1172" s="12" t="b">
        <v>1</v>
      </c>
      <c r="I1172" s="12" t="b">
        <v>0</v>
      </c>
      <c r="J1172" s="12" t="b">
        <v>0</v>
      </c>
      <c r="K1172" s="12" t="b">
        <v>0</v>
      </c>
      <c r="L1172" s="12">
        <v>387.23014169266207</v>
      </c>
      <c r="M1172" s="12">
        <v>287.04325944904951</v>
      </c>
      <c r="N1172" s="12">
        <v>3180.6196960894022</v>
      </c>
      <c r="O1172" s="12">
        <v>1381.1199823667009</v>
      </c>
      <c r="P1172" s="12">
        <v>0.81220379476867344</v>
      </c>
      <c r="Q1172" s="12">
        <v>0.81285243622877978</v>
      </c>
      <c r="R1172" s="12">
        <v>0.72175940047237019</v>
      </c>
      <c r="S1172" s="12">
        <v>0.92257230012645197</v>
      </c>
      <c r="T1172" s="12">
        <v>0.83731349503312746</v>
      </c>
      <c r="U1172" s="12">
        <v>0.75973677461823819</v>
      </c>
      <c r="V1172" s="12">
        <v>287.04325944904951</v>
      </c>
      <c r="W1172" s="12">
        <v>7.3186790462304101</v>
      </c>
      <c r="X1172" s="12">
        <v>56.459897833505671</v>
      </c>
      <c r="Y1172" s="12">
        <v>1799.499713722701</v>
      </c>
      <c r="Z1172" s="12">
        <v>2.3029278677432941</v>
      </c>
      <c r="AA1172" s="12" t="s">
        <v>1268</v>
      </c>
      <c r="AB1172" s="12"/>
    </row>
    <row r="1173" spans="1:28" x14ac:dyDescent="0.3">
      <c r="A1173" s="12" t="s">
        <v>3079</v>
      </c>
      <c r="B1173" s="12" t="s">
        <v>136</v>
      </c>
      <c r="C1173" s="12" t="s">
        <v>136</v>
      </c>
      <c r="D1173" s="12" t="s">
        <v>137</v>
      </c>
      <c r="E1173" s="12" t="s">
        <v>2978</v>
      </c>
      <c r="F1173" s="12" t="s">
        <v>1861</v>
      </c>
      <c r="G1173" s="12" t="s">
        <v>1861</v>
      </c>
      <c r="H1173" s="12" t="b">
        <v>1</v>
      </c>
      <c r="I1173" s="12" t="b">
        <v>0</v>
      </c>
      <c r="J1173" s="12" t="b">
        <v>0</v>
      </c>
      <c r="K1173" s="12" t="b">
        <v>0</v>
      </c>
      <c r="L1173" s="12">
        <v>446.45935299612711</v>
      </c>
      <c r="M1173" s="12">
        <v>278.48146429320769</v>
      </c>
      <c r="N1173" s="12">
        <v>2276.6919271033862</v>
      </c>
      <c r="O1173" s="12">
        <v>539.73241595649017</v>
      </c>
      <c r="P1173" s="12">
        <v>0.68090284100868415</v>
      </c>
      <c r="Q1173" s="12">
        <v>0.91356073205750843</v>
      </c>
      <c r="R1173" s="12">
        <v>0.72525412987363325</v>
      </c>
      <c r="S1173" s="12">
        <v>0.62130531503327557</v>
      </c>
      <c r="T1173" s="12">
        <v>0.91832686865985724</v>
      </c>
      <c r="U1173" s="12">
        <v>0.91536120368661478</v>
      </c>
      <c r="V1173" s="12">
        <v>278.48146429320769</v>
      </c>
      <c r="W1173" s="12">
        <v>12.07759242864614</v>
      </c>
      <c r="X1173" s="12">
        <v>142.31654374142519</v>
      </c>
      <c r="Y1173" s="12">
        <v>1736.9595111468959</v>
      </c>
      <c r="Z1173" s="12">
        <v>4.2181863823552863</v>
      </c>
      <c r="AA1173" s="12" t="s">
        <v>1268</v>
      </c>
      <c r="AB1173" s="12"/>
    </row>
    <row r="1174" spans="1:28" x14ac:dyDescent="0.3">
      <c r="A1174" s="12" t="s">
        <v>3080</v>
      </c>
      <c r="B1174" s="12" t="s">
        <v>136</v>
      </c>
      <c r="C1174" s="12" t="s">
        <v>136</v>
      </c>
      <c r="D1174" s="12" t="s">
        <v>137</v>
      </c>
      <c r="E1174" s="12" t="s">
        <v>2978</v>
      </c>
      <c r="F1174" s="12" t="s">
        <v>32</v>
      </c>
      <c r="G1174" s="12" t="s">
        <v>32</v>
      </c>
      <c r="H1174" s="12" t="b">
        <v>1</v>
      </c>
      <c r="I1174" s="12" t="b">
        <v>1</v>
      </c>
      <c r="J1174" s="12" t="b">
        <v>0</v>
      </c>
      <c r="K1174" s="12" t="b">
        <v>0</v>
      </c>
      <c r="L1174" s="12">
        <v>394.07073488168908</v>
      </c>
      <c r="M1174" s="12">
        <v>299.00485636149023</v>
      </c>
      <c r="N1174" s="12">
        <v>2155.0565788625609</v>
      </c>
      <c r="O1174" s="12">
        <v>1187.0294111923299</v>
      </c>
      <c r="P1174" s="12">
        <v>0.54382050970939155</v>
      </c>
      <c r="Q1174" s="12">
        <v>0.76008472564464791</v>
      </c>
      <c r="R1174" s="12">
        <v>0.82522828862121977</v>
      </c>
      <c r="S1174" s="12">
        <v>0.86438046823269865</v>
      </c>
      <c r="T1174" s="12">
        <v>0.90109629057488283</v>
      </c>
      <c r="U1174" s="12">
        <v>0.91329280216279363</v>
      </c>
      <c r="V1174" s="12">
        <v>299.00485636149023</v>
      </c>
      <c r="W1174" s="12">
        <v>3.99036773100429</v>
      </c>
      <c r="X1174" s="12">
        <v>18.564928097919871</v>
      </c>
      <c r="Y1174" s="12">
        <v>968.02716767023082</v>
      </c>
      <c r="Z1174" s="12">
        <v>1.8155039450099899</v>
      </c>
      <c r="AA1174" s="12"/>
      <c r="AB1174" s="12"/>
    </row>
    <row r="1175" spans="1:28" x14ac:dyDescent="0.3">
      <c r="A1175" s="12" t="s">
        <v>3081</v>
      </c>
      <c r="B1175" s="12" t="s">
        <v>136</v>
      </c>
      <c r="C1175" s="12" t="s">
        <v>136</v>
      </c>
      <c r="D1175" s="12" t="s">
        <v>137</v>
      </c>
      <c r="E1175" s="12" t="s">
        <v>2978</v>
      </c>
      <c r="F1175" s="12" t="s">
        <v>1861</v>
      </c>
      <c r="G1175" s="12" t="s">
        <v>1861</v>
      </c>
      <c r="H1175" s="12" t="b">
        <v>1</v>
      </c>
      <c r="I1175" s="12" t="b">
        <v>0</v>
      </c>
      <c r="J1175" s="12" t="b">
        <v>0</v>
      </c>
      <c r="K1175" s="12" t="b">
        <v>0</v>
      </c>
      <c r="L1175" s="12">
        <v>402.6685604467641</v>
      </c>
      <c r="M1175" s="12">
        <v>278.19245234681239</v>
      </c>
      <c r="N1175" s="12">
        <v>4209.3250018096278</v>
      </c>
      <c r="O1175" s="12">
        <v>927.99894736538101</v>
      </c>
      <c r="P1175" s="12">
        <v>0.80000303188199862</v>
      </c>
      <c r="Q1175" s="12">
        <v>0.83999590691185</v>
      </c>
      <c r="R1175" s="12">
        <v>0.75031831552831862</v>
      </c>
      <c r="S1175" s="12">
        <v>0.87988209105192317</v>
      </c>
      <c r="T1175" s="12">
        <v>0.87258344860149417</v>
      </c>
      <c r="U1175" s="12">
        <v>0.75875690483393743</v>
      </c>
      <c r="V1175" s="12">
        <v>278.19245234681239</v>
      </c>
      <c r="W1175" s="12">
        <v>12.585638600201341</v>
      </c>
      <c r="X1175" s="12">
        <v>96.201991407044119</v>
      </c>
      <c r="Y1175" s="12">
        <v>3281.3260544442469</v>
      </c>
      <c r="Z1175" s="12">
        <v>4.5359157074046674</v>
      </c>
      <c r="AA1175" s="12" t="s">
        <v>1268</v>
      </c>
      <c r="AB1175" s="12"/>
    </row>
    <row r="1176" spans="1:28" x14ac:dyDescent="0.3">
      <c r="A1176" s="12" t="s">
        <v>3082</v>
      </c>
      <c r="B1176" s="12" t="s">
        <v>136</v>
      </c>
      <c r="C1176" s="12" t="s">
        <v>136</v>
      </c>
      <c r="D1176" s="12" t="s">
        <v>137</v>
      </c>
      <c r="E1176" s="12" t="s">
        <v>2978</v>
      </c>
      <c r="F1176" s="12" t="s">
        <v>1861</v>
      </c>
      <c r="G1176" s="12" t="s">
        <v>1861</v>
      </c>
      <c r="H1176" s="12" t="b">
        <v>1</v>
      </c>
      <c r="I1176" s="12" t="b">
        <v>0</v>
      </c>
      <c r="J1176" s="12" t="b">
        <v>0</v>
      </c>
      <c r="K1176" s="12" t="b">
        <v>0</v>
      </c>
      <c r="L1176" s="12">
        <v>398.04027896921588</v>
      </c>
      <c r="M1176" s="12">
        <v>280.50926728331831</v>
      </c>
      <c r="N1176" s="12">
        <v>3532.720065619244</v>
      </c>
      <c r="O1176" s="12">
        <v>626.52971477076812</v>
      </c>
      <c r="P1176" s="12">
        <v>0.74133724630603193</v>
      </c>
      <c r="Q1176" s="12">
        <v>0.8458840167558298</v>
      </c>
      <c r="R1176" s="12">
        <v>0.732383676124711</v>
      </c>
      <c r="S1176" s="12">
        <v>0.76313539792591667</v>
      </c>
      <c r="T1176" s="12">
        <v>0.89266383214527267</v>
      </c>
      <c r="U1176" s="12">
        <v>0.85507146628490938</v>
      </c>
      <c r="V1176" s="12">
        <v>280.50926728331831</v>
      </c>
      <c r="W1176" s="12">
        <v>13.101061337273361</v>
      </c>
      <c r="X1176" s="12">
        <v>81.879972759338301</v>
      </c>
      <c r="Y1176" s="12">
        <v>2906.190350848477</v>
      </c>
      <c r="Z1176" s="12">
        <v>5.63855150415616</v>
      </c>
      <c r="AA1176" s="12" t="s">
        <v>1268</v>
      </c>
      <c r="AB1176" s="12"/>
    </row>
    <row r="1177" spans="1:28" x14ac:dyDescent="0.3">
      <c r="A1177" s="12" t="s">
        <v>3083</v>
      </c>
      <c r="B1177" s="12" t="s">
        <v>136</v>
      </c>
      <c r="C1177" s="12" t="s">
        <v>136</v>
      </c>
      <c r="D1177" s="12" t="s">
        <v>137</v>
      </c>
      <c r="E1177" s="12" t="s">
        <v>2978</v>
      </c>
      <c r="F1177" s="12" t="s">
        <v>1861</v>
      </c>
      <c r="G1177" s="12" t="s">
        <v>1861</v>
      </c>
      <c r="H1177" s="12" t="b">
        <v>1</v>
      </c>
      <c r="I1177" s="12" t="b">
        <v>0</v>
      </c>
      <c r="J1177" s="12" t="b">
        <v>1</v>
      </c>
      <c r="K1177" s="12" t="b">
        <v>0</v>
      </c>
      <c r="L1177" s="12">
        <v>493.69916950269271</v>
      </c>
      <c r="M1177" s="12">
        <v>279.50076912848158</v>
      </c>
      <c r="N1177" s="12">
        <v>2226.8232820928129</v>
      </c>
      <c r="O1177" s="12">
        <v>838.66486664302386</v>
      </c>
      <c r="P1177" s="12">
        <v>0.53630347470077955</v>
      </c>
      <c r="Q1177" s="12">
        <v>0.76123890531707539</v>
      </c>
      <c r="R1177" s="12">
        <v>0.84660617725749709</v>
      </c>
      <c r="S1177" s="12">
        <v>0.72817033737851644</v>
      </c>
      <c r="T1177" s="12">
        <v>0.72829048852702294</v>
      </c>
      <c r="U1177" s="12">
        <v>0.75456143607312298</v>
      </c>
      <c r="V1177" s="12">
        <v>279.50076912848158</v>
      </c>
      <c r="W1177" s="12">
        <v>6.2258216991374002</v>
      </c>
      <c r="X1177" s="12">
        <v>89.064229499905792</v>
      </c>
      <c r="Y1177" s="12">
        <v>1388.15841544979</v>
      </c>
      <c r="Z1177" s="12">
        <v>2.6552003913151361</v>
      </c>
      <c r="AA1177" s="12" t="s">
        <v>1268</v>
      </c>
      <c r="AB1177" s="12"/>
    </row>
    <row r="1178" spans="1:28" x14ac:dyDescent="0.3">
      <c r="A1178" s="12" t="s">
        <v>3084</v>
      </c>
      <c r="B1178" s="12" t="s">
        <v>136</v>
      </c>
      <c r="C1178" s="12" t="s">
        <v>136</v>
      </c>
      <c r="D1178" s="12" t="s">
        <v>137</v>
      </c>
      <c r="E1178" s="12" t="s">
        <v>2978</v>
      </c>
      <c r="F1178" s="12" t="s">
        <v>1861</v>
      </c>
      <c r="G1178" s="12" t="s">
        <v>1861</v>
      </c>
      <c r="H1178" s="12" t="b">
        <v>1</v>
      </c>
      <c r="I1178" s="12" t="b">
        <v>0</v>
      </c>
      <c r="J1178" s="12" t="b">
        <v>0</v>
      </c>
      <c r="K1178" s="12" t="b">
        <v>0</v>
      </c>
      <c r="L1178" s="12">
        <v>395.35824686672782</v>
      </c>
      <c r="M1178" s="12">
        <v>297.26564864077739</v>
      </c>
      <c r="N1178" s="12">
        <v>4480.4690512725447</v>
      </c>
      <c r="O1178" s="12">
        <v>1198.0715033697629</v>
      </c>
      <c r="P1178" s="12">
        <v>0.80894441844712739</v>
      </c>
      <c r="Q1178" s="12">
        <v>0.80640784447146618</v>
      </c>
      <c r="R1178" s="12">
        <v>0.70164104525368376</v>
      </c>
      <c r="S1178" s="12">
        <v>0.82093886702417418</v>
      </c>
      <c r="T1178" s="12">
        <v>0.75249209552873364</v>
      </c>
      <c r="U1178" s="12">
        <v>0.78732921077419338</v>
      </c>
      <c r="V1178" s="12">
        <v>297.26564864077739</v>
      </c>
      <c r="W1178" s="12">
        <v>10.013946278642999</v>
      </c>
      <c r="X1178" s="12">
        <v>61.981308742420779</v>
      </c>
      <c r="Y1178" s="12">
        <v>3282.3975479027808</v>
      </c>
      <c r="Z1178" s="12">
        <v>3.7397342634980681</v>
      </c>
      <c r="AA1178" s="12" t="s">
        <v>1268</v>
      </c>
      <c r="AB1178" s="12"/>
    </row>
    <row r="1179" spans="1:28" x14ac:dyDescent="0.3">
      <c r="A1179" s="12" t="s">
        <v>3085</v>
      </c>
      <c r="B1179" s="12" t="s">
        <v>136</v>
      </c>
      <c r="C1179" s="12" t="s">
        <v>136</v>
      </c>
      <c r="D1179" s="12" t="s">
        <v>137</v>
      </c>
      <c r="E1179" s="12" t="s">
        <v>2978</v>
      </c>
      <c r="F1179" s="12" t="s">
        <v>1861</v>
      </c>
      <c r="G1179" s="12" t="s">
        <v>1861</v>
      </c>
      <c r="H1179" s="12" t="b">
        <v>1</v>
      </c>
      <c r="I1179" s="12" t="b">
        <v>0</v>
      </c>
      <c r="J1179" s="12" t="b">
        <v>1</v>
      </c>
      <c r="K1179" s="12" t="b">
        <v>0</v>
      </c>
      <c r="L1179" s="12">
        <v>454.92868702196341</v>
      </c>
      <c r="M1179" s="12">
        <v>290.79685817058402</v>
      </c>
      <c r="N1179" s="12">
        <v>4088.0459899288371</v>
      </c>
      <c r="O1179" s="12">
        <v>993.79608221399837</v>
      </c>
      <c r="P1179" s="12">
        <v>0.73577113245885883</v>
      </c>
      <c r="Q1179" s="12">
        <v>0.85984698967211259</v>
      </c>
      <c r="R1179" s="12">
        <v>0.82240726543545395</v>
      </c>
      <c r="S1179" s="12">
        <v>0.67987588076150884</v>
      </c>
      <c r="T1179" s="12">
        <v>0.67560015812801799</v>
      </c>
      <c r="U1179" s="12">
        <v>0.86283259702528459</v>
      </c>
      <c r="V1179" s="12">
        <v>290.79685817058402</v>
      </c>
      <c r="W1179" s="12">
        <v>11.775271849211521</v>
      </c>
      <c r="X1179" s="12">
        <v>129.62822839358159</v>
      </c>
      <c r="Y1179" s="12">
        <v>3094.2499077148382</v>
      </c>
      <c r="Z1179" s="12">
        <v>4.1135662165435471</v>
      </c>
      <c r="AA1179" s="12" t="s">
        <v>1268</v>
      </c>
      <c r="AB1179" s="12"/>
    </row>
    <row r="1180" spans="1:28" x14ac:dyDescent="0.3">
      <c r="A1180" s="12" t="s">
        <v>3086</v>
      </c>
      <c r="B1180" s="12" t="s">
        <v>136</v>
      </c>
      <c r="C1180" s="12" t="s">
        <v>136</v>
      </c>
      <c r="D1180" s="12" t="s">
        <v>137</v>
      </c>
      <c r="E1180" s="12" t="s">
        <v>2978</v>
      </c>
      <c r="F1180" s="12" t="s">
        <v>32</v>
      </c>
      <c r="G1180" s="12" t="s">
        <v>32</v>
      </c>
      <c r="H1180" s="12" t="b">
        <v>1</v>
      </c>
      <c r="I1180" s="12" t="b">
        <v>0</v>
      </c>
      <c r="J1180" s="12" t="b">
        <v>1</v>
      </c>
      <c r="K1180" s="12" t="b">
        <v>0</v>
      </c>
      <c r="L1180" s="12">
        <v>492.4479539936064</v>
      </c>
      <c r="M1180" s="12">
        <v>278.92289783997097</v>
      </c>
      <c r="N1180" s="12">
        <v>4615.2470220835476</v>
      </c>
      <c r="O1180" s="12">
        <v>1406.8932144172011</v>
      </c>
      <c r="P1180" s="12">
        <v>0.63673251149855425</v>
      </c>
      <c r="Q1180" s="12">
        <v>0.88411257980489788</v>
      </c>
      <c r="R1180" s="12">
        <v>0.70991658276897307</v>
      </c>
      <c r="S1180" s="12">
        <v>0.61768503731499036</v>
      </c>
      <c r="T1180" s="12">
        <v>0.63380723527561555</v>
      </c>
      <c r="U1180" s="12">
        <v>0.86748356191717746</v>
      </c>
      <c r="V1180" s="12">
        <v>278.92289783997097</v>
      </c>
      <c r="W1180" s="12">
        <v>8.977978327364319</v>
      </c>
      <c r="X1180" s="12">
        <v>108.0472228487782</v>
      </c>
      <c r="Y1180" s="12">
        <v>3208.3538076663472</v>
      </c>
      <c r="Z1180" s="12">
        <v>3.2804529688455379</v>
      </c>
      <c r="AA1180" s="12"/>
      <c r="AB1180" s="12"/>
    </row>
    <row r="1181" spans="1:28" x14ac:dyDescent="0.3">
      <c r="A1181" s="12" t="s">
        <v>3087</v>
      </c>
      <c r="B1181" s="12" t="s">
        <v>136</v>
      </c>
      <c r="C1181" s="12" t="s">
        <v>136</v>
      </c>
      <c r="D1181" s="12" t="s">
        <v>137</v>
      </c>
      <c r="E1181" s="12" t="s">
        <v>2978</v>
      </c>
      <c r="F1181" s="12" t="s">
        <v>32</v>
      </c>
      <c r="G1181" s="12" t="s">
        <v>32</v>
      </c>
      <c r="H1181" s="12" t="b">
        <v>1</v>
      </c>
      <c r="I1181" s="12" t="b">
        <v>1</v>
      </c>
      <c r="J1181" s="12" t="b">
        <v>0</v>
      </c>
      <c r="K1181" s="12" t="b">
        <v>0</v>
      </c>
      <c r="L1181" s="12">
        <v>420.72087541026212</v>
      </c>
      <c r="M1181" s="12">
        <v>282.98531068715448</v>
      </c>
      <c r="N1181" s="12">
        <v>4111.4915617105562</v>
      </c>
      <c r="O1181" s="12">
        <v>1493.200032708748</v>
      </c>
      <c r="P1181" s="12">
        <v>0.84539052159424788</v>
      </c>
      <c r="Q1181" s="12">
        <v>0.87943415438467354</v>
      </c>
      <c r="R1181" s="12">
        <v>0.84825568044511945</v>
      </c>
      <c r="S1181" s="12">
        <v>0.73023354854986544</v>
      </c>
      <c r="T1181" s="12">
        <v>0.7198635434736419</v>
      </c>
      <c r="U1181" s="12">
        <v>0.92334529739237758</v>
      </c>
      <c r="V1181" s="12">
        <v>282.98531068715448</v>
      </c>
      <c r="W1181" s="12">
        <v>8.632700261279739</v>
      </c>
      <c r="X1181" s="12">
        <v>83.188386699122304</v>
      </c>
      <c r="Y1181" s="12">
        <v>2618.2915290018082</v>
      </c>
      <c r="Z1181" s="12">
        <v>2.7534767423304181</v>
      </c>
      <c r="AA1181" s="12"/>
      <c r="AB1181" s="12"/>
    </row>
    <row r="1182" spans="1:28" x14ac:dyDescent="0.3">
      <c r="A1182" s="12" t="s">
        <v>3088</v>
      </c>
      <c r="B1182" s="12" t="s">
        <v>136</v>
      </c>
      <c r="C1182" s="12" t="s">
        <v>136</v>
      </c>
      <c r="D1182" s="12" t="s">
        <v>137</v>
      </c>
      <c r="E1182" s="12" t="s">
        <v>2978</v>
      </c>
      <c r="F1182" s="12" t="s">
        <v>1861</v>
      </c>
      <c r="G1182" s="12" t="s">
        <v>1861</v>
      </c>
      <c r="H1182" s="12" t="b">
        <v>1</v>
      </c>
      <c r="I1182" s="12" t="b">
        <v>0</v>
      </c>
      <c r="J1182" s="12" t="b">
        <v>0</v>
      </c>
      <c r="K1182" s="12" t="b">
        <v>0</v>
      </c>
      <c r="L1182" s="12">
        <v>455.6211208056564</v>
      </c>
      <c r="M1182" s="12">
        <v>279.5970080607263</v>
      </c>
      <c r="N1182" s="12">
        <v>2342.0387895466588</v>
      </c>
      <c r="O1182" s="12">
        <v>321.55920181741237</v>
      </c>
      <c r="P1182" s="12">
        <v>0.81607302055131803</v>
      </c>
      <c r="Q1182" s="12">
        <v>0.77816229717093421</v>
      </c>
      <c r="R1182" s="12">
        <v>0.82993015266854908</v>
      </c>
      <c r="S1182" s="12">
        <v>0.74515370927020841</v>
      </c>
      <c r="T1182" s="12">
        <v>0.81890368092697052</v>
      </c>
      <c r="U1182" s="12">
        <v>0.87711287410855188</v>
      </c>
      <c r="V1182" s="12">
        <v>279.5970080607263</v>
      </c>
      <c r="W1182" s="12">
        <v>7.7037078355295208</v>
      </c>
      <c r="X1182" s="12">
        <v>62.432969144040129</v>
      </c>
      <c r="Y1182" s="12">
        <v>2020.479587729247</v>
      </c>
      <c r="Z1182" s="12">
        <v>7.2833828928226856</v>
      </c>
      <c r="AA1182" s="12" t="s">
        <v>1268</v>
      </c>
      <c r="AB1182" s="12"/>
    </row>
    <row r="1183" spans="1:28" x14ac:dyDescent="0.3">
      <c r="A1183" s="12" t="s">
        <v>3089</v>
      </c>
      <c r="B1183" s="12" t="s">
        <v>136</v>
      </c>
      <c r="C1183" s="12" t="s">
        <v>136</v>
      </c>
      <c r="D1183" s="12" t="s">
        <v>137</v>
      </c>
      <c r="E1183" s="12" t="s">
        <v>2978</v>
      </c>
      <c r="F1183" s="12" t="s">
        <v>832</v>
      </c>
      <c r="G1183" s="12" t="s">
        <v>832</v>
      </c>
      <c r="H1183" s="12" t="b">
        <v>0</v>
      </c>
      <c r="I1183" s="12" t="b">
        <v>0</v>
      </c>
      <c r="J1183" s="12" t="b">
        <v>0</v>
      </c>
      <c r="K1183" s="12" t="b">
        <v>0</v>
      </c>
      <c r="L1183" s="12">
        <v>482.33936128925609</v>
      </c>
      <c r="M1183" s="12">
        <v>288.45600529325799</v>
      </c>
      <c r="N1183" s="12">
        <v>2882.245216868926</v>
      </c>
      <c r="O1183" s="12">
        <v>1296.884032185822</v>
      </c>
      <c r="P1183" s="12">
        <v>0.8420493862833115</v>
      </c>
      <c r="Q1183" s="12">
        <v>0.82388426258838998</v>
      </c>
      <c r="R1183" s="12">
        <v>0.85446963215047655</v>
      </c>
      <c r="S1183" s="12">
        <v>0.63941190095207046</v>
      </c>
      <c r="T1183" s="12">
        <v>0.72020510001805038</v>
      </c>
      <c r="U1183" s="12">
        <v>0.8651512170746366</v>
      </c>
      <c r="V1183" s="12">
        <v>288.45600529325799</v>
      </c>
      <c r="W1183" s="12"/>
      <c r="X1183" s="12"/>
      <c r="Y1183" s="12">
        <v>1585.3611846831041</v>
      </c>
      <c r="Z1183" s="12">
        <v>2.2224386647825942</v>
      </c>
      <c r="AA1183" s="12"/>
      <c r="AB1183" s="12"/>
    </row>
    <row r="1184" spans="1:28" x14ac:dyDescent="0.3">
      <c r="A1184" s="12" t="s">
        <v>3090</v>
      </c>
      <c r="B1184" s="12" t="s">
        <v>136</v>
      </c>
      <c r="C1184" s="12" t="s">
        <v>136</v>
      </c>
      <c r="D1184" s="12" t="s">
        <v>137</v>
      </c>
      <c r="E1184" s="12" t="s">
        <v>2978</v>
      </c>
      <c r="F1184" s="12" t="s">
        <v>1861</v>
      </c>
      <c r="G1184" s="12" t="s">
        <v>1861</v>
      </c>
      <c r="H1184" s="12" t="b">
        <v>1</v>
      </c>
      <c r="I1184" s="12" t="b">
        <v>0</v>
      </c>
      <c r="J1184" s="12" t="b">
        <v>0</v>
      </c>
      <c r="K1184" s="12" t="b">
        <v>0</v>
      </c>
      <c r="L1184" s="12">
        <v>435.05101312150322</v>
      </c>
      <c r="M1184" s="12">
        <v>285.91804463461528</v>
      </c>
      <c r="N1184" s="12">
        <v>3103.3300846689931</v>
      </c>
      <c r="O1184" s="12">
        <v>750.24935332394148</v>
      </c>
      <c r="P1184" s="12">
        <v>0.83575785563700455</v>
      </c>
      <c r="Q1184" s="12">
        <v>0.87271501495964299</v>
      </c>
      <c r="R1184" s="12">
        <v>0.6823537805757488</v>
      </c>
      <c r="S1184" s="12">
        <v>0.61976922267371493</v>
      </c>
      <c r="T1184" s="12">
        <v>0.90714491258545638</v>
      </c>
      <c r="U1184" s="12">
        <v>0.88982625258756964</v>
      </c>
      <c r="V1184" s="12">
        <v>285.91804463461528</v>
      </c>
      <c r="W1184" s="12">
        <v>12.575016548221001</v>
      </c>
      <c r="X1184" s="12">
        <v>125.1578526966363</v>
      </c>
      <c r="Y1184" s="12">
        <v>2353.0807313450509</v>
      </c>
      <c r="Z1184" s="12">
        <v>4.1363982133671264</v>
      </c>
      <c r="AA1184" s="12" t="s">
        <v>1268</v>
      </c>
      <c r="AB1184" s="12"/>
    </row>
    <row r="1185" spans="1:28" x14ac:dyDescent="0.3">
      <c r="A1185" s="12" t="s">
        <v>3091</v>
      </c>
      <c r="B1185" s="12" t="s">
        <v>136</v>
      </c>
      <c r="C1185" s="12" t="s">
        <v>136</v>
      </c>
      <c r="D1185" s="12" t="s">
        <v>137</v>
      </c>
      <c r="E1185" s="12" t="s">
        <v>2978</v>
      </c>
      <c r="F1185" s="12" t="s">
        <v>1861</v>
      </c>
      <c r="G1185" s="12" t="s">
        <v>1861</v>
      </c>
      <c r="H1185" s="12" t="b">
        <v>1</v>
      </c>
      <c r="I1185" s="12" t="b">
        <v>0</v>
      </c>
      <c r="J1185" s="12" t="b">
        <v>1</v>
      </c>
      <c r="K1185" s="12" t="b">
        <v>0</v>
      </c>
      <c r="L1185" s="12">
        <v>435.76323501116542</v>
      </c>
      <c r="M1185" s="12">
        <v>288.03917333461033</v>
      </c>
      <c r="N1185" s="12">
        <v>3588.7479973588529</v>
      </c>
      <c r="O1185" s="12">
        <v>1365.887774483243</v>
      </c>
      <c r="P1185" s="12">
        <v>0.66947841336195524</v>
      </c>
      <c r="Q1185" s="12">
        <v>0.79068677101349594</v>
      </c>
      <c r="R1185" s="12">
        <v>0.66597977610457626</v>
      </c>
      <c r="S1185" s="12">
        <v>0.92864542439848119</v>
      </c>
      <c r="T1185" s="12">
        <v>0.70733301607249077</v>
      </c>
      <c r="U1185" s="12">
        <v>0.84391548508741121</v>
      </c>
      <c r="V1185" s="12">
        <v>288.03917333461033</v>
      </c>
      <c r="W1185" s="12">
        <v>7.2580146602911704</v>
      </c>
      <c r="X1185" s="12">
        <v>78.877777146353438</v>
      </c>
      <c r="Y1185" s="12">
        <v>2222.8602228756099</v>
      </c>
      <c r="Z1185" s="12">
        <v>2.6274105855560399</v>
      </c>
      <c r="AA1185" s="12" t="s">
        <v>1268</v>
      </c>
      <c r="AB1185" s="12"/>
    </row>
    <row r="1186" spans="1:28" x14ac:dyDescent="0.3">
      <c r="A1186" s="12" t="s">
        <v>3092</v>
      </c>
      <c r="B1186" s="12" t="s">
        <v>136</v>
      </c>
      <c r="C1186" s="12" t="s">
        <v>136</v>
      </c>
      <c r="D1186" s="12" t="s">
        <v>137</v>
      </c>
      <c r="E1186" s="12" t="s">
        <v>2978</v>
      </c>
      <c r="F1186" s="12" t="s">
        <v>1863</v>
      </c>
      <c r="G1186" s="12" t="s">
        <v>832</v>
      </c>
      <c r="H1186" s="12" t="b">
        <v>0</v>
      </c>
      <c r="I1186" s="12" t="b">
        <v>0</v>
      </c>
      <c r="J1186" s="12" t="b">
        <v>0</v>
      </c>
      <c r="K1186" s="12" t="b">
        <v>0</v>
      </c>
      <c r="L1186" s="12">
        <v>407.72316262668448</v>
      </c>
      <c r="M1186" s="12">
        <v>286.30154086773382</v>
      </c>
      <c r="N1186" s="12">
        <v>4672.0487492358943</v>
      </c>
      <c r="O1186" s="12">
        <v>383.19197587115201</v>
      </c>
      <c r="P1186" s="12">
        <v>0.50527703232969468</v>
      </c>
      <c r="Q1186" s="12">
        <v>0.87495744453189728</v>
      </c>
      <c r="R1186" s="12">
        <v>0.69889748074868041</v>
      </c>
      <c r="S1186" s="12">
        <v>0.90915457417081635</v>
      </c>
      <c r="T1186" s="12">
        <v>0.62350106042817466</v>
      </c>
      <c r="U1186" s="12">
        <v>0.91356770798532583</v>
      </c>
      <c r="V1186" s="12">
        <v>286.30154086773382</v>
      </c>
      <c r="W1186" s="12">
        <v>-17.116493768415271</v>
      </c>
      <c r="X1186" s="12">
        <v>-30.70499658057582</v>
      </c>
      <c r="Y1186" s="12">
        <v>4288.8567733647424</v>
      </c>
      <c r="Z1186" s="12">
        <v>12.19244932938488</v>
      </c>
      <c r="AA1186" s="12" t="s">
        <v>2846</v>
      </c>
      <c r="AB1186" s="12"/>
    </row>
    <row r="1187" spans="1:28" x14ac:dyDescent="0.3">
      <c r="A1187" s="12" t="s">
        <v>3093</v>
      </c>
      <c r="B1187" s="12" t="s">
        <v>136</v>
      </c>
      <c r="C1187" s="12" t="s">
        <v>136</v>
      </c>
      <c r="D1187" s="12" t="s">
        <v>137</v>
      </c>
      <c r="E1187" s="12" t="s">
        <v>2978</v>
      </c>
      <c r="F1187" s="12" t="s">
        <v>32</v>
      </c>
      <c r="G1187" s="12" t="s">
        <v>32</v>
      </c>
      <c r="H1187" s="12" t="b">
        <v>1</v>
      </c>
      <c r="I1187" s="12" t="b">
        <v>1</v>
      </c>
      <c r="J1187" s="12" t="b">
        <v>0</v>
      </c>
      <c r="K1187" s="12" t="b">
        <v>0</v>
      </c>
      <c r="L1187" s="12">
        <v>380.87365969128439</v>
      </c>
      <c r="M1187" s="12">
        <v>281.26029546499927</v>
      </c>
      <c r="N1187" s="12">
        <v>2583.2439378012932</v>
      </c>
      <c r="O1187" s="12">
        <v>1235.270961844453</v>
      </c>
      <c r="P1187" s="12">
        <v>0.80283406970450666</v>
      </c>
      <c r="Q1187" s="12">
        <v>0.89109008090647124</v>
      </c>
      <c r="R1187" s="12">
        <v>0.71802928257959964</v>
      </c>
      <c r="S1187" s="12">
        <v>0.69085123196897236</v>
      </c>
      <c r="T1187" s="12">
        <v>0.93060835956037358</v>
      </c>
      <c r="U1187" s="12">
        <v>0.85693865187693496</v>
      </c>
      <c r="V1187" s="12">
        <v>281.26029546499927</v>
      </c>
      <c r="W1187" s="12">
        <v>6.5909429098735002</v>
      </c>
      <c r="X1187" s="12">
        <v>42.297246989839003</v>
      </c>
      <c r="Y1187" s="12">
        <v>1347.972975956839</v>
      </c>
      <c r="Z1187" s="12">
        <v>2.0912366740525532</v>
      </c>
      <c r="AA1187" s="12"/>
      <c r="AB1187" s="12"/>
    </row>
    <row r="1188" spans="1:28" x14ac:dyDescent="0.3">
      <c r="A1188" s="12" t="s">
        <v>3094</v>
      </c>
      <c r="B1188" s="12" t="s">
        <v>136</v>
      </c>
      <c r="C1188" s="12" t="s">
        <v>136</v>
      </c>
      <c r="D1188" s="12" t="s">
        <v>137</v>
      </c>
      <c r="E1188" s="12" t="s">
        <v>2978</v>
      </c>
      <c r="F1188" s="12" t="s">
        <v>832</v>
      </c>
      <c r="G1188" s="12" t="s">
        <v>832</v>
      </c>
      <c r="H1188" s="12" t="b">
        <v>0</v>
      </c>
      <c r="I1188" s="12" t="b">
        <v>0</v>
      </c>
      <c r="J1188" s="12" t="b">
        <v>0</v>
      </c>
      <c r="K1188" s="12" t="b">
        <v>0</v>
      </c>
      <c r="L1188" s="12">
        <v>422.81465001771107</v>
      </c>
      <c r="M1188" s="12">
        <v>279.29480584273949</v>
      </c>
      <c r="N1188" s="12">
        <v>3791.1020076979848</v>
      </c>
      <c r="O1188" s="12">
        <v>534.84921037824859</v>
      </c>
      <c r="P1188" s="12">
        <v>0.66800341613069247</v>
      </c>
      <c r="Q1188" s="12">
        <v>0.80087191968215266</v>
      </c>
      <c r="R1188" s="12">
        <v>0.86007672017634251</v>
      </c>
      <c r="S1188" s="12">
        <v>0.66083599816603966</v>
      </c>
      <c r="T1188" s="12">
        <v>0.69412645940110851</v>
      </c>
      <c r="U1188" s="12">
        <v>0.87359096607647946</v>
      </c>
      <c r="V1188" s="12">
        <v>279.29480584273949</v>
      </c>
      <c r="W1188" s="12"/>
      <c r="X1188" s="12"/>
      <c r="Y1188" s="12">
        <v>3256.2527973197361</v>
      </c>
      <c r="Z1188" s="12">
        <v>7.0881697759577778</v>
      </c>
      <c r="AA1188" s="12"/>
      <c r="AB1188" s="12"/>
    </row>
    <row r="1189" spans="1:28" x14ac:dyDescent="0.3">
      <c r="A1189" s="12" t="s">
        <v>3095</v>
      </c>
      <c r="B1189" s="12" t="s">
        <v>136</v>
      </c>
      <c r="C1189" s="12" t="s">
        <v>136</v>
      </c>
      <c r="D1189" s="12" t="s">
        <v>137</v>
      </c>
      <c r="E1189" s="12" t="s">
        <v>2978</v>
      </c>
      <c r="F1189" s="12" t="s">
        <v>1861</v>
      </c>
      <c r="G1189" s="12" t="s">
        <v>1861</v>
      </c>
      <c r="H1189" s="12" t="b">
        <v>1</v>
      </c>
      <c r="I1189" s="12" t="b">
        <v>0</v>
      </c>
      <c r="J1189" s="12" t="b">
        <v>1</v>
      </c>
      <c r="K1189" s="12" t="b">
        <v>0</v>
      </c>
      <c r="L1189" s="12">
        <v>444.9795875598183</v>
      </c>
      <c r="M1189" s="12">
        <v>295.40043502171972</v>
      </c>
      <c r="N1189" s="12">
        <v>4771.9287158677535</v>
      </c>
      <c r="O1189" s="12">
        <v>729.64193002893887</v>
      </c>
      <c r="P1189" s="12">
        <v>0.52126025469447146</v>
      </c>
      <c r="Q1189" s="12">
        <v>0.91380547569404502</v>
      </c>
      <c r="R1189" s="12">
        <v>0.74096272580654099</v>
      </c>
      <c r="S1189" s="12">
        <v>0.83380008926887161</v>
      </c>
      <c r="T1189" s="12">
        <v>0.71339563046676968</v>
      </c>
      <c r="U1189" s="12">
        <v>0.85962075765314072</v>
      </c>
      <c r="V1189" s="12">
        <v>295.40043502171972</v>
      </c>
      <c r="W1189" s="12">
        <v>11.63990627353706</v>
      </c>
      <c r="X1189" s="12">
        <v>69.995265865117929</v>
      </c>
      <c r="Y1189" s="12">
        <v>4042.286785838814</v>
      </c>
      <c r="Z1189" s="12">
        <v>6.5400966137986201</v>
      </c>
      <c r="AA1189" s="12" t="s">
        <v>3096</v>
      </c>
      <c r="AB1189" s="12"/>
    </row>
    <row r="1190" spans="1:28" x14ac:dyDescent="0.3">
      <c r="A1190" s="12" t="s">
        <v>3097</v>
      </c>
      <c r="B1190" s="12" t="s">
        <v>136</v>
      </c>
      <c r="C1190" s="12" t="s">
        <v>136</v>
      </c>
      <c r="D1190" s="12" t="s">
        <v>137</v>
      </c>
      <c r="E1190" s="12" t="s">
        <v>2978</v>
      </c>
      <c r="F1190" s="12" t="s">
        <v>1861</v>
      </c>
      <c r="G1190" s="12" t="s">
        <v>1861</v>
      </c>
      <c r="H1190" s="12" t="b">
        <v>1</v>
      </c>
      <c r="I1190" s="12" t="b">
        <v>0</v>
      </c>
      <c r="J1190" s="12" t="b">
        <v>0</v>
      </c>
      <c r="K1190" s="12" t="b">
        <v>0</v>
      </c>
      <c r="L1190" s="12">
        <v>409.31282522545911</v>
      </c>
      <c r="M1190" s="12">
        <v>299.26513628791832</v>
      </c>
      <c r="N1190" s="12">
        <v>2946.5193009348682</v>
      </c>
      <c r="O1190" s="12">
        <v>1472.987916922285</v>
      </c>
      <c r="P1190" s="12">
        <v>0.83675082369802178</v>
      </c>
      <c r="Q1190" s="12">
        <v>0.77169017478684243</v>
      </c>
      <c r="R1190" s="12">
        <v>0.79544785415059938</v>
      </c>
      <c r="S1190" s="12">
        <v>0.85762117743546784</v>
      </c>
      <c r="T1190" s="12">
        <v>0.60185249475661173</v>
      </c>
      <c r="U1190" s="12">
        <v>0.88196065469268226</v>
      </c>
      <c r="V1190" s="12">
        <v>299.26513628791832</v>
      </c>
      <c r="W1190" s="12">
        <v>5.9231824670779201</v>
      </c>
      <c r="X1190" s="12">
        <v>62.71813189862516</v>
      </c>
      <c r="Y1190" s="12">
        <v>1473.531384012583</v>
      </c>
      <c r="Z1190" s="12">
        <v>2.0003689555657962</v>
      </c>
      <c r="AA1190" s="12" t="s">
        <v>1268</v>
      </c>
      <c r="AB1190" s="12"/>
    </row>
    <row r="1191" spans="1:28" x14ac:dyDescent="0.3">
      <c r="A1191" s="12" t="s">
        <v>3098</v>
      </c>
      <c r="B1191" s="12" t="s">
        <v>136</v>
      </c>
      <c r="C1191" s="12" t="s">
        <v>136</v>
      </c>
      <c r="D1191" s="12" t="s">
        <v>137</v>
      </c>
      <c r="E1191" s="12" t="s">
        <v>2978</v>
      </c>
      <c r="F1191" s="12" t="s">
        <v>1861</v>
      </c>
      <c r="G1191" s="12" t="s">
        <v>1861</v>
      </c>
      <c r="H1191" s="12" t="b">
        <v>1</v>
      </c>
      <c r="I1191" s="12" t="b">
        <v>0</v>
      </c>
      <c r="J1191" s="12" t="b">
        <v>1</v>
      </c>
      <c r="K1191" s="12" t="b">
        <v>0</v>
      </c>
      <c r="L1191" s="12">
        <v>446.93238115942557</v>
      </c>
      <c r="M1191" s="12">
        <v>291.37111658465608</v>
      </c>
      <c r="N1191" s="12">
        <v>4983.5011692621592</v>
      </c>
      <c r="O1191" s="12">
        <v>412.43068781447948</v>
      </c>
      <c r="P1191" s="12">
        <v>0.58201938884009552</v>
      </c>
      <c r="Q1191" s="12">
        <v>0.90439887132010621</v>
      </c>
      <c r="R1191" s="12">
        <v>0.66016265485981285</v>
      </c>
      <c r="S1191" s="12">
        <v>0.71630655513770058</v>
      </c>
      <c r="T1191" s="12">
        <v>0.66954932149248148</v>
      </c>
      <c r="U1191" s="12">
        <v>0.74574588603580194</v>
      </c>
      <c r="V1191" s="12">
        <v>291.37111658465608</v>
      </c>
      <c r="W1191" s="12">
        <v>14.98987403807025</v>
      </c>
      <c r="X1191" s="12">
        <v>91.679304928618535</v>
      </c>
      <c r="Y1191" s="12">
        <v>4571.0704814476794</v>
      </c>
      <c r="Z1191" s="12">
        <v>12.083245297944099</v>
      </c>
      <c r="AA1191" s="12" t="s">
        <v>1981</v>
      </c>
      <c r="AB1191" s="12"/>
    </row>
    <row r="1192" spans="1:28" x14ac:dyDescent="0.3">
      <c r="A1192" s="12" t="s">
        <v>3099</v>
      </c>
      <c r="B1192" s="12" t="s">
        <v>136</v>
      </c>
      <c r="C1192" s="12" t="s">
        <v>136</v>
      </c>
      <c r="D1192" s="12" t="s">
        <v>137</v>
      </c>
      <c r="E1192" s="12" t="s">
        <v>2978</v>
      </c>
      <c r="F1192" s="12" t="s">
        <v>832</v>
      </c>
      <c r="G1192" s="12" t="s">
        <v>832</v>
      </c>
      <c r="H1192" s="12" t="b">
        <v>0</v>
      </c>
      <c r="I1192" s="12" t="b">
        <v>0</v>
      </c>
      <c r="J1192" s="12" t="b">
        <v>0</v>
      </c>
      <c r="K1192" s="12" t="b">
        <v>0</v>
      </c>
      <c r="L1192" s="12">
        <v>482.83698710525618</v>
      </c>
      <c r="M1192" s="12">
        <v>290.45598846138779</v>
      </c>
      <c r="N1192" s="12">
        <v>3094.0818694726422</v>
      </c>
      <c r="O1192" s="12">
        <v>1098.026134950806</v>
      </c>
      <c r="P1192" s="12">
        <v>0.75145258370497481</v>
      </c>
      <c r="Q1192" s="12">
        <v>0.84953831157327453</v>
      </c>
      <c r="R1192" s="12">
        <v>0.77177715668159019</v>
      </c>
      <c r="S1192" s="12">
        <v>0.71085228429582414</v>
      </c>
      <c r="T1192" s="12">
        <v>0.84439052754313104</v>
      </c>
      <c r="U1192" s="12">
        <v>0.8178691184797765</v>
      </c>
      <c r="V1192" s="12">
        <v>290.45598846138779</v>
      </c>
      <c r="W1192" s="12"/>
      <c r="X1192" s="12"/>
      <c r="Y1192" s="12">
        <v>1996.055734521836</v>
      </c>
      <c r="Z1192" s="12">
        <v>2.8178581283142812</v>
      </c>
      <c r="AA1192" s="12"/>
      <c r="AB1192" s="12"/>
    </row>
    <row r="1193" spans="1:28" x14ac:dyDescent="0.3">
      <c r="A1193" s="12" t="s">
        <v>3100</v>
      </c>
      <c r="B1193" s="12" t="s">
        <v>136</v>
      </c>
      <c r="C1193" s="12" t="s">
        <v>136</v>
      </c>
      <c r="D1193" s="12" t="s">
        <v>137</v>
      </c>
      <c r="E1193" s="12" t="s">
        <v>2978</v>
      </c>
      <c r="F1193" s="12" t="s">
        <v>1863</v>
      </c>
      <c r="G1193" s="12" t="s">
        <v>832</v>
      </c>
      <c r="H1193" s="12" t="b">
        <v>0</v>
      </c>
      <c r="I1193" s="12" t="b">
        <v>0</v>
      </c>
      <c r="J1193" s="12" t="b">
        <v>0</v>
      </c>
      <c r="K1193" s="12" t="b">
        <v>0</v>
      </c>
      <c r="L1193" s="12">
        <v>397.51002127248421</v>
      </c>
      <c r="M1193" s="12">
        <v>280.80249085223483</v>
      </c>
      <c r="N1193" s="12">
        <v>4698.781225353001</v>
      </c>
      <c r="O1193" s="12">
        <v>826.73492297940311</v>
      </c>
      <c r="P1193" s="12">
        <v>0.52573338704866146</v>
      </c>
      <c r="Q1193" s="12">
        <v>0.76293698382718389</v>
      </c>
      <c r="R1193" s="12">
        <v>0.89626218231660415</v>
      </c>
      <c r="S1193" s="12">
        <v>0.70740207857277504</v>
      </c>
      <c r="T1193" s="12">
        <v>0.78859248339351207</v>
      </c>
      <c r="U1193" s="12">
        <v>0.74782394447688039</v>
      </c>
      <c r="V1193" s="12">
        <v>280.80249085223483</v>
      </c>
      <c r="W1193" s="12">
        <v>-131.65103440065701</v>
      </c>
      <c r="X1193" s="12">
        <v>-39.182039972139222</v>
      </c>
      <c r="Y1193" s="12">
        <v>3872.0463023735979</v>
      </c>
      <c r="Z1193" s="12">
        <v>5.6835402675617521</v>
      </c>
      <c r="AA1193" s="12" t="s">
        <v>2018</v>
      </c>
      <c r="AB1193" s="12"/>
    </row>
    <row r="1194" spans="1:28" x14ac:dyDescent="0.3">
      <c r="A1194" s="12" t="s">
        <v>3101</v>
      </c>
      <c r="B1194" s="12" t="s">
        <v>136</v>
      </c>
      <c r="C1194" s="12" t="s">
        <v>136</v>
      </c>
      <c r="D1194" s="12" t="s">
        <v>137</v>
      </c>
      <c r="E1194" s="12" t="s">
        <v>2978</v>
      </c>
      <c r="F1194" s="12" t="s">
        <v>1861</v>
      </c>
      <c r="G1194" s="12" t="s">
        <v>1861</v>
      </c>
      <c r="H1194" s="12" t="b">
        <v>1</v>
      </c>
      <c r="I1194" s="12" t="b">
        <v>0</v>
      </c>
      <c r="J1194" s="12" t="b">
        <v>1</v>
      </c>
      <c r="K1194" s="12" t="b">
        <v>0</v>
      </c>
      <c r="L1194" s="12">
        <v>475.76912119383542</v>
      </c>
      <c r="M1194" s="12">
        <v>296.64158546845442</v>
      </c>
      <c r="N1194" s="12">
        <v>2333.0929697254128</v>
      </c>
      <c r="O1194" s="12">
        <v>786.24428223266159</v>
      </c>
      <c r="P1194" s="12">
        <v>0.56023097590125603</v>
      </c>
      <c r="Q1194" s="12">
        <v>0.79183944901013981</v>
      </c>
      <c r="R1194" s="12">
        <v>0.88348349743000487</v>
      </c>
      <c r="S1194" s="12">
        <v>0.91887845455532602</v>
      </c>
      <c r="T1194" s="12">
        <v>0.61510339120313529</v>
      </c>
      <c r="U1194" s="12">
        <v>0.77265858160104139</v>
      </c>
      <c r="V1194" s="12">
        <v>296.64158546845442</v>
      </c>
      <c r="W1194" s="12">
        <v>7.0243742520326293</v>
      </c>
      <c r="X1194" s="12">
        <v>117.1794704434041</v>
      </c>
      <c r="Y1194" s="12">
        <v>1546.848687492751</v>
      </c>
      <c r="Z1194" s="12">
        <v>2.9673894264772729</v>
      </c>
      <c r="AA1194" s="12" t="s">
        <v>1268</v>
      </c>
      <c r="AB1194" s="12"/>
    </row>
    <row r="1195" spans="1:28" x14ac:dyDescent="0.3">
      <c r="A1195" s="12" t="s">
        <v>3102</v>
      </c>
      <c r="B1195" s="12" t="s">
        <v>136</v>
      </c>
      <c r="C1195" s="12" t="s">
        <v>136</v>
      </c>
      <c r="D1195" s="12" t="s">
        <v>137</v>
      </c>
      <c r="E1195" s="12" t="s">
        <v>2978</v>
      </c>
      <c r="F1195" s="12" t="s">
        <v>1862</v>
      </c>
      <c r="G1195" s="12" t="s">
        <v>1862</v>
      </c>
      <c r="H1195" s="12" t="b">
        <v>1</v>
      </c>
      <c r="I1195" s="12" t="b">
        <v>0</v>
      </c>
      <c r="J1195" s="12" t="b">
        <v>1</v>
      </c>
      <c r="K1195" s="12" t="b">
        <v>0</v>
      </c>
      <c r="L1195" s="12">
        <v>430.5252130667929</v>
      </c>
      <c r="M1195" s="12">
        <v>299.66765086965052</v>
      </c>
      <c r="N1195" s="12">
        <v>3022.8216603286228</v>
      </c>
      <c r="O1195" s="12">
        <v>388.3976991566941</v>
      </c>
      <c r="P1195" s="12">
        <v>0.79727800113740732</v>
      </c>
      <c r="Q1195" s="12">
        <v>0.90349958721677659</v>
      </c>
      <c r="R1195" s="12">
        <v>0.67230885601215118</v>
      </c>
      <c r="S1195" s="12">
        <v>0.92632801559076539</v>
      </c>
      <c r="T1195" s="12">
        <v>0.85965881104218</v>
      </c>
      <c r="U1195" s="12">
        <v>0.77910944634827306</v>
      </c>
      <c r="V1195" s="12">
        <v>299.66765086965052</v>
      </c>
      <c r="W1195" s="12">
        <v>-6.14374087488837</v>
      </c>
      <c r="X1195" s="12">
        <v>-27.9412090474246</v>
      </c>
      <c r="Y1195" s="12">
        <v>2634.423961171929</v>
      </c>
      <c r="Z1195" s="12">
        <v>7.7828001218645326</v>
      </c>
      <c r="AA1195" s="12" t="s">
        <v>2513</v>
      </c>
      <c r="AB1195" s="12"/>
    </row>
    <row r="1196" spans="1:28" x14ac:dyDescent="0.3">
      <c r="A1196" s="12" t="s">
        <v>3103</v>
      </c>
      <c r="B1196" s="12" t="s">
        <v>136</v>
      </c>
      <c r="C1196" s="12" t="s">
        <v>136</v>
      </c>
      <c r="D1196" s="12" t="s">
        <v>137</v>
      </c>
      <c r="E1196" s="12" t="s">
        <v>2978</v>
      </c>
      <c r="F1196" s="12" t="s">
        <v>1861</v>
      </c>
      <c r="G1196" s="12" t="s">
        <v>1861</v>
      </c>
      <c r="H1196" s="12" t="b">
        <v>1</v>
      </c>
      <c r="I1196" s="12" t="b">
        <v>0</v>
      </c>
      <c r="J1196" s="12" t="b">
        <v>1</v>
      </c>
      <c r="K1196" s="12" t="b">
        <v>0</v>
      </c>
      <c r="L1196" s="12">
        <v>462.76552952268628</v>
      </c>
      <c r="M1196" s="12">
        <v>296.59102087314272</v>
      </c>
      <c r="N1196" s="12">
        <v>2101.2816918460849</v>
      </c>
      <c r="O1196" s="12">
        <v>1054.642460606296</v>
      </c>
      <c r="P1196" s="12">
        <v>0.65915142365844837</v>
      </c>
      <c r="Q1196" s="12">
        <v>0.78895836193579338</v>
      </c>
      <c r="R1196" s="12">
        <v>0.89860237499233164</v>
      </c>
      <c r="S1196" s="12">
        <v>0.80658857838568565</v>
      </c>
      <c r="T1196" s="12">
        <v>0.9445971550633816</v>
      </c>
      <c r="U1196" s="12">
        <v>0.92096489384279523</v>
      </c>
      <c r="V1196" s="12">
        <v>296.59102087314272</v>
      </c>
      <c r="W1196" s="12">
        <v>5.1974929948429702</v>
      </c>
      <c r="X1196" s="12">
        <v>81.890738623027715</v>
      </c>
      <c r="Y1196" s="12">
        <v>1046.6392312397891</v>
      </c>
      <c r="Z1196" s="12">
        <v>1.9924114288344641</v>
      </c>
      <c r="AA1196" s="12" t="s">
        <v>1268</v>
      </c>
      <c r="AB1196" s="12"/>
    </row>
    <row r="1197" spans="1:28" x14ac:dyDescent="0.3">
      <c r="A1197" s="12" t="s">
        <v>3104</v>
      </c>
      <c r="B1197" s="12" t="s">
        <v>136</v>
      </c>
      <c r="C1197" s="12" t="s">
        <v>136</v>
      </c>
      <c r="D1197" s="12" t="s">
        <v>137</v>
      </c>
      <c r="E1197" s="12" t="s">
        <v>2978</v>
      </c>
      <c r="F1197" s="12" t="s">
        <v>1861</v>
      </c>
      <c r="G1197" s="12" t="s">
        <v>1861</v>
      </c>
      <c r="H1197" s="12" t="b">
        <v>1</v>
      </c>
      <c r="I1197" s="12" t="b">
        <v>0</v>
      </c>
      <c r="J1197" s="12" t="b">
        <v>0</v>
      </c>
      <c r="K1197" s="12" t="b">
        <v>0</v>
      </c>
      <c r="L1197" s="12">
        <v>457.0254121424249</v>
      </c>
      <c r="M1197" s="12">
        <v>291.64096816480179</v>
      </c>
      <c r="N1197" s="12">
        <v>2813.6236840741781</v>
      </c>
      <c r="O1197" s="12">
        <v>909.42099471551683</v>
      </c>
      <c r="P1197" s="12">
        <v>0.84127850672797089</v>
      </c>
      <c r="Q1197" s="12">
        <v>0.84248789306897287</v>
      </c>
      <c r="R1197" s="12">
        <v>0.76380626951895525</v>
      </c>
      <c r="S1197" s="12">
        <v>0.81080597612916672</v>
      </c>
      <c r="T1197" s="12">
        <v>0.88370400936745375</v>
      </c>
      <c r="U1197" s="12">
        <v>0.76319962247865569</v>
      </c>
      <c r="V1197" s="12">
        <v>291.64096816480179</v>
      </c>
      <c r="W1197" s="12">
        <v>9.1821165244148695</v>
      </c>
      <c r="X1197" s="12">
        <v>108.3771636807318</v>
      </c>
      <c r="Y1197" s="12">
        <v>1904.202689358661</v>
      </c>
      <c r="Z1197" s="12">
        <v>3.0938626889236591</v>
      </c>
      <c r="AA1197" s="12" t="s">
        <v>1268</v>
      </c>
      <c r="AB1197" s="12"/>
    </row>
    <row r="1198" spans="1:28" x14ac:dyDescent="0.3">
      <c r="A1198" s="12" t="s">
        <v>3105</v>
      </c>
      <c r="B1198" s="12" t="s">
        <v>136</v>
      </c>
      <c r="C1198" s="12" t="s">
        <v>136</v>
      </c>
      <c r="D1198" s="12" t="s">
        <v>137</v>
      </c>
      <c r="E1198" s="12" t="s">
        <v>2978</v>
      </c>
      <c r="F1198" s="12" t="s">
        <v>1861</v>
      </c>
      <c r="G1198" s="12" t="s">
        <v>1861</v>
      </c>
      <c r="H1198" s="12" t="b">
        <v>1</v>
      </c>
      <c r="I1198" s="12" t="b">
        <v>0</v>
      </c>
      <c r="J1198" s="12" t="b">
        <v>1</v>
      </c>
      <c r="K1198" s="12" t="b">
        <v>0</v>
      </c>
      <c r="L1198" s="12">
        <v>463.68188564884821</v>
      </c>
      <c r="M1198" s="12">
        <v>295.7527561230624</v>
      </c>
      <c r="N1198" s="12">
        <v>4386.3843412594697</v>
      </c>
      <c r="O1198" s="12">
        <v>1008.827607153711</v>
      </c>
      <c r="P1198" s="12">
        <v>0.73270323675142379</v>
      </c>
      <c r="Q1198" s="12">
        <v>0.87729268074792599</v>
      </c>
      <c r="R1198" s="12">
        <v>0.71840357128084908</v>
      </c>
      <c r="S1198" s="12">
        <v>0.69230964106021453</v>
      </c>
      <c r="T1198" s="12">
        <v>0.74034630624146636</v>
      </c>
      <c r="U1198" s="12">
        <v>0.73333499298149918</v>
      </c>
      <c r="V1198" s="12">
        <v>295.7527561230624</v>
      </c>
      <c r="W1198" s="12">
        <v>11.758139565926379</v>
      </c>
      <c r="X1198" s="12">
        <v>125.0195656545874</v>
      </c>
      <c r="Y1198" s="12">
        <v>3377.556734105759</v>
      </c>
      <c r="Z1198" s="12">
        <v>4.348001888682588</v>
      </c>
      <c r="AA1198" s="12" t="s">
        <v>1268</v>
      </c>
      <c r="AB1198" s="12"/>
    </row>
    <row r="1199" spans="1:28" x14ac:dyDescent="0.3">
      <c r="A1199" s="12" t="s">
        <v>3106</v>
      </c>
      <c r="B1199" s="12" t="s">
        <v>136</v>
      </c>
      <c r="C1199" s="12" t="s">
        <v>136</v>
      </c>
      <c r="D1199" s="12" t="s">
        <v>137</v>
      </c>
      <c r="E1199" s="12" t="s">
        <v>2978</v>
      </c>
      <c r="F1199" s="12" t="s">
        <v>1861</v>
      </c>
      <c r="G1199" s="12" t="s">
        <v>1861</v>
      </c>
      <c r="H1199" s="12" t="b">
        <v>1</v>
      </c>
      <c r="I1199" s="12" t="b">
        <v>0</v>
      </c>
      <c r="J1199" s="12" t="b">
        <v>1</v>
      </c>
      <c r="K1199" s="12" t="b">
        <v>0</v>
      </c>
      <c r="L1199" s="12">
        <v>471.5481733107485</v>
      </c>
      <c r="M1199" s="12">
        <v>301.52842523362972</v>
      </c>
      <c r="N1199" s="12">
        <v>3879.922616987305</v>
      </c>
      <c r="O1199" s="12">
        <v>637.57121294509466</v>
      </c>
      <c r="P1199" s="12">
        <v>0.64249264954043961</v>
      </c>
      <c r="Q1199" s="12">
        <v>0.88762862716453828</v>
      </c>
      <c r="R1199" s="12">
        <v>0.80466143702612114</v>
      </c>
      <c r="S1199" s="12">
        <v>0.72010773406942341</v>
      </c>
      <c r="T1199" s="12">
        <v>0.74876473190454496</v>
      </c>
      <c r="U1199" s="12">
        <v>0.84651502889383468</v>
      </c>
      <c r="V1199" s="12">
        <v>301.52842523362972</v>
      </c>
      <c r="W1199" s="12">
        <v>14.111720370934171</v>
      </c>
      <c r="X1199" s="12">
        <v>182.84899194523649</v>
      </c>
      <c r="Y1199" s="12">
        <v>3242.351404042211</v>
      </c>
      <c r="Z1199" s="12">
        <v>6.0854733372684917</v>
      </c>
      <c r="AA1199" s="12" t="s">
        <v>1268</v>
      </c>
      <c r="AB1199" s="12"/>
    </row>
    <row r="1200" spans="1:28" x14ac:dyDescent="0.3">
      <c r="A1200" s="12" t="s">
        <v>3107</v>
      </c>
      <c r="B1200" s="12" t="s">
        <v>136</v>
      </c>
      <c r="C1200" s="12" t="s">
        <v>136</v>
      </c>
      <c r="D1200" s="12" t="s">
        <v>137</v>
      </c>
      <c r="E1200" s="12" t="s">
        <v>2978</v>
      </c>
      <c r="F1200" s="12" t="s">
        <v>1861</v>
      </c>
      <c r="G1200" s="12" t="s">
        <v>1861</v>
      </c>
      <c r="H1200" s="12" t="b">
        <v>1</v>
      </c>
      <c r="I1200" s="12" t="b">
        <v>0</v>
      </c>
      <c r="J1200" s="12" t="b">
        <v>1</v>
      </c>
      <c r="K1200" s="12" t="b">
        <v>0</v>
      </c>
      <c r="L1200" s="12">
        <v>439.92178580993948</v>
      </c>
      <c r="M1200" s="12">
        <v>301.92047232114459</v>
      </c>
      <c r="N1200" s="12">
        <v>3716.2500186053762</v>
      </c>
      <c r="O1200" s="12">
        <v>1063.7010080151611</v>
      </c>
      <c r="P1200" s="12">
        <v>0.62580066906056186</v>
      </c>
      <c r="Q1200" s="12">
        <v>0.8599410143276075</v>
      </c>
      <c r="R1200" s="12">
        <v>0.75154273506480229</v>
      </c>
      <c r="S1200" s="12">
        <v>0.72063255859516451</v>
      </c>
      <c r="T1200" s="12">
        <v>0.78467071206658667</v>
      </c>
      <c r="U1200" s="12">
        <v>0.83342486633720447</v>
      </c>
      <c r="V1200" s="12">
        <v>301.92047232114459</v>
      </c>
      <c r="W1200" s="12">
        <v>10.02005704553452</v>
      </c>
      <c r="X1200" s="12">
        <v>76.853678943897577</v>
      </c>
      <c r="Y1200" s="12">
        <v>2652.5490105902149</v>
      </c>
      <c r="Z1200" s="12">
        <v>3.4936979382390589</v>
      </c>
      <c r="AA1200" s="12" t="s">
        <v>1268</v>
      </c>
      <c r="AB1200" s="12"/>
    </row>
    <row r="1201" spans="1:28" x14ac:dyDescent="0.3">
      <c r="A1201" s="12" t="s">
        <v>3108</v>
      </c>
      <c r="B1201" s="12" t="s">
        <v>136</v>
      </c>
      <c r="C1201" s="12" t="s">
        <v>136</v>
      </c>
      <c r="D1201" s="12" t="s">
        <v>137</v>
      </c>
      <c r="E1201" s="12" t="s">
        <v>2978</v>
      </c>
      <c r="F1201" s="12" t="s">
        <v>32</v>
      </c>
      <c r="G1201" s="12" t="s">
        <v>32</v>
      </c>
      <c r="H1201" s="12" t="b">
        <v>1</v>
      </c>
      <c r="I1201" s="12" t="b">
        <v>0</v>
      </c>
      <c r="J1201" s="12" t="b">
        <v>1</v>
      </c>
      <c r="K1201" s="12" t="b">
        <v>0</v>
      </c>
      <c r="L1201" s="12">
        <v>433.50179962619683</v>
      </c>
      <c r="M1201" s="12">
        <v>278.77937783502881</v>
      </c>
      <c r="N1201" s="12">
        <v>3961.4129565340641</v>
      </c>
      <c r="O1201" s="12">
        <v>889.99628330024234</v>
      </c>
      <c r="P1201" s="12">
        <v>0.53566822378856083</v>
      </c>
      <c r="Q1201" s="12">
        <v>0.89299685749003477</v>
      </c>
      <c r="R1201" s="12">
        <v>0.82849503660886781</v>
      </c>
      <c r="S1201" s="12">
        <v>0.73884542827599753</v>
      </c>
      <c r="T1201" s="12">
        <v>0.75502243457549845</v>
      </c>
      <c r="U1201" s="12">
        <v>0.91984267086155436</v>
      </c>
      <c r="V1201" s="12">
        <v>278.77937783502881</v>
      </c>
      <c r="W1201" s="12">
        <v>8.7921498432569098</v>
      </c>
      <c r="X1201" s="12">
        <v>49.645768307269698</v>
      </c>
      <c r="Y1201" s="12">
        <v>3071.4166732338222</v>
      </c>
      <c r="Z1201" s="12">
        <v>4.4510443817186953</v>
      </c>
      <c r="AA1201" s="12"/>
      <c r="AB1201" s="12"/>
    </row>
    <row r="1202" spans="1:28" x14ac:dyDescent="0.3">
      <c r="A1202" s="12" t="s">
        <v>3109</v>
      </c>
      <c r="B1202" s="12" t="s">
        <v>136</v>
      </c>
      <c r="C1202" s="12" t="s">
        <v>136</v>
      </c>
      <c r="D1202" s="12" t="s">
        <v>137</v>
      </c>
      <c r="E1202" s="12" t="s">
        <v>2978</v>
      </c>
      <c r="F1202" s="12" t="s">
        <v>32</v>
      </c>
      <c r="G1202" s="12" t="s">
        <v>32</v>
      </c>
      <c r="H1202" s="12" t="b">
        <v>1</v>
      </c>
      <c r="I1202" s="12" t="b">
        <v>1</v>
      </c>
      <c r="J1202" s="12" t="b">
        <v>0</v>
      </c>
      <c r="K1202" s="12" t="b">
        <v>0</v>
      </c>
      <c r="L1202" s="12">
        <v>448.6099624502038</v>
      </c>
      <c r="M1202" s="12">
        <v>291.86159788470508</v>
      </c>
      <c r="N1202" s="12">
        <v>4960.8916703962677</v>
      </c>
      <c r="O1202" s="12">
        <v>1384.324537102322</v>
      </c>
      <c r="P1202" s="12">
        <v>0.77998932279625433</v>
      </c>
      <c r="Q1202" s="12">
        <v>0.80144975245100936</v>
      </c>
      <c r="R1202" s="12">
        <v>0.69774540604230062</v>
      </c>
      <c r="S1202" s="12">
        <v>0.66574934577185652</v>
      </c>
      <c r="T1202" s="12">
        <v>0.64136930611248466</v>
      </c>
      <c r="U1202" s="12">
        <v>0.89973834696030819</v>
      </c>
      <c r="V1202" s="12">
        <v>291.86159788470508</v>
      </c>
      <c r="W1202" s="12">
        <v>9.5280710545959195</v>
      </c>
      <c r="X1202" s="12">
        <v>91.527398653058484</v>
      </c>
      <c r="Y1202" s="12">
        <v>3576.5671332939451</v>
      </c>
      <c r="Z1202" s="12">
        <v>3.583618968988616</v>
      </c>
      <c r="AA1202" s="12"/>
      <c r="AB1202" s="12"/>
    </row>
    <row r="1203" spans="1:28" x14ac:dyDescent="0.3">
      <c r="A1203" s="12" t="s">
        <v>3110</v>
      </c>
      <c r="B1203" s="12" t="s">
        <v>136</v>
      </c>
      <c r="C1203" s="12" t="s">
        <v>136</v>
      </c>
      <c r="D1203" s="12" t="s">
        <v>137</v>
      </c>
      <c r="E1203" s="12" t="s">
        <v>2978</v>
      </c>
      <c r="F1203" s="12" t="s">
        <v>832</v>
      </c>
      <c r="G1203" s="12" t="s">
        <v>832</v>
      </c>
      <c r="H1203" s="12" t="b">
        <v>0</v>
      </c>
      <c r="I1203" s="12" t="b">
        <v>0</v>
      </c>
      <c r="J1203" s="12" t="b">
        <v>0</v>
      </c>
      <c r="K1203" s="12" t="b">
        <v>0</v>
      </c>
      <c r="L1203" s="12">
        <v>400.17634132291221</v>
      </c>
      <c r="M1203" s="12">
        <v>298.03569917159308</v>
      </c>
      <c r="N1203" s="12">
        <v>4808.6258123185271</v>
      </c>
      <c r="O1203" s="12">
        <v>999.02813437823045</v>
      </c>
      <c r="P1203" s="12">
        <v>0.55164652833764038</v>
      </c>
      <c r="Q1203" s="12">
        <v>0.89885649373224263</v>
      </c>
      <c r="R1203" s="12">
        <v>0.6799323353284441</v>
      </c>
      <c r="S1203" s="12">
        <v>0.84485051323269045</v>
      </c>
      <c r="T1203" s="12">
        <v>0.79935037333605785</v>
      </c>
      <c r="U1203" s="12">
        <v>0.75061559832406166</v>
      </c>
      <c r="V1203" s="12">
        <v>298.03569917159308</v>
      </c>
      <c r="W1203" s="12"/>
      <c r="X1203" s="12"/>
      <c r="Y1203" s="12">
        <v>3809.5976779402972</v>
      </c>
      <c r="Z1203" s="12">
        <v>4.8133036967084948</v>
      </c>
      <c r="AA1203" s="12"/>
      <c r="AB1203" s="12"/>
    </row>
    <row r="1204" spans="1:28" x14ac:dyDescent="0.3">
      <c r="A1204" s="12" t="s">
        <v>3111</v>
      </c>
      <c r="B1204" s="12" t="s">
        <v>136</v>
      </c>
      <c r="C1204" s="12" t="s">
        <v>136</v>
      </c>
      <c r="D1204" s="12" t="s">
        <v>137</v>
      </c>
      <c r="E1204" s="12" t="s">
        <v>2978</v>
      </c>
      <c r="F1204" s="12" t="s">
        <v>832</v>
      </c>
      <c r="G1204" s="12" t="s">
        <v>832</v>
      </c>
      <c r="H1204" s="12" t="b">
        <v>0</v>
      </c>
      <c r="I1204" s="12" t="b">
        <v>0</v>
      </c>
      <c r="J1204" s="12" t="b">
        <v>0</v>
      </c>
      <c r="K1204" s="12" t="b">
        <v>0</v>
      </c>
      <c r="L1204" s="12">
        <v>489.6833794038356</v>
      </c>
      <c r="M1204" s="12">
        <v>290.56184650880681</v>
      </c>
      <c r="N1204" s="12">
        <v>2579.4107798939558</v>
      </c>
      <c r="O1204" s="12">
        <v>1129.3774894379501</v>
      </c>
      <c r="P1204" s="12">
        <v>0.83771085603905049</v>
      </c>
      <c r="Q1204" s="12">
        <v>0.9148982282141368</v>
      </c>
      <c r="R1204" s="12">
        <v>0.75964294562303403</v>
      </c>
      <c r="S1204" s="12">
        <v>0.64518219749258998</v>
      </c>
      <c r="T1204" s="12">
        <v>0.68274546425089433</v>
      </c>
      <c r="U1204" s="12">
        <v>0.86961280877846703</v>
      </c>
      <c r="V1204" s="12">
        <v>290.56184650880681</v>
      </c>
      <c r="W1204" s="12"/>
      <c r="X1204" s="12"/>
      <c r="Y1204" s="12">
        <v>1450.033290456005</v>
      </c>
      <c r="Z1204" s="12">
        <v>2.2839226069377681</v>
      </c>
      <c r="AA1204" s="12"/>
      <c r="AB1204" s="12"/>
    </row>
    <row r="1205" spans="1:28" x14ac:dyDescent="0.3">
      <c r="A1205" s="12" t="s">
        <v>3112</v>
      </c>
      <c r="B1205" s="12" t="s">
        <v>136</v>
      </c>
      <c r="C1205" s="12" t="s">
        <v>136</v>
      </c>
      <c r="D1205" s="12" t="s">
        <v>137</v>
      </c>
      <c r="E1205" s="12" t="s">
        <v>2978</v>
      </c>
      <c r="F1205" s="12" t="s">
        <v>32</v>
      </c>
      <c r="G1205" s="12" t="s">
        <v>32</v>
      </c>
      <c r="H1205" s="12" t="b">
        <v>1</v>
      </c>
      <c r="I1205" s="12" t="b">
        <v>1</v>
      </c>
      <c r="J1205" s="12" t="b">
        <v>0</v>
      </c>
      <c r="K1205" s="12" t="b">
        <v>0</v>
      </c>
      <c r="L1205" s="12">
        <v>416.51130511398691</v>
      </c>
      <c r="M1205" s="12">
        <v>280.87720791130101</v>
      </c>
      <c r="N1205" s="12">
        <v>2032.2164942189361</v>
      </c>
      <c r="O1205" s="12">
        <v>912.8142076572916</v>
      </c>
      <c r="P1205" s="12">
        <v>0.56705486723843657</v>
      </c>
      <c r="Q1205" s="12">
        <v>0.909963801220393</v>
      </c>
      <c r="R1205" s="12">
        <v>0.77124488356109111</v>
      </c>
      <c r="S1205" s="12">
        <v>0.81969009325014497</v>
      </c>
      <c r="T1205" s="12">
        <v>0.82717520841510173</v>
      </c>
      <c r="U1205" s="12">
        <v>0.94439056201713056</v>
      </c>
      <c r="V1205" s="12">
        <v>280.87720791130101</v>
      </c>
      <c r="W1205" s="12">
        <v>6.1710757202247297</v>
      </c>
      <c r="X1205" s="12">
        <v>53.606330152097328</v>
      </c>
      <c r="Y1205" s="12">
        <v>1119.4022865616439</v>
      </c>
      <c r="Z1205" s="12">
        <v>2.2263199643162368</v>
      </c>
      <c r="AA1205" s="12"/>
      <c r="AB1205" s="12"/>
    </row>
    <row r="1206" spans="1:28" x14ac:dyDescent="0.3">
      <c r="A1206" s="12" t="s">
        <v>3113</v>
      </c>
      <c r="B1206" s="12" t="s">
        <v>136</v>
      </c>
      <c r="C1206" s="12" t="s">
        <v>136</v>
      </c>
      <c r="D1206" s="12" t="s">
        <v>137</v>
      </c>
      <c r="E1206" s="12" t="s">
        <v>2978</v>
      </c>
      <c r="F1206" s="12" t="s">
        <v>1861</v>
      </c>
      <c r="G1206" s="12" t="s">
        <v>1861</v>
      </c>
      <c r="H1206" s="12" t="b">
        <v>1</v>
      </c>
      <c r="I1206" s="12" t="b">
        <v>0</v>
      </c>
      <c r="J1206" s="12" t="b">
        <v>1</v>
      </c>
      <c r="K1206" s="12" t="b">
        <v>0</v>
      </c>
      <c r="L1206" s="12">
        <v>476.7900781576256</v>
      </c>
      <c r="M1206" s="12">
        <v>297.16229893575201</v>
      </c>
      <c r="N1206" s="12">
        <v>4457.1334767294848</v>
      </c>
      <c r="O1206" s="12">
        <v>368.90350075581171</v>
      </c>
      <c r="P1206" s="12">
        <v>0.75775658151363179</v>
      </c>
      <c r="Q1206" s="12">
        <v>0.80291364795363873</v>
      </c>
      <c r="R1206" s="12">
        <v>0.84374913368125926</v>
      </c>
      <c r="S1206" s="12">
        <v>0.84078963844675203</v>
      </c>
      <c r="T1206" s="12">
        <v>0.63540340081915725</v>
      </c>
      <c r="U1206" s="12">
        <v>0.79790908513815695</v>
      </c>
      <c r="V1206" s="12">
        <v>297.16229893575201</v>
      </c>
      <c r="W1206" s="12">
        <v>7.4248902581766503</v>
      </c>
      <c r="X1206" s="12">
        <v>56.500184882139138</v>
      </c>
      <c r="Y1206" s="12">
        <v>4088.2299759736729</v>
      </c>
      <c r="Z1206" s="12">
        <v>12.082112171876069</v>
      </c>
      <c r="AA1206" s="12" t="s">
        <v>1981</v>
      </c>
      <c r="AB1206" s="12"/>
    </row>
    <row r="1207" spans="1:28" x14ac:dyDescent="0.3">
      <c r="A1207" s="12" t="s">
        <v>3114</v>
      </c>
      <c r="B1207" s="12" t="s">
        <v>136</v>
      </c>
      <c r="C1207" s="12" t="s">
        <v>136</v>
      </c>
      <c r="D1207" s="12" t="s">
        <v>137</v>
      </c>
      <c r="E1207" s="12" t="s">
        <v>2978</v>
      </c>
      <c r="F1207" s="12" t="s">
        <v>1861</v>
      </c>
      <c r="G1207" s="12" t="s">
        <v>1861</v>
      </c>
      <c r="H1207" s="12" t="b">
        <v>1</v>
      </c>
      <c r="I1207" s="12" t="b">
        <v>0</v>
      </c>
      <c r="J1207" s="12" t="b">
        <v>1</v>
      </c>
      <c r="K1207" s="12" t="b">
        <v>0</v>
      </c>
      <c r="L1207" s="12">
        <v>475.2505996689697</v>
      </c>
      <c r="M1207" s="12">
        <v>279.53798238000962</v>
      </c>
      <c r="N1207" s="12">
        <v>4875.263783849653</v>
      </c>
      <c r="O1207" s="12">
        <v>547.28992499836443</v>
      </c>
      <c r="P1207" s="12">
        <v>0.81123409585128792</v>
      </c>
      <c r="Q1207" s="12">
        <v>0.79298650196014631</v>
      </c>
      <c r="R1207" s="12">
        <v>0.89735481408571816</v>
      </c>
      <c r="S1207" s="12">
        <v>0.79350947176196851</v>
      </c>
      <c r="T1207" s="12">
        <v>0.61258191651247396</v>
      </c>
      <c r="U1207" s="12">
        <v>0.84821997381306713</v>
      </c>
      <c r="V1207" s="12">
        <v>279.53798238000962</v>
      </c>
      <c r="W1207" s="12">
        <v>16.30022769529829</v>
      </c>
      <c r="X1207" s="12">
        <v>218.56635944542111</v>
      </c>
      <c r="Y1207" s="12">
        <v>4327.9738588512882</v>
      </c>
      <c r="Z1207" s="12">
        <v>8.9080093770485966</v>
      </c>
      <c r="AA1207" s="12" t="s">
        <v>1268</v>
      </c>
      <c r="AB1207" s="12"/>
    </row>
    <row r="1208" spans="1:28" x14ac:dyDescent="0.3">
      <c r="A1208" s="12" t="s">
        <v>3115</v>
      </c>
      <c r="B1208" s="12" t="s">
        <v>136</v>
      </c>
      <c r="C1208" s="12" t="s">
        <v>136</v>
      </c>
      <c r="D1208" s="12" t="s">
        <v>137</v>
      </c>
      <c r="E1208" s="12" t="s">
        <v>2978</v>
      </c>
      <c r="F1208" s="12" t="s">
        <v>1861</v>
      </c>
      <c r="G1208" s="12" t="s">
        <v>1861</v>
      </c>
      <c r="H1208" s="12" t="b">
        <v>1</v>
      </c>
      <c r="I1208" s="12" t="b">
        <v>0</v>
      </c>
      <c r="J1208" s="12" t="b">
        <v>1</v>
      </c>
      <c r="K1208" s="12" t="b">
        <v>0</v>
      </c>
      <c r="L1208" s="12">
        <v>491.98663905865942</v>
      </c>
      <c r="M1208" s="12">
        <v>291.95270085004222</v>
      </c>
      <c r="N1208" s="12">
        <v>3697.4097324261611</v>
      </c>
      <c r="O1208" s="12">
        <v>568.29981551802894</v>
      </c>
      <c r="P1208" s="12">
        <v>0.51299677131383736</v>
      </c>
      <c r="Q1208" s="12">
        <v>0.91950081711863141</v>
      </c>
      <c r="R1208" s="12">
        <v>0.70612462656708797</v>
      </c>
      <c r="S1208" s="12">
        <v>0.88753478572667932</v>
      </c>
      <c r="T1208" s="12">
        <v>0.83565521533139819</v>
      </c>
      <c r="U1208" s="12">
        <v>0.74187222418862098</v>
      </c>
      <c r="V1208" s="12">
        <v>291.95270085004222</v>
      </c>
      <c r="W1208" s="12">
        <v>13.48586694374381</v>
      </c>
      <c r="X1208" s="12">
        <v>217.20212617552701</v>
      </c>
      <c r="Y1208" s="12">
        <v>3129.1099169081322</v>
      </c>
      <c r="Z1208" s="12">
        <v>6.5060899748063763</v>
      </c>
      <c r="AA1208" s="12" t="s">
        <v>1981</v>
      </c>
      <c r="AB1208" s="12"/>
    </row>
    <row r="1209" spans="1:28" x14ac:dyDescent="0.3">
      <c r="A1209" s="12" t="s">
        <v>3116</v>
      </c>
      <c r="B1209" s="12" t="s">
        <v>136</v>
      </c>
      <c r="C1209" s="12" t="s">
        <v>136</v>
      </c>
      <c r="D1209" s="12" t="s">
        <v>137</v>
      </c>
      <c r="E1209" s="12" t="s">
        <v>2978</v>
      </c>
      <c r="F1209" s="12" t="s">
        <v>832</v>
      </c>
      <c r="G1209" s="12" t="s">
        <v>832</v>
      </c>
      <c r="H1209" s="12" t="b">
        <v>0</v>
      </c>
      <c r="I1209" s="12" t="b">
        <v>0</v>
      </c>
      <c r="J1209" s="12" t="b">
        <v>0</v>
      </c>
      <c r="K1209" s="12" t="b">
        <v>0</v>
      </c>
      <c r="L1209" s="12">
        <v>458.96194342513672</v>
      </c>
      <c r="M1209" s="12">
        <v>280.96833556647027</v>
      </c>
      <c r="N1209" s="12">
        <v>2022.172409622757</v>
      </c>
      <c r="O1209" s="12">
        <v>851.25298658896372</v>
      </c>
      <c r="P1209" s="12">
        <v>0.62009164255751259</v>
      </c>
      <c r="Q1209" s="12">
        <v>0.79771993041520073</v>
      </c>
      <c r="R1209" s="12">
        <v>0.70040242943736797</v>
      </c>
      <c r="S1209" s="12">
        <v>0.70218847133018636</v>
      </c>
      <c r="T1209" s="12">
        <v>0.73150313552674129</v>
      </c>
      <c r="U1209" s="12">
        <v>0.82995191115616196</v>
      </c>
      <c r="V1209" s="12">
        <v>280.96833556647027</v>
      </c>
      <c r="W1209" s="12"/>
      <c r="X1209" s="12"/>
      <c r="Y1209" s="12">
        <v>1170.919423033793</v>
      </c>
      <c r="Z1209" s="12">
        <v>2.3755245990099341</v>
      </c>
      <c r="AA1209" s="12"/>
      <c r="AB1209" s="12"/>
    </row>
    <row r="1210" spans="1:28" x14ac:dyDescent="0.3">
      <c r="A1210" s="12" t="s">
        <v>3117</v>
      </c>
      <c r="B1210" s="12" t="s">
        <v>136</v>
      </c>
      <c r="C1210" s="12" t="s">
        <v>136</v>
      </c>
      <c r="D1210" s="12" t="s">
        <v>137</v>
      </c>
      <c r="E1210" s="12" t="s">
        <v>2978</v>
      </c>
      <c r="F1210" s="12" t="s">
        <v>1861</v>
      </c>
      <c r="G1210" s="12" t="s">
        <v>1861</v>
      </c>
      <c r="H1210" s="12" t="b">
        <v>1</v>
      </c>
      <c r="I1210" s="12" t="b">
        <v>0</v>
      </c>
      <c r="J1210" s="12" t="b">
        <v>1</v>
      </c>
      <c r="K1210" s="12" t="b">
        <v>0</v>
      </c>
      <c r="L1210" s="12">
        <v>469.28136643361449</v>
      </c>
      <c r="M1210" s="12">
        <v>290.40306143723768</v>
      </c>
      <c r="N1210" s="12">
        <v>3458.207296458289</v>
      </c>
      <c r="O1210" s="12">
        <v>702.24433246413651</v>
      </c>
      <c r="P1210" s="12">
        <v>0.68879643124317225</v>
      </c>
      <c r="Q1210" s="12">
        <v>0.86510721718699313</v>
      </c>
      <c r="R1210" s="12">
        <v>0.83291909585788848</v>
      </c>
      <c r="S1210" s="12">
        <v>0.8672773086401192</v>
      </c>
      <c r="T1210" s="12">
        <v>0.64001888850659661</v>
      </c>
      <c r="U1210" s="12">
        <v>0.89008953196016005</v>
      </c>
      <c r="V1210" s="12">
        <v>290.40306143723768</v>
      </c>
      <c r="W1210" s="12">
        <v>12.440247174065419</v>
      </c>
      <c r="X1210" s="12">
        <v>203.64883797535299</v>
      </c>
      <c r="Y1210" s="12">
        <v>2755.9629639941518</v>
      </c>
      <c r="Z1210" s="12">
        <v>4.9245072357132891</v>
      </c>
      <c r="AA1210" s="12" t="s">
        <v>1268</v>
      </c>
      <c r="AB1210" s="12"/>
    </row>
    <row r="1211" spans="1:28" x14ac:dyDescent="0.3">
      <c r="A1211" s="12" t="s">
        <v>3118</v>
      </c>
      <c r="B1211" s="12" t="s">
        <v>136</v>
      </c>
      <c r="C1211" s="12" t="s">
        <v>136</v>
      </c>
      <c r="D1211" s="12" t="s">
        <v>137</v>
      </c>
      <c r="E1211" s="12" t="s">
        <v>2978</v>
      </c>
      <c r="F1211" s="12" t="s">
        <v>1861</v>
      </c>
      <c r="G1211" s="12" t="s">
        <v>1861</v>
      </c>
      <c r="H1211" s="12" t="b">
        <v>1</v>
      </c>
      <c r="I1211" s="12" t="b">
        <v>0</v>
      </c>
      <c r="J1211" s="12" t="b">
        <v>1</v>
      </c>
      <c r="K1211" s="12" t="b">
        <v>0</v>
      </c>
      <c r="L1211" s="12">
        <v>451.11686041368552</v>
      </c>
      <c r="M1211" s="12">
        <v>289.27700892175068</v>
      </c>
      <c r="N1211" s="12">
        <v>4210.6480852472496</v>
      </c>
      <c r="O1211" s="12">
        <v>952.67903674035483</v>
      </c>
      <c r="P1211" s="12">
        <v>0.78365896926547363</v>
      </c>
      <c r="Q1211" s="12">
        <v>0.8755358751158604</v>
      </c>
      <c r="R1211" s="12">
        <v>0.68749882735014833</v>
      </c>
      <c r="S1211" s="12">
        <v>0.83487459588311708</v>
      </c>
      <c r="T1211" s="12">
        <v>0.88535625904330995</v>
      </c>
      <c r="U1211" s="12">
        <v>0.83158419655345861</v>
      </c>
      <c r="V1211" s="12">
        <v>289.27700892175068</v>
      </c>
      <c r="W1211" s="12">
        <v>12.939237508795021</v>
      </c>
      <c r="X1211" s="12">
        <v>168.12100861687381</v>
      </c>
      <c r="Y1211" s="12">
        <v>3257.9690485068959</v>
      </c>
      <c r="Z1211" s="12">
        <v>4.4197971434893972</v>
      </c>
      <c r="AA1211" s="12" t="s">
        <v>1268</v>
      </c>
      <c r="AB1211" s="12"/>
    </row>
    <row r="1212" spans="1:28" x14ac:dyDescent="0.3">
      <c r="A1212" s="12" t="s">
        <v>3119</v>
      </c>
      <c r="B1212" s="12" t="s">
        <v>136</v>
      </c>
      <c r="C1212" s="12" t="s">
        <v>136</v>
      </c>
      <c r="D1212" s="12" t="s">
        <v>137</v>
      </c>
      <c r="E1212" s="12" t="s">
        <v>2978</v>
      </c>
      <c r="F1212" s="12" t="s">
        <v>1861</v>
      </c>
      <c r="G1212" s="12" t="s">
        <v>1861</v>
      </c>
      <c r="H1212" s="12" t="b">
        <v>1</v>
      </c>
      <c r="I1212" s="12" t="b">
        <v>0</v>
      </c>
      <c r="J1212" s="12" t="b">
        <v>1</v>
      </c>
      <c r="K1212" s="12" t="b">
        <v>0</v>
      </c>
      <c r="L1212" s="12">
        <v>463.5521844770484</v>
      </c>
      <c r="M1212" s="12">
        <v>300.81680857469678</v>
      </c>
      <c r="N1212" s="12">
        <v>4416.5759146917608</v>
      </c>
      <c r="O1212" s="12">
        <v>566.94828673631537</v>
      </c>
      <c r="P1212" s="12">
        <v>0.62268607702413126</v>
      </c>
      <c r="Q1212" s="12">
        <v>0.81131138156855742</v>
      </c>
      <c r="R1212" s="12">
        <v>0.69344941498837576</v>
      </c>
      <c r="S1212" s="12">
        <v>0.69211028297484944</v>
      </c>
      <c r="T1212" s="12">
        <v>0.8246836317309969</v>
      </c>
      <c r="U1212" s="12">
        <v>0.74908367993983371</v>
      </c>
      <c r="V1212" s="12">
        <v>300.81680857469678</v>
      </c>
      <c r="W1212" s="12">
        <v>12.88716556625706</v>
      </c>
      <c r="X1212" s="12">
        <v>114.2154742357002</v>
      </c>
      <c r="Y1212" s="12">
        <v>3849.627627955445</v>
      </c>
      <c r="Z1212" s="12">
        <v>7.7900860061085018</v>
      </c>
      <c r="AA1212" s="12" t="s">
        <v>1268</v>
      </c>
      <c r="AB1212" s="12"/>
    </row>
    <row r="1213" spans="1:28" x14ac:dyDescent="0.3">
      <c r="A1213" s="12" t="s">
        <v>3120</v>
      </c>
      <c r="B1213" s="12" t="s">
        <v>136</v>
      </c>
      <c r="C1213" s="12" t="s">
        <v>136</v>
      </c>
      <c r="D1213" s="12" t="s">
        <v>137</v>
      </c>
      <c r="E1213" s="12" t="s">
        <v>2978</v>
      </c>
      <c r="F1213" s="12" t="s">
        <v>1861</v>
      </c>
      <c r="G1213" s="12" t="s">
        <v>1861</v>
      </c>
      <c r="H1213" s="12" t="b">
        <v>1</v>
      </c>
      <c r="I1213" s="12" t="b">
        <v>0</v>
      </c>
      <c r="J1213" s="12" t="b">
        <v>0</v>
      </c>
      <c r="K1213" s="12" t="b">
        <v>0</v>
      </c>
      <c r="L1213" s="12">
        <v>493.26493186376371</v>
      </c>
      <c r="M1213" s="12">
        <v>286.2445643440762</v>
      </c>
      <c r="N1213" s="12">
        <v>3742.291748310171</v>
      </c>
      <c r="O1213" s="12">
        <v>1413.2793064047571</v>
      </c>
      <c r="P1213" s="12">
        <v>0.83836061279561758</v>
      </c>
      <c r="Q1213" s="12">
        <v>0.91208331827229561</v>
      </c>
      <c r="R1213" s="12">
        <v>0.67445344807527219</v>
      </c>
      <c r="S1213" s="12">
        <v>0.60556542995339679</v>
      </c>
      <c r="T1213" s="12">
        <v>0.60097311873103787</v>
      </c>
      <c r="U1213" s="12">
        <v>0.75378385338709508</v>
      </c>
      <c r="V1213" s="12">
        <v>286.2445643440762</v>
      </c>
      <c r="W1213" s="12">
        <v>9.5310409742169107</v>
      </c>
      <c r="X1213" s="12">
        <v>93.422814882515766</v>
      </c>
      <c r="Y1213" s="12">
        <v>2329.0124419054141</v>
      </c>
      <c r="Z1213" s="12">
        <v>2.647949157219454</v>
      </c>
      <c r="AA1213" s="12" t="s">
        <v>1268</v>
      </c>
      <c r="AB1213" s="12"/>
    </row>
    <row r="1214" spans="1:28" x14ac:dyDescent="0.3">
      <c r="A1214" s="12" t="s">
        <v>3121</v>
      </c>
      <c r="B1214" s="12" t="s">
        <v>136</v>
      </c>
      <c r="C1214" s="12" t="s">
        <v>136</v>
      </c>
      <c r="D1214" s="12" t="s">
        <v>137</v>
      </c>
      <c r="E1214" s="12" t="s">
        <v>2978</v>
      </c>
      <c r="F1214" s="12" t="s">
        <v>1861</v>
      </c>
      <c r="G1214" s="12" t="s">
        <v>1861</v>
      </c>
      <c r="H1214" s="12" t="b">
        <v>1</v>
      </c>
      <c r="I1214" s="12" t="b">
        <v>0</v>
      </c>
      <c r="J1214" s="12" t="b">
        <v>1</v>
      </c>
      <c r="K1214" s="12" t="b">
        <v>0</v>
      </c>
      <c r="L1214" s="12">
        <v>476.27458675497491</v>
      </c>
      <c r="M1214" s="12">
        <v>289.41154468248908</v>
      </c>
      <c r="N1214" s="12">
        <v>2878.0641233489009</v>
      </c>
      <c r="O1214" s="12">
        <v>410.51752020458798</v>
      </c>
      <c r="P1214" s="12">
        <v>0.7214007806199999</v>
      </c>
      <c r="Q1214" s="12">
        <v>0.86594524229317049</v>
      </c>
      <c r="R1214" s="12">
        <v>0.77051591065109826</v>
      </c>
      <c r="S1214" s="12">
        <v>0.6951904466992288</v>
      </c>
      <c r="T1214" s="12">
        <v>0.93644954479765963</v>
      </c>
      <c r="U1214" s="12">
        <v>0.80442557636948564</v>
      </c>
      <c r="V1214" s="12">
        <v>289.41154468248908</v>
      </c>
      <c r="W1214" s="12">
        <v>11.557145062070481</v>
      </c>
      <c r="X1214" s="12">
        <v>113.4201534403619</v>
      </c>
      <c r="Y1214" s="12">
        <v>2467.5466031443129</v>
      </c>
      <c r="Z1214" s="12">
        <v>7.0108192262161477</v>
      </c>
      <c r="AA1214" s="12" t="s">
        <v>1268</v>
      </c>
      <c r="AB1214" s="12"/>
    </row>
    <row r="1215" spans="1:28" x14ac:dyDescent="0.3">
      <c r="A1215" s="12" t="s">
        <v>3122</v>
      </c>
      <c r="B1215" s="12" t="s">
        <v>136</v>
      </c>
      <c r="C1215" s="12" t="s">
        <v>136</v>
      </c>
      <c r="D1215" s="12" t="s">
        <v>137</v>
      </c>
      <c r="E1215" s="12" t="s">
        <v>2978</v>
      </c>
      <c r="F1215" s="12" t="s">
        <v>32</v>
      </c>
      <c r="G1215" s="12" t="s">
        <v>32</v>
      </c>
      <c r="H1215" s="12" t="b">
        <v>1</v>
      </c>
      <c r="I1215" s="12" t="b">
        <v>0</v>
      </c>
      <c r="J1215" s="12" t="b">
        <v>1</v>
      </c>
      <c r="K1215" s="12" t="b">
        <v>0</v>
      </c>
      <c r="L1215" s="12">
        <v>456.67389397981287</v>
      </c>
      <c r="M1215" s="12">
        <v>302.3237170373859</v>
      </c>
      <c r="N1215" s="12">
        <v>4835.6491750485166</v>
      </c>
      <c r="O1215" s="12">
        <v>1403.6587964200589</v>
      </c>
      <c r="P1215" s="12">
        <v>0.52429752892687709</v>
      </c>
      <c r="Q1215" s="12">
        <v>0.80389464636451347</v>
      </c>
      <c r="R1215" s="12">
        <v>0.72145942930883356</v>
      </c>
      <c r="S1215" s="12">
        <v>0.75135615845304093</v>
      </c>
      <c r="T1215" s="12">
        <v>0.9389302087151592</v>
      </c>
      <c r="U1215" s="12">
        <v>0.74143121179559601</v>
      </c>
      <c r="V1215" s="12">
        <v>302.3237170373859</v>
      </c>
      <c r="W1215" s="12">
        <v>8.8629398133152009</v>
      </c>
      <c r="X1215" s="12">
        <v>52.051443163030513</v>
      </c>
      <c r="Y1215" s="12">
        <v>3431.9903786284581</v>
      </c>
      <c r="Z1215" s="12">
        <v>3.445031789336217</v>
      </c>
      <c r="AA1215" s="12"/>
      <c r="AB1215" s="12"/>
    </row>
    <row r="1216" spans="1:28" x14ac:dyDescent="0.3">
      <c r="A1216" s="12" t="s">
        <v>3123</v>
      </c>
      <c r="B1216" s="12" t="s">
        <v>136</v>
      </c>
      <c r="C1216" s="12" t="s">
        <v>136</v>
      </c>
      <c r="D1216" s="12" t="s">
        <v>137</v>
      </c>
      <c r="E1216" s="12" t="s">
        <v>2978</v>
      </c>
      <c r="F1216" s="12" t="s">
        <v>1861</v>
      </c>
      <c r="G1216" s="12" t="s">
        <v>1861</v>
      </c>
      <c r="H1216" s="12" t="b">
        <v>1</v>
      </c>
      <c r="I1216" s="12" t="b">
        <v>0</v>
      </c>
      <c r="J1216" s="12" t="b">
        <v>0</v>
      </c>
      <c r="K1216" s="12" t="b">
        <v>0</v>
      </c>
      <c r="L1216" s="12">
        <v>411.00393309059041</v>
      </c>
      <c r="M1216" s="12">
        <v>295.0965464724693</v>
      </c>
      <c r="N1216" s="12">
        <v>4049.1428201733061</v>
      </c>
      <c r="O1216" s="12">
        <v>942.98083881707078</v>
      </c>
      <c r="P1216" s="12">
        <v>0.7149155642590479</v>
      </c>
      <c r="Q1216" s="12">
        <v>0.76664150489205229</v>
      </c>
      <c r="R1216" s="12">
        <v>0.69714069061336681</v>
      </c>
      <c r="S1216" s="12">
        <v>0.68688562160482192</v>
      </c>
      <c r="T1216" s="12">
        <v>0.62315837578961575</v>
      </c>
      <c r="U1216" s="12">
        <v>0.89098289754106885</v>
      </c>
      <c r="V1216" s="12">
        <v>295.0965464724693</v>
      </c>
      <c r="W1216" s="12">
        <v>8.7973123882921094</v>
      </c>
      <c r="X1216" s="12">
        <v>52.845949063597928</v>
      </c>
      <c r="Y1216" s="12">
        <v>3106.1619813562352</v>
      </c>
      <c r="Z1216" s="12">
        <v>4.2939820762983718</v>
      </c>
      <c r="AA1216" s="12" t="s">
        <v>1268</v>
      </c>
      <c r="AB1216" s="12"/>
    </row>
    <row r="1217" spans="1:28" x14ac:dyDescent="0.3">
      <c r="A1217" s="12" t="s">
        <v>3124</v>
      </c>
      <c r="B1217" s="12" t="s">
        <v>136</v>
      </c>
      <c r="C1217" s="12" t="s">
        <v>136</v>
      </c>
      <c r="D1217" s="12" t="s">
        <v>137</v>
      </c>
      <c r="E1217" s="12" t="s">
        <v>2978</v>
      </c>
      <c r="F1217" s="12" t="s">
        <v>1861</v>
      </c>
      <c r="G1217" s="12" t="s">
        <v>1861</v>
      </c>
      <c r="H1217" s="12" t="b">
        <v>1</v>
      </c>
      <c r="I1217" s="12" t="b">
        <v>0</v>
      </c>
      <c r="J1217" s="12" t="b">
        <v>1</v>
      </c>
      <c r="K1217" s="12" t="b">
        <v>0</v>
      </c>
      <c r="L1217" s="12">
        <v>478.4021881569368</v>
      </c>
      <c r="M1217" s="12">
        <v>296.93085094084972</v>
      </c>
      <c r="N1217" s="12">
        <v>2048.6779538172118</v>
      </c>
      <c r="O1217" s="12">
        <v>717.88686396880337</v>
      </c>
      <c r="P1217" s="12">
        <v>0.68063733094861834</v>
      </c>
      <c r="Q1217" s="12">
        <v>0.90121674796503515</v>
      </c>
      <c r="R1217" s="12">
        <v>0.73165430163970269</v>
      </c>
      <c r="S1217" s="12">
        <v>0.92730628498191481</v>
      </c>
      <c r="T1217" s="12">
        <v>0.74660959954765305</v>
      </c>
      <c r="U1217" s="12">
        <v>0.82116389744075635</v>
      </c>
      <c r="V1217" s="12">
        <v>296.93085094084972</v>
      </c>
      <c r="W1217" s="12">
        <v>7.9624941946966592</v>
      </c>
      <c r="X1217" s="12">
        <v>132.37957886819009</v>
      </c>
      <c r="Y1217" s="12">
        <v>1330.7910898484081</v>
      </c>
      <c r="Z1217" s="12">
        <v>2.8537615836723811</v>
      </c>
      <c r="AA1217" s="12" t="s">
        <v>1268</v>
      </c>
      <c r="AB1217" s="12"/>
    </row>
    <row r="1218" spans="1:28" x14ac:dyDescent="0.3">
      <c r="A1218" s="12" t="s">
        <v>3125</v>
      </c>
      <c r="B1218" s="12" t="s">
        <v>136</v>
      </c>
      <c r="C1218" s="12" t="s">
        <v>136</v>
      </c>
      <c r="D1218" s="12" t="s">
        <v>137</v>
      </c>
      <c r="E1218" s="12" t="s">
        <v>2978</v>
      </c>
      <c r="F1218" s="12" t="s">
        <v>32</v>
      </c>
      <c r="G1218" s="12" t="s">
        <v>32</v>
      </c>
      <c r="H1218" s="12" t="b">
        <v>1</v>
      </c>
      <c r="I1218" s="12" t="b">
        <v>1</v>
      </c>
      <c r="J1218" s="12" t="b">
        <v>0</v>
      </c>
      <c r="K1218" s="12" t="b">
        <v>0</v>
      </c>
      <c r="L1218" s="12">
        <v>421.7380440711633</v>
      </c>
      <c r="M1218" s="12">
        <v>279.94926157902341</v>
      </c>
      <c r="N1218" s="12">
        <v>3500.262718794284</v>
      </c>
      <c r="O1218" s="12">
        <v>1263.6062808013539</v>
      </c>
      <c r="P1218" s="12">
        <v>0.54167721161661686</v>
      </c>
      <c r="Q1218" s="12">
        <v>0.81030959304680417</v>
      </c>
      <c r="R1218" s="12">
        <v>0.67144183093903309</v>
      </c>
      <c r="S1218" s="12">
        <v>0.82742474159389334</v>
      </c>
      <c r="T1218" s="12">
        <v>0.92276086983462624</v>
      </c>
      <c r="U1218" s="12">
        <v>0.73973386165475241</v>
      </c>
      <c r="V1218" s="12">
        <v>279.94926157902341</v>
      </c>
      <c r="W1218" s="12">
        <v>6.92338300785286</v>
      </c>
      <c r="X1218" s="12">
        <v>33.401715587323203</v>
      </c>
      <c r="Y1218" s="12">
        <v>2236.65643799293</v>
      </c>
      <c r="Z1218" s="12">
        <v>2.7700580251741762</v>
      </c>
      <c r="AA1218" s="12"/>
      <c r="AB1218" s="12"/>
    </row>
    <row r="1219" spans="1:28" x14ac:dyDescent="0.3">
      <c r="A1219" s="12" t="s">
        <v>3126</v>
      </c>
      <c r="B1219" s="12" t="s">
        <v>136</v>
      </c>
      <c r="C1219" s="12" t="s">
        <v>136</v>
      </c>
      <c r="D1219" s="12" t="s">
        <v>137</v>
      </c>
      <c r="E1219" s="12" t="s">
        <v>2978</v>
      </c>
      <c r="F1219" s="12" t="s">
        <v>32</v>
      </c>
      <c r="G1219" s="12" t="s">
        <v>32</v>
      </c>
      <c r="H1219" s="12" t="b">
        <v>1</v>
      </c>
      <c r="I1219" s="12" t="b">
        <v>1</v>
      </c>
      <c r="J1219" s="12" t="b">
        <v>0</v>
      </c>
      <c r="K1219" s="12" t="b">
        <v>0</v>
      </c>
      <c r="L1219" s="12">
        <v>428.03338804507189</v>
      </c>
      <c r="M1219" s="12">
        <v>296.00355604669278</v>
      </c>
      <c r="N1219" s="12">
        <v>4127.8924198258019</v>
      </c>
      <c r="O1219" s="12">
        <v>882.80640309614409</v>
      </c>
      <c r="P1219" s="12">
        <v>0.67154196303888603</v>
      </c>
      <c r="Q1219" s="12">
        <v>0.77105226930905069</v>
      </c>
      <c r="R1219" s="12">
        <v>0.80727380150496475</v>
      </c>
      <c r="S1219" s="12">
        <v>0.78893858966403618</v>
      </c>
      <c r="T1219" s="12">
        <v>0.91247702367173222</v>
      </c>
      <c r="U1219" s="12">
        <v>0.93190774333421</v>
      </c>
      <c r="V1219" s="12">
        <v>296.00355604669278</v>
      </c>
      <c r="W1219" s="12">
        <v>10.848306878190821</v>
      </c>
      <c r="X1219" s="12">
        <v>80.104600216968848</v>
      </c>
      <c r="Y1219" s="12">
        <v>3245.0860167296578</v>
      </c>
      <c r="Z1219" s="12">
        <v>4.6758750336977837</v>
      </c>
      <c r="AA1219" s="12"/>
      <c r="AB1219" s="12"/>
    </row>
    <row r="1220" spans="1:28" x14ac:dyDescent="0.3">
      <c r="A1220" s="12" t="s">
        <v>3127</v>
      </c>
      <c r="B1220" s="12" t="s">
        <v>136</v>
      </c>
      <c r="C1220" s="12" t="s">
        <v>136</v>
      </c>
      <c r="D1220" s="12" t="s">
        <v>137</v>
      </c>
      <c r="E1220" s="12" t="s">
        <v>2978</v>
      </c>
      <c r="F1220" s="12" t="s">
        <v>1861</v>
      </c>
      <c r="G1220" s="12" t="s">
        <v>1861</v>
      </c>
      <c r="H1220" s="12" t="b">
        <v>1</v>
      </c>
      <c r="I1220" s="12" t="b">
        <v>0</v>
      </c>
      <c r="J1220" s="12" t="b">
        <v>0</v>
      </c>
      <c r="K1220" s="12" t="b">
        <v>0</v>
      </c>
      <c r="L1220" s="12">
        <v>404.4821729889797</v>
      </c>
      <c r="M1220" s="12">
        <v>292.71593371609367</v>
      </c>
      <c r="N1220" s="12">
        <v>2531.4728399985038</v>
      </c>
      <c r="O1220" s="12">
        <v>581.28401561413625</v>
      </c>
      <c r="P1220" s="12">
        <v>0.67362752221366029</v>
      </c>
      <c r="Q1220" s="12">
        <v>0.78720112707984824</v>
      </c>
      <c r="R1220" s="12">
        <v>0.85565473229479061</v>
      </c>
      <c r="S1220" s="12">
        <v>0.87779909110300935</v>
      </c>
      <c r="T1220" s="12">
        <v>0.70136531056637652</v>
      </c>
      <c r="U1220" s="12">
        <v>0.92320578602576497</v>
      </c>
      <c r="V1220" s="12">
        <v>292.71593371609367</v>
      </c>
      <c r="W1220" s="12">
        <v>10.33726863921205</v>
      </c>
      <c r="X1220" s="12">
        <v>87.8426257649337</v>
      </c>
      <c r="Y1220" s="12">
        <v>1950.188824384368</v>
      </c>
      <c r="Z1220" s="12">
        <v>4.3549672311631697</v>
      </c>
      <c r="AA1220" s="12" t="s">
        <v>1268</v>
      </c>
      <c r="AB1220" s="12"/>
    </row>
    <row r="1221" spans="1:28" x14ac:dyDescent="0.3">
      <c r="A1221" s="12" t="s">
        <v>3128</v>
      </c>
      <c r="B1221" s="12" t="s">
        <v>136</v>
      </c>
      <c r="C1221" s="12" t="s">
        <v>136</v>
      </c>
      <c r="D1221" s="12" t="s">
        <v>137</v>
      </c>
      <c r="E1221" s="12" t="s">
        <v>2978</v>
      </c>
      <c r="F1221" s="12" t="s">
        <v>1861</v>
      </c>
      <c r="G1221" s="12" t="s">
        <v>1861</v>
      </c>
      <c r="H1221" s="12" t="b">
        <v>1</v>
      </c>
      <c r="I1221" s="12" t="b">
        <v>0</v>
      </c>
      <c r="J1221" s="12" t="b">
        <v>1</v>
      </c>
      <c r="K1221" s="12" t="b">
        <v>0</v>
      </c>
      <c r="L1221" s="12">
        <v>499.94094978061048</v>
      </c>
      <c r="M1221" s="12">
        <v>284.46135472055681</v>
      </c>
      <c r="N1221" s="12">
        <v>3238.2629523563542</v>
      </c>
      <c r="O1221" s="12">
        <v>1013.429226631598</v>
      </c>
      <c r="P1221" s="12">
        <v>0.54622266994522184</v>
      </c>
      <c r="Q1221" s="12">
        <v>0.91499101495914559</v>
      </c>
      <c r="R1221" s="12">
        <v>0.68441566735484072</v>
      </c>
      <c r="S1221" s="12">
        <v>0.9129861528748624</v>
      </c>
      <c r="T1221" s="12">
        <v>0.80980202949654845</v>
      </c>
      <c r="U1221" s="12">
        <v>0.71688211294336579</v>
      </c>
      <c r="V1221" s="12">
        <v>284.46135472055681</v>
      </c>
      <c r="W1221" s="12">
        <v>8.5727733649077908</v>
      </c>
      <c r="X1221" s="12">
        <v>139.31091754908371</v>
      </c>
      <c r="Y1221" s="12">
        <v>2224.8337257247558</v>
      </c>
      <c r="Z1221" s="12">
        <v>3.1953518482189249</v>
      </c>
      <c r="AA1221" s="12" t="s">
        <v>1268</v>
      </c>
      <c r="AB1221" s="12"/>
    </row>
    <row r="1222" spans="1:28" x14ac:dyDescent="0.3">
      <c r="A1222" s="12" t="s">
        <v>3129</v>
      </c>
      <c r="B1222" s="12" t="s">
        <v>136</v>
      </c>
      <c r="C1222" s="12" t="s">
        <v>136</v>
      </c>
      <c r="D1222" s="12" t="s">
        <v>137</v>
      </c>
      <c r="E1222" s="12" t="s">
        <v>2978</v>
      </c>
      <c r="F1222" s="12" t="s">
        <v>1861</v>
      </c>
      <c r="G1222" s="12" t="s">
        <v>1861</v>
      </c>
      <c r="H1222" s="12" t="b">
        <v>1</v>
      </c>
      <c r="I1222" s="12" t="b">
        <v>0</v>
      </c>
      <c r="J1222" s="12" t="b">
        <v>1</v>
      </c>
      <c r="K1222" s="12" t="b">
        <v>0</v>
      </c>
      <c r="L1222" s="12">
        <v>495.4081364199327</v>
      </c>
      <c r="M1222" s="12">
        <v>280.77172285222088</v>
      </c>
      <c r="N1222" s="12">
        <v>4817.7756322021942</v>
      </c>
      <c r="O1222" s="12">
        <v>1002.139181562782</v>
      </c>
      <c r="P1222" s="12">
        <v>0.74610663806741073</v>
      </c>
      <c r="Q1222" s="12">
        <v>0.88365072367917796</v>
      </c>
      <c r="R1222" s="12">
        <v>0.80295816985097057</v>
      </c>
      <c r="S1222" s="12">
        <v>0.76402765856566712</v>
      </c>
      <c r="T1222" s="12">
        <v>0.83391461391217692</v>
      </c>
      <c r="U1222" s="12">
        <v>0.7208655934775472</v>
      </c>
      <c r="V1222" s="12">
        <v>280.77172285222088</v>
      </c>
      <c r="W1222" s="12">
        <v>13.21010625807215</v>
      </c>
      <c r="X1222" s="12">
        <v>162.92808873914541</v>
      </c>
      <c r="Y1222" s="12">
        <v>3815.6364506394129</v>
      </c>
      <c r="Z1222" s="12">
        <v>4.8074915349474061</v>
      </c>
      <c r="AA1222" s="12" t="s">
        <v>1268</v>
      </c>
      <c r="AB1222" s="12"/>
    </row>
    <row r="1223" spans="1:28" x14ac:dyDescent="0.3">
      <c r="A1223" s="12" t="s">
        <v>3130</v>
      </c>
      <c r="B1223" s="12" t="s">
        <v>136</v>
      </c>
      <c r="C1223" s="12" t="s">
        <v>136</v>
      </c>
      <c r="D1223" s="12" t="s">
        <v>137</v>
      </c>
      <c r="E1223" s="12" t="s">
        <v>2978</v>
      </c>
      <c r="F1223" s="12" t="s">
        <v>1861</v>
      </c>
      <c r="G1223" s="12" t="s">
        <v>1861</v>
      </c>
      <c r="H1223" s="12" t="b">
        <v>1</v>
      </c>
      <c r="I1223" s="12" t="b">
        <v>0</v>
      </c>
      <c r="J1223" s="12" t="b">
        <v>0</v>
      </c>
      <c r="K1223" s="12" t="b">
        <v>0</v>
      </c>
      <c r="L1223" s="12">
        <v>427.11795306341662</v>
      </c>
      <c r="M1223" s="12">
        <v>290.85395726436928</v>
      </c>
      <c r="N1223" s="12">
        <v>3808.0493928152732</v>
      </c>
      <c r="O1223" s="12">
        <v>1021.9229607726249</v>
      </c>
      <c r="P1223" s="12">
        <v>0.59144942968123093</v>
      </c>
      <c r="Q1223" s="12">
        <v>0.75506118686038293</v>
      </c>
      <c r="R1223" s="12">
        <v>0.78878088559630621</v>
      </c>
      <c r="S1223" s="12">
        <v>0.67575770403451929</v>
      </c>
      <c r="T1223" s="12">
        <v>0.61064541409075324</v>
      </c>
      <c r="U1223" s="12">
        <v>0.76108376716996806</v>
      </c>
      <c r="V1223" s="12">
        <v>290.85395726436928</v>
      </c>
      <c r="W1223" s="12">
        <v>7.4488510368230898</v>
      </c>
      <c r="X1223" s="12">
        <v>40.77028443975999</v>
      </c>
      <c r="Y1223" s="12">
        <v>2786.126432042648</v>
      </c>
      <c r="Z1223" s="12">
        <v>3.7263566227499139</v>
      </c>
      <c r="AA1223" s="12" t="s">
        <v>1268</v>
      </c>
      <c r="AB1223" s="12"/>
    </row>
    <row r="1224" spans="1:28" x14ac:dyDescent="0.3">
      <c r="A1224" s="12" t="s">
        <v>3131</v>
      </c>
      <c r="B1224" s="12" t="s">
        <v>136</v>
      </c>
      <c r="C1224" s="12" t="s">
        <v>136</v>
      </c>
      <c r="D1224" s="12" t="s">
        <v>137</v>
      </c>
      <c r="E1224" s="12" t="s">
        <v>2978</v>
      </c>
      <c r="F1224" s="12" t="s">
        <v>32</v>
      </c>
      <c r="G1224" s="12" t="s">
        <v>32</v>
      </c>
      <c r="H1224" s="12" t="b">
        <v>1</v>
      </c>
      <c r="I1224" s="12" t="b">
        <v>0</v>
      </c>
      <c r="J1224" s="12" t="b">
        <v>1</v>
      </c>
      <c r="K1224" s="12" t="b">
        <v>0</v>
      </c>
      <c r="L1224" s="12">
        <v>441.06889180047432</v>
      </c>
      <c r="M1224" s="12">
        <v>292.12589848934971</v>
      </c>
      <c r="N1224" s="12">
        <v>3213.4260138138861</v>
      </c>
      <c r="O1224" s="12">
        <v>607.32915360145648</v>
      </c>
      <c r="P1224" s="12">
        <v>0.53951044400681569</v>
      </c>
      <c r="Q1224" s="12">
        <v>0.81601240090633231</v>
      </c>
      <c r="R1224" s="12">
        <v>0.66376147712183364</v>
      </c>
      <c r="S1224" s="12">
        <v>0.75638087082998451</v>
      </c>
      <c r="T1224" s="12">
        <v>0.84012794816685066</v>
      </c>
      <c r="U1224" s="12">
        <v>0.94598246425027399</v>
      </c>
      <c r="V1224" s="12">
        <v>292.12589848934971</v>
      </c>
      <c r="W1224" s="12">
        <v>10.76823832632847</v>
      </c>
      <c r="X1224" s="12">
        <v>85.075120221287392</v>
      </c>
      <c r="Y1224" s="12">
        <v>2606.096860212429</v>
      </c>
      <c r="Z1224" s="12">
        <v>5.2910781489054139</v>
      </c>
      <c r="AA1224" s="12"/>
      <c r="AB1224" s="12"/>
    </row>
    <row r="1225" spans="1:28" x14ac:dyDescent="0.3">
      <c r="A1225" s="12" t="s">
        <v>3132</v>
      </c>
      <c r="B1225" s="12" t="s">
        <v>136</v>
      </c>
      <c r="C1225" s="12" t="s">
        <v>136</v>
      </c>
      <c r="D1225" s="12" t="s">
        <v>137</v>
      </c>
      <c r="E1225" s="12" t="s">
        <v>2978</v>
      </c>
      <c r="F1225" s="12" t="s">
        <v>1861</v>
      </c>
      <c r="G1225" s="12" t="s">
        <v>1861</v>
      </c>
      <c r="H1225" s="12" t="b">
        <v>1</v>
      </c>
      <c r="I1225" s="12" t="b">
        <v>0</v>
      </c>
      <c r="J1225" s="12" t="b">
        <v>0</v>
      </c>
      <c r="K1225" s="12" t="b">
        <v>0</v>
      </c>
      <c r="L1225" s="12">
        <v>411.88476707567509</v>
      </c>
      <c r="M1225" s="12">
        <v>303.1225051543633</v>
      </c>
      <c r="N1225" s="12">
        <v>3155.2021448280411</v>
      </c>
      <c r="O1225" s="12">
        <v>1068.7287212292019</v>
      </c>
      <c r="P1225" s="12">
        <v>0.60771298564871301</v>
      </c>
      <c r="Q1225" s="12">
        <v>0.91631624526540423</v>
      </c>
      <c r="R1225" s="12">
        <v>0.75786121364162207</v>
      </c>
      <c r="S1225" s="12">
        <v>0.92161534968492365</v>
      </c>
      <c r="T1225" s="12">
        <v>0.76761364635198936</v>
      </c>
      <c r="U1225" s="12">
        <v>0.74963912312184089</v>
      </c>
      <c r="V1225" s="12">
        <v>303.1225051543633</v>
      </c>
      <c r="W1225" s="12">
        <v>9.3123938269650495</v>
      </c>
      <c r="X1225" s="12">
        <v>57.072047366355058</v>
      </c>
      <c r="Y1225" s="12">
        <v>2086.473423598839</v>
      </c>
      <c r="Z1225" s="12">
        <v>2.9522947050576822</v>
      </c>
      <c r="AA1225" s="12" t="s">
        <v>1268</v>
      </c>
      <c r="AB1225" s="12"/>
    </row>
    <row r="1226" spans="1:28" x14ac:dyDescent="0.3">
      <c r="A1226" s="12" t="s">
        <v>3133</v>
      </c>
      <c r="B1226" s="12" t="s">
        <v>136</v>
      </c>
      <c r="C1226" s="12" t="s">
        <v>136</v>
      </c>
      <c r="D1226" s="12" t="s">
        <v>137</v>
      </c>
      <c r="E1226" s="12" t="s">
        <v>2978</v>
      </c>
      <c r="F1226" s="12" t="s">
        <v>1862</v>
      </c>
      <c r="G1226" s="12" t="s">
        <v>1862</v>
      </c>
      <c r="H1226" s="12" t="b">
        <v>1</v>
      </c>
      <c r="I1226" s="12" t="b">
        <v>0</v>
      </c>
      <c r="J1226" s="12" t="b">
        <v>0</v>
      </c>
      <c r="K1226" s="12" t="b">
        <v>0</v>
      </c>
      <c r="L1226" s="12">
        <v>389.3276004242328</v>
      </c>
      <c r="M1226" s="12">
        <v>289.88900213467429</v>
      </c>
      <c r="N1226" s="12">
        <v>4866.2286470012423</v>
      </c>
      <c r="O1226" s="12">
        <v>463.53699324956199</v>
      </c>
      <c r="P1226" s="12">
        <v>0.75910812757519608</v>
      </c>
      <c r="Q1226" s="12">
        <v>0.88783101298528166</v>
      </c>
      <c r="R1226" s="12">
        <v>0.8539235906834084</v>
      </c>
      <c r="S1226" s="12">
        <v>0.66770159473730784</v>
      </c>
      <c r="T1226" s="12">
        <v>0.83589720822802882</v>
      </c>
      <c r="U1226" s="12">
        <v>0.7553688583192818</v>
      </c>
      <c r="V1226" s="12">
        <v>289.88900213467429</v>
      </c>
      <c r="W1226" s="12">
        <v>-15.864015228245799</v>
      </c>
      <c r="X1226" s="12">
        <v>-27.196512507331079</v>
      </c>
      <c r="Y1226" s="12">
        <v>4402.69165375168</v>
      </c>
      <c r="Z1226" s="12">
        <v>10.4980373041798</v>
      </c>
      <c r="AA1226" s="12" t="s">
        <v>2571</v>
      </c>
      <c r="AB1226" s="12"/>
    </row>
    <row r="1227" spans="1:28" x14ac:dyDescent="0.3">
      <c r="A1227" s="12" t="s">
        <v>3134</v>
      </c>
      <c r="B1227" s="12" t="s">
        <v>136</v>
      </c>
      <c r="C1227" s="12" t="s">
        <v>136</v>
      </c>
      <c r="D1227" s="12" t="s">
        <v>137</v>
      </c>
      <c r="E1227" s="12" t="s">
        <v>2978</v>
      </c>
      <c r="F1227" s="12" t="s">
        <v>1861</v>
      </c>
      <c r="G1227" s="12" t="s">
        <v>1861</v>
      </c>
      <c r="H1227" s="12" t="b">
        <v>1</v>
      </c>
      <c r="I1227" s="12" t="b">
        <v>0</v>
      </c>
      <c r="J1227" s="12" t="b">
        <v>1</v>
      </c>
      <c r="K1227" s="12" t="b">
        <v>0</v>
      </c>
      <c r="L1227" s="12">
        <v>444.38232865178969</v>
      </c>
      <c r="M1227" s="12">
        <v>285.84222543335738</v>
      </c>
      <c r="N1227" s="12">
        <v>4156.765910241249</v>
      </c>
      <c r="O1227" s="12">
        <v>1150.143753512928</v>
      </c>
      <c r="P1227" s="12">
        <v>0.70919328969059581</v>
      </c>
      <c r="Q1227" s="12">
        <v>0.75624980525542029</v>
      </c>
      <c r="R1227" s="12">
        <v>0.70781639313879474</v>
      </c>
      <c r="S1227" s="12">
        <v>0.8436107120242694</v>
      </c>
      <c r="T1227" s="12">
        <v>0.92517300229426602</v>
      </c>
      <c r="U1227" s="12">
        <v>0.75619270257754967</v>
      </c>
      <c r="V1227" s="12">
        <v>285.84222543335738</v>
      </c>
      <c r="W1227" s="12">
        <v>9.4802185685729796</v>
      </c>
      <c r="X1227" s="12">
        <v>95.351504294179861</v>
      </c>
      <c r="Y1227" s="12">
        <v>3006.622156728321</v>
      </c>
      <c r="Z1227" s="12">
        <v>3.6141272754341198</v>
      </c>
      <c r="AA1227" s="12" t="s">
        <v>1268</v>
      </c>
      <c r="AB1227" s="12"/>
    </row>
    <row r="1228" spans="1:28" x14ac:dyDescent="0.3">
      <c r="A1228" s="12" t="s">
        <v>3135</v>
      </c>
      <c r="B1228" s="12" t="s">
        <v>136</v>
      </c>
      <c r="C1228" s="12" t="s">
        <v>136</v>
      </c>
      <c r="D1228" s="12" t="s">
        <v>137</v>
      </c>
      <c r="E1228" s="12" t="s">
        <v>2978</v>
      </c>
      <c r="F1228" s="12" t="s">
        <v>1861</v>
      </c>
      <c r="G1228" s="12" t="s">
        <v>1861</v>
      </c>
      <c r="H1228" s="12" t="b">
        <v>1</v>
      </c>
      <c r="I1228" s="12" t="b">
        <v>0</v>
      </c>
      <c r="J1228" s="12" t="b">
        <v>0</v>
      </c>
      <c r="K1228" s="12" t="b">
        <v>0</v>
      </c>
      <c r="L1228" s="12">
        <v>438.81615377680129</v>
      </c>
      <c r="M1228" s="12">
        <v>281.46577562277452</v>
      </c>
      <c r="N1228" s="12">
        <v>3419.4736921177732</v>
      </c>
      <c r="O1228" s="12">
        <v>762.10450879218024</v>
      </c>
      <c r="P1228" s="12">
        <v>0.82326763475338571</v>
      </c>
      <c r="Q1228" s="12">
        <v>0.76414887209762639</v>
      </c>
      <c r="R1228" s="12">
        <v>0.73862875825203733</v>
      </c>
      <c r="S1228" s="12">
        <v>0.82182422915058417</v>
      </c>
      <c r="T1228" s="12">
        <v>0.6186657466922999</v>
      </c>
      <c r="U1228" s="12">
        <v>0.93112301126049157</v>
      </c>
      <c r="V1228" s="12">
        <v>281.46577562277452</v>
      </c>
      <c r="W1228" s="12">
        <v>11.079127383981589</v>
      </c>
      <c r="X1228" s="12">
        <v>155.89147036883301</v>
      </c>
      <c r="Y1228" s="12">
        <v>2657.369183325593</v>
      </c>
      <c r="Z1228" s="12">
        <v>4.4868829047306367</v>
      </c>
      <c r="AA1228" s="12" t="s">
        <v>1268</v>
      </c>
      <c r="AB1228" s="12"/>
    </row>
    <row r="1229" spans="1:28" x14ac:dyDescent="0.3">
      <c r="A1229" s="12" t="s">
        <v>3136</v>
      </c>
      <c r="B1229" s="12" t="s">
        <v>136</v>
      </c>
      <c r="C1229" s="12" t="s">
        <v>136</v>
      </c>
      <c r="D1229" s="12" t="s">
        <v>137</v>
      </c>
      <c r="E1229" s="12" t="s">
        <v>2978</v>
      </c>
      <c r="F1229" s="12" t="s">
        <v>1861</v>
      </c>
      <c r="G1229" s="12" t="s">
        <v>1861</v>
      </c>
      <c r="H1229" s="12" t="b">
        <v>1</v>
      </c>
      <c r="I1229" s="12" t="b">
        <v>0</v>
      </c>
      <c r="J1229" s="12" t="b">
        <v>0</v>
      </c>
      <c r="K1229" s="12" t="b">
        <v>0</v>
      </c>
      <c r="L1229" s="12">
        <v>426.257582968365</v>
      </c>
      <c r="M1229" s="12">
        <v>290.04303909302689</v>
      </c>
      <c r="N1229" s="12">
        <v>2613.4807200676378</v>
      </c>
      <c r="O1229" s="12">
        <v>374.36934432207039</v>
      </c>
      <c r="P1229" s="12">
        <v>0.69623418879768417</v>
      </c>
      <c r="Q1229" s="12">
        <v>0.84152074197312221</v>
      </c>
      <c r="R1229" s="12">
        <v>0.69239974271190941</v>
      </c>
      <c r="S1229" s="12">
        <v>0.78997810642959787</v>
      </c>
      <c r="T1229" s="12">
        <v>0.8888330792509469</v>
      </c>
      <c r="U1229" s="12">
        <v>0.71153808020150699</v>
      </c>
      <c r="V1229" s="12">
        <v>290.04303909302689</v>
      </c>
      <c r="W1229" s="12">
        <v>5.7689749880960806</v>
      </c>
      <c r="X1229" s="12">
        <v>36.43598723415036</v>
      </c>
      <c r="Y1229" s="12">
        <v>2239.1113757455678</v>
      </c>
      <c r="Z1229" s="12">
        <v>6.9810222436889964</v>
      </c>
      <c r="AA1229" s="12" t="s">
        <v>1268</v>
      </c>
      <c r="AB1229" s="12"/>
    </row>
    <row r="1230" spans="1:28" x14ac:dyDescent="0.3">
      <c r="A1230" s="12" t="s">
        <v>3137</v>
      </c>
      <c r="B1230" s="12" t="s">
        <v>136</v>
      </c>
      <c r="C1230" s="12" t="s">
        <v>136</v>
      </c>
      <c r="D1230" s="12" t="s">
        <v>137</v>
      </c>
      <c r="E1230" s="12" t="s">
        <v>2978</v>
      </c>
      <c r="F1230" s="12" t="s">
        <v>1861</v>
      </c>
      <c r="G1230" s="12" t="s">
        <v>1861</v>
      </c>
      <c r="H1230" s="12" t="b">
        <v>1</v>
      </c>
      <c r="I1230" s="12" t="b">
        <v>0</v>
      </c>
      <c r="J1230" s="12" t="b">
        <v>0</v>
      </c>
      <c r="K1230" s="12" t="b">
        <v>0</v>
      </c>
      <c r="L1230" s="12">
        <v>410.32247872991832</v>
      </c>
      <c r="M1230" s="12">
        <v>297.00854242204952</v>
      </c>
      <c r="N1230" s="12">
        <v>4565.5636648609761</v>
      </c>
      <c r="O1230" s="12">
        <v>1067.248236821704</v>
      </c>
      <c r="P1230" s="12">
        <v>0.70665647882428273</v>
      </c>
      <c r="Q1230" s="12">
        <v>0.76575873172457387</v>
      </c>
      <c r="R1230" s="12">
        <v>0.74205430151181906</v>
      </c>
      <c r="S1230" s="12">
        <v>0.63486893522383703</v>
      </c>
      <c r="T1230" s="12">
        <v>0.65057463854610198</v>
      </c>
      <c r="U1230" s="12">
        <v>0.82564215240347139</v>
      </c>
      <c r="V1230" s="12">
        <v>297.00854242204952</v>
      </c>
      <c r="W1230" s="12">
        <v>8.0537097883821787</v>
      </c>
      <c r="X1230" s="12">
        <v>37.532512374219458</v>
      </c>
      <c r="Y1230" s="12">
        <v>3498.3154280392719</v>
      </c>
      <c r="Z1230" s="12">
        <v>4.277883539500948</v>
      </c>
      <c r="AA1230" s="12" t="s">
        <v>1268</v>
      </c>
      <c r="AB1230" s="12"/>
    </row>
    <row r="1231" spans="1:28" x14ac:dyDescent="0.3">
      <c r="A1231" s="12" t="s">
        <v>3138</v>
      </c>
      <c r="B1231" s="12" t="s">
        <v>136</v>
      </c>
      <c r="C1231" s="12" t="s">
        <v>136</v>
      </c>
      <c r="D1231" s="12" t="s">
        <v>137</v>
      </c>
      <c r="E1231" s="12" t="s">
        <v>2978</v>
      </c>
      <c r="F1231" s="12" t="s">
        <v>1861</v>
      </c>
      <c r="G1231" s="12" t="s">
        <v>1861</v>
      </c>
      <c r="H1231" s="12" t="b">
        <v>1</v>
      </c>
      <c r="I1231" s="12" t="b">
        <v>0</v>
      </c>
      <c r="J1231" s="12" t="b">
        <v>0</v>
      </c>
      <c r="K1231" s="12" t="b">
        <v>0</v>
      </c>
      <c r="L1231" s="12">
        <v>428.43299493017861</v>
      </c>
      <c r="M1231" s="12">
        <v>283.87786399252582</v>
      </c>
      <c r="N1231" s="12">
        <v>2076.5887165508439</v>
      </c>
      <c r="O1231" s="12">
        <v>428.45592024197299</v>
      </c>
      <c r="P1231" s="12">
        <v>0.70582987172504652</v>
      </c>
      <c r="Q1231" s="12">
        <v>0.78070526434600307</v>
      </c>
      <c r="R1231" s="12">
        <v>0.6954427274585242</v>
      </c>
      <c r="S1231" s="12">
        <v>0.74828031618578816</v>
      </c>
      <c r="T1231" s="12">
        <v>0.77510445886868551</v>
      </c>
      <c r="U1231" s="12">
        <v>0.70512996470572609</v>
      </c>
      <c r="V1231" s="12">
        <v>283.87786399252582</v>
      </c>
      <c r="W1231" s="12">
        <v>8.4163133096134288</v>
      </c>
      <c r="X1231" s="12">
        <v>84.512595498368199</v>
      </c>
      <c r="Y1231" s="12">
        <v>1648.1327963088711</v>
      </c>
      <c r="Z1231" s="12">
        <v>4.8466799463946693</v>
      </c>
      <c r="AA1231" s="12" t="s">
        <v>1268</v>
      </c>
      <c r="AB1231" s="12"/>
    </row>
    <row r="1232" spans="1:28" x14ac:dyDescent="0.3">
      <c r="A1232" s="12" t="s">
        <v>3139</v>
      </c>
      <c r="B1232" s="12" t="s">
        <v>136</v>
      </c>
      <c r="C1232" s="12" t="s">
        <v>136</v>
      </c>
      <c r="D1232" s="12" t="s">
        <v>137</v>
      </c>
      <c r="E1232" s="12" t="s">
        <v>2978</v>
      </c>
      <c r="F1232" s="12" t="s">
        <v>32</v>
      </c>
      <c r="G1232" s="12" t="s">
        <v>32</v>
      </c>
      <c r="H1232" s="12" t="b">
        <v>1</v>
      </c>
      <c r="I1232" s="12" t="b">
        <v>0</v>
      </c>
      <c r="J1232" s="12" t="b">
        <v>1</v>
      </c>
      <c r="K1232" s="12" t="b">
        <v>0</v>
      </c>
      <c r="L1232" s="12">
        <v>475.00830246052197</v>
      </c>
      <c r="M1232" s="12">
        <v>283.52762780792608</v>
      </c>
      <c r="N1232" s="12">
        <v>3942.2269758253569</v>
      </c>
      <c r="O1232" s="12">
        <v>1239.9385188619869</v>
      </c>
      <c r="P1232" s="12">
        <v>0.82444026397392878</v>
      </c>
      <c r="Q1232" s="12">
        <v>0.85911831608421485</v>
      </c>
      <c r="R1232" s="12">
        <v>0.66688691311772319</v>
      </c>
      <c r="S1232" s="12">
        <v>0.73872467941255338</v>
      </c>
      <c r="T1232" s="12">
        <v>0.81131503701073415</v>
      </c>
      <c r="U1232" s="12">
        <v>0.92016848334469836</v>
      </c>
      <c r="V1232" s="12">
        <v>283.52762780792608</v>
      </c>
      <c r="W1232" s="12">
        <v>9.9466669337600297</v>
      </c>
      <c r="X1232" s="12">
        <v>128.93961063887741</v>
      </c>
      <c r="Y1232" s="12">
        <v>2702.2884569633702</v>
      </c>
      <c r="Z1232" s="12">
        <v>3.179372941364484</v>
      </c>
      <c r="AA1232" s="12"/>
      <c r="AB1232" s="12"/>
    </row>
    <row r="1233" spans="1:28" x14ac:dyDescent="0.3">
      <c r="A1233" s="12" t="s">
        <v>3140</v>
      </c>
      <c r="B1233" s="12" t="s">
        <v>136</v>
      </c>
      <c r="C1233" s="12" t="s">
        <v>136</v>
      </c>
      <c r="D1233" s="12" t="s">
        <v>137</v>
      </c>
      <c r="E1233" s="12" t="s">
        <v>2978</v>
      </c>
      <c r="F1233" s="12" t="s">
        <v>1861</v>
      </c>
      <c r="G1233" s="12" t="s">
        <v>1861</v>
      </c>
      <c r="H1233" s="12" t="b">
        <v>1</v>
      </c>
      <c r="I1233" s="12" t="b">
        <v>0</v>
      </c>
      <c r="J1233" s="12" t="b">
        <v>1</v>
      </c>
      <c r="K1233" s="12" t="b">
        <v>0</v>
      </c>
      <c r="L1233" s="12">
        <v>436.91558560049901</v>
      </c>
      <c r="M1233" s="12">
        <v>291.72670960740498</v>
      </c>
      <c r="N1233" s="12">
        <v>3869.926538190442</v>
      </c>
      <c r="O1233" s="12">
        <v>616.36507070137463</v>
      </c>
      <c r="P1233" s="12">
        <v>0.64185918464893321</v>
      </c>
      <c r="Q1233" s="12">
        <v>0.84408844357037216</v>
      </c>
      <c r="R1233" s="12">
        <v>0.74673146857281902</v>
      </c>
      <c r="S1233" s="12">
        <v>0.75588762511547081</v>
      </c>
      <c r="T1233" s="12">
        <v>0.93754087660916996</v>
      </c>
      <c r="U1233" s="12">
        <v>0.87654641139303591</v>
      </c>
      <c r="V1233" s="12">
        <v>291.72670960740498</v>
      </c>
      <c r="W1233" s="12">
        <v>14.078682826936721</v>
      </c>
      <c r="X1233" s="12">
        <v>109.8359733142662</v>
      </c>
      <c r="Y1233" s="12">
        <v>3253.5614674890671</v>
      </c>
      <c r="Z1233" s="12">
        <v>6.2786272651478638</v>
      </c>
      <c r="AA1233" s="12" t="s">
        <v>1268</v>
      </c>
      <c r="AB1233" s="12"/>
    </row>
    <row r="1234" spans="1:28" x14ac:dyDescent="0.3">
      <c r="A1234" s="12" t="s">
        <v>3141</v>
      </c>
      <c r="B1234" s="12" t="s">
        <v>136</v>
      </c>
      <c r="C1234" s="12" t="s">
        <v>136</v>
      </c>
      <c r="D1234" s="12" t="s">
        <v>137</v>
      </c>
      <c r="E1234" s="12" t="s">
        <v>2978</v>
      </c>
      <c r="F1234" s="12" t="s">
        <v>1861</v>
      </c>
      <c r="G1234" s="12" t="s">
        <v>1861</v>
      </c>
      <c r="H1234" s="12" t="b">
        <v>1</v>
      </c>
      <c r="I1234" s="12" t="b">
        <v>0</v>
      </c>
      <c r="J1234" s="12" t="b">
        <v>1</v>
      </c>
      <c r="K1234" s="12" t="b">
        <v>0</v>
      </c>
      <c r="L1234" s="12">
        <v>464.98803161875179</v>
      </c>
      <c r="M1234" s="12">
        <v>291.0947413010872</v>
      </c>
      <c r="N1234" s="12">
        <v>3001.7270513170679</v>
      </c>
      <c r="O1234" s="12">
        <v>1257.8624160393749</v>
      </c>
      <c r="P1234" s="12">
        <v>0.78049194768801278</v>
      </c>
      <c r="Q1234" s="12">
        <v>0.7924105494227881</v>
      </c>
      <c r="R1234" s="12">
        <v>0.6695722469835903</v>
      </c>
      <c r="S1234" s="12">
        <v>0.90507379203373395</v>
      </c>
      <c r="T1234" s="12">
        <v>0.6962843991609351</v>
      </c>
      <c r="U1234" s="12">
        <v>0.89266625061633653</v>
      </c>
      <c r="V1234" s="12">
        <v>291.0947413010872</v>
      </c>
      <c r="W1234" s="12">
        <v>6.9488030738881097</v>
      </c>
      <c r="X1234" s="12">
        <v>111.4516186546419</v>
      </c>
      <c r="Y1234" s="12">
        <v>1743.864635277693</v>
      </c>
      <c r="Z1234" s="12">
        <v>2.386371524453835</v>
      </c>
      <c r="AA1234" s="12" t="s">
        <v>1268</v>
      </c>
      <c r="AB1234" s="12"/>
    </row>
    <row r="1235" spans="1:28" x14ac:dyDescent="0.3">
      <c r="A1235" s="12" t="s">
        <v>3142</v>
      </c>
      <c r="B1235" s="12" t="s">
        <v>136</v>
      </c>
      <c r="C1235" s="12" t="s">
        <v>136</v>
      </c>
      <c r="D1235" s="12" t="s">
        <v>137</v>
      </c>
      <c r="E1235" s="12" t="s">
        <v>2978</v>
      </c>
      <c r="F1235" s="12" t="s">
        <v>32</v>
      </c>
      <c r="G1235" s="12" t="s">
        <v>32</v>
      </c>
      <c r="H1235" s="12" t="b">
        <v>1</v>
      </c>
      <c r="I1235" s="12" t="b">
        <v>1</v>
      </c>
      <c r="J1235" s="12" t="b">
        <v>0</v>
      </c>
      <c r="K1235" s="12" t="b">
        <v>0</v>
      </c>
      <c r="L1235" s="12">
        <v>469.07375462228691</v>
      </c>
      <c r="M1235" s="12">
        <v>295.22719293817471</v>
      </c>
      <c r="N1235" s="12">
        <v>2438.757091722845</v>
      </c>
      <c r="O1235" s="12">
        <v>1459.363534615464</v>
      </c>
      <c r="P1235" s="12">
        <v>0.77329808042814041</v>
      </c>
      <c r="Q1235" s="12">
        <v>0.86915438321063143</v>
      </c>
      <c r="R1235" s="12">
        <v>0.84145001053162849</v>
      </c>
      <c r="S1235" s="12">
        <v>0.69702495987220825</v>
      </c>
      <c r="T1235" s="12">
        <v>0.77110964913592739</v>
      </c>
      <c r="U1235" s="12">
        <v>0.94859062397255078</v>
      </c>
      <c r="V1235" s="12">
        <v>295.22719293817471</v>
      </c>
      <c r="W1235" s="12">
        <v>4.6021838274072806</v>
      </c>
      <c r="X1235" s="12">
        <v>59.1973905438835</v>
      </c>
      <c r="Y1235" s="12">
        <v>979.39355710738164</v>
      </c>
      <c r="Z1235" s="12">
        <v>1.671110065365206</v>
      </c>
      <c r="AA1235" s="12"/>
      <c r="AB1235" s="12"/>
    </row>
    <row r="1236" spans="1:28" x14ac:dyDescent="0.3">
      <c r="A1236" s="12" t="s">
        <v>3143</v>
      </c>
      <c r="B1236" s="12" t="s">
        <v>136</v>
      </c>
      <c r="C1236" s="12" t="s">
        <v>136</v>
      </c>
      <c r="D1236" s="12" t="s">
        <v>137</v>
      </c>
      <c r="E1236" s="12" t="s">
        <v>2978</v>
      </c>
      <c r="F1236" s="12" t="s">
        <v>1861</v>
      </c>
      <c r="G1236" s="12" t="s">
        <v>1861</v>
      </c>
      <c r="H1236" s="12" t="b">
        <v>1</v>
      </c>
      <c r="I1236" s="12" t="b">
        <v>0</v>
      </c>
      <c r="J1236" s="12" t="b">
        <v>0</v>
      </c>
      <c r="K1236" s="12" t="b">
        <v>0</v>
      </c>
      <c r="L1236" s="12">
        <v>423.52047132091889</v>
      </c>
      <c r="M1236" s="12">
        <v>286.94034162988879</v>
      </c>
      <c r="N1236" s="12">
        <v>3080.4022206731138</v>
      </c>
      <c r="O1236" s="12">
        <v>722.85635415038394</v>
      </c>
      <c r="P1236" s="12">
        <v>0.83991927769978392</v>
      </c>
      <c r="Q1236" s="12">
        <v>0.85781213582827698</v>
      </c>
      <c r="R1236" s="12">
        <v>0.88655831637241456</v>
      </c>
      <c r="S1236" s="12">
        <v>0.94783195381624119</v>
      </c>
      <c r="T1236" s="12">
        <v>0.94798505613637996</v>
      </c>
      <c r="U1236" s="12">
        <v>0.80533410294323726</v>
      </c>
      <c r="V1236" s="12">
        <v>286.94034162988879</v>
      </c>
      <c r="W1236" s="12">
        <v>12.627468602232881</v>
      </c>
      <c r="X1236" s="12">
        <v>160.6584145468247</v>
      </c>
      <c r="Y1236" s="12">
        <v>2357.5458665227302</v>
      </c>
      <c r="Z1236" s="12">
        <v>4.2614306466098562</v>
      </c>
      <c r="AA1236" s="12" t="s">
        <v>1268</v>
      </c>
      <c r="AB1236" s="12"/>
    </row>
    <row r="1237" spans="1:28" x14ac:dyDescent="0.3">
      <c r="A1237" s="12" t="s">
        <v>3144</v>
      </c>
      <c r="B1237" s="12" t="s">
        <v>136</v>
      </c>
      <c r="C1237" s="12" t="s">
        <v>136</v>
      </c>
      <c r="D1237" s="12" t="s">
        <v>137</v>
      </c>
      <c r="E1237" s="12" t="s">
        <v>2978</v>
      </c>
      <c r="F1237" s="12" t="s">
        <v>1861</v>
      </c>
      <c r="G1237" s="12" t="s">
        <v>1861</v>
      </c>
      <c r="H1237" s="12" t="b">
        <v>1</v>
      </c>
      <c r="I1237" s="12" t="b">
        <v>0</v>
      </c>
      <c r="J1237" s="12" t="b">
        <v>1</v>
      </c>
      <c r="K1237" s="12" t="b">
        <v>0</v>
      </c>
      <c r="L1237" s="12">
        <v>474.5368232349216</v>
      </c>
      <c r="M1237" s="12">
        <v>287.74928281128092</v>
      </c>
      <c r="N1237" s="12">
        <v>2925.3270365484359</v>
      </c>
      <c r="O1237" s="12">
        <v>697.83522600114543</v>
      </c>
      <c r="P1237" s="12">
        <v>0.58973069381185672</v>
      </c>
      <c r="Q1237" s="12">
        <v>0.90518542095035082</v>
      </c>
      <c r="R1237" s="12">
        <v>0.72036377492527759</v>
      </c>
      <c r="S1237" s="12">
        <v>0.93957472719739277</v>
      </c>
      <c r="T1237" s="12">
        <v>0.76654364937244757</v>
      </c>
      <c r="U1237" s="12">
        <v>0.89222474215350656</v>
      </c>
      <c r="V1237" s="12">
        <v>287.74928281128092</v>
      </c>
      <c r="W1237" s="12">
        <v>11.1034235018923</v>
      </c>
      <c r="X1237" s="12">
        <v>214.91019266962479</v>
      </c>
      <c r="Y1237" s="12">
        <v>2227.4918105472912</v>
      </c>
      <c r="Z1237" s="12">
        <v>4.192002535199669</v>
      </c>
      <c r="AA1237" s="12" t="s">
        <v>1268</v>
      </c>
      <c r="AB1237" s="12"/>
    </row>
    <row r="1238" spans="1:28" x14ac:dyDescent="0.3">
      <c r="A1238" s="12" t="s">
        <v>3145</v>
      </c>
      <c r="B1238" s="12" t="s">
        <v>136</v>
      </c>
      <c r="C1238" s="12" t="s">
        <v>136</v>
      </c>
      <c r="D1238" s="12" t="s">
        <v>137</v>
      </c>
      <c r="E1238" s="12" t="s">
        <v>2978</v>
      </c>
      <c r="F1238" s="12" t="s">
        <v>1863</v>
      </c>
      <c r="G1238" s="12" t="s">
        <v>832</v>
      </c>
      <c r="H1238" s="12" t="b">
        <v>0</v>
      </c>
      <c r="I1238" s="12" t="b">
        <v>0</v>
      </c>
      <c r="J1238" s="12" t="b">
        <v>0</v>
      </c>
      <c r="K1238" s="12" t="b">
        <v>0</v>
      </c>
      <c r="L1238" s="12">
        <v>390.0642545447775</v>
      </c>
      <c r="M1238" s="12">
        <v>295.58616813198978</v>
      </c>
      <c r="N1238" s="12">
        <v>4652.9592945739541</v>
      </c>
      <c r="O1238" s="12">
        <v>600.67212900421248</v>
      </c>
      <c r="P1238" s="12">
        <v>0.56326931897907728</v>
      </c>
      <c r="Q1238" s="12">
        <v>0.83757836757992032</v>
      </c>
      <c r="R1238" s="12">
        <v>0.74427709395347774</v>
      </c>
      <c r="S1238" s="12">
        <v>0.75169013242302229</v>
      </c>
      <c r="T1238" s="12">
        <v>0.6872329900421188</v>
      </c>
      <c r="U1238" s="12">
        <v>0.79397555115865226</v>
      </c>
      <c r="V1238" s="12">
        <v>295.58616813198978</v>
      </c>
      <c r="W1238" s="12">
        <v>-126.90278193288179</v>
      </c>
      <c r="X1238" s="12">
        <v>-67.342209401608969</v>
      </c>
      <c r="Y1238" s="12">
        <v>4052.2871655697418</v>
      </c>
      <c r="Z1238" s="12">
        <v>7.7462546868748143</v>
      </c>
      <c r="AA1238" s="12" t="s">
        <v>2018</v>
      </c>
      <c r="AB1238" s="12"/>
    </row>
    <row r="1239" spans="1:28" x14ac:dyDescent="0.3">
      <c r="A1239" s="12" t="s">
        <v>3146</v>
      </c>
      <c r="B1239" s="12" t="s">
        <v>136</v>
      </c>
      <c r="C1239" s="12" t="s">
        <v>136</v>
      </c>
      <c r="D1239" s="12" t="s">
        <v>137</v>
      </c>
      <c r="E1239" s="12" t="s">
        <v>2978</v>
      </c>
      <c r="F1239" s="12" t="s">
        <v>1861</v>
      </c>
      <c r="G1239" s="12" t="s">
        <v>1861</v>
      </c>
      <c r="H1239" s="12" t="b">
        <v>1</v>
      </c>
      <c r="I1239" s="12" t="b">
        <v>0</v>
      </c>
      <c r="J1239" s="12" t="b">
        <v>0</v>
      </c>
      <c r="K1239" s="12" t="b">
        <v>0</v>
      </c>
      <c r="L1239" s="12">
        <v>416.90999772184949</v>
      </c>
      <c r="M1239" s="12">
        <v>287.1978256441858</v>
      </c>
      <c r="N1239" s="12">
        <v>3114.297461986203</v>
      </c>
      <c r="O1239" s="12">
        <v>444.46482910916859</v>
      </c>
      <c r="P1239" s="12">
        <v>0.70041444070059</v>
      </c>
      <c r="Q1239" s="12">
        <v>0.83137419989891559</v>
      </c>
      <c r="R1239" s="12">
        <v>0.76820933393569857</v>
      </c>
      <c r="S1239" s="12">
        <v>0.89451683325113285</v>
      </c>
      <c r="T1239" s="12">
        <v>0.66282820295539813</v>
      </c>
      <c r="U1239" s="12">
        <v>0.71394413607586171</v>
      </c>
      <c r="V1239" s="12">
        <v>287.1978256441858</v>
      </c>
      <c r="W1239" s="12">
        <v>11.85012206684411</v>
      </c>
      <c r="X1239" s="12">
        <v>92.723449853559742</v>
      </c>
      <c r="Y1239" s="12">
        <v>2669.832632877034</v>
      </c>
      <c r="Z1239" s="12">
        <v>7.0068479169164473</v>
      </c>
      <c r="AA1239" s="12" t="s">
        <v>1268</v>
      </c>
      <c r="AB1239" s="12"/>
    </row>
    <row r="1240" spans="1:28" x14ac:dyDescent="0.3">
      <c r="A1240" s="12" t="s">
        <v>3147</v>
      </c>
      <c r="B1240" s="12" t="s">
        <v>136</v>
      </c>
      <c r="C1240" s="12" t="s">
        <v>136</v>
      </c>
      <c r="D1240" s="12" t="s">
        <v>137</v>
      </c>
      <c r="E1240" s="12" t="s">
        <v>2978</v>
      </c>
      <c r="F1240" s="12" t="s">
        <v>1861</v>
      </c>
      <c r="G1240" s="12" t="s">
        <v>1861</v>
      </c>
      <c r="H1240" s="12" t="b">
        <v>1</v>
      </c>
      <c r="I1240" s="12" t="b">
        <v>0</v>
      </c>
      <c r="J1240" s="12" t="b">
        <v>1</v>
      </c>
      <c r="K1240" s="12" t="b">
        <v>0</v>
      </c>
      <c r="L1240" s="12">
        <v>472.56171446220679</v>
      </c>
      <c r="M1240" s="12">
        <v>292.10264065623181</v>
      </c>
      <c r="N1240" s="12">
        <v>4426.9571764584534</v>
      </c>
      <c r="O1240" s="12">
        <v>555.61961736125511</v>
      </c>
      <c r="P1240" s="12">
        <v>0.59751504617812201</v>
      </c>
      <c r="Q1240" s="12">
        <v>0.7984816979160112</v>
      </c>
      <c r="R1240" s="12">
        <v>0.8520223793409154</v>
      </c>
      <c r="S1240" s="12">
        <v>0.78577082010540711</v>
      </c>
      <c r="T1240" s="12">
        <v>0.88301149057207451</v>
      </c>
      <c r="U1240" s="12">
        <v>0.76592436909718298</v>
      </c>
      <c r="V1240" s="12">
        <v>292.10264065623181</v>
      </c>
      <c r="W1240" s="12">
        <v>13.90316712605064</v>
      </c>
      <c r="X1240" s="12">
        <v>163.24068682664691</v>
      </c>
      <c r="Y1240" s="12">
        <v>3871.3375590971968</v>
      </c>
      <c r="Z1240" s="12">
        <v>7.9676041632275822</v>
      </c>
      <c r="AA1240" s="12" t="s">
        <v>1268</v>
      </c>
      <c r="AB1240" s="12"/>
    </row>
    <row r="1241" spans="1:28" x14ac:dyDescent="0.3">
      <c r="A1241" s="12" t="s">
        <v>3148</v>
      </c>
      <c r="B1241" s="12" t="s">
        <v>136</v>
      </c>
      <c r="C1241" s="12" t="s">
        <v>136</v>
      </c>
      <c r="D1241" s="12" t="s">
        <v>137</v>
      </c>
      <c r="E1241" s="12" t="s">
        <v>2978</v>
      </c>
      <c r="F1241" s="12" t="s">
        <v>1861</v>
      </c>
      <c r="G1241" s="12" t="s">
        <v>1861</v>
      </c>
      <c r="H1241" s="12" t="b">
        <v>1</v>
      </c>
      <c r="I1241" s="12" t="b">
        <v>0</v>
      </c>
      <c r="J1241" s="12" t="b">
        <v>1</v>
      </c>
      <c r="K1241" s="12" t="b">
        <v>0</v>
      </c>
      <c r="L1241" s="12">
        <v>476.97770877061282</v>
      </c>
      <c r="M1241" s="12">
        <v>283.59505556837019</v>
      </c>
      <c r="N1241" s="12">
        <v>2958.827926159463</v>
      </c>
      <c r="O1241" s="12">
        <v>1445.7112446176379</v>
      </c>
      <c r="P1241" s="12">
        <v>0.65743186678368692</v>
      </c>
      <c r="Q1241" s="12">
        <v>0.83309454790749493</v>
      </c>
      <c r="R1241" s="12">
        <v>0.71555261111591217</v>
      </c>
      <c r="S1241" s="12">
        <v>0.85464642262307278</v>
      </c>
      <c r="T1241" s="12">
        <v>0.79321783229987997</v>
      </c>
      <c r="U1241" s="12">
        <v>0.74252870426116624</v>
      </c>
      <c r="V1241" s="12">
        <v>283.59505556837019</v>
      </c>
      <c r="W1241" s="12">
        <v>5.2354950582356299</v>
      </c>
      <c r="X1241" s="12">
        <v>76.086278265702191</v>
      </c>
      <c r="Y1241" s="12">
        <v>1513.116681541826</v>
      </c>
      <c r="Z1241" s="12">
        <v>2.0466244121536281</v>
      </c>
      <c r="AA1241" s="12" t="s">
        <v>1268</v>
      </c>
      <c r="AB1241" s="12"/>
    </row>
    <row r="1242" spans="1:28" x14ac:dyDescent="0.3">
      <c r="A1242" s="12" t="s">
        <v>3149</v>
      </c>
      <c r="B1242" s="12" t="s">
        <v>136</v>
      </c>
      <c r="C1242" s="12" t="s">
        <v>136</v>
      </c>
      <c r="D1242" s="12" t="s">
        <v>137</v>
      </c>
      <c r="E1242" s="12" t="s">
        <v>2978</v>
      </c>
      <c r="F1242" s="12" t="s">
        <v>1861</v>
      </c>
      <c r="G1242" s="12" t="s">
        <v>1861</v>
      </c>
      <c r="H1242" s="12" t="b">
        <v>1</v>
      </c>
      <c r="I1242" s="12" t="b">
        <v>0</v>
      </c>
      <c r="J1242" s="12" t="b">
        <v>0</v>
      </c>
      <c r="K1242" s="12" t="b">
        <v>0</v>
      </c>
      <c r="L1242" s="12">
        <v>422.034392588755</v>
      </c>
      <c r="M1242" s="12">
        <v>283.18258191979868</v>
      </c>
      <c r="N1242" s="12">
        <v>2053.6846013053009</v>
      </c>
      <c r="O1242" s="12">
        <v>588.59523952306631</v>
      </c>
      <c r="P1242" s="12">
        <v>0.6090664311879771</v>
      </c>
      <c r="Q1242" s="12">
        <v>0.81781771414148852</v>
      </c>
      <c r="R1242" s="12">
        <v>0.66511840210749662</v>
      </c>
      <c r="S1242" s="12">
        <v>0.76015547449348064</v>
      </c>
      <c r="T1242" s="12">
        <v>0.65804257872680127</v>
      </c>
      <c r="U1242" s="12">
        <v>0.83957416553041908</v>
      </c>
      <c r="V1242" s="12">
        <v>283.18258191979868</v>
      </c>
      <c r="W1242" s="12">
        <v>8.9025393816652407</v>
      </c>
      <c r="X1242" s="12">
        <v>83.278335067463345</v>
      </c>
      <c r="Y1242" s="12">
        <v>1465.0893617822351</v>
      </c>
      <c r="Z1242" s="12">
        <v>3.4891287992226792</v>
      </c>
      <c r="AA1242" s="12" t="s">
        <v>1268</v>
      </c>
      <c r="AB1242" s="12"/>
    </row>
    <row r="1243" spans="1:28" x14ac:dyDescent="0.3">
      <c r="A1243" s="12" t="s">
        <v>3150</v>
      </c>
      <c r="B1243" s="12" t="s">
        <v>136</v>
      </c>
      <c r="C1243" s="12" t="s">
        <v>136</v>
      </c>
      <c r="D1243" s="12" t="s">
        <v>137</v>
      </c>
      <c r="E1243" s="12" t="s">
        <v>2978</v>
      </c>
      <c r="F1243" s="12" t="s">
        <v>1861</v>
      </c>
      <c r="G1243" s="12" t="s">
        <v>1861</v>
      </c>
      <c r="H1243" s="12" t="b">
        <v>1</v>
      </c>
      <c r="I1243" s="12" t="b">
        <v>0</v>
      </c>
      <c r="J1243" s="12" t="b">
        <v>1</v>
      </c>
      <c r="K1243" s="12" t="b">
        <v>0</v>
      </c>
      <c r="L1243" s="12">
        <v>490.1890320073868</v>
      </c>
      <c r="M1243" s="12">
        <v>297.8875144199107</v>
      </c>
      <c r="N1243" s="12">
        <v>4197.3915099250116</v>
      </c>
      <c r="O1243" s="12">
        <v>1213.074960151908</v>
      </c>
      <c r="P1243" s="12">
        <v>0.68383819990859462</v>
      </c>
      <c r="Q1243" s="12">
        <v>0.87315007589326499</v>
      </c>
      <c r="R1243" s="12">
        <v>0.74894965532939595</v>
      </c>
      <c r="S1243" s="12">
        <v>0.62401767051788726</v>
      </c>
      <c r="T1243" s="12">
        <v>0.80330306739747737</v>
      </c>
      <c r="U1243" s="12">
        <v>0.89553576533059098</v>
      </c>
      <c r="V1243" s="12">
        <v>297.8875144199107</v>
      </c>
      <c r="W1243" s="12">
        <v>10.322502100258539</v>
      </c>
      <c r="X1243" s="12">
        <v>119.4466545036223</v>
      </c>
      <c r="Y1243" s="12">
        <v>2984.3165497731038</v>
      </c>
      <c r="Z1243" s="12">
        <v>3.46012542324622</v>
      </c>
      <c r="AA1243" s="12" t="s">
        <v>1268</v>
      </c>
      <c r="AB1243" s="12"/>
    </row>
    <row r="1244" spans="1:28" x14ac:dyDescent="0.3">
      <c r="A1244" s="12" t="s">
        <v>3151</v>
      </c>
      <c r="B1244" s="12" t="s">
        <v>136</v>
      </c>
      <c r="C1244" s="12" t="s">
        <v>136</v>
      </c>
      <c r="D1244" s="12" t="s">
        <v>137</v>
      </c>
      <c r="E1244" s="12" t="s">
        <v>2978</v>
      </c>
      <c r="F1244" s="12" t="s">
        <v>32</v>
      </c>
      <c r="G1244" s="12" t="s">
        <v>32</v>
      </c>
      <c r="H1244" s="12" t="b">
        <v>1</v>
      </c>
      <c r="I1244" s="12" t="b">
        <v>1</v>
      </c>
      <c r="J1244" s="12" t="b">
        <v>0</v>
      </c>
      <c r="K1244" s="12" t="b">
        <v>0</v>
      </c>
      <c r="L1244" s="12">
        <v>411.32193811998241</v>
      </c>
      <c r="M1244" s="12">
        <v>293.01965436431641</v>
      </c>
      <c r="N1244" s="12">
        <v>3778.7143996429581</v>
      </c>
      <c r="O1244" s="12">
        <v>1057.1053586906589</v>
      </c>
      <c r="P1244" s="12">
        <v>0.50989804151527252</v>
      </c>
      <c r="Q1244" s="12">
        <v>0.90551854846114843</v>
      </c>
      <c r="R1244" s="12">
        <v>0.78190651967307911</v>
      </c>
      <c r="S1244" s="12">
        <v>0.90917743203233481</v>
      </c>
      <c r="T1244" s="12">
        <v>0.73679749195202227</v>
      </c>
      <c r="U1244" s="12">
        <v>0.79541296263889527</v>
      </c>
      <c r="V1244" s="12">
        <v>293.01965436431641</v>
      </c>
      <c r="W1244" s="12">
        <v>6.0489788507673499</v>
      </c>
      <c r="X1244" s="12">
        <v>19.369877540544</v>
      </c>
      <c r="Y1244" s="12">
        <v>2721.609040952299</v>
      </c>
      <c r="Z1244" s="12">
        <v>3.5745863632015928</v>
      </c>
      <c r="AA1244" s="12"/>
      <c r="AB1244" s="12"/>
    </row>
    <row r="1245" spans="1:28" x14ac:dyDescent="0.3">
      <c r="A1245" s="12" t="s">
        <v>3152</v>
      </c>
      <c r="B1245" s="12" t="s">
        <v>136</v>
      </c>
      <c r="C1245" s="12" t="s">
        <v>136</v>
      </c>
      <c r="D1245" s="12" t="s">
        <v>137</v>
      </c>
      <c r="E1245" s="12" t="s">
        <v>2978</v>
      </c>
      <c r="F1245" s="12" t="s">
        <v>32</v>
      </c>
      <c r="G1245" s="12" t="s">
        <v>32</v>
      </c>
      <c r="H1245" s="12" t="b">
        <v>1</v>
      </c>
      <c r="I1245" s="12" t="b">
        <v>0</v>
      </c>
      <c r="J1245" s="12" t="b">
        <v>1</v>
      </c>
      <c r="K1245" s="12" t="b">
        <v>0</v>
      </c>
      <c r="L1245" s="12">
        <v>427.25323558086399</v>
      </c>
      <c r="M1245" s="12">
        <v>293.43172475737151</v>
      </c>
      <c r="N1245" s="12">
        <v>4493.2266060725988</v>
      </c>
      <c r="O1245" s="12">
        <v>983.01720182054078</v>
      </c>
      <c r="P1245" s="12">
        <v>0.54021767578909918</v>
      </c>
      <c r="Q1245" s="12">
        <v>0.79969359630259507</v>
      </c>
      <c r="R1245" s="12">
        <v>0.79022685373371182</v>
      </c>
      <c r="S1245" s="12">
        <v>0.80450885510996462</v>
      </c>
      <c r="T1245" s="12">
        <v>0.91965478828807201</v>
      </c>
      <c r="U1245" s="12">
        <v>0.79304469471170569</v>
      </c>
      <c r="V1245" s="12">
        <v>293.43172475737151</v>
      </c>
      <c r="W1245" s="12">
        <v>9.2933749985417702</v>
      </c>
      <c r="X1245" s="12">
        <v>34.450844753103468</v>
      </c>
      <c r="Y1245" s="12">
        <v>3510.209404252058</v>
      </c>
      <c r="Z1245" s="12">
        <v>4.5708524710973268</v>
      </c>
      <c r="AA1245" s="12"/>
      <c r="AB1245" s="12"/>
    </row>
    <row r="1246" spans="1:28" x14ac:dyDescent="0.3">
      <c r="A1246" s="12" t="s">
        <v>3153</v>
      </c>
      <c r="B1246" s="12" t="s">
        <v>136</v>
      </c>
      <c r="C1246" s="12" t="s">
        <v>136</v>
      </c>
      <c r="D1246" s="12" t="s">
        <v>137</v>
      </c>
      <c r="E1246" s="12" t="s">
        <v>2978</v>
      </c>
      <c r="F1246" s="12" t="s">
        <v>1861</v>
      </c>
      <c r="G1246" s="12" t="s">
        <v>1861</v>
      </c>
      <c r="H1246" s="12" t="b">
        <v>1</v>
      </c>
      <c r="I1246" s="12" t="b">
        <v>0</v>
      </c>
      <c r="J1246" s="12" t="b">
        <v>1</v>
      </c>
      <c r="K1246" s="12" t="b">
        <v>0</v>
      </c>
      <c r="L1246" s="12">
        <v>464.49900387609142</v>
      </c>
      <c r="M1246" s="12">
        <v>293.29167303340517</v>
      </c>
      <c r="N1246" s="12">
        <v>4605.6211540685063</v>
      </c>
      <c r="O1246" s="12">
        <v>515.73497574056341</v>
      </c>
      <c r="P1246" s="12">
        <v>0.7274956709884961</v>
      </c>
      <c r="Q1246" s="12">
        <v>0.7946672817351057</v>
      </c>
      <c r="R1246" s="12">
        <v>0.65039981855507967</v>
      </c>
      <c r="S1246" s="12">
        <v>0.89324387575792019</v>
      </c>
      <c r="T1246" s="12">
        <v>0.77194852549162274</v>
      </c>
      <c r="U1246" s="12">
        <v>0.73015998223522782</v>
      </c>
      <c r="V1246" s="12">
        <v>293.29167303340517</v>
      </c>
      <c r="W1246" s="12">
        <v>8.2301873872552491</v>
      </c>
      <c r="X1246" s="12">
        <v>86.515373230133264</v>
      </c>
      <c r="Y1246" s="12">
        <v>4089.8861783279431</v>
      </c>
      <c r="Z1246" s="12">
        <v>8.9302090622322439</v>
      </c>
      <c r="AA1246" s="12" t="s">
        <v>1981</v>
      </c>
      <c r="AB1246" s="12"/>
    </row>
    <row r="1247" spans="1:28" x14ac:dyDescent="0.3">
      <c r="A1247" s="12" t="s">
        <v>3154</v>
      </c>
      <c r="B1247" s="12" t="s">
        <v>136</v>
      </c>
      <c r="C1247" s="12" t="s">
        <v>136</v>
      </c>
      <c r="D1247" s="12" t="s">
        <v>137</v>
      </c>
      <c r="E1247" s="12" t="s">
        <v>2978</v>
      </c>
      <c r="F1247" s="12" t="s">
        <v>32</v>
      </c>
      <c r="G1247" s="12" t="s">
        <v>32</v>
      </c>
      <c r="H1247" s="12" t="b">
        <v>1</v>
      </c>
      <c r="I1247" s="12" t="b">
        <v>1</v>
      </c>
      <c r="J1247" s="12" t="b">
        <v>0</v>
      </c>
      <c r="K1247" s="12" t="b">
        <v>0</v>
      </c>
      <c r="L1247" s="12">
        <v>409.7590855798677</v>
      </c>
      <c r="M1247" s="12">
        <v>284.31535602168879</v>
      </c>
      <c r="N1247" s="12">
        <v>3478.2171267138501</v>
      </c>
      <c r="O1247" s="12">
        <v>935.60334638726977</v>
      </c>
      <c r="P1247" s="12">
        <v>0.51844171619868995</v>
      </c>
      <c r="Q1247" s="12">
        <v>0.76020215474112518</v>
      </c>
      <c r="R1247" s="12">
        <v>0.85779709458521425</v>
      </c>
      <c r="S1247" s="12">
        <v>0.81779040319081608</v>
      </c>
      <c r="T1247" s="12">
        <v>0.87856757296879362</v>
      </c>
      <c r="U1247" s="12">
        <v>0.8938899452924145</v>
      </c>
      <c r="V1247" s="12">
        <v>284.31535602168879</v>
      </c>
      <c r="W1247" s="12">
        <v>6.4468048896139498</v>
      </c>
      <c r="X1247" s="12">
        <v>20.290458770816659</v>
      </c>
      <c r="Y1247" s="12">
        <v>2542.6137803265801</v>
      </c>
      <c r="Z1247" s="12">
        <v>3.7176193737919019</v>
      </c>
      <c r="AA1247" s="12"/>
      <c r="AB1247" s="12"/>
    </row>
    <row r="1248" spans="1:28" x14ac:dyDescent="0.3">
      <c r="A1248" s="12" t="s">
        <v>3155</v>
      </c>
      <c r="B1248" s="12" t="s">
        <v>136</v>
      </c>
      <c r="C1248" s="12" t="s">
        <v>136</v>
      </c>
      <c r="D1248" s="12" t="s">
        <v>137</v>
      </c>
      <c r="E1248" s="12" t="s">
        <v>2978</v>
      </c>
      <c r="F1248" s="12" t="s">
        <v>1861</v>
      </c>
      <c r="G1248" s="12" t="s">
        <v>1861</v>
      </c>
      <c r="H1248" s="12" t="b">
        <v>1</v>
      </c>
      <c r="I1248" s="12" t="b">
        <v>0</v>
      </c>
      <c r="J1248" s="12" t="b">
        <v>1</v>
      </c>
      <c r="K1248" s="12" t="b">
        <v>0</v>
      </c>
      <c r="L1248" s="12">
        <v>445.28563509849062</v>
      </c>
      <c r="M1248" s="12">
        <v>292.48759349753823</v>
      </c>
      <c r="N1248" s="12">
        <v>2621.4838022077211</v>
      </c>
      <c r="O1248" s="12">
        <v>327.39144229250411</v>
      </c>
      <c r="P1248" s="12">
        <v>0.52827854264119078</v>
      </c>
      <c r="Q1248" s="12">
        <v>0.80736821321725238</v>
      </c>
      <c r="R1248" s="12">
        <v>0.74021858531537854</v>
      </c>
      <c r="S1248" s="12">
        <v>0.83960162010381867</v>
      </c>
      <c r="T1248" s="12">
        <v>0.62797441859609837</v>
      </c>
      <c r="U1248" s="12">
        <v>0.91797600742200958</v>
      </c>
      <c r="V1248" s="12">
        <v>292.48759349753823</v>
      </c>
      <c r="W1248" s="12">
        <v>12.747873003295689</v>
      </c>
      <c r="X1248" s="12">
        <v>148.13798442471639</v>
      </c>
      <c r="Y1248" s="12">
        <v>2294.092359915217</v>
      </c>
      <c r="Z1248" s="12">
        <v>8.0071848666880765</v>
      </c>
      <c r="AA1248" s="12" t="s">
        <v>1268</v>
      </c>
      <c r="AB1248" s="12"/>
    </row>
    <row r="1249" spans="1:28" x14ac:dyDescent="0.3">
      <c r="A1249" s="12" t="s">
        <v>3156</v>
      </c>
      <c r="B1249" s="12" t="s">
        <v>136</v>
      </c>
      <c r="C1249" s="12" t="s">
        <v>136</v>
      </c>
      <c r="D1249" s="12" t="s">
        <v>137</v>
      </c>
      <c r="E1249" s="12" t="s">
        <v>2978</v>
      </c>
      <c r="F1249" s="12" t="s">
        <v>1861</v>
      </c>
      <c r="G1249" s="12" t="s">
        <v>1861</v>
      </c>
      <c r="H1249" s="12" t="b">
        <v>1</v>
      </c>
      <c r="I1249" s="12" t="b">
        <v>0</v>
      </c>
      <c r="J1249" s="12" t="b">
        <v>1</v>
      </c>
      <c r="K1249" s="12" t="b">
        <v>0</v>
      </c>
      <c r="L1249" s="12">
        <v>486.26829222438528</v>
      </c>
      <c r="M1249" s="12">
        <v>296.29391665122512</v>
      </c>
      <c r="N1249" s="12">
        <v>2742.399639714884</v>
      </c>
      <c r="O1249" s="12">
        <v>674.5008913892616</v>
      </c>
      <c r="P1249" s="12">
        <v>0.53293391098760845</v>
      </c>
      <c r="Q1249" s="12">
        <v>0.83864170021626738</v>
      </c>
      <c r="R1249" s="12">
        <v>0.80875189841000983</v>
      </c>
      <c r="S1249" s="12">
        <v>0.89842309754468697</v>
      </c>
      <c r="T1249" s="12">
        <v>0.85891548550679819</v>
      </c>
      <c r="U1249" s="12">
        <v>0.71485654663129727</v>
      </c>
      <c r="V1249" s="12">
        <v>296.29391665122512</v>
      </c>
      <c r="W1249" s="12">
        <v>9.0262252029373897</v>
      </c>
      <c r="X1249" s="12">
        <v>139.84303242397269</v>
      </c>
      <c r="Y1249" s="12">
        <v>2067.8987483256219</v>
      </c>
      <c r="Z1249" s="12">
        <v>4.065820630816952</v>
      </c>
      <c r="AA1249" s="12" t="s">
        <v>1268</v>
      </c>
      <c r="AB1249" s="12"/>
    </row>
    <row r="1250" spans="1:28" x14ac:dyDescent="0.3">
      <c r="A1250" s="12" t="s">
        <v>3157</v>
      </c>
      <c r="B1250" s="12" t="s">
        <v>136</v>
      </c>
      <c r="C1250" s="12" t="s">
        <v>136</v>
      </c>
      <c r="D1250" s="12" t="s">
        <v>137</v>
      </c>
      <c r="E1250" s="12" t="s">
        <v>2978</v>
      </c>
      <c r="F1250" s="12" t="s">
        <v>32</v>
      </c>
      <c r="G1250" s="12" t="s">
        <v>32</v>
      </c>
      <c r="H1250" s="12" t="b">
        <v>1</v>
      </c>
      <c r="I1250" s="12" t="b">
        <v>1</v>
      </c>
      <c r="J1250" s="12" t="b">
        <v>0</v>
      </c>
      <c r="K1250" s="12" t="b">
        <v>0</v>
      </c>
      <c r="L1250" s="12">
        <v>414.41866290177529</v>
      </c>
      <c r="M1250" s="12">
        <v>301.12369623880511</v>
      </c>
      <c r="N1250" s="12">
        <v>4910.206466736995</v>
      </c>
      <c r="O1250" s="12">
        <v>1139.94078496408</v>
      </c>
      <c r="P1250" s="12">
        <v>0.56988156936211343</v>
      </c>
      <c r="Q1250" s="12">
        <v>0.75837539967638579</v>
      </c>
      <c r="R1250" s="12">
        <v>0.81471647879682774</v>
      </c>
      <c r="S1250" s="12">
        <v>0.70475996569828181</v>
      </c>
      <c r="T1250" s="12">
        <v>0.72474007250549966</v>
      </c>
      <c r="U1250" s="12">
        <v>0.80808488012651347</v>
      </c>
      <c r="V1250" s="12">
        <v>301.12369623880511</v>
      </c>
      <c r="W1250" s="12">
        <v>3.36197910312355</v>
      </c>
      <c r="X1250" s="12">
        <v>8.2106292314080882</v>
      </c>
      <c r="Y1250" s="12">
        <v>3770.2656817729148</v>
      </c>
      <c r="Z1250" s="12">
        <v>4.3074223955340951</v>
      </c>
      <c r="AA1250" s="12"/>
      <c r="AB1250" s="12"/>
    </row>
    <row r="1251" spans="1:28" x14ac:dyDescent="0.3">
      <c r="A1251" s="12" t="s">
        <v>3158</v>
      </c>
      <c r="B1251" s="12" t="s">
        <v>136</v>
      </c>
      <c r="C1251" s="12" t="s">
        <v>136</v>
      </c>
      <c r="D1251" s="12" t="s">
        <v>137</v>
      </c>
      <c r="E1251" s="12" t="s">
        <v>2978</v>
      </c>
      <c r="F1251" s="12" t="s">
        <v>1861</v>
      </c>
      <c r="G1251" s="12" t="s">
        <v>1861</v>
      </c>
      <c r="H1251" s="12" t="b">
        <v>1</v>
      </c>
      <c r="I1251" s="12" t="b">
        <v>0</v>
      </c>
      <c r="J1251" s="12" t="b">
        <v>1</v>
      </c>
      <c r="K1251" s="12" t="b">
        <v>0</v>
      </c>
      <c r="L1251" s="12">
        <v>492.11049124077442</v>
      </c>
      <c r="M1251" s="12">
        <v>302.72298850746063</v>
      </c>
      <c r="N1251" s="12">
        <v>3974.686253531494</v>
      </c>
      <c r="O1251" s="12">
        <v>764.25516764549627</v>
      </c>
      <c r="P1251" s="12">
        <v>0.81445363048546859</v>
      </c>
      <c r="Q1251" s="12">
        <v>0.8561282865390647</v>
      </c>
      <c r="R1251" s="12">
        <v>0.68331765605660588</v>
      </c>
      <c r="S1251" s="12">
        <v>0.76747031497778484</v>
      </c>
      <c r="T1251" s="12">
        <v>0.63029689789416354</v>
      </c>
      <c r="U1251" s="12">
        <v>0.8321824999167774</v>
      </c>
      <c r="V1251" s="12">
        <v>302.72298850746063</v>
      </c>
      <c r="W1251" s="12">
        <v>7.2809097024973708</v>
      </c>
      <c r="X1251" s="12">
        <v>63.108173232980391</v>
      </c>
      <c r="Y1251" s="12">
        <v>3210.4310858859981</v>
      </c>
      <c r="Z1251" s="12">
        <v>5.2007319306412239</v>
      </c>
      <c r="AA1251" s="12" t="s">
        <v>1268</v>
      </c>
      <c r="AB1251" s="12"/>
    </row>
    <row r="1252" spans="1:28" x14ac:dyDescent="0.3">
      <c r="A1252" s="12" t="s">
        <v>3159</v>
      </c>
      <c r="B1252" s="12" t="s">
        <v>136</v>
      </c>
      <c r="C1252" s="12" t="s">
        <v>136</v>
      </c>
      <c r="D1252" s="12" t="s">
        <v>137</v>
      </c>
      <c r="E1252" s="12" t="s">
        <v>2978</v>
      </c>
      <c r="F1252" s="12" t="s">
        <v>32</v>
      </c>
      <c r="G1252" s="12" t="s">
        <v>32</v>
      </c>
      <c r="H1252" s="12" t="b">
        <v>1</v>
      </c>
      <c r="I1252" s="12" t="b">
        <v>1</v>
      </c>
      <c r="J1252" s="12" t="b">
        <v>0</v>
      </c>
      <c r="K1252" s="12" t="b">
        <v>0</v>
      </c>
      <c r="L1252" s="12">
        <v>387.84511519598408</v>
      </c>
      <c r="M1252" s="12">
        <v>296.80914443245041</v>
      </c>
      <c r="N1252" s="12">
        <v>3648.122848450414</v>
      </c>
      <c r="O1252" s="12">
        <v>1303.645408011819</v>
      </c>
      <c r="P1252" s="12">
        <v>0.70503660932993317</v>
      </c>
      <c r="Q1252" s="12">
        <v>0.76173121187744097</v>
      </c>
      <c r="R1252" s="12">
        <v>0.7760612436887373</v>
      </c>
      <c r="S1252" s="12">
        <v>0.86689597896364545</v>
      </c>
      <c r="T1252" s="12">
        <v>0.69502332152039714</v>
      </c>
      <c r="U1252" s="12">
        <v>0.92243331351188196</v>
      </c>
      <c r="V1252" s="12">
        <v>296.80914443245041</v>
      </c>
      <c r="W1252" s="12">
        <v>6.1770895794759104</v>
      </c>
      <c r="X1252" s="12">
        <v>31.56796278691618</v>
      </c>
      <c r="Y1252" s="12">
        <v>2344.4774404385948</v>
      </c>
      <c r="Z1252" s="12">
        <v>2.7984011802827138</v>
      </c>
      <c r="AA1252" s="12"/>
      <c r="AB1252" s="12"/>
    </row>
    <row r="1253" spans="1:28" x14ac:dyDescent="0.3">
      <c r="A1253" s="12" t="s">
        <v>3160</v>
      </c>
      <c r="B1253" s="12" t="s">
        <v>136</v>
      </c>
      <c r="C1253" s="12" t="s">
        <v>136</v>
      </c>
      <c r="D1253" s="12" t="s">
        <v>137</v>
      </c>
      <c r="E1253" s="12" t="s">
        <v>2978</v>
      </c>
      <c r="F1253" s="12" t="s">
        <v>1861</v>
      </c>
      <c r="G1253" s="12" t="s">
        <v>1861</v>
      </c>
      <c r="H1253" s="12" t="b">
        <v>1</v>
      </c>
      <c r="I1253" s="12" t="b">
        <v>0</v>
      </c>
      <c r="J1253" s="12" t="b">
        <v>0</v>
      </c>
      <c r="K1253" s="12" t="b">
        <v>0</v>
      </c>
      <c r="L1253" s="12">
        <v>385.7480188873339</v>
      </c>
      <c r="M1253" s="12">
        <v>281.1800409197113</v>
      </c>
      <c r="N1253" s="12">
        <v>4520.1571961858281</v>
      </c>
      <c r="O1253" s="12">
        <v>433.38898524424292</v>
      </c>
      <c r="P1253" s="12">
        <v>0.79494506131218612</v>
      </c>
      <c r="Q1253" s="12">
        <v>0.84118452336787086</v>
      </c>
      <c r="R1253" s="12">
        <v>0.76419596822507474</v>
      </c>
      <c r="S1253" s="12">
        <v>0.76552421790799507</v>
      </c>
      <c r="T1253" s="12">
        <v>0.70326458616347531</v>
      </c>
      <c r="U1253" s="12">
        <v>0.91647193534408877</v>
      </c>
      <c r="V1253" s="12">
        <v>281.1800409197113</v>
      </c>
      <c r="W1253" s="12">
        <v>12.87062522681541</v>
      </c>
      <c r="X1253" s="12">
        <v>57.726734390562363</v>
      </c>
      <c r="Y1253" s="12">
        <v>4086.768210941585</v>
      </c>
      <c r="Z1253" s="12">
        <v>10.42979251915788</v>
      </c>
      <c r="AA1253" s="12" t="s">
        <v>1981</v>
      </c>
      <c r="AB1253" s="12"/>
    </row>
    <row r="1254" spans="1:28" x14ac:dyDescent="0.3">
      <c r="A1254" s="12" t="s">
        <v>3161</v>
      </c>
      <c r="B1254" s="12" t="s">
        <v>136</v>
      </c>
      <c r="C1254" s="12" t="s">
        <v>136</v>
      </c>
      <c r="D1254" s="12" t="s">
        <v>137</v>
      </c>
      <c r="E1254" s="12" t="s">
        <v>2978</v>
      </c>
      <c r="F1254" s="12" t="s">
        <v>32</v>
      </c>
      <c r="G1254" s="12" t="s">
        <v>32</v>
      </c>
      <c r="H1254" s="12" t="b">
        <v>1</v>
      </c>
      <c r="I1254" s="12" t="b">
        <v>1</v>
      </c>
      <c r="J1254" s="12" t="b">
        <v>0</v>
      </c>
      <c r="K1254" s="12" t="b">
        <v>0</v>
      </c>
      <c r="L1254" s="12">
        <v>414.9726031343597</v>
      </c>
      <c r="M1254" s="12">
        <v>286.43008429970519</v>
      </c>
      <c r="N1254" s="12">
        <v>4264.2593142801079</v>
      </c>
      <c r="O1254" s="12">
        <v>1277.817032372805</v>
      </c>
      <c r="P1254" s="12">
        <v>0.69733215102558188</v>
      </c>
      <c r="Q1254" s="12">
        <v>0.77271299047580233</v>
      </c>
      <c r="R1254" s="12">
        <v>0.86091982437252135</v>
      </c>
      <c r="S1254" s="12">
        <v>0.69661936110465339</v>
      </c>
      <c r="T1254" s="12">
        <v>0.71031587650353478</v>
      </c>
      <c r="U1254" s="12">
        <v>0.79994744044557153</v>
      </c>
      <c r="V1254" s="12">
        <v>286.43008429970519</v>
      </c>
      <c r="W1254" s="12">
        <v>7.8286339099054896</v>
      </c>
      <c r="X1254" s="12">
        <v>44.566806211480113</v>
      </c>
      <c r="Y1254" s="12">
        <v>2986.4422819073029</v>
      </c>
      <c r="Z1254" s="12">
        <v>3.3371438995156582</v>
      </c>
      <c r="AA1254" s="12"/>
      <c r="AB1254" s="12"/>
    </row>
    <row r="1255" spans="1:28" x14ac:dyDescent="0.3">
      <c r="A1255" s="12" t="s">
        <v>3162</v>
      </c>
      <c r="B1255" s="12" t="s">
        <v>136</v>
      </c>
      <c r="C1255" s="12" t="s">
        <v>136</v>
      </c>
      <c r="D1255" s="12" t="s">
        <v>137</v>
      </c>
      <c r="E1255" s="12" t="s">
        <v>2978</v>
      </c>
      <c r="F1255" s="12" t="s">
        <v>1861</v>
      </c>
      <c r="G1255" s="12" t="s">
        <v>1861</v>
      </c>
      <c r="H1255" s="12" t="b">
        <v>1</v>
      </c>
      <c r="I1255" s="12" t="b">
        <v>0</v>
      </c>
      <c r="J1255" s="12" t="b">
        <v>1</v>
      </c>
      <c r="K1255" s="12" t="b">
        <v>0</v>
      </c>
      <c r="L1255" s="12">
        <v>462.03586369200798</v>
      </c>
      <c r="M1255" s="12">
        <v>288.49014803506009</v>
      </c>
      <c r="N1255" s="12">
        <v>4065.738705868403</v>
      </c>
      <c r="O1255" s="12">
        <v>531.94106813674637</v>
      </c>
      <c r="P1255" s="12">
        <v>0.56417643637646786</v>
      </c>
      <c r="Q1255" s="12">
        <v>0.8439427943173331</v>
      </c>
      <c r="R1255" s="12">
        <v>0.72492830210180104</v>
      </c>
      <c r="S1255" s="12">
        <v>0.72841396046383911</v>
      </c>
      <c r="T1255" s="12">
        <v>0.73576968168155665</v>
      </c>
      <c r="U1255" s="12">
        <v>0.8266604829802835</v>
      </c>
      <c r="V1255" s="12">
        <v>288.49014803506009</v>
      </c>
      <c r="W1255" s="12">
        <v>13.841562156592589</v>
      </c>
      <c r="X1255" s="12">
        <v>133.2990910071621</v>
      </c>
      <c r="Y1255" s="12">
        <v>3533.7976377316568</v>
      </c>
      <c r="Z1255" s="12">
        <v>7.6432126590820424</v>
      </c>
      <c r="AA1255" s="12" t="s">
        <v>1268</v>
      </c>
      <c r="AB1255" s="12"/>
    </row>
    <row r="1256" spans="1:28" x14ac:dyDescent="0.3">
      <c r="A1256" s="12" t="s">
        <v>3163</v>
      </c>
      <c r="B1256" s="12" t="s">
        <v>136</v>
      </c>
      <c r="C1256" s="12" t="s">
        <v>136</v>
      </c>
      <c r="D1256" s="12" t="s">
        <v>137</v>
      </c>
      <c r="E1256" s="12" t="s">
        <v>2978</v>
      </c>
      <c r="F1256" s="12" t="s">
        <v>832</v>
      </c>
      <c r="G1256" s="12" t="s">
        <v>832</v>
      </c>
      <c r="H1256" s="12" t="b">
        <v>0</v>
      </c>
      <c r="I1256" s="12" t="b">
        <v>0</v>
      </c>
      <c r="J1256" s="12" t="b">
        <v>0</v>
      </c>
      <c r="K1256" s="12" t="b">
        <v>0</v>
      </c>
      <c r="L1256" s="12">
        <v>382.12579246780859</v>
      </c>
      <c r="M1256" s="12">
        <v>294.78716211168961</v>
      </c>
      <c r="N1256" s="12">
        <v>4513.5865976184787</v>
      </c>
      <c r="O1256" s="12">
        <v>1176.425328460281</v>
      </c>
      <c r="P1256" s="12">
        <v>0.51609024638551004</v>
      </c>
      <c r="Q1256" s="12">
        <v>0.9015648594509682</v>
      </c>
      <c r="R1256" s="12">
        <v>0.8734272378811927</v>
      </c>
      <c r="S1256" s="12">
        <v>0.61624022199733219</v>
      </c>
      <c r="T1256" s="12">
        <v>0.74127016816697644</v>
      </c>
      <c r="U1256" s="12">
        <v>0.86844881685723818</v>
      </c>
      <c r="V1256" s="12">
        <v>294.78716211168961</v>
      </c>
      <c r="W1256" s="12"/>
      <c r="X1256" s="12"/>
      <c r="Y1256" s="12">
        <v>3337.1612691581981</v>
      </c>
      <c r="Z1256" s="12">
        <v>3.836696208781829</v>
      </c>
      <c r="AA1256" s="12"/>
      <c r="AB1256" s="12"/>
    </row>
    <row r="1257" spans="1:28" x14ac:dyDescent="0.3">
      <c r="A1257" s="12" t="s">
        <v>3164</v>
      </c>
      <c r="B1257" s="12" t="s">
        <v>136</v>
      </c>
      <c r="C1257" s="12" t="s">
        <v>136</v>
      </c>
      <c r="D1257" s="12" t="s">
        <v>137</v>
      </c>
      <c r="E1257" s="12" t="s">
        <v>2978</v>
      </c>
      <c r="F1257" s="12" t="s">
        <v>1861</v>
      </c>
      <c r="G1257" s="12" t="s">
        <v>1861</v>
      </c>
      <c r="H1257" s="12" t="b">
        <v>1</v>
      </c>
      <c r="I1257" s="12" t="b">
        <v>0</v>
      </c>
      <c r="J1257" s="12" t="b">
        <v>1</v>
      </c>
      <c r="K1257" s="12" t="b">
        <v>0</v>
      </c>
      <c r="L1257" s="12">
        <v>442.25081951091153</v>
      </c>
      <c r="M1257" s="12">
        <v>300.1523997676826</v>
      </c>
      <c r="N1257" s="12">
        <v>4327.6913002017254</v>
      </c>
      <c r="O1257" s="12">
        <v>1448.8852440251931</v>
      </c>
      <c r="P1257" s="12">
        <v>0.69341085571641059</v>
      </c>
      <c r="Q1257" s="12">
        <v>0.82048888149869026</v>
      </c>
      <c r="R1257" s="12">
        <v>0.75722252203636553</v>
      </c>
      <c r="S1257" s="12">
        <v>0.93701642366075522</v>
      </c>
      <c r="T1257" s="12">
        <v>0.66450872913189041</v>
      </c>
      <c r="U1257" s="12">
        <v>0.70733665489715603</v>
      </c>
      <c r="V1257" s="12">
        <v>300.1523997676826</v>
      </c>
      <c r="W1257" s="12">
        <v>8.2130521553583797</v>
      </c>
      <c r="X1257" s="12">
        <v>77.741816559773696</v>
      </c>
      <c r="Y1257" s="12">
        <v>2878.806056176531</v>
      </c>
      <c r="Z1257" s="12">
        <v>2.9869110186938141</v>
      </c>
      <c r="AA1257" s="12" t="s">
        <v>1268</v>
      </c>
      <c r="AB1257" s="12"/>
    </row>
    <row r="1258" spans="1:28" x14ac:dyDescent="0.3">
      <c r="A1258" s="12" t="s">
        <v>3165</v>
      </c>
      <c r="B1258" s="12" t="s">
        <v>136</v>
      </c>
      <c r="C1258" s="12" t="s">
        <v>136</v>
      </c>
      <c r="D1258" s="12" t="s">
        <v>137</v>
      </c>
      <c r="E1258" s="12" t="s">
        <v>2978</v>
      </c>
      <c r="F1258" s="12" t="s">
        <v>1861</v>
      </c>
      <c r="G1258" s="12" t="s">
        <v>1861</v>
      </c>
      <c r="H1258" s="12" t="b">
        <v>1</v>
      </c>
      <c r="I1258" s="12" t="b">
        <v>0</v>
      </c>
      <c r="J1258" s="12" t="b">
        <v>1</v>
      </c>
      <c r="K1258" s="12" t="b">
        <v>0</v>
      </c>
      <c r="L1258" s="12">
        <v>441.45737535343329</v>
      </c>
      <c r="M1258" s="12">
        <v>298.7950151256282</v>
      </c>
      <c r="N1258" s="12">
        <v>3373.492752583611</v>
      </c>
      <c r="O1258" s="12">
        <v>726.34596005734966</v>
      </c>
      <c r="P1258" s="12">
        <v>0.68203879601871942</v>
      </c>
      <c r="Q1258" s="12">
        <v>0.86420075016979192</v>
      </c>
      <c r="R1258" s="12">
        <v>0.80185512429819839</v>
      </c>
      <c r="S1258" s="12">
        <v>0.8307642660096316</v>
      </c>
      <c r="T1258" s="12">
        <v>0.87108251244163293</v>
      </c>
      <c r="U1258" s="12">
        <v>0.8385004615508842</v>
      </c>
      <c r="V1258" s="12">
        <v>298.7950151256282</v>
      </c>
      <c r="W1258" s="12">
        <v>12.501493896792489</v>
      </c>
      <c r="X1258" s="12">
        <v>134.6342818869808</v>
      </c>
      <c r="Y1258" s="12">
        <v>2647.1467925262618</v>
      </c>
      <c r="Z1258" s="12">
        <v>4.6444710070628776</v>
      </c>
      <c r="AA1258" s="12" t="s">
        <v>1268</v>
      </c>
      <c r="AB1258" s="12"/>
    </row>
    <row r="1259" spans="1:28" x14ac:dyDescent="0.3">
      <c r="A1259" s="12" t="s">
        <v>3166</v>
      </c>
      <c r="B1259" s="12" t="s">
        <v>136</v>
      </c>
      <c r="C1259" s="12" t="s">
        <v>136</v>
      </c>
      <c r="D1259" s="12" t="s">
        <v>137</v>
      </c>
      <c r="E1259" s="12" t="s">
        <v>2978</v>
      </c>
      <c r="F1259" s="12" t="s">
        <v>1861</v>
      </c>
      <c r="G1259" s="12" t="s">
        <v>1861</v>
      </c>
      <c r="H1259" s="12" t="b">
        <v>1</v>
      </c>
      <c r="I1259" s="12" t="b">
        <v>0</v>
      </c>
      <c r="J1259" s="12" t="b">
        <v>0</v>
      </c>
      <c r="K1259" s="12" t="b">
        <v>0</v>
      </c>
      <c r="L1259" s="12">
        <v>391.94569312363183</v>
      </c>
      <c r="M1259" s="12">
        <v>281.95101946463802</v>
      </c>
      <c r="N1259" s="12">
        <v>2848.9165643215902</v>
      </c>
      <c r="O1259" s="12">
        <v>735.72630951178712</v>
      </c>
      <c r="P1259" s="12">
        <v>0.66772668622606979</v>
      </c>
      <c r="Q1259" s="12">
        <v>0.89779092507108649</v>
      </c>
      <c r="R1259" s="12">
        <v>0.79777006365874237</v>
      </c>
      <c r="S1259" s="12">
        <v>0.68844246265398545</v>
      </c>
      <c r="T1259" s="12">
        <v>0.75390793408188017</v>
      </c>
      <c r="U1259" s="12">
        <v>0.70013632301175088</v>
      </c>
      <c r="V1259" s="12">
        <v>281.95101946463802</v>
      </c>
      <c r="W1259" s="12">
        <v>10.47131427350261</v>
      </c>
      <c r="X1259" s="12">
        <v>48.258665733007263</v>
      </c>
      <c r="Y1259" s="12">
        <v>2113.1902548098019</v>
      </c>
      <c r="Z1259" s="12">
        <v>3.8722504924583609</v>
      </c>
      <c r="AA1259" s="12" t="s">
        <v>1268</v>
      </c>
      <c r="AB1259" s="12"/>
    </row>
    <row r="1260" spans="1:28" x14ac:dyDescent="0.3">
      <c r="A1260" s="12" t="s">
        <v>3167</v>
      </c>
      <c r="B1260" s="12" t="s">
        <v>136</v>
      </c>
      <c r="C1260" s="12" t="s">
        <v>136</v>
      </c>
      <c r="D1260" s="12" t="s">
        <v>137</v>
      </c>
      <c r="E1260" s="12" t="s">
        <v>2978</v>
      </c>
      <c r="F1260" s="12" t="s">
        <v>1861</v>
      </c>
      <c r="G1260" s="12" t="s">
        <v>1861</v>
      </c>
      <c r="H1260" s="12" t="b">
        <v>1</v>
      </c>
      <c r="I1260" s="12" t="b">
        <v>0</v>
      </c>
      <c r="J1260" s="12" t="b">
        <v>0</v>
      </c>
      <c r="K1260" s="12" t="b">
        <v>0</v>
      </c>
      <c r="L1260" s="12">
        <v>446.36953358737941</v>
      </c>
      <c r="M1260" s="12">
        <v>289.03560155856968</v>
      </c>
      <c r="N1260" s="12">
        <v>2529.1346364176538</v>
      </c>
      <c r="O1260" s="12">
        <v>1431.58017366385</v>
      </c>
      <c r="P1260" s="12">
        <v>0.76343214807911464</v>
      </c>
      <c r="Q1260" s="12">
        <v>0.79651734165913046</v>
      </c>
      <c r="R1260" s="12">
        <v>0.79169888674157285</v>
      </c>
      <c r="S1260" s="12">
        <v>0.70926612932097244</v>
      </c>
      <c r="T1260" s="12">
        <v>0.93368997634502615</v>
      </c>
      <c r="U1260" s="12">
        <v>0.72031272434200988</v>
      </c>
      <c r="V1260" s="12">
        <v>289.03560155856968</v>
      </c>
      <c r="W1260" s="12">
        <v>4.35796429616203</v>
      </c>
      <c r="X1260" s="12">
        <v>46.359212837507577</v>
      </c>
      <c r="Y1260" s="12">
        <v>1097.554462753805</v>
      </c>
      <c r="Z1260" s="12">
        <v>1.766673416512069</v>
      </c>
      <c r="AA1260" s="12" t="s">
        <v>1268</v>
      </c>
      <c r="AB1260" s="12"/>
    </row>
    <row r="1261" spans="1:28" x14ac:dyDescent="0.3">
      <c r="A1261" s="12" t="s">
        <v>3168</v>
      </c>
      <c r="B1261" s="12" t="s">
        <v>136</v>
      </c>
      <c r="C1261" s="12" t="s">
        <v>136</v>
      </c>
      <c r="D1261" s="12" t="s">
        <v>137</v>
      </c>
      <c r="E1261" s="12" t="s">
        <v>2978</v>
      </c>
      <c r="F1261" s="12" t="s">
        <v>32</v>
      </c>
      <c r="G1261" s="12" t="s">
        <v>32</v>
      </c>
      <c r="H1261" s="12" t="b">
        <v>1</v>
      </c>
      <c r="I1261" s="12" t="b">
        <v>1</v>
      </c>
      <c r="J1261" s="12" t="b">
        <v>0</v>
      </c>
      <c r="K1261" s="12" t="b">
        <v>0</v>
      </c>
      <c r="L1261" s="12">
        <v>404.3346696294941</v>
      </c>
      <c r="M1261" s="12">
        <v>279.08050743848952</v>
      </c>
      <c r="N1261" s="12">
        <v>2604.9446364231212</v>
      </c>
      <c r="O1261" s="12">
        <v>1241.446773162118</v>
      </c>
      <c r="P1261" s="12">
        <v>0.5703551029323306</v>
      </c>
      <c r="Q1261" s="12">
        <v>0.86314736297965866</v>
      </c>
      <c r="R1261" s="12">
        <v>0.86782117971414896</v>
      </c>
      <c r="S1261" s="12">
        <v>0.63109644907987639</v>
      </c>
      <c r="T1261" s="12">
        <v>0.69225478441463706</v>
      </c>
      <c r="U1261" s="12">
        <v>0.70784310130544226</v>
      </c>
      <c r="V1261" s="12">
        <v>279.08050743848952</v>
      </c>
      <c r="W1261" s="12">
        <v>4.9705334685133504</v>
      </c>
      <c r="X1261" s="12">
        <v>21.338472995662489</v>
      </c>
      <c r="Y1261" s="12">
        <v>1363.4978632610021</v>
      </c>
      <c r="Z1261" s="12">
        <v>2.098313590834028</v>
      </c>
      <c r="AA1261" s="12"/>
      <c r="AB1261" s="12"/>
    </row>
    <row r="1262" spans="1:28" x14ac:dyDescent="0.3">
      <c r="A1262" s="12" t="s">
        <v>3169</v>
      </c>
      <c r="B1262" s="12" t="s">
        <v>136</v>
      </c>
      <c r="C1262" s="12" t="s">
        <v>136</v>
      </c>
      <c r="D1262" s="12" t="s">
        <v>137</v>
      </c>
      <c r="E1262" s="12" t="s">
        <v>2978</v>
      </c>
      <c r="F1262" s="12" t="s">
        <v>32</v>
      </c>
      <c r="G1262" s="12" t="s">
        <v>32</v>
      </c>
      <c r="H1262" s="12" t="b">
        <v>1</v>
      </c>
      <c r="I1262" s="12" t="b">
        <v>1</v>
      </c>
      <c r="J1262" s="12" t="b">
        <v>0</v>
      </c>
      <c r="K1262" s="12" t="b">
        <v>0</v>
      </c>
      <c r="L1262" s="12">
        <v>463.11111685578658</v>
      </c>
      <c r="M1262" s="12">
        <v>294.99904269396671</v>
      </c>
      <c r="N1262" s="12">
        <v>2139.236516373478</v>
      </c>
      <c r="O1262" s="12">
        <v>1322.5478820211731</v>
      </c>
      <c r="P1262" s="12">
        <v>0.70167270814000071</v>
      </c>
      <c r="Q1262" s="12">
        <v>0.83017625854674904</v>
      </c>
      <c r="R1262" s="12">
        <v>0.8562499150210342</v>
      </c>
      <c r="S1262" s="12">
        <v>0.71009457007934951</v>
      </c>
      <c r="T1262" s="12">
        <v>0.69171774390836083</v>
      </c>
      <c r="U1262" s="12">
        <v>0.93976695955022482</v>
      </c>
      <c r="V1262" s="12">
        <v>294.99904269396671</v>
      </c>
      <c r="W1262" s="12">
        <v>3.8979373073469601</v>
      </c>
      <c r="X1262" s="12">
        <v>53.552978427236368</v>
      </c>
      <c r="Y1262" s="12">
        <v>816.68863435230492</v>
      </c>
      <c r="Z1262" s="12">
        <v>1.61751158158766</v>
      </c>
      <c r="AA1262" s="12"/>
      <c r="AB1262" s="12"/>
    </row>
    <row r="1263" spans="1:28" x14ac:dyDescent="0.3">
      <c r="A1263" s="12" t="s">
        <v>3170</v>
      </c>
      <c r="B1263" s="12" t="s">
        <v>136</v>
      </c>
      <c r="C1263" s="12" t="s">
        <v>136</v>
      </c>
      <c r="D1263" s="12" t="s">
        <v>137</v>
      </c>
      <c r="E1263" s="12" t="s">
        <v>2978</v>
      </c>
      <c r="F1263" s="12" t="s">
        <v>1861</v>
      </c>
      <c r="G1263" s="12" t="s">
        <v>1861</v>
      </c>
      <c r="H1263" s="12" t="b">
        <v>1</v>
      </c>
      <c r="I1263" s="12" t="b">
        <v>0</v>
      </c>
      <c r="J1263" s="12" t="b">
        <v>0</v>
      </c>
      <c r="K1263" s="12" t="b">
        <v>0</v>
      </c>
      <c r="L1263" s="12">
        <v>388.6545899027584</v>
      </c>
      <c r="M1263" s="12">
        <v>289.50014111499343</v>
      </c>
      <c r="N1263" s="12">
        <v>2712.8597105407371</v>
      </c>
      <c r="O1263" s="12">
        <v>659.3942285039368</v>
      </c>
      <c r="P1263" s="12">
        <v>0.63022147350721691</v>
      </c>
      <c r="Q1263" s="12">
        <v>0.85689259860861289</v>
      </c>
      <c r="R1263" s="12">
        <v>0.80812275357703034</v>
      </c>
      <c r="S1263" s="12">
        <v>0.65959854162743992</v>
      </c>
      <c r="T1263" s="12">
        <v>0.64412637000768214</v>
      </c>
      <c r="U1263" s="12">
        <v>0.78580297298186175</v>
      </c>
      <c r="V1263" s="12">
        <v>289.50014111499343</v>
      </c>
      <c r="W1263" s="12">
        <v>8.783520252306209</v>
      </c>
      <c r="X1263" s="12">
        <v>35.214160143934663</v>
      </c>
      <c r="Y1263" s="12">
        <v>2053.4654820368</v>
      </c>
      <c r="Z1263" s="12">
        <v>4.1141696321725396</v>
      </c>
      <c r="AA1263" s="12" t="s">
        <v>1268</v>
      </c>
      <c r="AB1263" s="12"/>
    </row>
    <row r="1264" spans="1:28" x14ac:dyDescent="0.3">
      <c r="A1264" s="12" t="s">
        <v>3171</v>
      </c>
      <c r="B1264" s="12" t="s">
        <v>136</v>
      </c>
      <c r="C1264" s="12" t="s">
        <v>136</v>
      </c>
      <c r="D1264" s="12" t="s">
        <v>137</v>
      </c>
      <c r="E1264" s="12" t="s">
        <v>2978</v>
      </c>
      <c r="F1264" s="12" t="s">
        <v>1862</v>
      </c>
      <c r="G1264" s="12" t="s">
        <v>1862</v>
      </c>
      <c r="H1264" s="12" t="b">
        <v>1</v>
      </c>
      <c r="I1264" s="12" t="b">
        <v>0</v>
      </c>
      <c r="J1264" s="12" t="b">
        <v>0</v>
      </c>
      <c r="K1264" s="12" t="b">
        <v>0</v>
      </c>
      <c r="L1264" s="12">
        <v>399.58319388057379</v>
      </c>
      <c r="M1264" s="12">
        <v>293.34526293924159</v>
      </c>
      <c r="N1264" s="12">
        <v>2724.514536180277</v>
      </c>
      <c r="O1264" s="12">
        <v>314.73215967940439</v>
      </c>
      <c r="P1264" s="12">
        <v>0.72175803751061196</v>
      </c>
      <c r="Q1264" s="12">
        <v>0.79756465109963359</v>
      </c>
      <c r="R1264" s="12">
        <v>0.83389385279256734</v>
      </c>
      <c r="S1264" s="12">
        <v>0.67410017216038787</v>
      </c>
      <c r="T1264" s="12">
        <v>0.64841403197595349</v>
      </c>
      <c r="U1264" s="12">
        <v>0.80697152099167602</v>
      </c>
      <c r="V1264" s="12">
        <v>293.34526293924159</v>
      </c>
      <c r="W1264" s="12">
        <v>-10.239110527926011</v>
      </c>
      <c r="X1264" s="12">
        <v>-25.238315066112079</v>
      </c>
      <c r="Y1264" s="12">
        <v>2409.782376500872</v>
      </c>
      <c r="Z1264" s="12">
        <v>8.656613099073029</v>
      </c>
      <c r="AA1264" s="12" t="s">
        <v>2513</v>
      </c>
      <c r="AB1264" s="12"/>
    </row>
    <row r="1265" spans="1:28" x14ac:dyDescent="0.3">
      <c r="A1265" s="12" t="s">
        <v>3172</v>
      </c>
      <c r="B1265" s="12" t="s">
        <v>136</v>
      </c>
      <c r="C1265" s="12" t="s">
        <v>136</v>
      </c>
      <c r="D1265" s="12" t="s">
        <v>137</v>
      </c>
      <c r="E1265" s="12" t="s">
        <v>2978</v>
      </c>
      <c r="F1265" s="12" t="s">
        <v>32</v>
      </c>
      <c r="G1265" s="12" t="s">
        <v>32</v>
      </c>
      <c r="H1265" s="12" t="b">
        <v>1</v>
      </c>
      <c r="I1265" s="12" t="b">
        <v>0</v>
      </c>
      <c r="J1265" s="12" t="b">
        <v>1</v>
      </c>
      <c r="K1265" s="12" t="b">
        <v>0</v>
      </c>
      <c r="L1265" s="12">
        <v>449.34824422443648</v>
      </c>
      <c r="M1265" s="12">
        <v>278.26226066967621</v>
      </c>
      <c r="N1265" s="12">
        <v>4178.30434766902</v>
      </c>
      <c r="O1265" s="12">
        <v>1182.62103642894</v>
      </c>
      <c r="P1265" s="12">
        <v>0.53175995550004507</v>
      </c>
      <c r="Q1265" s="12">
        <v>0.91312019148602241</v>
      </c>
      <c r="R1265" s="12">
        <v>0.82314281915994525</v>
      </c>
      <c r="S1265" s="12">
        <v>0.70574619891711932</v>
      </c>
      <c r="T1265" s="12">
        <v>0.87764825041600392</v>
      </c>
      <c r="U1265" s="12">
        <v>0.81518256455605853</v>
      </c>
      <c r="V1265" s="12">
        <v>278.26226066967621</v>
      </c>
      <c r="W1265" s="12">
        <v>9.2946093978764406</v>
      </c>
      <c r="X1265" s="12">
        <v>58.924767912914128</v>
      </c>
      <c r="Y1265" s="12">
        <v>2995.68331124008</v>
      </c>
      <c r="Z1265" s="12">
        <v>3.533088131330631</v>
      </c>
      <c r="AA1265" s="12"/>
      <c r="AB1265" s="12"/>
    </row>
    <row r="1266" spans="1:28" x14ac:dyDescent="0.3">
      <c r="A1266" s="12" t="s">
        <v>3173</v>
      </c>
      <c r="B1266" s="12" t="s">
        <v>136</v>
      </c>
      <c r="C1266" s="12" t="s">
        <v>136</v>
      </c>
      <c r="D1266" s="12" t="s">
        <v>137</v>
      </c>
      <c r="E1266" s="12" t="s">
        <v>2978</v>
      </c>
      <c r="F1266" s="12" t="s">
        <v>1861</v>
      </c>
      <c r="G1266" s="12" t="s">
        <v>1861</v>
      </c>
      <c r="H1266" s="12" t="b">
        <v>1</v>
      </c>
      <c r="I1266" s="12" t="b">
        <v>0</v>
      </c>
      <c r="J1266" s="12" t="b">
        <v>0</v>
      </c>
      <c r="K1266" s="12" t="b">
        <v>0</v>
      </c>
      <c r="L1266" s="12">
        <v>417.20348180203462</v>
      </c>
      <c r="M1266" s="12">
        <v>298.38532055517862</v>
      </c>
      <c r="N1266" s="12">
        <v>2064.353382930798</v>
      </c>
      <c r="O1266" s="12">
        <v>792.86217315303668</v>
      </c>
      <c r="P1266" s="12">
        <v>0.59043235658589621</v>
      </c>
      <c r="Q1266" s="12">
        <v>0.76795416343778777</v>
      </c>
      <c r="R1266" s="12">
        <v>0.71277924130634207</v>
      </c>
      <c r="S1266" s="12">
        <v>0.61301029574804911</v>
      </c>
      <c r="T1266" s="12">
        <v>0.67016945957915652</v>
      </c>
      <c r="U1266" s="12">
        <v>0.88090476327062239</v>
      </c>
      <c r="V1266" s="12">
        <v>298.38532055517862</v>
      </c>
      <c r="W1266" s="12">
        <v>6.4050017517234199</v>
      </c>
      <c r="X1266" s="12">
        <v>42.653194902615802</v>
      </c>
      <c r="Y1266" s="12">
        <v>1271.4912097777619</v>
      </c>
      <c r="Z1266" s="12">
        <v>2.6036724323993461</v>
      </c>
      <c r="AA1266" s="12" t="s">
        <v>1268</v>
      </c>
      <c r="AB1266" s="12"/>
    </row>
    <row r="1267" spans="1:28" x14ac:dyDescent="0.3">
      <c r="A1267" s="12" t="s">
        <v>3174</v>
      </c>
      <c r="B1267" s="12" t="s">
        <v>136</v>
      </c>
      <c r="C1267" s="12" t="s">
        <v>136</v>
      </c>
      <c r="D1267" s="12" t="s">
        <v>137</v>
      </c>
      <c r="E1267" s="12" t="s">
        <v>2978</v>
      </c>
      <c r="F1267" s="12" t="s">
        <v>1861</v>
      </c>
      <c r="G1267" s="12" t="s">
        <v>1861</v>
      </c>
      <c r="H1267" s="12" t="b">
        <v>1</v>
      </c>
      <c r="I1267" s="12" t="b">
        <v>0</v>
      </c>
      <c r="J1267" s="12" t="b">
        <v>1</v>
      </c>
      <c r="K1267" s="12" t="b">
        <v>0</v>
      </c>
      <c r="L1267" s="12">
        <v>451.81145161288703</v>
      </c>
      <c r="M1267" s="12">
        <v>292.70255829948218</v>
      </c>
      <c r="N1267" s="12">
        <v>3828.611837533173</v>
      </c>
      <c r="O1267" s="12">
        <v>991.52080837900644</v>
      </c>
      <c r="P1267" s="12">
        <v>0.71592959156803893</v>
      </c>
      <c r="Q1267" s="12">
        <v>0.91789057884559</v>
      </c>
      <c r="R1267" s="12">
        <v>0.78773558832684387</v>
      </c>
      <c r="S1267" s="12">
        <v>0.82779112913679354</v>
      </c>
      <c r="T1267" s="12">
        <v>0.79507665345952816</v>
      </c>
      <c r="U1267" s="12">
        <v>0.74625398442177715</v>
      </c>
      <c r="V1267" s="12">
        <v>292.70255829948218</v>
      </c>
      <c r="W1267" s="12">
        <v>11.69101310489031</v>
      </c>
      <c r="X1267" s="12">
        <v>134.6671813414882</v>
      </c>
      <c r="Y1267" s="12">
        <v>2837.0910291541668</v>
      </c>
      <c r="Z1267" s="12">
        <v>3.8613529894469911</v>
      </c>
      <c r="AA1267" s="12" t="s">
        <v>1268</v>
      </c>
      <c r="AB1267" s="12"/>
    </row>
    <row r="1268" spans="1:28" x14ac:dyDescent="0.3">
      <c r="A1268" s="12" t="s">
        <v>3175</v>
      </c>
      <c r="B1268" s="12" t="s">
        <v>136</v>
      </c>
      <c r="C1268" s="12" t="s">
        <v>136</v>
      </c>
      <c r="D1268" s="12" t="s">
        <v>137</v>
      </c>
      <c r="E1268" s="12" t="s">
        <v>2978</v>
      </c>
      <c r="F1268" s="12" t="s">
        <v>1861</v>
      </c>
      <c r="G1268" s="12" t="s">
        <v>1861</v>
      </c>
      <c r="H1268" s="12" t="b">
        <v>1</v>
      </c>
      <c r="I1268" s="12" t="b">
        <v>0</v>
      </c>
      <c r="J1268" s="12" t="b">
        <v>0</v>
      </c>
      <c r="K1268" s="12" t="b">
        <v>0</v>
      </c>
      <c r="L1268" s="12">
        <v>384.63430753713789</v>
      </c>
      <c r="M1268" s="12">
        <v>297.53775902573028</v>
      </c>
      <c r="N1268" s="12">
        <v>4578.7454571058825</v>
      </c>
      <c r="O1268" s="12">
        <v>861.98322112454161</v>
      </c>
      <c r="P1268" s="12">
        <v>0.76810469656328073</v>
      </c>
      <c r="Q1268" s="12">
        <v>0.85560250656408687</v>
      </c>
      <c r="R1268" s="12">
        <v>0.86997247932558508</v>
      </c>
      <c r="S1268" s="12">
        <v>0.83232193797700171</v>
      </c>
      <c r="T1268" s="12">
        <v>0.76116884169590371</v>
      </c>
      <c r="U1268" s="12">
        <v>0.82903512844766714</v>
      </c>
      <c r="V1268" s="12">
        <v>297.53775902573028</v>
      </c>
      <c r="W1268" s="12">
        <v>10.84101769313531</v>
      </c>
      <c r="X1268" s="12">
        <v>41.70783717431528</v>
      </c>
      <c r="Y1268" s="12">
        <v>3716.7622359813408</v>
      </c>
      <c r="Z1268" s="12">
        <v>5.3118730677059594</v>
      </c>
      <c r="AA1268" s="12" t="s">
        <v>1268</v>
      </c>
      <c r="AB1268" s="12"/>
    </row>
    <row r="1269" spans="1:28" x14ac:dyDescent="0.3">
      <c r="A1269" s="12" t="s">
        <v>3176</v>
      </c>
      <c r="B1269" s="12" t="s">
        <v>136</v>
      </c>
      <c r="C1269" s="12" t="s">
        <v>136</v>
      </c>
      <c r="D1269" s="12" t="s">
        <v>137</v>
      </c>
      <c r="E1269" s="12" t="s">
        <v>2978</v>
      </c>
      <c r="F1269" s="12" t="s">
        <v>32</v>
      </c>
      <c r="G1269" s="12" t="s">
        <v>32</v>
      </c>
      <c r="H1269" s="12" t="b">
        <v>1</v>
      </c>
      <c r="I1269" s="12" t="b">
        <v>1</v>
      </c>
      <c r="J1269" s="12" t="b">
        <v>0</v>
      </c>
      <c r="K1269" s="12" t="b">
        <v>0</v>
      </c>
      <c r="L1269" s="12">
        <v>423.9950187444789</v>
      </c>
      <c r="M1269" s="12">
        <v>294.8562985461167</v>
      </c>
      <c r="N1269" s="12">
        <v>4734.3608776930996</v>
      </c>
      <c r="O1269" s="12">
        <v>1016.729934867299</v>
      </c>
      <c r="P1269" s="12">
        <v>0.5540502045846063</v>
      </c>
      <c r="Q1269" s="12">
        <v>0.90708873832322678</v>
      </c>
      <c r="R1269" s="12">
        <v>0.87940671253111935</v>
      </c>
      <c r="S1269" s="12">
        <v>0.65254073900159115</v>
      </c>
      <c r="T1269" s="12">
        <v>0.93310181363286804</v>
      </c>
      <c r="U1269" s="12">
        <v>0.88801863255697477</v>
      </c>
      <c r="V1269" s="12">
        <v>294.8562985461167</v>
      </c>
      <c r="W1269" s="12">
        <v>9.7945975483620487</v>
      </c>
      <c r="X1269" s="12">
        <v>26.023691839413541</v>
      </c>
      <c r="Y1269" s="12">
        <v>3717.630942825801</v>
      </c>
      <c r="Z1269" s="12">
        <v>4.6564586281321771</v>
      </c>
      <c r="AA1269" s="12"/>
      <c r="AB1269" s="12"/>
    </row>
    <row r="1270" spans="1:28" x14ac:dyDescent="0.3">
      <c r="A1270" s="12" t="s">
        <v>3177</v>
      </c>
      <c r="B1270" s="12" t="s">
        <v>136</v>
      </c>
      <c r="C1270" s="12" t="s">
        <v>136</v>
      </c>
      <c r="D1270" s="12" t="s">
        <v>137</v>
      </c>
      <c r="E1270" s="12" t="s">
        <v>2978</v>
      </c>
      <c r="F1270" s="12" t="s">
        <v>1861</v>
      </c>
      <c r="G1270" s="12" t="s">
        <v>1861</v>
      </c>
      <c r="H1270" s="12" t="b">
        <v>1</v>
      </c>
      <c r="I1270" s="12" t="b">
        <v>0</v>
      </c>
      <c r="J1270" s="12" t="b">
        <v>1</v>
      </c>
      <c r="K1270" s="12" t="b">
        <v>0</v>
      </c>
      <c r="L1270" s="12">
        <v>457.75253904977728</v>
      </c>
      <c r="M1270" s="12">
        <v>299.0939722672025</v>
      </c>
      <c r="N1270" s="12">
        <v>4287.7263781485071</v>
      </c>
      <c r="O1270" s="12">
        <v>486.26016700516772</v>
      </c>
      <c r="P1270" s="12">
        <v>0.74259114564889395</v>
      </c>
      <c r="Q1270" s="12">
        <v>0.75247122142857514</v>
      </c>
      <c r="R1270" s="12">
        <v>0.85306996185023265</v>
      </c>
      <c r="S1270" s="12">
        <v>0.89739684282601928</v>
      </c>
      <c r="T1270" s="12">
        <v>0.79683548019542239</v>
      </c>
      <c r="U1270" s="12">
        <v>0.72521212825121228</v>
      </c>
      <c r="V1270" s="12">
        <v>299.0939722672025</v>
      </c>
      <c r="W1270" s="12">
        <v>5.9538880666842999</v>
      </c>
      <c r="X1270" s="12">
        <v>47.688139626826541</v>
      </c>
      <c r="Y1270" s="12">
        <v>3801.4662111433399</v>
      </c>
      <c r="Z1270" s="12">
        <v>8.8177619083138676</v>
      </c>
      <c r="AA1270" s="12" t="s">
        <v>1268</v>
      </c>
      <c r="AB1270" s="12"/>
    </row>
    <row r="1271" spans="1:28" x14ac:dyDescent="0.3">
      <c r="A1271" s="12" t="s">
        <v>3178</v>
      </c>
      <c r="B1271" s="12" t="s">
        <v>136</v>
      </c>
      <c r="C1271" s="12" t="s">
        <v>136</v>
      </c>
      <c r="D1271" s="12" t="s">
        <v>137</v>
      </c>
      <c r="E1271" s="12" t="s">
        <v>2978</v>
      </c>
      <c r="F1271" s="12" t="s">
        <v>1861</v>
      </c>
      <c r="G1271" s="12" t="s">
        <v>1861</v>
      </c>
      <c r="H1271" s="12" t="b">
        <v>1</v>
      </c>
      <c r="I1271" s="12" t="b">
        <v>0</v>
      </c>
      <c r="J1271" s="12" t="b">
        <v>0</v>
      </c>
      <c r="K1271" s="12" t="b">
        <v>0</v>
      </c>
      <c r="L1271" s="12">
        <v>393.45039548050067</v>
      </c>
      <c r="M1271" s="12">
        <v>302.03170565492809</v>
      </c>
      <c r="N1271" s="12">
        <v>2820.6316503974258</v>
      </c>
      <c r="O1271" s="12">
        <v>316.56991964023939</v>
      </c>
      <c r="P1271" s="12">
        <v>0.50016995973274325</v>
      </c>
      <c r="Q1271" s="12">
        <v>0.90840886186051395</v>
      </c>
      <c r="R1271" s="12">
        <v>0.71020337857719584</v>
      </c>
      <c r="S1271" s="12">
        <v>0.65575130200470799</v>
      </c>
      <c r="T1271" s="12">
        <v>0.89580243712589769</v>
      </c>
      <c r="U1271" s="12">
        <v>0.93711495148153323</v>
      </c>
      <c r="V1271" s="12">
        <v>302.03170565492809</v>
      </c>
      <c r="W1271" s="12">
        <v>7.8516524312476896</v>
      </c>
      <c r="X1271" s="12">
        <v>10.81610141037873</v>
      </c>
      <c r="Y1271" s="12">
        <v>2504.061730757187</v>
      </c>
      <c r="Z1271" s="12">
        <v>8.90997999305457</v>
      </c>
      <c r="AA1271" s="12" t="s">
        <v>1268</v>
      </c>
      <c r="AB1271" s="12"/>
    </row>
    <row r="1272" spans="1:28" x14ac:dyDescent="0.3">
      <c r="A1272" s="12" t="s">
        <v>3179</v>
      </c>
      <c r="B1272" s="12" t="s">
        <v>136</v>
      </c>
      <c r="C1272" s="12" t="s">
        <v>136</v>
      </c>
      <c r="D1272" s="12" t="s">
        <v>137</v>
      </c>
      <c r="E1272" s="12" t="s">
        <v>2978</v>
      </c>
      <c r="F1272" s="12" t="s">
        <v>1861</v>
      </c>
      <c r="G1272" s="12" t="s">
        <v>1861</v>
      </c>
      <c r="H1272" s="12" t="b">
        <v>1</v>
      </c>
      <c r="I1272" s="12" t="b">
        <v>0</v>
      </c>
      <c r="J1272" s="12" t="b">
        <v>1</v>
      </c>
      <c r="K1272" s="12" t="b">
        <v>0</v>
      </c>
      <c r="L1272" s="12">
        <v>439.50422395508338</v>
      </c>
      <c r="M1272" s="12">
        <v>294.08681681013599</v>
      </c>
      <c r="N1272" s="12">
        <v>4820.2222616725549</v>
      </c>
      <c r="O1272" s="12">
        <v>623.1255034237613</v>
      </c>
      <c r="P1272" s="12">
        <v>0.69435682099576868</v>
      </c>
      <c r="Q1272" s="12">
        <v>0.75351851412518212</v>
      </c>
      <c r="R1272" s="12">
        <v>0.66105495074185194</v>
      </c>
      <c r="S1272" s="12">
        <v>0.88596618410040762</v>
      </c>
      <c r="T1272" s="12">
        <v>0.85415877192935752</v>
      </c>
      <c r="U1272" s="12">
        <v>0.78466365547746197</v>
      </c>
      <c r="V1272" s="12">
        <v>294.08681681013599</v>
      </c>
      <c r="W1272" s="12">
        <v>13.083061200220209</v>
      </c>
      <c r="X1272" s="12">
        <v>113.9524015563204</v>
      </c>
      <c r="Y1272" s="12">
        <v>4197.0967582487938</v>
      </c>
      <c r="Z1272" s="12">
        <v>7.7355560560237988</v>
      </c>
      <c r="AA1272" s="12" t="s">
        <v>1268</v>
      </c>
      <c r="AB1272" s="12"/>
    </row>
    <row r="1273" spans="1:28" x14ac:dyDescent="0.3">
      <c r="A1273" s="12" t="s">
        <v>3180</v>
      </c>
      <c r="B1273" s="12" t="s">
        <v>136</v>
      </c>
      <c r="C1273" s="12" t="s">
        <v>136</v>
      </c>
      <c r="D1273" s="12" t="s">
        <v>137</v>
      </c>
      <c r="E1273" s="12" t="s">
        <v>2978</v>
      </c>
      <c r="F1273" s="12" t="s">
        <v>1861</v>
      </c>
      <c r="G1273" s="12" t="s">
        <v>1861</v>
      </c>
      <c r="H1273" s="12" t="b">
        <v>1</v>
      </c>
      <c r="I1273" s="12" t="b">
        <v>0</v>
      </c>
      <c r="J1273" s="12" t="b">
        <v>1</v>
      </c>
      <c r="K1273" s="12" t="b">
        <v>0</v>
      </c>
      <c r="L1273" s="12">
        <v>473.44843576617592</v>
      </c>
      <c r="M1273" s="12">
        <v>301.73916247513432</v>
      </c>
      <c r="N1273" s="12">
        <v>2193.4238288977081</v>
      </c>
      <c r="O1273" s="12">
        <v>1471.103642271848</v>
      </c>
      <c r="P1273" s="12">
        <v>0.60731630181958995</v>
      </c>
      <c r="Q1273" s="12">
        <v>0.9061544433733868</v>
      </c>
      <c r="R1273" s="12">
        <v>0.69297763720827887</v>
      </c>
      <c r="S1273" s="12">
        <v>0.62924804178560068</v>
      </c>
      <c r="T1273" s="12">
        <v>0.72835355597907248</v>
      </c>
      <c r="U1273" s="12">
        <v>0.82069268404072249</v>
      </c>
      <c r="V1273" s="12">
        <v>301.73916247513432</v>
      </c>
      <c r="W1273" s="12">
        <v>3.4973255160289698</v>
      </c>
      <c r="X1273" s="12">
        <v>41.700371242876379</v>
      </c>
      <c r="Y1273" s="12">
        <v>722.32018662585983</v>
      </c>
      <c r="Z1273" s="12">
        <v>1.4910056408468739</v>
      </c>
      <c r="AA1273" s="12" t="s">
        <v>1268</v>
      </c>
      <c r="AB1273" s="12"/>
    </row>
    <row r="1274" spans="1:28" x14ac:dyDescent="0.3">
      <c r="A1274" s="12" t="s">
        <v>3181</v>
      </c>
      <c r="B1274" s="12" t="s">
        <v>136</v>
      </c>
      <c r="C1274" s="12" t="s">
        <v>136</v>
      </c>
      <c r="D1274" s="12" t="s">
        <v>137</v>
      </c>
      <c r="E1274" s="12" t="s">
        <v>2978</v>
      </c>
      <c r="F1274" s="12" t="s">
        <v>32</v>
      </c>
      <c r="G1274" s="12" t="s">
        <v>32</v>
      </c>
      <c r="H1274" s="12" t="b">
        <v>1</v>
      </c>
      <c r="I1274" s="12" t="b">
        <v>1</v>
      </c>
      <c r="J1274" s="12" t="b">
        <v>0</v>
      </c>
      <c r="K1274" s="12" t="b">
        <v>0</v>
      </c>
      <c r="L1274" s="12">
        <v>422.7578551462301</v>
      </c>
      <c r="M1274" s="12">
        <v>288.66180853473043</v>
      </c>
      <c r="N1274" s="12">
        <v>3353.2346775751012</v>
      </c>
      <c r="O1274" s="12">
        <v>1224.9496971742749</v>
      </c>
      <c r="P1274" s="12">
        <v>0.68652646407654161</v>
      </c>
      <c r="Q1274" s="12">
        <v>0.83916682609728233</v>
      </c>
      <c r="R1274" s="12">
        <v>0.69966242364195386</v>
      </c>
      <c r="S1274" s="12">
        <v>0.73607995945116445</v>
      </c>
      <c r="T1274" s="12">
        <v>0.66672354052411675</v>
      </c>
      <c r="U1274" s="12">
        <v>0.83574727484445699</v>
      </c>
      <c r="V1274" s="12">
        <v>288.66180853473043</v>
      </c>
      <c r="W1274" s="12">
        <v>7.8367542498852396</v>
      </c>
      <c r="X1274" s="12">
        <v>61.202222559220637</v>
      </c>
      <c r="Y1274" s="12">
        <v>2128.284980400826</v>
      </c>
      <c r="Z1274" s="12">
        <v>2.7374468399072822</v>
      </c>
      <c r="AA1274" s="12"/>
      <c r="AB1274" s="12"/>
    </row>
    <row r="1275" spans="1:28" x14ac:dyDescent="0.3">
      <c r="A1275" s="12" t="s">
        <v>3182</v>
      </c>
      <c r="B1275" s="12" t="s">
        <v>136</v>
      </c>
      <c r="C1275" s="12" t="s">
        <v>136</v>
      </c>
      <c r="D1275" s="12" t="s">
        <v>137</v>
      </c>
      <c r="E1275" s="12" t="s">
        <v>2978</v>
      </c>
      <c r="F1275" s="12" t="s">
        <v>32</v>
      </c>
      <c r="G1275" s="12" t="s">
        <v>32</v>
      </c>
      <c r="H1275" s="12" t="b">
        <v>1</v>
      </c>
      <c r="I1275" s="12" t="b">
        <v>1</v>
      </c>
      <c r="J1275" s="12" t="b">
        <v>0</v>
      </c>
      <c r="K1275" s="12" t="b">
        <v>0</v>
      </c>
      <c r="L1275" s="12">
        <v>408.17460679705198</v>
      </c>
      <c r="M1275" s="12">
        <v>297.34082255518678</v>
      </c>
      <c r="N1275" s="12">
        <v>3635.642214756188</v>
      </c>
      <c r="O1275" s="12">
        <v>1074.270243330533</v>
      </c>
      <c r="P1275" s="12">
        <v>0.52919020572614706</v>
      </c>
      <c r="Q1275" s="12">
        <v>0.77597512149218639</v>
      </c>
      <c r="R1275" s="12">
        <v>0.67546734824656784</v>
      </c>
      <c r="S1275" s="12">
        <v>0.87440543421971939</v>
      </c>
      <c r="T1275" s="12">
        <v>0.71083465404853852</v>
      </c>
      <c r="U1275" s="12">
        <v>0.83069305484869616</v>
      </c>
      <c r="V1275" s="12">
        <v>297.34082255518678</v>
      </c>
      <c r="W1275" s="12">
        <v>5.0504482959563504</v>
      </c>
      <c r="X1275" s="12">
        <v>17.517348018705921</v>
      </c>
      <c r="Y1275" s="12">
        <v>2561.3719714256549</v>
      </c>
      <c r="Z1275" s="12">
        <v>3.384290160997756</v>
      </c>
      <c r="AA1275" s="12"/>
      <c r="AB1275" s="12"/>
    </row>
    <row r="1276" spans="1:28" x14ac:dyDescent="0.3">
      <c r="A1276" s="12" t="s">
        <v>3183</v>
      </c>
      <c r="B1276" s="12" t="s">
        <v>136</v>
      </c>
      <c r="C1276" s="12" t="s">
        <v>136</v>
      </c>
      <c r="D1276" s="12" t="s">
        <v>137</v>
      </c>
      <c r="E1276" s="12" t="s">
        <v>2978</v>
      </c>
      <c r="F1276" s="12" t="s">
        <v>32</v>
      </c>
      <c r="G1276" s="12" t="s">
        <v>32</v>
      </c>
      <c r="H1276" s="12" t="b">
        <v>1</v>
      </c>
      <c r="I1276" s="12" t="b">
        <v>1</v>
      </c>
      <c r="J1276" s="12" t="b">
        <v>0</v>
      </c>
      <c r="K1276" s="12" t="b">
        <v>0</v>
      </c>
      <c r="L1276" s="12">
        <v>382.94184877558411</v>
      </c>
      <c r="M1276" s="12">
        <v>302.21192360793361</v>
      </c>
      <c r="N1276" s="12">
        <v>3985.9676927566779</v>
      </c>
      <c r="O1276" s="12">
        <v>946.08833318626057</v>
      </c>
      <c r="P1276" s="12">
        <v>0.67829733257299818</v>
      </c>
      <c r="Q1276" s="12">
        <v>0.87075714824646255</v>
      </c>
      <c r="R1276" s="12">
        <v>0.78390786838197102</v>
      </c>
      <c r="S1276" s="12">
        <v>0.9042096691906758</v>
      </c>
      <c r="T1276" s="12">
        <v>0.67371593442283673</v>
      </c>
      <c r="U1276" s="12">
        <v>0.8714601439843408</v>
      </c>
      <c r="V1276" s="12">
        <v>302.21192360793361</v>
      </c>
      <c r="W1276" s="12">
        <v>6.96076622317592</v>
      </c>
      <c r="X1276" s="12">
        <v>20.52900965518425</v>
      </c>
      <c r="Y1276" s="12">
        <v>3039.8793595704169</v>
      </c>
      <c r="Z1276" s="12">
        <v>4.2131031035258966</v>
      </c>
      <c r="AA1276" s="12"/>
      <c r="AB1276" s="12"/>
    </row>
    <row r="1277" spans="1:28" x14ac:dyDescent="0.3">
      <c r="A1277" s="12" t="s">
        <v>3184</v>
      </c>
      <c r="B1277" s="12" t="s">
        <v>136</v>
      </c>
      <c r="C1277" s="12" t="s">
        <v>136</v>
      </c>
      <c r="D1277" s="12" t="s">
        <v>137</v>
      </c>
      <c r="E1277" s="12" t="s">
        <v>2978</v>
      </c>
      <c r="F1277" s="12" t="s">
        <v>1861</v>
      </c>
      <c r="G1277" s="12" t="s">
        <v>1861</v>
      </c>
      <c r="H1277" s="12" t="b">
        <v>1</v>
      </c>
      <c r="I1277" s="12" t="b">
        <v>0</v>
      </c>
      <c r="J1277" s="12" t="b">
        <v>0</v>
      </c>
      <c r="K1277" s="12" t="b">
        <v>0</v>
      </c>
      <c r="L1277" s="12">
        <v>400.70429949507729</v>
      </c>
      <c r="M1277" s="12">
        <v>299.93149010539901</v>
      </c>
      <c r="N1277" s="12">
        <v>2382.9398979445341</v>
      </c>
      <c r="O1277" s="12">
        <v>871.91060596327191</v>
      </c>
      <c r="P1277" s="12">
        <v>0.84480581050373449</v>
      </c>
      <c r="Q1277" s="12">
        <v>0.77918147209291344</v>
      </c>
      <c r="R1277" s="12">
        <v>0.80038054007492176</v>
      </c>
      <c r="S1277" s="12">
        <v>0.93775092770931057</v>
      </c>
      <c r="T1277" s="12">
        <v>0.76861429853478547</v>
      </c>
      <c r="U1277" s="12">
        <v>0.77408176820896013</v>
      </c>
      <c r="V1277" s="12">
        <v>299.93149010539901</v>
      </c>
      <c r="W1277" s="12">
        <v>6.7433761500492198</v>
      </c>
      <c r="X1277" s="12">
        <v>60.730798245102967</v>
      </c>
      <c r="Y1277" s="12">
        <v>1511.0292919812621</v>
      </c>
      <c r="Z1277" s="12">
        <v>2.733009418221152</v>
      </c>
      <c r="AA1277" s="12" t="s">
        <v>1268</v>
      </c>
      <c r="AB1277" s="12"/>
    </row>
    <row r="1278" spans="1:28" x14ac:dyDescent="0.3">
      <c r="A1278" s="12" t="s">
        <v>3185</v>
      </c>
      <c r="B1278" s="12" t="s">
        <v>136</v>
      </c>
      <c r="C1278" s="12" t="s">
        <v>136</v>
      </c>
      <c r="D1278" s="12" t="s">
        <v>137</v>
      </c>
      <c r="E1278" s="12" t="s">
        <v>2978</v>
      </c>
      <c r="F1278" s="12" t="s">
        <v>1861</v>
      </c>
      <c r="G1278" s="12" t="s">
        <v>1861</v>
      </c>
      <c r="H1278" s="12" t="b">
        <v>1</v>
      </c>
      <c r="I1278" s="12" t="b">
        <v>0</v>
      </c>
      <c r="J1278" s="12" t="b">
        <v>1</v>
      </c>
      <c r="K1278" s="12" t="b">
        <v>0</v>
      </c>
      <c r="L1278" s="12">
        <v>461.05430749174019</v>
      </c>
      <c r="M1278" s="12">
        <v>302.93909238626321</v>
      </c>
      <c r="N1278" s="12">
        <v>3782.8824133567869</v>
      </c>
      <c r="O1278" s="12">
        <v>1420.202265011503</v>
      </c>
      <c r="P1278" s="12">
        <v>0.58814164084424148</v>
      </c>
      <c r="Q1278" s="12">
        <v>0.8048204890627807</v>
      </c>
      <c r="R1278" s="12">
        <v>0.65845245387788287</v>
      </c>
      <c r="S1278" s="12">
        <v>0.88964821217964329</v>
      </c>
      <c r="T1278" s="12">
        <v>0.68306947707132404</v>
      </c>
      <c r="U1278" s="12">
        <v>0.7370878264061369</v>
      </c>
      <c r="V1278" s="12">
        <v>302.93909238626321</v>
      </c>
      <c r="W1278" s="12">
        <v>6.6932864847196907</v>
      </c>
      <c r="X1278" s="12">
        <v>76.420483802593935</v>
      </c>
      <c r="Y1278" s="12">
        <v>2362.6801483452841</v>
      </c>
      <c r="Z1278" s="12">
        <v>2.663622292790913</v>
      </c>
      <c r="AA1278" s="12" t="s">
        <v>1268</v>
      </c>
      <c r="AB1278" s="12"/>
    </row>
    <row r="1279" spans="1:28" x14ac:dyDescent="0.3">
      <c r="A1279" s="12" t="s">
        <v>3186</v>
      </c>
      <c r="B1279" s="12" t="s">
        <v>136</v>
      </c>
      <c r="C1279" s="12" t="s">
        <v>136</v>
      </c>
      <c r="D1279" s="12" t="s">
        <v>137</v>
      </c>
      <c r="E1279" s="12" t="s">
        <v>2978</v>
      </c>
      <c r="F1279" s="12" t="s">
        <v>1861</v>
      </c>
      <c r="G1279" s="12" t="s">
        <v>1861</v>
      </c>
      <c r="H1279" s="12" t="b">
        <v>1</v>
      </c>
      <c r="I1279" s="12" t="b">
        <v>0</v>
      </c>
      <c r="J1279" s="12" t="b">
        <v>0</v>
      </c>
      <c r="K1279" s="12" t="b">
        <v>0</v>
      </c>
      <c r="L1279" s="12">
        <v>455.29035022854163</v>
      </c>
      <c r="M1279" s="12">
        <v>300.55163828134079</v>
      </c>
      <c r="N1279" s="12">
        <v>2770.7359086313959</v>
      </c>
      <c r="O1279" s="12">
        <v>769.41760071309363</v>
      </c>
      <c r="P1279" s="12">
        <v>0.81750884150488257</v>
      </c>
      <c r="Q1279" s="12">
        <v>0.75191201895300219</v>
      </c>
      <c r="R1279" s="12">
        <v>0.69081902558152031</v>
      </c>
      <c r="S1279" s="12">
        <v>0.62029381051553267</v>
      </c>
      <c r="T1279" s="12">
        <v>0.63628831051197932</v>
      </c>
      <c r="U1279" s="12">
        <v>0.83293054387366905</v>
      </c>
      <c r="V1279" s="12">
        <v>300.55163828134079</v>
      </c>
      <c r="W1279" s="12">
        <v>4.0252472760831104</v>
      </c>
      <c r="X1279" s="12">
        <v>30.171738876716599</v>
      </c>
      <c r="Y1279" s="12">
        <v>2001.3183079183029</v>
      </c>
      <c r="Z1279" s="12">
        <v>3.6010820470749398</v>
      </c>
      <c r="AA1279" s="12" t="s">
        <v>1268</v>
      </c>
      <c r="AB1279" s="12"/>
    </row>
    <row r="1280" spans="1:28" x14ac:dyDescent="0.3">
      <c r="A1280" s="12" t="s">
        <v>3187</v>
      </c>
      <c r="B1280" s="12" t="s">
        <v>136</v>
      </c>
      <c r="C1280" s="12" t="s">
        <v>136</v>
      </c>
      <c r="D1280" s="12" t="s">
        <v>137</v>
      </c>
      <c r="E1280" s="12" t="s">
        <v>2978</v>
      </c>
      <c r="F1280" s="12" t="s">
        <v>32</v>
      </c>
      <c r="G1280" s="12" t="s">
        <v>32</v>
      </c>
      <c r="H1280" s="12" t="b">
        <v>1</v>
      </c>
      <c r="I1280" s="12" t="b">
        <v>0</v>
      </c>
      <c r="J1280" s="12" t="b">
        <v>1</v>
      </c>
      <c r="K1280" s="12" t="b">
        <v>0</v>
      </c>
      <c r="L1280" s="12">
        <v>496.20695666659083</v>
      </c>
      <c r="M1280" s="12">
        <v>288.73746231834218</v>
      </c>
      <c r="N1280" s="12">
        <v>2230.392431952534</v>
      </c>
      <c r="O1280" s="12">
        <v>1325.645944743025</v>
      </c>
      <c r="P1280" s="12">
        <v>0.71944636017583519</v>
      </c>
      <c r="Q1280" s="12">
        <v>0.7507729107346055</v>
      </c>
      <c r="R1280" s="12">
        <v>0.84283220121427505</v>
      </c>
      <c r="S1280" s="12">
        <v>0.74632777326816147</v>
      </c>
      <c r="T1280" s="12">
        <v>0.90620839136664944</v>
      </c>
      <c r="U1280" s="12">
        <v>0.90544595079044843</v>
      </c>
      <c r="V1280" s="12">
        <v>288.73746231834218</v>
      </c>
      <c r="W1280" s="12">
        <v>3.9249967314537999</v>
      </c>
      <c r="X1280" s="12">
        <v>57.609233505737848</v>
      </c>
      <c r="Y1280" s="12">
        <v>904.74648720950916</v>
      </c>
      <c r="Z1280" s="12">
        <v>1.682494817562237</v>
      </c>
      <c r="AA1280" s="12"/>
      <c r="AB1280" s="12"/>
    </row>
    <row r="1281" spans="1:28" x14ac:dyDescent="0.3">
      <c r="A1281" s="12" t="s">
        <v>3188</v>
      </c>
      <c r="B1281" s="12" t="s">
        <v>136</v>
      </c>
      <c r="C1281" s="12" t="s">
        <v>136</v>
      </c>
      <c r="D1281" s="12" t="s">
        <v>137</v>
      </c>
      <c r="E1281" s="12" t="s">
        <v>2978</v>
      </c>
      <c r="F1281" s="12" t="s">
        <v>1861</v>
      </c>
      <c r="G1281" s="12" t="s">
        <v>1861</v>
      </c>
      <c r="H1281" s="12" t="b">
        <v>1</v>
      </c>
      <c r="I1281" s="12" t="b">
        <v>0</v>
      </c>
      <c r="J1281" s="12" t="b">
        <v>1</v>
      </c>
      <c r="K1281" s="12" t="b">
        <v>0</v>
      </c>
      <c r="L1281" s="12">
        <v>470.69455993894758</v>
      </c>
      <c r="M1281" s="12">
        <v>289.92172654005208</v>
      </c>
      <c r="N1281" s="12">
        <v>4034.5099202175652</v>
      </c>
      <c r="O1281" s="12">
        <v>480.62848274879542</v>
      </c>
      <c r="P1281" s="12">
        <v>0.60452207169050709</v>
      </c>
      <c r="Q1281" s="12">
        <v>0.8143443193014166</v>
      </c>
      <c r="R1281" s="12">
        <v>0.73653099729117133</v>
      </c>
      <c r="S1281" s="12">
        <v>0.70726845737080646</v>
      </c>
      <c r="T1281" s="12">
        <v>0.87483229341580027</v>
      </c>
      <c r="U1281" s="12">
        <v>0.74460186316201371</v>
      </c>
      <c r="V1281" s="12">
        <v>289.92172654005208</v>
      </c>
      <c r="W1281" s="12">
        <v>13.755341966113891</v>
      </c>
      <c r="X1281" s="12">
        <v>153.16406592803031</v>
      </c>
      <c r="Y1281" s="12">
        <v>3553.8814374687699</v>
      </c>
      <c r="Z1281" s="12">
        <v>8.3942380966344778</v>
      </c>
      <c r="AA1281" s="12" t="s">
        <v>1268</v>
      </c>
      <c r="AB1281" s="12"/>
    </row>
    <row r="1282" spans="1:28" x14ac:dyDescent="0.3">
      <c r="A1282" s="12" t="s">
        <v>3189</v>
      </c>
      <c r="B1282" s="12" t="s">
        <v>136</v>
      </c>
      <c r="C1282" s="12" t="s">
        <v>136</v>
      </c>
      <c r="D1282" s="12" t="s">
        <v>137</v>
      </c>
      <c r="E1282" s="12" t="s">
        <v>2978</v>
      </c>
      <c r="F1282" s="12" t="s">
        <v>1861</v>
      </c>
      <c r="G1282" s="12" t="s">
        <v>1861</v>
      </c>
      <c r="H1282" s="12" t="b">
        <v>1</v>
      </c>
      <c r="I1282" s="12" t="b">
        <v>0</v>
      </c>
      <c r="J1282" s="12" t="b">
        <v>0</v>
      </c>
      <c r="K1282" s="12" t="b">
        <v>0</v>
      </c>
      <c r="L1282" s="12">
        <v>459.83914250291099</v>
      </c>
      <c r="M1282" s="12">
        <v>294.41163530930902</v>
      </c>
      <c r="N1282" s="12">
        <v>4447.3091464378576</v>
      </c>
      <c r="O1282" s="12">
        <v>1329.3637888743431</v>
      </c>
      <c r="P1282" s="12">
        <v>0.80427864642538904</v>
      </c>
      <c r="Q1282" s="12">
        <v>0.83456035093342695</v>
      </c>
      <c r="R1282" s="12">
        <v>0.88578650016222715</v>
      </c>
      <c r="S1282" s="12">
        <v>0.63738442473986701</v>
      </c>
      <c r="T1282" s="12">
        <v>0.73459728956171311</v>
      </c>
      <c r="U1282" s="12">
        <v>0.81430190652222101</v>
      </c>
      <c r="V1282" s="12">
        <v>294.41163530930902</v>
      </c>
      <c r="W1282" s="12">
        <v>10.751880536510001</v>
      </c>
      <c r="X1282" s="12">
        <v>107.60735865046679</v>
      </c>
      <c r="Y1282" s="12">
        <v>3117.9453575635148</v>
      </c>
      <c r="Z1282" s="12">
        <v>3.345441769708259</v>
      </c>
      <c r="AA1282" s="12" t="s">
        <v>1268</v>
      </c>
      <c r="AB1282" s="12"/>
    </row>
    <row r="1283" spans="1:28" x14ac:dyDescent="0.3">
      <c r="A1283" s="12" t="s">
        <v>3190</v>
      </c>
      <c r="B1283" s="12" t="s">
        <v>136</v>
      </c>
      <c r="C1283" s="12" t="s">
        <v>136</v>
      </c>
      <c r="D1283" s="12" t="s">
        <v>137</v>
      </c>
      <c r="E1283" s="12" t="s">
        <v>2978</v>
      </c>
      <c r="F1283" s="12" t="s">
        <v>32</v>
      </c>
      <c r="G1283" s="12" t="s">
        <v>32</v>
      </c>
      <c r="H1283" s="12" t="b">
        <v>1</v>
      </c>
      <c r="I1283" s="12" t="b">
        <v>0</v>
      </c>
      <c r="J1283" s="12" t="b">
        <v>1</v>
      </c>
      <c r="K1283" s="12" t="b">
        <v>0</v>
      </c>
      <c r="L1283" s="12">
        <v>497.04845107202391</v>
      </c>
      <c r="M1283" s="12">
        <v>289.20357288295941</v>
      </c>
      <c r="N1283" s="12">
        <v>2646.096710846009</v>
      </c>
      <c r="O1283" s="12">
        <v>805.10400139102603</v>
      </c>
      <c r="P1283" s="12">
        <v>0.5071073020521002</v>
      </c>
      <c r="Q1283" s="12">
        <v>0.88224216956720869</v>
      </c>
      <c r="R1283" s="12">
        <v>0.87192118271815566</v>
      </c>
      <c r="S1283" s="12">
        <v>0.90317936586022318</v>
      </c>
      <c r="T1283" s="12">
        <v>0.69975014501957367</v>
      </c>
      <c r="U1283" s="12">
        <v>0.94680208549516642</v>
      </c>
      <c r="V1283" s="12">
        <v>289.20357288295941</v>
      </c>
      <c r="W1283" s="12">
        <v>8.4444227894368797</v>
      </c>
      <c r="X1283" s="12">
        <v>176.66471971232411</v>
      </c>
      <c r="Y1283" s="12">
        <v>1840.992709454983</v>
      </c>
      <c r="Z1283" s="12">
        <v>3.2866520428096129</v>
      </c>
      <c r="AA1283" s="12"/>
      <c r="AB1283" s="12"/>
    </row>
    <row r="1284" spans="1:28" x14ac:dyDescent="0.3">
      <c r="A1284" s="12" t="s">
        <v>3191</v>
      </c>
      <c r="B1284" s="12" t="s">
        <v>136</v>
      </c>
      <c r="C1284" s="12" t="s">
        <v>136</v>
      </c>
      <c r="D1284" s="12" t="s">
        <v>137</v>
      </c>
      <c r="E1284" s="12" t="s">
        <v>2978</v>
      </c>
      <c r="F1284" s="12" t="s">
        <v>32</v>
      </c>
      <c r="G1284" s="12" t="s">
        <v>32</v>
      </c>
      <c r="H1284" s="12" t="b">
        <v>1</v>
      </c>
      <c r="I1284" s="12" t="b">
        <v>1</v>
      </c>
      <c r="J1284" s="12" t="b">
        <v>0</v>
      </c>
      <c r="K1284" s="12" t="b">
        <v>0</v>
      </c>
      <c r="L1284" s="12">
        <v>402.9784816442986</v>
      </c>
      <c r="M1284" s="12">
        <v>281.55884846985612</v>
      </c>
      <c r="N1284" s="12">
        <v>4312.3096074069481</v>
      </c>
      <c r="O1284" s="12">
        <v>691.77340073409539</v>
      </c>
      <c r="P1284" s="12">
        <v>0.65024356500045744</v>
      </c>
      <c r="Q1284" s="12">
        <v>0.79540022597919169</v>
      </c>
      <c r="R1284" s="12">
        <v>0.88689568227291837</v>
      </c>
      <c r="S1284" s="12">
        <v>0.85928503260863653</v>
      </c>
      <c r="T1284" s="12">
        <v>0.78773679114671291</v>
      </c>
      <c r="U1284" s="12">
        <v>0.79869267488746987</v>
      </c>
      <c r="V1284" s="12">
        <v>281.55884846985612</v>
      </c>
      <c r="W1284" s="12">
        <v>10.64360232447652</v>
      </c>
      <c r="X1284" s="12">
        <v>47.002296249694979</v>
      </c>
      <c r="Y1284" s="12">
        <v>3620.536206672853</v>
      </c>
      <c r="Z1284" s="12">
        <v>6.2337025431027211</v>
      </c>
      <c r="AA1284" s="12"/>
      <c r="AB1284" s="12"/>
    </row>
    <row r="1285" spans="1:28" x14ac:dyDescent="0.3">
      <c r="A1285" s="12" t="s">
        <v>3192</v>
      </c>
      <c r="B1285" s="12" t="s">
        <v>136</v>
      </c>
      <c r="C1285" s="12" t="s">
        <v>136</v>
      </c>
      <c r="D1285" s="12" t="s">
        <v>137</v>
      </c>
      <c r="E1285" s="12" t="s">
        <v>2978</v>
      </c>
      <c r="F1285" s="12" t="s">
        <v>1861</v>
      </c>
      <c r="G1285" s="12" t="s">
        <v>1861</v>
      </c>
      <c r="H1285" s="12" t="b">
        <v>1</v>
      </c>
      <c r="I1285" s="12" t="b">
        <v>0</v>
      </c>
      <c r="J1285" s="12" t="b">
        <v>1</v>
      </c>
      <c r="K1285" s="12" t="b">
        <v>0</v>
      </c>
      <c r="L1285" s="12">
        <v>491.52576964558722</v>
      </c>
      <c r="M1285" s="12">
        <v>284.33257631439352</v>
      </c>
      <c r="N1285" s="12">
        <v>3931.4769638822299</v>
      </c>
      <c r="O1285" s="12">
        <v>899.11822816746815</v>
      </c>
      <c r="P1285" s="12">
        <v>0.53782640633498091</v>
      </c>
      <c r="Q1285" s="12">
        <v>0.79496753644496099</v>
      </c>
      <c r="R1285" s="12">
        <v>0.71705788064675635</v>
      </c>
      <c r="S1285" s="12">
        <v>0.74117903880077862</v>
      </c>
      <c r="T1285" s="12">
        <v>0.89968030874839255</v>
      </c>
      <c r="U1285" s="12">
        <v>0.86082014714183686</v>
      </c>
      <c r="V1285" s="12">
        <v>284.33257631439352</v>
      </c>
      <c r="W1285" s="12">
        <v>9.9923806470381606</v>
      </c>
      <c r="X1285" s="12">
        <v>149.13493317087531</v>
      </c>
      <c r="Y1285" s="12">
        <v>3032.3587357147621</v>
      </c>
      <c r="Z1285" s="12">
        <v>4.3725917690437033</v>
      </c>
      <c r="AA1285" s="12" t="s">
        <v>1268</v>
      </c>
      <c r="AB1285" s="12"/>
    </row>
    <row r="1286" spans="1:28" x14ac:dyDescent="0.3">
      <c r="A1286" s="12" t="s">
        <v>3193</v>
      </c>
      <c r="B1286" s="12" t="s">
        <v>136</v>
      </c>
      <c r="C1286" s="12" t="s">
        <v>136</v>
      </c>
      <c r="D1286" s="12" t="s">
        <v>137</v>
      </c>
      <c r="E1286" s="12" t="s">
        <v>2978</v>
      </c>
      <c r="F1286" s="12" t="s">
        <v>1861</v>
      </c>
      <c r="G1286" s="12" t="s">
        <v>1861</v>
      </c>
      <c r="H1286" s="12" t="b">
        <v>1</v>
      </c>
      <c r="I1286" s="12" t="b">
        <v>0</v>
      </c>
      <c r="J1286" s="12" t="b">
        <v>0</v>
      </c>
      <c r="K1286" s="12" t="b">
        <v>0</v>
      </c>
      <c r="L1286" s="12">
        <v>401.68721413783652</v>
      </c>
      <c r="M1286" s="12">
        <v>278.63207550279708</v>
      </c>
      <c r="N1286" s="12">
        <v>4722.718648960963</v>
      </c>
      <c r="O1286" s="12">
        <v>478.16193812099573</v>
      </c>
      <c r="P1286" s="12">
        <v>0.78126642868830598</v>
      </c>
      <c r="Q1286" s="12">
        <v>0.8421334524264773</v>
      </c>
      <c r="R1286" s="12">
        <v>0.79273176532360956</v>
      </c>
      <c r="S1286" s="12">
        <v>0.64817386550608302</v>
      </c>
      <c r="T1286" s="12">
        <v>0.63734126851433581</v>
      </c>
      <c r="U1286" s="12">
        <v>0.90817424502603539</v>
      </c>
      <c r="V1286" s="12">
        <v>278.63207550279708</v>
      </c>
      <c r="W1286" s="12">
        <v>12.838430225430971</v>
      </c>
      <c r="X1286" s="12">
        <v>70.798942841983646</v>
      </c>
      <c r="Y1286" s="12">
        <v>4244.5567108399673</v>
      </c>
      <c r="Z1286" s="12">
        <v>9.8768184425543097</v>
      </c>
      <c r="AA1286" s="12" t="s">
        <v>1268</v>
      </c>
      <c r="AB1286" s="12"/>
    </row>
    <row r="1287" spans="1:28" x14ac:dyDescent="0.3">
      <c r="A1287" s="12" t="s">
        <v>3194</v>
      </c>
      <c r="B1287" s="12" t="s">
        <v>136</v>
      </c>
      <c r="C1287" s="12" t="s">
        <v>136</v>
      </c>
      <c r="D1287" s="12" t="s">
        <v>137</v>
      </c>
      <c r="E1287" s="12" t="s">
        <v>2978</v>
      </c>
      <c r="F1287" s="12" t="s">
        <v>32</v>
      </c>
      <c r="G1287" s="12" t="s">
        <v>32</v>
      </c>
      <c r="H1287" s="12" t="b">
        <v>1</v>
      </c>
      <c r="I1287" s="12" t="b">
        <v>1</v>
      </c>
      <c r="J1287" s="12" t="b">
        <v>0</v>
      </c>
      <c r="K1287" s="12" t="b">
        <v>0</v>
      </c>
      <c r="L1287" s="12">
        <v>380.5836236353158</v>
      </c>
      <c r="M1287" s="12">
        <v>288.38455971393307</v>
      </c>
      <c r="N1287" s="12">
        <v>3272.744306362581</v>
      </c>
      <c r="O1287" s="12">
        <v>1274.8935478485951</v>
      </c>
      <c r="P1287" s="12">
        <v>0.66016838268168998</v>
      </c>
      <c r="Q1287" s="12">
        <v>0.85242884036425748</v>
      </c>
      <c r="R1287" s="12">
        <v>0.79132171536866325</v>
      </c>
      <c r="S1287" s="12">
        <v>0.92992776747875816</v>
      </c>
      <c r="T1287" s="12">
        <v>0.85776439298141127</v>
      </c>
      <c r="U1287" s="12">
        <v>0.81248375123483341</v>
      </c>
      <c r="V1287" s="12">
        <v>288.38455971393307</v>
      </c>
      <c r="W1287" s="12">
        <v>6.5202827588188201</v>
      </c>
      <c r="X1287" s="12">
        <v>23.31445919007118</v>
      </c>
      <c r="Y1287" s="12">
        <v>1997.850758513986</v>
      </c>
      <c r="Z1287" s="12">
        <v>2.5670726092271732</v>
      </c>
      <c r="AA1287" s="12"/>
      <c r="AB1287" s="12"/>
    </row>
    <row r="1288" spans="1:28" x14ac:dyDescent="0.3">
      <c r="A1288" s="12" t="s">
        <v>3195</v>
      </c>
      <c r="B1288" s="12" t="s">
        <v>136</v>
      </c>
      <c r="C1288" s="12" t="s">
        <v>136</v>
      </c>
      <c r="D1288" s="12" t="s">
        <v>137</v>
      </c>
      <c r="E1288" s="12" t="s">
        <v>2978</v>
      </c>
      <c r="F1288" s="12" t="s">
        <v>832</v>
      </c>
      <c r="G1288" s="12" t="s">
        <v>832</v>
      </c>
      <c r="H1288" s="12" t="b">
        <v>0</v>
      </c>
      <c r="I1288" s="12" t="b">
        <v>0</v>
      </c>
      <c r="J1288" s="12" t="b">
        <v>0</v>
      </c>
      <c r="K1288" s="12" t="b">
        <v>0</v>
      </c>
      <c r="L1288" s="12">
        <v>495.12081947506522</v>
      </c>
      <c r="M1288" s="12">
        <v>288.20578065764141</v>
      </c>
      <c r="N1288" s="12">
        <v>2171.2918927956262</v>
      </c>
      <c r="O1288" s="12">
        <v>962.64098893772598</v>
      </c>
      <c r="P1288" s="12">
        <v>0.75789940651177756</v>
      </c>
      <c r="Q1288" s="12">
        <v>0.83439449365680662</v>
      </c>
      <c r="R1288" s="12">
        <v>0.6708112780224913</v>
      </c>
      <c r="S1288" s="12">
        <v>0.93477196040003641</v>
      </c>
      <c r="T1288" s="12">
        <v>0.68069037632861185</v>
      </c>
      <c r="U1288" s="12">
        <v>0.80118837810448329</v>
      </c>
      <c r="V1288" s="12">
        <v>288.20578065764141</v>
      </c>
      <c r="W1288" s="12"/>
      <c r="X1288" s="12"/>
      <c r="Y1288" s="12">
        <v>1208.6509038578999</v>
      </c>
      <c r="Z1288" s="12">
        <v>2.255557282254983</v>
      </c>
      <c r="AA1288" s="12"/>
      <c r="AB1288" s="12"/>
    </row>
    <row r="1289" spans="1:28" x14ac:dyDescent="0.3">
      <c r="A1289" s="12" t="s">
        <v>3196</v>
      </c>
      <c r="B1289" s="12" t="s">
        <v>136</v>
      </c>
      <c r="C1289" s="12" t="s">
        <v>136</v>
      </c>
      <c r="D1289" s="12" t="s">
        <v>137</v>
      </c>
      <c r="E1289" s="12" t="s">
        <v>2978</v>
      </c>
      <c r="F1289" s="12" t="s">
        <v>1861</v>
      </c>
      <c r="G1289" s="12" t="s">
        <v>1861</v>
      </c>
      <c r="H1289" s="12" t="b">
        <v>1</v>
      </c>
      <c r="I1289" s="12" t="b">
        <v>0</v>
      </c>
      <c r="J1289" s="12" t="b">
        <v>1</v>
      </c>
      <c r="K1289" s="12" t="b">
        <v>0</v>
      </c>
      <c r="L1289" s="12">
        <v>457.55176317752841</v>
      </c>
      <c r="M1289" s="12">
        <v>292.93789326274612</v>
      </c>
      <c r="N1289" s="12">
        <v>2326.1825983553299</v>
      </c>
      <c r="O1289" s="12">
        <v>1084.441098746134</v>
      </c>
      <c r="P1289" s="12">
        <v>0.61897324623039407</v>
      </c>
      <c r="Q1289" s="12">
        <v>0.88289956680675874</v>
      </c>
      <c r="R1289" s="12">
        <v>0.85851318459351977</v>
      </c>
      <c r="S1289" s="12">
        <v>0.83586447772254446</v>
      </c>
      <c r="T1289" s="12">
        <v>0.7580022080146166</v>
      </c>
      <c r="U1289" s="12">
        <v>0.90093223058488903</v>
      </c>
      <c r="V1289" s="12">
        <v>292.93789326274612</v>
      </c>
      <c r="W1289" s="12">
        <v>6.2329895292712996</v>
      </c>
      <c r="X1289" s="12">
        <v>102.9492285373634</v>
      </c>
      <c r="Y1289" s="12">
        <v>1241.7414996091959</v>
      </c>
      <c r="Z1289" s="12">
        <v>2.1450520466671161</v>
      </c>
      <c r="AA1289" s="12" t="s">
        <v>1268</v>
      </c>
      <c r="AB1289" s="12"/>
    </row>
    <row r="1290" spans="1:28" x14ac:dyDescent="0.3">
      <c r="A1290" s="12" t="s">
        <v>3197</v>
      </c>
      <c r="B1290" s="12" t="s">
        <v>136</v>
      </c>
      <c r="C1290" s="12" t="s">
        <v>136</v>
      </c>
      <c r="D1290" s="12" t="s">
        <v>137</v>
      </c>
      <c r="E1290" s="12" t="s">
        <v>2978</v>
      </c>
      <c r="F1290" s="12" t="s">
        <v>1861</v>
      </c>
      <c r="G1290" s="12" t="s">
        <v>1861</v>
      </c>
      <c r="H1290" s="12" t="b">
        <v>1</v>
      </c>
      <c r="I1290" s="12" t="b">
        <v>0</v>
      </c>
      <c r="J1290" s="12" t="b">
        <v>1</v>
      </c>
      <c r="K1290" s="12" t="b">
        <v>0</v>
      </c>
      <c r="L1290" s="12">
        <v>459.58310194585232</v>
      </c>
      <c r="M1290" s="12">
        <v>282.85033248787511</v>
      </c>
      <c r="N1290" s="12">
        <v>3529.9691694074158</v>
      </c>
      <c r="O1290" s="12">
        <v>1042.197856953135</v>
      </c>
      <c r="P1290" s="12">
        <v>0.73062595374899719</v>
      </c>
      <c r="Q1290" s="12">
        <v>0.89350937839757105</v>
      </c>
      <c r="R1290" s="12">
        <v>0.73736800254754054</v>
      </c>
      <c r="S1290" s="12">
        <v>0.84663653854657139</v>
      </c>
      <c r="T1290" s="12">
        <v>0.89988132263293807</v>
      </c>
      <c r="U1290" s="12">
        <v>0.89865127924430055</v>
      </c>
      <c r="V1290" s="12">
        <v>282.85033248787511</v>
      </c>
      <c r="W1290" s="12">
        <v>10.42134300269481</v>
      </c>
      <c r="X1290" s="12">
        <v>161.08950684898869</v>
      </c>
      <c r="Y1290" s="12">
        <v>2487.7713124542811</v>
      </c>
      <c r="Z1290" s="12">
        <v>3.387043204758911</v>
      </c>
      <c r="AA1290" s="12" t="s">
        <v>1268</v>
      </c>
      <c r="AB1290" s="12"/>
    </row>
    <row r="1291" spans="1:28" x14ac:dyDescent="0.3">
      <c r="A1291" s="12" t="s">
        <v>3198</v>
      </c>
      <c r="B1291" s="12" t="s">
        <v>136</v>
      </c>
      <c r="C1291" s="12" t="s">
        <v>136</v>
      </c>
      <c r="D1291" s="12" t="s">
        <v>137</v>
      </c>
      <c r="E1291" s="12" t="s">
        <v>2978</v>
      </c>
      <c r="F1291" s="12" t="s">
        <v>32</v>
      </c>
      <c r="G1291" s="12" t="s">
        <v>32</v>
      </c>
      <c r="H1291" s="12" t="b">
        <v>1</v>
      </c>
      <c r="I1291" s="12" t="b">
        <v>1</v>
      </c>
      <c r="J1291" s="12" t="b">
        <v>0</v>
      </c>
      <c r="K1291" s="12" t="b">
        <v>0</v>
      </c>
      <c r="L1291" s="12">
        <v>409.10403012353572</v>
      </c>
      <c r="M1291" s="12">
        <v>289.65793082408629</v>
      </c>
      <c r="N1291" s="12">
        <v>4500.9321557625108</v>
      </c>
      <c r="O1291" s="12">
        <v>715.19849393561185</v>
      </c>
      <c r="P1291" s="12">
        <v>0.58086090217559816</v>
      </c>
      <c r="Q1291" s="12">
        <v>0.78999176124603221</v>
      </c>
      <c r="R1291" s="12">
        <v>0.78647825130167548</v>
      </c>
      <c r="S1291" s="12">
        <v>0.92045809376111565</v>
      </c>
      <c r="T1291" s="12">
        <v>0.80583804099352352</v>
      </c>
      <c r="U1291" s="12">
        <v>0.81972529284133511</v>
      </c>
      <c r="V1291" s="12">
        <v>289.65793082408629</v>
      </c>
      <c r="W1291" s="12">
        <v>8.6502819395239499</v>
      </c>
      <c r="X1291" s="12">
        <v>28.602772959780161</v>
      </c>
      <c r="Y1291" s="12">
        <v>3785.7336618268992</v>
      </c>
      <c r="Z1291" s="12">
        <v>6.2932629108244784</v>
      </c>
      <c r="AA1291" s="12"/>
      <c r="AB1291" s="12"/>
    </row>
    <row r="1292" spans="1:28" x14ac:dyDescent="0.3">
      <c r="A1292" s="12" t="s">
        <v>3199</v>
      </c>
      <c r="B1292" s="12" t="s">
        <v>136</v>
      </c>
      <c r="C1292" s="12" t="s">
        <v>136</v>
      </c>
      <c r="D1292" s="12" t="s">
        <v>137</v>
      </c>
      <c r="E1292" s="12" t="s">
        <v>2978</v>
      </c>
      <c r="F1292" s="12" t="s">
        <v>32</v>
      </c>
      <c r="G1292" s="12" t="s">
        <v>32</v>
      </c>
      <c r="H1292" s="12" t="b">
        <v>1</v>
      </c>
      <c r="I1292" s="12" t="b">
        <v>1</v>
      </c>
      <c r="J1292" s="12" t="b">
        <v>0</v>
      </c>
      <c r="K1292" s="12" t="b">
        <v>0</v>
      </c>
      <c r="L1292" s="12">
        <v>381.80169733541891</v>
      </c>
      <c r="M1292" s="12">
        <v>280.24863410407067</v>
      </c>
      <c r="N1292" s="12">
        <v>4302.3690237305091</v>
      </c>
      <c r="O1292" s="12">
        <v>1037.5588806167009</v>
      </c>
      <c r="P1292" s="12">
        <v>0.69153386432401975</v>
      </c>
      <c r="Q1292" s="12">
        <v>0.87418811383097439</v>
      </c>
      <c r="R1292" s="12">
        <v>0.7783911378101156</v>
      </c>
      <c r="S1292" s="12">
        <v>0.85173555922375921</v>
      </c>
      <c r="T1292" s="12">
        <v>0.62882510443148476</v>
      </c>
      <c r="U1292" s="12">
        <v>0.78924067695503919</v>
      </c>
      <c r="V1292" s="12">
        <v>280.24863410407067</v>
      </c>
      <c r="W1292" s="12">
        <v>2.5578638510695701</v>
      </c>
      <c r="X1292" s="12">
        <v>6.2363647666192321</v>
      </c>
      <c r="Y1292" s="12">
        <v>3264.810143113808</v>
      </c>
      <c r="Z1292" s="12">
        <v>4.1466263786140791</v>
      </c>
      <c r="AA1292" s="12"/>
      <c r="AB1292" s="12"/>
    </row>
    <row r="1293" spans="1:28" x14ac:dyDescent="0.3">
      <c r="A1293" s="12" t="s">
        <v>3200</v>
      </c>
      <c r="B1293" s="12" t="s">
        <v>136</v>
      </c>
      <c r="C1293" s="12" t="s">
        <v>136</v>
      </c>
      <c r="D1293" s="12" t="s">
        <v>137</v>
      </c>
      <c r="E1293" s="12" t="s">
        <v>2978</v>
      </c>
      <c r="F1293" s="12" t="s">
        <v>1861</v>
      </c>
      <c r="G1293" s="12" t="s">
        <v>1861</v>
      </c>
      <c r="H1293" s="12" t="b">
        <v>1</v>
      </c>
      <c r="I1293" s="12" t="b">
        <v>0</v>
      </c>
      <c r="J1293" s="12" t="b">
        <v>1</v>
      </c>
      <c r="K1293" s="12" t="b">
        <v>0</v>
      </c>
      <c r="L1293" s="12">
        <v>440.39100035889692</v>
      </c>
      <c r="M1293" s="12">
        <v>300.30755034113588</v>
      </c>
      <c r="N1293" s="12">
        <v>2479.2167479348659</v>
      </c>
      <c r="O1293" s="12">
        <v>302.94922999750952</v>
      </c>
      <c r="P1293" s="12">
        <v>0.65287469746934568</v>
      </c>
      <c r="Q1293" s="12">
        <v>0.88026119213688014</v>
      </c>
      <c r="R1293" s="12">
        <v>0.67731089424487545</v>
      </c>
      <c r="S1293" s="12">
        <v>0.88839690560828632</v>
      </c>
      <c r="T1293" s="12">
        <v>0.70206117476772723</v>
      </c>
      <c r="U1293" s="12">
        <v>0.87846016929553217</v>
      </c>
      <c r="V1293" s="12">
        <v>300.30755034113588</v>
      </c>
      <c r="W1293" s="12">
        <v>8.3399122587064198</v>
      </c>
      <c r="X1293" s="12">
        <v>75.651971215791207</v>
      </c>
      <c r="Y1293" s="12">
        <v>2176.2675179373559</v>
      </c>
      <c r="Z1293" s="12">
        <v>8.1836047180421847</v>
      </c>
      <c r="AA1293" s="12" t="s">
        <v>1268</v>
      </c>
      <c r="AB1293" s="12"/>
    </row>
    <row r="1294" spans="1:28" x14ac:dyDescent="0.3">
      <c r="A1294" s="12" t="s">
        <v>3201</v>
      </c>
      <c r="B1294" s="12" t="s">
        <v>136</v>
      </c>
      <c r="C1294" s="12" t="s">
        <v>136</v>
      </c>
      <c r="D1294" s="12" t="s">
        <v>137</v>
      </c>
      <c r="E1294" s="12" t="s">
        <v>2978</v>
      </c>
      <c r="F1294" s="12" t="s">
        <v>1861</v>
      </c>
      <c r="G1294" s="12" t="s">
        <v>1861</v>
      </c>
      <c r="H1294" s="12" t="b">
        <v>1</v>
      </c>
      <c r="I1294" s="12" t="b">
        <v>0</v>
      </c>
      <c r="J1294" s="12" t="b">
        <v>0</v>
      </c>
      <c r="K1294" s="12" t="b">
        <v>0</v>
      </c>
      <c r="L1294" s="12">
        <v>432.95460215271709</v>
      </c>
      <c r="M1294" s="12">
        <v>299.64549794645012</v>
      </c>
      <c r="N1294" s="12">
        <v>3997.3959354411859</v>
      </c>
      <c r="O1294" s="12">
        <v>631.90444681090526</v>
      </c>
      <c r="P1294" s="12">
        <v>0.65217642137213527</v>
      </c>
      <c r="Q1294" s="12">
        <v>0.8456920991708452</v>
      </c>
      <c r="R1294" s="12">
        <v>0.68555821212480283</v>
      </c>
      <c r="S1294" s="12">
        <v>0.77464444230297602</v>
      </c>
      <c r="T1294" s="12">
        <v>0.9160128549615616</v>
      </c>
      <c r="U1294" s="12">
        <v>0.88269525139839644</v>
      </c>
      <c r="V1294" s="12">
        <v>299.64549794645012</v>
      </c>
      <c r="W1294" s="12">
        <v>14.09756959285801</v>
      </c>
      <c r="X1294" s="12">
        <v>104.4454113941698</v>
      </c>
      <c r="Y1294" s="12">
        <v>3365.4914886302799</v>
      </c>
      <c r="Z1294" s="12">
        <v>6.3259500002179756</v>
      </c>
      <c r="AA1294" s="12" t="s">
        <v>1268</v>
      </c>
      <c r="AB1294" s="12"/>
    </row>
    <row r="1295" spans="1:28" x14ac:dyDescent="0.3">
      <c r="A1295" s="12" t="s">
        <v>3202</v>
      </c>
      <c r="B1295" s="12" t="s">
        <v>136</v>
      </c>
      <c r="C1295" s="12" t="s">
        <v>136</v>
      </c>
      <c r="D1295" s="12" t="s">
        <v>137</v>
      </c>
      <c r="E1295" s="12" t="s">
        <v>2978</v>
      </c>
      <c r="F1295" s="12" t="s">
        <v>832</v>
      </c>
      <c r="G1295" s="12" t="s">
        <v>832</v>
      </c>
      <c r="H1295" s="12" t="b">
        <v>0</v>
      </c>
      <c r="I1295" s="12" t="b">
        <v>0</v>
      </c>
      <c r="J1295" s="12" t="b">
        <v>0</v>
      </c>
      <c r="K1295" s="12" t="b">
        <v>0</v>
      </c>
      <c r="L1295" s="12">
        <v>440.65444296616562</v>
      </c>
      <c r="M1295" s="12">
        <v>296.46564524772049</v>
      </c>
      <c r="N1295" s="12">
        <v>4946.5693647241069</v>
      </c>
      <c r="O1295" s="12">
        <v>948.77538894936515</v>
      </c>
      <c r="P1295" s="12">
        <v>0.84830400198531364</v>
      </c>
      <c r="Q1295" s="12">
        <v>0.78588546220944233</v>
      </c>
      <c r="R1295" s="12">
        <v>0.65093652722064699</v>
      </c>
      <c r="S1295" s="12">
        <v>0.80389861649637795</v>
      </c>
      <c r="T1295" s="12">
        <v>0.6425850935943066</v>
      </c>
      <c r="U1295" s="12">
        <v>0.81102507077712105</v>
      </c>
      <c r="V1295" s="12">
        <v>296.46564524772049</v>
      </c>
      <c r="W1295" s="12"/>
      <c r="X1295" s="12"/>
      <c r="Y1295" s="12">
        <v>3997.7939757747422</v>
      </c>
      <c r="Z1295" s="12">
        <v>5.2136358323983663</v>
      </c>
      <c r="AA1295" s="12"/>
      <c r="AB1295" s="12"/>
    </row>
    <row r="1296" spans="1:28" x14ac:dyDescent="0.3">
      <c r="A1296" s="12" t="s">
        <v>3203</v>
      </c>
      <c r="B1296" s="12" t="s">
        <v>136</v>
      </c>
      <c r="C1296" s="12" t="s">
        <v>136</v>
      </c>
      <c r="D1296" s="12" t="s">
        <v>137</v>
      </c>
      <c r="E1296" s="12" t="s">
        <v>2978</v>
      </c>
      <c r="F1296" s="12" t="s">
        <v>1862</v>
      </c>
      <c r="G1296" s="12" t="s">
        <v>1862</v>
      </c>
      <c r="H1296" s="12" t="b">
        <v>1</v>
      </c>
      <c r="I1296" s="12" t="b">
        <v>0</v>
      </c>
      <c r="J1296" s="12" t="b">
        <v>0</v>
      </c>
      <c r="K1296" s="12" t="b">
        <v>0</v>
      </c>
      <c r="L1296" s="12">
        <v>383.21140262990849</v>
      </c>
      <c r="M1296" s="12">
        <v>301.06168260674241</v>
      </c>
      <c r="N1296" s="12">
        <v>2984.8245512269091</v>
      </c>
      <c r="O1296" s="12">
        <v>498.46904100200231</v>
      </c>
      <c r="P1296" s="12">
        <v>0.81356697199494876</v>
      </c>
      <c r="Q1296" s="12">
        <v>0.84867643558564687</v>
      </c>
      <c r="R1296" s="12">
        <v>0.68101023163916474</v>
      </c>
      <c r="S1296" s="12">
        <v>0.72148729824908719</v>
      </c>
      <c r="T1296" s="12">
        <v>0.80011279353511977</v>
      </c>
      <c r="U1296" s="12">
        <v>0.89760306054474037</v>
      </c>
      <c r="V1296" s="12">
        <v>301.06168260674241</v>
      </c>
      <c r="W1296" s="12">
        <v>-101.561542525508</v>
      </c>
      <c r="X1296" s="12">
        <v>-81.063388821603382</v>
      </c>
      <c r="Y1296" s="12">
        <v>2486.355510224907</v>
      </c>
      <c r="Z1296" s="12">
        <v>5.9879838178654694</v>
      </c>
      <c r="AA1296" s="12" t="s">
        <v>2513</v>
      </c>
      <c r="AB1296" s="12"/>
    </row>
    <row r="1297" spans="1:28" x14ac:dyDescent="0.3">
      <c r="A1297" s="12" t="s">
        <v>3204</v>
      </c>
      <c r="B1297" s="12" t="s">
        <v>136</v>
      </c>
      <c r="C1297" s="12" t="s">
        <v>136</v>
      </c>
      <c r="D1297" s="12" t="s">
        <v>137</v>
      </c>
      <c r="E1297" s="12" t="s">
        <v>2978</v>
      </c>
      <c r="F1297" s="12" t="s">
        <v>1861</v>
      </c>
      <c r="G1297" s="12" t="s">
        <v>1861</v>
      </c>
      <c r="H1297" s="12" t="b">
        <v>1</v>
      </c>
      <c r="I1297" s="12" t="b">
        <v>0</v>
      </c>
      <c r="J1297" s="12" t="b">
        <v>0</v>
      </c>
      <c r="K1297" s="12" t="b">
        <v>0</v>
      </c>
      <c r="L1297" s="12">
        <v>420.8644744374256</v>
      </c>
      <c r="M1297" s="12">
        <v>285.61010891078888</v>
      </c>
      <c r="N1297" s="12">
        <v>4646.6535165245023</v>
      </c>
      <c r="O1297" s="12">
        <v>337.95542829113072</v>
      </c>
      <c r="P1297" s="12">
        <v>0.54231114459156748</v>
      </c>
      <c r="Q1297" s="12">
        <v>0.76356700083125661</v>
      </c>
      <c r="R1297" s="12">
        <v>0.83783393931989381</v>
      </c>
      <c r="S1297" s="12">
        <v>0.63544077495514451</v>
      </c>
      <c r="T1297" s="12">
        <v>0.62071358668707566</v>
      </c>
      <c r="U1297" s="12">
        <v>0.86183987245927951</v>
      </c>
      <c r="V1297" s="12">
        <v>285.61010891078888</v>
      </c>
      <c r="W1297" s="12">
        <v>4.7721264509539303</v>
      </c>
      <c r="X1297" s="12">
        <v>15.01336433554987</v>
      </c>
      <c r="Y1297" s="12">
        <v>4308.6980882333719</v>
      </c>
      <c r="Z1297" s="12">
        <v>13.749308718076451</v>
      </c>
      <c r="AA1297" s="12" t="s">
        <v>1268</v>
      </c>
      <c r="AB1297" s="12"/>
    </row>
    <row r="1298" spans="1:28" x14ac:dyDescent="0.3">
      <c r="A1298" s="12" t="s">
        <v>3205</v>
      </c>
      <c r="B1298" s="12" t="s">
        <v>136</v>
      </c>
      <c r="C1298" s="12" t="s">
        <v>136</v>
      </c>
      <c r="D1298" s="12" t="s">
        <v>137</v>
      </c>
      <c r="E1298" s="12" t="s">
        <v>2978</v>
      </c>
      <c r="F1298" s="12" t="s">
        <v>832</v>
      </c>
      <c r="G1298" s="12" t="s">
        <v>832</v>
      </c>
      <c r="H1298" s="12" t="b">
        <v>0</v>
      </c>
      <c r="I1298" s="12" t="b">
        <v>0</v>
      </c>
      <c r="J1298" s="12" t="b">
        <v>0</v>
      </c>
      <c r="K1298" s="12" t="b">
        <v>0</v>
      </c>
      <c r="L1298" s="12">
        <v>497.21413145462611</v>
      </c>
      <c r="M1298" s="12">
        <v>290.29973607747741</v>
      </c>
      <c r="N1298" s="12">
        <v>4851.7531111188709</v>
      </c>
      <c r="O1298" s="12">
        <v>821.59959528053378</v>
      </c>
      <c r="P1298" s="12">
        <v>0.62097905030395395</v>
      </c>
      <c r="Q1298" s="12">
        <v>0.85118986579411504</v>
      </c>
      <c r="R1298" s="12">
        <v>0.81530110882167306</v>
      </c>
      <c r="S1298" s="12">
        <v>0.76946167499619222</v>
      </c>
      <c r="T1298" s="12">
        <v>0.83898082693069154</v>
      </c>
      <c r="U1298" s="12">
        <v>0.71228866192212514</v>
      </c>
      <c r="V1298" s="12">
        <v>290.29973607747741</v>
      </c>
      <c r="W1298" s="12"/>
      <c r="X1298" s="12"/>
      <c r="Y1298" s="12">
        <v>4030.1535158383372</v>
      </c>
      <c r="Z1298" s="12">
        <v>5.9052525573144274</v>
      </c>
      <c r="AA1298" s="12"/>
      <c r="AB1298" s="12"/>
    </row>
    <row r="1299" spans="1:28" x14ac:dyDescent="0.3">
      <c r="A1299" s="12" t="s">
        <v>3206</v>
      </c>
      <c r="B1299" s="12" t="s">
        <v>136</v>
      </c>
      <c r="C1299" s="12" t="s">
        <v>136</v>
      </c>
      <c r="D1299" s="12" t="s">
        <v>137</v>
      </c>
      <c r="E1299" s="12" t="s">
        <v>2978</v>
      </c>
      <c r="F1299" s="12" t="s">
        <v>32</v>
      </c>
      <c r="G1299" s="12" t="s">
        <v>32</v>
      </c>
      <c r="H1299" s="12" t="b">
        <v>1</v>
      </c>
      <c r="I1299" s="12" t="b">
        <v>1</v>
      </c>
      <c r="J1299" s="12" t="b">
        <v>0</v>
      </c>
      <c r="K1299" s="12" t="b">
        <v>0</v>
      </c>
      <c r="L1299" s="12">
        <v>383.65848144381232</v>
      </c>
      <c r="M1299" s="12">
        <v>298.85437903361731</v>
      </c>
      <c r="N1299" s="12">
        <v>3262.8767695283041</v>
      </c>
      <c r="O1299" s="12">
        <v>1336.435912200403</v>
      </c>
      <c r="P1299" s="12">
        <v>0.76402022919360157</v>
      </c>
      <c r="Q1299" s="12">
        <v>0.89473786027893421</v>
      </c>
      <c r="R1299" s="12">
        <v>0.81202170516567729</v>
      </c>
      <c r="S1299" s="12">
        <v>0.60413871873976766</v>
      </c>
      <c r="T1299" s="12">
        <v>0.87617119651273079</v>
      </c>
      <c r="U1299" s="12">
        <v>0.8514220777509669</v>
      </c>
      <c r="V1299" s="12">
        <v>298.85437903361731</v>
      </c>
      <c r="W1299" s="12">
        <v>7.57833393347663</v>
      </c>
      <c r="X1299" s="12">
        <v>32.324311115632511</v>
      </c>
      <c r="Y1299" s="12">
        <v>1926.4408573279011</v>
      </c>
      <c r="Z1299" s="12">
        <v>2.441476422282062</v>
      </c>
      <c r="AA1299" s="12"/>
      <c r="AB1299" s="12"/>
    </row>
    <row r="1300" spans="1:28" x14ac:dyDescent="0.3">
      <c r="A1300" s="12" t="s">
        <v>3207</v>
      </c>
      <c r="B1300" s="12" t="s">
        <v>136</v>
      </c>
      <c r="C1300" s="12" t="s">
        <v>136</v>
      </c>
      <c r="D1300" s="12" t="s">
        <v>137</v>
      </c>
      <c r="E1300" s="12" t="s">
        <v>2978</v>
      </c>
      <c r="F1300" s="12" t="s">
        <v>32</v>
      </c>
      <c r="G1300" s="12" t="s">
        <v>32</v>
      </c>
      <c r="H1300" s="12" t="b">
        <v>1</v>
      </c>
      <c r="I1300" s="12" t="b">
        <v>0</v>
      </c>
      <c r="J1300" s="12" t="b">
        <v>1</v>
      </c>
      <c r="K1300" s="12" t="b">
        <v>0</v>
      </c>
      <c r="L1300" s="12">
        <v>432.79449157181682</v>
      </c>
      <c r="M1300" s="12">
        <v>285.03349885655342</v>
      </c>
      <c r="N1300" s="12">
        <v>2548.097371659946</v>
      </c>
      <c r="O1300" s="12">
        <v>1110.860657709698</v>
      </c>
      <c r="P1300" s="12">
        <v>0.62947447780657817</v>
      </c>
      <c r="Q1300" s="12">
        <v>0.88505272973525229</v>
      </c>
      <c r="R1300" s="12">
        <v>0.69456089718245917</v>
      </c>
      <c r="S1300" s="12">
        <v>0.88140143386691694</v>
      </c>
      <c r="T1300" s="12">
        <v>0.65468249735975115</v>
      </c>
      <c r="U1300" s="12">
        <v>0.89591838443870842</v>
      </c>
      <c r="V1300" s="12">
        <v>285.03349885655342</v>
      </c>
      <c r="W1300" s="12">
        <v>6.6080884043599797</v>
      </c>
      <c r="X1300" s="12">
        <v>79.574400629676333</v>
      </c>
      <c r="Y1300" s="12">
        <v>1437.236713950248</v>
      </c>
      <c r="Z1300" s="12">
        <v>2.2938046765590321</v>
      </c>
      <c r="AA1300" s="12"/>
      <c r="AB1300" s="12"/>
    </row>
    <row r="1301" spans="1:28" x14ac:dyDescent="0.3">
      <c r="A1301" s="12" t="s">
        <v>3208</v>
      </c>
      <c r="B1301" s="12" t="s">
        <v>136</v>
      </c>
      <c r="C1301" s="12" t="s">
        <v>136</v>
      </c>
      <c r="D1301" s="12" t="s">
        <v>137</v>
      </c>
      <c r="E1301" s="12" t="s">
        <v>2978</v>
      </c>
      <c r="F1301" s="12" t="s">
        <v>1861</v>
      </c>
      <c r="G1301" s="12" t="s">
        <v>1861</v>
      </c>
      <c r="H1301" s="12" t="b">
        <v>1</v>
      </c>
      <c r="I1301" s="12" t="b">
        <v>0</v>
      </c>
      <c r="J1301" s="12" t="b">
        <v>1</v>
      </c>
      <c r="K1301" s="12" t="b">
        <v>0</v>
      </c>
      <c r="L1301" s="12">
        <v>482.69256594913821</v>
      </c>
      <c r="M1301" s="12">
        <v>302.55844167903001</v>
      </c>
      <c r="N1301" s="12">
        <v>3381.4516893287878</v>
      </c>
      <c r="O1301" s="12">
        <v>841.64949983374345</v>
      </c>
      <c r="P1301" s="12">
        <v>0.67874715111347905</v>
      </c>
      <c r="Q1301" s="12">
        <v>0.8778184034728318</v>
      </c>
      <c r="R1301" s="12">
        <v>0.89256408906932494</v>
      </c>
      <c r="S1301" s="12">
        <v>0.73527306103436441</v>
      </c>
      <c r="T1301" s="12">
        <v>0.65968287077956256</v>
      </c>
      <c r="U1301" s="12">
        <v>0.88024600978807999</v>
      </c>
      <c r="V1301" s="12">
        <v>302.55844167903001</v>
      </c>
      <c r="W1301" s="12">
        <v>11.390368234779601</v>
      </c>
      <c r="X1301" s="12">
        <v>156.4536985906295</v>
      </c>
      <c r="Y1301" s="12">
        <v>2539.8021894950439</v>
      </c>
      <c r="Z1301" s="12">
        <v>4.0176483084665859</v>
      </c>
      <c r="AA1301" s="12" t="s">
        <v>1268</v>
      </c>
      <c r="AB1301" s="12"/>
    </row>
    <row r="1302" spans="1:28" x14ac:dyDescent="0.3">
      <c r="A1302" s="12" t="s">
        <v>3209</v>
      </c>
      <c r="B1302" s="12" t="s">
        <v>136</v>
      </c>
      <c r="C1302" s="12" t="s">
        <v>136</v>
      </c>
      <c r="D1302" s="12" t="s">
        <v>137</v>
      </c>
      <c r="E1302" s="12" t="s">
        <v>2978</v>
      </c>
      <c r="F1302" s="12" t="s">
        <v>1861</v>
      </c>
      <c r="G1302" s="12" t="s">
        <v>1861</v>
      </c>
      <c r="H1302" s="12" t="b">
        <v>1</v>
      </c>
      <c r="I1302" s="12" t="b">
        <v>0</v>
      </c>
      <c r="J1302" s="12" t="b">
        <v>0</v>
      </c>
      <c r="K1302" s="12" t="b">
        <v>0</v>
      </c>
      <c r="L1302" s="12">
        <v>419.62236861725302</v>
      </c>
      <c r="M1302" s="12">
        <v>282.48802848170112</v>
      </c>
      <c r="N1302" s="12">
        <v>4750.1949283779759</v>
      </c>
      <c r="O1302" s="12">
        <v>613.54000904415113</v>
      </c>
      <c r="P1302" s="12">
        <v>0.68973675364363274</v>
      </c>
      <c r="Q1302" s="12">
        <v>0.86784292973677091</v>
      </c>
      <c r="R1302" s="12">
        <v>0.84434745407203238</v>
      </c>
      <c r="S1302" s="12">
        <v>0.75862013804522399</v>
      </c>
      <c r="T1302" s="12">
        <v>0.93984866586918481</v>
      </c>
      <c r="U1302" s="12">
        <v>0.85279975550171971</v>
      </c>
      <c r="V1302" s="12">
        <v>282.48802848170112</v>
      </c>
      <c r="W1302" s="12">
        <v>15.50611204682515</v>
      </c>
      <c r="X1302" s="12">
        <v>88.417846610669457</v>
      </c>
      <c r="Y1302" s="12">
        <v>4136.6549193338251</v>
      </c>
      <c r="Z1302" s="12">
        <v>7.7422741114771307</v>
      </c>
      <c r="AA1302" s="12" t="s">
        <v>1268</v>
      </c>
      <c r="AB1302" s="12"/>
    </row>
    <row r="1303" spans="1:28" x14ac:dyDescent="0.3">
      <c r="A1303" s="12" t="s">
        <v>3210</v>
      </c>
      <c r="B1303" s="12" t="s">
        <v>136</v>
      </c>
      <c r="C1303" s="12" t="s">
        <v>136</v>
      </c>
      <c r="D1303" s="12" t="s">
        <v>137</v>
      </c>
      <c r="E1303" s="12" t="s">
        <v>2978</v>
      </c>
      <c r="F1303" s="12" t="s">
        <v>32</v>
      </c>
      <c r="G1303" s="12" t="s">
        <v>32</v>
      </c>
      <c r="H1303" s="12" t="b">
        <v>1</v>
      </c>
      <c r="I1303" s="12" t="b">
        <v>1</v>
      </c>
      <c r="J1303" s="12" t="b">
        <v>0</v>
      </c>
      <c r="K1303" s="12" t="b">
        <v>0</v>
      </c>
      <c r="L1303" s="12">
        <v>389.69024051878642</v>
      </c>
      <c r="M1303" s="12">
        <v>303.44073049068697</v>
      </c>
      <c r="N1303" s="12">
        <v>3175.483333911347</v>
      </c>
      <c r="O1303" s="12">
        <v>1200.548312920992</v>
      </c>
      <c r="P1303" s="12">
        <v>0.55045529131118764</v>
      </c>
      <c r="Q1303" s="12">
        <v>0.82150195641716217</v>
      </c>
      <c r="R1303" s="12">
        <v>0.81161333577164396</v>
      </c>
      <c r="S1303" s="12">
        <v>0.67206266860463193</v>
      </c>
      <c r="T1303" s="12">
        <v>0.68004522345632201</v>
      </c>
      <c r="U1303" s="12">
        <v>0.77022765894571332</v>
      </c>
      <c r="V1303" s="12">
        <v>303.44073049068697</v>
      </c>
      <c r="W1303" s="12">
        <v>2.1772919723136499</v>
      </c>
      <c r="X1303" s="12">
        <v>4.0888752442488334</v>
      </c>
      <c r="Y1303" s="12">
        <v>1974.935020990355</v>
      </c>
      <c r="Z1303" s="12">
        <v>2.6450275259520728</v>
      </c>
      <c r="AA1303" s="12"/>
      <c r="AB1303" s="12"/>
    </row>
    <row r="1304" spans="1:28" x14ac:dyDescent="0.3">
      <c r="A1304" s="12" t="s">
        <v>3211</v>
      </c>
      <c r="B1304" s="12" t="s">
        <v>136</v>
      </c>
      <c r="C1304" s="12" t="s">
        <v>136</v>
      </c>
      <c r="D1304" s="12" t="s">
        <v>137</v>
      </c>
      <c r="E1304" s="12" t="s">
        <v>2978</v>
      </c>
      <c r="F1304" s="12" t="s">
        <v>32</v>
      </c>
      <c r="G1304" s="12" t="s">
        <v>32</v>
      </c>
      <c r="H1304" s="12" t="b">
        <v>1</v>
      </c>
      <c r="I1304" s="12" t="b">
        <v>1</v>
      </c>
      <c r="J1304" s="12" t="b">
        <v>0</v>
      </c>
      <c r="K1304" s="12" t="b">
        <v>0</v>
      </c>
      <c r="L1304" s="12">
        <v>456.01844551667449</v>
      </c>
      <c r="M1304" s="12">
        <v>290.98068458254733</v>
      </c>
      <c r="N1304" s="12">
        <v>2563.3423125394911</v>
      </c>
      <c r="O1304" s="12">
        <v>1440.710131756108</v>
      </c>
      <c r="P1304" s="12">
        <v>0.73380220495551252</v>
      </c>
      <c r="Q1304" s="12">
        <v>0.76486758710316671</v>
      </c>
      <c r="R1304" s="12">
        <v>0.77478703380570446</v>
      </c>
      <c r="S1304" s="12">
        <v>0.63981822213251527</v>
      </c>
      <c r="T1304" s="12">
        <v>0.74785357738122205</v>
      </c>
      <c r="U1304" s="12">
        <v>0.94830417532849964</v>
      </c>
      <c r="V1304" s="12">
        <v>290.98068458254733</v>
      </c>
      <c r="W1304" s="12">
        <v>4.3111118360082097</v>
      </c>
      <c r="X1304" s="12">
        <v>51.333048263791142</v>
      </c>
      <c r="Y1304" s="12">
        <v>1122.632180783384</v>
      </c>
      <c r="Z1304" s="12">
        <v>1.779221410357535</v>
      </c>
      <c r="AA1304" s="12"/>
      <c r="AB1304" s="12"/>
    </row>
    <row r="1305" spans="1:28" x14ac:dyDescent="0.3">
      <c r="A1305" s="12" t="s">
        <v>3212</v>
      </c>
      <c r="B1305" s="12" t="s">
        <v>136</v>
      </c>
      <c r="C1305" s="12" t="s">
        <v>136</v>
      </c>
      <c r="D1305" s="12" t="s">
        <v>137</v>
      </c>
      <c r="E1305" s="12" t="s">
        <v>2978</v>
      </c>
      <c r="F1305" s="12" t="s">
        <v>832</v>
      </c>
      <c r="G1305" s="12" t="s">
        <v>832</v>
      </c>
      <c r="H1305" s="12" t="b">
        <v>0</v>
      </c>
      <c r="I1305" s="12" t="b">
        <v>0</v>
      </c>
      <c r="J1305" s="12" t="b">
        <v>0</v>
      </c>
      <c r="K1305" s="12" t="b">
        <v>0</v>
      </c>
      <c r="L1305" s="12">
        <v>495.77351160441282</v>
      </c>
      <c r="M1305" s="12">
        <v>301.79012521640902</v>
      </c>
      <c r="N1305" s="12">
        <v>2753.6006857557418</v>
      </c>
      <c r="O1305" s="12">
        <v>1280.721496143582</v>
      </c>
      <c r="P1305" s="12">
        <v>0.78859710676475436</v>
      </c>
      <c r="Q1305" s="12">
        <v>0.82941742245529637</v>
      </c>
      <c r="R1305" s="12">
        <v>0.81033266239425561</v>
      </c>
      <c r="S1305" s="12">
        <v>0.84855698904807098</v>
      </c>
      <c r="T1305" s="12">
        <v>0.67843724090589008</v>
      </c>
      <c r="U1305" s="12">
        <v>0.79723302315510258</v>
      </c>
      <c r="V1305" s="12">
        <v>301.79012521640902</v>
      </c>
      <c r="W1305" s="12"/>
      <c r="X1305" s="12"/>
      <c r="Y1305" s="12">
        <v>1472.87918961216</v>
      </c>
      <c r="Z1305" s="12">
        <v>2.150038625920772</v>
      </c>
      <c r="AA1305" s="12"/>
      <c r="AB1305" s="12"/>
    </row>
    <row r="1306" spans="1:28" x14ac:dyDescent="0.3">
      <c r="A1306" s="12" t="s">
        <v>3213</v>
      </c>
      <c r="B1306" s="12" t="s">
        <v>136</v>
      </c>
      <c r="C1306" s="12" t="s">
        <v>136</v>
      </c>
      <c r="D1306" s="12" t="s">
        <v>137</v>
      </c>
      <c r="E1306" s="12" t="s">
        <v>2978</v>
      </c>
      <c r="F1306" s="12" t="s">
        <v>1861</v>
      </c>
      <c r="G1306" s="12" t="s">
        <v>1861</v>
      </c>
      <c r="H1306" s="12" t="b">
        <v>1</v>
      </c>
      <c r="I1306" s="12" t="b">
        <v>0</v>
      </c>
      <c r="J1306" s="12" t="b">
        <v>0</v>
      </c>
      <c r="K1306" s="12" t="b">
        <v>0</v>
      </c>
      <c r="L1306" s="12">
        <v>424.74960408000851</v>
      </c>
      <c r="M1306" s="12">
        <v>294.98313813689708</v>
      </c>
      <c r="N1306" s="12">
        <v>4460.0938097453654</v>
      </c>
      <c r="O1306" s="12">
        <v>1112.256411872577</v>
      </c>
      <c r="P1306" s="12">
        <v>0.7866456227613865</v>
      </c>
      <c r="Q1306" s="12">
        <v>0.79408550784671672</v>
      </c>
      <c r="R1306" s="12">
        <v>0.6551314137133597</v>
      </c>
      <c r="S1306" s="12">
        <v>0.60122387118141185</v>
      </c>
      <c r="T1306" s="12">
        <v>0.8233966236661252</v>
      </c>
      <c r="U1306" s="12">
        <v>0.73460400355542621</v>
      </c>
      <c r="V1306" s="12">
        <v>294.98313813689708</v>
      </c>
      <c r="W1306" s="12">
        <v>10.1918649298592</v>
      </c>
      <c r="X1306" s="12">
        <v>63.502587099721147</v>
      </c>
      <c r="Y1306" s="12">
        <v>3347.8373978727891</v>
      </c>
      <c r="Z1306" s="12">
        <v>4.0099510887389931</v>
      </c>
      <c r="AA1306" s="12" t="s">
        <v>1268</v>
      </c>
      <c r="AB1306" s="12"/>
    </row>
    <row r="1307" spans="1:28" x14ac:dyDescent="0.3">
      <c r="A1307" s="12" t="s">
        <v>3214</v>
      </c>
      <c r="B1307" s="12" t="s">
        <v>136</v>
      </c>
      <c r="C1307" s="12" t="s">
        <v>136</v>
      </c>
      <c r="D1307" s="12" t="s">
        <v>137</v>
      </c>
      <c r="E1307" s="12" t="s">
        <v>2978</v>
      </c>
      <c r="F1307" s="12" t="s">
        <v>1861</v>
      </c>
      <c r="G1307" s="12" t="s">
        <v>1861</v>
      </c>
      <c r="H1307" s="12" t="b">
        <v>1</v>
      </c>
      <c r="I1307" s="12" t="b">
        <v>0</v>
      </c>
      <c r="J1307" s="12" t="b">
        <v>0</v>
      </c>
      <c r="K1307" s="12" t="b">
        <v>0</v>
      </c>
      <c r="L1307" s="12">
        <v>417.92595756875369</v>
      </c>
      <c r="M1307" s="12">
        <v>286.99404555531407</v>
      </c>
      <c r="N1307" s="12">
        <v>2898.101622896409</v>
      </c>
      <c r="O1307" s="12">
        <v>1485.3353842265569</v>
      </c>
      <c r="P1307" s="12">
        <v>0.80676290862506295</v>
      </c>
      <c r="Q1307" s="12">
        <v>0.75871441590285016</v>
      </c>
      <c r="R1307" s="12">
        <v>0.89122428242083762</v>
      </c>
      <c r="S1307" s="12">
        <v>0.71694743196486399</v>
      </c>
      <c r="T1307" s="12">
        <v>0.91491710640769763</v>
      </c>
      <c r="U1307" s="12">
        <v>0.75087222547705246</v>
      </c>
      <c r="V1307" s="12">
        <v>286.99404555531407</v>
      </c>
      <c r="W1307" s="12">
        <v>5.6521419213748603</v>
      </c>
      <c r="X1307" s="12">
        <v>49.273281433286158</v>
      </c>
      <c r="Y1307" s="12">
        <v>1412.7662386698521</v>
      </c>
      <c r="Z1307" s="12">
        <v>1.95114292278542</v>
      </c>
      <c r="AA1307" s="12" t="s">
        <v>1268</v>
      </c>
      <c r="AB1307" s="12"/>
    </row>
    <row r="1308" spans="1:28" x14ac:dyDescent="0.3">
      <c r="A1308" s="12" t="s">
        <v>3215</v>
      </c>
      <c r="B1308" s="12" t="s">
        <v>136</v>
      </c>
      <c r="C1308" s="12" t="s">
        <v>136</v>
      </c>
      <c r="D1308" s="12" t="s">
        <v>137</v>
      </c>
      <c r="E1308" s="12" t="s">
        <v>2978</v>
      </c>
      <c r="F1308" s="12" t="s">
        <v>1861</v>
      </c>
      <c r="G1308" s="12" t="s">
        <v>1861</v>
      </c>
      <c r="H1308" s="12" t="b">
        <v>1</v>
      </c>
      <c r="I1308" s="12" t="b">
        <v>0</v>
      </c>
      <c r="J1308" s="12" t="b">
        <v>0</v>
      </c>
      <c r="K1308" s="12" t="b">
        <v>0</v>
      </c>
      <c r="L1308" s="12">
        <v>471.00807968200712</v>
      </c>
      <c r="M1308" s="12">
        <v>294.4925725634904</v>
      </c>
      <c r="N1308" s="12">
        <v>2126.0108743722071</v>
      </c>
      <c r="O1308" s="12">
        <v>796.50855284554268</v>
      </c>
      <c r="P1308" s="12">
        <v>0.72423354055683009</v>
      </c>
      <c r="Q1308" s="12">
        <v>0.86165836468073986</v>
      </c>
      <c r="R1308" s="12">
        <v>0.77755263393975105</v>
      </c>
      <c r="S1308" s="12">
        <v>0.60992366019432354</v>
      </c>
      <c r="T1308" s="12">
        <v>0.79080486815462048</v>
      </c>
      <c r="U1308" s="12">
        <v>0.79239542573218003</v>
      </c>
      <c r="V1308" s="12">
        <v>294.4925725634904</v>
      </c>
      <c r="W1308" s="12">
        <v>7.8714337822089906</v>
      </c>
      <c r="X1308" s="12">
        <v>83.634276173840803</v>
      </c>
      <c r="Y1308" s="12">
        <v>1329.502321526664</v>
      </c>
      <c r="Z1308" s="12">
        <v>2.6691626433601892</v>
      </c>
      <c r="AA1308" s="12" t="s">
        <v>1268</v>
      </c>
      <c r="AB1308" s="12"/>
    </row>
    <row r="1309" spans="1:28" x14ac:dyDescent="0.3">
      <c r="A1309" s="12" t="s">
        <v>3216</v>
      </c>
      <c r="B1309" s="12" t="s">
        <v>136</v>
      </c>
      <c r="C1309" s="12" t="s">
        <v>136</v>
      </c>
      <c r="D1309" s="12" t="s">
        <v>137</v>
      </c>
      <c r="E1309" s="12" t="s">
        <v>2978</v>
      </c>
      <c r="F1309" s="12" t="s">
        <v>32</v>
      </c>
      <c r="G1309" s="12" t="s">
        <v>32</v>
      </c>
      <c r="H1309" s="12" t="b">
        <v>1</v>
      </c>
      <c r="I1309" s="12" t="b">
        <v>1</v>
      </c>
      <c r="J1309" s="12" t="b">
        <v>0</v>
      </c>
      <c r="K1309" s="12" t="b">
        <v>0</v>
      </c>
      <c r="L1309" s="12">
        <v>436.52419597182421</v>
      </c>
      <c r="M1309" s="12">
        <v>299.35639070411088</v>
      </c>
      <c r="N1309" s="12">
        <v>4702.2301842719844</v>
      </c>
      <c r="O1309" s="12">
        <v>1464.8674451240281</v>
      </c>
      <c r="P1309" s="12">
        <v>0.62455433447845743</v>
      </c>
      <c r="Q1309" s="12">
        <v>0.75763655435068511</v>
      </c>
      <c r="R1309" s="12">
        <v>0.83165550679538136</v>
      </c>
      <c r="S1309" s="12">
        <v>0.63187629919294153</v>
      </c>
      <c r="T1309" s="12">
        <v>0.8647668218353417</v>
      </c>
      <c r="U1309" s="12">
        <v>0.94577644142482264</v>
      </c>
      <c r="V1309" s="12">
        <v>299.35639070411088</v>
      </c>
      <c r="W1309" s="12">
        <v>7.14555151814191</v>
      </c>
      <c r="X1309" s="12">
        <v>37.883327120379697</v>
      </c>
      <c r="Y1309" s="12">
        <v>3237.3627391479558</v>
      </c>
      <c r="Z1309" s="12">
        <v>3.210003881186569</v>
      </c>
      <c r="AA1309" s="12"/>
      <c r="AB1309" s="12"/>
    </row>
    <row r="1310" spans="1:28" x14ac:dyDescent="0.3">
      <c r="A1310" s="12" t="s">
        <v>3217</v>
      </c>
      <c r="B1310" s="12" t="s">
        <v>136</v>
      </c>
      <c r="C1310" s="12" t="s">
        <v>136</v>
      </c>
      <c r="D1310" s="12" t="s">
        <v>137</v>
      </c>
      <c r="E1310" s="12" t="s">
        <v>2978</v>
      </c>
      <c r="F1310" s="12" t="s">
        <v>1861</v>
      </c>
      <c r="G1310" s="12" t="s">
        <v>1861</v>
      </c>
      <c r="H1310" s="12" t="b">
        <v>1</v>
      </c>
      <c r="I1310" s="12" t="b">
        <v>0</v>
      </c>
      <c r="J1310" s="12" t="b">
        <v>1</v>
      </c>
      <c r="K1310" s="12" t="b">
        <v>0</v>
      </c>
      <c r="L1310" s="12">
        <v>461.27845510186779</v>
      </c>
      <c r="M1310" s="12">
        <v>299.54707274575122</v>
      </c>
      <c r="N1310" s="12">
        <v>2493.3327406355402</v>
      </c>
      <c r="O1310" s="12">
        <v>973.33512700297285</v>
      </c>
      <c r="P1310" s="12">
        <v>0.65559367643344024</v>
      </c>
      <c r="Q1310" s="12">
        <v>0.85147028009742309</v>
      </c>
      <c r="R1310" s="12">
        <v>0.79872490739762492</v>
      </c>
      <c r="S1310" s="12">
        <v>0.92414910408658801</v>
      </c>
      <c r="T1310" s="12">
        <v>0.65897166047301103</v>
      </c>
      <c r="U1310" s="12">
        <v>0.79094687525413776</v>
      </c>
      <c r="V1310" s="12">
        <v>299.54707274575122</v>
      </c>
      <c r="W1310" s="12">
        <v>6.8696700942622799</v>
      </c>
      <c r="X1310" s="12">
        <v>107.8705361525475</v>
      </c>
      <c r="Y1310" s="12">
        <v>1519.997613632567</v>
      </c>
      <c r="Z1310" s="12">
        <v>2.5616385060640319</v>
      </c>
      <c r="AA1310" s="12" t="s">
        <v>1268</v>
      </c>
      <c r="AB1310" s="12"/>
    </row>
    <row r="1311" spans="1:28" x14ac:dyDescent="0.3">
      <c r="A1311" s="12" t="s">
        <v>3218</v>
      </c>
      <c r="B1311" s="12" t="s">
        <v>136</v>
      </c>
      <c r="C1311" s="12" t="s">
        <v>136</v>
      </c>
      <c r="D1311" s="12" t="s">
        <v>137</v>
      </c>
      <c r="E1311" s="12" t="s">
        <v>2978</v>
      </c>
      <c r="F1311" s="12" t="s">
        <v>1861</v>
      </c>
      <c r="G1311" s="12" t="s">
        <v>1861</v>
      </c>
      <c r="H1311" s="12" t="b">
        <v>1</v>
      </c>
      <c r="I1311" s="12" t="b">
        <v>0</v>
      </c>
      <c r="J1311" s="12" t="b">
        <v>1</v>
      </c>
      <c r="K1311" s="12" t="b">
        <v>0</v>
      </c>
      <c r="L1311" s="12">
        <v>483.68461653505449</v>
      </c>
      <c r="M1311" s="12">
        <v>303.33081551707892</v>
      </c>
      <c r="N1311" s="12">
        <v>3196.2116564753892</v>
      </c>
      <c r="O1311" s="12">
        <v>801.12428992705441</v>
      </c>
      <c r="P1311" s="12">
        <v>0.72750514869797911</v>
      </c>
      <c r="Q1311" s="12">
        <v>0.78397968359501502</v>
      </c>
      <c r="R1311" s="12">
        <v>0.84245310604343104</v>
      </c>
      <c r="S1311" s="12">
        <v>0.90797628115042961</v>
      </c>
      <c r="T1311" s="12">
        <v>0.8421781140655128</v>
      </c>
      <c r="U1311" s="12">
        <v>0.88476586759096276</v>
      </c>
      <c r="V1311" s="12">
        <v>303.33081551707892</v>
      </c>
      <c r="W1311" s="12">
        <v>9.9027732671268396</v>
      </c>
      <c r="X1311" s="12">
        <v>159.579086392721</v>
      </c>
      <c r="Y1311" s="12">
        <v>2395.0873665483341</v>
      </c>
      <c r="Z1311" s="12">
        <v>3.9896576557008609</v>
      </c>
      <c r="AA1311" s="12" t="s">
        <v>1268</v>
      </c>
      <c r="AB1311" s="12"/>
    </row>
    <row r="1312" spans="1:28" x14ac:dyDescent="0.3">
      <c r="A1312" s="12" t="s">
        <v>3219</v>
      </c>
      <c r="B1312" s="12" t="s">
        <v>136</v>
      </c>
      <c r="C1312" s="12" t="s">
        <v>136</v>
      </c>
      <c r="D1312" s="12" t="s">
        <v>137</v>
      </c>
      <c r="E1312" s="12" t="s">
        <v>2978</v>
      </c>
      <c r="F1312" s="12" t="s">
        <v>1862</v>
      </c>
      <c r="G1312" s="12" t="s">
        <v>1862</v>
      </c>
      <c r="H1312" s="12" t="b">
        <v>1</v>
      </c>
      <c r="I1312" s="12" t="b">
        <v>0</v>
      </c>
      <c r="J1312" s="12" t="b">
        <v>0</v>
      </c>
      <c r="K1312" s="12" t="b">
        <v>0</v>
      </c>
      <c r="L1312" s="12">
        <v>418.63335381100848</v>
      </c>
      <c r="M1312" s="12">
        <v>292.38398157110453</v>
      </c>
      <c r="N1312" s="12">
        <v>3126.873834830641</v>
      </c>
      <c r="O1312" s="12">
        <v>1247.611980786854</v>
      </c>
      <c r="P1312" s="12">
        <v>0.61014710349561874</v>
      </c>
      <c r="Q1312" s="12">
        <v>0.88054273177881015</v>
      </c>
      <c r="R1312" s="12">
        <v>0.67615320478103336</v>
      </c>
      <c r="S1312" s="12">
        <v>0.83173421059814212</v>
      </c>
      <c r="T1312" s="12">
        <v>0.85182543645389797</v>
      </c>
      <c r="U1312" s="12">
        <v>0.7875498437801165</v>
      </c>
      <c r="V1312" s="12">
        <v>292.38398157110453</v>
      </c>
      <c r="W1312" s="12">
        <v>7.7070216505025702</v>
      </c>
      <c r="X1312" s="12">
        <v>51.083937944168582</v>
      </c>
      <c r="Y1312" s="12">
        <v>1879.261854043787</v>
      </c>
      <c r="Z1312" s="12">
        <v>2.506287117296325</v>
      </c>
      <c r="AA1312" s="12" t="s">
        <v>3220</v>
      </c>
      <c r="AB1312" s="12"/>
    </row>
    <row r="1313" spans="1:28" x14ac:dyDescent="0.3">
      <c r="A1313" s="12" t="s">
        <v>3221</v>
      </c>
      <c r="B1313" s="12" t="s">
        <v>136</v>
      </c>
      <c r="C1313" s="12" t="s">
        <v>136</v>
      </c>
      <c r="D1313" s="12" t="s">
        <v>137</v>
      </c>
      <c r="E1313" s="12" t="s">
        <v>2978</v>
      </c>
      <c r="F1313" s="12" t="s">
        <v>1861</v>
      </c>
      <c r="G1313" s="12" t="s">
        <v>1861</v>
      </c>
      <c r="H1313" s="12" t="b">
        <v>1</v>
      </c>
      <c r="I1313" s="12" t="b">
        <v>0</v>
      </c>
      <c r="J1313" s="12" t="b">
        <v>1</v>
      </c>
      <c r="K1313" s="12" t="b">
        <v>0</v>
      </c>
      <c r="L1313" s="12">
        <v>454.34901017036418</v>
      </c>
      <c r="M1313" s="12">
        <v>281.73560487002851</v>
      </c>
      <c r="N1313" s="12">
        <v>3041.8780408894718</v>
      </c>
      <c r="O1313" s="12">
        <v>1161.2752681388549</v>
      </c>
      <c r="P1313" s="12">
        <v>0.58717185561414575</v>
      </c>
      <c r="Q1313" s="12">
        <v>0.85496059166930749</v>
      </c>
      <c r="R1313" s="12">
        <v>0.70561147501794541</v>
      </c>
      <c r="S1313" s="12">
        <v>0.7591979176321435</v>
      </c>
      <c r="T1313" s="12">
        <v>0.7827759631177218</v>
      </c>
      <c r="U1313" s="12">
        <v>0.78109857649568293</v>
      </c>
      <c r="V1313" s="12">
        <v>281.73560487002851</v>
      </c>
      <c r="W1313" s="12">
        <v>7.6979076259422703</v>
      </c>
      <c r="X1313" s="12">
        <v>87.549008513167252</v>
      </c>
      <c r="Y1313" s="12">
        <v>1880.6027727506171</v>
      </c>
      <c r="Z1313" s="12">
        <v>2.619428936745213</v>
      </c>
      <c r="AA1313" s="12" t="s">
        <v>1268</v>
      </c>
      <c r="AB1313" s="12"/>
    </row>
    <row r="1314" spans="1:28" x14ac:dyDescent="0.3">
      <c r="A1314" s="12" t="s">
        <v>3222</v>
      </c>
      <c r="B1314" s="12" t="s">
        <v>136</v>
      </c>
      <c r="C1314" s="12" t="s">
        <v>136</v>
      </c>
      <c r="D1314" s="12" t="s">
        <v>137</v>
      </c>
      <c r="E1314" s="12" t="s">
        <v>2978</v>
      </c>
      <c r="F1314" s="12" t="s">
        <v>1861</v>
      </c>
      <c r="G1314" s="12" t="s">
        <v>1861</v>
      </c>
      <c r="H1314" s="12" t="b">
        <v>1</v>
      </c>
      <c r="I1314" s="12" t="b">
        <v>0</v>
      </c>
      <c r="J1314" s="12" t="b">
        <v>1</v>
      </c>
      <c r="K1314" s="12" t="b">
        <v>0</v>
      </c>
      <c r="L1314" s="12">
        <v>485.83099875433481</v>
      </c>
      <c r="M1314" s="12">
        <v>297.3821645648199</v>
      </c>
      <c r="N1314" s="12">
        <v>2991.4327882586672</v>
      </c>
      <c r="O1314" s="12">
        <v>467.40073994903167</v>
      </c>
      <c r="P1314" s="12">
        <v>0.5609096114881178</v>
      </c>
      <c r="Q1314" s="12">
        <v>0.89040369200934966</v>
      </c>
      <c r="R1314" s="12">
        <v>0.79413529775336089</v>
      </c>
      <c r="S1314" s="12">
        <v>0.77943919901687408</v>
      </c>
      <c r="T1314" s="12">
        <v>0.92331590634593241</v>
      </c>
      <c r="U1314" s="12">
        <v>0.78591782661920928</v>
      </c>
      <c r="V1314" s="12">
        <v>297.3821645648199</v>
      </c>
      <c r="W1314" s="12">
        <v>13.30406465736319</v>
      </c>
      <c r="X1314" s="12">
        <v>193.4342257732221</v>
      </c>
      <c r="Y1314" s="12">
        <v>2524.0320483096361</v>
      </c>
      <c r="Z1314" s="12">
        <v>6.4001455979399431</v>
      </c>
      <c r="AA1314" s="12" t="s">
        <v>1268</v>
      </c>
      <c r="AB1314" s="12"/>
    </row>
    <row r="1315" spans="1:28" x14ac:dyDescent="0.3">
      <c r="A1315" s="12" t="s">
        <v>3223</v>
      </c>
      <c r="B1315" s="12" t="s">
        <v>136</v>
      </c>
      <c r="C1315" s="12" t="s">
        <v>136</v>
      </c>
      <c r="D1315" s="12" t="s">
        <v>137</v>
      </c>
      <c r="E1315" s="12" t="s">
        <v>2978</v>
      </c>
      <c r="F1315" s="12" t="s">
        <v>32</v>
      </c>
      <c r="G1315" s="12" t="s">
        <v>32</v>
      </c>
      <c r="H1315" s="12" t="b">
        <v>1</v>
      </c>
      <c r="I1315" s="12" t="b">
        <v>1</v>
      </c>
      <c r="J1315" s="12" t="b">
        <v>0</v>
      </c>
      <c r="K1315" s="12" t="b">
        <v>0</v>
      </c>
      <c r="L1315" s="12">
        <v>403.99018799313637</v>
      </c>
      <c r="M1315" s="12">
        <v>301.43598510231362</v>
      </c>
      <c r="N1315" s="12">
        <v>3327.7722388455691</v>
      </c>
      <c r="O1315" s="12">
        <v>1205.063074717169</v>
      </c>
      <c r="P1315" s="12">
        <v>0.74945503937130242</v>
      </c>
      <c r="Q1315" s="12">
        <v>0.84040517964703443</v>
      </c>
      <c r="R1315" s="12">
        <v>0.66467399149604423</v>
      </c>
      <c r="S1315" s="12">
        <v>0.65055280400278159</v>
      </c>
      <c r="T1315" s="12">
        <v>0.92019682739511577</v>
      </c>
      <c r="U1315" s="12">
        <v>0.93644374278829445</v>
      </c>
      <c r="V1315" s="12">
        <v>301.43598510231362</v>
      </c>
      <c r="W1315" s="12">
        <v>8.27329743419536</v>
      </c>
      <c r="X1315" s="12">
        <v>49.655659467040607</v>
      </c>
      <c r="Y1315" s="12">
        <v>2122.7091641284001</v>
      </c>
      <c r="Z1315" s="12">
        <v>2.7614921647371888</v>
      </c>
      <c r="AA1315" s="12"/>
      <c r="AB1315" s="12"/>
    </row>
    <row r="1316" spans="1:28" x14ac:dyDescent="0.3">
      <c r="A1316" s="12" t="s">
        <v>3224</v>
      </c>
      <c r="B1316" s="12" t="s">
        <v>136</v>
      </c>
      <c r="C1316" s="12" t="s">
        <v>136</v>
      </c>
      <c r="D1316" s="12" t="s">
        <v>137</v>
      </c>
      <c r="E1316" s="12" t="s">
        <v>2978</v>
      </c>
      <c r="F1316" s="12" t="s">
        <v>1861</v>
      </c>
      <c r="G1316" s="12" t="s">
        <v>1861</v>
      </c>
      <c r="H1316" s="12" t="b">
        <v>1</v>
      </c>
      <c r="I1316" s="12" t="b">
        <v>0</v>
      </c>
      <c r="J1316" s="12" t="b">
        <v>0</v>
      </c>
      <c r="K1316" s="12" t="b">
        <v>0</v>
      </c>
      <c r="L1316" s="12">
        <v>464.07535160538441</v>
      </c>
      <c r="M1316" s="12">
        <v>285.98285947165522</v>
      </c>
      <c r="N1316" s="12">
        <v>3614.6825239701971</v>
      </c>
      <c r="O1316" s="12">
        <v>500.46140341435063</v>
      </c>
      <c r="P1316" s="12">
        <v>0.76216380472809409</v>
      </c>
      <c r="Q1316" s="12">
        <v>0.77477697651739863</v>
      </c>
      <c r="R1316" s="12">
        <v>0.72783121663743389</v>
      </c>
      <c r="S1316" s="12">
        <v>0.62514462912580238</v>
      </c>
      <c r="T1316" s="12">
        <v>0.65548200608727814</v>
      </c>
      <c r="U1316" s="12">
        <v>0.81651476830528258</v>
      </c>
      <c r="V1316" s="12">
        <v>285.98285947165522</v>
      </c>
      <c r="W1316" s="12">
        <v>13.451975510729421</v>
      </c>
      <c r="X1316" s="12">
        <v>141.55981492451579</v>
      </c>
      <c r="Y1316" s="12">
        <v>3114.221120555846</v>
      </c>
      <c r="Z1316" s="12">
        <v>7.2226998911591727</v>
      </c>
      <c r="AA1316" s="12" t="s">
        <v>1268</v>
      </c>
      <c r="AB1316" s="12"/>
    </row>
    <row r="1317" spans="1:28" x14ac:dyDescent="0.3">
      <c r="A1317" s="12" t="s">
        <v>3225</v>
      </c>
      <c r="B1317" s="12" t="s">
        <v>136</v>
      </c>
      <c r="C1317" s="12" t="s">
        <v>136</v>
      </c>
      <c r="D1317" s="12" t="s">
        <v>137</v>
      </c>
      <c r="E1317" s="12" t="s">
        <v>2978</v>
      </c>
      <c r="F1317" s="12" t="s">
        <v>1861</v>
      </c>
      <c r="G1317" s="12" t="s">
        <v>1861</v>
      </c>
      <c r="H1317" s="12" t="b">
        <v>1</v>
      </c>
      <c r="I1317" s="12" t="b">
        <v>0</v>
      </c>
      <c r="J1317" s="12" t="b">
        <v>1</v>
      </c>
      <c r="K1317" s="12" t="b">
        <v>0</v>
      </c>
      <c r="L1317" s="12">
        <v>489.0192029646505</v>
      </c>
      <c r="M1317" s="12">
        <v>294.30444982725169</v>
      </c>
      <c r="N1317" s="12">
        <v>2251.395536928917</v>
      </c>
      <c r="O1317" s="12">
        <v>1340.3058027406059</v>
      </c>
      <c r="P1317" s="12">
        <v>0.74695954798255715</v>
      </c>
      <c r="Q1317" s="12">
        <v>0.83178138976735649</v>
      </c>
      <c r="R1317" s="12">
        <v>0.85125838016952016</v>
      </c>
      <c r="S1317" s="12">
        <v>0.84558507939837591</v>
      </c>
      <c r="T1317" s="12">
        <v>0.61593048504593162</v>
      </c>
      <c r="U1317" s="12">
        <v>0.87484007590587376</v>
      </c>
      <c r="V1317" s="12">
        <v>294.30444982725169</v>
      </c>
      <c r="W1317" s="12">
        <v>4.3728337273536697</v>
      </c>
      <c r="X1317" s="12">
        <v>68.788583728514396</v>
      </c>
      <c r="Y1317" s="12">
        <v>911.08973418831124</v>
      </c>
      <c r="Z1317" s="12">
        <v>1.6797625827817431</v>
      </c>
      <c r="AA1317" s="12" t="s">
        <v>1268</v>
      </c>
      <c r="AB1317" s="12"/>
    </row>
    <row r="1318" spans="1:28" x14ac:dyDescent="0.3">
      <c r="A1318" s="12" t="s">
        <v>3226</v>
      </c>
      <c r="B1318" s="12" t="s">
        <v>136</v>
      </c>
      <c r="C1318" s="12" t="s">
        <v>136</v>
      </c>
      <c r="D1318" s="12" t="s">
        <v>137</v>
      </c>
      <c r="E1318" s="12" t="s">
        <v>2978</v>
      </c>
      <c r="F1318" s="12" t="s">
        <v>32</v>
      </c>
      <c r="G1318" s="12" t="s">
        <v>32</v>
      </c>
      <c r="H1318" s="12" t="b">
        <v>1</v>
      </c>
      <c r="I1318" s="12" t="b">
        <v>1</v>
      </c>
      <c r="J1318" s="12" t="b">
        <v>0</v>
      </c>
      <c r="K1318" s="12" t="b">
        <v>0</v>
      </c>
      <c r="L1318" s="12">
        <v>434.14534602595228</v>
      </c>
      <c r="M1318" s="12">
        <v>283.47506612298781</v>
      </c>
      <c r="N1318" s="12">
        <v>4588.9170367828992</v>
      </c>
      <c r="O1318" s="12">
        <v>976.81384720259041</v>
      </c>
      <c r="P1318" s="12">
        <v>0.70377263779995702</v>
      </c>
      <c r="Q1318" s="12">
        <v>0.82293466199817467</v>
      </c>
      <c r="R1318" s="12">
        <v>0.75846594650592913</v>
      </c>
      <c r="S1318" s="12">
        <v>0.60867781306245305</v>
      </c>
      <c r="T1318" s="12">
        <v>0.64617556828722633</v>
      </c>
      <c r="U1318" s="12">
        <v>0.88881500124024604</v>
      </c>
      <c r="V1318" s="12">
        <v>283.47506612298781</v>
      </c>
      <c r="W1318" s="12">
        <v>9.7663380777491096</v>
      </c>
      <c r="X1318" s="12">
        <v>66.04719450719216</v>
      </c>
      <c r="Y1318" s="12">
        <v>3612.1031895803089</v>
      </c>
      <c r="Z1318" s="12">
        <v>4.6978419172953858</v>
      </c>
      <c r="AA1318" s="12"/>
      <c r="AB1318" s="12"/>
    </row>
    <row r="1319" spans="1:28" x14ac:dyDescent="0.3">
      <c r="A1319" s="12" t="s">
        <v>3227</v>
      </c>
      <c r="B1319" s="12" t="s">
        <v>136</v>
      </c>
      <c r="C1319" s="12" t="s">
        <v>136</v>
      </c>
      <c r="D1319" s="12" t="s">
        <v>137</v>
      </c>
      <c r="E1319" s="12" t="s">
        <v>2978</v>
      </c>
      <c r="F1319" s="12" t="s">
        <v>1861</v>
      </c>
      <c r="G1319" s="12" t="s">
        <v>1861</v>
      </c>
      <c r="H1319" s="12" t="b">
        <v>1</v>
      </c>
      <c r="I1319" s="12" t="b">
        <v>0</v>
      </c>
      <c r="J1319" s="12" t="b">
        <v>1</v>
      </c>
      <c r="K1319" s="12" t="b">
        <v>0</v>
      </c>
      <c r="L1319" s="12">
        <v>424.08097499966749</v>
      </c>
      <c r="M1319" s="12">
        <v>282.63586338681631</v>
      </c>
      <c r="N1319" s="12">
        <v>2467.3730047074559</v>
      </c>
      <c r="O1319" s="12">
        <v>1119.3285801886609</v>
      </c>
      <c r="P1319" s="12">
        <v>0.53059217931732061</v>
      </c>
      <c r="Q1319" s="12">
        <v>0.83679039835224389</v>
      </c>
      <c r="R1319" s="12">
        <v>0.68921283132294497</v>
      </c>
      <c r="S1319" s="12">
        <v>0.94475722929219264</v>
      </c>
      <c r="T1319" s="12">
        <v>0.76239947858110879</v>
      </c>
      <c r="U1319" s="12">
        <v>0.73907231802581996</v>
      </c>
      <c r="V1319" s="12">
        <v>282.63586338681631</v>
      </c>
      <c r="W1319" s="12">
        <v>6.0645443173382514</v>
      </c>
      <c r="X1319" s="12">
        <v>48.421304686535322</v>
      </c>
      <c r="Y1319" s="12">
        <v>1348.044424518795</v>
      </c>
      <c r="Z1319" s="12">
        <v>2.2043330692865761</v>
      </c>
      <c r="AA1319" s="12" t="s">
        <v>1268</v>
      </c>
      <c r="AB1319" s="12"/>
    </row>
    <row r="1320" spans="1:28" x14ac:dyDescent="0.3">
      <c r="A1320" s="12" t="s">
        <v>3228</v>
      </c>
      <c r="B1320" s="12" t="s">
        <v>136</v>
      </c>
      <c r="C1320" s="12" t="s">
        <v>136</v>
      </c>
      <c r="D1320" s="12" t="s">
        <v>137</v>
      </c>
      <c r="E1320" s="12" t="s">
        <v>2978</v>
      </c>
      <c r="F1320" s="12" t="s">
        <v>1861</v>
      </c>
      <c r="G1320" s="12" t="s">
        <v>1861</v>
      </c>
      <c r="H1320" s="12" t="b">
        <v>1</v>
      </c>
      <c r="I1320" s="12" t="b">
        <v>0</v>
      </c>
      <c r="J1320" s="12" t="b">
        <v>0</v>
      </c>
      <c r="K1320" s="12" t="b">
        <v>0</v>
      </c>
      <c r="L1320" s="12">
        <v>480.17559540567402</v>
      </c>
      <c r="M1320" s="12">
        <v>295.47959935586681</v>
      </c>
      <c r="N1320" s="12">
        <v>2669.1746503511031</v>
      </c>
      <c r="O1320" s="12">
        <v>608.51112644013438</v>
      </c>
      <c r="P1320" s="12">
        <v>0.79187131171445091</v>
      </c>
      <c r="Q1320" s="12">
        <v>0.88652951362971777</v>
      </c>
      <c r="R1320" s="12">
        <v>0.85003720298562591</v>
      </c>
      <c r="S1320" s="12">
        <v>0.65011046053647159</v>
      </c>
      <c r="T1320" s="12">
        <v>0.8450648797390854</v>
      </c>
      <c r="U1320" s="12">
        <v>0.8248687813684582</v>
      </c>
      <c r="V1320" s="12">
        <v>295.47959935586681</v>
      </c>
      <c r="W1320" s="12">
        <v>10.51372593661362</v>
      </c>
      <c r="X1320" s="12">
        <v>89.932586058374653</v>
      </c>
      <c r="Y1320" s="12">
        <v>2060.6635239109692</v>
      </c>
      <c r="Z1320" s="12">
        <v>4.3864023751974859</v>
      </c>
      <c r="AA1320" s="12" t="s">
        <v>1268</v>
      </c>
      <c r="AB1320" s="12"/>
    </row>
    <row r="1321" spans="1:28" x14ac:dyDescent="0.3">
      <c r="A1321" s="12" t="s">
        <v>3229</v>
      </c>
      <c r="B1321" s="12" t="s">
        <v>136</v>
      </c>
      <c r="C1321" s="12" t="s">
        <v>136</v>
      </c>
      <c r="D1321" s="12" t="s">
        <v>137</v>
      </c>
      <c r="E1321" s="12" t="s">
        <v>2978</v>
      </c>
      <c r="F1321" s="12" t="s">
        <v>32</v>
      </c>
      <c r="G1321" s="12" t="s">
        <v>32</v>
      </c>
      <c r="H1321" s="12" t="b">
        <v>1</v>
      </c>
      <c r="I1321" s="12" t="b">
        <v>1</v>
      </c>
      <c r="J1321" s="12" t="b">
        <v>0</v>
      </c>
      <c r="K1321" s="12" t="b">
        <v>0</v>
      </c>
      <c r="L1321" s="12">
        <v>382.4138281961342</v>
      </c>
      <c r="M1321" s="12">
        <v>281.09906822457782</v>
      </c>
      <c r="N1321" s="12">
        <v>3491.4291474903262</v>
      </c>
      <c r="O1321" s="12">
        <v>1122.4565306097729</v>
      </c>
      <c r="P1321" s="12">
        <v>0.71428877394500123</v>
      </c>
      <c r="Q1321" s="12">
        <v>0.79895287684230865</v>
      </c>
      <c r="R1321" s="12">
        <v>0.71926669094903783</v>
      </c>
      <c r="S1321" s="12">
        <v>0.7236997155909346</v>
      </c>
      <c r="T1321" s="12">
        <v>0.73227565601014</v>
      </c>
      <c r="U1321" s="12">
        <v>0.76054615582130991</v>
      </c>
      <c r="V1321" s="12">
        <v>281.09906822457782</v>
      </c>
      <c r="W1321" s="12">
        <v>6.7380618114688904</v>
      </c>
      <c r="X1321" s="12">
        <v>26.673806908392699</v>
      </c>
      <c r="Y1321" s="12">
        <v>2368.9726168805528</v>
      </c>
      <c r="Z1321" s="12">
        <v>3.1105250424206732</v>
      </c>
      <c r="AA1321" s="12"/>
      <c r="AB1321" s="12"/>
    </row>
    <row r="1322" spans="1:28" x14ac:dyDescent="0.3">
      <c r="A1322" s="12" t="s">
        <v>3230</v>
      </c>
      <c r="B1322" s="12" t="s">
        <v>136</v>
      </c>
      <c r="C1322" s="12" t="s">
        <v>136</v>
      </c>
      <c r="D1322" s="12" t="s">
        <v>137</v>
      </c>
      <c r="E1322" s="12" t="s">
        <v>2978</v>
      </c>
      <c r="F1322" s="12" t="s">
        <v>1861</v>
      </c>
      <c r="G1322" s="12" t="s">
        <v>1861</v>
      </c>
      <c r="H1322" s="12" t="b">
        <v>1</v>
      </c>
      <c r="I1322" s="12" t="b">
        <v>0</v>
      </c>
      <c r="J1322" s="12" t="b">
        <v>0</v>
      </c>
      <c r="K1322" s="12" t="b">
        <v>0</v>
      </c>
      <c r="L1322" s="12">
        <v>426.59630643882087</v>
      </c>
      <c r="M1322" s="12">
        <v>294.58322353033469</v>
      </c>
      <c r="N1322" s="12">
        <v>2372.3373250665541</v>
      </c>
      <c r="O1322" s="12">
        <v>1284.2384330569739</v>
      </c>
      <c r="P1322" s="12">
        <v>0.74777880906644389</v>
      </c>
      <c r="Q1322" s="12">
        <v>0.80597315623721877</v>
      </c>
      <c r="R1322" s="12">
        <v>0.77671790558042386</v>
      </c>
      <c r="S1322" s="12">
        <v>0.73692833223459286</v>
      </c>
      <c r="T1322" s="12">
        <v>0.73992243260128732</v>
      </c>
      <c r="U1322" s="12">
        <v>0.74671839945557072</v>
      </c>
      <c r="V1322" s="12">
        <v>294.58322353033469</v>
      </c>
      <c r="W1322" s="12">
        <v>4.7534196748620214</v>
      </c>
      <c r="X1322" s="12">
        <v>46.571698754031758</v>
      </c>
      <c r="Y1322" s="12">
        <v>1088.098892009579</v>
      </c>
      <c r="Z1322" s="12">
        <v>1.8472717090544399</v>
      </c>
      <c r="AA1322" s="12" t="s">
        <v>1268</v>
      </c>
      <c r="AB1322" s="12"/>
    </row>
    <row r="1323" spans="1:28" x14ac:dyDescent="0.3">
      <c r="A1323" s="12" t="s">
        <v>3231</v>
      </c>
      <c r="B1323" s="12" t="s">
        <v>136</v>
      </c>
      <c r="C1323" s="12" t="s">
        <v>136</v>
      </c>
      <c r="D1323" s="12" t="s">
        <v>137</v>
      </c>
      <c r="E1323" s="12" t="s">
        <v>2978</v>
      </c>
      <c r="F1323" s="12" t="s">
        <v>1861</v>
      </c>
      <c r="G1323" s="12" t="s">
        <v>1861</v>
      </c>
      <c r="H1323" s="12" t="b">
        <v>1</v>
      </c>
      <c r="I1323" s="12" t="b">
        <v>0</v>
      </c>
      <c r="J1323" s="12" t="b">
        <v>1</v>
      </c>
      <c r="K1323" s="12" t="b">
        <v>0</v>
      </c>
      <c r="L1323" s="12">
        <v>485.01668456103528</v>
      </c>
      <c r="M1323" s="12">
        <v>293.16763585205513</v>
      </c>
      <c r="N1323" s="12">
        <v>3297.487010782806</v>
      </c>
      <c r="O1323" s="12">
        <v>815.77209617820529</v>
      </c>
      <c r="P1323" s="12">
        <v>0.68694111396728263</v>
      </c>
      <c r="Q1323" s="12">
        <v>0.80367275205716526</v>
      </c>
      <c r="R1323" s="12">
        <v>0.81360080789470457</v>
      </c>
      <c r="S1323" s="12">
        <v>0.80868410348138342</v>
      </c>
      <c r="T1323" s="12">
        <v>0.69029538556786763</v>
      </c>
      <c r="U1323" s="12">
        <v>0.70134963013532436</v>
      </c>
      <c r="V1323" s="12">
        <v>293.16763585205513</v>
      </c>
      <c r="W1323" s="12">
        <v>8.838406955604821</v>
      </c>
      <c r="X1323" s="12">
        <v>112.2824768752662</v>
      </c>
      <c r="Y1323" s="12">
        <v>2481.7149146045999</v>
      </c>
      <c r="Z1323" s="12">
        <v>4.0421669559808899</v>
      </c>
      <c r="AA1323" s="12" t="s">
        <v>1268</v>
      </c>
      <c r="AB1323" s="12"/>
    </row>
    <row r="1324" spans="1:28" x14ac:dyDescent="0.3">
      <c r="A1324" s="12" t="s">
        <v>3232</v>
      </c>
      <c r="B1324" s="12" t="s">
        <v>136</v>
      </c>
      <c r="C1324" s="12" t="s">
        <v>136</v>
      </c>
      <c r="D1324" s="12" t="s">
        <v>137</v>
      </c>
      <c r="E1324" s="12" t="s">
        <v>2978</v>
      </c>
      <c r="F1324" s="12" t="s">
        <v>832</v>
      </c>
      <c r="G1324" s="12" t="s">
        <v>832</v>
      </c>
      <c r="H1324" s="12" t="b">
        <v>0</v>
      </c>
      <c r="I1324" s="12" t="b">
        <v>0</v>
      </c>
      <c r="J1324" s="12" t="b">
        <v>0</v>
      </c>
      <c r="K1324" s="12" t="b">
        <v>0</v>
      </c>
      <c r="L1324" s="12">
        <v>386.67004668678868</v>
      </c>
      <c r="M1324" s="12">
        <v>278.35904758688531</v>
      </c>
      <c r="N1324" s="12">
        <v>4536.4543133991274</v>
      </c>
      <c r="O1324" s="12">
        <v>328.58436098782579</v>
      </c>
      <c r="P1324" s="12">
        <v>0.55862384056159486</v>
      </c>
      <c r="Q1324" s="12">
        <v>0.75140235258842103</v>
      </c>
      <c r="R1324" s="12">
        <v>0.75248591094829609</v>
      </c>
      <c r="S1324" s="12">
        <v>0.76606107977797111</v>
      </c>
      <c r="T1324" s="12">
        <v>0.74937371488605031</v>
      </c>
      <c r="U1324" s="12">
        <v>0.76363561020707171</v>
      </c>
      <c r="V1324" s="12">
        <v>278.35904758688531</v>
      </c>
      <c r="W1324" s="12"/>
      <c r="X1324" s="12"/>
      <c r="Y1324" s="12">
        <v>4207.8699524113017</v>
      </c>
      <c r="Z1324" s="12">
        <v>13.806056684381289</v>
      </c>
      <c r="AA1324" s="12"/>
      <c r="AB1324" s="12"/>
    </row>
    <row r="1325" spans="1:28" x14ac:dyDescent="0.3">
      <c r="A1325" s="12" t="s">
        <v>3233</v>
      </c>
      <c r="B1325" s="12" t="s">
        <v>136</v>
      </c>
      <c r="C1325" s="12" t="s">
        <v>136</v>
      </c>
      <c r="D1325" s="12" t="s">
        <v>137</v>
      </c>
      <c r="E1325" s="12" t="s">
        <v>2978</v>
      </c>
      <c r="F1325" s="12" t="s">
        <v>1861</v>
      </c>
      <c r="G1325" s="12" t="s">
        <v>1861</v>
      </c>
      <c r="H1325" s="12" t="b">
        <v>1</v>
      </c>
      <c r="I1325" s="12" t="b">
        <v>0</v>
      </c>
      <c r="J1325" s="12" t="b">
        <v>0</v>
      </c>
      <c r="K1325" s="12" t="b">
        <v>0</v>
      </c>
      <c r="L1325" s="12">
        <v>425.39192704707921</v>
      </c>
      <c r="M1325" s="12">
        <v>301.18950860992823</v>
      </c>
      <c r="N1325" s="12">
        <v>4057.0009606294129</v>
      </c>
      <c r="O1325" s="12">
        <v>1438.2660417190521</v>
      </c>
      <c r="P1325" s="12">
        <v>0.6583016866431044</v>
      </c>
      <c r="Q1325" s="12">
        <v>0.89945003376295918</v>
      </c>
      <c r="R1325" s="12">
        <v>0.72977960774518391</v>
      </c>
      <c r="S1325" s="12">
        <v>0.6897940450180331</v>
      </c>
      <c r="T1325" s="12">
        <v>0.9270267883025668</v>
      </c>
      <c r="U1325" s="12">
        <v>0.71268111955042912</v>
      </c>
      <c r="V1325" s="12">
        <v>301.18950860992823</v>
      </c>
      <c r="W1325" s="12">
        <v>9.5029869018692494</v>
      </c>
      <c r="X1325" s="12">
        <v>51.317568594383737</v>
      </c>
      <c r="Y1325" s="12">
        <v>2618.7349189103611</v>
      </c>
      <c r="Z1325" s="12">
        <v>2.8207583596845431</v>
      </c>
      <c r="AA1325" s="12" t="s">
        <v>1268</v>
      </c>
      <c r="AB1325" s="12"/>
    </row>
    <row r="1326" spans="1:28" x14ac:dyDescent="0.3">
      <c r="A1326" s="12" t="s">
        <v>3234</v>
      </c>
      <c r="B1326" s="12" t="s">
        <v>136</v>
      </c>
      <c r="C1326" s="12" t="s">
        <v>136</v>
      </c>
      <c r="D1326" s="12" t="s">
        <v>137</v>
      </c>
      <c r="E1326" s="12" t="s">
        <v>2978</v>
      </c>
      <c r="F1326" s="12" t="s">
        <v>832</v>
      </c>
      <c r="G1326" s="12" t="s">
        <v>832</v>
      </c>
      <c r="H1326" s="12" t="b">
        <v>0</v>
      </c>
      <c r="I1326" s="12" t="b">
        <v>0</v>
      </c>
      <c r="J1326" s="12" t="b">
        <v>0</v>
      </c>
      <c r="K1326" s="12" t="b">
        <v>0</v>
      </c>
      <c r="L1326" s="12">
        <v>498.31625345673871</v>
      </c>
      <c r="M1326" s="12">
        <v>295.76410165538022</v>
      </c>
      <c r="N1326" s="12">
        <v>2931.4705712881041</v>
      </c>
      <c r="O1326" s="12">
        <v>1223.3270620521289</v>
      </c>
      <c r="P1326" s="12">
        <v>0.81922097325994092</v>
      </c>
      <c r="Q1326" s="12">
        <v>0.88580435971707994</v>
      </c>
      <c r="R1326" s="12">
        <v>0.84934923569290366</v>
      </c>
      <c r="S1326" s="12">
        <v>0.88108746607869204</v>
      </c>
      <c r="T1326" s="12">
        <v>0.81679467013902385</v>
      </c>
      <c r="U1326" s="12">
        <v>0.90967045176027161</v>
      </c>
      <c r="V1326" s="12">
        <v>295.76410165538022</v>
      </c>
      <c r="W1326" s="12"/>
      <c r="X1326" s="12"/>
      <c r="Y1326" s="12">
        <v>1708.143509235975</v>
      </c>
      <c r="Z1326" s="12">
        <v>2.3963097541311371</v>
      </c>
      <c r="AA1326" s="12"/>
      <c r="AB1326" s="12"/>
    </row>
    <row r="1327" spans="1:28" x14ac:dyDescent="0.3">
      <c r="A1327" s="12" t="s">
        <v>3235</v>
      </c>
      <c r="B1327" s="12" t="s">
        <v>136</v>
      </c>
      <c r="C1327" s="12" t="s">
        <v>136</v>
      </c>
      <c r="D1327" s="12" t="s">
        <v>137</v>
      </c>
      <c r="E1327" s="12" t="s">
        <v>2978</v>
      </c>
      <c r="F1327" s="12" t="s">
        <v>32</v>
      </c>
      <c r="G1327" s="12" t="s">
        <v>32</v>
      </c>
      <c r="H1327" s="12" t="b">
        <v>1</v>
      </c>
      <c r="I1327" s="12" t="b">
        <v>1</v>
      </c>
      <c r="J1327" s="12" t="b">
        <v>0</v>
      </c>
      <c r="K1327" s="12" t="b">
        <v>0</v>
      </c>
      <c r="L1327" s="12">
        <v>421.45218192972118</v>
      </c>
      <c r="M1327" s="12">
        <v>279.36523841228131</v>
      </c>
      <c r="N1327" s="12">
        <v>2761.6869955712159</v>
      </c>
      <c r="O1327" s="12">
        <v>709.6704518480492</v>
      </c>
      <c r="P1327" s="12">
        <v>0.73544576419754049</v>
      </c>
      <c r="Q1327" s="12">
        <v>0.85406744537401791</v>
      </c>
      <c r="R1327" s="12">
        <v>0.82445157108653044</v>
      </c>
      <c r="S1327" s="12">
        <v>0.65198181443043146</v>
      </c>
      <c r="T1327" s="12">
        <v>0.68511193380249169</v>
      </c>
      <c r="U1327" s="12">
        <v>0.94175297805228675</v>
      </c>
      <c r="V1327" s="12">
        <v>279.36523841228131</v>
      </c>
      <c r="W1327" s="12">
        <v>10.250153137449351</v>
      </c>
      <c r="X1327" s="12">
        <v>91.387537291173999</v>
      </c>
      <c r="Y1327" s="12">
        <v>2052.0165437231672</v>
      </c>
      <c r="Z1327" s="12">
        <v>3.8915062454404312</v>
      </c>
      <c r="AA1327" s="12"/>
      <c r="AB1327" s="12"/>
    </row>
    <row r="1328" spans="1:28" x14ac:dyDescent="0.3">
      <c r="A1328" s="12" t="s">
        <v>3236</v>
      </c>
      <c r="B1328" s="12" t="s">
        <v>136</v>
      </c>
      <c r="C1328" s="12" t="s">
        <v>136</v>
      </c>
      <c r="D1328" s="12" t="s">
        <v>137</v>
      </c>
      <c r="E1328" s="12" t="s">
        <v>2978</v>
      </c>
      <c r="F1328" s="12" t="s">
        <v>1861</v>
      </c>
      <c r="G1328" s="12" t="s">
        <v>1861</v>
      </c>
      <c r="H1328" s="12" t="b">
        <v>1</v>
      </c>
      <c r="I1328" s="12" t="b">
        <v>0</v>
      </c>
      <c r="J1328" s="12" t="b">
        <v>1</v>
      </c>
      <c r="K1328" s="12" t="b">
        <v>0</v>
      </c>
      <c r="L1328" s="12">
        <v>443.18194200140698</v>
      </c>
      <c r="M1328" s="12">
        <v>285.50245153291621</v>
      </c>
      <c r="N1328" s="12">
        <v>4134.1857033922206</v>
      </c>
      <c r="O1328" s="12">
        <v>1399.190997438363</v>
      </c>
      <c r="P1328" s="12">
        <v>0.81678937708954913</v>
      </c>
      <c r="Q1328" s="12">
        <v>0.84976327591880707</v>
      </c>
      <c r="R1328" s="12">
        <v>0.72664321199638726</v>
      </c>
      <c r="S1328" s="12">
        <v>0.89903230764928388</v>
      </c>
      <c r="T1328" s="12">
        <v>0.68841245215058555</v>
      </c>
      <c r="U1328" s="12">
        <v>0.85761076420051208</v>
      </c>
      <c r="V1328" s="12">
        <v>285.50245153291621</v>
      </c>
      <c r="W1328" s="12">
        <v>9.6342649531942701</v>
      </c>
      <c r="X1328" s="12">
        <v>133.48203089221531</v>
      </c>
      <c r="Y1328" s="12">
        <v>2734.9947059538581</v>
      </c>
      <c r="Z1328" s="12">
        <v>2.954697186417782</v>
      </c>
      <c r="AA1328" s="12" t="s">
        <v>1268</v>
      </c>
      <c r="AB1328" s="12"/>
    </row>
    <row r="1329" spans="1:28" x14ac:dyDescent="0.3">
      <c r="A1329" s="12" t="s">
        <v>3237</v>
      </c>
      <c r="B1329" s="12" t="s">
        <v>136</v>
      </c>
      <c r="C1329" s="12" t="s">
        <v>136</v>
      </c>
      <c r="D1329" s="12" t="s">
        <v>137</v>
      </c>
      <c r="E1329" s="12" t="s">
        <v>2978</v>
      </c>
      <c r="F1329" s="12" t="s">
        <v>832</v>
      </c>
      <c r="G1329" s="12" t="s">
        <v>832</v>
      </c>
      <c r="H1329" s="12" t="b">
        <v>0</v>
      </c>
      <c r="I1329" s="12" t="b">
        <v>0</v>
      </c>
      <c r="J1329" s="12" t="b">
        <v>0</v>
      </c>
      <c r="K1329" s="12" t="b">
        <v>0</v>
      </c>
      <c r="L1329" s="12">
        <v>396.01011673858238</v>
      </c>
      <c r="M1329" s="12">
        <v>297.62003330339178</v>
      </c>
      <c r="N1329" s="12">
        <v>4784.5106025892464</v>
      </c>
      <c r="O1329" s="12">
        <v>507.54537312511752</v>
      </c>
      <c r="P1329" s="12">
        <v>0.70245504872224396</v>
      </c>
      <c r="Q1329" s="12">
        <v>0.90241046932340119</v>
      </c>
      <c r="R1329" s="12">
        <v>0.77252955356394271</v>
      </c>
      <c r="S1329" s="12">
        <v>0.66524205217396126</v>
      </c>
      <c r="T1329" s="12">
        <v>0.80768059301588357</v>
      </c>
      <c r="U1329" s="12">
        <v>0.88501305041415934</v>
      </c>
      <c r="V1329" s="12">
        <v>297.62003330339178</v>
      </c>
      <c r="W1329" s="12"/>
      <c r="X1329" s="12"/>
      <c r="Y1329" s="12">
        <v>4276.9652294641282</v>
      </c>
      <c r="Z1329" s="12">
        <v>9.4267642972085408</v>
      </c>
      <c r="AA1329" s="12"/>
      <c r="AB1329" s="12"/>
    </row>
    <row r="1330" spans="1:28" x14ac:dyDescent="0.3">
      <c r="A1330" s="12" t="s">
        <v>3238</v>
      </c>
      <c r="B1330" s="12" t="s">
        <v>136</v>
      </c>
      <c r="C1330" s="12" t="s">
        <v>136</v>
      </c>
      <c r="D1330" s="12" t="s">
        <v>137</v>
      </c>
      <c r="E1330" s="12" t="s">
        <v>2978</v>
      </c>
      <c r="F1330" s="12" t="s">
        <v>1861</v>
      </c>
      <c r="G1330" s="12" t="s">
        <v>1861</v>
      </c>
      <c r="H1330" s="12" t="b">
        <v>1</v>
      </c>
      <c r="I1330" s="12" t="b">
        <v>0</v>
      </c>
      <c r="J1330" s="12" t="b">
        <v>0</v>
      </c>
      <c r="K1330" s="12" t="b">
        <v>0</v>
      </c>
      <c r="L1330" s="12">
        <v>425.13560968315647</v>
      </c>
      <c r="M1330" s="12">
        <v>298.59936087809479</v>
      </c>
      <c r="N1330" s="12">
        <v>4744.0477080877627</v>
      </c>
      <c r="O1330" s="12">
        <v>1310.7399075267499</v>
      </c>
      <c r="P1330" s="12">
        <v>0.75552698677470587</v>
      </c>
      <c r="Q1330" s="12">
        <v>0.76921417091357358</v>
      </c>
      <c r="R1330" s="12">
        <v>0.86254242744660892</v>
      </c>
      <c r="S1330" s="12">
        <v>0.86156830444367793</v>
      </c>
      <c r="T1330" s="12">
        <v>0.90524644675998844</v>
      </c>
      <c r="U1330" s="12">
        <v>0.8360542520587132</v>
      </c>
      <c r="V1330" s="12">
        <v>298.59936087809479</v>
      </c>
      <c r="W1330" s="12">
        <v>10.21959206533548</v>
      </c>
      <c r="X1330" s="12">
        <v>84.219870149674932</v>
      </c>
      <c r="Y1330" s="12">
        <v>3433.3078005610132</v>
      </c>
      <c r="Z1330" s="12">
        <v>3.6193661922138012</v>
      </c>
      <c r="AA1330" s="12" t="s">
        <v>1268</v>
      </c>
      <c r="AB1330" s="12"/>
    </row>
    <row r="1331" spans="1:28" x14ac:dyDescent="0.3">
      <c r="A1331" s="12" t="s">
        <v>3239</v>
      </c>
      <c r="B1331" s="12" t="s">
        <v>136</v>
      </c>
      <c r="C1331" s="12" t="s">
        <v>136</v>
      </c>
      <c r="D1331" s="12" t="s">
        <v>137</v>
      </c>
      <c r="E1331" s="12" t="s">
        <v>2978</v>
      </c>
      <c r="F1331" s="12" t="s">
        <v>832</v>
      </c>
      <c r="G1331" s="12" t="s">
        <v>832</v>
      </c>
      <c r="H1331" s="12" t="b">
        <v>0</v>
      </c>
      <c r="I1331" s="12" t="b">
        <v>0</v>
      </c>
      <c r="J1331" s="12" t="b">
        <v>0</v>
      </c>
      <c r="K1331" s="12" t="b">
        <v>0</v>
      </c>
      <c r="L1331" s="12">
        <v>471.94388805416298</v>
      </c>
      <c r="M1331" s="12">
        <v>281.65238487820511</v>
      </c>
      <c r="N1331" s="12">
        <v>3240.6004886381088</v>
      </c>
      <c r="O1331" s="12">
        <v>653.41981308364711</v>
      </c>
      <c r="P1331" s="12">
        <v>0.61716899260947355</v>
      </c>
      <c r="Q1331" s="12">
        <v>0.86096687192065713</v>
      </c>
      <c r="R1331" s="12">
        <v>0.69105776665615626</v>
      </c>
      <c r="S1331" s="12">
        <v>0.64237054037451913</v>
      </c>
      <c r="T1331" s="12">
        <v>0.66644996551799163</v>
      </c>
      <c r="U1331" s="12">
        <v>0.93322687238389035</v>
      </c>
      <c r="V1331" s="12">
        <v>281.65238487820511</v>
      </c>
      <c r="W1331" s="12"/>
      <c r="X1331" s="12"/>
      <c r="Y1331" s="12">
        <v>2587.1806755544621</v>
      </c>
      <c r="Z1331" s="12">
        <v>4.9594463218752516</v>
      </c>
      <c r="AA1331" s="12"/>
      <c r="AB1331" s="12"/>
    </row>
    <row r="1332" spans="1:28" x14ac:dyDescent="0.3">
      <c r="A1332" s="12" t="s">
        <v>3240</v>
      </c>
      <c r="B1332" s="12" t="s">
        <v>136</v>
      </c>
      <c r="C1332" s="12" t="s">
        <v>136</v>
      </c>
      <c r="D1332" s="12" t="s">
        <v>137</v>
      </c>
      <c r="E1332" s="12" t="s">
        <v>2978</v>
      </c>
      <c r="F1332" s="12" t="s">
        <v>32</v>
      </c>
      <c r="G1332" s="12" t="s">
        <v>32</v>
      </c>
      <c r="H1332" s="12" t="b">
        <v>1</v>
      </c>
      <c r="I1332" s="12" t="b">
        <v>1</v>
      </c>
      <c r="J1332" s="12" t="b">
        <v>0</v>
      </c>
      <c r="K1332" s="12" t="b">
        <v>0</v>
      </c>
      <c r="L1332" s="12">
        <v>406.02089795212942</v>
      </c>
      <c r="M1332" s="12">
        <v>292.80967894368479</v>
      </c>
      <c r="N1332" s="12">
        <v>2005.3950733036199</v>
      </c>
      <c r="O1332" s="12">
        <v>1295.157266668871</v>
      </c>
      <c r="P1332" s="12">
        <v>0.79775648811718469</v>
      </c>
      <c r="Q1332" s="12">
        <v>0.78241746242915455</v>
      </c>
      <c r="R1332" s="12">
        <v>0.87309527248431662</v>
      </c>
      <c r="S1332" s="12">
        <v>0.67586134370453699</v>
      </c>
      <c r="T1332" s="12">
        <v>0.86858691318603209</v>
      </c>
      <c r="U1332" s="12">
        <v>0.91113900442557305</v>
      </c>
      <c r="V1332" s="12">
        <v>292.80967894368479</v>
      </c>
      <c r="W1332" s="12">
        <v>3.73772113579302</v>
      </c>
      <c r="X1332" s="12">
        <v>34.154429793215272</v>
      </c>
      <c r="Y1332" s="12">
        <v>710.23780663474918</v>
      </c>
      <c r="Z1332" s="12">
        <v>1.5483795867211341</v>
      </c>
      <c r="AA1332" s="12"/>
      <c r="AB1332" s="12"/>
    </row>
    <row r="1333" spans="1:28" x14ac:dyDescent="0.3">
      <c r="A1333" s="12" t="s">
        <v>3241</v>
      </c>
      <c r="B1333" s="12" t="s">
        <v>136</v>
      </c>
      <c r="C1333" s="12" t="s">
        <v>136</v>
      </c>
      <c r="D1333" s="12" t="s">
        <v>137</v>
      </c>
      <c r="E1333" s="12" t="s">
        <v>2978</v>
      </c>
      <c r="F1333" s="12" t="s">
        <v>1861</v>
      </c>
      <c r="G1333" s="12" t="s">
        <v>1861</v>
      </c>
      <c r="H1333" s="12" t="b">
        <v>1</v>
      </c>
      <c r="I1333" s="12" t="b">
        <v>0</v>
      </c>
      <c r="J1333" s="12" t="b">
        <v>1</v>
      </c>
      <c r="K1333" s="12" t="b">
        <v>0</v>
      </c>
      <c r="L1333" s="12">
        <v>458.12324088409849</v>
      </c>
      <c r="M1333" s="12">
        <v>288.62378993650037</v>
      </c>
      <c r="N1333" s="12">
        <v>4097.8797506023502</v>
      </c>
      <c r="O1333" s="12">
        <v>599.39938385898768</v>
      </c>
      <c r="P1333" s="12">
        <v>0.50238355311783867</v>
      </c>
      <c r="Q1333" s="12">
        <v>0.8380289722419727</v>
      </c>
      <c r="R1333" s="12">
        <v>0.68388403803932429</v>
      </c>
      <c r="S1333" s="12">
        <v>0.77200541722048621</v>
      </c>
      <c r="T1333" s="12">
        <v>0.82122985886939137</v>
      </c>
      <c r="U1333" s="12">
        <v>0.80043775793391347</v>
      </c>
      <c r="V1333" s="12">
        <v>288.62378993650037</v>
      </c>
      <c r="W1333" s="12">
        <v>12.72612584923111</v>
      </c>
      <c r="X1333" s="12">
        <v>98.234175942790216</v>
      </c>
      <c r="Y1333" s="12">
        <v>3498.480366743363</v>
      </c>
      <c r="Z1333" s="12">
        <v>6.836643248145883</v>
      </c>
      <c r="AA1333" s="12" t="s">
        <v>1268</v>
      </c>
      <c r="AB1333" s="12"/>
    </row>
    <row r="1334" spans="1:28" x14ac:dyDescent="0.3">
      <c r="A1334" s="12" t="s">
        <v>3242</v>
      </c>
      <c r="B1334" s="12" t="s">
        <v>136</v>
      </c>
      <c r="C1334" s="12" t="s">
        <v>136</v>
      </c>
      <c r="D1334" s="12" t="s">
        <v>137</v>
      </c>
      <c r="E1334" s="12" t="s">
        <v>2978</v>
      </c>
      <c r="F1334" s="12" t="s">
        <v>1862</v>
      </c>
      <c r="G1334" s="12" t="s">
        <v>1862</v>
      </c>
      <c r="H1334" s="12" t="b">
        <v>1</v>
      </c>
      <c r="I1334" s="12" t="b">
        <v>0</v>
      </c>
      <c r="J1334" s="12" t="b">
        <v>0</v>
      </c>
      <c r="K1334" s="12" t="b">
        <v>0</v>
      </c>
      <c r="L1334" s="12">
        <v>416.25083657976541</v>
      </c>
      <c r="M1334" s="12">
        <v>299.19389081911851</v>
      </c>
      <c r="N1334" s="12">
        <v>4221.2709021404407</v>
      </c>
      <c r="O1334" s="12">
        <v>417.49418257396292</v>
      </c>
      <c r="P1334" s="12">
        <v>0.71895768341017419</v>
      </c>
      <c r="Q1334" s="12">
        <v>0.76747836039416917</v>
      </c>
      <c r="R1334" s="12">
        <v>0.71227888730617761</v>
      </c>
      <c r="S1334" s="12">
        <v>0.91095374924579819</v>
      </c>
      <c r="T1334" s="12">
        <v>0.8623433728026878</v>
      </c>
      <c r="U1334" s="12">
        <v>0.87296881080188304</v>
      </c>
      <c r="V1334" s="12">
        <v>299.19389081911851</v>
      </c>
      <c r="W1334" s="12">
        <v>-9.2352925376015804</v>
      </c>
      <c r="X1334" s="12">
        <v>-30.780932615293271</v>
      </c>
      <c r="Y1334" s="12">
        <v>3803.7767195664778</v>
      </c>
      <c r="Z1334" s="12">
        <v>10.110969393909111</v>
      </c>
      <c r="AA1334" s="12" t="s">
        <v>2513</v>
      </c>
      <c r="AB1334" s="12"/>
    </row>
    <row r="1335" spans="1:28" x14ac:dyDescent="0.3">
      <c r="A1335" s="12" t="s">
        <v>3243</v>
      </c>
      <c r="B1335" s="12" t="s">
        <v>136</v>
      </c>
      <c r="C1335" s="12" t="s">
        <v>136</v>
      </c>
      <c r="D1335" s="12" t="s">
        <v>137</v>
      </c>
      <c r="E1335" s="12" t="s">
        <v>2978</v>
      </c>
      <c r="F1335" s="12" t="s">
        <v>832</v>
      </c>
      <c r="G1335" s="12" t="s">
        <v>832</v>
      </c>
      <c r="H1335" s="12" t="b">
        <v>0</v>
      </c>
      <c r="I1335" s="12" t="b">
        <v>0</v>
      </c>
      <c r="J1335" s="12" t="b">
        <v>0</v>
      </c>
      <c r="K1335" s="12" t="b">
        <v>0</v>
      </c>
      <c r="L1335" s="12">
        <v>486.5552398167103</v>
      </c>
      <c r="M1335" s="12">
        <v>291.22215540036228</v>
      </c>
      <c r="N1335" s="12">
        <v>2706.7207150210079</v>
      </c>
      <c r="O1335" s="12">
        <v>306.72838758274241</v>
      </c>
      <c r="P1335" s="12">
        <v>0.84998425573563519</v>
      </c>
      <c r="Q1335" s="12">
        <v>0.82672365035353079</v>
      </c>
      <c r="R1335" s="12">
        <v>0.87593824856122016</v>
      </c>
      <c r="S1335" s="12">
        <v>0.65712475965296213</v>
      </c>
      <c r="T1335" s="12">
        <v>0.94547465873220538</v>
      </c>
      <c r="U1335" s="12">
        <v>0.84283325059320491</v>
      </c>
      <c r="V1335" s="12">
        <v>291.22215540036228</v>
      </c>
      <c r="W1335" s="12"/>
      <c r="X1335" s="12"/>
      <c r="Y1335" s="12">
        <v>2399.9923274382659</v>
      </c>
      <c r="Z1335" s="12">
        <v>8.8244871508374789</v>
      </c>
      <c r="AA1335" s="12"/>
      <c r="AB1335" s="12"/>
    </row>
    <row r="1336" spans="1:28" x14ac:dyDescent="0.3">
      <c r="A1336" s="12" t="s">
        <v>3244</v>
      </c>
      <c r="B1336" s="12" t="s">
        <v>136</v>
      </c>
      <c r="C1336" s="12" t="s">
        <v>136</v>
      </c>
      <c r="D1336" s="12" t="s">
        <v>137</v>
      </c>
      <c r="E1336" s="12" t="s">
        <v>2978</v>
      </c>
      <c r="F1336" s="12" t="s">
        <v>1861</v>
      </c>
      <c r="G1336" s="12" t="s">
        <v>1861</v>
      </c>
      <c r="H1336" s="12" t="b">
        <v>1</v>
      </c>
      <c r="I1336" s="12" t="b">
        <v>0</v>
      </c>
      <c r="J1336" s="12" t="b">
        <v>1</v>
      </c>
      <c r="K1336" s="12" t="b">
        <v>0</v>
      </c>
      <c r="L1336" s="12">
        <v>483.32577035619931</v>
      </c>
      <c r="M1336" s="12">
        <v>284.68788390627219</v>
      </c>
      <c r="N1336" s="12">
        <v>2973.4866912593739</v>
      </c>
      <c r="O1336" s="12">
        <v>745.03592289800804</v>
      </c>
      <c r="P1336" s="12">
        <v>0.73161100443828075</v>
      </c>
      <c r="Q1336" s="12">
        <v>0.85734500335676933</v>
      </c>
      <c r="R1336" s="12">
        <v>0.75389303827663445</v>
      </c>
      <c r="S1336" s="12">
        <v>0.75505330735749399</v>
      </c>
      <c r="T1336" s="12">
        <v>0.64939495911202871</v>
      </c>
      <c r="U1336" s="12">
        <v>0.93761288158879685</v>
      </c>
      <c r="V1336" s="12">
        <v>284.68788390627219</v>
      </c>
      <c r="W1336" s="12">
        <v>10.88891018772218</v>
      </c>
      <c r="X1336" s="12">
        <v>161.96794462886109</v>
      </c>
      <c r="Y1336" s="12">
        <v>2228.450768361366</v>
      </c>
      <c r="Z1336" s="12">
        <v>3.991064859924117</v>
      </c>
      <c r="AA1336" s="12" t="s">
        <v>1268</v>
      </c>
      <c r="AB1336" s="12"/>
    </row>
    <row r="1337" spans="1:28" x14ac:dyDescent="0.3">
      <c r="A1337" s="12" t="s">
        <v>3245</v>
      </c>
      <c r="B1337" s="12" t="s">
        <v>136</v>
      </c>
      <c r="C1337" s="12" t="s">
        <v>136</v>
      </c>
      <c r="D1337" s="12" t="s">
        <v>137</v>
      </c>
      <c r="E1337" s="12" t="s">
        <v>2978</v>
      </c>
      <c r="F1337" s="12" t="s">
        <v>1861</v>
      </c>
      <c r="G1337" s="12" t="s">
        <v>1861</v>
      </c>
      <c r="H1337" s="12" t="b">
        <v>1</v>
      </c>
      <c r="I1337" s="12" t="b">
        <v>0</v>
      </c>
      <c r="J1337" s="12" t="b">
        <v>0</v>
      </c>
      <c r="K1337" s="12" t="b">
        <v>0</v>
      </c>
      <c r="L1337" s="12">
        <v>408.53882475989252</v>
      </c>
      <c r="M1337" s="12">
        <v>302.41379943413313</v>
      </c>
      <c r="N1337" s="12">
        <v>2181.8805068243878</v>
      </c>
      <c r="O1337" s="12">
        <v>1089.357485633039</v>
      </c>
      <c r="P1337" s="12">
        <v>0.67063065719370873</v>
      </c>
      <c r="Q1337" s="12">
        <v>0.91741053413391438</v>
      </c>
      <c r="R1337" s="12">
        <v>0.673309008657485</v>
      </c>
      <c r="S1337" s="12">
        <v>0.79768815972876972</v>
      </c>
      <c r="T1337" s="12">
        <v>0.88962825354935415</v>
      </c>
      <c r="U1337" s="12">
        <v>0.81045874015027997</v>
      </c>
      <c r="V1337" s="12">
        <v>302.41379943413313</v>
      </c>
      <c r="W1337" s="12">
        <v>6.4644368756530914</v>
      </c>
      <c r="X1337" s="12">
        <v>50.427962814791421</v>
      </c>
      <c r="Y1337" s="12">
        <v>1092.523021191349</v>
      </c>
      <c r="Z1337" s="12">
        <v>2.0029058739670478</v>
      </c>
      <c r="AA1337" s="12" t="s">
        <v>1268</v>
      </c>
      <c r="AB1337" s="12"/>
    </row>
    <row r="1338" spans="1:28" x14ac:dyDescent="0.3">
      <c r="A1338" s="12" t="s">
        <v>3246</v>
      </c>
      <c r="B1338" s="12" t="s">
        <v>136</v>
      </c>
      <c r="C1338" s="12" t="s">
        <v>136</v>
      </c>
      <c r="D1338" s="12" t="s">
        <v>137</v>
      </c>
      <c r="E1338" s="12" t="s">
        <v>2978</v>
      </c>
      <c r="F1338" s="12" t="s">
        <v>832</v>
      </c>
      <c r="G1338" s="12" t="s">
        <v>832</v>
      </c>
      <c r="H1338" s="12" t="b">
        <v>0</v>
      </c>
      <c r="I1338" s="12" t="b">
        <v>0</v>
      </c>
      <c r="J1338" s="12" t="b">
        <v>0</v>
      </c>
      <c r="K1338" s="12" t="b">
        <v>0</v>
      </c>
      <c r="L1338" s="12">
        <v>479.1427083644453</v>
      </c>
      <c r="M1338" s="12">
        <v>301.33909487460721</v>
      </c>
      <c r="N1338" s="12">
        <v>4557.9368490783618</v>
      </c>
      <c r="O1338" s="12">
        <v>846.28201304261927</v>
      </c>
      <c r="P1338" s="12">
        <v>0.74269610598916036</v>
      </c>
      <c r="Q1338" s="12">
        <v>0.75041072350675675</v>
      </c>
      <c r="R1338" s="12">
        <v>0.89492203281376326</v>
      </c>
      <c r="S1338" s="12">
        <v>0.74760028833811809</v>
      </c>
      <c r="T1338" s="12">
        <v>0.83246245400547969</v>
      </c>
      <c r="U1338" s="12">
        <v>0.92697307994529199</v>
      </c>
      <c r="V1338" s="12">
        <v>301.33909487460721</v>
      </c>
      <c r="W1338" s="12"/>
      <c r="X1338" s="12"/>
      <c r="Y1338" s="12">
        <v>3711.6548360357419</v>
      </c>
      <c r="Z1338" s="12">
        <v>5.385836847330963</v>
      </c>
      <c r="AA1338" s="12"/>
      <c r="AB1338" s="12"/>
    </row>
    <row r="1339" spans="1:28" x14ac:dyDescent="0.3">
      <c r="A1339" s="12" t="s">
        <v>3247</v>
      </c>
      <c r="B1339" s="12" t="s">
        <v>136</v>
      </c>
      <c r="C1339" s="12" t="s">
        <v>136</v>
      </c>
      <c r="D1339" s="12" t="s">
        <v>137</v>
      </c>
      <c r="E1339" s="12" t="s">
        <v>2978</v>
      </c>
      <c r="F1339" s="12" t="s">
        <v>832</v>
      </c>
      <c r="G1339" s="12" t="s">
        <v>832</v>
      </c>
      <c r="H1339" s="12" t="b">
        <v>0</v>
      </c>
      <c r="I1339" s="12" t="b">
        <v>0</v>
      </c>
      <c r="J1339" s="12" t="b">
        <v>0</v>
      </c>
      <c r="K1339" s="12" t="b">
        <v>0</v>
      </c>
      <c r="L1339" s="12">
        <v>399.83358896813991</v>
      </c>
      <c r="M1339" s="12">
        <v>297.65562338207911</v>
      </c>
      <c r="N1339" s="12">
        <v>4762.457995218927</v>
      </c>
      <c r="O1339" s="12">
        <v>1418.5836332336439</v>
      </c>
      <c r="P1339" s="12">
        <v>0.56585054052156414</v>
      </c>
      <c r="Q1339" s="12">
        <v>0.84344816933969546</v>
      </c>
      <c r="R1339" s="12">
        <v>0.65240292726448934</v>
      </c>
      <c r="S1339" s="12">
        <v>0.6469684502471964</v>
      </c>
      <c r="T1339" s="12">
        <v>0.81300091152663223</v>
      </c>
      <c r="U1339" s="12">
        <v>0.7084384055951749</v>
      </c>
      <c r="V1339" s="12">
        <v>297.65562338207911</v>
      </c>
      <c r="W1339" s="12"/>
      <c r="X1339" s="12"/>
      <c r="Y1339" s="12">
        <v>3343.874361985283</v>
      </c>
      <c r="Z1339" s="12">
        <v>3.3571922611026901</v>
      </c>
      <c r="AA1339" s="12"/>
      <c r="AB1339" s="12"/>
    </row>
    <row r="1340" spans="1:28" x14ac:dyDescent="0.3">
      <c r="A1340" s="12" t="s">
        <v>3248</v>
      </c>
      <c r="B1340" s="12" t="s">
        <v>136</v>
      </c>
      <c r="C1340" s="12" t="s">
        <v>136</v>
      </c>
      <c r="D1340" s="12" t="s">
        <v>137</v>
      </c>
      <c r="E1340" s="12" t="s">
        <v>2978</v>
      </c>
      <c r="F1340" s="12" t="s">
        <v>32</v>
      </c>
      <c r="G1340" s="12" t="s">
        <v>32</v>
      </c>
      <c r="H1340" s="12" t="b">
        <v>1</v>
      </c>
      <c r="I1340" s="12" t="b">
        <v>1</v>
      </c>
      <c r="J1340" s="12" t="b">
        <v>0</v>
      </c>
      <c r="K1340" s="12" t="b">
        <v>0</v>
      </c>
      <c r="L1340" s="12">
        <v>430.80015065862062</v>
      </c>
      <c r="M1340" s="12">
        <v>279.77074499595221</v>
      </c>
      <c r="N1340" s="12">
        <v>2422.6693076928009</v>
      </c>
      <c r="O1340" s="12">
        <v>1218.7801970745261</v>
      </c>
      <c r="P1340" s="12">
        <v>0.54434907345719263</v>
      </c>
      <c r="Q1340" s="12">
        <v>0.80552325907381617</v>
      </c>
      <c r="R1340" s="12">
        <v>0.66309602976715831</v>
      </c>
      <c r="S1340" s="12">
        <v>0.6438503926601179</v>
      </c>
      <c r="T1340" s="12">
        <v>0.75716456418726874</v>
      </c>
      <c r="U1340" s="12">
        <v>0.76458598037669878</v>
      </c>
      <c r="V1340" s="12">
        <v>279.77074499595221</v>
      </c>
      <c r="W1340" s="12">
        <v>4.8318706034845196</v>
      </c>
      <c r="X1340" s="12">
        <v>33.258203747067967</v>
      </c>
      <c r="Y1340" s="12">
        <v>1203.889110618275</v>
      </c>
      <c r="Z1340" s="12">
        <v>1.987781975378337</v>
      </c>
      <c r="AA1340" s="12"/>
      <c r="AB1340" s="12"/>
    </row>
    <row r="1341" spans="1:28" x14ac:dyDescent="0.3">
      <c r="A1341" s="12" t="s">
        <v>3249</v>
      </c>
      <c r="B1341" s="12" t="s">
        <v>136</v>
      </c>
      <c r="C1341" s="12" t="s">
        <v>136</v>
      </c>
      <c r="D1341" s="12" t="s">
        <v>137</v>
      </c>
      <c r="E1341" s="12" t="s">
        <v>2978</v>
      </c>
      <c r="F1341" s="12" t="s">
        <v>1861</v>
      </c>
      <c r="G1341" s="12" t="s">
        <v>1861</v>
      </c>
      <c r="H1341" s="12" t="b">
        <v>1</v>
      </c>
      <c r="I1341" s="12" t="b">
        <v>0</v>
      </c>
      <c r="J1341" s="12" t="b">
        <v>1</v>
      </c>
      <c r="K1341" s="12" t="b">
        <v>0</v>
      </c>
      <c r="L1341" s="12">
        <v>494.41939922892129</v>
      </c>
      <c r="M1341" s="12">
        <v>286.07284024483351</v>
      </c>
      <c r="N1341" s="12">
        <v>3331.0369526321811</v>
      </c>
      <c r="O1341" s="12">
        <v>594.1435862840151</v>
      </c>
      <c r="P1341" s="12">
        <v>0.63938330757877837</v>
      </c>
      <c r="Q1341" s="12">
        <v>0.87395435003720934</v>
      </c>
      <c r="R1341" s="12">
        <v>0.72351673192686594</v>
      </c>
      <c r="S1341" s="12">
        <v>0.66332076843591559</v>
      </c>
      <c r="T1341" s="12">
        <v>0.9281927647860454</v>
      </c>
      <c r="U1341" s="12">
        <v>0.82709568681823109</v>
      </c>
      <c r="V1341" s="12">
        <v>286.07284024483351</v>
      </c>
      <c r="W1341" s="12">
        <v>13.413450514911061</v>
      </c>
      <c r="X1341" s="12">
        <v>169.6672981492207</v>
      </c>
      <c r="Y1341" s="12">
        <v>2736.8933663481662</v>
      </c>
      <c r="Z1341" s="12">
        <v>5.6064510827520131</v>
      </c>
      <c r="AA1341" s="12" t="s">
        <v>1268</v>
      </c>
      <c r="AB1341" s="12"/>
    </row>
    <row r="1342" spans="1:28" x14ac:dyDescent="0.3">
      <c r="A1342" s="12" t="s">
        <v>3250</v>
      </c>
      <c r="B1342" s="12" t="s">
        <v>136</v>
      </c>
      <c r="C1342" s="12" t="s">
        <v>136</v>
      </c>
      <c r="D1342" s="12" t="s">
        <v>137</v>
      </c>
      <c r="E1342" s="12" t="s">
        <v>2978</v>
      </c>
      <c r="F1342" s="12" t="s">
        <v>1861</v>
      </c>
      <c r="G1342" s="12" t="s">
        <v>1861</v>
      </c>
      <c r="H1342" s="12" t="b">
        <v>1</v>
      </c>
      <c r="I1342" s="12" t="b">
        <v>0</v>
      </c>
      <c r="J1342" s="12" t="b">
        <v>1</v>
      </c>
      <c r="K1342" s="12" t="b">
        <v>0</v>
      </c>
      <c r="L1342" s="12">
        <v>468.04288507354602</v>
      </c>
      <c r="M1342" s="12">
        <v>279.75109525661168</v>
      </c>
      <c r="N1342" s="12">
        <v>2632.9326449020059</v>
      </c>
      <c r="O1342" s="12">
        <v>340.0984549393936</v>
      </c>
      <c r="P1342" s="12">
        <v>0.50632277123170177</v>
      </c>
      <c r="Q1342" s="12">
        <v>0.81475671754218681</v>
      </c>
      <c r="R1342" s="12">
        <v>0.76189461776818523</v>
      </c>
      <c r="S1342" s="12">
        <v>0.71368870919032545</v>
      </c>
      <c r="T1342" s="12">
        <v>0.72157323858768652</v>
      </c>
      <c r="U1342" s="12">
        <v>0.87582854691237366</v>
      </c>
      <c r="V1342" s="12">
        <v>279.75109525661168</v>
      </c>
      <c r="W1342" s="12">
        <v>12.941050077362849</v>
      </c>
      <c r="X1342" s="12">
        <v>193.87112025079139</v>
      </c>
      <c r="Y1342" s="12">
        <v>2292.834189962613</v>
      </c>
      <c r="Z1342" s="12">
        <v>7.7416777602568096</v>
      </c>
      <c r="AA1342" s="12" t="s">
        <v>1268</v>
      </c>
      <c r="AB1342" s="12"/>
    </row>
    <row r="1343" spans="1:28" x14ac:dyDescent="0.3">
      <c r="A1343" s="12" t="s">
        <v>3251</v>
      </c>
      <c r="B1343" s="12" t="s">
        <v>136</v>
      </c>
      <c r="C1343" s="12" t="s">
        <v>136</v>
      </c>
      <c r="D1343" s="12" t="s">
        <v>137</v>
      </c>
      <c r="E1343" s="12" t="s">
        <v>2978</v>
      </c>
      <c r="F1343" s="12" t="s">
        <v>32</v>
      </c>
      <c r="G1343" s="12" t="s">
        <v>32</v>
      </c>
      <c r="H1343" s="12" t="b">
        <v>1</v>
      </c>
      <c r="I1343" s="12" t="b">
        <v>0</v>
      </c>
      <c r="J1343" s="12" t="b">
        <v>1</v>
      </c>
      <c r="K1343" s="12" t="b">
        <v>0</v>
      </c>
      <c r="L1343" s="12">
        <v>429.06829545025249</v>
      </c>
      <c r="M1343" s="12">
        <v>284.78307492780817</v>
      </c>
      <c r="N1343" s="12">
        <v>3761.2952052735659</v>
      </c>
      <c r="O1343" s="12">
        <v>1134.585646055689</v>
      </c>
      <c r="P1343" s="12">
        <v>0.52537546515263167</v>
      </c>
      <c r="Q1343" s="12">
        <v>0.84730309137132209</v>
      </c>
      <c r="R1343" s="12">
        <v>0.81984963310316405</v>
      </c>
      <c r="S1343" s="12">
        <v>0.87700318650954068</v>
      </c>
      <c r="T1343" s="12">
        <v>0.60348838916202419</v>
      </c>
      <c r="U1343" s="12">
        <v>0.87064698613975677</v>
      </c>
      <c r="V1343" s="12">
        <v>284.78307492780817</v>
      </c>
      <c r="W1343" s="12">
        <v>6.60965801575448</v>
      </c>
      <c r="X1343" s="12">
        <v>42.876634519970906</v>
      </c>
      <c r="Y1343" s="12">
        <v>2626.7095592178771</v>
      </c>
      <c r="Z1343" s="12">
        <v>3.315126732256358</v>
      </c>
      <c r="AA1343" s="12"/>
      <c r="AB1343" s="12"/>
    </row>
    <row r="1344" spans="1:28" x14ac:dyDescent="0.3">
      <c r="A1344" s="12" t="s">
        <v>3252</v>
      </c>
      <c r="B1344" s="12" t="s">
        <v>136</v>
      </c>
      <c r="C1344" s="12" t="s">
        <v>136</v>
      </c>
      <c r="D1344" s="12" t="s">
        <v>137</v>
      </c>
      <c r="E1344" s="12" t="s">
        <v>2978</v>
      </c>
      <c r="F1344" s="12" t="s">
        <v>832</v>
      </c>
      <c r="G1344" s="12" t="s">
        <v>832</v>
      </c>
      <c r="H1344" s="12" t="b">
        <v>0</v>
      </c>
      <c r="I1344" s="12" t="b">
        <v>0</v>
      </c>
      <c r="J1344" s="12" t="b">
        <v>0</v>
      </c>
      <c r="K1344" s="12" t="b">
        <v>0</v>
      </c>
      <c r="L1344" s="12">
        <v>403.37188293305769</v>
      </c>
      <c r="M1344" s="12">
        <v>302.00020414388842</v>
      </c>
      <c r="N1344" s="12">
        <v>4374.2543917335888</v>
      </c>
      <c r="O1344" s="12">
        <v>1125.918556943843</v>
      </c>
      <c r="P1344" s="12">
        <v>0.54803387726829489</v>
      </c>
      <c r="Q1344" s="12">
        <v>0.88139500310746643</v>
      </c>
      <c r="R1344" s="12">
        <v>0.82355929622105051</v>
      </c>
      <c r="S1344" s="12">
        <v>0.70136987297945808</v>
      </c>
      <c r="T1344" s="12">
        <v>0.75130023756133923</v>
      </c>
      <c r="U1344" s="12">
        <v>0.80343105637979173</v>
      </c>
      <c r="V1344" s="12">
        <v>302.00020414388842</v>
      </c>
      <c r="W1344" s="12"/>
      <c r="X1344" s="12"/>
      <c r="Y1344" s="12">
        <v>3248.3358347897461</v>
      </c>
      <c r="Z1344" s="12">
        <v>3.8850539985830972</v>
      </c>
      <c r="AA1344" s="12"/>
      <c r="AB1344" s="12"/>
    </row>
    <row r="1345" spans="1:28" x14ac:dyDescent="0.3">
      <c r="A1345" s="12" t="s">
        <v>3253</v>
      </c>
      <c r="B1345" s="12" t="s">
        <v>136</v>
      </c>
      <c r="C1345" s="12" t="s">
        <v>136</v>
      </c>
      <c r="D1345" s="12" t="s">
        <v>137</v>
      </c>
      <c r="E1345" s="12" t="s">
        <v>2978</v>
      </c>
      <c r="F1345" s="12" t="s">
        <v>1861</v>
      </c>
      <c r="G1345" s="12" t="s">
        <v>1861</v>
      </c>
      <c r="H1345" s="12" t="b">
        <v>1</v>
      </c>
      <c r="I1345" s="12" t="b">
        <v>0</v>
      </c>
      <c r="J1345" s="12" t="b">
        <v>1</v>
      </c>
      <c r="K1345" s="12" t="b">
        <v>0</v>
      </c>
      <c r="L1345" s="12">
        <v>461.63465466592157</v>
      </c>
      <c r="M1345" s="12">
        <v>283.12528634335348</v>
      </c>
      <c r="N1345" s="12">
        <v>4107.3880994792844</v>
      </c>
      <c r="O1345" s="12">
        <v>1049.26403831999</v>
      </c>
      <c r="P1345" s="12">
        <v>0.80704473186184766</v>
      </c>
      <c r="Q1345" s="12">
        <v>0.795983080818772</v>
      </c>
      <c r="R1345" s="12">
        <v>0.6777266498343405</v>
      </c>
      <c r="S1345" s="12">
        <v>0.80964582902399973</v>
      </c>
      <c r="T1345" s="12">
        <v>0.60752077357831225</v>
      </c>
      <c r="U1345" s="12">
        <v>0.72642482563356436</v>
      </c>
      <c r="V1345" s="12">
        <v>283.12528634335348</v>
      </c>
      <c r="W1345" s="12">
        <v>9.7742476428266496</v>
      </c>
      <c r="X1345" s="12">
        <v>115.1780136547863</v>
      </c>
      <c r="Y1345" s="12">
        <v>3058.1240611592939</v>
      </c>
      <c r="Z1345" s="12">
        <v>3.9145419546215972</v>
      </c>
      <c r="AA1345" s="12" t="s">
        <v>1268</v>
      </c>
      <c r="AB1345" s="12"/>
    </row>
    <row r="1346" spans="1:28" x14ac:dyDescent="0.3">
      <c r="A1346" s="12" t="s">
        <v>3254</v>
      </c>
      <c r="B1346" s="12" t="s">
        <v>136</v>
      </c>
      <c r="C1346" s="12" t="s">
        <v>136</v>
      </c>
      <c r="D1346" s="12" t="s">
        <v>137</v>
      </c>
      <c r="E1346" s="12" t="s">
        <v>2978</v>
      </c>
      <c r="F1346" s="12" t="s">
        <v>32</v>
      </c>
      <c r="G1346" s="12" t="s">
        <v>32</v>
      </c>
      <c r="H1346" s="12" t="b">
        <v>1</v>
      </c>
      <c r="I1346" s="12" t="b">
        <v>1</v>
      </c>
      <c r="J1346" s="12" t="b">
        <v>0</v>
      </c>
      <c r="K1346" s="12" t="b">
        <v>0</v>
      </c>
      <c r="L1346" s="12">
        <v>427.66635357848259</v>
      </c>
      <c r="M1346" s="12">
        <v>293.49017272592567</v>
      </c>
      <c r="N1346" s="12">
        <v>4359.3132392455918</v>
      </c>
      <c r="O1346" s="12">
        <v>1425.5349156944339</v>
      </c>
      <c r="P1346" s="12">
        <v>0.60218844581848674</v>
      </c>
      <c r="Q1346" s="12">
        <v>0.88663169447043599</v>
      </c>
      <c r="R1346" s="12">
        <v>0.82604280668633889</v>
      </c>
      <c r="S1346" s="12">
        <v>0.69817794909168107</v>
      </c>
      <c r="T1346" s="12">
        <v>0.78589821462912579</v>
      </c>
      <c r="U1346" s="12">
        <v>0.8347179987830845</v>
      </c>
      <c r="V1346" s="12">
        <v>293.49017272592567</v>
      </c>
      <c r="W1346" s="12">
        <v>7.7691395819250486</v>
      </c>
      <c r="X1346" s="12">
        <v>38.946767932837638</v>
      </c>
      <c r="Y1346" s="12">
        <v>2933.7783235511579</v>
      </c>
      <c r="Z1346" s="12">
        <v>3.0580192678914488</v>
      </c>
      <c r="AA1346" s="12"/>
      <c r="AB1346" s="12"/>
    </row>
    <row r="1347" spans="1:28" x14ac:dyDescent="0.3">
      <c r="A1347" s="12" t="s">
        <v>3255</v>
      </c>
      <c r="B1347" s="12" t="s">
        <v>136</v>
      </c>
      <c r="C1347" s="12" t="s">
        <v>136</v>
      </c>
      <c r="D1347" s="12" t="s">
        <v>137</v>
      </c>
      <c r="E1347" s="12" t="s">
        <v>2978</v>
      </c>
      <c r="F1347" s="12" t="s">
        <v>32</v>
      </c>
      <c r="G1347" s="12" t="s">
        <v>32</v>
      </c>
      <c r="H1347" s="12" t="b">
        <v>1</v>
      </c>
      <c r="I1347" s="12" t="b">
        <v>1</v>
      </c>
      <c r="J1347" s="12" t="b">
        <v>0</v>
      </c>
      <c r="K1347" s="12" t="b">
        <v>0</v>
      </c>
      <c r="L1347" s="12">
        <v>387.05939654538611</v>
      </c>
      <c r="M1347" s="12">
        <v>303.18841857703791</v>
      </c>
      <c r="N1347" s="12">
        <v>2219.0482717092532</v>
      </c>
      <c r="O1347" s="12">
        <v>1316.0522888974849</v>
      </c>
      <c r="P1347" s="12">
        <v>0.51225172784230644</v>
      </c>
      <c r="Q1347" s="12">
        <v>0.81911710296966223</v>
      </c>
      <c r="R1347" s="12">
        <v>0.82712290651355724</v>
      </c>
      <c r="S1347" s="12">
        <v>0.74096468002348082</v>
      </c>
      <c r="T1347" s="12">
        <v>0.6245865402818106</v>
      </c>
      <c r="U1347" s="12">
        <v>0.80201592283660883</v>
      </c>
      <c r="V1347" s="12">
        <v>303.18841857703791</v>
      </c>
      <c r="W1347" s="12">
        <v>2.5430130995358202</v>
      </c>
      <c r="X1347" s="12">
        <v>7.4676741001894182</v>
      </c>
      <c r="Y1347" s="12">
        <v>902.99598281176782</v>
      </c>
      <c r="Z1347" s="12">
        <v>1.6861398976542541</v>
      </c>
      <c r="AA1347" s="12"/>
      <c r="AB1347" s="12"/>
    </row>
    <row r="1348" spans="1:28" x14ac:dyDescent="0.3">
      <c r="A1348" s="12" t="s">
        <v>3256</v>
      </c>
      <c r="B1348" s="12" t="s">
        <v>136</v>
      </c>
      <c r="C1348" s="12" t="s">
        <v>136</v>
      </c>
      <c r="D1348" s="12" t="s">
        <v>137</v>
      </c>
      <c r="E1348" s="12" t="s">
        <v>2978</v>
      </c>
      <c r="F1348" s="12" t="s">
        <v>1861</v>
      </c>
      <c r="G1348" s="12" t="s">
        <v>1861</v>
      </c>
      <c r="H1348" s="12" t="b">
        <v>1</v>
      </c>
      <c r="I1348" s="12" t="b">
        <v>0</v>
      </c>
      <c r="J1348" s="12" t="b">
        <v>1</v>
      </c>
      <c r="K1348" s="12" t="b">
        <v>0</v>
      </c>
      <c r="L1348" s="12">
        <v>484.76637427851898</v>
      </c>
      <c r="M1348" s="12">
        <v>280.14851725432322</v>
      </c>
      <c r="N1348" s="12">
        <v>2303.1731477606122</v>
      </c>
      <c r="O1348" s="12">
        <v>902.19488853075541</v>
      </c>
      <c r="P1348" s="12">
        <v>0.63560287782403802</v>
      </c>
      <c r="Q1348" s="12">
        <v>0.78563660969457982</v>
      </c>
      <c r="R1348" s="12">
        <v>0.87116818314804867</v>
      </c>
      <c r="S1348" s="12">
        <v>0.60756495692601353</v>
      </c>
      <c r="T1348" s="12">
        <v>0.79010742760184138</v>
      </c>
      <c r="U1348" s="12">
        <v>0.87173238246950024</v>
      </c>
      <c r="V1348" s="12">
        <v>280.14851725432322</v>
      </c>
      <c r="W1348" s="12">
        <v>6.8502956119240714</v>
      </c>
      <c r="X1348" s="12">
        <v>83.993976589055421</v>
      </c>
      <c r="Y1348" s="12">
        <v>1400.978259229857</v>
      </c>
      <c r="Z1348" s="12">
        <v>2.5528554606548282</v>
      </c>
      <c r="AA1348" s="12" t="s">
        <v>1268</v>
      </c>
      <c r="AB1348" s="12"/>
    </row>
    <row r="1349" spans="1:28" x14ac:dyDescent="0.3">
      <c r="A1349" s="12" t="s">
        <v>3257</v>
      </c>
      <c r="B1349" s="12" t="s">
        <v>136</v>
      </c>
      <c r="C1349" s="12" t="s">
        <v>136</v>
      </c>
      <c r="D1349" s="12" t="s">
        <v>137</v>
      </c>
      <c r="E1349" s="12" t="s">
        <v>2978</v>
      </c>
      <c r="F1349" s="12" t="s">
        <v>1861</v>
      </c>
      <c r="G1349" s="12" t="s">
        <v>1861</v>
      </c>
      <c r="H1349" s="12" t="b">
        <v>1</v>
      </c>
      <c r="I1349" s="12" t="b">
        <v>0</v>
      </c>
      <c r="J1349" s="12" t="b">
        <v>0</v>
      </c>
      <c r="K1349" s="12" t="b">
        <v>0</v>
      </c>
      <c r="L1349" s="12">
        <v>434.65529219023301</v>
      </c>
      <c r="M1349" s="12">
        <v>284.93243220399393</v>
      </c>
      <c r="N1349" s="12">
        <v>2694.1191208584132</v>
      </c>
      <c r="O1349" s="12">
        <v>957.69158256323158</v>
      </c>
      <c r="P1349" s="12">
        <v>0.76712869997619859</v>
      </c>
      <c r="Q1349" s="12">
        <v>0.7895818535383291</v>
      </c>
      <c r="R1349" s="12">
        <v>0.87423082045847345</v>
      </c>
      <c r="S1349" s="12">
        <v>0.62847297214371467</v>
      </c>
      <c r="T1349" s="12">
        <v>0.68547603779622235</v>
      </c>
      <c r="U1349" s="12">
        <v>0.76247433642268636</v>
      </c>
      <c r="V1349" s="12">
        <v>284.93243220399393</v>
      </c>
      <c r="W1349" s="12">
        <v>8.1477549781640999</v>
      </c>
      <c r="X1349" s="12">
        <v>78.470435694976942</v>
      </c>
      <c r="Y1349" s="12">
        <v>1736.4275382951821</v>
      </c>
      <c r="Z1349" s="12">
        <v>2.8131385614225488</v>
      </c>
      <c r="AA1349" s="12" t="s">
        <v>1268</v>
      </c>
      <c r="AB1349" s="12"/>
    </row>
    <row r="1350" spans="1:28" x14ac:dyDescent="0.3">
      <c r="A1350" s="12" t="s">
        <v>3258</v>
      </c>
      <c r="B1350" s="12" t="s">
        <v>136</v>
      </c>
      <c r="C1350" s="12" t="s">
        <v>136</v>
      </c>
      <c r="D1350" s="12" t="s">
        <v>137</v>
      </c>
      <c r="E1350" s="12" t="s">
        <v>2978</v>
      </c>
      <c r="F1350" s="12" t="s">
        <v>1861</v>
      </c>
      <c r="G1350" s="12" t="s">
        <v>1861</v>
      </c>
      <c r="H1350" s="12" t="b">
        <v>1</v>
      </c>
      <c r="I1350" s="12" t="b">
        <v>0</v>
      </c>
      <c r="J1350" s="12" t="b">
        <v>1</v>
      </c>
      <c r="K1350" s="12" t="b">
        <v>0</v>
      </c>
      <c r="L1350" s="12">
        <v>489.25493488583339</v>
      </c>
      <c r="M1350" s="12">
        <v>291.88236231519022</v>
      </c>
      <c r="N1350" s="12">
        <v>2789.3785397477268</v>
      </c>
      <c r="O1350" s="12">
        <v>526.5580681328704</v>
      </c>
      <c r="P1350" s="12">
        <v>0.7441371210625175</v>
      </c>
      <c r="Q1350" s="12">
        <v>0.8721635771384133</v>
      </c>
      <c r="R1350" s="12">
        <v>0.84004468262901966</v>
      </c>
      <c r="S1350" s="12">
        <v>0.87224897311235838</v>
      </c>
      <c r="T1350" s="12">
        <v>0.81041804039000476</v>
      </c>
      <c r="U1350" s="12">
        <v>0.78879293337974665</v>
      </c>
      <c r="V1350" s="12">
        <v>291.88236231519022</v>
      </c>
      <c r="W1350" s="12">
        <v>11.51065471465016</v>
      </c>
      <c r="X1350" s="12">
        <v>147.99435695972551</v>
      </c>
      <c r="Y1350" s="12">
        <v>2262.8204716148571</v>
      </c>
      <c r="Z1350" s="12">
        <v>5.2973806851704373</v>
      </c>
      <c r="AA1350" s="12" t="s">
        <v>1268</v>
      </c>
      <c r="AB1350" s="12"/>
    </row>
    <row r="1351" spans="1:28" x14ac:dyDescent="0.3">
      <c r="A1351" s="12" t="s">
        <v>3259</v>
      </c>
      <c r="B1351" s="12" t="s">
        <v>136</v>
      </c>
      <c r="C1351" s="12" t="s">
        <v>136</v>
      </c>
      <c r="D1351" s="12" t="s">
        <v>137</v>
      </c>
      <c r="E1351" s="12" t="s">
        <v>2978</v>
      </c>
      <c r="F1351" s="12" t="s">
        <v>1863</v>
      </c>
      <c r="G1351" s="12" t="s">
        <v>832</v>
      </c>
      <c r="H1351" s="12" t="b">
        <v>0</v>
      </c>
      <c r="I1351" s="12" t="b">
        <v>0</v>
      </c>
      <c r="J1351" s="12" t="b">
        <v>0</v>
      </c>
      <c r="K1351" s="12" t="b">
        <v>0</v>
      </c>
      <c r="L1351" s="12">
        <v>391.19971017310451</v>
      </c>
      <c r="M1351" s="12">
        <v>285.20973000950971</v>
      </c>
      <c r="N1351" s="12">
        <v>3904.2144688682488</v>
      </c>
      <c r="O1351" s="12">
        <v>1266.7706719379189</v>
      </c>
      <c r="P1351" s="12">
        <v>0.50908012639822708</v>
      </c>
      <c r="Q1351" s="12">
        <v>0.91115927975196798</v>
      </c>
      <c r="R1351" s="12">
        <v>0.79656252979246556</v>
      </c>
      <c r="S1351" s="12">
        <v>0.69938598318757317</v>
      </c>
      <c r="T1351" s="12">
        <v>0.69704606422289317</v>
      </c>
      <c r="U1351" s="12">
        <v>0.82405151080758665</v>
      </c>
      <c r="V1351" s="12">
        <v>285.20973000950971</v>
      </c>
      <c r="W1351" s="12">
        <v>-48.248979174138867</v>
      </c>
      <c r="X1351" s="12">
        <v>-34.485142190857133</v>
      </c>
      <c r="Y1351" s="12">
        <v>2637.4437969303299</v>
      </c>
      <c r="Z1351" s="12">
        <v>3.082021517671814</v>
      </c>
      <c r="AA1351" s="12" t="s">
        <v>2018</v>
      </c>
      <c r="AB1351" s="12"/>
    </row>
    <row r="1352" spans="1:28" x14ac:dyDescent="0.3">
      <c r="A1352" s="12" t="s">
        <v>3260</v>
      </c>
      <c r="B1352" s="12" t="s">
        <v>136</v>
      </c>
      <c r="C1352" s="12" t="s">
        <v>136</v>
      </c>
      <c r="D1352" s="12" t="s">
        <v>137</v>
      </c>
      <c r="E1352" s="12" t="s">
        <v>2978</v>
      </c>
      <c r="F1352" s="12" t="s">
        <v>1861</v>
      </c>
      <c r="G1352" s="12" t="s">
        <v>1861</v>
      </c>
      <c r="H1352" s="12" t="b">
        <v>1</v>
      </c>
      <c r="I1352" s="12" t="b">
        <v>0</v>
      </c>
      <c r="J1352" s="12" t="b">
        <v>0</v>
      </c>
      <c r="K1352" s="12" t="b">
        <v>0</v>
      </c>
      <c r="L1352" s="12">
        <v>415.29977191209969</v>
      </c>
      <c r="M1352" s="12">
        <v>288.87840136874621</v>
      </c>
      <c r="N1352" s="12">
        <v>2683.0954820666002</v>
      </c>
      <c r="O1352" s="12">
        <v>308.76194064180208</v>
      </c>
      <c r="P1352" s="12">
        <v>0.5779922827154379</v>
      </c>
      <c r="Q1352" s="12">
        <v>0.88827011498770236</v>
      </c>
      <c r="R1352" s="12">
        <v>0.89057722228533964</v>
      </c>
      <c r="S1352" s="12">
        <v>0.90612659938329598</v>
      </c>
      <c r="T1352" s="12">
        <v>0.86105257081464526</v>
      </c>
      <c r="U1352" s="12">
        <v>0.7835781237049394</v>
      </c>
      <c r="V1352" s="12">
        <v>288.87840136874621</v>
      </c>
      <c r="W1352" s="12">
        <v>15.477470874648491</v>
      </c>
      <c r="X1352" s="12">
        <v>104.2966890380942</v>
      </c>
      <c r="Y1352" s="12">
        <v>2374.3335414247981</v>
      </c>
      <c r="Z1352" s="12">
        <v>8.6898517235946731</v>
      </c>
      <c r="AA1352" s="12" t="s">
        <v>1268</v>
      </c>
      <c r="AB1352" s="12"/>
    </row>
    <row r="1353" spans="1:28" x14ac:dyDescent="0.3">
      <c r="A1353" s="12" t="s">
        <v>3261</v>
      </c>
      <c r="B1353" s="12" t="s">
        <v>136</v>
      </c>
      <c r="C1353" s="12" t="s">
        <v>136</v>
      </c>
      <c r="D1353" s="12" t="s">
        <v>137</v>
      </c>
      <c r="E1353" s="12" t="s">
        <v>2978</v>
      </c>
      <c r="F1353" s="12" t="s">
        <v>32</v>
      </c>
      <c r="G1353" s="12" t="s">
        <v>32</v>
      </c>
      <c r="H1353" s="12" t="b">
        <v>1</v>
      </c>
      <c r="I1353" s="12" t="b">
        <v>0</v>
      </c>
      <c r="J1353" s="12" t="b">
        <v>1</v>
      </c>
      <c r="K1353" s="12" t="b">
        <v>0</v>
      </c>
      <c r="L1353" s="12">
        <v>496.52817120295771</v>
      </c>
      <c r="M1353" s="12">
        <v>284.00729693808108</v>
      </c>
      <c r="N1353" s="12">
        <v>2280.9971422651902</v>
      </c>
      <c r="O1353" s="12">
        <v>1194.3069859311011</v>
      </c>
      <c r="P1353" s="12">
        <v>0.55726919839467659</v>
      </c>
      <c r="Q1353" s="12">
        <v>0.87837210033584268</v>
      </c>
      <c r="R1353" s="12">
        <v>0.6877651083416968</v>
      </c>
      <c r="S1353" s="12">
        <v>0.77076145809918972</v>
      </c>
      <c r="T1353" s="12">
        <v>0.77450464469571667</v>
      </c>
      <c r="U1353" s="12">
        <v>0.9067118010842522</v>
      </c>
      <c r="V1353" s="12">
        <v>284.00729693808108</v>
      </c>
      <c r="W1353" s="12">
        <v>4.9456380547114698</v>
      </c>
      <c r="X1353" s="12">
        <v>83.229722876873964</v>
      </c>
      <c r="Y1353" s="12">
        <v>1086.6901563340889</v>
      </c>
      <c r="Z1353" s="12">
        <v>1.9098918193858581</v>
      </c>
      <c r="AA1353" s="12"/>
      <c r="AB1353" s="12"/>
    </row>
    <row r="1354" spans="1:28" x14ac:dyDescent="0.3">
      <c r="A1354" s="12" t="s">
        <v>3262</v>
      </c>
      <c r="B1354" s="12" t="s">
        <v>136</v>
      </c>
      <c r="C1354" s="12" t="s">
        <v>136</v>
      </c>
      <c r="D1354" s="12" t="s">
        <v>137</v>
      </c>
      <c r="E1354" s="12" t="s">
        <v>2978</v>
      </c>
      <c r="F1354" s="12" t="s">
        <v>1861</v>
      </c>
      <c r="G1354" s="12" t="s">
        <v>1861</v>
      </c>
      <c r="H1354" s="12" t="b">
        <v>1</v>
      </c>
      <c r="I1354" s="12" t="b">
        <v>0</v>
      </c>
      <c r="J1354" s="12" t="b">
        <v>0</v>
      </c>
      <c r="K1354" s="12" t="b">
        <v>0</v>
      </c>
      <c r="L1354" s="12">
        <v>418.82497992736643</v>
      </c>
      <c r="M1354" s="12">
        <v>289.82353043827737</v>
      </c>
      <c r="N1354" s="12">
        <v>3626.1873604246471</v>
      </c>
      <c r="O1354" s="12">
        <v>540.55209269816214</v>
      </c>
      <c r="P1354" s="12">
        <v>0.78308144178843109</v>
      </c>
      <c r="Q1354" s="12">
        <v>0.8846519286123975</v>
      </c>
      <c r="R1354" s="12">
        <v>0.68062054756487234</v>
      </c>
      <c r="S1354" s="12">
        <v>0.73093814689487135</v>
      </c>
      <c r="T1354" s="12">
        <v>0.67171289319558636</v>
      </c>
      <c r="U1354" s="12">
        <v>0.75264184831093084</v>
      </c>
      <c r="V1354" s="12">
        <v>289.82353043827737</v>
      </c>
      <c r="W1354" s="12">
        <v>9.8267899815398394</v>
      </c>
      <c r="X1354" s="12">
        <v>60.604497113837773</v>
      </c>
      <c r="Y1354" s="12">
        <v>3085.6352677264849</v>
      </c>
      <c r="Z1354" s="12">
        <v>6.7083032503390321</v>
      </c>
      <c r="AA1354" s="12" t="s">
        <v>1268</v>
      </c>
      <c r="AB1354" s="12"/>
    </row>
    <row r="1355" spans="1:28" x14ac:dyDescent="0.3">
      <c r="A1355" s="12" t="s">
        <v>3263</v>
      </c>
      <c r="B1355" s="12" t="s">
        <v>136</v>
      </c>
      <c r="C1355" s="12" t="s">
        <v>136</v>
      </c>
      <c r="D1355" s="12" t="s">
        <v>137</v>
      </c>
      <c r="E1355" s="12" t="s">
        <v>2978</v>
      </c>
      <c r="F1355" s="12" t="s">
        <v>32</v>
      </c>
      <c r="G1355" s="12" t="s">
        <v>32</v>
      </c>
      <c r="H1355" s="12" t="b">
        <v>1</v>
      </c>
      <c r="I1355" s="12" t="b">
        <v>1</v>
      </c>
      <c r="J1355" s="12" t="b">
        <v>0</v>
      </c>
      <c r="K1355" s="12" t="b">
        <v>0</v>
      </c>
      <c r="L1355" s="12">
        <v>394.73858744369772</v>
      </c>
      <c r="M1355" s="12">
        <v>278.70712981874709</v>
      </c>
      <c r="N1355" s="12">
        <v>2291.415835900696</v>
      </c>
      <c r="O1355" s="12">
        <v>1253.662661973812</v>
      </c>
      <c r="P1355" s="12">
        <v>0.79007107826674572</v>
      </c>
      <c r="Q1355" s="12">
        <v>0.82494086383744847</v>
      </c>
      <c r="R1355" s="12">
        <v>0.75477128374733815</v>
      </c>
      <c r="S1355" s="12">
        <v>0.93581723485141921</v>
      </c>
      <c r="T1355" s="12">
        <v>0.94409000409311961</v>
      </c>
      <c r="U1355" s="12">
        <v>0.90393827096828516</v>
      </c>
      <c r="V1355" s="12">
        <v>278.70712981874709</v>
      </c>
      <c r="W1355" s="12">
        <v>5.1972925499492098</v>
      </c>
      <c r="X1355" s="12">
        <v>55.182566956097553</v>
      </c>
      <c r="Y1355" s="12">
        <v>1037.7531739268841</v>
      </c>
      <c r="Z1355" s="12">
        <v>1.8277770451366939</v>
      </c>
      <c r="AA1355" s="12"/>
      <c r="AB1355" s="12"/>
    </row>
    <row r="1356" spans="1:28" x14ac:dyDescent="0.3">
      <c r="A1356" s="12" t="s">
        <v>3264</v>
      </c>
      <c r="B1356" s="12" t="s">
        <v>136</v>
      </c>
      <c r="C1356" s="12" t="s">
        <v>136</v>
      </c>
      <c r="D1356" s="12" t="s">
        <v>137</v>
      </c>
      <c r="E1356" s="12" t="s">
        <v>2978</v>
      </c>
      <c r="F1356" s="12" t="s">
        <v>1861</v>
      </c>
      <c r="G1356" s="12" t="s">
        <v>1861</v>
      </c>
      <c r="H1356" s="12" t="b">
        <v>1</v>
      </c>
      <c r="I1356" s="12" t="b">
        <v>0</v>
      </c>
      <c r="J1356" s="12" t="b">
        <v>1</v>
      </c>
      <c r="K1356" s="12" t="b">
        <v>0</v>
      </c>
      <c r="L1356" s="12">
        <v>438.44680768680217</v>
      </c>
      <c r="M1356" s="12">
        <v>300.42337862737298</v>
      </c>
      <c r="N1356" s="12">
        <v>2907.3580386071021</v>
      </c>
      <c r="O1356" s="12">
        <v>1103.05835450258</v>
      </c>
      <c r="P1356" s="12">
        <v>0.59270496239097126</v>
      </c>
      <c r="Q1356" s="12">
        <v>0.84662792447960822</v>
      </c>
      <c r="R1356" s="12">
        <v>0.77505503140556309</v>
      </c>
      <c r="S1356" s="12">
        <v>0.74463262953805198</v>
      </c>
      <c r="T1356" s="12">
        <v>0.84857566223178993</v>
      </c>
      <c r="U1356" s="12">
        <v>0.85418478241122142</v>
      </c>
      <c r="V1356" s="12">
        <v>300.42337862737298</v>
      </c>
      <c r="W1356" s="12">
        <v>7.79718240039574</v>
      </c>
      <c r="X1356" s="12">
        <v>67.516793906048534</v>
      </c>
      <c r="Y1356" s="12">
        <v>1804.2996841045219</v>
      </c>
      <c r="Z1356" s="12">
        <v>2.6357245985577662</v>
      </c>
      <c r="AA1356" s="12" t="s">
        <v>1268</v>
      </c>
      <c r="AB1356" s="12"/>
    </row>
    <row r="1357" spans="1:28" x14ac:dyDescent="0.3">
      <c r="A1357" s="12" t="s">
        <v>3265</v>
      </c>
      <c r="B1357" s="12" t="s">
        <v>136</v>
      </c>
      <c r="C1357" s="12" t="s">
        <v>136</v>
      </c>
      <c r="D1357" s="12" t="s">
        <v>137</v>
      </c>
      <c r="E1357" s="12" t="s">
        <v>2978</v>
      </c>
      <c r="F1357" s="12" t="s">
        <v>1861</v>
      </c>
      <c r="G1357" s="12" t="s">
        <v>1861</v>
      </c>
      <c r="H1357" s="12" t="b">
        <v>1</v>
      </c>
      <c r="I1357" s="12" t="b">
        <v>0</v>
      </c>
      <c r="J1357" s="12" t="b">
        <v>0</v>
      </c>
      <c r="K1357" s="12" t="b">
        <v>0</v>
      </c>
      <c r="L1357" s="12">
        <v>430.34641798062643</v>
      </c>
      <c r="M1357" s="12">
        <v>285.33296012395567</v>
      </c>
      <c r="N1357" s="12">
        <v>3062.8827278166168</v>
      </c>
      <c r="O1357" s="12">
        <v>1172.0821141990141</v>
      </c>
      <c r="P1357" s="12">
        <v>0.65118172662291218</v>
      </c>
      <c r="Q1357" s="12">
        <v>0.89676874779993065</v>
      </c>
      <c r="R1357" s="12">
        <v>0.70412056277425972</v>
      </c>
      <c r="S1357" s="12">
        <v>0.81598978294657187</v>
      </c>
      <c r="T1357" s="12">
        <v>0.87387854903978812</v>
      </c>
      <c r="U1357" s="12">
        <v>0.72406544921202853</v>
      </c>
      <c r="V1357" s="12">
        <v>285.33296012395567</v>
      </c>
      <c r="W1357" s="12">
        <v>8.5335380915674897</v>
      </c>
      <c r="X1357" s="12">
        <v>72.572592797151714</v>
      </c>
      <c r="Y1357" s="12">
        <v>1890.8006136176029</v>
      </c>
      <c r="Z1357" s="12">
        <v>2.6131980777726929</v>
      </c>
      <c r="AA1357" s="12" t="s">
        <v>1268</v>
      </c>
      <c r="AB1357" s="12"/>
    </row>
    <row r="1358" spans="1:28" x14ac:dyDescent="0.3">
      <c r="A1358" s="12" t="s">
        <v>3266</v>
      </c>
      <c r="B1358" s="12" t="s">
        <v>136</v>
      </c>
      <c r="C1358" s="12" t="s">
        <v>136</v>
      </c>
      <c r="D1358" s="12" t="s">
        <v>137</v>
      </c>
      <c r="E1358" s="12" t="s">
        <v>2978</v>
      </c>
      <c r="F1358" s="12" t="s">
        <v>32</v>
      </c>
      <c r="G1358" s="12" t="s">
        <v>32</v>
      </c>
      <c r="H1358" s="12" t="b">
        <v>1</v>
      </c>
      <c r="I1358" s="12" t="b">
        <v>1</v>
      </c>
      <c r="J1358" s="12" t="b">
        <v>0</v>
      </c>
      <c r="K1358" s="12" t="b">
        <v>0</v>
      </c>
      <c r="L1358" s="12">
        <v>436.09695310912758</v>
      </c>
      <c r="M1358" s="12">
        <v>279.09770132054479</v>
      </c>
      <c r="N1358" s="12">
        <v>3481.8230245237678</v>
      </c>
      <c r="O1358" s="12">
        <v>808.34025773909616</v>
      </c>
      <c r="P1358" s="12">
        <v>0.63474897094989513</v>
      </c>
      <c r="Q1358" s="12">
        <v>0.91848298050287225</v>
      </c>
      <c r="R1358" s="12">
        <v>0.74608148390036433</v>
      </c>
      <c r="S1358" s="12">
        <v>0.67773110852065166</v>
      </c>
      <c r="T1358" s="12">
        <v>0.94152981924933021</v>
      </c>
      <c r="U1358" s="12">
        <v>0.84182625850716208</v>
      </c>
      <c r="V1358" s="12">
        <v>279.09770132054479</v>
      </c>
      <c r="W1358" s="12">
        <v>12.30159889633283</v>
      </c>
      <c r="X1358" s="12">
        <v>91.418211123925843</v>
      </c>
      <c r="Y1358" s="12">
        <v>2673.4827667846721</v>
      </c>
      <c r="Z1358" s="12">
        <v>4.3073730291032692</v>
      </c>
      <c r="AA1358" s="12"/>
      <c r="AB1358" s="12"/>
    </row>
    <row r="1359" spans="1:28" x14ac:dyDescent="0.3">
      <c r="A1359" s="12" t="s">
        <v>3267</v>
      </c>
      <c r="B1359" s="12" t="s">
        <v>136</v>
      </c>
      <c r="C1359" s="12" t="s">
        <v>136</v>
      </c>
      <c r="D1359" s="12" t="s">
        <v>137</v>
      </c>
      <c r="E1359" s="12" t="s">
        <v>2978</v>
      </c>
      <c r="F1359" s="12" t="s">
        <v>1861</v>
      </c>
      <c r="G1359" s="12" t="s">
        <v>1861</v>
      </c>
      <c r="H1359" s="12" t="b">
        <v>1</v>
      </c>
      <c r="I1359" s="12" t="b">
        <v>0</v>
      </c>
      <c r="J1359" s="12" t="b">
        <v>0</v>
      </c>
      <c r="K1359" s="12" t="b">
        <v>0</v>
      </c>
      <c r="L1359" s="12">
        <v>380.22992399348419</v>
      </c>
      <c r="M1359" s="12">
        <v>295.90127051589582</v>
      </c>
      <c r="N1359" s="12">
        <v>3132.991411849378</v>
      </c>
      <c r="O1359" s="12">
        <v>1004.95873018104</v>
      </c>
      <c r="P1359" s="12">
        <v>0.66466356509542113</v>
      </c>
      <c r="Q1359" s="12">
        <v>0.86992612603920927</v>
      </c>
      <c r="R1359" s="12">
        <v>0.76120212689057287</v>
      </c>
      <c r="S1359" s="12">
        <v>0.77729309649776179</v>
      </c>
      <c r="T1359" s="12">
        <v>0.71230697276956956</v>
      </c>
      <c r="U1359" s="12">
        <v>0.76856865977678546</v>
      </c>
      <c r="V1359" s="12">
        <v>295.90127051589582</v>
      </c>
      <c r="W1359" s="12">
        <v>7.5163394973758804</v>
      </c>
      <c r="X1359" s="12">
        <v>25.86620552576942</v>
      </c>
      <c r="Y1359" s="12">
        <v>2128.0326816683378</v>
      </c>
      <c r="Z1359" s="12">
        <v>3.1175324097985411</v>
      </c>
      <c r="AA1359" s="12" t="s">
        <v>1268</v>
      </c>
      <c r="AB1359" s="12"/>
    </row>
    <row r="1360" spans="1:28" x14ac:dyDescent="0.3">
      <c r="A1360" s="12" t="s">
        <v>3268</v>
      </c>
      <c r="B1360" s="12" t="s">
        <v>136</v>
      </c>
      <c r="C1360" s="12" t="s">
        <v>136</v>
      </c>
      <c r="D1360" s="12" t="s">
        <v>137</v>
      </c>
      <c r="E1360" s="12" t="s">
        <v>2978</v>
      </c>
      <c r="F1360" s="12" t="s">
        <v>1861</v>
      </c>
      <c r="G1360" s="12" t="s">
        <v>1861</v>
      </c>
      <c r="H1360" s="12" t="b">
        <v>1</v>
      </c>
      <c r="I1360" s="12" t="b">
        <v>0</v>
      </c>
      <c r="J1360" s="12" t="b">
        <v>1</v>
      </c>
      <c r="K1360" s="12" t="b">
        <v>0</v>
      </c>
      <c r="L1360" s="12">
        <v>443.66055742575787</v>
      </c>
      <c r="M1360" s="12">
        <v>289.37265868774813</v>
      </c>
      <c r="N1360" s="12">
        <v>3816.2869278333819</v>
      </c>
      <c r="O1360" s="12">
        <v>968.70859193346837</v>
      </c>
      <c r="P1360" s="12">
        <v>0.83368429858171855</v>
      </c>
      <c r="Q1360" s="12">
        <v>0.80892214936243023</v>
      </c>
      <c r="R1360" s="12">
        <v>0.86246221729004535</v>
      </c>
      <c r="S1360" s="12">
        <v>0.94334541040545883</v>
      </c>
      <c r="T1360" s="12">
        <v>0.84054867208132944</v>
      </c>
      <c r="U1360" s="12">
        <v>0.9017784540574294</v>
      </c>
      <c r="V1360" s="12">
        <v>289.37265868774813</v>
      </c>
      <c r="W1360" s="12">
        <v>11.287823262330891</v>
      </c>
      <c r="X1360" s="12">
        <v>173.97786130995081</v>
      </c>
      <c r="Y1360" s="12">
        <v>2847.5783358999129</v>
      </c>
      <c r="Z1360" s="12">
        <v>3.9395613496277191</v>
      </c>
      <c r="AA1360" s="12" t="s">
        <v>1268</v>
      </c>
      <c r="AB1360" s="12"/>
    </row>
    <row r="1361" spans="1:28" x14ac:dyDescent="0.3">
      <c r="A1361" s="12" t="s">
        <v>3269</v>
      </c>
      <c r="B1361" s="12" t="s">
        <v>136</v>
      </c>
      <c r="C1361" s="12" t="s">
        <v>136</v>
      </c>
      <c r="D1361" s="12" t="s">
        <v>137</v>
      </c>
      <c r="E1361" s="12" t="s">
        <v>2978</v>
      </c>
      <c r="F1361" s="12" t="s">
        <v>32</v>
      </c>
      <c r="G1361" s="12" t="s">
        <v>32</v>
      </c>
      <c r="H1361" s="12" t="b">
        <v>1</v>
      </c>
      <c r="I1361" s="12" t="b">
        <v>1</v>
      </c>
      <c r="J1361" s="12" t="b">
        <v>0</v>
      </c>
      <c r="K1361" s="12" t="b">
        <v>0</v>
      </c>
      <c r="L1361" s="12">
        <v>419.53049664027731</v>
      </c>
      <c r="M1361" s="12">
        <v>284.0900976608205</v>
      </c>
      <c r="N1361" s="12">
        <v>4890.757585739927</v>
      </c>
      <c r="O1361" s="12">
        <v>834.16565567747534</v>
      </c>
      <c r="P1361" s="12">
        <v>0.62769737806523196</v>
      </c>
      <c r="Q1361" s="12">
        <v>0.90377733384072778</v>
      </c>
      <c r="R1361" s="12">
        <v>0.65695891190392131</v>
      </c>
      <c r="S1361" s="12">
        <v>0.74989966865744651</v>
      </c>
      <c r="T1361" s="12">
        <v>0.74348763910866555</v>
      </c>
      <c r="U1361" s="12">
        <v>0.94160277563415196</v>
      </c>
      <c r="V1361" s="12">
        <v>284.0900976608205</v>
      </c>
      <c r="W1361" s="12">
        <v>9.7731513950824205</v>
      </c>
      <c r="X1361" s="12">
        <v>46.660565427965281</v>
      </c>
      <c r="Y1361" s="12">
        <v>4056.5919300624519</v>
      </c>
      <c r="Z1361" s="12">
        <v>5.863053162705258</v>
      </c>
      <c r="AA1361" s="12"/>
      <c r="AB1361" s="12"/>
    </row>
    <row r="1362" spans="1:28" x14ac:dyDescent="0.3">
      <c r="A1362" s="12" t="s">
        <v>3270</v>
      </c>
      <c r="B1362" s="12" t="s">
        <v>136</v>
      </c>
      <c r="C1362" s="12" t="s">
        <v>136</v>
      </c>
      <c r="D1362" s="12" t="s">
        <v>137</v>
      </c>
      <c r="E1362" s="12" t="s">
        <v>2978</v>
      </c>
      <c r="F1362" s="12" t="s">
        <v>32</v>
      </c>
      <c r="G1362" s="12" t="s">
        <v>32</v>
      </c>
      <c r="H1362" s="12" t="b">
        <v>1</v>
      </c>
      <c r="I1362" s="12" t="b">
        <v>1</v>
      </c>
      <c r="J1362" s="12" t="b">
        <v>0</v>
      </c>
      <c r="K1362" s="12" t="b">
        <v>0</v>
      </c>
      <c r="L1362" s="12">
        <v>405.05721141219601</v>
      </c>
      <c r="M1362" s="12">
        <v>290.09710253621091</v>
      </c>
      <c r="N1362" s="12">
        <v>4950.9740899708704</v>
      </c>
      <c r="O1362" s="12">
        <v>1307.586825936962</v>
      </c>
      <c r="P1362" s="12">
        <v>0.64357982762039123</v>
      </c>
      <c r="Q1362" s="12">
        <v>0.77245934613725054</v>
      </c>
      <c r="R1362" s="12">
        <v>0.88958680145576263</v>
      </c>
      <c r="S1362" s="12">
        <v>0.91735729494827545</v>
      </c>
      <c r="T1362" s="12">
        <v>0.93552260874858262</v>
      </c>
      <c r="U1362" s="12">
        <v>0.90468162839005661</v>
      </c>
      <c r="V1362" s="12">
        <v>290.09710253621091</v>
      </c>
      <c r="W1362" s="12">
        <v>7.6390442531726599</v>
      </c>
      <c r="X1362" s="12">
        <v>24.397128887544191</v>
      </c>
      <c r="Y1362" s="12">
        <v>3643.3872640339082</v>
      </c>
      <c r="Z1362" s="12">
        <v>3.7863444260561501</v>
      </c>
      <c r="AA1362" s="12"/>
      <c r="AB1362" s="12"/>
    </row>
    <row r="1363" spans="1:28" x14ac:dyDescent="0.3">
      <c r="A1363" s="12" t="s">
        <v>3271</v>
      </c>
      <c r="B1363" s="12" t="s">
        <v>136</v>
      </c>
      <c r="C1363" s="12" t="s">
        <v>136</v>
      </c>
      <c r="D1363" s="12" t="s">
        <v>137</v>
      </c>
      <c r="E1363" s="12" t="s">
        <v>2978</v>
      </c>
      <c r="F1363" s="12" t="s">
        <v>32</v>
      </c>
      <c r="G1363" s="12" t="s">
        <v>32</v>
      </c>
      <c r="H1363" s="12" t="b">
        <v>1</v>
      </c>
      <c r="I1363" s="12" t="b">
        <v>1</v>
      </c>
      <c r="J1363" s="12" t="b">
        <v>0</v>
      </c>
      <c r="K1363" s="12" t="b">
        <v>0</v>
      </c>
      <c r="L1363" s="12">
        <v>437.98415643613163</v>
      </c>
      <c r="M1363" s="12">
        <v>283.7377194208255</v>
      </c>
      <c r="N1363" s="12">
        <v>3396.524525340546</v>
      </c>
      <c r="O1363" s="12">
        <v>775.80218347083269</v>
      </c>
      <c r="P1363" s="12">
        <v>0.62618735686252591</v>
      </c>
      <c r="Q1363" s="12">
        <v>0.80180292912888984</v>
      </c>
      <c r="R1363" s="12">
        <v>0.89181423876952859</v>
      </c>
      <c r="S1363" s="12">
        <v>0.60003885546679037</v>
      </c>
      <c r="T1363" s="12">
        <v>0.88064551989595918</v>
      </c>
      <c r="U1363" s="12">
        <v>0.92520924636162916</v>
      </c>
      <c r="V1363" s="12">
        <v>283.7377194208255</v>
      </c>
      <c r="W1363" s="12">
        <v>10.151697291104851</v>
      </c>
      <c r="X1363" s="12">
        <v>71.059057753919831</v>
      </c>
      <c r="Y1363" s="12">
        <v>2620.722341869714</v>
      </c>
      <c r="Z1363" s="12">
        <v>4.3780806469826636</v>
      </c>
      <c r="AA1363" s="12"/>
      <c r="AB1363" s="12"/>
    </row>
    <row r="1364" spans="1:28" x14ac:dyDescent="0.3">
      <c r="A1364" s="12" t="s">
        <v>3272</v>
      </c>
      <c r="B1364" s="12" t="s">
        <v>136</v>
      </c>
      <c r="C1364" s="12" t="s">
        <v>136</v>
      </c>
      <c r="D1364" s="12" t="s">
        <v>137</v>
      </c>
      <c r="E1364" s="12" t="s">
        <v>2978</v>
      </c>
      <c r="F1364" s="12" t="s">
        <v>1861</v>
      </c>
      <c r="G1364" s="12" t="s">
        <v>1861</v>
      </c>
      <c r="H1364" s="12" t="b">
        <v>1</v>
      </c>
      <c r="I1364" s="12" t="b">
        <v>0</v>
      </c>
      <c r="J1364" s="12" t="b">
        <v>1</v>
      </c>
      <c r="K1364" s="12" t="b">
        <v>0</v>
      </c>
      <c r="L1364" s="12">
        <v>452.34015732564882</v>
      </c>
      <c r="M1364" s="12">
        <v>298.14187340424388</v>
      </c>
      <c r="N1364" s="12">
        <v>2145.67133721663</v>
      </c>
      <c r="O1364" s="12">
        <v>736.06768581246274</v>
      </c>
      <c r="P1364" s="12">
        <v>0.57425897601366227</v>
      </c>
      <c r="Q1364" s="12">
        <v>0.8956370966717202</v>
      </c>
      <c r="R1364" s="12">
        <v>0.76855920924087651</v>
      </c>
      <c r="S1364" s="12">
        <v>0.87133373730410091</v>
      </c>
      <c r="T1364" s="12">
        <v>0.7782156958096228</v>
      </c>
      <c r="U1364" s="12">
        <v>0.71883567381577818</v>
      </c>
      <c r="V1364" s="12">
        <v>298.14187340424388</v>
      </c>
      <c r="W1364" s="12">
        <v>7.4540215982133704</v>
      </c>
      <c r="X1364" s="12">
        <v>106.43875792175641</v>
      </c>
      <c r="Y1364" s="12">
        <v>1409.6036514041671</v>
      </c>
      <c r="Z1364" s="12">
        <v>2.9150462363366261</v>
      </c>
      <c r="AA1364" s="12" t="s">
        <v>1268</v>
      </c>
      <c r="AB1364" s="12"/>
    </row>
    <row r="1365" spans="1:28" x14ac:dyDescent="0.3">
      <c r="A1365" s="12" t="s">
        <v>3273</v>
      </c>
      <c r="B1365" s="12" t="s">
        <v>136</v>
      </c>
      <c r="C1365" s="12" t="s">
        <v>136</v>
      </c>
      <c r="D1365" s="12" t="s">
        <v>137</v>
      </c>
      <c r="E1365" s="12" t="s">
        <v>2978</v>
      </c>
      <c r="F1365" s="12" t="s">
        <v>1861</v>
      </c>
      <c r="G1365" s="12" t="s">
        <v>1861</v>
      </c>
      <c r="H1365" s="12" t="b">
        <v>1</v>
      </c>
      <c r="I1365" s="12" t="b">
        <v>0</v>
      </c>
      <c r="J1365" s="12" t="b">
        <v>0</v>
      </c>
      <c r="K1365" s="12" t="b">
        <v>0</v>
      </c>
      <c r="L1365" s="12">
        <v>388.85626200751818</v>
      </c>
      <c r="M1365" s="12">
        <v>303.25206744733339</v>
      </c>
      <c r="N1365" s="12">
        <v>2394.6215374954609</v>
      </c>
      <c r="O1365" s="12">
        <v>830.47621839296403</v>
      </c>
      <c r="P1365" s="12">
        <v>0.59390492738144873</v>
      </c>
      <c r="Q1365" s="12">
        <v>0.77651861541172473</v>
      </c>
      <c r="R1365" s="12">
        <v>0.875794102129831</v>
      </c>
      <c r="S1365" s="12">
        <v>0.9392069407816942</v>
      </c>
      <c r="T1365" s="12">
        <v>0.6085215381089808</v>
      </c>
      <c r="U1365" s="12">
        <v>0.82313234257378598</v>
      </c>
      <c r="V1365" s="12">
        <v>303.25206744733339</v>
      </c>
      <c r="W1365" s="12">
        <v>6.9292063490497204</v>
      </c>
      <c r="X1365" s="12">
        <v>36.448955515299502</v>
      </c>
      <c r="Y1365" s="12">
        <v>1564.1453191024971</v>
      </c>
      <c r="Z1365" s="12">
        <v>2.8834318002859129</v>
      </c>
      <c r="AA1365" s="12" t="s">
        <v>1268</v>
      </c>
      <c r="AB1365" s="12"/>
    </row>
    <row r="1366" spans="1:28" x14ac:dyDescent="0.3">
      <c r="A1366" s="12" t="s">
        <v>3274</v>
      </c>
      <c r="B1366" s="12" t="s">
        <v>136</v>
      </c>
      <c r="C1366" s="12" t="s">
        <v>136</v>
      </c>
      <c r="D1366" s="12" t="s">
        <v>137</v>
      </c>
      <c r="E1366" s="12" t="s">
        <v>2978</v>
      </c>
      <c r="F1366" s="12" t="s">
        <v>832</v>
      </c>
      <c r="G1366" s="12" t="s">
        <v>832</v>
      </c>
      <c r="H1366" s="12" t="b">
        <v>0</v>
      </c>
      <c r="I1366" s="12" t="b">
        <v>0</v>
      </c>
      <c r="J1366" s="12" t="b">
        <v>0</v>
      </c>
      <c r="K1366" s="12" t="b">
        <v>0</v>
      </c>
      <c r="L1366" s="12">
        <v>488.57250716093608</v>
      </c>
      <c r="M1366" s="12">
        <v>284.52276991179917</v>
      </c>
      <c r="N1366" s="12">
        <v>2203.171124899518</v>
      </c>
      <c r="O1366" s="12">
        <v>938.90576560086004</v>
      </c>
      <c r="P1366" s="12">
        <v>0.77618607390872307</v>
      </c>
      <c r="Q1366" s="12">
        <v>0.75710767466440732</v>
      </c>
      <c r="R1366" s="12">
        <v>0.73762469496569971</v>
      </c>
      <c r="S1366" s="12">
        <v>0.61199403733200042</v>
      </c>
      <c r="T1366" s="12">
        <v>0.73816331691791759</v>
      </c>
      <c r="U1366" s="12">
        <v>0.77610798191553898</v>
      </c>
      <c r="V1366" s="12">
        <v>284.52276991179917</v>
      </c>
      <c r="W1366" s="12"/>
      <c r="X1366" s="12"/>
      <c r="Y1366" s="12">
        <v>1264.265359298658</v>
      </c>
      <c r="Z1366" s="12">
        <v>2.3465306164027879</v>
      </c>
      <c r="AA1366" s="12"/>
      <c r="AB1366" s="12"/>
    </row>
    <row r="1367" spans="1:28" x14ac:dyDescent="0.3">
      <c r="A1367" s="12" t="s">
        <v>3275</v>
      </c>
      <c r="B1367" s="12" t="s">
        <v>136</v>
      </c>
      <c r="C1367" s="12" t="s">
        <v>136</v>
      </c>
      <c r="D1367" s="12" t="s">
        <v>137</v>
      </c>
      <c r="E1367" s="12" t="s">
        <v>2978</v>
      </c>
      <c r="F1367" s="12" t="s">
        <v>1861</v>
      </c>
      <c r="G1367" s="12" t="s">
        <v>1861</v>
      </c>
      <c r="H1367" s="12" t="b">
        <v>1</v>
      </c>
      <c r="I1367" s="12" t="b">
        <v>0</v>
      </c>
      <c r="J1367" s="12" t="b">
        <v>1</v>
      </c>
      <c r="K1367" s="12" t="b">
        <v>0</v>
      </c>
      <c r="L1367" s="12">
        <v>465.59839336260472</v>
      </c>
      <c r="M1367" s="12">
        <v>285.17472292135437</v>
      </c>
      <c r="N1367" s="12">
        <v>4975.8937320962395</v>
      </c>
      <c r="O1367" s="12">
        <v>386.38139212852678</v>
      </c>
      <c r="P1367" s="12">
        <v>0.61467140459705338</v>
      </c>
      <c r="Q1367" s="12">
        <v>0.79317868067233765</v>
      </c>
      <c r="R1367" s="12">
        <v>0.8057786989452852</v>
      </c>
      <c r="S1367" s="12">
        <v>0.79960575021110292</v>
      </c>
      <c r="T1367" s="12">
        <v>0.64782937737839741</v>
      </c>
      <c r="U1367" s="12">
        <v>0.76801960329594454</v>
      </c>
      <c r="V1367" s="12">
        <v>285.17472292135437</v>
      </c>
      <c r="W1367" s="12">
        <v>15.500945929534829</v>
      </c>
      <c r="X1367" s="12">
        <v>159.38085443758331</v>
      </c>
      <c r="Y1367" s="12">
        <v>4589.5123399677141</v>
      </c>
      <c r="Z1367" s="12">
        <v>12.87819194574735</v>
      </c>
      <c r="AA1367" s="12" t="s">
        <v>1981</v>
      </c>
      <c r="AB1367" s="12"/>
    </row>
    <row r="1368" spans="1:28" x14ac:dyDescent="0.3">
      <c r="A1368" s="12" t="s">
        <v>3276</v>
      </c>
      <c r="B1368" s="12" t="s">
        <v>136</v>
      </c>
      <c r="C1368" s="12" t="s">
        <v>136</v>
      </c>
      <c r="D1368" s="12" t="s">
        <v>137</v>
      </c>
      <c r="E1368" s="12" t="s">
        <v>2978</v>
      </c>
      <c r="F1368" s="12" t="s">
        <v>1861</v>
      </c>
      <c r="G1368" s="12" t="s">
        <v>1861</v>
      </c>
      <c r="H1368" s="12" t="b">
        <v>1</v>
      </c>
      <c r="I1368" s="12" t="b">
        <v>0</v>
      </c>
      <c r="J1368" s="12" t="b">
        <v>1</v>
      </c>
      <c r="K1368" s="12" t="b">
        <v>0</v>
      </c>
      <c r="L1368" s="12">
        <v>473.90662414256428</v>
      </c>
      <c r="M1368" s="12">
        <v>293.91631955898299</v>
      </c>
      <c r="N1368" s="12">
        <v>3253.7226338168239</v>
      </c>
      <c r="O1368" s="12">
        <v>469.1778674819476</v>
      </c>
      <c r="P1368" s="12">
        <v>0.51986106439915736</v>
      </c>
      <c r="Q1368" s="12">
        <v>0.75957733936495764</v>
      </c>
      <c r="R1368" s="12">
        <v>0.7874468451395461</v>
      </c>
      <c r="S1368" s="12">
        <v>0.6732491460165646</v>
      </c>
      <c r="T1368" s="12">
        <v>0.89053633856674697</v>
      </c>
      <c r="U1368" s="12">
        <v>0.85073777772898596</v>
      </c>
      <c r="V1368" s="12">
        <v>293.91631955898299</v>
      </c>
      <c r="W1368" s="12">
        <v>12.040337692518699</v>
      </c>
      <c r="X1368" s="12">
        <v>158.4910980148338</v>
      </c>
      <c r="Y1368" s="12">
        <v>2784.5447663348759</v>
      </c>
      <c r="Z1368" s="12">
        <v>6.9349448457135852</v>
      </c>
      <c r="AA1368" s="12" t="s">
        <v>1268</v>
      </c>
      <c r="AB1368" s="12"/>
    </row>
    <row r="1369" spans="1:28" x14ac:dyDescent="0.3">
      <c r="A1369" s="12" t="s">
        <v>3277</v>
      </c>
      <c r="B1369" s="12" t="s">
        <v>136</v>
      </c>
      <c r="C1369" s="12" t="s">
        <v>136</v>
      </c>
      <c r="D1369" s="12" t="s">
        <v>137</v>
      </c>
      <c r="E1369" s="12" t="s">
        <v>2978</v>
      </c>
      <c r="F1369" s="12" t="s">
        <v>1861</v>
      </c>
      <c r="G1369" s="12" t="s">
        <v>1861</v>
      </c>
      <c r="H1369" s="12" t="b">
        <v>1</v>
      </c>
      <c r="I1369" s="12" t="b">
        <v>0</v>
      </c>
      <c r="J1369" s="12" t="b">
        <v>0</v>
      </c>
      <c r="K1369" s="12" t="b">
        <v>0</v>
      </c>
      <c r="L1369" s="12">
        <v>405.77406549380203</v>
      </c>
      <c r="M1369" s="12">
        <v>294.03714776148541</v>
      </c>
      <c r="N1369" s="12">
        <v>3844.1616697035438</v>
      </c>
      <c r="O1369" s="12">
        <v>510.79018712914331</v>
      </c>
      <c r="P1369" s="12">
        <v>0.55572875304609093</v>
      </c>
      <c r="Q1369" s="12">
        <v>0.82746551871053164</v>
      </c>
      <c r="R1369" s="12">
        <v>0.71613455445172258</v>
      </c>
      <c r="S1369" s="12">
        <v>0.87361300598074987</v>
      </c>
      <c r="T1369" s="12">
        <v>0.69877724334025726</v>
      </c>
      <c r="U1369" s="12">
        <v>0.84459817305422169</v>
      </c>
      <c r="V1369" s="12">
        <v>294.03714776148541</v>
      </c>
      <c r="W1369" s="12">
        <v>8.8828402403123103</v>
      </c>
      <c r="X1369" s="12">
        <v>31.467153146546138</v>
      </c>
      <c r="Y1369" s="12">
        <v>3333.3714825744</v>
      </c>
      <c r="Z1369" s="12">
        <v>7.5259113557160457</v>
      </c>
      <c r="AA1369" s="12" t="s">
        <v>1268</v>
      </c>
      <c r="AB1369" s="12"/>
    </row>
    <row r="1370" spans="1:28" x14ac:dyDescent="0.3">
      <c r="A1370" s="12" t="s">
        <v>3278</v>
      </c>
      <c r="B1370" s="12" t="s">
        <v>136</v>
      </c>
      <c r="C1370" s="12" t="s">
        <v>136</v>
      </c>
      <c r="D1370" s="12" t="s">
        <v>137</v>
      </c>
      <c r="E1370" s="12" t="s">
        <v>2978</v>
      </c>
      <c r="F1370" s="12" t="s">
        <v>1861</v>
      </c>
      <c r="G1370" s="12" t="s">
        <v>1861</v>
      </c>
      <c r="H1370" s="12" t="b">
        <v>1</v>
      </c>
      <c r="I1370" s="12" t="b">
        <v>0</v>
      </c>
      <c r="J1370" s="12" t="b">
        <v>0</v>
      </c>
      <c r="K1370" s="12" t="b">
        <v>0</v>
      </c>
      <c r="L1370" s="12">
        <v>438.0369399329183</v>
      </c>
      <c r="M1370" s="12">
        <v>296.15539343744001</v>
      </c>
      <c r="N1370" s="12">
        <v>3436.5153302454551</v>
      </c>
      <c r="O1370" s="12">
        <v>743.46094839347859</v>
      </c>
      <c r="P1370" s="12">
        <v>0.62212349515418197</v>
      </c>
      <c r="Q1370" s="12">
        <v>0.80224434276212842</v>
      </c>
      <c r="R1370" s="12">
        <v>0.70458540023326521</v>
      </c>
      <c r="S1370" s="12">
        <v>0.61437738400701558</v>
      </c>
      <c r="T1370" s="12">
        <v>0.81418861587884139</v>
      </c>
      <c r="U1370" s="12">
        <v>0.70172118386648663</v>
      </c>
      <c r="V1370" s="12">
        <v>296.15539343744001</v>
      </c>
      <c r="W1370" s="12">
        <v>10.21831989479211</v>
      </c>
      <c r="X1370" s="12">
        <v>64.506701070850795</v>
      </c>
      <c r="Y1370" s="12">
        <v>2693.0543818519759</v>
      </c>
      <c r="Z1370" s="12">
        <v>4.6223212364702038</v>
      </c>
      <c r="AA1370" s="12" t="s">
        <v>1268</v>
      </c>
      <c r="AB1370" s="12"/>
    </row>
    <row r="1371" spans="1:28" x14ac:dyDescent="0.3">
      <c r="A1371" s="12" t="s">
        <v>3279</v>
      </c>
      <c r="B1371" s="12" t="s">
        <v>136</v>
      </c>
      <c r="C1371" s="12" t="s">
        <v>136</v>
      </c>
      <c r="D1371" s="12" t="s">
        <v>137</v>
      </c>
      <c r="E1371" s="12" t="s">
        <v>2978</v>
      </c>
      <c r="F1371" s="12" t="s">
        <v>832</v>
      </c>
      <c r="G1371" s="12" t="s">
        <v>832</v>
      </c>
      <c r="H1371" s="12" t="b">
        <v>0</v>
      </c>
      <c r="I1371" s="12" t="b">
        <v>0</v>
      </c>
      <c r="J1371" s="12" t="b">
        <v>0</v>
      </c>
      <c r="K1371" s="12" t="b">
        <v>0</v>
      </c>
      <c r="L1371" s="12">
        <v>406.48789719299413</v>
      </c>
      <c r="M1371" s="12">
        <v>283.98254512366651</v>
      </c>
      <c r="N1371" s="12">
        <v>4792.7421395355723</v>
      </c>
      <c r="O1371" s="12">
        <v>333.56397417930879</v>
      </c>
      <c r="P1371" s="12">
        <v>0.52242092649781668</v>
      </c>
      <c r="Q1371" s="12">
        <v>0.89172029323355639</v>
      </c>
      <c r="R1371" s="12">
        <v>0.74317235798079528</v>
      </c>
      <c r="S1371" s="12">
        <v>0.67069549876443157</v>
      </c>
      <c r="T1371" s="12">
        <v>0.84664005888800387</v>
      </c>
      <c r="U1371" s="12">
        <v>0.74034186821163683</v>
      </c>
      <c r="V1371" s="12">
        <v>283.98254512366651</v>
      </c>
      <c r="W1371" s="12"/>
      <c r="X1371" s="12"/>
      <c r="Y1371" s="12">
        <v>4459.178165356263</v>
      </c>
      <c r="Z1371" s="12">
        <v>14.368284678606241</v>
      </c>
      <c r="AA1371" s="12"/>
      <c r="AB1371" s="12"/>
    </row>
    <row r="1372" spans="1:28" x14ac:dyDescent="0.3">
      <c r="A1372" s="12" t="s">
        <v>3280</v>
      </c>
      <c r="B1372" s="12" t="s">
        <v>155</v>
      </c>
      <c r="C1372" s="12" t="s">
        <v>155</v>
      </c>
      <c r="D1372" s="12" t="s">
        <v>137</v>
      </c>
      <c r="E1372" s="12" t="s">
        <v>2978</v>
      </c>
      <c r="F1372" s="12" t="s">
        <v>32</v>
      </c>
      <c r="G1372" s="12" t="s">
        <v>32</v>
      </c>
      <c r="H1372" s="12" t="b">
        <v>1</v>
      </c>
      <c r="I1372" s="12" t="b">
        <v>1</v>
      </c>
      <c r="J1372" s="12" t="b">
        <v>0</v>
      </c>
      <c r="K1372" s="12" t="b">
        <v>0</v>
      </c>
      <c r="L1372" s="12">
        <v>415.28064652950411</v>
      </c>
      <c r="M1372" s="12">
        <v>284.24926060018561</v>
      </c>
      <c r="N1372" s="12">
        <v>2352.4545851847129</v>
      </c>
      <c r="O1372" s="12">
        <v>1380.5462686491071</v>
      </c>
      <c r="P1372" s="12">
        <v>0.51867265738364687</v>
      </c>
      <c r="Q1372" s="12">
        <v>0.75388535475435947</v>
      </c>
      <c r="R1372" s="12">
        <v>0.74466290963680581</v>
      </c>
      <c r="S1372" s="12">
        <v>0.66144695292129119</v>
      </c>
      <c r="T1372" s="12">
        <v>0.75357828012422312</v>
      </c>
      <c r="U1372" s="12">
        <v>0.88862969063226183</v>
      </c>
      <c r="V1372" s="12">
        <v>284.24926060018561</v>
      </c>
      <c r="W1372" s="12">
        <v>2.9542892773020202</v>
      </c>
      <c r="X1372" s="12">
        <v>15.56867802648261</v>
      </c>
      <c r="Y1372" s="12">
        <v>971.90831653560576</v>
      </c>
      <c r="Z1372" s="12">
        <v>1.704002711540149</v>
      </c>
      <c r="AA1372" s="12"/>
      <c r="AB1372" s="12"/>
    </row>
    <row r="1373" spans="1:28" x14ac:dyDescent="0.3">
      <c r="A1373" s="12" t="s">
        <v>3281</v>
      </c>
      <c r="B1373" s="12" t="s">
        <v>155</v>
      </c>
      <c r="C1373" s="12" t="s">
        <v>155</v>
      </c>
      <c r="D1373" s="12" t="s">
        <v>137</v>
      </c>
      <c r="E1373" s="12" t="s">
        <v>2978</v>
      </c>
      <c r="F1373" s="12" t="s">
        <v>32</v>
      </c>
      <c r="G1373" s="12" t="s">
        <v>32</v>
      </c>
      <c r="H1373" s="12" t="b">
        <v>1</v>
      </c>
      <c r="I1373" s="12" t="b">
        <v>0</v>
      </c>
      <c r="J1373" s="12" t="b">
        <v>1</v>
      </c>
      <c r="K1373" s="12" t="b">
        <v>0</v>
      </c>
      <c r="L1373" s="12">
        <v>457.29762761140182</v>
      </c>
      <c r="M1373" s="12">
        <v>282.20515385863843</v>
      </c>
      <c r="N1373" s="12">
        <v>2155.6888499665752</v>
      </c>
      <c r="O1373" s="12">
        <v>918.04113005762099</v>
      </c>
      <c r="P1373" s="12">
        <v>0.59596049039899957</v>
      </c>
      <c r="Q1373" s="12">
        <v>0.78329167695042157</v>
      </c>
      <c r="R1373" s="12">
        <v>0.65312518081106918</v>
      </c>
      <c r="S1373" s="12">
        <v>0.90629202492594596</v>
      </c>
      <c r="T1373" s="12">
        <v>0.65532266780850634</v>
      </c>
      <c r="U1373" s="12">
        <v>0.92794069988095917</v>
      </c>
      <c r="V1373" s="12">
        <v>282.20515385863843</v>
      </c>
      <c r="W1373" s="12">
        <v>5.7284349149808698</v>
      </c>
      <c r="X1373" s="12">
        <v>109.9033183301413</v>
      </c>
      <c r="Y1373" s="12">
        <v>1237.6477199089541</v>
      </c>
      <c r="Z1373" s="12">
        <v>2.348139728588492</v>
      </c>
      <c r="AA1373" s="12"/>
      <c r="AB1373" s="12"/>
    </row>
    <row r="1374" spans="1:28" x14ac:dyDescent="0.3">
      <c r="A1374" s="12" t="s">
        <v>3282</v>
      </c>
      <c r="B1374" s="12" t="s">
        <v>155</v>
      </c>
      <c r="C1374" s="12" t="s">
        <v>155</v>
      </c>
      <c r="D1374" s="12" t="s">
        <v>137</v>
      </c>
      <c r="E1374" s="12" t="s">
        <v>2978</v>
      </c>
      <c r="F1374" s="12" t="s">
        <v>1862</v>
      </c>
      <c r="G1374" s="12" t="s">
        <v>1862</v>
      </c>
      <c r="H1374" s="12" t="b">
        <v>1</v>
      </c>
      <c r="I1374" s="12" t="b">
        <v>0</v>
      </c>
      <c r="J1374" s="12" t="b">
        <v>0</v>
      </c>
      <c r="K1374" s="12" t="b">
        <v>0</v>
      </c>
      <c r="L1374" s="12">
        <v>417.87810545644049</v>
      </c>
      <c r="M1374" s="12">
        <v>289.5339830781852</v>
      </c>
      <c r="N1374" s="12">
        <v>4986.5635957990344</v>
      </c>
      <c r="O1374" s="12">
        <v>1254.520050129621</v>
      </c>
      <c r="P1374" s="12">
        <v>0.50360020753446699</v>
      </c>
      <c r="Q1374" s="12">
        <v>0.89463431050002429</v>
      </c>
      <c r="R1374" s="12">
        <v>0.88758360341887221</v>
      </c>
      <c r="S1374" s="12">
        <v>0.6467229048247698</v>
      </c>
      <c r="T1374" s="12">
        <v>0.89253960974429258</v>
      </c>
      <c r="U1374" s="12">
        <v>0.90671712143463223</v>
      </c>
      <c r="V1374" s="12">
        <v>289.5339830781852</v>
      </c>
      <c r="W1374" s="12">
        <v>-5.0075825478514098</v>
      </c>
      <c r="X1374" s="12">
        <v>-3.7937238404770812</v>
      </c>
      <c r="Y1374" s="12">
        <v>3732.0435456694131</v>
      </c>
      <c r="Z1374" s="12">
        <v>3.9748775599750719</v>
      </c>
      <c r="AA1374" s="12" t="s">
        <v>1696</v>
      </c>
      <c r="AB1374" s="12"/>
    </row>
    <row r="1375" spans="1:28" x14ac:dyDescent="0.3">
      <c r="A1375" s="12" t="s">
        <v>3283</v>
      </c>
      <c r="B1375" s="12" t="s">
        <v>155</v>
      </c>
      <c r="C1375" s="12" t="s">
        <v>155</v>
      </c>
      <c r="D1375" s="12" t="s">
        <v>137</v>
      </c>
      <c r="E1375" s="12" t="s">
        <v>2978</v>
      </c>
      <c r="F1375" s="12" t="s">
        <v>1861</v>
      </c>
      <c r="G1375" s="12" t="s">
        <v>1861</v>
      </c>
      <c r="H1375" s="12" t="b">
        <v>1</v>
      </c>
      <c r="I1375" s="12" t="b">
        <v>0</v>
      </c>
      <c r="J1375" s="12" t="b">
        <v>1</v>
      </c>
      <c r="K1375" s="12" t="b">
        <v>0</v>
      </c>
      <c r="L1375" s="12">
        <v>492.19991502314213</v>
      </c>
      <c r="M1375" s="12">
        <v>290.70286356299499</v>
      </c>
      <c r="N1375" s="12">
        <v>2674.482313309567</v>
      </c>
      <c r="O1375" s="12">
        <v>498.75181721501241</v>
      </c>
      <c r="P1375" s="12">
        <v>0.57876118128741938</v>
      </c>
      <c r="Q1375" s="12">
        <v>0.88607890427514602</v>
      </c>
      <c r="R1375" s="12">
        <v>0.73589995160237776</v>
      </c>
      <c r="S1375" s="12">
        <v>0.85883842804405774</v>
      </c>
      <c r="T1375" s="12">
        <v>0.89779245414729836</v>
      </c>
      <c r="U1375" s="12">
        <v>0.91111731666871765</v>
      </c>
      <c r="V1375" s="12">
        <v>290.70286356299499</v>
      </c>
      <c r="W1375" s="12">
        <v>12.388340334932719</v>
      </c>
      <c r="X1375" s="12">
        <v>226.97681433575761</v>
      </c>
      <c r="Y1375" s="12">
        <v>2175.7304960945539</v>
      </c>
      <c r="Z1375" s="12">
        <v>5.3623510150672704</v>
      </c>
      <c r="AA1375" s="12" t="s">
        <v>1268</v>
      </c>
      <c r="AB1375" s="12"/>
    </row>
    <row r="1376" spans="1:28" x14ac:dyDescent="0.3">
      <c r="A1376" s="12" t="s">
        <v>3284</v>
      </c>
      <c r="B1376" s="12" t="s">
        <v>155</v>
      </c>
      <c r="C1376" s="12" t="s">
        <v>155</v>
      </c>
      <c r="D1376" s="12" t="s">
        <v>137</v>
      </c>
      <c r="E1376" s="12" t="s">
        <v>2978</v>
      </c>
      <c r="F1376" s="12" t="s">
        <v>1861</v>
      </c>
      <c r="G1376" s="12" t="s">
        <v>1861</v>
      </c>
      <c r="H1376" s="12" t="b">
        <v>1</v>
      </c>
      <c r="I1376" s="12" t="b">
        <v>0</v>
      </c>
      <c r="J1376" s="12" t="b">
        <v>1</v>
      </c>
      <c r="K1376" s="12" t="b">
        <v>0</v>
      </c>
      <c r="L1376" s="12">
        <v>484.38725404217303</v>
      </c>
      <c r="M1376" s="12">
        <v>282.65194940282169</v>
      </c>
      <c r="N1376" s="12">
        <v>2459.4817680450719</v>
      </c>
      <c r="O1376" s="12">
        <v>451.86047491645638</v>
      </c>
      <c r="P1376" s="12">
        <v>0.52972988841868329</v>
      </c>
      <c r="Q1376" s="12">
        <v>0.82145663729328955</v>
      </c>
      <c r="R1376" s="12">
        <v>0.6801127354551314</v>
      </c>
      <c r="S1376" s="12">
        <v>0.72907878434805296</v>
      </c>
      <c r="T1376" s="12">
        <v>0.78503494476913882</v>
      </c>
      <c r="U1376" s="12">
        <v>0.78959877980886894</v>
      </c>
      <c r="V1376" s="12">
        <v>282.65194940282169</v>
      </c>
      <c r="W1376" s="12">
        <v>10.90675665103822</v>
      </c>
      <c r="X1376" s="12">
        <v>157.98753788027989</v>
      </c>
      <c r="Y1376" s="12">
        <v>2007.6212931286159</v>
      </c>
      <c r="Z1376" s="12">
        <v>5.443011514781861</v>
      </c>
      <c r="AA1376" s="12" t="s">
        <v>1268</v>
      </c>
      <c r="AB1376" s="12"/>
    </row>
    <row r="1377" spans="1:28" x14ac:dyDescent="0.3">
      <c r="A1377" s="12" t="s">
        <v>3285</v>
      </c>
      <c r="B1377" s="12" t="s">
        <v>155</v>
      </c>
      <c r="C1377" s="12" t="s">
        <v>155</v>
      </c>
      <c r="D1377" s="12" t="s">
        <v>137</v>
      </c>
      <c r="E1377" s="12" t="s">
        <v>2978</v>
      </c>
      <c r="F1377" s="12" t="s">
        <v>1861</v>
      </c>
      <c r="G1377" s="12" t="s">
        <v>1861</v>
      </c>
      <c r="H1377" s="12" t="b">
        <v>1</v>
      </c>
      <c r="I1377" s="12" t="b">
        <v>0</v>
      </c>
      <c r="J1377" s="12" t="b">
        <v>0</v>
      </c>
      <c r="K1377" s="12" t="b">
        <v>0</v>
      </c>
      <c r="L1377" s="12">
        <v>468.31527897336912</v>
      </c>
      <c r="M1377" s="12">
        <v>283.78184732501171</v>
      </c>
      <c r="N1377" s="12">
        <v>2507.7634878657841</v>
      </c>
      <c r="O1377" s="12">
        <v>787.44679610310823</v>
      </c>
      <c r="P1377" s="12">
        <v>0.81556924566002609</v>
      </c>
      <c r="Q1377" s="12">
        <v>0.80590705058093526</v>
      </c>
      <c r="R1377" s="12">
        <v>0.68293259475974855</v>
      </c>
      <c r="S1377" s="12">
        <v>0.68129741061922089</v>
      </c>
      <c r="T1377" s="12">
        <v>0.63166102086372911</v>
      </c>
      <c r="U1377" s="12">
        <v>0.71499043789243821</v>
      </c>
      <c r="V1377" s="12">
        <v>283.78184732501171</v>
      </c>
      <c r="W1377" s="12">
        <v>7.8166791653500596</v>
      </c>
      <c r="X1377" s="12">
        <v>80.568735874495417</v>
      </c>
      <c r="Y1377" s="12">
        <v>1720.3166917626761</v>
      </c>
      <c r="Z1377" s="12">
        <v>3.184676730257999</v>
      </c>
      <c r="AA1377" s="12" t="s">
        <v>1268</v>
      </c>
      <c r="AB1377" s="12"/>
    </row>
    <row r="1378" spans="1:28" x14ac:dyDescent="0.3">
      <c r="A1378" s="12" t="s">
        <v>3286</v>
      </c>
      <c r="B1378" s="12" t="s">
        <v>155</v>
      </c>
      <c r="C1378" s="12" t="s">
        <v>155</v>
      </c>
      <c r="D1378" s="12" t="s">
        <v>137</v>
      </c>
      <c r="E1378" s="12" t="s">
        <v>2978</v>
      </c>
      <c r="F1378" s="12" t="s">
        <v>1861</v>
      </c>
      <c r="G1378" s="12" t="s">
        <v>1861</v>
      </c>
      <c r="H1378" s="12" t="b">
        <v>1</v>
      </c>
      <c r="I1378" s="12" t="b">
        <v>0</v>
      </c>
      <c r="J1378" s="12" t="b">
        <v>0</v>
      </c>
      <c r="K1378" s="12" t="b">
        <v>0</v>
      </c>
      <c r="L1378" s="12">
        <v>413.8316141751564</v>
      </c>
      <c r="M1378" s="12">
        <v>294.92204589323069</v>
      </c>
      <c r="N1378" s="12">
        <v>3622.1218135104641</v>
      </c>
      <c r="O1378" s="12">
        <v>827.11127531487443</v>
      </c>
      <c r="P1378" s="12">
        <v>0.74086081222995381</v>
      </c>
      <c r="Q1378" s="12">
        <v>0.89407088519873923</v>
      </c>
      <c r="R1378" s="12">
        <v>0.86157135672296503</v>
      </c>
      <c r="S1378" s="12">
        <v>0.7383783073414355</v>
      </c>
      <c r="T1378" s="12">
        <v>0.70492240037881981</v>
      </c>
      <c r="U1378" s="12">
        <v>0.81556760917656168</v>
      </c>
      <c r="V1378" s="12">
        <v>294.92204589323069</v>
      </c>
      <c r="W1378" s="12">
        <v>12.515014317280921</v>
      </c>
      <c r="X1378" s="12">
        <v>90.256068235274896</v>
      </c>
      <c r="Y1378" s="12">
        <v>2795.01053819559</v>
      </c>
      <c r="Z1378" s="12">
        <v>4.3792436660128384</v>
      </c>
      <c r="AA1378" s="12" t="s">
        <v>1268</v>
      </c>
      <c r="AB1378" s="12"/>
    </row>
    <row r="1379" spans="1:28" x14ac:dyDescent="0.3">
      <c r="A1379" s="12" t="s">
        <v>3287</v>
      </c>
      <c r="B1379" s="12" t="s">
        <v>155</v>
      </c>
      <c r="C1379" s="12" t="s">
        <v>155</v>
      </c>
      <c r="D1379" s="12" t="s">
        <v>137</v>
      </c>
      <c r="E1379" s="12" t="s">
        <v>2978</v>
      </c>
      <c r="F1379" s="12" t="s">
        <v>1861</v>
      </c>
      <c r="G1379" s="12" t="s">
        <v>1861</v>
      </c>
      <c r="H1379" s="12" t="b">
        <v>1</v>
      </c>
      <c r="I1379" s="12" t="b">
        <v>0</v>
      </c>
      <c r="J1379" s="12" t="b">
        <v>1</v>
      </c>
      <c r="K1379" s="12" t="b">
        <v>0</v>
      </c>
      <c r="L1379" s="12">
        <v>479.17266557211849</v>
      </c>
      <c r="M1379" s="12">
        <v>281.84711188264771</v>
      </c>
      <c r="N1379" s="12">
        <v>3345.7527629838451</v>
      </c>
      <c r="O1379" s="12">
        <v>1408.8412684195271</v>
      </c>
      <c r="P1379" s="12">
        <v>0.53225438066322195</v>
      </c>
      <c r="Q1379" s="12">
        <v>0.79738182164563898</v>
      </c>
      <c r="R1379" s="12">
        <v>0.79262313392092976</v>
      </c>
      <c r="S1379" s="12">
        <v>0.93539625696262818</v>
      </c>
      <c r="T1379" s="12">
        <v>0.9219119278582486</v>
      </c>
      <c r="U1379" s="12">
        <v>0.75092401245865148</v>
      </c>
      <c r="V1379" s="12">
        <v>281.84711188264771</v>
      </c>
      <c r="W1379" s="12">
        <v>6.0510316250334686</v>
      </c>
      <c r="X1379" s="12">
        <v>102.98573567348269</v>
      </c>
      <c r="Y1379" s="12">
        <v>1936.911494564318</v>
      </c>
      <c r="Z1379" s="12">
        <v>2.3748259211182772</v>
      </c>
      <c r="AA1379" s="12" t="s">
        <v>1268</v>
      </c>
      <c r="AB1379" s="12"/>
    </row>
    <row r="1380" spans="1:28" x14ac:dyDescent="0.3">
      <c r="A1380" s="12" t="s">
        <v>3288</v>
      </c>
      <c r="B1380" s="12" t="s">
        <v>155</v>
      </c>
      <c r="C1380" s="12" t="s">
        <v>155</v>
      </c>
      <c r="D1380" s="12" t="s">
        <v>137</v>
      </c>
      <c r="E1380" s="12" t="s">
        <v>2978</v>
      </c>
      <c r="F1380" s="12" t="s">
        <v>1861</v>
      </c>
      <c r="G1380" s="12" t="s">
        <v>1861</v>
      </c>
      <c r="H1380" s="12" t="b">
        <v>1</v>
      </c>
      <c r="I1380" s="12" t="b">
        <v>0</v>
      </c>
      <c r="J1380" s="12" t="b">
        <v>1</v>
      </c>
      <c r="K1380" s="12" t="b">
        <v>0</v>
      </c>
      <c r="L1380" s="12">
        <v>449.93729923615552</v>
      </c>
      <c r="M1380" s="12">
        <v>303.40361910903118</v>
      </c>
      <c r="N1380" s="12">
        <v>3460.363839446954</v>
      </c>
      <c r="O1380" s="12">
        <v>1251.20882915582</v>
      </c>
      <c r="P1380" s="12">
        <v>0.66685225291119732</v>
      </c>
      <c r="Q1380" s="12">
        <v>0.89165327318346799</v>
      </c>
      <c r="R1380" s="12">
        <v>0.69219297824065273</v>
      </c>
      <c r="S1380" s="12">
        <v>0.65007649756737773</v>
      </c>
      <c r="T1380" s="12">
        <v>0.60545512268625412</v>
      </c>
      <c r="U1380" s="12">
        <v>0.72726444665013146</v>
      </c>
      <c r="V1380" s="12">
        <v>303.40361910903118</v>
      </c>
      <c r="W1380" s="12">
        <v>8.1070992780627193</v>
      </c>
      <c r="X1380" s="12">
        <v>70.910941536568487</v>
      </c>
      <c r="Y1380" s="12">
        <v>2209.1550102911342</v>
      </c>
      <c r="Z1380" s="12">
        <v>2.7656165452266128</v>
      </c>
      <c r="AA1380" s="12" t="s">
        <v>1268</v>
      </c>
      <c r="AB1380" s="12"/>
    </row>
    <row r="1381" spans="1:28" x14ac:dyDescent="0.3">
      <c r="A1381" s="12" t="s">
        <v>3289</v>
      </c>
      <c r="B1381" s="12" t="s">
        <v>155</v>
      </c>
      <c r="C1381" s="12" t="s">
        <v>155</v>
      </c>
      <c r="D1381" s="12" t="s">
        <v>137</v>
      </c>
      <c r="E1381" s="12" t="s">
        <v>2978</v>
      </c>
      <c r="F1381" s="12" t="s">
        <v>832</v>
      </c>
      <c r="G1381" s="12" t="s">
        <v>832</v>
      </c>
      <c r="H1381" s="12" t="b">
        <v>0</v>
      </c>
      <c r="I1381" s="12" t="b">
        <v>0</v>
      </c>
      <c r="J1381" s="12" t="b">
        <v>0</v>
      </c>
      <c r="K1381" s="12" t="b">
        <v>0</v>
      </c>
      <c r="L1381" s="12">
        <v>381.87283566422201</v>
      </c>
      <c r="M1381" s="12">
        <v>302.52066581160489</v>
      </c>
      <c r="N1381" s="12">
        <v>4467.2329289926574</v>
      </c>
      <c r="O1381" s="12">
        <v>641.81456661137645</v>
      </c>
      <c r="P1381" s="12">
        <v>0.5203735762221311</v>
      </c>
      <c r="Q1381" s="12">
        <v>0.8505263875006821</v>
      </c>
      <c r="R1381" s="12">
        <v>0.88519859957150704</v>
      </c>
      <c r="S1381" s="12">
        <v>0.66576009714185513</v>
      </c>
      <c r="T1381" s="12">
        <v>0.89556778713369511</v>
      </c>
      <c r="U1381" s="12">
        <v>0.75955138152693791</v>
      </c>
      <c r="V1381" s="12">
        <v>302.52066581160489</v>
      </c>
      <c r="W1381" s="12"/>
      <c r="X1381" s="12"/>
      <c r="Y1381" s="12">
        <v>3825.4183623812801</v>
      </c>
      <c r="Z1381" s="12">
        <v>6.9603171404764952</v>
      </c>
      <c r="AA1381" s="12"/>
      <c r="AB1381" s="12"/>
    </row>
    <row r="1382" spans="1:28" x14ac:dyDescent="0.3">
      <c r="A1382" s="12" t="s">
        <v>3290</v>
      </c>
      <c r="B1382" s="12" t="s">
        <v>155</v>
      </c>
      <c r="C1382" s="12" t="s">
        <v>155</v>
      </c>
      <c r="D1382" s="12" t="s">
        <v>137</v>
      </c>
      <c r="E1382" s="12" t="s">
        <v>2978</v>
      </c>
      <c r="F1382" s="12" t="s">
        <v>1861</v>
      </c>
      <c r="G1382" s="12" t="s">
        <v>1861</v>
      </c>
      <c r="H1382" s="12" t="b">
        <v>1</v>
      </c>
      <c r="I1382" s="12" t="b">
        <v>0</v>
      </c>
      <c r="J1382" s="12" t="b">
        <v>1</v>
      </c>
      <c r="K1382" s="12" t="b">
        <v>0</v>
      </c>
      <c r="L1382" s="12">
        <v>428.60103488340297</v>
      </c>
      <c r="M1382" s="12">
        <v>299.30281372453362</v>
      </c>
      <c r="N1382" s="12">
        <v>2559.785520070714</v>
      </c>
      <c r="O1382" s="12">
        <v>512.45749891888499</v>
      </c>
      <c r="P1382" s="12">
        <v>0.64146330690106768</v>
      </c>
      <c r="Q1382" s="12">
        <v>0.82912951265502788</v>
      </c>
      <c r="R1382" s="12">
        <v>0.75502510042124726</v>
      </c>
      <c r="S1382" s="12">
        <v>0.89222605691587953</v>
      </c>
      <c r="T1382" s="12">
        <v>0.78802247196836051</v>
      </c>
      <c r="U1382" s="12">
        <v>0.73556704966905584</v>
      </c>
      <c r="V1382" s="12">
        <v>299.30281372453362</v>
      </c>
      <c r="W1382" s="12">
        <v>8.920907870446861</v>
      </c>
      <c r="X1382" s="12">
        <v>74.134281662865249</v>
      </c>
      <c r="Y1382" s="12">
        <v>2047.328021151829</v>
      </c>
      <c r="Z1382" s="12">
        <v>4.9951176936058319</v>
      </c>
      <c r="AA1382" s="12" t="s">
        <v>1268</v>
      </c>
      <c r="AB1382" s="12"/>
    </row>
    <row r="1383" spans="1:28" x14ac:dyDescent="0.3">
      <c r="A1383" s="12" t="s">
        <v>3291</v>
      </c>
      <c r="B1383" s="12" t="s">
        <v>155</v>
      </c>
      <c r="C1383" s="12" t="s">
        <v>155</v>
      </c>
      <c r="D1383" s="12" t="s">
        <v>137</v>
      </c>
      <c r="E1383" s="12" t="s">
        <v>2978</v>
      </c>
      <c r="F1383" s="12" t="s">
        <v>1861</v>
      </c>
      <c r="G1383" s="12" t="s">
        <v>1861</v>
      </c>
      <c r="H1383" s="12" t="b">
        <v>1</v>
      </c>
      <c r="I1383" s="12" t="b">
        <v>0</v>
      </c>
      <c r="J1383" s="12" t="b">
        <v>1</v>
      </c>
      <c r="K1383" s="12" t="b">
        <v>0</v>
      </c>
      <c r="L1383" s="12">
        <v>473.64641200206188</v>
      </c>
      <c r="M1383" s="12">
        <v>301.98339640025603</v>
      </c>
      <c r="N1383" s="12">
        <v>3146.6915822939359</v>
      </c>
      <c r="O1383" s="12">
        <v>994.83343637337964</v>
      </c>
      <c r="P1383" s="12">
        <v>0.58664257137513798</v>
      </c>
      <c r="Q1383" s="12">
        <v>0.88024126509260203</v>
      </c>
      <c r="R1383" s="12">
        <v>0.88228440491314108</v>
      </c>
      <c r="S1383" s="12">
        <v>0.60856950896926887</v>
      </c>
      <c r="T1383" s="12">
        <v>0.9112664234728336</v>
      </c>
      <c r="U1383" s="12">
        <v>0.82149992334063815</v>
      </c>
      <c r="V1383" s="12">
        <v>301.98339640025603</v>
      </c>
      <c r="W1383" s="12">
        <v>9.5874324775614603</v>
      </c>
      <c r="X1383" s="12">
        <v>107.86413413528621</v>
      </c>
      <c r="Y1383" s="12">
        <v>2151.858145920557</v>
      </c>
      <c r="Z1383" s="12">
        <v>3.1630335966240319</v>
      </c>
      <c r="AA1383" s="12" t="s">
        <v>1268</v>
      </c>
      <c r="AB1383" s="12"/>
    </row>
    <row r="1384" spans="1:28" x14ac:dyDescent="0.3">
      <c r="A1384" s="12" t="s">
        <v>3292</v>
      </c>
      <c r="B1384" s="12" t="s">
        <v>155</v>
      </c>
      <c r="C1384" s="12" t="s">
        <v>155</v>
      </c>
      <c r="D1384" s="12" t="s">
        <v>137</v>
      </c>
      <c r="E1384" s="12" t="s">
        <v>2978</v>
      </c>
      <c r="F1384" s="12" t="s">
        <v>1861</v>
      </c>
      <c r="G1384" s="12" t="s">
        <v>1861</v>
      </c>
      <c r="H1384" s="12" t="b">
        <v>1</v>
      </c>
      <c r="I1384" s="12" t="b">
        <v>0</v>
      </c>
      <c r="J1384" s="12" t="b">
        <v>0</v>
      </c>
      <c r="K1384" s="12" t="b">
        <v>0</v>
      </c>
      <c r="L1384" s="12">
        <v>464.93911345142089</v>
      </c>
      <c r="M1384" s="12">
        <v>299.60274545395691</v>
      </c>
      <c r="N1384" s="12">
        <v>3577.6494919732422</v>
      </c>
      <c r="O1384" s="12">
        <v>1200.8676998024521</v>
      </c>
      <c r="P1384" s="12">
        <v>0.84708559149077045</v>
      </c>
      <c r="Q1384" s="12">
        <v>0.79924858781701591</v>
      </c>
      <c r="R1384" s="12">
        <v>0.78927575227954849</v>
      </c>
      <c r="S1384" s="12">
        <v>0.69795723482884187</v>
      </c>
      <c r="T1384" s="12">
        <v>0.77688522111602742</v>
      </c>
      <c r="U1384" s="12">
        <v>0.92367980192079879</v>
      </c>
      <c r="V1384" s="12">
        <v>299.60274545395691</v>
      </c>
      <c r="W1384" s="12">
        <v>9.3133858257086288</v>
      </c>
      <c r="X1384" s="12">
        <v>107.37697155947851</v>
      </c>
      <c r="Y1384" s="12">
        <v>2376.7817921707901</v>
      </c>
      <c r="Z1384" s="12">
        <v>2.9792203525515601</v>
      </c>
      <c r="AA1384" s="12" t="s">
        <v>1268</v>
      </c>
      <c r="AB1384" s="12"/>
    </row>
    <row r="1385" spans="1:28" x14ac:dyDescent="0.3">
      <c r="A1385" s="12" t="s">
        <v>3293</v>
      </c>
      <c r="B1385" s="12" t="s">
        <v>155</v>
      </c>
      <c r="C1385" s="12" t="s">
        <v>155</v>
      </c>
      <c r="D1385" s="12" t="s">
        <v>137</v>
      </c>
      <c r="E1385" s="12" t="s">
        <v>2978</v>
      </c>
      <c r="F1385" s="12" t="s">
        <v>1861</v>
      </c>
      <c r="G1385" s="12" t="s">
        <v>1861</v>
      </c>
      <c r="H1385" s="12" t="b">
        <v>1</v>
      </c>
      <c r="I1385" s="12" t="b">
        <v>0</v>
      </c>
      <c r="J1385" s="12" t="b">
        <v>1</v>
      </c>
      <c r="K1385" s="12" t="b">
        <v>0</v>
      </c>
      <c r="L1385" s="12">
        <v>437.73050853088012</v>
      </c>
      <c r="M1385" s="12">
        <v>293.72116595198372</v>
      </c>
      <c r="N1385" s="12">
        <v>4202.0029205155051</v>
      </c>
      <c r="O1385" s="12">
        <v>894.32595495804526</v>
      </c>
      <c r="P1385" s="12">
        <v>0.62086534032833329</v>
      </c>
      <c r="Q1385" s="12">
        <v>0.88196948765787553</v>
      </c>
      <c r="R1385" s="12">
        <v>0.81451109937249189</v>
      </c>
      <c r="S1385" s="12">
        <v>0.83186581045580454</v>
      </c>
      <c r="T1385" s="12">
        <v>0.7244610232792964</v>
      </c>
      <c r="U1385" s="12">
        <v>0.71605865819766734</v>
      </c>
      <c r="V1385" s="12">
        <v>293.72116595198372</v>
      </c>
      <c r="W1385" s="12">
        <v>12.09898020573309</v>
      </c>
      <c r="X1385" s="12">
        <v>88.514458035054389</v>
      </c>
      <c r="Y1385" s="12">
        <v>3307.6769655574599</v>
      </c>
      <c r="Z1385" s="12">
        <v>4.6985138888344462</v>
      </c>
      <c r="AA1385" s="12" t="s">
        <v>1268</v>
      </c>
      <c r="AB1385" s="12"/>
    </row>
    <row r="1386" spans="1:28" x14ac:dyDescent="0.3">
      <c r="A1386" s="12" t="s">
        <v>3294</v>
      </c>
      <c r="B1386" s="12" t="s">
        <v>155</v>
      </c>
      <c r="C1386" s="12" t="s">
        <v>155</v>
      </c>
      <c r="D1386" s="12" t="s">
        <v>137</v>
      </c>
      <c r="E1386" s="12" t="s">
        <v>2978</v>
      </c>
      <c r="F1386" s="12" t="s">
        <v>1861</v>
      </c>
      <c r="G1386" s="12" t="s">
        <v>1861</v>
      </c>
      <c r="H1386" s="12" t="b">
        <v>1</v>
      </c>
      <c r="I1386" s="12" t="b">
        <v>0</v>
      </c>
      <c r="J1386" s="12" t="b">
        <v>1</v>
      </c>
      <c r="K1386" s="12" t="b">
        <v>0</v>
      </c>
      <c r="L1386" s="12">
        <v>494.69080006337362</v>
      </c>
      <c r="M1386" s="12">
        <v>301.0445088917985</v>
      </c>
      <c r="N1386" s="12">
        <v>2399.0203936828798</v>
      </c>
      <c r="O1386" s="12">
        <v>575.65152525243207</v>
      </c>
      <c r="P1386" s="12">
        <v>0.62969591114682233</v>
      </c>
      <c r="Q1386" s="12">
        <v>0.76903541516927487</v>
      </c>
      <c r="R1386" s="12">
        <v>0.68758917826562849</v>
      </c>
      <c r="S1386" s="12">
        <v>0.74319865318183687</v>
      </c>
      <c r="T1386" s="12">
        <v>0.8856990818856223</v>
      </c>
      <c r="U1386" s="12">
        <v>0.87797708088547688</v>
      </c>
      <c r="V1386" s="12">
        <v>301.0445088917985</v>
      </c>
      <c r="W1386" s="12">
        <v>9.0880557613787101</v>
      </c>
      <c r="X1386" s="12">
        <v>131.0470574439463</v>
      </c>
      <c r="Y1386" s="12">
        <v>1823.3688684304479</v>
      </c>
      <c r="Z1386" s="12">
        <v>4.1674872530405827</v>
      </c>
      <c r="AA1386" s="12" t="s">
        <v>1268</v>
      </c>
      <c r="AB1386" s="12"/>
    </row>
    <row r="1387" spans="1:28" x14ac:dyDescent="0.3">
      <c r="A1387" s="12" t="s">
        <v>3295</v>
      </c>
      <c r="B1387" s="12" t="s">
        <v>155</v>
      </c>
      <c r="C1387" s="12" t="s">
        <v>155</v>
      </c>
      <c r="D1387" s="12" t="s">
        <v>137</v>
      </c>
      <c r="E1387" s="12" t="s">
        <v>2978</v>
      </c>
      <c r="F1387" s="12" t="s">
        <v>1861</v>
      </c>
      <c r="G1387" s="12" t="s">
        <v>1861</v>
      </c>
      <c r="H1387" s="12" t="b">
        <v>1</v>
      </c>
      <c r="I1387" s="12" t="b">
        <v>0</v>
      </c>
      <c r="J1387" s="12" t="b">
        <v>1</v>
      </c>
      <c r="K1387" s="12" t="b">
        <v>0</v>
      </c>
      <c r="L1387" s="12">
        <v>473.19805688608352</v>
      </c>
      <c r="M1387" s="12">
        <v>283.93846666196413</v>
      </c>
      <c r="N1387" s="12">
        <v>4597.9451590572589</v>
      </c>
      <c r="O1387" s="12">
        <v>1027.942471087398</v>
      </c>
      <c r="P1387" s="12">
        <v>0.59391891819066145</v>
      </c>
      <c r="Q1387" s="12">
        <v>0.90204314089458559</v>
      </c>
      <c r="R1387" s="12">
        <v>0.80971557596323263</v>
      </c>
      <c r="S1387" s="12">
        <v>0.92010590052830243</v>
      </c>
      <c r="T1387" s="12">
        <v>0.88375526872486465</v>
      </c>
      <c r="U1387" s="12">
        <v>0.8244892781239832</v>
      </c>
      <c r="V1387" s="12">
        <v>283.93846666196413</v>
      </c>
      <c r="W1387" s="12">
        <v>12.15534810744237</v>
      </c>
      <c r="X1387" s="12">
        <v>174.39104035350729</v>
      </c>
      <c r="Y1387" s="12">
        <v>3570.0026879698612</v>
      </c>
      <c r="Z1387" s="12">
        <v>4.4729596143579622</v>
      </c>
      <c r="AA1387" s="12" t="s">
        <v>1268</v>
      </c>
      <c r="AB1387" s="12"/>
    </row>
    <row r="1388" spans="1:28" x14ac:dyDescent="0.3">
      <c r="A1388" s="12" t="s">
        <v>3296</v>
      </c>
      <c r="B1388" s="12" t="s">
        <v>155</v>
      </c>
      <c r="C1388" s="12" t="s">
        <v>155</v>
      </c>
      <c r="D1388" s="12" t="s">
        <v>137</v>
      </c>
      <c r="E1388" s="12" t="s">
        <v>2978</v>
      </c>
      <c r="F1388" s="12" t="s">
        <v>1861</v>
      </c>
      <c r="G1388" s="12" t="s">
        <v>1861</v>
      </c>
      <c r="H1388" s="12" t="b">
        <v>1</v>
      </c>
      <c r="I1388" s="12" t="b">
        <v>0</v>
      </c>
      <c r="J1388" s="12" t="b">
        <v>1</v>
      </c>
      <c r="K1388" s="12" t="b">
        <v>0</v>
      </c>
      <c r="L1388" s="12">
        <v>445.23255435499982</v>
      </c>
      <c r="M1388" s="12">
        <v>294.03845578439808</v>
      </c>
      <c r="N1388" s="12">
        <v>4236.2637219721682</v>
      </c>
      <c r="O1388" s="12">
        <v>754.99714544963854</v>
      </c>
      <c r="P1388" s="12">
        <v>0.70121594867776116</v>
      </c>
      <c r="Q1388" s="12">
        <v>0.88095032139632745</v>
      </c>
      <c r="R1388" s="12">
        <v>0.66205948671997961</v>
      </c>
      <c r="S1388" s="12">
        <v>0.90614984729905801</v>
      </c>
      <c r="T1388" s="12">
        <v>0.84550014375057758</v>
      </c>
      <c r="U1388" s="12">
        <v>0.94248194068561797</v>
      </c>
      <c r="V1388" s="12">
        <v>294.03845578439808</v>
      </c>
      <c r="W1388" s="12">
        <v>13.77620920753343</v>
      </c>
      <c r="X1388" s="12">
        <v>167.33407027058769</v>
      </c>
      <c r="Y1388" s="12">
        <v>3481.2665765225302</v>
      </c>
      <c r="Z1388" s="12">
        <v>5.6109665414023011</v>
      </c>
      <c r="AA1388" s="12" t="s">
        <v>1268</v>
      </c>
      <c r="AB1388" s="12"/>
    </row>
    <row r="1389" spans="1:28" x14ac:dyDescent="0.3">
      <c r="A1389" s="12" t="s">
        <v>3297</v>
      </c>
      <c r="B1389" s="12" t="s">
        <v>155</v>
      </c>
      <c r="C1389" s="12" t="s">
        <v>155</v>
      </c>
      <c r="D1389" s="12" t="s">
        <v>137</v>
      </c>
      <c r="E1389" s="12" t="s">
        <v>2978</v>
      </c>
      <c r="F1389" s="12" t="s">
        <v>1861</v>
      </c>
      <c r="G1389" s="12" t="s">
        <v>1861</v>
      </c>
      <c r="H1389" s="12" t="b">
        <v>1</v>
      </c>
      <c r="I1389" s="12" t="b">
        <v>0</v>
      </c>
      <c r="J1389" s="12" t="b">
        <v>1</v>
      </c>
      <c r="K1389" s="12" t="b">
        <v>0</v>
      </c>
      <c r="L1389" s="12">
        <v>474.24485525133321</v>
      </c>
      <c r="M1389" s="12">
        <v>300.40871856638972</v>
      </c>
      <c r="N1389" s="12">
        <v>2654.7846173003281</v>
      </c>
      <c r="O1389" s="12">
        <v>328.00459858047401</v>
      </c>
      <c r="P1389" s="12">
        <v>0.58791090693586767</v>
      </c>
      <c r="Q1389" s="12">
        <v>0.86872711672175662</v>
      </c>
      <c r="R1389" s="12">
        <v>0.89565996627452482</v>
      </c>
      <c r="S1389" s="12">
        <v>0.94202757811259885</v>
      </c>
      <c r="T1389" s="12">
        <v>0.9435165264483294</v>
      </c>
      <c r="U1389" s="12">
        <v>0.91990953503470119</v>
      </c>
      <c r="V1389" s="12">
        <v>300.40871856638972</v>
      </c>
      <c r="W1389" s="12">
        <v>14.038785106693529</v>
      </c>
      <c r="X1389" s="12">
        <v>233.37848722562819</v>
      </c>
      <c r="Y1389" s="12">
        <v>2326.7800187198541</v>
      </c>
      <c r="Z1389" s="12">
        <v>8.0937420657808019</v>
      </c>
      <c r="AA1389" s="12" t="s">
        <v>1981</v>
      </c>
      <c r="AB1389" s="12"/>
    </row>
    <row r="1390" spans="1:28" x14ac:dyDescent="0.3">
      <c r="A1390" s="12" t="s">
        <v>3298</v>
      </c>
      <c r="B1390" s="12" t="s">
        <v>155</v>
      </c>
      <c r="C1390" s="12" t="s">
        <v>155</v>
      </c>
      <c r="D1390" s="12" t="s">
        <v>137</v>
      </c>
      <c r="E1390" s="12" t="s">
        <v>2978</v>
      </c>
      <c r="F1390" s="12" t="s">
        <v>32</v>
      </c>
      <c r="G1390" s="12" t="s">
        <v>32</v>
      </c>
      <c r="H1390" s="12" t="b">
        <v>1</v>
      </c>
      <c r="I1390" s="12" t="b">
        <v>0</v>
      </c>
      <c r="J1390" s="12" t="b">
        <v>1</v>
      </c>
      <c r="K1390" s="12" t="b">
        <v>0</v>
      </c>
      <c r="L1390" s="12">
        <v>435.93343051368402</v>
      </c>
      <c r="M1390" s="12">
        <v>287.87814323649161</v>
      </c>
      <c r="N1390" s="12">
        <v>4350.4097696055296</v>
      </c>
      <c r="O1390" s="12">
        <v>1317.2084607469169</v>
      </c>
      <c r="P1390" s="12">
        <v>0.62290833132835388</v>
      </c>
      <c r="Q1390" s="12">
        <v>0.91192500975012658</v>
      </c>
      <c r="R1390" s="12">
        <v>0.66643616157665486</v>
      </c>
      <c r="S1390" s="12">
        <v>0.83702127012380023</v>
      </c>
      <c r="T1390" s="12">
        <v>0.92425594054562199</v>
      </c>
      <c r="U1390" s="12">
        <v>0.90156119364429677</v>
      </c>
      <c r="V1390" s="12">
        <v>287.87814323649161</v>
      </c>
      <c r="W1390" s="12">
        <v>9.5862659936931998</v>
      </c>
      <c r="X1390" s="12">
        <v>71.686452406510313</v>
      </c>
      <c r="Y1390" s="12">
        <v>3033.2013088586132</v>
      </c>
      <c r="Z1390" s="12">
        <v>3.302749640052153</v>
      </c>
      <c r="AA1390" s="12"/>
      <c r="AB1390" s="12"/>
    </row>
    <row r="1391" spans="1:28" x14ac:dyDescent="0.3">
      <c r="A1391" s="12" t="s">
        <v>3299</v>
      </c>
      <c r="B1391" s="12" t="s">
        <v>155</v>
      </c>
      <c r="C1391" s="12" t="s">
        <v>155</v>
      </c>
      <c r="D1391" s="12" t="s">
        <v>137</v>
      </c>
      <c r="E1391" s="12" t="s">
        <v>2978</v>
      </c>
      <c r="F1391" s="12" t="s">
        <v>1862</v>
      </c>
      <c r="G1391" s="12" t="s">
        <v>1862</v>
      </c>
      <c r="H1391" s="12" t="b">
        <v>1</v>
      </c>
      <c r="I1391" s="12" t="b">
        <v>0</v>
      </c>
      <c r="J1391" s="12" t="b">
        <v>0</v>
      </c>
      <c r="K1391" s="12" t="b">
        <v>0</v>
      </c>
      <c r="L1391" s="12">
        <v>400.85747291811811</v>
      </c>
      <c r="M1391" s="12">
        <v>287.52974585261381</v>
      </c>
      <c r="N1391" s="12">
        <v>4288.4784288729388</v>
      </c>
      <c r="O1391" s="12">
        <v>355.3037031327749</v>
      </c>
      <c r="P1391" s="12">
        <v>0.77233185551227512</v>
      </c>
      <c r="Q1391" s="12">
        <v>0.83545935226139856</v>
      </c>
      <c r="R1391" s="12">
        <v>0.66327691866607508</v>
      </c>
      <c r="S1391" s="12">
        <v>0.78429500144831443</v>
      </c>
      <c r="T1391" s="12">
        <v>0.80624329641824011</v>
      </c>
      <c r="U1391" s="12">
        <v>0.92920665661479984</v>
      </c>
      <c r="V1391" s="12">
        <v>287.52974585261381</v>
      </c>
      <c r="W1391" s="12">
        <v>-25.712694269705459</v>
      </c>
      <c r="X1391" s="12">
        <v>-58.402595219249122</v>
      </c>
      <c r="Y1391" s="12">
        <v>3933.1747257401639</v>
      </c>
      <c r="Z1391" s="12">
        <v>12.0698951096222</v>
      </c>
      <c r="AA1391" s="12" t="s">
        <v>2513</v>
      </c>
      <c r="AB1391" s="12"/>
    </row>
    <row r="1392" spans="1:28" x14ac:dyDescent="0.3">
      <c r="A1392" s="12" t="s">
        <v>3300</v>
      </c>
      <c r="B1392" s="12" t="s">
        <v>155</v>
      </c>
      <c r="C1392" s="12" t="s">
        <v>155</v>
      </c>
      <c r="D1392" s="12" t="s">
        <v>137</v>
      </c>
      <c r="E1392" s="12" t="s">
        <v>2978</v>
      </c>
      <c r="F1392" s="12" t="s">
        <v>1862</v>
      </c>
      <c r="G1392" s="12" t="s">
        <v>1862</v>
      </c>
      <c r="H1392" s="12" t="b">
        <v>1</v>
      </c>
      <c r="I1392" s="12" t="b">
        <v>0</v>
      </c>
      <c r="J1392" s="12" t="b">
        <v>0</v>
      </c>
      <c r="K1392" s="12" t="b">
        <v>0</v>
      </c>
      <c r="L1392" s="12">
        <v>387.28260423924007</v>
      </c>
      <c r="M1392" s="12">
        <v>287.65417659233231</v>
      </c>
      <c r="N1392" s="12">
        <v>2718.1615875074322</v>
      </c>
      <c r="O1392" s="12">
        <v>342.69578050168758</v>
      </c>
      <c r="P1392" s="12">
        <v>0.8449659051310846</v>
      </c>
      <c r="Q1392" s="12">
        <v>0.84986557304838206</v>
      </c>
      <c r="R1392" s="12">
        <v>0.70231272614894658</v>
      </c>
      <c r="S1392" s="12">
        <v>0.8836094116215305</v>
      </c>
      <c r="T1392" s="12">
        <v>0.86897755073004124</v>
      </c>
      <c r="U1392" s="12">
        <v>0.84594977214868106</v>
      </c>
      <c r="V1392" s="12">
        <v>287.65417659233231</v>
      </c>
      <c r="W1392" s="12">
        <v>-63.707069652659683</v>
      </c>
      <c r="X1392" s="12">
        <v>-82.543069798724332</v>
      </c>
      <c r="Y1392" s="12">
        <v>2375.465807005744</v>
      </c>
      <c r="Z1392" s="12">
        <v>7.9317042758104419</v>
      </c>
      <c r="AA1392" s="12" t="s">
        <v>2513</v>
      </c>
      <c r="AB1392" s="12"/>
    </row>
    <row r="1393" spans="1:28" x14ac:dyDescent="0.3">
      <c r="A1393" s="12" t="s">
        <v>3301</v>
      </c>
      <c r="B1393" s="12" t="s">
        <v>155</v>
      </c>
      <c r="C1393" s="12" t="s">
        <v>155</v>
      </c>
      <c r="D1393" s="12" t="s">
        <v>137</v>
      </c>
      <c r="E1393" s="12" t="s">
        <v>2978</v>
      </c>
      <c r="F1393" s="12" t="s">
        <v>1861</v>
      </c>
      <c r="G1393" s="12" t="s">
        <v>1861</v>
      </c>
      <c r="H1393" s="12" t="b">
        <v>1</v>
      </c>
      <c r="I1393" s="12" t="b">
        <v>0</v>
      </c>
      <c r="J1393" s="12" t="b">
        <v>1</v>
      </c>
      <c r="K1393" s="12" t="b">
        <v>0</v>
      </c>
      <c r="L1393" s="12">
        <v>432.49852275226448</v>
      </c>
      <c r="M1393" s="12">
        <v>295.45679695414572</v>
      </c>
      <c r="N1393" s="12">
        <v>2171.6036634343031</v>
      </c>
      <c r="O1393" s="12">
        <v>820.08193500838001</v>
      </c>
      <c r="P1393" s="12">
        <v>0.7814981646791771</v>
      </c>
      <c r="Q1393" s="12">
        <v>0.79545031530917654</v>
      </c>
      <c r="R1393" s="12">
        <v>0.73159230850535872</v>
      </c>
      <c r="S1393" s="12">
        <v>0.93988603941687077</v>
      </c>
      <c r="T1393" s="12">
        <v>0.78268260547139967</v>
      </c>
      <c r="U1393" s="12">
        <v>0.84999113311532248</v>
      </c>
      <c r="V1393" s="12">
        <v>295.45679695414572</v>
      </c>
      <c r="W1393" s="12">
        <v>7.10418647617802</v>
      </c>
      <c r="X1393" s="12">
        <v>107.0137670200474</v>
      </c>
      <c r="Y1393" s="12">
        <v>1351.5217284259229</v>
      </c>
      <c r="Z1393" s="12">
        <v>2.6480325571518808</v>
      </c>
      <c r="AA1393" s="12" t="s">
        <v>1268</v>
      </c>
      <c r="AB1393" s="12"/>
    </row>
    <row r="1394" spans="1:28" x14ac:dyDescent="0.3">
      <c r="A1394" s="12" t="s">
        <v>3302</v>
      </c>
      <c r="B1394" s="12" t="s">
        <v>155</v>
      </c>
      <c r="C1394" s="12" t="s">
        <v>155</v>
      </c>
      <c r="D1394" s="12" t="s">
        <v>137</v>
      </c>
      <c r="E1394" s="12" t="s">
        <v>2978</v>
      </c>
      <c r="F1394" s="12" t="s">
        <v>32</v>
      </c>
      <c r="G1394" s="12" t="s">
        <v>32</v>
      </c>
      <c r="H1394" s="12" t="b">
        <v>1</v>
      </c>
      <c r="I1394" s="12" t="b">
        <v>0</v>
      </c>
      <c r="J1394" s="12" t="b">
        <v>1</v>
      </c>
      <c r="K1394" s="12" t="b">
        <v>0</v>
      </c>
      <c r="L1394" s="12">
        <v>459.85462200002792</v>
      </c>
      <c r="M1394" s="12">
        <v>282.2346017012357</v>
      </c>
      <c r="N1394" s="12">
        <v>4035.5920742289659</v>
      </c>
      <c r="O1394" s="12">
        <v>1453.6943084220011</v>
      </c>
      <c r="P1394" s="12">
        <v>0.61488157406739241</v>
      </c>
      <c r="Q1394" s="12">
        <v>0.80362284671289286</v>
      </c>
      <c r="R1394" s="12">
        <v>0.89453678144921267</v>
      </c>
      <c r="S1394" s="12">
        <v>0.61205630391648147</v>
      </c>
      <c r="T1394" s="12">
        <v>0.62403616253737948</v>
      </c>
      <c r="U1394" s="12">
        <v>0.83664435526499803</v>
      </c>
      <c r="V1394" s="12">
        <v>282.2346017012357</v>
      </c>
      <c r="W1394" s="12">
        <v>6.9260362295203697</v>
      </c>
      <c r="X1394" s="12">
        <v>62.243513573728407</v>
      </c>
      <c r="Y1394" s="12">
        <v>2581.8977658069662</v>
      </c>
      <c r="Z1394" s="12">
        <v>2.7760940184251259</v>
      </c>
      <c r="AA1394" s="12"/>
      <c r="AB1394" s="12"/>
    </row>
    <row r="1395" spans="1:28" x14ac:dyDescent="0.3">
      <c r="A1395" s="12" t="s">
        <v>3303</v>
      </c>
      <c r="B1395" s="12" t="s">
        <v>155</v>
      </c>
      <c r="C1395" s="12" t="s">
        <v>155</v>
      </c>
      <c r="D1395" s="12" t="s">
        <v>137</v>
      </c>
      <c r="E1395" s="12" t="s">
        <v>2978</v>
      </c>
      <c r="F1395" s="12" t="s">
        <v>32</v>
      </c>
      <c r="G1395" s="12" t="s">
        <v>32</v>
      </c>
      <c r="H1395" s="12" t="b">
        <v>1</v>
      </c>
      <c r="I1395" s="12" t="b">
        <v>1</v>
      </c>
      <c r="J1395" s="12" t="b">
        <v>0</v>
      </c>
      <c r="K1395" s="12" t="b">
        <v>0</v>
      </c>
      <c r="L1395" s="12">
        <v>390.45885835815977</v>
      </c>
      <c r="M1395" s="12">
        <v>299.07388175430111</v>
      </c>
      <c r="N1395" s="12">
        <v>4652.4576927725238</v>
      </c>
      <c r="O1395" s="12">
        <v>1112.70454033647</v>
      </c>
      <c r="P1395" s="12">
        <v>0.808469517190753</v>
      </c>
      <c r="Q1395" s="12">
        <v>0.86110352872557172</v>
      </c>
      <c r="R1395" s="12">
        <v>0.66481927652450978</v>
      </c>
      <c r="S1395" s="12">
        <v>0.71740666071542691</v>
      </c>
      <c r="T1395" s="12">
        <v>0.85251219762806529</v>
      </c>
      <c r="U1395" s="12">
        <v>0.93761364484973664</v>
      </c>
      <c r="V1395" s="12">
        <v>299.07388175430111</v>
      </c>
      <c r="W1395" s="12">
        <v>10.3378523524201</v>
      </c>
      <c r="X1395" s="12">
        <v>50.471205433145023</v>
      </c>
      <c r="Y1395" s="12">
        <v>3539.7531524360538</v>
      </c>
      <c r="Z1395" s="12">
        <v>4.1812156993317124</v>
      </c>
      <c r="AA1395" s="12"/>
      <c r="AB1395" s="12"/>
    </row>
    <row r="1396" spans="1:28" x14ac:dyDescent="0.3">
      <c r="A1396" s="12" t="s">
        <v>3304</v>
      </c>
      <c r="B1396" s="12" t="s">
        <v>155</v>
      </c>
      <c r="C1396" s="12" t="s">
        <v>155</v>
      </c>
      <c r="D1396" s="12" t="s">
        <v>137</v>
      </c>
      <c r="E1396" s="12" t="s">
        <v>2978</v>
      </c>
      <c r="F1396" s="12" t="s">
        <v>1861</v>
      </c>
      <c r="G1396" s="12" t="s">
        <v>1861</v>
      </c>
      <c r="H1396" s="12" t="b">
        <v>1</v>
      </c>
      <c r="I1396" s="12" t="b">
        <v>0</v>
      </c>
      <c r="J1396" s="12" t="b">
        <v>0</v>
      </c>
      <c r="K1396" s="12" t="b">
        <v>0</v>
      </c>
      <c r="L1396" s="12">
        <v>436.62818298997252</v>
      </c>
      <c r="M1396" s="12">
        <v>298.84800964397601</v>
      </c>
      <c r="N1396" s="12">
        <v>4703.4062642109129</v>
      </c>
      <c r="O1396" s="12">
        <v>1181.9359841452101</v>
      </c>
      <c r="P1396" s="12">
        <v>0.81112549056057248</v>
      </c>
      <c r="Q1396" s="12">
        <v>0.85731524848219487</v>
      </c>
      <c r="R1396" s="12">
        <v>0.67718995649924096</v>
      </c>
      <c r="S1396" s="12">
        <v>0.62856453760811215</v>
      </c>
      <c r="T1396" s="12">
        <v>0.76404169441938707</v>
      </c>
      <c r="U1396" s="12">
        <v>0.76145625127334637</v>
      </c>
      <c r="V1396" s="12">
        <v>298.84800964397601</v>
      </c>
      <c r="W1396" s="12">
        <v>11.57850604859644</v>
      </c>
      <c r="X1396" s="12">
        <v>88.227047766241995</v>
      </c>
      <c r="Y1396" s="12">
        <v>3521.4702800657019</v>
      </c>
      <c r="Z1396" s="12">
        <v>3.9794086374419599</v>
      </c>
      <c r="AA1396" s="12" t="s">
        <v>1268</v>
      </c>
      <c r="AB1396" s="12"/>
    </row>
    <row r="1397" spans="1:28" x14ac:dyDescent="0.3">
      <c r="A1397" s="12" t="s">
        <v>3305</v>
      </c>
      <c r="B1397" s="12" t="s">
        <v>155</v>
      </c>
      <c r="C1397" s="12" t="s">
        <v>155</v>
      </c>
      <c r="D1397" s="12" t="s">
        <v>137</v>
      </c>
      <c r="E1397" s="12" t="s">
        <v>2978</v>
      </c>
      <c r="F1397" s="12" t="s">
        <v>1861</v>
      </c>
      <c r="G1397" s="12" t="s">
        <v>1861</v>
      </c>
      <c r="H1397" s="12" t="b">
        <v>1</v>
      </c>
      <c r="I1397" s="12" t="b">
        <v>0</v>
      </c>
      <c r="J1397" s="12" t="b">
        <v>1</v>
      </c>
      <c r="K1397" s="12" t="b">
        <v>0</v>
      </c>
      <c r="L1397" s="12">
        <v>482.56187344336507</v>
      </c>
      <c r="M1397" s="12">
        <v>288.69116745921218</v>
      </c>
      <c r="N1397" s="12">
        <v>3039.9698345230449</v>
      </c>
      <c r="O1397" s="12">
        <v>1459.893668561017</v>
      </c>
      <c r="P1397" s="12">
        <v>0.6044287127239425</v>
      </c>
      <c r="Q1397" s="12">
        <v>0.80976646048007705</v>
      </c>
      <c r="R1397" s="12">
        <v>0.79660392262610091</v>
      </c>
      <c r="S1397" s="12">
        <v>0.86298422160526589</v>
      </c>
      <c r="T1397" s="12">
        <v>0.912361249688876</v>
      </c>
      <c r="U1397" s="12">
        <v>0.77185683739376176</v>
      </c>
      <c r="V1397" s="12">
        <v>288.69116745921218</v>
      </c>
      <c r="W1397" s="12">
        <v>5.3814937071421598</v>
      </c>
      <c r="X1397" s="12">
        <v>83.824173036848336</v>
      </c>
      <c r="Y1397" s="12">
        <v>1580.0761659620291</v>
      </c>
      <c r="Z1397" s="12">
        <v>2.0823227745891062</v>
      </c>
      <c r="AA1397" s="12" t="s">
        <v>1268</v>
      </c>
      <c r="AB1397" s="12"/>
    </row>
    <row r="1398" spans="1:28" x14ac:dyDescent="0.3">
      <c r="A1398" s="12" t="s">
        <v>3306</v>
      </c>
      <c r="B1398" s="12" t="s">
        <v>155</v>
      </c>
      <c r="C1398" s="12" t="s">
        <v>155</v>
      </c>
      <c r="D1398" s="12" t="s">
        <v>137</v>
      </c>
      <c r="E1398" s="12" t="s">
        <v>2978</v>
      </c>
      <c r="F1398" s="12" t="s">
        <v>32</v>
      </c>
      <c r="G1398" s="12" t="s">
        <v>32</v>
      </c>
      <c r="H1398" s="12" t="b">
        <v>1</v>
      </c>
      <c r="I1398" s="12" t="b">
        <v>0</v>
      </c>
      <c r="J1398" s="12" t="b">
        <v>1</v>
      </c>
      <c r="K1398" s="12" t="b">
        <v>0</v>
      </c>
      <c r="L1398" s="12">
        <v>469.85950745540111</v>
      </c>
      <c r="M1398" s="12">
        <v>294.61827090770697</v>
      </c>
      <c r="N1398" s="12">
        <v>3696.6578552480169</v>
      </c>
      <c r="O1398" s="12">
        <v>1229.3347696241351</v>
      </c>
      <c r="P1398" s="12">
        <v>0.72174685382309767</v>
      </c>
      <c r="Q1398" s="12">
        <v>0.76274883596293863</v>
      </c>
      <c r="R1398" s="12">
        <v>0.75718416600540706</v>
      </c>
      <c r="S1398" s="12">
        <v>0.69022438650859308</v>
      </c>
      <c r="T1398" s="12">
        <v>0.85907313591134926</v>
      </c>
      <c r="U1398" s="12">
        <v>0.93087034273782643</v>
      </c>
      <c r="V1398" s="12">
        <v>294.61827090770697</v>
      </c>
      <c r="W1398" s="12">
        <v>8.07654428267832</v>
      </c>
      <c r="X1398" s="12">
        <v>101.53018821559699</v>
      </c>
      <c r="Y1398" s="12">
        <v>2467.3230856238811</v>
      </c>
      <c r="Z1398" s="12">
        <v>3.007039210627922</v>
      </c>
      <c r="AA1398" s="12"/>
      <c r="AB1398" s="12"/>
    </row>
    <row r="1399" spans="1:28" x14ac:dyDescent="0.3">
      <c r="A1399" s="12" t="s">
        <v>3307</v>
      </c>
      <c r="B1399" s="12" t="s">
        <v>155</v>
      </c>
      <c r="C1399" s="12" t="s">
        <v>155</v>
      </c>
      <c r="D1399" s="12" t="s">
        <v>137</v>
      </c>
      <c r="E1399" s="12" t="s">
        <v>2978</v>
      </c>
      <c r="F1399" s="12" t="s">
        <v>32</v>
      </c>
      <c r="G1399" s="12" t="s">
        <v>32</v>
      </c>
      <c r="H1399" s="12" t="b">
        <v>1</v>
      </c>
      <c r="I1399" s="12" t="b">
        <v>1</v>
      </c>
      <c r="J1399" s="12" t="b">
        <v>0</v>
      </c>
      <c r="K1399" s="12" t="b">
        <v>0</v>
      </c>
      <c r="L1399" s="12">
        <v>392.13339473634898</v>
      </c>
      <c r="M1399" s="12">
        <v>285.72987626514799</v>
      </c>
      <c r="N1399" s="12">
        <v>3779.9243740040329</v>
      </c>
      <c r="O1399" s="12">
        <v>1467.2205222666009</v>
      </c>
      <c r="P1399" s="12">
        <v>0.66606706112464553</v>
      </c>
      <c r="Q1399" s="12">
        <v>0.80612925910517719</v>
      </c>
      <c r="R1399" s="12">
        <v>0.75947979459921044</v>
      </c>
      <c r="S1399" s="12">
        <v>0.8904357018266732</v>
      </c>
      <c r="T1399" s="12">
        <v>0.87000916575746112</v>
      </c>
      <c r="U1399" s="12">
        <v>0.70439826807863259</v>
      </c>
      <c r="V1399" s="12">
        <v>285.72987626514799</v>
      </c>
      <c r="W1399" s="12">
        <v>6.6437852837882696</v>
      </c>
      <c r="X1399" s="12">
        <v>26.330717759330341</v>
      </c>
      <c r="Y1399" s="12">
        <v>2312.7038517374322</v>
      </c>
      <c r="Z1399" s="12">
        <v>2.5762482984934709</v>
      </c>
      <c r="AA1399" s="12"/>
      <c r="AB1399" s="12"/>
    </row>
    <row r="1400" spans="1:28" x14ac:dyDescent="0.3">
      <c r="A1400" s="12" t="s">
        <v>3308</v>
      </c>
      <c r="B1400" s="12" t="s">
        <v>155</v>
      </c>
      <c r="C1400" s="12" t="s">
        <v>155</v>
      </c>
      <c r="D1400" s="12" t="s">
        <v>137</v>
      </c>
      <c r="E1400" s="12" t="s">
        <v>2978</v>
      </c>
      <c r="F1400" s="12" t="s">
        <v>1861</v>
      </c>
      <c r="G1400" s="12" t="s">
        <v>1861</v>
      </c>
      <c r="H1400" s="12" t="b">
        <v>1</v>
      </c>
      <c r="I1400" s="12" t="b">
        <v>0</v>
      </c>
      <c r="J1400" s="12" t="b">
        <v>0</v>
      </c>
      <c r="K1400" s="12" t="b">
        <v>0</v>
      </c>
      <c r="L1400" s="12">
        <v>454.92783447346631</v>
      </c>
      <c r="M1400" s="12">
        <v>288.83727111181992</v>
      </c>
      <c r="N1400" s="12">
        <v>2271.3261105207771</v>
      </c>
      <c r="O1400" s="12">
        <v>1444.1201009951351</v>
      </c>
      <c r="P1400" s="12">
        <v>0.84333633037629396</v>
      </c>
      <c r="Q1400" s="12">
        <v>0.89830741684930293</v>
      </c>
      <c r="R1400" s="12">
        <v>0.79125806705382451</v>
      </c>
      <c r="S1400" s="12">
        <v>0.8500148514540169</v>
      </c>
      <c r="T1400" s="12">
        <v>0.66652416356048372</v>
      </c>
      <c r="U1400" s="12">
        <v>0.90969846308197555</v>
      </c>
      <c r="V1400" s="12">
        <v>288.83727111181992</v>
      </c>
      <c r="W1400" s="12">
        <v>4.4537345985413603</v>
      </c>
      <c r="X1400" s="12">
        <v>64.761582187547404</v>
      </c>
      <c r="Y1400" s="12">
        <v>827.206009525642</v>
      </c>
      <c r="Z1400" s="12">
        <v>1.5728097053393411</v>
      </c>
      <c r="AA1400" s="12" t="s">
        <v>1268</v>
      </c>
      <c r="AB1400" s="12"/>
    </row>
    <row r="1401" spans="1:28" x14ac:dyDescent="0.3">
      <c r="A1401" s="12" t="s">
        <v>3309</v>
      </c>
      <c r="B1401" s="12" t="s">
        <v>155</v>
      </c>
      <c r="C1401" s="12" t="s">
        <v>155</v>
      </c>
      <c r="D1401" s="12" t="s">
        <v>137</v>
      </c>
      <c r="E1401" s="12" t="s">
        <v>2978</v>
      </c>
      <c r="F1401" s="12" t="s">
        <v>1861</v>
      </c>
      <c r="G1401" s="12" t="s">
        <v>1861</v>
      </c>
      <c r="H1401" s="12" t="b">
        <v>1</v>
      </c>
      <c r="I1401" s="12" t="b">
        <v>0</v>
      </c>
      <c r="J1401" s="12" t="b">
        <v>1</v>
      </c>
      <c r="K1401" s="12" t="b">
        <v>0</v>
      </c>
      <c r="L1401" s="12">
        <v>493.6505069514705</v>
      </c>
      <c r="M1401" s="12">
        <v>290.43180554015248</v>
      </c>
      <c r="N1401" s="12">
        <v>4863.5544448817755</v>
      </c>
      <c r="O1401" s="12">
        <v>1386.5014194316329</v>
      </c>
      <c r="P1401" s="12">
        <v>0.55259031681912862</v>
      </c>
      <c r="Q1401" s="12">
        <v>0.76049114388669836</v>
      </c>
      <c r="R1401" s="12">
        <v>0.71607258794730377</v>
      </c>
      <c r="S1401" s="12">
        <v>0.73163251054809408</v>
      </c>
      <c r="T1401" s="12">
        <v>0.77903631578516253</v>
      </c>
      <c r="U1401" s="12">
        <v>0.80543696820053579</v>
      </c>
      <c r="V1401" s="12">
        <v>290.43180554015248</v>
      </c>
      <c r="W1401" s="12">
        <v>8.4775646678448506</v>
      </c>
      <c r="X1401" s="12">
        <v>116.5764310424392</v>
      </c>
      <c r="Y1401" s="12">
        <v>3477.0530254501432</v>
      </c>
      <c r="Z1401" s="12">
        <v>3.5077890124883448</v>
      </c>
      <c r="AA1401" s="12" t="s">
        <v>1268</v>
      </c>
      <c r="AB1401" s="12"/>
    </row>
    <row r="1402" spans="1:28" x14ac:dyDescent="0.3">
      <c r="A1402" s="12" t="s">
        <v>3310</v>
      </c>
      <c r="B1402" s="12" t="s">
        <v>155</v>
      </c>
      <c r="C1402" s="12" t="s">
        <v>155</v>
      </c>
      <c r="D1402" s="12" t="s">
        <v>137</v>
      </c>
      <c r="E1402" s="12" t="s">
        <v>2978</v>
      </c>
      <c r="F1402" s="12" t="s">
        <v>1861</v>
      </c>
      <c r="G1402" s="12" t="s">
        <v>1861</v>
      </c>
      <c r="H1402" s="12" t="b">
        <v>1</v>
      </c>
      <c r="I1402" s="12" t="b">
        <v>0</v>
      </c>
      <c r="J1402" s="12" t="b">
        <v>1</v>
      </c>
      <c r="K1402" s="12" t="b">
        <v>0</v>
      </c>
      <c r="L1402" s="12">
        <v>471.17119579389941</v>
      </c>
      <c r="M1402" s="12">
        <v>285.57180805589729</v>
      </c>
      <c r="N1402" s="12">
        <v>4366.2645945010754</v>
      </c>
      <c r="O1402" s="12">
        <v>867.10217362629533</v>
      </c>
      <c r="P1402" s="12">
        <v>0.74680847215686996</v>
      </c>
      <c r="Q1402" s="12">
        <v>0.77890831618459255</v>
      </c>
      <c r="R1402" s="12">
        <v>0.84309340204455552</v>
      </c>
      <c r="S1402" s="12">
        <v>0.84080375596298551</v>
      </c>
      <c r="T1402" s="12">
        <v>0.86351040450579264</v>
      </c>
      <c r="U1402" s="12">
        <v>0.70735883808981626</v>
      </c>
      <c r="V1402" s="12">
        <v>285.57180805589729</v>
      </c>
      <c r="W1402" s="12">
        <v>10.891751266985869</v>
      </c>
      <c r="X1402" s="12">
        <v>135.48216730501369</v>
      </c>
      <c r="Y1402" s="12">
        <v>3499.1624208747799</v>
      </c>
      <c r="Z1402" s="12">
        <v>5.0354672463119128</v>
      </c>
      <c r="AA1402" s="12" t="s">
        <v>1268</v>
      </c>
      <c r="AB1402" s="12"/>
    </row>
    <row r="1403" spans="1:28" x14ac:dyDescent="0.3">
      <c r="A1403" s="12" t="s">
        <v>3311</v>
      </c>
      <c r="B1403" s="12" t="s">
        <v>155</v>
      </c>
      <c r="C1403" s="12" t="s">
        <v>155</v>
      </c>
      <c r="D1403" s="12" t="s">
        <v>137</v>
      </c>
      <c r="E1403" s="12" t="s">
        <v>2978</v>
      </c>
      <c r="F1403" s="12" t="s">
        <v>1861</v>
      </c>
      <c r="G1403" s="12" t="s">
        <v>1861</v>
      </c>
      <c r="H1403" s="12" t="b">
        <v>1</v>
      </c>
      <c r="I1403" s="12" t="b">
        <v>0</v>
      </c>
      <c r="J1403" s="12" t="b">
        <v>1</v>
      </c>
      <c r="K1403" s="12" t="b">
        <v>0</v>
      </c>
      <c r="L1403" s="12">
        <v>461.65615244941279</v>
      </c>
      <c r="M1403" s="12">
        <v>278.18338928628958</v>
      </c>
      <c r="N1403" s="12">
        <v>2105.9151852874488</v>
      </c>
      <c r="O1403" s="12">
        <v>984.64872997643101</v>
      </c>
      <c r="P1403" s="12">
        <v>0.7360224427459281</v>
      </c>
      <c r="Q1403" s="12">
        <v>0.91239537534181836</v>
      </c>
      <c r="R1403" s="12">
        <v>0.77318370461555463</v>
      </c>
      <c r="S1403" s="12">
        <v>0.88227584036394835</v>
      </c>
      <c r="T1403" s="12">
        <v>0.61608904022668776</v>
      </c>
      <c r="U1403" s="12">
        <v>0.7075778626462661</v>
      </c>
      <c r="V1403" s="12">
        <v>278.18338928628958</v>
      </c>
      <c r="W1403" s="12">
        <v>6.0094312843466007</v>
      </c>
      <c r="X1403" s="12">
        <v>81.880511835591491</v>
      </c>
      <c r="Y1403" s="12">
        <v>1121.266455311018</v>
      </c>
      <c r="Z1403" s="12">
        <v>2.138747678411018</v>
      </c>
      <c r="AA1403" s="12" t="s">
        <v>1268</v>
      </c>
      <c r="AB1403" s="12"/>
    </row>
    <row r="1404" spans="1:28" x14ac:dyDescent="0.3">
      <c r="A1404" s="12" t="s">
        <v>3312</v>
      </c>
      <c r="B1404" s="12" t="s">
        <v>155</v>
      </c>
      <c r="C1404" s="12" t="s">
        <v>155</v>
      </c>
      <c r="D1404" s="12" t="s">
        <v>137</v>
      </c>
      <c r="E1404" s="12" t="s">
        <v>2978</v>
      </c>
      <c r="F1404" s="12" t="s">
        <v>1861</v>
      </c>
      <c r="G1404" s="12" t="s">
        <v>1861</v>
      </c>
      <c r="H1404" s="12" t="b">
        <v>1</v>
      </c>
      <c r="I1404" s="12" t="b">
        <v>0</v>
      </c>
      <c r="J1404" s="12" t="b">
        <v>1</v>
      </c>
      <c r="K1404" s="12" t="b">
        <v>0</v>
      </c>
      <c r="L1404" s="12">
        <v>459.44140219608551</v>
      </c>
      <c r="M1404" s="12">
        <v>298.22740055602338</v>
      </c>
      <c r="N1404" s="12">
        <v>3058.127230014456</v>
      </c>
      <c r="O1404" s="12">
        <v>532.98430683877609</v>
      </c>
      <c r="P1404" s="12">
        <v>0.53454280907428042</v>
      </c>
      <c r="Q1404" s="12">
        <v>0.86993299455045048</v>
      </c>
      <c r="R1404" s="12">
        <v>0.83759877301321695</v>
      </c>
      <c r="S1404" s="12">
        <v>0.81907508566211518</v>
      </c>
      <c r="T1404" s="12">
        <v>0.6979638465461564</v>
      </c>
      <c r="U1404" s="12">
        <v>0.84466616127205141</v>
      </c>
      <c r="V1404" s="12">
        <v>298.22740055602338</v>
      </c>
      <c r="W1404" s="12">
        <v>12.58220523264356</v>
      </c>
      <c r="X1404" s="12">
        <v>157.91687893001239</v>
      </c>
      <c r="Y1404" s="12">
        <v>2525.1429231756802</v>
      </c>
      <c r="Z1404" s="12">
        <v>5.7377434772005724</v>
      </c>
      <c r="AA1404" s="12" t="s">
        <v>1268</v>
      </c>
      <c r="AB1404" s="12"/>
    </row>
    <row r="1405" spans="1:28" x14ac:dyDescent="0.3">
      <c r="A1405" s="12" t="s">
        <v>3313</v>
      </c>
      <c r="B1405" s="12" t="s">
        <v>155</v>
      </c>
      <c r="C1405" s="12" t="s">
        <v>155</v>
      </c>
      <c r="D1405" s="12" t="s">
        <v>137</v>
      </c>
      <c r="E1405" s="12" t="s">
        <v>2978</v>
      </c>
      <c r="F1405" s="12" t="s">
        <v>1861</v>
      </c>
      <c r="G1405" s="12" t="s">
        <v>1861</v>
      </c>
      <c r="H1405" s="12" t="b">
        <v>1</v>
      </c>
      <c r="I1405" s="12" t="b">
        <v>0</v>
      </c>
      <c r="J1405" s="12" t="b">
        <v>0</v>
      </c>
      <c r="K1405" s="12" t="b">
        <v>0</v>
      </c>
      <c r="L1405" s="12">
        <v>402.94664801541938</v>
      </c>
      <c r="M1405" s="12">
        <v>294.6946035725245</v>
      </c>
      <c r="N1405" s="12">
        <v>3762.2850958509948</v>
      </c>
      <c r="O1405" s="12">
        <v>1023.255776400223</v>
      </c>
      <c r="P1405" s="12">
        <v>0.79191619859986573</v>
      </c>
      <c r="Q1405" s="12">
        <v>0.8580648942853627</v>
      </c>
      <c r="R1405" s="12">
        <v>0.67417403539461629</v>
      </c>
      <c r="S1405" s="12">
        <v>0.65578315509980012</v>
      </c>
      <c r="T1405" s="12">
        <v>0.84245000290403294</v>
      </c>
      <c r="U1405" s="12">
        <v>0.86340796042385493</v>
      </c>
      <c r="V1405" s="12">
        <v>294.6946035725245</v>
      </c>
      <c r="W1405" s="12">
        <v>10.594365914733361</v>
      </c>
      <c r="X1405" s="12">
        <v>65.497044639555796</v>
      </c>
      <c r="Y1405" s="12">
        <v>2739.0293194507722</v>
      </c>
      <c r="Z1405" s="12">
        <v>3.6767787513368142</v>
      </c>
      <c r="AA1405" s="12" t="s">
        <v>1268</v>
      </c>
      <c r="AB1405" s="12"/>
    </row>
    <row r="1406" spans="1:28" x14ac:dyDescent="0.3">
      <c r="A1406" s="12" t="s">
        <v>3314</v>
      </c>
      <c r="B1406" s="12" t="s">
        <v>155</v>
      </c>
      <c r="C1406" s="12" t="s">
        <v>155</v>
      </c>
      <c r="D1406" s="12" t="s">
        <v>137</v>
      </c>
      <c r="E1406" s="12" t="s">
        <v>2978</v>
      </c>
      <c r="F1406" s="12" t="s">
        <v>1861</v>
      </c>
      <c r="G1406" s="12" t="s">
        <v>1861</v>
      </c>
      <c r="H1406" s="12" t="b">
        <v>1</v>
      </c>
      <c r="I1406" s="12" t="b">
        <v>0</v>
      </c>
      <c r="J1406" s="12" t="b">
        <v>1</v>
      </c>
      <c r="K1406" s="12" t="b">
        <v>0</v>
      </c>
      <c r="L1406" s="12">
        <v>488.71153756415652</v>
      </c>
      <c r="M1406" s="12">
        <v>293.52077715964941</v>
      </c>
      <c r="N1406" s="12">
        <v>4717.3647698276627</v>
      </c>
      <c r="O1406" s="12">
        <v>1335.5491559638799</v>
      </c>
      <c r="P1406" s="12">
        <v>0.59248042630641828</v>
      </c>
      <c r="Q1406" s="12">
        <v>0.78842354353266264</v>
      </c>
      <c r="R1406" s="12">
        <v>0.83939645576571098</v>
      </c>
      <c r="S1406" s="12">
        <v>0.83019950674110332</v>
      </c>
      <c r="T1406" s="12">
        <v>0.73609881147486556</v>
      </c>
      <c r="U1406" s="12">
        <v>0.770468091184632</v>
      </c>
      <c r="V1406" s="12">
        <v>293.52077715964941</v>
      </c>
      <c r="W1406" s="12">
        <v>9.0099330211955095</v>
      </c>
      <c r="X1406" s="12">
        <v>132.58231738779739</v>
      </c>
      <c r="Y1406" s="12">
        <v>3381.8156138637819</v>
      </c>
      <c r="Z1406" s="12">
        <v>3.5321536079464551</v>
      </c>
      <c r="AA1406" s="12" t="s">
        <v>1268</v>
      </c>
      <c r="AB1406" s="12"/>
    </row>
    <row r="1407" spans="1:28" x14ac:dyDescent="0.3">
      <c r="A1407" s="12" t="s">
        <v>3315</v>
      </c>
      <c r="B1407" s="12" t="s">
        <v>155</v>
      </c>
      <c r="C1407" s="12" t="s">
        <v>155</v>
      </c>
      <c r="D1407" s="12" t="s">
        <v>137</v>
      </c>
      <c r="E1407" s="12" t="s">
        <v>2978</v>
      </c>
      <c r="F1407" s="12" t="s">
        <v>1861</v>
      </c>
      <c r="G1407" s="12" t="s">
        <v>1861</v>
      </c>
      <c r="H1407" s="12" t="b">
        <v>1</v>
      </c>
      <c r="I1407" s="12" t="b">
        <v>0</v>
      </c>
      <c r="J1407" s="12" t="b">
        <v>1</v>
      </c>
      <c r="K1407" s="12" t="b">
        <v>0</v>
      </c>
      <c r="L1407" s="12">
        <v>496.94467234512109</v>
      </c>
      <c r="M1407" s="12">
        <v>288.67114625205312</v>
      </c>
      <c r="N1407" s="12">
        <v>3873.5438933166611</v>
      </c>
      <c r="O1407" s="12">
        <v>911.75194407294634</v>
      </c>
      <c r="P1407" s="12">
        <v>0.56459409128654392</v>
      </c>
      <c r="Q1407" s="12">
        <v>0.78976493785851765</v>
      </c>
      <c r="R1407" s="12">
        <v>0.830641274391128</v>
      </c>
      <c r="S1407" s="12">
        <v>0.9312546673056904</v>
      </c>
      <c r="T1407" s="12">
        <v>0.84410473631884342</v>
      </c>
      <c r="U1407" s="12">
        <v>0.89999420520434037</v>
      </c>
      <c r="V1407" s="12">
        <v>288.67114625205312</v>
      </c>
      <c r="W1407" s="12">
        <v>9.6960823862119696</v>
      </c>
      <c r="X1407" s="12">
        <v>192.02193934467911</v>
      </c>
      <c r="Y1407" s="12">
        <v>2961.791949243714</v>
      </c>
      <c r="Z1407" s="12">
        <v>4.2484624447444563</v>
      </c>
      <c r="AA1407" s="12" t="s">
        <v>1268</v>
      </c>
      <c r="AB1407" s="12"/>
    </row>
    <row r="1408" spans="1:28" x14ac:dyDescent="0.3">
      <c r="A1408" s="12" t="s">
        <v>3316</v>
      </c>
      <c r="B1408" s="12" t="s">
        <v>155</v>
      </c>
      <c r="C1408" s="12" t="s">
        <v>155</v>
      </c>
      <c r="D1408" s="12" t="s">
        <v>137</v>
      </c>
      <c r="E1408" s="12" t="s">
        <v>2978</v>
      </c>
      <c r="F1408" s="12" t="s">
        <v>1861</v>
      </c>
      <c r="G1408" s="12" t="s">
        <v>1861</v>
      </c>
      <c r="H1408" s="12" t="b">
        <v>1</v>
      </c>
      <c r="I1408" s="12" t="b">
        <v>0</v>
      </c>
      <c r="J1408" s="12" t="b">
        <v>1</v>
      </c>
      <c r="K1408" s="12" t="b">
        <v>0</v>
      </c>
      <c r="L1408" s="12">
        <v>475.70403953216862</v>
      </c>
      <c r="M1408" s="12">
        <v>279.36082665796363</v>
      </c>
      <c r="N1408" s="12">
        <v>3971.8886772471969</v>
      </c>
      <c r="O1408" s="12">
        <v>420.19107100649109</v>
      </c>
      <c r="P1408" s="12">
        <v>0.60263063892904079</v>
      </c>
      <c r="Q1408" s="12">
        <v>0.85934144333748852</v>
      </c>
      <c r="R1408" s="12">
        <v>0.65689771258456253</v>
      </c>
      <c r="S1408" s="12">
        <v>0.87086888713116595</v>
      </c>
      <c r="T1408" s="12">
        <v>0.67759074615370329</v>
      </c>
      <c r="U1408" s="12">
        <v>0.79570191109045518</v>
      </c>
      <c r="V1408" s="12">
        <v>279.36082665796363</v>
      </c>
      <c r="W1408" s="12">
        <v>15.17425162984379</v>
      </c>
      <c r="X1408" s="12">
        <v>243.7262428059577</v>
      </c>
      <c r="Y1408" s="12">
        <v>3551.6976062407061</v>
      </c>
      <c r="Z1408" s="12">
        <v>9.4525775327240105</v>
      </c>
      <c r="AA1408" s="12" t="s">
        <v>1981</v>
      </c>
      <c r="AB1408" s="12"/>
    </row>
    <row r="1409" spans="1:28" x14ac:dyDescent="0.3">
      <c r="A1409" s="12" t="s">
        <v>3317</v>
      </c>
      <c r="B1409" s="12" t="s">
        <v>155</v>
      </c>
      <c r="C1409" s="12" t="s">
        <v>155</v>
      </c>
      <c r="D1409" s="12" t="s">
        <v>137</v>
      </c>
      <c r="E1409" s="12" t="s">
        <v>2978</v>
      </c>
      <c r="F1409" s="12" t="s">
        <v>1861</v>
      </c>
      <c r="G1409" s="12" t="s">
        <v>1861</v>
      </c>
      <c r="H1409" s="12" t="b">
        <v>1</v>
      </c>
      <c r="I1409" s="12" t="b">
        <v>0</v>
      </c>
      <c r="J1409" s="12" t="b">
        <v>1</v>
      </c>
      <c r="K1409" s="12" t="b">
        <v>0</v>
      </c>
      <c r="L1409" s="12">
        <v>448.54643817315139</v>
      </c>
      <c r="M1409" s="12">
        <v>303.26963835668562</v>
      </c>
      <c r="N1409" s="12">
        <v>3614.3386809128278</v>
      </c>
      <c r="O1409" s="12">
        <v>1138.9439763450359</v>
      </c>
      <c r="P1409" s="12">
        <v>0.66347752291062945</v>
      </c>
      <c r="Q1409" s="12">
        <v>0.75494845818198553</v>
      </c>
      <c r="R1409" s="12">
        <v>0.85715476824208425</v>
      </c>
      <c r="S1409" s="12">
        <v>0.8674102586305763</v>
      </c>
      <c r="T1409" s="12">
        <v>0.90658219113518479</v>
      </c>
      <c r="U1409" s="12">
        <v>0.71948875580768401</v>
      </c>
      <c r="V1409" s="12">
        <v>303.26963835668562</v>
      </c>
      <c r="W1409" s="12">
        <v>7.6567490990715594</v>
      </c>
      <c r="X1409" s="12">
        <v>77.860270047998554</v>
      </c>
      <c r="Y1409" s="12">
        <v>2475.394704567791</v>
      </c>
      <c r="Z1409" s="12">
        <v>3.1734121747687132</v>
      </c>
      <c r="AA1409" s="12" t="s">
        <v>1268</v>
      </c>
      <c r="AB1409" s="12"/>
    </row>
    <row r="1410" spans="1:28" x14ac:dyDescent="0.3">
      <c r="A1410" s="12" t="s">
        <v>3318</v>
      </c>
      <c r="B1410" s="12" t="s">
        <v>155</v>
      </c>
      <c r="C1410" s="12" t="s">
        <v>155</v>
      </c>
      <c r="D1410" s="12" t="s">
        <v>137</v>
      </c>
      <c r="E1410" s="12" t="s">
        <v>2978</v>
      </c>
      <c r="F1410" s="12" t="s">
        <v>32</v>
      </c>
      <c r="G1410" s="12" t="s">
        <v>32</v>
      </c>
      <c r="H1410" s="12" t="b">
        <v>1</v>
      </c>
      <c r="I1410" s="12" t="b">
        <v>1</v>
      </c>
      <c r="J1410" s="12" t="b">
        <v>0</v>
      </c>
      <c r="K1410" s="12" t="b">
        <v>0</v>
      </c>
      <c r="L1410" s="12">
        <v>416.54978723096031</v>
      </c>
      <c r="M1410" s="12">
        <v>282.47753134729493</v>
      </c>
      <c r="N1410" s="12">
        <v>4675.274719834546</v>
      </c>
      <c r="O1410" s="12">
        <v>558.16470135396094</v>
      </c>
      <c r="P1410" s="12">
        <v>0.55068863189075734</v>
      </c>
      <c r="Q1410" s="12">
        <v>0.86135494499297904</v>
      </c>
      <c r="R1410" s="12">
        <v>0.87863473004114989</v>
      </c>
      <c r="S1410" s="12">
        <v>0.61909726456303282</v>
      </c>
      <c r="T1410" s="12">
        <v>0.74514050831239254</v>
      </c>
      <c r="U1410" s="12">
        <v>0.70340137546158799</v>
      </c>
      <c r="V1410" s="12">
        <v>282.47753134729493</v>
      </c>
      <c r="W1410" s="12">
        <v>5.5687075919568798</v>
      </c>
      <c r="X1410" s="12">
        <v>12.92451312971966</v>
      </c>
      <c r="Y1410" s="12">
        <v>4117.1100184805846</v>
      </c>
      <c r="Z1410" s="12">
        <v>8.3761561927752819</v>
      </c>
      <c r="AA1410" s="12"/>
      <c r="AB1410" s="12"/>
    </row>
    <row r="1411" spans="1:28" x14ac:dyDescent="0.3">
      <c r="A1411" s="12" t="s">
        <v>3319</v>
      </c>
      <c r="B1411" s="12" t="s">
        <v>155</v>
      </c>
      <c r="C1411" s="12" t="s">
        <v>155</v>
      </c>
      <c r="D1411" s="12" t="s">
        <v>137</v>
      </c>
      <c r="E1411" s="12" t="s">
        <v>2978</v>
      </c>
      <c r="F1411" s="12" t="s">
        <v>32</v>
      </c>
      <c r="G1411" s="12" t="s">
        <v>32</v>
      </c>
      <c r="H1411" s="12" t="b">
        <v>1</v>
      </c>
      <c r="I1411" s="12" t="b">
        <v>1</v>
      </c>
      <c r="J1411" s="12" t="b">
        <v>0</v>
      </c>
      <c r="K1411" s="12" t="b">
        <v>0</v>
      </c>
      <c r="L1411" s="12">
        <v>410.24654618411682</v>
      </c>
      <c r="M1411" s="12">
        <v>288.34751655476032</v>
      </c>
      <c r="N1411" s="12">
        <v>4312.986811198436</v>
      </c>
      <c r="O1411" s="12">
        <v>873.42530629934674</v>
      </c>
      <c r="P1411" s="12">
        <v>0.56156434511400111</v>
      </c>
      <c r="Q1411" s="12">
        <v>0.82091075727869323</v>
      </c>
      <c r="R1411" s="12">
        <v>0.7800222209546599</v>
      </c>
      <c r="S1411" s="12">
        <v>0.85545320687884463</v>
      </c>
      <c r="T1411" s="12">
        <v>0.70115878794823505</v>
      </c>
      <c r="U1411" s="12">
        <v>0.89263490551189473</v>
      </c>
      <c r="V1411" s="12">
        <v>288.34751655476032</v>
      </c>
      <c r="W1411" s="12">
        <v>6.0531710879137304</v>
      </c>
      <c r="X1411" s="12">
        <v>21.446102797213829</v>
      </c>
      <c r="Y1411" s="12">
        <v>3439.561504899089</v>
      </c>
      <c r="Z1411" s="12">
        <v>4.938014481710308</v>
      </c>
      <c r="AA1411" s="12"/>
      <c r="AB1411" s="12"/>
    </row>
    <row r="1412" spans="1:28" x14ac:dyDescent="0.3">
      <c r="A1412" s="12" t="s">
        <v>3320</v>
      </c>
      <c r="B1412" s="12" t="s">
        <v>155</v>
      </c>
      <c r="C1412" s="12" t="s">
        <v>155</v>
      </c>
      <c r="D1412" s="12" t="s">
        <v>137</v>
      </c>
      <c r="E1412" s="12" t="s">
        <v>2978</v>
      </c>
      <c r="F1412" s="12" t="s">
        <v>1861</v>
      </c>
      <c r="G1412" s="12" t="s">
        <v>1861</v>
      </c>
      <c r="H1412" s="12" t="b">
        <v>1</v>
      </c>
      <c r="I1412" s="12" t="b">
        <v>0</v>
      </c>
      <c r="J1412" s="12" t="b">
        <v>0</v>
      </c>
      <c r="K1412" s="12" t="b">
        <v>0</v>
      </c>
      <c r="L1412" s="12">
        <v>383.11637780553531</v>
      </c>
      <c r="M1412" s="12">
        <v>288.0095091039276</v>
      </c>
      <c r="N1412" s="12">
        <v>2026.7627517197891</v>
      </c>
      <c r="O1412" s="12">
        <v>1301.092690119161</v>
      </c>
      <c r="P1412" s="12">
        <v>0.68246722561199602</v>
      </c>
      <c r="Q1412" s="12">
        <v>0.85127616793263261</v>
      </c>
      <c r="R1412" s="12">
        <v>0.68522914704345017</v>
      </c>
      <c r="S1412" s="12">
        <v>0.91493872698298695</v>
      </c>
      <c r="T1412" s="12">
        <v>0.87675901944318824</v>
      </c>
      <c r="U1412" s="12">
        <v>0.73914017091107553</v>
      </c>
      <c r="V1412" s="12">
        <v>288.0095091039276</v>
      </c>
      <c r="W1412" s="12">
        <v>4.0102002399839902</v>
      </c>
      <c r="X1412" s="12">
        <v>26.112127965687751</v>
      </c>
      <c r="Y1412" s="12">
        <v>725.67006160062738</v>
      </c>
      <c r="Z1412" s="12">
        <v>1.5577389428989621</v>
      </c>
      <c r="AA1412" s="12" t="s">
        <v>1268</v>
      </c>
      <c r="AB1412" s="12"/>
    </row>
    <row r="1413" spans="1:28" x14ac:dyDescent="0.3">
      <c r="A1413" s="12" t="s">
        <v>3321</v>
      </c>
      <c r="B1413" s="12" t="s">
        <v>155</v>
      </c>
      <c r="C1413" s="12" t="s">
        <v>155</v>
      </c>
      <c r="D1413" s="12" t="s">
        <v>137</v>
      </c>
      <c r="E1413" s="12" t="s">
        <v>2978</v>
      </c>
      <c r="F1413" s="12" t="s">
        <v>1863</v>
      </c>
      <c r="G1413" s="12" t="s">
        <v>832</v>
      </c>
      <c r="H1413" s="12" t="b">
        <v>0</v>
      </c>
      <c r="I1413" s="12" t="b">
        <v>0</v>
      </c>
      <c r="J1413" s="12" t="b">
        <v>1</v>
      </c>
      <c r="K1413" s="12" t="b">
        <v>0</v>
      </c>
      <c r="L1413" s="12">
        <v>453.66634349009109</v>
      </c>
      <c r="M1413" s="12">
        <v>301.51809748737071</v>
      </c>
      <c r="N1413" s="12">
        <v>2748.1891092757151</v>
      </c>
      <c r="O1413" s="12">
        <v>410.36577506406331</v>
      </c>
      <c r="P1413" s="12">
        <v>0.8328612333409835</v>
      </c>
      <c r="Q1413" s="12">
        <v>0.81064058609907919</v>
      </c>
      <c r="R1413" s="12">
        <v>0.79774043946887629</v>
      </c>
      <c r="S1413" s="12">
        <v>0.88129100441793407</v>
      </c>
      <c r="T1413" s="12">
        <v>0.72175393936528942</v>
      </c>
      <c r="U1413" s="12">
        <v>0.72620466258979421</v>
      </c>
      <c r="V1413" s="12">
        <v>301.51809748737071</v>
      </c>
      <c r="W1413" s="12">
        <v>-4.5281204027812203</v>
      </c>
      <c r="X1413" s="12">
        <v>-19.825425284599131</v>
      </c>
      <c r="Y1413" s="12">
        <v>2337.8233342116519</v>
      </c>
      <c r="Z1413" s="12">
        <v>6.6969257093788777</v>
      </c>
      <c r="AA1413" s="12" t="s">
        <v>3322</v>
      </c>
      <c r="AB1413" s="12"/>
    </row>
    <row r="1414" spans="1:28" x14ac:dyDescent="0.3">
      <c r="A1414" s="12" t="s">
        <v>3323</v>
      </c>
      <c r="B1414" s="12" t="s">
        <v>155</v>
      </c>
      <c r="C1414" s="12" t="s">
        <v>155</v>
      </c>
      <c r="D1414" s="12" t="s">
        <v>137</v>
      </c>
      <c r="E1414" s="12" t="s">
        <v>2978</v>
      </c>
      <c r="F1414" s="12" t="s">
        <v>32</v>
      </c>
      <c r="G1414" s="12" t="s">
        <v>32</v>
      </c>
      <c r="H1414" s="12" t="b">
        <v>1</v>
      </c>
      <c r="I1414" s="12" t="b">
        <v>1</v>
      </c>
      <c r="J1414" s="12" t="b">
        <v>0</v>
      </c>
      <c r="K1414" s="12" t="b">
        <v>0</v>
      </c>
      <c r="L1414" s="12">
        <v>397.90212249577797</v>
      </c>
      <c r="M1414" s="12">
        <v>295.6462249922335</v>
      </c>
      <c r="N1414" s="12">
        <v>3203.7064805170362</v>
      </c>
      <c r="O1414" s="12">
        <v>1219.5925573944701</v>
      </c>
      <c r="P1414" s="12">
        <v>0.64459257956660909</v>
      </c>
      <c r="Q1414" s="12">
        <v>0.91372824484058479</v>
      </c>
      <c r="R1414" s="12">
        <v>0.65473135376191693</v>
      </c>
      <c r="S1414" s="12">
        <v>0.85309419406128151</v>
      </c>
      <c r="T1414" s="12">
        <v>0.66200193689819076</v>
      </c>
      <c r="U1414" s="12">
        <v>0.91142899157147483</v>
      </c>
      <c r="V1414" s="12">
        <v>295.6462249922335</v>
      </c>
      <c r="W1414" s="12">
        <v>7.0161106322373614</v>
      </c>
      <c r="X1414" s="12">
        <v>40.320291384297427</v>
      </c>
      <c r="Y1414" s="12">
        <v>1984.1139231225659</v>
      </c>
      <c r="Z1414" s="12">
        <v>2.6268662112545318</v>
      </c>
      <c r="AA1414" s="12"/>
      <c r="AB1414" s="12"/>
    </row>
    <row r="1415" spans="1:28" x14ac:dyDescent="0.3">
      <c r="A1415" s="12" t="s">
        <v>3324</v>
      </c>
      <c r="B1415" s="12" t="s">
        <v>155</v>
      </c>
      <c r="C1415" s="12" t="s">
        <v>155</v>
      </c>
      <c r="D1415" s="12" t="s">
        <v>137</v>
      </c>
      <c r="E1415" s="12" t="s">
        <v>2978</v>
      </c>
      <c r="F1415" s="12" t="s">
        <v>1861</v>
      </c>
      <c r="G1415" s="12" t="s">
        <v>1861</v>
      </c>
      <c r="H1415" s="12" t="b">
        <v>1</v>
      </c>
      <c r="I1415" s="12" t="b">
        <v>0</v>
      </c>
      <c r="J1415" s="12" t="b">
        <v>1</v>
      </c>
      <c r="K1415" s="12" t="b">
        <v>0</v>
      </c>
      <c r="L1415" s="12">
        <v>439.06419132763438</v>
      </c>
      <c r="M1415" s="12">
        <v>299.7228785247982</v>
      </c>
      <c r="N1415" s="12">
        <v>3741.5573585584239</v>
      </c>
      <c r="O1415" s="12">
        <v>1015.9924472955061</v>
      </c>
      <c r="P1415" s="12">
        <v>0.62031597021834972</v>
      </c>
      <c r="Q1415" s="12">
        <v>0.84675692259449886</v>
      </c>
      <c r="R1415" s="12">
        <v>0.75455033317371001</v>
      </c>
      <c r="S1415" s="12">
        <v>0.76456340412363533</v>
      </c>
      <c r="T1415" s="12">
        <v>0.68609529033969696</v>
      </c>
      <c r="U1415" s="12">
        <v>0.83384423857118517</v>
      </c>
      <c r="V1415" s="12">
        <v>299.7228785247982</v>
      </c>
      <c r="W1415" s="12">
        <v>9.8728335557102795</v>
      </c>
      <c r="X1415" s="12">
        <v>79.71675914722789</v>
      </c>
      <c r="Y1415" s="12">
        <v>2725.564911262918</v>
      </c>
      <c r="Z1415" s="12">
        <v>3.6826625714769481</v>
      </c>
      <c r="AA1415" s="12" t="s">
        <v>1268</v>
      </c>
      <c r="AB1415" s="12"/>
    </row>
    <row r="1416" spans="1:28" x14ac:dyDescent="0.3">
      <c r="A1416" s="12" t="s">
        <v>3325</v>
      </c>
      <c r="B1416" s="12" t="s">
        <v>155</v>
      </c>
      <c r="C1416" s="12" t="s">
        <v>155</v>
      </c>
      <c r="D1416" s="12" t="s">
        <v>137</v>
      </c>
      <c r="E1416" s="12" t="s">
        <v>2978</v>
      </c>
      <c r="F1416" s="12" t="s">
        <v>1861</v>
      </c>
      <c r="G1416" s="12" t="s">
        <v>1861</v>
      </c>
      <c r="H1416" s="12" t="b">
        <v>1</v>
      </c>
      <c r="I1416" s="12" t="b">
        <v>0</v>
      </c>
      <c r="J1416" s="12" t="b">
        <v>1</v>
      </c>
      <c r="K1416" s="12" t="b">
        <v>0</v>
      </c>
      <c r="L1416" s="12">
        <v>455.90951488806371</v>
      </c>
      <c r="M1416" s="12">
        <v>279.73177271906007</v>
      </c>
      <c r="N1416" s="12">
        <v>3525.8791397219461</v>
      </c>
      <c r="O1416" s="12">
        <v>799.31486239923765</v>
      </c>
      <c r="P1416" s="12">
        <v>0.76941093255691317</v>
      </c>
      <c r="Q1416" s="12">
        <v>0.91081923968305323</v>
      </c>
      <c r="R1416" s="12">
        <v>0.72595372211657794</v>
      </c>
      <c r="S1416" s="12">
        <v>0.77898522179589957</v>
      </c>
      <c r="T1416" s="12">
        <v>0.93492713044013842</v>
      </c>
      <c r="U1416" s="12">
        <v>0.87615367665590727</v>
      </c>
      <c r="V1416" s="12">
        <v>279.73177271906007</v>
      </c>
      <c r="W1416" s="12">
        <v>13.259849212060439</v>
      </c>
      <c r="X1416" s="12">
        <v>179.52502730412729</v>
      </c>
      <c r="Y1416" s="12">
        <v>2726.5642773227082</v>
      </c>
      <c r="Z1416" s="12">
        <v>4.4111267106163954</v>
      </c>
      <c r="AA1416" s="12" t="s">
        <v>1268</v>
      </c>
      <c r="AB1416" s="12"/>
    </row>
    <row r="1417" spans="1:28" x14ac:dyDescent="0.3">
      <c r="A1417" s="12" t="s">
        <v>3326</v>
      </c>
      <c r="B1417" s="12" t="s">
        <v>155</v>
      </c>
      <c r="C1417" s="12" t="s">
        <v>155</v>
      </c>
      <c r="D1417" s="12" t="s">
        <v>137</v>
      </c>
      <c r="E1417" s="12" t="s">
        <v>2978</v>
      </c>
      <c r="F1417" s="12" t="s">
        <v>1861</v>
      </c>
      <c r="G1417" s="12" t="s">
        <v>1861</v>
      </c>
      <c r="H1417" s="12" t="b">
        <v>1</v>
      </c>
      <c r="I1417" s="12" t="b">
        <v>0</v>
      </c>
      <c r="J1417" s="12" t="b">
        <v>1</v>
      </c>
      <c r="K1417" s="12" t="b">
        <v>0</v>
      </c>
      <c r="L1417" s="12">
        <v>487.98498989794803</v>
      </c>
      <c r="M1417" s="12">
        <v>300.26904480454101</v>
      </c>
      <c r="N1417" s="12">
        <v>2828.6087405433559</v>
      </c>
      <c r="O1417" s="12">
        <v>625.48144048993618</v>
      </c>
      <c r="P1417" s="12">
        <v>0.56959765249234406</v>
      </c>
      <c r="Q1417" s="12">
        <v>0.76692115198197675</v>
      </c>
      <c r="R1417" s="12">
        <v>0.73915357865244991</v>
      </c>
      <c r="S1417" s="12">
        <v>0.66879662793281547</v>
      </c>
      <c r="T1417" s="12">
        <v>0.7335223372480757</v>
      </c>
      <c r="U1417" s="12">
        <v>0.88730899611661962</v>
      </c>
      <c r="V1417" s="12">
        <v>300.26904480454101</v>
      </c>
      <c r="W1417" s="12">
        <v>9.8231562228236893</v>
      </c>
      <c r="X1417" s="12">
        <v>133.06256791086281</v>
      </c>
      <c r="Y1417" s="12">
        <v>2203.1273000534202</v>
      </c>
      <c r="Z1417" s="12">
        <v>4.522290442907023</v>
      </c>
      <c r="AA1417" s="12" t="s">
        <v>1268</v>
      </c>
      <c r="AB1417" s="12"/>
    </row>
    <row r="1418" spans="1:28" x14ac:dyDescent="0.3">
      <c r="A1418" s="12" t="s">
        <v>3327</v>
      </c>
      <c r="B1418" s="12" t="s">
        <v>155</v>
      </c>
      <c r="C1418" s="12" t="s">
        <v>155</v>
      </c>
      <c r="D1418" s="12" t="s">
        <v>137</v>
      </c>
      <c r="E1418" s="12" t="s">
        <v>2978</v>
      </c>
      <c r="F1418" s="12" t="s">
        <v>1861</v>
      </c>
      <c r="G1418" s="12" t="s">
        <v>1861</v>
      </c>
      <c r="H1418" s="12" t="b">
        <v>1</v>
      </c>
      <c r="I1418" s="12" t="b">
        <v>0</v>
      </c>
      <c r="J1418" s="12" t="b">
        <v>1</v>
      </c>
      <c r="K1418" s="12" t="b">
        <v>0</v>
      </c>
      <c r="L1418" s="12">
        <v>496.15819219220049</v>
      </c>
      <c r="M1418" s="12">
        <v>298.361901534205</v>
      </c>
      <c r="N1418" s="12">
        <v>4206.4269448387859</v>
      </c>
      <c r="O1418" s="12">
        <v>970.62874952287541</v>
      </c>
      <c r="P1418" s="12">
        <v>0.65104753672589666</v>
      </c>
      <c r="Q1418" s="12">
        <v>0.88564636499910832</v>
      </c>
      <c r="R1418" s="12">
        <v>0.71925670708822009</v>
      </c>
      <c r="S1418" s="12">
        <v>0.82143857449363211</v>
      </c>
      <c r="T1418" s="12">
        <v>0.82392161313726575</v>
      </c>
      <c r="U1418" s="12">
        <v>0.81176103619006568</v>
      </c>
      <c r="V1418" s="12">
        <v>298.361901534205</v>
      </c>
      <c r="W1418" s="12">
        <v>11.690276611940449</v>
      </c>
      <c r="X1418" s="12">
        <v>173.5363821365093</v>
      </c>
      <c r="Y1418" s="12">
        <v>3235.798195315911</v>
      </c>
      <c r="Z1418" s="12">
        <v>4.3337135304373664</v>
      </c>
      <c r="AA1418" s="12" t="s">
        <v>1268</v>
      </c>
      <c r="AB1418" s="12"/>
    </row>
    <row r="1419" spans="1:28" x14ac:dyDescent="0.3">
      <c r="A1419" s="12" t="s">
        <v>3328</v>
      </c>
      <c r="B1419" s="12" t="s">
        <v>155</v>
      </c>
      <c r="C1419" s="12" t="s">
        <v>155</v>
      </c>
      <c r="D1419" s="12" t="s">
        <v>137</v>
      </c>
      <c r="E1419" s="12" t="s">
        <v>2978</v>
      </c>
      <c r="F1419" s="12" t="s">
        <v>1861</v>
      </c>
      <c r="G1419" s="12" t="s">
        <v>1861</v>
      </c>
      <c r="H1419" s="12" t="b">
        <v>1</v>
      </c>
      <c r="I1419" s="12" t="b">
        <v>0</v>
      </c>
      <c r="J1419" s="12" t="b">
        <v>1</v>
      </c>
      <c r="K1419" s="12" t="b">
        <v>0</v>
      </c>
      <c r="L1419" s="12">
        <v>477.03852732286128</v>
      </c>
      <c r="M1419" s="12">
        <v>301.51160188372779</v>
      </c>
      <c r="N1419" s="12">
        <v>4269.977630883368</v>
      </c>
      <c r="O1419" s="12">
        <v>905.09328195009596</v>
      </c>
      <c r="P1419" s="12">
        <v>0.51528526307811162</v>
      </c>
      <c r="Q1419" s="12">
        <v>0.89044215763638812</v>
      </c>
      <c r="R1419" s="12">
        <v>0.82308742333188833</v>
      </c>
      <c r="S1419" s="12">
        <v>0.64485432704008028</v>
      </c>
      <c r="T1419" s="12">
        <v>0.861327116039456</v>
      </c>
      <c r="U1419" s="12">
        <v>0.76800025418775641</v>
      </c>
      <c r="V1419" s="12">
        <v>301.51160188372779</v>
      </c>
      <c r="W1419" s="12">
        <v>12.194818137149131</v>
      </c>
      <c r="X1419" s="12">
        <v>112.3337260936453</v>
      </c>
      <c r="Y1419" s="12">
        <v>3364.8843489332721</v>
      </c>
      <c r="Z1419" s="12">
        <v>4.7177210526669242</v>
      </c>
      <c r="AA1419" s="12" t="s">
        <v>1268</v>
      </c>
      <c r="AB1419" s="12"/>
    </row>
    <row r="1420" spans="1:28" x14ac:dyDescent="0.3">
      <c r="A1420" s="12" t="s">
        <v>3329</v>
      </c>
      <c r="B1420" s="12" t="s">
        <v>155</v>
      </c>
      <c r="C1420" s="12" t="s">
        <v>155</v>
      </c>
      <c r="D1420" s="12" t="s">
        <v>137</v>
      </c>
      <c r="E1420" s="12" t="s">
        <v>2978</v>
      </c>
      <c r="F1420" s="12" t="s">
        <v>1861</v>
      </c>
      <c r="G1420" s="12" t="s">
        <v>1861</v>
      </c>
      <c r="H1420" s="12" t="b">
        <v>1</v>
      </c>
      <c r="I1420" s="12" t="b">
        <v>0</v>
      </c>
      <c r="J1420" s="12" t="b">
        <v>1</v>
      </c>
      <c r="K1420" s="12" t="b">
        <v>0</v>
      </c>
      <c r="L1420" s="12">
        <v>461.51844104298442</v>
      </c>
      <c r="M1420" s="12">
        <v>289.00768671432883</v>
      </c>
      <c r="N1420" s="12">
        <v>4169.5340174751818</v>
      </c>
      <c r="O1420" s="12">
        <v>1321.240701376639</v>
      </c>
      <c r="P1420" s="12">
        <v>0.67082747327641123</v>
      </c>
      <c r="Q1420" s="12">
        <v>0.79047482851673156</v>
      </c>
      <c r="R1420" s="12">
        <v>0.81569800050068586</v>
      </c>
      <c r="S1420" s="12">
        <v>0.68599283887688445</v>
      </c>
      <c r="T1420" s="12">
        <v>0.74118011215203361</v>
      </c>
      <c r="U1420" s="12">
        <v>0.80692367373397589</v>
      </c>
      <c r="V1420" s="12">
        <v>289.00768671432883</v>
      </c>
      <c r="W1420" s="12">
        <v>8.8041168899899294</v>
      </c>
      <c r="X1420" s="12">
        <v>93.197830042544155</v>
      </c>
      <c r="Y1420" s="12">
        <v>2848.2933160985422</v>
      </c>
      <c r="Z1420" s="12">
        <v>3.155771702408821</v>
      </c>
      <c r="AA1420" s="12" t="s">
        <v>1268</v>
      </c>
      <c r="AB1420" s="12"/>
    </row>
    <row r="1421" spans="1:28" x14ac:dyDescent="0.3">
      <c r="A1421" s="12" t="s">
        <v>3330</v>
      </c>
      <c r="B1421" s="12" t="s">
        <v>155</v>
      </c>
      <c r="C1421" s="12" t="s">
        <v>155</v>
      </c>
      <c r="D1421" s="12" t="s">
        <v>137</v>
      </c>
      <c r="E1421" s="12" t="s">
        <v>2978</v>
      </c>
      <c r="F1421" s="12" t="s">
        <v>1861</v>
      </c>
      <c r="G1421" s="12" t="s">
        <v>1861</v>
      </c>
      <c r="H1421" s="12" t="b">
        <v>1</v>
      </c>
      <c r="I1421" s="12" t="b">
        <v>0</v>
      </c>
      <c r="J1421" s="12" t="b">
        <v>0</v>
      </c>
      <c r="K1421" s="12" t="b">
        <v>0</v>
      </c>
      <c r="L1421" s="12">
        <v>420.279430741515</v>
      </c>
      <c r="M1421" s="12">
        <v>290.09588271509108</v>
      </c>
      <c r="N1421" s="12">
        <v>2530.9916492860689</v>
      </c>
      <c r="O1421" s="12">
        <v>997.26313839175043</v>
      </c>
      <c r="P1421" s="12">
        <v>0.81912007300419187</v>
      </c>
      <c r="Q1421" s="12">
        <v>0.8446366487144541</v>
      </c>
      <c r="R1421" s="12">
        <v>0.67941800178763445</v>
      </c>
      <c r="S1421" s="12">
        <v>0.68327367779030368</v>
      </c>
      <c r="T1421" s="12">
        <v>0.90861090587542559</v>
      </c>
      <c r="U1421" s="12">
        <v>0.84066144820980893</v>
      </c>
      <c r="V1421" s="12">
        <v>290.09588271509108</v>
      </c>
      <c r="W1421" s="12">
        <v>8.3909714878793196</v>
      </c>
      <c r="X1421" s="12">
        <v>82.24644620576079</v>
      </c>
      <c r="Y1421" s="12">
        <v>1533.7285108943181</v>
      </c>
      <c r="Z1421" s="12">
        <v>2.5379376333589412</v>
      </c>
      <c r="AA1421" s="12" t="s">
        <v>1268</v>
      </c>
      <c r="AB1421" s="12"/>
    </row>
    <row r="1422" spans="1:28" x14ac:dyDescent="0.3">
      <c r="A1422" s="12" t="s">
        <v>3331</v>
      </c>
      <c r="B1422" s="12" t="s">
        <v>155</v>
      </c>
      <c r="C1422" s="12" t="s">
        <v>155</v>
      </c>
      <c r="D1422" s="12" t="s">
        <v>137</v>
      </c>
      <c r="E1422" s="12" t="s">
        <v>2978</v>
      </c>
      <c r="F1422" s="12" t="s">
        <v>1861</v>
      </c>
      <c r="G1422" s="12" t="s">
        <v>1861</v>
      </c>
      <c r="H1422" s="12" t="b">
        <v>1</v>
      </c>
      <c r="I1422" s="12" t="b">
        <v>0</v>
      </c>
      <c r="J1422" s="12" t="b">
        <v>1</v>
      </c>
      <c r="K1422" s="12" t="b">
        <v>0</v>
      </c>
      <c r="L1422" s="12">
        <v>446.10456995129238</v>
      </c>
      <c r="M1422" s="12">
        <v>297.67445400574542</v>
      </c>
      <c r="N1422" s="12">
        <v>4454.7856126837569</v>
      </c>
      <c r="O1422" s="12">
        <v>632.74888493453545</v>
      </c>
      <c r="P1422" s="12">
        <v>0.63312316974422034</v>
      </c>
      <c r="Q1422" s="12">
        <v>0.91515395079097495</v>
      </c>
      <c r="R1422" s="12">
        <v>0.86979048836696771</v>
      </c>
      <c r="S1422" s="12">
        <v>0.87580331074440299</v>
      </c>
      <c r="T1422" s="12">
        <v>0.74787579029559126</v>
      </c>
      <c r="U1422" s="12">
        <v>0.81110089249857298</v>
      </c>
      <c r="V1422" s="12">
        <v>297.67445400574542</v>
      </c>
      <c r="W1422" s="12">
        <v>15.64689907097536</v>
      </c>
      <c r="X1422" s="12">
        <v>143.08601965288341</v>
      </c>
      <c r="Y1422" s="12">
        <v>3822.036727749221</v>
      </c>
      <c r="Z1422" s="12">
        <v>7.0403689658728537</v>
      </c>
      <c r="AA1422" s="12" t="s">
        <v>1981</v>
      </c>
      <c r="AB1422" s="12"/>
    </row>
    <row r="1423" spans="1:28" x14ac:dyDescent="0.3">
      <c r="A1423" s="12" t="s">
        <v>3332</v>
      </c>
      <c r="B1423" s="12" t="s">
        <v>155</v>
      </c>
      <c r="C1423" s="12" t="s">
        <v>155</v>
      </c>
      <c r="D1423" s="12" t="s">
        <v>137</v>
      </c>
      <c r="E1423" s="12" t="s">
        <v>2978</v>
      </c>
      <c r="F1423" s="12" t="s">
        <v>1861</v>
      </c>
      <c r="G1423" s="12" t="s">
        <v>1861</v>
      </c>
      <c r="H1423" s="12" t="b">
        <v>1</v>
      </c>
      <c r="I1423" s="12" t="b">
        <v>0</v>
      </c>
      <c r="J1423" s="12" t="b">
        <v>1</v>
      </c>
      <c r="K1423" s="12" t="b">
        <v>0</v>
      </c>
      <c r="L1423" s="12">
        <v>490.69874956874708</v>
      </c>
      <c r="M1423" s="12">
        <v>292.58079762469532</v>
      </c>
      <c r="N1423" s="12">
        <v>4752.592547607569</v>
      </c>
      <c r="O1423" s="12">
        <v>658.54513093283606</v>
      </c>
      <c r="P1423" s="12">
        <v>0.57642669991558471</v>
      </c>
      <c r="Q1423" s="12">
        <v>0.84944141528808825</v>
      </c>
      <c r="R1423" s="12">
        <v>0.69290471132793297</v>
      </c>
      <c r="S1423" s="12">
        <v>0.75337163714887656</v>
      </c>
      <c r="T1423" s="12">
        <v>0.68183941178479812</v>
      </c>
      <c r="U1423" s="12">
        <v>0.94762753898565155</v>
      </c>
      <c r="V1423" s="12">
        <v>292.58079762469532</v>
      </c>
      <c r="W1423" s="12">
        <v>13.217909164088709</v>
      </c>
      <c r="X1423" s="12">
        <v>204.2598065755584</v>
      </c>
      <c r="Y1423" s="12">
        <v>4094.0474166747331</v>
      </c>
      <c r="Z1423" s="12">
        <v>7.216806144896208</v>
      </c>
      <c r="AA1423" s="12" t="s">
        <v>3096</v>
      </c>
      <c r="AB1423" s="12"/>
    </row>
    <row r="1424" spans="1:28" x14ac:dyDescent="0.3">
      <c r="A1424" s="12" t="s">
        <v>3333</v>
      </c>
      <c r="B1424" s="12" t="s">
        <v>155</v>
      </c>
      <c r="C1424" s="12" t="s">
        <v>155</v>
      </c>
      <c r="D1424" s="12" t="s">
        <v>137</v>
      </c>
      <c r="E1424" s="12" t="s">
        <v>2978</v>
      </c>
      <c r="F1424" s="12" t="s">
        <v>1861</v>
      </c>
      <c r="G1424" s="12" t="s">
        <v>1861</v>
      </c>
      <c r="H1424" s="12" t="b">
        <v>1</v>
      </c>
      <c r="I1424" s="12" t="b">
        <v>0</v>
      </c>
      <c r="J1424" s="12" t="b">
        <v>0</v>
      </c>
      <c r="K1424" s="12" t="b">
        <v>0</v>
      </c>
      <c r="L1424" s="12">
        <v>404.7273922731768</v>
      </c>
      <c r="M1424" s="12">
        <v>296.96174028874651</v>
      </c>
      <c r="N1424" s="12">
        <v>2222.4226206861749</v>
      </c>
      <c r="O1424" s="12">
        <v>668.82891753323088</v>
      </c>
      <c r="P1424" s="12">
        <v>0.79558193832275581</v>
      </c>
      <c r="Q1424" s="12">
        <v>0.89252791928627417</v>
      </c>
      <c r="R1424" s="12">
        <v>0.88980877723089014</v>
      </c>
      <c r="S1424" s="12">
        <v>0.69882493493282927</v>
      </c>
      <c r="T1424" s="12">
        <v>0.76913708383613366</v>
      </c>
      <c r="U1424" s="12">
        <v>0.90455680492183599</v>
      </c>
      <c r="V1424" s="12">
        <v>296.96174028874651</v>
      </c>
      <c r="W1424" s="12">
        <v>9.4539287312659201</v>
      </c>
      <c r="X1424" s="12">
        <v>62.832977129173898</v>
      </c>
      <c r="Y1424" s="12">
        <v>1553.593703152944</v>
      </c>
      <c r="Z1424" s="12">
        <v>3.3228566565017781</v>
      </c>
      <c r="AA1424" s="12" t="s">
        <v>1268</v>
      </c>
      <c r="AB1424" s="12"/>
    </row>
    <row r="1425" spans="1:28" x14ac:dyDescent="0.3">
      <c r="A1425" s="12" t="s">
        <v>3334</v>
      </c>
      <c r="B1425" s="12" t="s">
        <v>155</v>
      </c>
      <c r="C1425" s="12" t="s">
        <v>155</v>
      </c>
      <c r="D1425" s="12" t="s">
        <v>137</v>
      </c>
      <c r="E1425" s="12" t="s">
        <v>2978</v>
      </c>
      <c r="F1425" s="12" t="s">
        <v>32</v>
      </c>
      <c r="G1425" s="12" t="s">
        <v>32</v>
      </c>
      <c r="H1425" s="12" t="b">
        <v>1</v>
      </c>
      <c r="I1425" s="12" t="b">
        <v>1</v>
      </c>
      <c r="J1425" s="12" t="b">
        <v>0</v>
      </c>
      <c r="K1425" s="12" t="b">
        <v>0</v>
      </c>
      <c r="L1425" s="12">
        <v>409.72665711112529</v>
      </c>
      <c r="M1425" s="12">
        <v>278.96890097304919</v>
      </c>
      <c r="N1425" s="12">
        <v>3382.467325858066</v>
      </c>
      <c r="O1425" s="12">
        <v>1326.8056002018291</v>
      </c>
      <c r="P1425" s="12">
        <v>0.70866050570089389</v>
      </c>
      <c r="Q1425" s="12">
        <v>0.82742150043540019</v>
      </c>
      <c r="R1425" s="12">
        <v>0.88070540299942357</v>
      </c>
      <c r="S1425" s="12">
        <v>0.89677055806203398</v>
      </c>
      <c r="T1425" s="12">
        <v>0.84864030452222805</v>
      </c>
      <c r="U1425" s="12">
        <v>0.94278633336400441</v>
      </c>
      <c r="V1425" s="12">
        <v>278.96890097304919</v>
      </c>
      <c r="W1425" s="12">
        <v>7.0605285071002406</v>
      </c>
      <c r="X1425" s="12">
        <v>61.495277213525881</v>
      </c>
      <c r="Y1425" s="12">
        <v>2055.6617256562372</v>
      </c>
      <c r="Z1425" s="12">
        <v>2.5493315112202848</v>
      </c>
      <c r="AA1425" s="12"/>
      <c r="AB1425" s="12"/>
    </row>
    <row r="1426" spans="1:28" x14ac:dyDescent="0.3">
      <c r="A1426" s="12" t="s">
        <v>3335</v>
      </c>
      <c r="B1426" s="12" t="s">
        <v>155</v>
      </c>
      <c r="C1426" s="12" t="s">
        <v>155</v>
      </c>
      <c r="D1426" s="12" t="s">
        <v>137</v>
      </c>
      <c r="E1426" s="12" t="s">
        <v>2978</v>
      </c>
      <c r="F1426" s="12" t="s">
        <v>1863</v>
      </c>
      <c r="G1426" s="12" t="s">
        <v>832</v>
      </c>
      <c r="H1426" s="12" t="b">
        <v>0</v>
      </c>
      <c r="I1426" s="12" t="b">
        <v>0</v>
      </c>
      <c r="J1426" s="12" t="b">
        <v>0</v>
      </c>
      <c r="K1426" s="12" t="b">
        <v>0</v>
      </c>
      <c r="L1426" s="12">
        <v>391.07805267047758</v>
      </c>
      <c r="M1426" s="12">
        <v>285.02665071058658</v>
      </c>
      <c r="N1426" s="12">
        <v>4432.8290325803346</v>
      </c>
      <c r="O1426" s="12">
        <v>806.09390228266875</v>
      </c>
      <c r="P1426" s="12">
        <v>0.58151686105843436</v>
      </c>
      <c r="Q1426" s="12">
        <v>0.91588215476082635</v>
      </c>
      <c r="R1426" s="12">
        <v>0.76433134534408242</v>
      </c>
      <c r="S1426" s="12">
        <v>0.73543676593703733</v>
      </c>
      <c r="T1426" s="12">
        <v>0.70536313782190396</v>
      </c>
      <c r="U1426" s="12">
        <v>0.78658651889465392</v>
      </c>
      <c r="V1426" s="12">
        <v>285.02665071058658</v>
      </c>
      <c r="W1426" s="12">
        <v>-51.13417979153251</v>
      </c>
      <c r="X1426" s="12">
        <v>-41.818987374910293</v>
      </c>
      <c r="Y1426" s="12">
        <v>3626.7351302976658</v>
      </c>
      <c r="Z1426" s="12">
        <v>5.4991472085666482</v>
      </c>
      <c r="AA1426" s="12" t="s">
        <v>2018</v>
      </c>
      <c r="AB1426" s="12"/>
    </row>
    <row r="1427" spans="1:28" x14ac:dyDescent="0.3">
      <c r="A1427" s="12" t="s">
        <v>3336</v>
      </c>
      <c r="B1427" s="12" t="s">
        <v>155</v>
      </c>
      <c r="C1427" s="12" t="s">
        <v>155</v>
      </c>
      <c r="D1427" s="12" t="s">
        <v>137</v>
      </c>
      <c r="E1427" s="12" t="s">
        <v>2978</v>
      </c>
      <c r="F1427" s="12" t="s">
        <v>1861</v>
      </c>
      <c r="G1427" s="12" t="s">
        <v>1861</v>
      </c>
      <c r="H1427" s="12" t="b">
        <v>1</v>
      </c>
      <c r="I1427" s="12" t="b">
        <v>0</v>
      </c>
      <c r="J1427" s="12" t="b">
        <v>1</v>
      </c>
      <c r="K1427" s="12" t="b">
        <v>0</v>
      </c>
      <c r="L1427" s="12">
        <v>442.56327970121282</v>
      </c>
      <c r="M1427" s="12">
        <v>282.75256940808981</v>
      </c>
      <c r="N1427" s="12">
        <v>4384.9317578869759</v>
      </c>
      <c r="O1427" s="12">
        <v>1058.2553474703741</v>
      </c>
      <c r="P1427" s="12">
        <v>0.69067636448073411</v>
      </c>
      <c r="Q1427" s="12">
        <v>0.86441555247577717</v>
      </c>
      <c r="R1427" s="12">
        <v>0.77742207938678209</v>
      </c>
      <c r="S1427" s="12">
        <v>0.72968408543049967</v>
      </c>
      <c r="T1427" s="12">
        <v>0.83769876996160175</v>
      </c>
      <c r="U1427" s="12">
        <v>0.70895132615984002</v>
      </c>
      <c r="V1427" s="12">
        <v>282.75256940808981</v>
      </c>
      <c r="W1427" s="12">
        <v>11.94821565165509</v>
      </c>
      <c r="X1427" s="12">
        <v>94.756048037443904</v>
      </c>
      <c r="Y1427" s="12">
        <v>3326.6764104166018</v>
      </c>
      <c r="Z1427" s="12">
        <v>4.1435479332739513</v>
      </c>
      <c r="AA1427" s="12" t="s">
        <v>1268</v>
      </c>
      <c r="AB1427" s="12"/>
    </row>
    <row r="1428" spans="1:28" x14ac:dyDescent="0.3">
      <c r="A1428" s="12" t="s">
        <v>3337</v>
      </c>
      <c r="B1428" s="12" t="s">
        <v>155</v>
      </c>
      <c r="C1428" s="12" t="s">
        <v>155</v>
      </c>
      <c r="D1428" s="12" t="s">
        <v>137</v>
      </c>
      <c r="E1428" s="12" t="s">
        <v>2978</v>
      </c>
      <c r="F1428" s="12" t="s">
        <v>32</v>
      </c>
      <c r="G1428" s="12" t="s">
        <v>32</v>
      </c>
      <c r="H1428" s="12" t="b">
        <v>1</v>
      </c>
      <c r="I1428" s="12" t="b">
        <v>0</v>
      </c>
      <c r="J1428" s="12" t="b">
        <v>1</v>
      </c>
      <c r="K1428" s="12" t="b">
        <v>0</v>
      </c>
      <c r="L1428" s="12">
        <v>433.5741970949274</v>
      </c>
      <c r="M1428" s="12">
        <v>296.68010338852503</v>
      </c>
      <c r="N1428" s="12">
        <v>2949.653534082217</v>
      </c>
      <c r="O1428" s="12">
        <v>983.21752216010361</v>
      </c>
      <c r="P1428" s="12">
        <v>0.50743555727804646</v>
      </c>
      <c r="Q1428" s="12">
        <v>0.77576662819331388</v>
      </c>
      <c r="R1428" s="12">
        <v>0.80722111439543709</v>
      </c>
      <c r="S1428" s="12">
        <v>0.94732642674936418</v>
      </c>
      <c r="T1428" s="12">
        <v>0.73819931082128032</v>
      </c>
      <c r="U1428" s="12">
        <v>0.94921339359024637</v>
      </c>
      <c r="V1428" s="12">
        <v>296.68010338852503</v>
      </c>
      <c r="W1428" s="12">
        <v>6.6332267996005099</v>
      </c>
      <c r="X1428" s="12">
        <v>57.448247333603838</v>
      </c>
      <c r="Y1428" s="12">
        <v>1966.436011922113</v>
      </c>
      <c r="Z1428" s="12">
        <v>3.000000984117841</v>
      </c>
      <c r="AA1428" s="12"/>
      <c r="AB1428" s="12"/>
    </row>
    <row r="1429" spans="1:28" x14ac:dyDescent="0.3">
      <c r="A1429" s="12" t="s">
        <v>3338</v>
      </c>
      <c r="B1429" s="12" t="s">
        <v>155</v>
      </c>
      <c r="C1429" s="12" t="s">
        <v>155</v>
      </c>
      <c r="D1429" s="12" t="s">
        <v>137</v>
      </c>
      <c r="E1429" s="12" t="s">
        <v>2978</v>
      </c>
      <c r="F1429" s="12" t="s">
        <v>1861</v>
      </c>
      <c r="G1429" s="12" t="s">
        <v>1861</v>
      </c>
      <c r="H1429" s="12" t="b">
        <v>1</v>
      </c>
      <c r="I1429" s="12" t="b">
        <v>0</v>
      </c>
      <c r="J1429" s="12" t="b">
        <v>1</v>
      </c>
      <c r="K1429" s="12" t="b">
        <v>0</v>
      </c>
      <c r="L1429" s="12">
        <v>444.05363508283779</v>
      </c>
      <c r="M1429" s="12">
        <v>284.43539791712112</v>
      </c>
      <c r="N1429" s="12">
        <v>2329.3737216892282</v>
      </c>
      <c r="O1429" s="12">
        <v>1188.461165331636</v>
      </c>
      <c r="P1429" s="12">
        <v>0.68161790672482647</v>
      </c>
      <c r="Q1429" s="12">
        <v>0.91825767484402743</v>
      </c>
      <c r="R1429" s="12">
        <v>0.72010018588064195</v>
      </c>
      <c r="S1429" s="12">
        <v>0.79437935974924645</v>
      </c>
      <c r="T1429" s="12">
        <v>0.79165459508171088</v>
      </c>
      <c r="U1429" s="12">
        <v>0.77888148657217959</v>
      </c>
      <c r="V1429" s="12">
        <v>284.43539791712112</v>
      </c>
      <c r="W1429" s="12">
        <v>5.7837492393722298</v>
      </c>
      <c r="X1429" s="12">
        <v>77.845498399883624</v>
      </c>
      <c r="Y1429" s="12">
        <v>1140.9125563575919</v>
      </c>
      <c r="Z1429" s="12">
        <v>1.959991449143585</v>
      </c>
      <c r="AA1429" s="12" t="s">
        <v>1268</v>
      </c>
      <c r="AB1429" s="12"/>
    </row>
    <row r="1430" spans="1:28" x14ac:dyDescent="0.3">
      <c r="A1430" s="12" t="s">
        <v>3339</v>
      </c>
      <c r="B1430" s="12" t="s">
        <v>155</v>
      </c>
      <c r="C1430" s="12" t="s">
        <v>155</v>
      </c>
      <c r="D1430" s="12" t="s">
        <v>137</v>
      </c>
      <c r="E1430" s="12" t="s">
        <v>2978</v>
      </c>
      <c r="F1430" s="12" t="s">
        <v>1863</v>
      </c>
      <c r="G1430" s="12" t="s">
        <v>832</v>
      </c>
      <c r="H1430" s="12" t="b">
        <v>0</v>
      </c>
      <c r="I1430" s="12" t="b">
        <v>0</v>
      </c>
      <c r="J1430" s="12" t="b">
        <v>0</v>
      </c>
      <c r="K1430" s="12" t="b">
        <v>0</v>
      </c>
      <c r="L1430" s="12">
        <v>396.49773759091681</v>
      </c>
      <c r="M1430" s="12">
        <v>297.09302543342659</v>
      </c>
      <c r="N1430" s="12">
        <v>4393.1005855979838</v>
      </c>
      <c r="O1430" s="12">
        <v>1370.024784885569</v>
      </c>
      <c r="P1430" s="12">
        <v>0.51382525111690103</v>
      </c>
      <c r="Q1430" s="12">
        <v>0.76150500386114828</v>
      </c>
      <c r="R1430" s="12">
        <v>0.70622767138917697</v>
      </c>
      <c r="S1430" s="12">
        <v>0.67881249617695172</v>
      </c>
      <c r="T1430" s="12">
        <v>0.82658456453038687</v>
      </c>
      <c r="U1430" s="12">
        <v>0.86564514096167033</v>
      </c>
      <c r="V1430" s="12">
        <v>297.09302543342659</v>
      </c>
      <c r="W1430" s="12">
        <v>-126.0857328904213</v>
      </c>
      <c r="X1430" s="12">
        <v>-24.13334707602418</v>
      </c>
      <c r="Y1430" s="12">
        <v>3023.0758007124141</v>
      </c>
      <c r="Z1430" s="12">
        <v>3.2065847523808961</v>
      </c>
      <c r="AA1430" s="12" t="s">
        <v>2018</v>
      </c>
      <c r="AB1430" s="12"/>
    </row>
    <row r="1431" spans="1:28" x14ac:dyDescent="0.3">
      <c r="A1431" s="12" t="s">
        <v>3340</v>
      </c>
      <c r="B1431" s="12" t="s">
        <v>155</v>
      </c>
      <c r="C1431" s="12" t="s">
        <v>155</v>
      </c>
      <c r="D1431" s="12" t="s">
        <v>137</v>
      </c>
      <c r="E1431" s="12" t="s">
        <v>2978</v>
      </c>
      <c r="F1431" s="12" t="s">
        <v>1861</v>
      </c>
      <c r="G1431" s="12" t="s">
        <v>1861</v>
      </c>
      <c r="H1431" s="12" t="b">
        <v>1</v>
      </c>
      <c r="I1431" s="12" t="b">
        <v>0</v>
      </c>
      <c r="J1431" s="12" t="b">
        <v>0</v>
      </c>
      <c r="K1431" s="12" t="b">
        <v>0</v>
      </c>
      <c r="L1431" s="12">
        <v>411.63866086079599</v>
      </c>
      <c r="M1431" s="12">
        <v>288.48991142073419</v>
      </c>
      <c r="N1431" s="12">
        <v>3738.6963398577218</v>
      </c>
      <c r="O1431" s="12">
        <v>536.15959117261582</v>
      </c>
      <c r="P1431" s="12">
        <v>0.70820396100065786</v>
      </c>
      <c r="Q1431" s="12">
        <v>0.77984349198305369</v>
      </c>
      <c r="R1431" s="12">
        <v>0.87596659861382287</v>
      </c>
      <c r="S1431" s="12">
        <v>0.78618847410283077</v>
      </c>
      <c r="T1431" s="12">
        <v>0.9146440184834046</v>
      </c>
      <c r="U1431" s="12">
        <v>0.74630049563448386</v>
      </c>
      <c r="V1431" s="12">
        <v>288.48991142073419</v>
      </c>
      <c r="W1431" s="12">
        <v>13.419869346408049</v>
      </c>
      <c r="X1431" s="12">
        <v>84.744579234037033</v>
      </c>
      <c r="Y1431" s="12">
        <v>3202.536748685106</v>
      </c>
      <c r="Z1431" s="12">
        <v>6.9731035337462686</v>
      </c>
      <c r="AA1431" s="12" t="s">
        <v>1268</v>
      </c>
      <c r="AB1431" s="12"/>
    </row>
    <row r="1432" spans="1:28" x14ac:dyDescent="0.3">
      <c r="A1432" s="12" t="s">
        <v>3341</v>
      </c>
      <c r="B1432" s="12" t="s">
        <v>155</v>
      </c>
      <c r="C1432" s="12" t="s">
        <v>155</v>
      </c>
      <c r="D1432" s="12" t="s">
        <v>137</v>
      </c>
      <c r="E1432" s="12" t="s">
        <v>2978</v>
      </c>
      <c r="F1432" s="12" t="s">
        <v>1861</v>
      </c>
      <c r="G1432" s="12" t="s">
        <v>1861</v>
      </c>
      <c r="H1432" s="12" t="b">
        <v>1</v>
      </c>
      <c r="I1432" s="12" t="b">
        <v>0</v>
      </c>
      <c r="J1432" s="12" t="b">
        <v>1</v>
      </c>
      <c r="K1432" s="12" t="b">
        <v>0</v>
      </c>
      <c r="L1432" s="12">
        <v>435.0392469146804</v>
      </c>
      <c r="M1432" s="12">
        <v>295.25952046807822</v>
      </c>
      <c r="N1432" s="12">
        <v>3176.0833282751719</v>
      </c>
      <c r="O1432" s="12">
        <v>540.40281323403997</v>
      </c>
      <c r="P1432" s="12">
        <v>0.71432108492113533</v>
      </c>
      <c r="Q1432" s="12">
        <v>0.87328200410514123</v>
      </c>
      <c r="R1432" s="12">
        <v>0.69048368152875261</v>
      </c>
      <c r="S1432" s="12">
        <v>0.79935960308300591</v>
      </c>
      <c r="T1432" s="12">
        <v>0.86690094542003715</v>
      </c>
      <c r="U1432" s="12">
        <v>0.89149778288650328</v>
      </c>
      <c r="V1432" s="12">
        <v>295.25952046807822</v>
      </c>
      <c r="W1432" s="12">
        <v>12.412854653766351</v>
      </c>
      <c r="X1432" s="12">
        <v>115.7054124119517</v>
      </c>
      <c r="Y1432" s="12">
        <v>2635.6805150411319</v>
      </c>
      <c r="Z1432" s="12">
        <v>5.8772516546831151</v>
      </c>
      <c r="AA1432" s="12" t="s">
        <v>1268</v>
      </c>
      <c r="AB1432" s="12"/>
    </row>
    <row r="1433" spans="1:28" x14ac:dyDescent="0.3">
      <c r="A1433" s="12" t="s">
        <v>3342</v>
      </c>
      <c r="B1433" s="12" t="s">
        <v>155</v>
      </c>
      <c r="C1433" s="12" t="s">
        <v>155</v>
      </c>
      <c r="D1433" s="12" t="s">
        <v>137</v>
      </c>
      <c r="E1433" s="12" t="s">
        <v>2978</v>
      </c>
      <c r="F1433" s="12" t="s">
        <v>1861</v>
      </c>
      <c r="G1433" s="12" t="s">
        <v>1861</v>
      </c>
      <c r="H1433" s="12" t="b">
        <v>1</v>
      </c>
      <c r="I1433" s="12" t="b">
        <v>0</v>
      </c>
      <c r="J1433" s="12" t="b">
        <v>1</v>
      </c>
      <c r="K1433" s="12" t="b">
        <v>0</v>
      </c>
      <c r="L1433" s="12">
        <v>463.49916080769822</v>
      </c>
      <c r="M1433" s="12">
        <v>295.12277992724859</v>
      </c>
      <c r="N1433" s="12">
        <v>3654.2991540117559</v>
      </c>
      <c r="O1433" s="12">
        <v>505.836818781852</v>
      </c>
      <c r="P1433" s="12">
        <v>0.56505371519251779</v>
      </c>
      <c r="Q1433" s="12">
        <v>0.9143951864056632</v>
      </c>
      <c r="R1433" s="12">
        <v>0.77487125790098743</v>
      </c>
      <c r="S1433" s="12">
        <v>0.60983425654406842</v>
      </c>
      <c r="T1433" s="12">
        <v>0.83374651666459365</v>
      </c>
      <c r="U1433" s="12">
        <v>0.75784027500913898</v>
      </c>
      <c r="V1433" s="12">
        <v>295.12277992724859</v>
      </c>
      <c r="W1433" s="12">
        <v>15.1142098560161</v>
      </c>
      <c r="X1433" s="12">
        <v>130.31737912433579</v>
      </c>
      <c r="Y1433" s="12">
        <v>3148.4623352299041</v>
      </c>
      <c r="Z1433" s="12">
        <v>7.2242648584023197</v>
      </c>
      <c r="AA1433" s="12" t="s">
        <v>1981</v>
      </c>
      <c r="AB1433" s="12"/>
    </row>
    <row r="1434" spans="1:28" x14ac:dyDescent="0.3">
      <c r="A1434" s="12" t="s">
        <v>3343</v>
      </c>
      <c r="B1434" s="12" t="s">
        <v>155</v>
      </c>
      <c r="C1434" s="12" t="s">
        <v>155</v>
      </c>
      <c r="D1434" s="12" t="s">
        <v>137</v>
      </c>
      <c r="E1434" s="12" t="s">
        <v>2978</v>
      </c>
      <c r="F1434" s="12" t="s">
        <v>1861</v>
      </c>
      <c r="G1434" s="12" t="s">
        <v>1861</v>
      </c>
      <c r="H1434" s="12" t="b">
        <v>1</v>
      </c>
      <c r="I1434" s="12" t="b">
        <v>0</v>
      </c>
      <c r="J1434" s="12" t="b">
        <v>0</v>
      </c>
      <c r="K1434" s="12" t="b">
        <v>0</v>
      </c>
      <c r="L1434" s="12">
        <v>417.7059741910698</v>
      </c>
      <c r="M1434" s="12">
        <v>295.75361742240449</v>
      </c>
      <c r="N1434" s="12">
        <v>2044.2419440197079</v>
      </c>
      <c r="O1434" s="12">
        <v>1038.3428151751759</v>
      </c>
      <c r="P1434" s="12">
        <v>0.80618557273218383</v>
      </c>
      <c r="Q1434" s="12">
        <v>0.77298934314530143</v>
      </c>
      <c r="R1434" s="12">
        <v>0.8480432265501372</v>
      </c>
      <c r="S1434" s="12">
        <v>0.79117187597646632</v>
      </c>
      <c r="T1434" s="12">
        <v>0.63909517008272554</v>
      </c>
      <c r="U1434" s="12">
        <v>0.827365073608614</v>
      </c>
      <c r="V1434" s="12">
        <v>295.75361742240449</v>
      </c>
      <c r="W1434" s="12">
        <v>5.2883463801294006</v>
      </c>
      <c r="X1434" s="12">
        <v>60.980053052898647</v>
      </c>
      <c r="Y1434" s="12">
        <v>1005.899128844532</v>
      </c>
      <c r="Z1434" s="12">
        <v>1.9687543594885171</v>
      </c>
      <c r="AA1434" s="12" t="s">
        <v>1268</v>
      </c>
      <c r="AB1434" s="12"/>
    </row>
    <row r="1435" spans="1:28" x14ac:dyDescent="0.3">
      <c r="A1435" s="12" t="s">
        <v>3344</v>
      </c>
      <c r="B1435" s="12" t="s">
        <v>155</v>
      </c>
      <c r="C1435" s="12" t="s">
        <v>155</v>
      </c>
      <c r="D1435" s="12" t="s">
        <v>137</v>
      </c>
      <c r="E1435" s="12" t="s">
        <v>2978</v>
      </c>
      <c r="F1435" s="12" t="s">
        <v>1861</v>
      </c>
      <c r="G1435" s="12" t="s">
        <v>1861</v>
      </c>
      <c r="H1435" s="12" t="b">
        <v>1</v>
      </c>
      <c r="I1435" s="12" t="b">
        <v>0</v>
      </c>
      <c r="J1435" s="12" t="b">
        <v>1</v>
      </c>
      <c r="K1435" s="12" t="b">
        <v>0</v>
      </c>
      <c r="L1435" s="12">
        <v>451.86786247073968</v>
      </c>
      <c r="M1435" s="12">
        <v>299.43432431276051</v>
      </c>
      <c r="N1435" s="12">
        <v>4801.6441535930098</v>
      </c>
      <c r="O1435" s="12">
        <v>1130.3791760319129</v>
      </c>
      <c r="P1435" s="12">
        <v>0.56659420731310717</v>
      </c>
      <c r="Q1435" s="12">
        <v>0.90714135990347999</v>
      </c>
      <c r="R1435" s="12">
        <v>0.79458396422090494</v>
      </c>
      <c r="S1435" s="12">
        <v>0.62367695977167481</v>
      </c>
      <c r="T1435" s="12">
        <v>0.81071102681942087</v>
      </c>
      <c r="U1435" s="12">
        <v>0.71161162311402992</v>
      </c>
      <c r="V1435" s="12">
        <v>299.43432431276051</v>
      </c>
      <c r="W1435" s="12">
        <v>11.272575353607991</v>
      </c>
      <c r="X1435" s="12">
        <v>60.609162667916209</v>
      </c>
      <c r="Y1435" s="12">
        <v>3671.2649775610971</v>
      </c>
      <c r="Z1435" s="12">
        <v>4.247817241687625</v>
      </c>
      <c r="AA1435" s="12" t="s">
        <v>1268</v>
      </c>
      <c r="AB1435" s="12"/>
    </row>
    <row r="1436" spans="1:28" x14ac:dyDescent="0.3">
      <c r="A1436" s="12" t="s">
        <v>3345</v>
      </c>
      <c r="B1436" s="12" t="s">
        <v>155</v>
      </c>
      <c r="C1436" s="12" t="s">
        <v>155</v>
      </c>
      <c r="D1436" s="12" t="s">
        <v>137</v>
      </c>
      <c r="E1436" s="12" t="s">
        <v>2978</v>
      </c>
      <c r="F1436" s="12" t="s">
        <v>32</v>
      </c>
      <c r="G1436" s="12" t="s">
        <v>32</v>
      </c>
      <c r="H1436" s="12" t="b">
        <v>1</v>
      </c>
      <c r="I1436" s="12" t="b">
        <v>0</v>
      </c>
      <c r="J1436" s="12" t="b">
        <v>1</v>
      </c>
      <c r="K1436" s="12" t="b">
        <v>0</v>
      </c>
      <c r="L1436" s="12">
        <v>486.22011444109438</v>
      </c>
      <c r="M1436" s="12">
        <v>287.20667167959488</v>
      </c>
      <c r="N1436" s="12">
        <v>4778.0368504880844</v>
      </c>
      <c r="O1436" s="12">
        <v>1451.6235933969581</v>
      </c>
      <c r="P1436" s="12">
        <v>0.72784316080113109</v>
      </c>
      <c r="Q1436" s="12">
        <v>0.81788878788607777</v>
      </c>
      <c r="R1436" s="12">
        <v>0.80137261603731746</v>
      </c>
      <c r="S1436" s="12">
        <v>0.77689610012677179</v>
      </c>
      <c r="T1436" s="12">
        <v>0.94175462602754823</v>
      </c>
      <c r="U1436" s="12">
        <v>0.88319020668799153</v>
      </c>
      <c r="V1436" s="12">
        <v>287.20667167959488</v>
      </c>
      <c r="W1436" s="12">
        <v>9.4709310264861095</v>
      </c>
      <c r="X1436" s="12">
        <v>132.8478273376854</v>
      </c>
      <c r="Y1436" s="12">
        <v>3326.4132570911261</v>
      </c>
      <c r="Z1436" s="12">
        <v>3.2915122571871089</v>
      </c>
      <c r="AA1436" s="12"/>
      <c r="AB1436" s="12"/>
    </row>
    <row r="1437" spans="1:28" x14ac:dyDescent="0.3">
      <c r="A1437" s="12" t="s">
        <v>3346</v>
      </c>
      <c r="B1437" s="12" t="s">
        <v>155</v>
      </c>
      <c r="C1437" s="12" t="s">
        <v>155</v>
      </c>
      <c r="D1437" s="12" t="s">
        <v>137</v>
      </c>
      <c r="E1437" s="12" t="s">
        <v>2978</v>
      </c>
      <c r="F1437" s="12" t="s">
        <v>1861</v>
      </c>
      <c r="G1437" s="12" t="s">
        <v>1861</v>
      </c>
      <c r="H1437" s="12" t="b">
        <v>1</v>
      </c>
      <c r="I1437" s="12" t="b">
        <v>0</v>
      </c>
      <c r="J1437" s="12" t="b">
        <v>0</v>
      </c>
      <c r="K1437" s="12" t="b">
        <v>0</v>
      </c>
      <c r="L1437" s="12">
        <v>495.7034372343154</v>
      </c>
      <c r="M1437" s="12">
        <v>292.35181896150368</v>
      </c>
      <c r="N1437" s="12">
        <v>2632.4492773276461</v>
      </c>
      <c r="O1437" s="12">
        <v>1082.7528064791429</v>
      </c>
      <c r="P1437" s="12">
        <v>0.77816099608216527</v>
      </c>
      <c r="Q1437" s="12">
        <v>0.8270971577737074</v>
      </c>
      <c r="R1437" s="12">
        <v>0.82889791869106344</v>
      </c>
      <c r="S1437" s="12">
        <v>0.68571788920719434</v>
      </c>
      <c r="T1437" s="12">
        <v>0.81490383063507299</v>
      </c>
      <c r="U1437" s="12">
        <v>0.78598354475487398</v>
      </c>
      <c r="V1437" s="12">
        <v>292.35181896150368</v>
      </c>
      <c r="W1437" s="12">
        <v>7.3107282687289592</v>
      </c>
      <c r="X1437" s="12">
        <v>85.340746734080071</v>
      </c>
      <c r="Y1437" s="12">
        <v>1549.6964708485029</v>
      </c>
      <c r="Z1437" s="12">
        <v>2.4312560185253651</v>
      </c>
      <c r="AA1437" s="12" t="s">
        <v>1268</v>
      </c>
      <c r="AB1437" s="12"/>
    </row>
    <row r="1438" spans="1:28" x14ac:dyDescent="0.3">
      <c r="A1438" s="12" t="s">
        <v>3347</v>
      </c>
      <c r="B1438" s="12" t="s">
        <v>155</v>
      </c>
      <c r="C1438" s="12" t="s">
        <v>155</v>
      </c>
      <c r="D1438" s="12" t="s">
        <v>137</v>
      </c>
      <c r="E1438" s="12" t="s">
        <v>2978</v>
      </c>
      <c r="F1438" s="12" t="s">
        <v>32</v>
      </c>
      <c r="G1438" s="12" t="s">
        <v>32</v>
      </c>
      <c r="H1438" s="12" t="b">
        <v>1</v>
      </c>
      <c r="I1438" s="12" t="b">
        <v>0</v>
      </c>
      <c r="J1438" s="12" t="b">
        <v>1</v>
      </c>
      <c r="K1438" s="12" t="b">
        <v>0</v>
      </c>
      <c r="L1438" s="12">
        <v>441.74190976204642</v>
      </c>
      <c r="M1438" s="12">
        <v>281.2442795183602</v>
      </c>
      <c r="N1438" s="12">
        <v>4176.4753959289592</v>
      </c>
      <c r="O1438" s="12">
        <v>1358.986474025779</v>
      </c>
      <c r="P1438" s="12">
        <v>0.57813603755992082</v>
      </c>
      <c r="Q1438" s="12">
        <v>0.83865958937614538</v>
      </c>
      <c r="R1438" s="12">
        <v>0.74890748219062075</v>
      </c>
      <c r="S1438" s="12">
        <v>0.87416589316480142</v>
      </c>
      <c r="T1438" s="12">
        <v>0.89148214629363154</v>
      </c>
      <c r="U1438" s="12">
        <v>0.82986597624479219</v>
      </c>
      <c r="V1438" s="12">
        <v>281.2442795183602</v>
      </c>
      <c r="W1438" s="12">
        <v>8.1744318593399612</v>
      </c>
      <c r="X1438" s="12">
        <v>63.936544833178189</v>
      </c>
      <c r="Y1438" s="12">
        <v>2817.4889219031802</v>
      </c>
      <c r="Z1438" s="12">
        <v>3.0732280826584102</v>
      </c>
      <c r="AA1438" s="12"/>
      <c r="AB1438" s="12"/>
    </row>
    <row r="1439" spans="1:28" x14ac:dyDescent="0.3">
      <c r="A1439" s="12" t="s">
        <v>3348</v>
      </c>
      <c r="B1439" s="12" t="s">
        <v>155</v>
      </c>
      <c r="C1439" s="12" t="s">
        <v>155</v>
      </c>
      <c r="D1439" s="12" t="s">
        <v>137</v>
      </c>
      <c r="E1439" s="12" t="s">
        <v>2978</v>
      </c>
      <c r="F1439" s="12" t="s">
        <v>1863</v>
      </c>
      <c r="G1439" s="12" t="s">
        <v>832</v>
      </c>
      <c r="H1439" s="12" t="b">
        <v>0</v>
      </c>
      <c r="I1439" s="12" t="b">
        <v>0</v>
      </c>
      <c r="J1439" s="12" t="b">
        <v>0</v>
      </c>
      <c r="K1439" s="12" t="b">
        <v>0</v>
      </c>
      <c r="L1439" s="12">
        <v>385.20181089856533</v>
      </c>
      <c r="M1439" s="12">
        <v>287.13108983927913</v>
      </c>
      <c r="N1439" s="12">
        <v>4636.0960996746398</v>
      </c>
      <c r="O1439" s="12">
        <v>387.41923802042197</v>
      </c>
      <c r="P1439" s="12">
        <v>0.62934000741208507</v>
      </c>
      <c r="Q1439" s="12">
        <v>0.78747034275580119</v>
      </c>
      <c r="R1439" s="12">
        <v>0.87345971309367532</v>
      </c>
      <c r="S1439" s="12">
        <v>0.84649652749033755</v>
      </c>
      <c r="T1439" s="12">
        <v>0.6083867782049408</v>
      </c>
      <c r="U1439" s="12">
        <v>0.72984629257824474</v>
      </c>
      <c r="V1439" s="12">
        <v>287.13108983927913</v>
      </c>
      <c r="W1439" s="12">
        <v>-55.297909341604779</v>
      </c>
      <c r="X1439" s="12">
        <v>-62.982954027569249</v>
      </c>
      <c r="Y1439" s="12">
        <v>4248.6768616542176</v>
      </c>
      <c r="Z1439" s="12">
        <v>11.966613024597031</v>
      </c>
      <c r="AA1439" s="12" t="s">
        <v>2018</v>
      </c>
      <c r="AB1439" s="12"/>
    </row>
    <row r="1440" spans="1:28" x14ac:dyDescent="0.3">
      <c r="A1440" s="12" t="s">
        <v>3349</v>
      </c>
      <c r="B1440" s="12" t="s">
        <v>155</v>
      </c>
      <c r="C1440" s="12" t="s">
        <v>155</v>
      </c>
      <c r="D1440" s="12" t="s">
        <v>137</v>
      </c>
      <c r="E1440" s="12" t="s">
        <v>2978</v>
      </c>
      <c r="F1440" s="12" t="s">
        <v>1861</v>
      </c>
      <c r="G1440" s="12" t="s">
        <v>1861</v>
      </c>
      <c r="H1440" s="12" t="b">
        <v>1</v>
      </c>
      <c r="I1440" s="12" t="b">
        <v>0</v>
      </c>
      <c r="J1440" s="12" t="b">
        <v>1</v>
      </c>
      <c r="K1440" s="12" t="b">
        <v>0</v>
      </c>
      <c r="L1440" s="12">
        <v>493.33876218079308</v>
      </c>
      <c r="M1440" s="12">
        <v>288.19002101770337</v>
      </c>
      <c r="N1440" s="12">
        <v>3600.0154292759512</v>
      </c>
      <c r="O1440" s="12">
        <v>321.19623247250729</v>
      </c>
      <c r="P1440" s="12">
        <v>0.60597437292199596</v>
      </c>
      <c r="Q1440" s="12">
        <v>0.77693588616046483</v>
      </c>
      <c r="R1440" s="12">
        <v>0.84543599918385659</v>
      </c>
      <c r="S1440" s="12">
        <v>0.79010474650867335</v>
      </c>
      <c r="T1440" s="12">
        <v>0.62857924773090812</v>
      </c>
      <c r="U1440" s="12">
        <v>0.80152552323904658</v>
      </c>
      <c r="V1440" s="12">
        <v>288.19002101770337</v>
      </c>
      <c r="W1440" s="12">
        <v>13.82897870732311</v>
      </c>
      <c r="X1440" s="12">
        <v>196.58503672122839</v>
      </c>
      <c r="Y1440" s="12">
        <v>3278.819196803443</v>
      </c>
      <c r="Z1440" s="12">
        <v>11.208149614843609</v>
      </c>
      <c r="AA1440" s="12" t="s">
        <v>1268</v>
      </c>
      <c r="AB1440" s="12"/>
    </row>
    <row r="1441" spans="1:28" x14ac:dyDescent="0.3">
      <c r="A1441" s="12" t="s">
        <v>3350</v>
      </c>
      <c r="B1441" s="12" t="s">
        <v>155</v>
      </c>
      <c r="C1441" s="12" t="s">
        <v>155</v>
      </c>
      <c r="D1441" s="12" t="s">
        <v>137</v>
      </c>
      <c r="E1441" s="12" t="s">
        <v>2978</v>
      </c>
      <c r="F1441" s="12" t="s">
        <v>1861</v>
      </c>
      <c r="G1441" s="12" t="s">
        <v>1861</v>
      </c>
      <c r="H1441" s="12" t="b">
        <v>1</v>
      </c>
      <c r="I1441" s="12" t="b">
        <v>0</v>
      </c>
      <c r="J1441" s="12" t="b">
        <v>0</v>
      </c>
      <c r="K1441" s="12" t="b">
        <v>0</v>
      </c>
      <c r="L1441" s="12">
        <v>395.97732736083532</v>
      </c>
      <c r="M1441" s="12">
        <v>279.57320708312568</v>
      </c>
      <c r="N1441" s="12">
        <v>3991.388142762185</v>
      </c>
      <c r="O1441" s="12">
        <v>576.22173662295086</v>
      </c>
      <c r="P1441" s="12">
        <v>0.67446010186014571</v>
      </c>
      <c r="Q1441" s="12">
        <v>0.88979702862715515</v>
      </c>
      <c r="R1441" s="12">
        <v>0.84953088511873776</v>
      </c>
      <c r="S1441" s="12">
        <v>0.7033995822660104</v>
      </c>
      <c r="T1441" s="12">
        <v>0.74679859438332352</v>
      </c>
      <c r="U1441" s="12">
        <v>0.75179667906833358</v>
      </c>
      <c r="V1441" s="12">
        <v>279.57320708312568</v>
      </c>
      <c r="W1441" s="12">
        <v>11.768225396274699</v>
      </c>
      <c r="X1441" s="12">
        <v>44.962588274339268</v>
      </c>
      <c r="Y1441" s="12">
        <v>3415.1664061392339</v>
      </c>
      <c r="Z1441" s="12">
        <v>6.9268267562317583</v>
      </c>
      <c r="AA1441" s="12" t="s">
        <v>1268</v>
      </c>
      <c r="AB1441" s="12"/>
    </row>
    <row r="1442" spans="1:28" x14ac:dyDescent="0.3">
      <c r="A1442" s="12" t="s">
        <v>3351</v>
      </c>
      <c r="B1442" s="12" t="s">
        <v>155</v>
      </c>
      <c r="C1442" s="12" t="s">
        <v>155</v>
      </c>
      <c r="D1442" s="12" t="s">
        <v>137</v>
      </c>
      <c r="E1442" s="12" t="s">
        <v>2978</v>
      </c>
      <c r="F1442" s="12" t="s">
        <v>1861</v>
      </c>
      <c r="G1442" s="12" t="s">
        <v>1861</v>
      </c>
      <c r="H1442" s="12" t="b">
        <v>1</v>
      </c>
      <c r="I1442" s="12" t="b">
        <v>0</v>
      </c>
      <c r="J1442" s="12" t="b">
        <v>1</v>
      </c>
      <c r="K1442" s="12" t="b">
        <v>0</v>
      </c>
      <c r="L1442" s="12">
        <v>499.532816399556</v>
      </c>
      <c r="M1442" s="12">
        <v>293.02046503648199</v>
      </c>
      <c r="N1442" s="12">
        <v>3819.2668134316768</v>
      </c>
      <c r="O1442" s="12">
        <v>711.23370881009214</v>
      </c>
      <c r="P1442" s="12">
        <v>0.57499383535701964</v>
      </c>
      <c r="Q1442" s="12">
        <v>0.82601693161529244</v>
      </c>
      <c r="R1442" s="12">
        <v>0.78569621543407564</v>
      </c>
      <c r="S1442" s="12">
        <v>0.92476687236466182</v>
      </c>
      <c r="T1442" s="12">
        <v>0.78605168250205804</v>
      </c>
      <c r="U1442" s="12">
        <v>0.9208580431192992</v>
      </c>
      <c r="V1442" s="12">
        <v>293.02046503648199</v>
      </c>
      <c r="W1442" s="12">
        <v>11.55627081296117</v>
      </c>
      <c r="X1442" s="12">
        <v>229.82963800975551</v>
      </c>
      <c r="Y1442" s="12">
        <v>3108.0331046215852</v>
      </c>
      <c r="Z1442" s="12">
        <v>5.3699181663104589</v>
      </c>
      <c r="AA1442" s="12" t="s">
        <v>1268</v>
      </c>
      <c r="AB1442" s="12"/>
    </row>
    <row r="1443" spans="1:28" x14ac:dyDescent="0.3">
      <c r="A1443" s="12" t="s">
        <v>3352</v>
      </c>
      <c r="B1443" s="12" t="s">
        <v>155</v>
      </c>
      <c r="C1443" s="12" t="s">
        <v>155</v>
      </c>
      <c r="D1443" s="12" t="s">
        <v>137</v>
      </c>
      <c r="E1443" s="12" t="s">
        <v>2978</v>
      </c>
      <c r="F1443" s="12" t="s">
        <v>1861</v>
      </c>
      <c r="G1443" s="12" t="s">
        <v>1861</v>
      </c>
      <c r="H1443" s="12" t="b">
        <v>1</v>
      </c>
      <c r="I1443" s="12" t="b">
        <v>0</v>
      </c>
      <c r="J1443" s="12" t="b">
        <v>1</v>
      </c>
      <c r="K1443" s="12" t="b">
        <v>0</v>
      </c>
      <c r="L1443" s="12">
        <v>472.91982147028739</v>
      </c>
      <c r="M1443" s="12">
        <v>285.82639815376473</v>
      </c>
      <c r="N1443" s="12">
        <v>2753.0406476009839</v>
      </c>
      <c r="O1443" s="12">
        <v>742.44383258630216</v>
      </c>
      <c r="P1443" s="12">
        <v>0.6324914494117202</v>
      </c>
      <c r="Q1443" s="12">
        <v>0.77493663121809031</v>
      </c>
      <c r="R1443" s="12">
        <v>0.85394407417224594</v>
      </c>
      <c r="S1443" s="12">
        <v>0.86526029469898758</v>
      </c>
      <c r="T1443" s="12">
        <v>0.63666443318260624</v>
      </c>
      <c r="U1443" s="12">
        <v>0.74287325588550812</v>
      </c>
      <c r="V1443" s="12">
        <v>285.82639815376473</v>
      </c>
      <c r="W1443" s="12">
        <v>8.1874847663167198</v>
      </c>
      <c r="X1443" s="12">
        <v>121.34342418647</v>
      </c>
      <c r="Y1443" s="12">
        <v>2010.5968150146821</v>
      </c>
      <c r="Z1443" s="12">
        <v>3.7080793546506681</v>
      </c>
      <c r="AA1443" s="12" t="s">
        <v>1268</v>
      </c>
      <c r="AB1443" s="12"/>
    </row>
    <row r="1444" spans="1:28" x14ac:dyDescent="0.3">
      <c r="A1444" s="12" t="s">
        <v>3353</v>
      </c>
      <c r="B1444" s="12" t="s">
        <v>155</v>
      </c>
      <c r="C1444" s="12" t="s">
        <v>155</v>
      </c>
      <c r="D1444" s="12" t="s">
        <v>137</v>
      </c>
      <c r="E1444" s="12" t="s">
        <v>2978</v>
      </c>
      <c r="F1444" s="12" t="s">
        <v>1861</v>
      </c>
      <c r="G1444" s="12" t="s">
        <v>1861</v>
      </c>
      <c r="H1444" s="12" t="b">
        <v>1</v>
      </c>
      <c r="I1444" s="12" t="b">
        <v>0</v>
      </c>
      <c r="J1444" s="12" t="b">
        <v>0</v>
      </c>
      <c r="K1444" s="12" t="b">
        <v>0</v>
      </c>
      <c r="L1444" s="12">
        <v>423.65800595890732</v>
      </c>
      <c r="M1444" s="12">
        <v>289.84737933100809</v>
      </c>
      <c r="N1444" s="12">
        <v>3139.5176862799522</v>
      </c>
      <c r="O1444" s="12">
        <v>964.89582692552403</v>
      </c>
      <c r="P1444" s="12">
        <v>0.77635796129595636</v>
      </c>
      <c r="Q1444" s="12">
        <v>0.76985440461032784</v>
      </c>
      <c r="R1444" s="12">
        <v>0.88411835333973909</v>
      </c>
      <c r="S1444" s="12">
        <v>0.92976739063724279</v>
      </c>
      <c r="T1444" s="12">
        <v>0.81685616315936571</v>
      </c>
      <c r="U1444" s="12">
        <v>0.70051810182539953</v>
      </c>
      <c r="V1444" s="12">
        <v>289.84737933100809</v>
      </c>
      <c r="W1444" s="12">
        <v>8.3749790155156898</v>
      </c>
      <c r="X1444" s="12">
        <v>83.005621301989748</v>
      </c>
      <c r="Y1444" s="12">
        <v>2174.6218593544281</v>
      </c>
      <c r="Z1444" s="12">
        <v>3.253737448822315</v>
      </c>
      <c r="AA1444" s="12" t="s">
        <v>1268</v>
      </c>
      <c r="AB1444" s="12"/>
    </row>
    <row r="1445" spans="1:28" x14ac:dyDescent="0.3">
      <c r="A1445" s="12" t="s">
        <v>3354</v>
      </c>
      <c r="B1445" s="12" t="s">
        <v>155</v>
      </c>
      <c r="C1445" s="12" t="s">
        <v>155</v>
      </c>
      <c r="D1445" s="12" t="s">
        <v>137</v>
      </c>
      <c r="E1445" s="12" t="s">
        <v>2978</v>
      </c>
      <c r="F1445" s="12" t="s">
        <v>832</v>
      </c>
      <c r="G1445" s="12" t="s">
        <v>832</v>
      </c>
      <c r="H1445" s="12" t="b">
        <v>0</v>
      </c>
      <c r="I1445" s="12" t="b">
        <v>0</v>
      </c>
      <c r="J1445" s="12" t="b">
        <v>0</v>
      </c>
      <c r="K1445" s="12" t="b">
        <v>0</v>
      </c>
      <c r="L1445" s="12">
        <v>381.70500345531008</v>
      </c>
      <c r="M1445" s="12">
        <v>286.1599547771238</v>
      </c>
      <c r="N1445" s="12">
        <v>4732.2769043324506</v>
      </c>
      <c r="O1445" s="12">
        <v>947.20567007283955</v>
      </c>
      <c r="P1445" s="12">
        <v>0.6071334622648531</v>
      </c>
      <c r="Q1445" s="12">
        <v>0.87257578281228187</v>
      </c>
      <c r="R1445" s="12">
        <v>0.83338768331731705</v>
      </c>
      <c r="S1445" s="12">
        <v>0.80740576833089284</v>
      </c>
      <c r="T1445" s="12">
        <v>0.7718949515845277</v>
      </c>
      <c r="U1445" s="12">
        <v>0.81860516126082161</v>
      </c>
      <c r="V1445" s="12">
        <v>286.1599547771238</v>
      </c>
      <c r="W1445" s="12"/>
      <c r="X1445" s="12"/>
      <c r="Y1445" s="12">
        <v>3785.0712342596112</v>
      </c>
      <c r="Z1445" s="12">
        <v>4.9960394599079434</v>
      </c>
      <c r="AA1445" s="12"/>
      <c r="AB1445" s="12"/>
    </row>
    <row r="1446" spans="1:28" x14ac:dyDescent="0.3">
      <c r="A1446" s="12" t="s">
        <v>3355</v>
      </c>
      <c r="B1446" s="12" t="s">
        <v>155</v>
      </c>
      <c r="C1446" s="12" t="s">
        <v>155</v>
      </c>
      <c r="D1446" s="12" t="s">
        <v>137</v>
      </c>
      <c r="E1446" s="12" t="s">
        <v>2978</v>
      </c>
      <c r="F1446" s="12" t="s">
        <v>1861</v>
      </c>
      <c r="G1446" s="12" t="s">
        <v>1861</v>
      </c>
      <c r="H1446" s="12" t="b">
        <v>1</v>
      </c>
      <c r="I1446" s="12" t="b">
        <v>0</v>
      </c>
      <c r="J1446" s="12" t="b">
        <v>0</v>
      </c>
      <c r="K1446" s="12" t="b">
        <v>0</v>
      </c>
      <c r="L1446" s="12">
        <v>427.79119452254139</v>
      </c>
      <c r="M1446" s="12">
        <v>284.85814335879098</v>
      </c>
      <c r="N1446" s="12">
        <v>4409.1172533702629</v>
      </c>
      <c r="O1446" s="12">
        <v>1171.4294401515101</v>
      </c>
      <c r="P1446" s="12">
        <v>0.72735970589055043</v>
      </c>
      <c r="Q1446" s="12">
        <v>0.82318743619994872</v>
      </c>
      <c r="R1446" s="12">
        <v>0.8971704475963842</v>
      </c>
      <c r="S1446" s="12">
        <v>0.75664247091750469</v>
      </c>
      <c r="T1446" s="12">
        <v>0.68252416156764151</v>
      </c>
      <c r="U1446" s="12">
        <v>0.81629374292707935</v>
      </c>
      <c r="V1446" s="12">
        <v>284.85814335879098</v>
      </c>
      <c r="W1446" s="12">
        <v>10.1921006762839</v>
      </c>
      <c r="X1446" s="12">
        <v>80.629250121847519</v>
      </c>
      <c r="Y1446" s="12">
        <v>3237.687813218753</v>
      </c>
      <c r="Z1446" s="12">
        <v>3.7638777908808558</v>
      </c>
      <c r="AA1446" s="12" t="s">
        <v>1268</v>
      </c>
      <c r="AB1446" s="12"/>
    </row>
    <row r="1447" spans="1:28" x14ac:dyDescent="0.3">
      <c r="A1447" s="12" t="s">
        <v>3356</v>
      </c>
      <c r="B1447" s="12" t="s">
        <v>155</v>
      </c>
      <c r="C1447" s="12" t="s">
        <v>155</v>
      </c>
      <c r="D1447" s="12" t="s">
        <v>137</v>
      </c>
      <c r="E1447" s="12" t="s">
        <v>2978</v>
      </c>
      <c r="F1447" s="12" t="s">
        <v>1861</v>
      </c>
      <c r="G1447" s="12" t="s">
        <v>1861</v>
      </c>
      <c r="H1447" s="12" t="b">
        <v>1</v>
      </c>
      <c r="I1447" s="12" t="b">
        <v>0</v>
      </c>
      <c r="J1447" s="12" t="b">
        <v>0</v>
      </c>
      <c r="K1447" s="12" t="b">
        <v>0</v>
      </c>
      <c r="L1447" s="12">
        <v>422.77658730664581</v>
      </c>
      <c r="M1447" s="12">
        <v>298.72073075703543</v>
      </c>
      <c r="N1447" s="12">
        <v>2240.751279883435</v>
      </c>
      <c r="O1447" s="12">
        <v>1477.9669025281239</v>
      </c>
      <c r="P1447" s="12">
        <v>0.60923510814660586</v>
      </c>
      <c r="Q1447" s="12">
        <v>0.82994411683249414</v>
      </c>
      <c r="R1447" s="12">
        <v>0.77802992126054782</v>
      </c>
      <c r="S1447" s="12">
        <v>0.74647573796332622</v>
      </c>
      <c r="T1447" s="12">
        <v>0.81980403618195863</v>
      </c>
      <c r="U1447" s="12">
        <v>0.78097888988156527</v>
      </c>
      <c r="V1447" s="12">
        <v>298.72073075703543</v>
      </c>
      <c r="W1447" s="12">
        <v>3.5734531225428201</v>
      </c>
      <c r="X1447" s="12">
        <v>28.433870554244649</v>
      </c>
      <c r="Y1447" s="12">
        <v>762.78437735531179</v>
      </c>
      <c r="Z1447" s="12">
        <v>1.5161038288817821</v>
      </c>
      <c r="AA1447" s="12" t="s">
        <v>1268</v>
      </c>
      <c r="AB1447" s="12"/>
    </row>
    <row r="1448" spans="1:28" x14ac:dyDescent="0.3">
      <c r="A1448" s="12" t="s">
        <v>3357</v>
      </c>
      <c r="B1448" s="12" t="s">
        <v>155</v>
      </c>
      <c r="C1448" s="12" t="s">
        <v>155</v>
      </c>
      <c r="D1448" s="12" t="s">
        <v>137</v>
      </c>
      <c r="E1448" s="12" t="s">
        <v>2978</v>
      </c>
      <c r="F1448" s="12" t="s">
        <v>1861</v>
      </c>
      <c r="G1448" s="12" t="s">
        <v>1861</v>
      </c>
      <c r="H1448" s="12" t="b">
        <v>1</v>
      </c>
      <c r="I1448" s="12" t="b">
        <v>0</v>
      </c>
      <c r="J1448" s="12" t="b">
        <v>1</v>
      </c>
      <c r="K1448" s="12" t="b">
        <v>0</v>
      </c>
      <c r="L1448" s="12">
        <v>442.20366486788907</v>
      </c>
      <c r="M1448" s="12">
        <v>293.95869623720858</v>
      </c>
      <c r="N1448" s="12">
        <v>4113.9467075226967</v>
      </c>
      <c r="O1448" s="12">
        <v>622.60818471278344</v>
      </c>
      <c r="P1448" s="12">
        <v>0.78961660723938432</v>
      </c>
      <c r="Q1448" s="12">
        <v>0.76808229075088008</v>
      </c>
      <c r="R1448" s="12">
        <v>0.67259517777577316</v>
      </c>
      <c r="S1448" s="12">
        <v>0.68868877793996475</v>
      </c>
      <c r="T1448" s="12">
        <v>0.77051445177106292</v>
      </c>
      <c r="U1448" s="12">
        <v>0.70521737431346898</v>
      </c>
      <c r="V1448" s="12">
        <v>293.95869623720858</v>
      </c>
      <c r="W1448" s="12">
        <v>5.1627162326420404</v>
      </c>
      <c r="X1448" s="12">
        <v>35.118332767030608</v>
      </c>
      <c r="Y1448" s="12">
        <v>3491.3385228099128</v>
      </c>
      <c r="Z1448" s="12">
        <v>6.6076013912674618</v>
      </c>
      <c r="AA1448" s="12" t="s">
        <v>1268</v>
      </c>
      <c r="AB1448" s="12"/>
    </row>
    <row r="1449" spans="1:28" x14ac:dyDescent="0.3">
      <c r="A1449" s="12" t="s">
        <v>3358</v>
      </c>
      <c r="B1449" s="12" t="s">
        <v>155</v>
      </c>
      <c r="C1449" s="12" t="s">
        <v>155</v>
      </c>
      <c r="D1449" s="12" t="s">
        <v>137</v>
      </c>
      <c r="E1449" s="12" t="s">
        <v>2978</v>
      </c>
      <c r="F1449" s="12" t="s">
        <v>1862</v>
      </c>
      <c r="G1449" s="12" t="s">
        <v>1862</v>
      </c>
      <c r="H1449" s="12" t="b">
        <v>1</v>
      </c>
      <c r="I1449" s="12" t="b">
        <v>0</v>
      </c>
      <c r="J1449" s="12" t="b">
        <v>0</v>
      </c>
      <c r="K1449" s="12" t="b">
        <v>0</v>
      </c>
      <c r="L1449" s="12">
        <v>395.18651220859721</v>
      </c>
      <c r="M1449" s="12">
        <v>289.98163993720789</v>
      </c>
      <c r="N1449" s="12">
        <v>4578.1609320619227</v>
      </c>
      <c r="O1449" s="12">
        <v>1366.330640150393</v>
      </c>
      <c r="P1449" s="12">
        <v>0.63533991957217995</v>
      </c>
      <c r="Q1449" s="12">
        <v>0.77419766534496448</v>
      </c>
      <c r="R1449" s="12">
        <v>0.76910325941663826</v>
      </c>
      <c r="S1449" s="12">
        <v>0.63979070517912084</v>
      </c>
      <c r="T1449" s="12">
        <v>0.67283335038924907</v>
      </c>
      <c r="U1449" s="12">
        <v>0.92716767150927881</v>
      </c>
      <c r="V1449" s="12">
        <v>289.98163993720789</v>
      </c>
      <c r="W1449" s="12">
        <v>-0.22991021216669999</v>
      </c>
      <c r="X1449" s="12">
        <v>-0.4665149464848648</v>
      </c>
      <c r="Y1449" s="12">
        <v>3211.830291911529</v>
      </c>
      <c r="Z1449" s="12">
        <v>3.3506976990269361</v>
      </c>
      <c r="AA1449" s="12" t="s">
        <v>1696</v>
      </c>
      <c r="AB1449" s="12"/>
    </row>
    <row r="1450" spans="1:28" x14ac:dyDescent="0.3">
      <c r="A1450" s="12" t="s">
        <v>3359</v>
      </c>
      <c r="B1450" s="12" t="s">
        <v>155</v>
      </c>
      <c r="C1450" s="12" t="s">
        <v>155</v>
      </c>
      <c r="D1450" s="12" t="s">
        <v>137</v>
      </c>
      <c r="E1450" s="12" t="s">
        <v>2978</v>
      </c>
      <c r="F1450" s="12" t="s">
        <v>32</v>
      </c>
      <c r="G1450" s="12" t="s">
        <v>32</v>
      </c>
      <c r="H1450" s="12" t="b">
        <v>1</v>
      </c>
      <c r="I1450" s="12" t="b">
        <v>0</v>
      </c>
      <c r="J1450" s="12" t="b">
        <v>1</v>
      </c>
      <c r="K1450" s="12" t="b">
        <v>0</v>
      </c>
      <c r="L1450" s="12">
        <v>482.70311780898749</v>
      </c>
      <c r="M1450" s="12">
        <v>283.35331685504758</v>
      </c>
      <c r="N1450" s="12">
        <v>3473.563613239317</v>
      </c>
      <c r="O1450" s="12">
        <v>1403.895909483831</v>
      </c>
      <c r="P1450" s="12">
        <v>0.61859067847805527</v>
      </c>
      <c r="Q1450" s="12">
        <v>0.8165518125435598</v>
      </c>
      <c r="R1450" s="12">
        <v>0.79121558825239791</v>
      </c>
      <c r="S1450" s="12">
        <v>0.69111296230790364</v>
      </c>
      <c r="T1450" s="12">
        <v>0.8579546181046328</v>
      </c>
      <c r="U1450" s="12">
        <v>0.8971636458689306</v>
      </c>
      <c r="V1450" s="12">
        <v>283.35331685504758</v>
      </c>
      <c r="W1450" s="12">
        <v>6.6476898488340801</v>
      </c>
      <c r="X1450" s="12">
        <v>90.93598759701004</v>
      </c>
      <c r="Y1450" s="12">
        <v>2069.6677037554859</v>
      </c>
      <c r="Z1450" s="12">
        <v>2.4742315935064161</v>
      </c>
      <c r="AA1450" s="12"/>
      <c r="AB1450" s="12"/>
    </row>
    <row r="1451" spans="1:28" x14ac:dyDescent="0.3">
      <c r="A1451" s="12" t="s">
        <v>3360</v>
      </c>
      <c r="B1451" s="12" t="s">
        <v>155</v>
      </c>
      <c r="C1451" s="12" t="s">
        <v>155</v>
      </c>
      <c r="D1451" s="12" t="s">
        <v>137</v>
      </c>
      <c r="E1451" s="12" t="s">
        <v>2978</v>
      </c>
      <c r="F1451" s="12" t="s">
        <v>32</v>
      </c>
      <c r="G1451" s="12" t="s">
        <v>32</v>
      </c>
      <c r="H1451" s="12" t="b">
        <v>1</v>
      </c>
      <c r="I1451" s="12" t="b">
        <v>1</v>
      </c>
      <c r="J1451" s="12" t="b">
        <v>0</v>
      </c>
      <c r="K1451" s="12" t="b">
        <v>0</v>
      </c>
      <c r="L1451" s="12">
        <v>406.67000873498171</v>
      </c>
      <c r="M1451" s="12">
        <v>278.63927998838858</v>
      </c>
      <c r="N1451" s="12">
        <v>4811.745787712287</v>
      </c>
      <c r="O1451" s="12">
        <v>1159.6272852179691</v>
      </c>
      <c r="P1451" s="12">
        <v>0.78233303490919615</v>
      </c>
      <c r="Q1451" s="12">
        <v>0.87809672318769894</v>
      </c>
      <c r="R1451" s="12">
        <v>0.73432396717898851</v>
      </c>
      <c r="S1451" s="12">
        <v>0.90949433406137259</v>
      </c>
      <c r="T1451" s="12">
        <v>0.72774431406165052</v>
      </c>
      <c r="U1451" s="12">
        <v>0.89772430568590933</v>
      </c>
      <c r="V1451" s="12">
        <v>278.63927998838858</v>
      </c>
      <c r="W1451" s="12">
        <v>10.80642603229097</v>
      </c>
      <c r="X1451" s="12">
        <v>88.496637277402883</v>
      </c>
      <c r="Y1451" s="12">
        <v>3652.1185024943179</v>
      </c>
      <c r="Z1451" s="12">
        <v>4.1493899367914997</v>
      </c>
      <c r="AA1451" s="12"/>
      <c r="AB1451" s="12"/>
    </row>
    <row r="1452" spans="1:28" x14ac:dyDescent="0.3">
      <c r="A1452" s="12" t="s">
        <v>3361</v>
      </c>
      <c r="B1452" s="12" t="s">
        <v>155</v>
      </c>
      <c r="C1452" s="12" t="s">
        <v>155</v>
      </c>
      <c r="D1452" s="12" t="s">
        <v>137</v>
      </c>
      <c r="E1452" s="12" t="s">
        <v>2978</v>
      </c>
      <c r="F1452" s="12" t="s">
        <v>832</v>
      </c>
      <c r="G1452" s="12" t="s">
        <v>832</v>
      </c>
      <c r="H1452" s="12" t="b">
        <v>0</v>
      </c>
      <c r="I1452" s="12" t="b">
        <v>0</v>
      </c>
      <c r="J1452" s="12" t="b">
        <v>0</v>
      </c>
      <c r="K1452" s="12" t="b">
        <v>0</v>
      </c>
      <c r="L1452" s="12">
        <v>488.20354835484682</v>
      </c>
      <c r="M1452" s="12">
        <v>280.30694201190812</v>
      </c>
      <c r="N1452" s="12">
        <v>2944.9293216149358</v>
      </c>
      <c r="O1452" s="12">
        <v>1208.291031742486</v>
      </c>
      <c r="P1452" s="12">
        <v>0.82213623319475471</v>
      </c>
      <c r="Q1452" s="12">
        <v>0.87863794077831325</v>
      </c>
      <c r="R1452" s="12">
        <v>0.76683232902508613</v>
      </c>
      <c r="S1452" s="12">
        <v>0.70262313527116294</v>
      </c>
      <c r="T1452" s="12">
        <v>0.94755929053499721</v>
      </c>
      <c r="U1452" s="12">
        <v>0.7417997750303077</v>
      </c>
      <c r="V1452" s="12">
        <v>280.30694201190812</v>
      </c>
      <c r="W1452" s="12"/>
      <c r="X1452" s="12"/>
      <c r="Y1452" s="12">
        <v>1736.6382898724501</v>
      </c>
      <c r="Z1452" s="12">
        <v>2.4372682112586981</v>
      </c>
      <c r="AA1452" s="12"/>
      <c r="AB1452" s="12"/>
    </row>
    <row r="1453" spans="1:28" x14ac:dyDescent="0.3">
      <c r="A1453" s="12" t="s">
        <v>3362</v>
      </c>
      <c r="B1453" s="12" t="s">
        <v>155</v>
      </c>
      <c r="C1453" s="12" t="s">
        <v>155</v>
      </c>
      <c r="D1453" s="12" t="s">
        <v>137</v>
      </c>
      <c r="E1453" s="12" t="s">
        <v>2978</v>
      </c>
      <c r="F1453" s="12" t="s">
        <v>1861</v>
      </c>
      <c r="G1453" s="12" t="s">
        <v>1861</v>
      </c>
      <c r="H1453" s="12" t="b">
        <v>1</v>
      </c>
      <c r="I1453" s="12" t="b">
        <v>0</v>
      </c>
      <c r="J1453" s="12" t="b">
        <v>0</v>
      </c>
      <c r="K1453" s="12" t="b">
        <v>0</v>
      </c>
      <c r="L1453" s="12">
        <v>388.9717347470957</v>
      </c>
      <c r="M1453" s="12">
        <v>301.80150832071809</v>
      </c>
      <c r="N1453" s="12">
        <v>2891.278952726228</v>
      </c>
      <c r="O1453" s="12">
        <v>913.581366835484</v>
      </c>
      <c r="P1453" s="12">
        <v>0.61241180791023009</v>
      </c>
      <c r="Q1453" s="12">
        <v>0.859950700936426</v>
      </c>
      <c r="R1453" s="12">
        <v>0.65970183396412085</v>
      </c>
      <c r="S1453" s="12">
        <v>0.62714430715686165</v>
      </c>
      <c r="T1453" s="12">
        <v>0.92605259150748942</v>
      </c>
      <c r="U1453" s="12">
        <v>0.74417965831505373</v>
      </c>
      <c r="V1453" s="12">
        <v>301.80150832071809</v>
      </c>
      <c r="W1453" s="12">
        <v>8.4698416262362901</v>
      </c>
      <c r="X1453" s="12">
        <v>23.28361535334945</v>
      </c>
      <c r="Y1453" s="12">
        <v>1977.697585890744</v>
      </c>
      <c r="Z1453" s="12">
        <v>3.1647744335474002</v>
      </c>
      <c r="AA1453" s="12" t="s">
        <v>1268</v>
      </c>
      <c r="AB1453" s="12"/>
    </row>
    <row r="1454" spans="1:28" x14ac:dyDescent="0.3">
      <c r="A1454" s="12" t="s">
        <v>3363</v>
      </c>
      <c r="B1454" s="12" t="s">
        <v>155</v>
      </c>
      <c r="C1454" s="12" t="s">
        <v>155</v>
      </c>
      <c r="D1454" s="12" t="s">
        <v>137</v>
      </c>
      <c r="E1454" s="12" t="s">
        <v>2978</v>
      </c>
      <c r="F1454" s="12" t="s">
        <v>1861</v>
      </c>
      <c r="G1454" s="12" t="s">
        <v>1861</v>
      </c>
      <c r="H1454" s="12" t="b">
        <v>1</v>
      </c>
      <c r="I1454" s="12" t="b">
        <v>0</v>
      </c>
      <c r="J1454" s="12" t="b">
        <v>1</v>
      </c>
      <c r="K1454" s="12" t="b">
        <v>0</v>
      </c>
      <c r="L1454" s="12">
        <v>462.70429090728192</v>
      </c>
      <c r="M1454" s="12">
        <v>278.37207692644898</v>
      </c>
      <c r="N1454" s="12">
        <v>2095.385835313507</v>
      </c>
      <c r="O1454" s="12">
        <v>756.85091463292724</v>
      </c>
      <c r="P1454" s="12">
        <v>0.68530771357005682</v>
      </c>
      <c r="Q1454" s="12">
        <v>0.7524825912187727</v>
      </c>
      <c r="R1454" s="12">
        <v>0.82035620223460359</v>
      </c>
      <c r="S1454" s="12">
        <v>0.78214068296554839</v>
      </c>
      <c r="T1454" s="12">
        <v>0.88836284460988046</v>
      </c>
      <c r="U1454" s="12">
        <v>0.8257511402651535</v>
      </c>
      <c r="V1454" s="12">
        <v>278.37207692644898</v>
      </c>
      <c r="W1454" s="12">
        <v>7.0190982233381796</v>
      </c>
      <c r="X1454" s="12">
        <v>101.50299827499239</v>
      </c>
      <c r="Y1454" s="12">
        <v>1338.534920680579</v>
      </c>
      <c r="Z1454" s="12">
        <v>2.7685582388835042</v>
      </c>
      <c r="AA1454" s="12" t="s">
        <v>1268</v>
      </c>
      <c r="AB1454" s="12"/>
    </row>
    <row r="1455" spans="1:28" x14ac:dyDescent="0.3">
      <c r="A1455" s="12" t="s">
        <v>3364</v>
      </c>
      <c r="B1455" s="12" t="s">
        <v>155</v>
      </c>
      <c r="C1455" s="12" t="s">
        <v>155</v>
      </c>
      <c r="D1455" s="12" t="s">
        <v>137</v>
      </c>
      <c r="E1455" s="12" t="s">
        <v>2978</v>
      </c>
      <c r="F1455" s="12" t="s">
        <v>1861</v>
      </c>
      <c r="G1455" s="12" t="s">
        <v>1861</v>
      </c>
      <c r="H1455" s="12" t="b">
        <v>1</v>
      </c>
      <c r="I1455" s="12" t="b">
        <v>0</v>
      </c>
      <c r="J1455" s="12" t="b">
        <v>1</v>
      </c>
      <c r="K1455" s="12" t="b">
        <v>0</v>
      </c>
      <c r="L1455" s="12">
        <v>477.63238139967228</v>
      </c>
      <c r="M1455" s="12">
        <v>293.35841274543537</v>
      </c>
      <c r="N1455" s="12">
        <v>3290.1780006679378</v>
      </c>
      <c r="O1455" s="12">
        <v>475.7328549409533</v>
      </c>
      <c r="P1455" s="12">
        <v>0.50011543599578079</v>
      </c>
      <c r="Q1455" s="12">
        <v>0.9041437920706612</v>
      </c>
      <c r="R1455" s="12">
        <v>0.74758728734780444</v>
      </c>
      <c r="S1455" s="12">
        <v>0.62104400654137104</v>
      </c>
      <c r="T1455" s="12">
        <v>0.83503120721440593</v>
      </c>
      <c r="U1455" s="12">
        <v>0.85746248526157709</v>
      </c>
      <c r="V1455" s="12">
        <v>293.35841274543537</v>
      </c>
      <c r="W1455" s="12">
        <v>14.21490881167014</v>
      </c>
      <c r="X1455" s="12">
        <v>175.93151389244659</v>
      </c>
      <c r="Y1455" s="12">
        <v>2814.4451457269852</v>
      </c>
      <c r="Z1455" s="12">
        <v>6.9160201287260401</v>
      </c>
      <c r="AA1455" s="12" t="s">
        <v>1981</v>
      </c>
      <c r="AB1455" s="12"/>
    </row>
    <row r="1456" spans="1:28" x14ac:dyDescent="0.3">
      <c r="A1456" s="12" t="s">
        <v>3365</v>
      </c>
      <c r="B1456" s="12" t="s">
        <v>155</v>
      </c>
      <c r="C1456" s="12" t="s">
        <v>155</v>
      </c>
      <c r="D1456" s="12" t="s">
        <v>137</v>
      </c>
      <c r="E1456" s="12" t="s">
        <v>2978</v>
      </c>
      <c r="F1456" s="12" t="s">
        <v>32</v>
      </c>
      <c r="G1456" s="12" t="s">
        <v>32</v>
      </c>
      <c r="H1456" s="12" t="b">
        <v>1</v>
      </c>
      <c r="I1456" s="12" t="b">
        <v>0</v>
      </c>
      <c r="J1456" s="12" t="b">
        <v>1</v>
      </c>
      <c r="K1456" s="12" t="b">
        <v>0</v>
      </c>
      <c r="L1456" s="12">
        <v>465.77595055710822</v>
      </c>
      <c r="M1456" s="12">
        <v>281.65688696529321</v>
      </c>
      <c r="N1456" s="12">
        <v>2815.7803137651981</v>
      </c>
      <c r="O1456" s="12">
        <v>1090.2461419681731</v>
      </c>
      <c r="P1456" s="12">
        <v>0.63683336837797766</v>
      </c>
      <c r="Q1456" s="12">
        <v>0.81287772199734187</v>
      </c>
      <c r="R1456" s="12">
        <v>0.82483247096026757</v>
      </c>
      <c r="S1456" s="12">
        <v>0.75792226368468163</v>
      </c>
      <c r="T1456" s="12">
        <v>0.80159917458322372</v>
      </c>
      <c r="U1456" s="12">
        <v>0.92189280771659399</v>
      </c>
      <c r="V1456" s="12">
        <v>281.65688696529321</v>
      </c>
      <c r="W1456" s="12">
        <v>6.8590640017767006</v>
      </c>
      <c r="X1456" s="12">
        <v>104.2636474014828</v>
      </c>
      <c r="Y1456" s="12">
        <v>1725.534171797025</v>
      </c>
      <c r="Z1456" s="12">
        <v>2.582701470222124</v>
      </c>
      <c r="AA1456" s="12"/>
      <c r="AB1456" s="12"/>
    </row>
    <row r="1457" spans="1:28" x14ac:dyDescent="0.3">
      <c r="A1457" s="12" t="s">
        <v>3366</v>
      </c>
      <c r="B1457" s="12" t="s">
        <v>155</v>
      </c>
      <c r="C1457" s="12" t="s">
        <v>155</v>
      </c>
      <c r="D1457" s="12" t="s">
        <v>137</v>
      </c>
      <c r="E1457" s="12" t="s">
        <v>2978</v>
      </c>
      <c r="F1457" s="12" t="s">
        <v>1861</v>
      </c>
      <c r="G1457" s="12" t="s">
        <v>1861</v>
      </c>
      <c r="H1457" s="12" t="b">
        <v>1</v>
      </c>
      <c r="I1457" s="12" t="b">
        <v>0</v>
      </c>
      <c r="J1457" s="12" t="b">
        <v>1</v>
      </c>
      <c r="K1457" s="12" t="b">
        <v>0</v>
      </c>
      <c r="L1457" s="12">
        <v>481.08629473362521</v>
      </c>
      <c r="M1457" s="12">
        <v>300.06229352443171</v>
      </c>
      <c r="N1457" s="12">
        <v>2580.8658736783491</v>
      </c>
      <c r="O1457" s="12">
        <v>779.70906277378231</v>
      </c>
      <c r="P1457" s="12">
        <v>0.61100571122367686</v>
      </c>
      <c r="Q1457" s="12">
        <v>0.7677851796066395</v>
      </c>
      <c r="R1457" s="12">
        <v>0.78487341300348734</v>
      </c>
      <c r="S1457" s="12">
        <v>0.61463051481071029</v>
      </c>
      <c r="T1457" s="12">
        <v>0.83990772662413182</v>
      </c>
      <c r="U1457" s="12">
        <v>0.77567210532932696</v>
      </c>
      <c r="V1457" s="12">
        <v>300.06229352443171</v>
      </c>
      <c r="W1457" s="12">
        <v>7.7214984471593597</v>
      </c>
      <c r="X1457" s="12">
        <v>86.689251008370974</v>
      </c>
      <c r="Y1457" s="12">
        <v>1801.156810904567</v>
      </c>
      <c r="Z1457" s="12">
        <v>3.3100370341945582</v>
      </c>
      <c r="AA1457" s="12" t="s">
        <v>1268</v>
      </c>
      <c r="AB1457" s="12"/>
    </row>
    <row r="1458" spans="1:28" x14ac:dyDescent="0.3">
      <c r="A1458" s="12" t="s">
        <v>3367</v>
      </c>
      <c r="B1458" s="12" t="s">
        <v>155</v>
      </c>
      <c r="C1458" s="12" t="s">
        <v>155</v>
      </c>
      <c r="D1458" s="12" t="s">
        <v>137</v>
      </c>
      <c r="E1458" s="12" t="s">
        <v>2978</v>
      </c>
      <c r="F1458" s="12" t="s">
        <v>1861</v>
      </c>
      <c r="G1458" s="12" t="s">
        <v>1861</v>
      </c>
      <c r="H1458" s="12" t="b">
        <v>1</v>
      </c>
      <c r="I1458" s="12" t="b">
        <v>0</v>
      </c>
      <c r="J1458" s="12" t="b">
        <v>0</v>
      </c>
      <c r="K1458" s="12" t="b">
        <v>0</v>
      </c>
      <c r="L1458" s="12">
        <v>388.22013615190832</v>
      </c>
      <c r="M1458" s="12">
        <v>279.9918669714973</v>
      </c>
      <c r="N1458" s="12">
        <v>4527.0307020367136</v>
      </c>
      <c r="O1458" s="12">
        <v>1072.2610352197919</v>
      </c>
      <c r="P1458" s="12">
        <v>0.81178186136053099</v>
      </c>
      <c r="Q1458" s="12">
        <v>0.7631213196379093</v>
      </c>
      <c r="R1458" s="12">
        <v>0.78672351056528422</v>
      </c>
      <c r="S1458" s="12">
        <v>0.90310453635735755</v>
      </c>
      <c r="T1458" s="12">
        <v>0.83814513061903928</v>
      </c>
      <c r="U1458" s="12">
        <v>0.80296052077100266</v>
      </c>
      <c r="V1458" s="12">
        <v>279.9918669714973</v>
      </c>
      <c r="W1458" s="12">
        <v>10.043095517578941</v>
      </c>
      <c r="X1458" s="12">
        <v>62.760930348535332</v>
      </c>
      <c r="Y1458" s="12">
        <v>3454.769666816921</v>
      </c>
      <c r="Z1458" s="12">
        <v>4.2219483440510936</v>
      </c>
      <c r="AA1458" s="12" t="s">
        <v>1268</v>
      </c>
      <c r="AB1458" s="12"/>
    </row>
    <row r="1459" spans="1:28" x14ac:dyDescent="0.3">
      <c r="A1459" s="12" t="s">
        <v>3368</v>
      </c>
      <c r="B1459" s="12" t="s">
        <v>155</v>
      </c>
      <c r="C1459" s="12" t="s">
        <v>155</v>
      </c>
      <c r="D1459" s="12" t="s">
        <v>137</v>
      </c>
      <c r="E1459" s="12" t="s">
        <v>2978</v>
      </c>
      <c r="F1459" s="12" t="s">
        <v>1861</v>
      </c>
      <c r="G1459" s="12" t="s">
        <v>1861</v>
      </c>
      <c r="H1459" s="12" t="b">
        <v>1</v>
      </c>
      <c r="I1459" s="12" t="b">
        <v>0</v>
      </c>
      <c r="J1459" s="12" t="b">
        <v>1</v>
      </c>
      <c r="K1459" s="12" t="b">
        <v>0</v>
      </c>
      <c r="L1459" s="12">
        <v>478.2728581788985</v>
      </c>
      <c r="M1459" s="12">
        <v>280.07283128200379</v>
      </c>
      <c r="N1459" s="12">
        <v>3798.2657363311541</v>
      </c>
      <c r="O1459" s="12">
        <v>484.30095586927217</v>
      </c>
      <c r="P1459" s="12">
        <v>0.71036211785535175</v>
      </c>
      <c r="Q1459" s="12">
        <v>0.80859799713222524</v>
      </c>
      <c r="R1459" s="12">
        <v>0.89845312148391954</v>
      </c>
      <c r="S1459" s="12">
        <v>0.81043112666589256</v>
      </c>
      <c r="T1459" s="12">
        <v>0.76151260644318353</v>
      </c>
      <c r="U1459" s="12">
        <v>0.8624057748393652</v>
      </c>
      <c r="V1459" s="12">
        <v>280.07283128200379</v>
      </c>
      <c r="W1459" s="12">
        <v>14.747660998429479</v>
      </c>
      <c r="X1459" s="12">
        <v>222.48284700211769</v>
      </c>
      <c r="Y1459" s="12">
        <v>3313.9647804618821</v>
      </c>
      <c r="Z1459" s="12">
        <v>7.8427797639045407</v>
      </c>
      <c r="AA1459" s="12" t="s">
        <v>1268</v>
      </c>
      <c r="AB1459" s="12"/>
    </row>
    <row r="1460" spans="1:28" x14ac:dyDescent="0.3">
      <c r="A1460" s="12" t="s">
        <v>3369</v>
      </c>
      <c r="B1460" s="12" t="s">
        <v>155</v>
      </c>
      <c r="C1460" s="12" t="s">
        <v>155</v>
      </c>
      <c r="D1460" s="12" t="s">
        <v>137</v>
      </c>
      <c r="E1460" s="12" t="s">
        <v>2978</v>
      </c>
      <c r="F1460" s="12" t="s">
        <v>1862</v>
      </c>
      <c r="G1460" s="12" t="s">
        <v>1862</v>
      </c>
      <c r="H1460" s="12" t="b">
        <v>1</v>
      </c>
      <c r="I1460" s="12" t="b">
        <v>0</v>
      </c>
      <c r="J1460" s="12" t="b">
        <v>0</v>
      </c>
      <c r="K1460" s="12" t="b">
        <v>0</v>
      </c>
      <c r="L1460" s="12">
        <v>407.9983163338112</v>
      </c>
      <c r="M1460" s="12">
        <v>301.19605329831143</v>
      </c>
      <c r="N1460" s="12">
        <v>2697.1902563420481</v>
      </c>
      <c r="O1460" s="12">
        <v>335.24030954492889</v>
      </c>
      <c r="P1460" s="12">
        <v>0.72953224693698626</v>
      </c>
      <c r="Q1460" s="12">
        <v>0.8978543870316863</v>
      </c>
      <c r="R1460" s="12">
        <v>0.6986365150886138</v>
      </c>
      <c r="S1460" s="12">
        <v>0.74155724915944454</v>
      </c>
      <c r="T1460" s="12">
        <v>0.87912580174066557</v>
      </c>
      <c r="U1460" s="12">
        <v>0.82010741976686308</v>
      </c>
      <c r="V1460" s="12">
        <v>301.19605329831143</v>
      </c>
      <c r="W1460" s="12">
        <v>-18.479478150462221</v>
      </c>
      <c r="X1460" s="12">
        <v>-42.753512244472553</v>
      </c>
      <c r="Y1460" s="12">
        <v>2361.9499467971191</v>
      </c>
      <c r="Z1460" s="12">
        <v>8.0455427928799548</v>
      </c>
      <c r="AA1460" s="12" t="s">
        <v>2513</v>
      </c>
      <c r="AB1460" s="12"/>
    </row>
    <row r="1461" spans="1:28" x14ac:dyDescent="0.3">
      <c r="A1461" s="12" t="s">
        <v>3370</v>
      </c>
      <c r="B1461" s="12" t="s">
        <v>155</v>
      </c>
      <c r="C1461" s="12" t="s">
        <v>155</v>
      </c>
      <c r="D1461" s="12" t="s">
        <v>137</v>
      </c>
      <c r="E1461" s="12" t="s">
        <v>2978</v>
      </c>
      <c r="F1461" s="12" t="s">
        <v>1861</v>
      </c>
      <c r="G1461" s="12" t="s">
        <v>1861</v>
      </c>
      <c r="H1461" s="12" t="b">
        <v>1</v>
      </c>
      <c r="I1461" s="12" t="b">
        <v>0</v>
      </c>
      <c r="J1461" s="12" t="b">
        <v>0</v>
      </c>
      <c r="K1461" s="12" t="b">
        <v>0</v>
      </c>
      <c r="L1461" s="12">
        <v>419.05757607807539</v>
      </c>
      <c r="M1461" s="12">
        <v>292.17948200593798</v>
      </c>
      <c r="N1461" s="12">
        <v>4870.9488600302229</v>
      </c>
      <c r="O1461" s="12">
        <v>1097.6457094238469</v>
      </c>
      <c r="P1461" s="12">
        <v>0.80100728423070444</v>
      </c>
      <c r="Q1461" s="12">
        <v>0.83269324423055202</v>
      </c>
      <c r="R1461" s="12">
        <v>0.84684512857594063</v>
      </c>
      <c r="S1461" s="12">
        <v>0.81570197341765005</v>
      </c>
      <c r="T1461" s="12">
        <v>0.76031299648234363</v>
      </c>
      <c r="U1461" s="12">
        <v>0.81469550995180606</v>
      </c>
      <c r="V1461" s="12">
        <v>292.17948200593798</v>
      </c>
      <c r="W1461" s="12">
        <v>12.3492965145229</v>
      </c>
      <c r="X1461" s="12">
        <v>100.3463263297362</v>
      </c>
      <c r="Y1461" s="12">
        <v>3773.3031506063749</v>
      </c>
      <c r="Z1461" s="12">
        <v>4.4376330342392327</v>
      </c>
      <c r="AA1461" s="12" t="s">
        <v>1268</v>
      </c>
      <c r="AB1461" s="12"/>
    </row>
    <row r="1462" spans="1:28" x14ac:dyDescent="0.3">
      <c r="A1462" s="12" t="s">
        <v>3371</v>
      </c>
      <c r="B1462" s="12" t="s">
        <v>155</v>
      </c>
      <c r="C1462" s="12" t="s">
        <v>155</v>
      </c>
      <c r="D1462" s="12" t="s">
        <v>137</v>
      </c>
      <c r="E1462" s="12" t="s">
        <v>2978</v>
      </c>
      <c r="F1462" s="12" t="s">
        <v>1861</v>
      </c>
      <c r="G1462" s="12" t="s">
        <v>1861</v>
      </c>
      <c r="H1462" s="12" t="b">
        <v>1</v>
      </c>
      <c r="I1462" s="12" t="b">
        <v>0</v>
      </c>
      <c r="J1462" s="12" t="b">
        <v>0</v>
      </c>
      <c r="K1462" s="12" t="b">
        <v>0</v>
      </c>
      <c r="L1462" s="12">
        <v>400.16258886391188</v>
      </c>
      <c r="M1462" s="12">
        <v>286.68127393849608</v>
      </c>
      <c r="N1462" s="12">
        <v>3024.0721919774542</v>
      </c>
      <c r="O1462" s="12">
        <v>456.9459612600096</v>
      </c>
      <c r="P1462" s="12">
        <v>0.69246490393881788</v>
      </c>
      <c r="Q1462" s="12">
        <v>0.88794376181445789</v>
      </c>
      <c r="R1462" s="12">
        <v>0.86396653166047843</v>
      </c>
      <c r="S1462" s="12">
        <v>0.84677833714639683</v>
      </c>
      <c r="T1462" s="12">
        <v>0.63039904525021317</v>
      </c>
      <c r="U1462" s="12">
        <v>0.79675116038335747</v>
      </c>
      <c r="V1462" s="12">
        <v>286.68127393849608</v>
      </c>
      <c r="W1462" s="12">
        <v>13.96169565169683</v>
      </c>
      <c r="X1462" s="12">
        <v>97.005172579811926</v>
      </c>
      <c r="Y1462" s="12">
        <v>2567.1262307174452</v>
      </c>
      <c r="Z1462" s="12">
        <v>6.6180083606356872</v>
      </c>
      <c r="AA1462" s="12" t="s">
        <v>1268</v>
      </c>
      <c r="AB1462" s="12"/>
    </row>
    <row r="1463" spans="1:28" x14ac:dyDescent="0.3">
      <c r="A1463" s="12" t="s">
        <v>3372</v>
      </c>
      <c r="B1463" s="12" t="s">
        <v>155</v>
      </c>
      <c r="C1463" s="12" t="s">
        <v>155</v>
      </c>
      <c r="D1463" s="12" t="s">
        <v>137</v>
      </c>
      <c r="E1463" s="12" t="s">
        <v>2978</v>
      </c>
      <c r="F1463" s="12" t="s">
        <v>1861</v>
      </c>
      <c r="G1463" s="12" t="s">
        <v>1861</v>
      </c>
      <c r="H1463" s="12" t="b">
        <v>1</v>
      </c>
      <c r="I1463" s="12" t="b">
        <v>0</v>
      </c>
      <c r="J1463" s="12" t="b">
        <v>0</v>
      </c>
      <c r="K1463" s="12" t="b">
        <v>0</v>
      </c>
      <c r="L1463" s="12">
        <v>415.6689041243427</v>
      </c>
      <c r="M1463" s="12">
        <v>282.36996059895688</v>
      </c>
      <c r="N1463" s="12">
        <v>4561.3068555756727</v>
      </c>
      <c r="O1463" s="12">
        <v>316.03367410039488</v>
      </c>
      <c r="P1463" s="12">
        <v>0.67849306416110478</v>
      </c>
      <c r="Q1463" s="12">
        <v>0.78509136297016302</v>
      </c>
      <c r="R1463" s="12">
        <v>0.72221269192622017</v>
      </c>
      <c r="S1463" s="12">
        <v>0.71163081546544826</v>
      </c>
      <c r="T1463" s="12">
        <v>0.90314778571770582</v>
      </c>
      <c r="U1463" s="12">
        <v>0.80966546312975962</v>
      </c>
      <c r="V1463" s="12">
        <v>282.36996059895688</v>
      </c>
      <c r="W1463" s="12">
        <v>10.865492202317579</v>
      </c>
      <c r="X1463" s="12">
        <v>47.207150016894673</v>
      </c>
      <c r="Y1463" s="12">
        <v>4245.2731814752779</v>
      </c>
      <c r="Z1463" s="12">
        <v>14.43297733559454</v>
      </c>
      <c r="AA1463" s="12" t="s">
        <v>1268</v>
      </c>
      <c r="AB1463" s="12"/>
    </row>
    <row r="1464" spans="1:28" x14ac:dyDescent="0.3">
      <c r="A1464" s="12" t="s">
        <v>3373</v>
      </c>
      <c r="B1464" s="12" t="s">
        <v>155</v>
      </c>
      <c r="C1464" s="12" t="s">
        <v>155</v>
      </c>
      <c r="D1464" s="12" t="s">
        <v>137</v>
      </c>
      <c r="E1464" s="12" t="s">
        <v>2978</v>
      </c>
      <c r="F1464" s="12" t="s">
        <v>1861</v>
      </c>
      <c r="G1464" s="12" t="s">
        <v>1861</v>
      </c>
      <c r="H1464" s="12" t="b">
        <v>1</v>
      </c>
      <c r="I1464" s="12" t="b">
        <v>0</v>
      </c>
      <c r="J1464" s="12" t="b">
        <v>1</v>
      </c>
      <c r="K1464" s="12" t="b">
        <v>0</v>
      </c>
      <c r="L1464" s="12">
        <v>449.21167163386917</v>
      </c>
      <c r="M1464" s="12">
        <v>302.25310494939202</v>
      </c>
      <c r="N1464" s="12">
        <v>3353.0229282620662</v>
      </c>
      <c r="O1464" s="12">
        <v>1497.185787006144</v>
      </c>
      <c r="P1464" s="12">
        <v>0.680135051288416</v>
      </c>
      <c r="Q1464" s="12">
        <v>0.80703789100765411</v>
      </c>
      <c r="R1464" s="12">
        <v>0.69502142493404206</v>
      </c>
      <c r="S1464" s="12">
        <v>0.70031607841883214</v>
      </c>
      <c r="T1464" s="12">
        <v>0.83270096410761096</v>
      </c>
      <c r="U1464" s="12">
        <v>0.78455265552048403</v>
      </c>
      <c r="V1464" s="12">
        <v>302.25310494939202</v>
      </c>
      <c r="W1464" s="12">
        <v>6.4813390833739799</v>
      </c>
      <c r="X1464" s="12">
        <v>64.344716536028898</v>
      </c>
      <c r="Y1464" s="12">
        <v>1855.837141255922</v>
      </c>
      <c r="Z1464" s="12">
        <v>2.2395503332735718</v>
      </c>
      <c r="AA1464" s="12" t="s">
        <v>1268</v>
      </c>
      <c r="AB1464" s="12"/>
    </row>
    <row r="1465" spans="1:28" x14ac:dyDescent="0.3">
      <c r="A1465" s="12" t="s">
        <v>3374</v>
      </c>
      <c r="B1465" s="12" t="s">
        <v>155</v>
      </c>
      <c r="C1465" s="12" t="s">
        <v>155</v>
      </c>
      <c r="D1465" s="12" t="s">
        <v>137</v>
      </c>
      <c r="E1465" s="12" t="s">
        <v>2978</v>
      </c>
      <c r="F1465" s="12" t="s">
        <v>1861</v>
      </c>
      <c r="G1465" s="12" t="s">
        <v>1861</v>
      </c>
      <c r="H1465" s="12" t="b">
        <v>1</v>
      </c>
      <c r="I1465" s="12" t="b">
        <v>0</v>
      </c>
      <c r="J1465" s="12" t="b">
        <v>0</v>
      </c>
      <c r="K1465" s="12" t="b">
        <v>0</v>
      </c>
      <c r="L1465" s="12">
        <v>386.90487937652449</v>
      </c>
      <c r="M1465" s="12">
        <v>291.89345100548042</v>
      </c>
      <c r="N1465" s="12">
        <v>3365.2356975293242</v>
      </c>
      <c r="O1465" s="12">
        <v>427.55238855600192</v>
      </c>
      <c r="P1465" s="12">
        <v>0.69421435296672418</v>
      </c>
      <c r="Q1465" s="12">
        <v>0.78182537929533602</v>
      </c>
      <c r="R1465" s="12">
        <v>0.88317688710635633</v>
      </c>
      <c r="S1465" s="12">
        <v>0.61606694737015788</v>
      </c>
      <c r="T1465" s="12">
        <v>0.61067394305301148</v>
      </c>
      <c r="U1465" s="12">
        <v>0.8434232271668114</v>
      </c>
      <c r="V1465" s="12">
        <v>291.89345100548042</v>
      </c>
      <c r="W1465" s="12">
        <v>1.3799215486244101</v>
      </c>
      <c r="X1465" s="12">
        <v>3.9302961320238889</v>
      </c>
      <c r="Y1465" s="12">
        <v>2937.6833089733218</v>
      </c>
      <c r="Z1465" s="12">
        <v>7.8709318146834226</v>
      </c>
      <c r="AA1465" s="12" t="s">
        <v>1268</v>
      </c>
      <c r="AB1465" s="12"/>
    </row>
    <row r="1466" spans="1:28" x14ac:dyDescent="0.3">
      <c r="A1466" s="12" t="s">
        <v>3375</v>
      </c>
      <c r="B1466" s="12" t="s">
        <v>155</v>
      </c>
      <c r="C1466" s="12" t="s">
        <v>155</v>
      </c>
      <c r="D1466" s="12" t="s">
        <v>137</v>
      </c>
      <c r="E1466" s="12" t="s">
        <v>2978</v>
      </c>
      <c r="F1466" s="12" t="s">
        <v>1861</v>
      </c>
      <c r="G1466" s="12" t="s">
        <v>1861</v>
      </c>
      <c r="H1466" s="12" t="b">
        <v>1</v>
      </c>
      <c r="I1466" s="12" t="b">
        <v>0</v>
      </c>
      <c r="J1466" s="12" t="b">
        <v>1</v>
      </c>
      <c r="K1466" s="12" t="b">
        <v>0</v>
      </c>
      <c r="L1466" s="12">
        <v>450.50121985827792</v>
      </c>
      <c r="M1466" s="12">
        <v>278.45346248214878</v>
      </c>
      <c r="N1466" s="12">
        <v>3916.9911055488178</v>
      </c>
      <c r="O1466" s="12">
        <v>1121.2688664833081</v>
      </c>
      <c r="P1466" s="12">
        <v>0.67539027410104857</v>
      </c>
      <c r="Q1466" s="12">
        <v>0.8142092382625209</v>
      </c>
      <c r="R1466" s="12">
        <v>0.80594625892825189</v>
      </c>
      <c r="S1466" s="12">
        <v>0.61237760193152324</v>
      </c>
      <c r="T1466" s="12">
        <v>0.90470641516383243</v>
      </c>
      <c r="U1466" s="12">
        <v>0.74879037583631192</v>
      </c>
      <c r="V1466" s="12">
        <v>278.45346248214878</v>
      </c>
      <c r="W1466" s="12">
        <v>10.140998470712081</v>
      </c>
      <c r="X1466" s="12">
        <v>82.65640884420614</v>
      </c>
      <c r="Y1466" s="12">
        <v>2795.7222390655102</v>
      </c>
      <c r="Z1466" s="12">
        <v>3.493355806653113</v>
      </c>
      <c r="AA1466" s="12" t="s">
        <v>1268</v>
      </c>
      <c r="AB1466" s="12"/>
    </row>
    <row r="1467" spans="1:28" x14ac:dyDescent="0.3">
      <c r="A1467" s="12" t="s">
        <v>3376</v>
      </c>
      <c r="B1467" s="12" t="s">
        <v>155</v>
      </c>
      <c r="C1467" s="12" t="s">
        <v>155</v>
      </c>
      <c r="D1467" s="12" t="s">
        <v>137</v>
      </c>
      <c r="E1467" s="12" t="s">
        <v>2978</v>
      </c>
      <c r="F1467" s="12" t="s">
        <v>1861</v>
      </c>
      <c r="G1467" s="12" t="s">
        <v>1861</v>
      </c>
      <c r="H1467" s="12" t="b">
        <v>1</v>
      </c>
      <c r="I1467" s="12" t="b">
        <v>0</v>
      </c>
      <c r="J1467" s="12" t="b">
        <v>0</v>
      </c>
      <c r="K1467" s="12" t="b">
        <v>0</v>
      </c>
      <c r="L1467" s="12">
        <v>445.95513514543183</v>
      </c>
      <c r="M1467" s="12">
        <v>290.85829156356829</v>
      </c>
      <c r="N1467" s="12">
        <v>3096.5167014227118</v>
      </c>
      <c r="O1467" s="12">
        <v>836.05831694657627</v>
      </c>
      <c r="P1467" s="12">
        <v>0.84177458188315246</v>
      </c>
      <c r="Q1467" s="12">
        <v>0.75680896488624327</v>
      </c>
      <c r="R1467" s="12">
        <v>0.6654198584019837</v>
      </c>
      <c r="S1467" s="12">
        <v>0.81357724650878527</v>
      </c>
      <c r="T1467" s="12">
        <v>0.69505884015148256</v>
      </c>
      <c r="U1467" s="12">
        <v>0.71086869301280808</v>
      </c>
      <c r="V1467" s="12">
        <v>290.85829156356829</v>
      </c>
      <c r="W1467" s="12">
        <v>7.6164715264633198</v>
      </c>
      <c r="X1467" s="12">
        <v>81.983603887880463</v>
      </c>
      <c r="Y1467" s="12">
        <v>2260.458384476136</v>
      </c>
      <c r="Z1467" s="12">
        <v>3.70370898615267</v>
      </c>
      <c r="AA1467" s="12" t="s">
        <v>1268</v>
      </c>
      <c r="AB1467" s="12"/>
    </row>
    <row r="1468" spans="1:28" x14ac:dyDescent="0.3">
      <c r="A1468" s="12" t="s">
        <v>3377</v>
      </c>
      <c r="B1468" s="12" t="s">
        <v>155</v>
      </c>
      <c r="C1468" s="12" t="s">
        <v>155</v>
      </c>
      <c r="D1468" s="12" t="s">
        <v>137</v>
      </c>
      <c r="E1468" s="12" t="s">
        <v>2978</v>
      </c>
      <c r="F1468" s="12" t="s">
        <v>32</v>
      </c>
      <c r="G1468" s="12" t="s">
        <v>32</v>
      </c>
      <c r="H1468" s="12" t="b">
        <v>1</v>
      </c>
      <c r="I1468" s="12" t="b">
        <v>1</v>
      </c>
      <c r="J1468" s="12" t="b">
        <v>0</v>
      </c>
      <c r="K1468" s="12" t="b">
        <v>0</v>
      </c>
      <c r="L1468" s="12">
        <v>467.90642290884028</v>
      </c>
      <c r="M1468" s="12">
        <v>280.63096601597078</v>
      </c>
      <c r="N1468" s="12">
        <v>3285.1841476987302</v>
      </c>
      <c r="O1468" s="12">
        <v>1416.577729466989</v>
      </c>
      <c r="P1468" s="12">
        <v>0.75428190536062811</v>
      </c>
      <c r="Q1468" s="12">
        <v>0.83591167349029605</v>
      </c>
      <c r="R1468" s="12">
        <v>0.82654776488482185</v>
      </c>
      <c r="S1468" s="12">
        <v>0.67124721876279803</v>
      </c>
      <c r="T1468" s="12">
        <v>0.69148125692507578</v>
      </c>
      <c r="U1468" s="12">
        <v>0.94456971418572477</v>
      </c>
      <c r="V1468" s="12">
        <v>280.63096601597078</v>
      </c>
      <c r="W1468" s="12">
        <v>6.6281632760957496</v>
      </c>
      <c r="X1468" s="12">
        <v>83.74607066128587</v>
      </c>
      <c r="Y1468" s="12">
        <v>1868.60641823174</v>
      </c>
      <c r="Z1468" s="12">
        <v>2.3190991072087761</v>
      </c>
      <c r="AA1468" s="12"/>
      <c r="AB1468" s="12"/>
    </row>
    <row r="1469" spans="1:28" x14ac:dyDescent="0.3">
      <c r="A1469" s="12" t="s">
        <v>3378</v>
      </c>
      <c r="B1469" s="12" t="s">
        <v>155</v>
      </c>
      <c r="C1469" s="12" t="s">
        <v>155</v>
      </c>
      <c r="D1469" s="12" t="s">
        <v>137</v>
      </c>
      <c r="E1469" s="12" t="s">
        <v>2978</v>
      </c>
      <c r="F1469" s="12" t="s">
        <v>1861</v>
      </c>
      <c r="G1469" s="12" t="s">
        <v>1861</v>
      </c>
      <c r="H1469" s="12" t="b">
        <v>1</v>
      </c>
      <c r="I1469" s="12" t="b">
        <v>0</v>
      </c>
      <c r="J1469" s="12" t="b">
        <v>1</v>
      </c>
      <c r="K1469" s="12" t="b">
        <v>0</v>
      </c>
      <c r="L1469" s="12">
        <v>498.56123702240001</v>
      </c>
      <c r="M1469" s="12">
        <v>291.51531063004091</v>
      </c>
      <c r="N1469" s="12">
        <v>2208.7617433056521</v>
      </c>
      <c r="O1469" s="12">
        <v>1291.3361311195069</v>
      </c>
      <c r="P1469" s="12">
        <v>0.75001682697098482</v>
      </c>
      <c r="Q1469" s="12">
        <v>0.75811162490235817</v>
      </c>
      <c r="R1469" s="12">
        <v>0.66786518782427784</v>
      </c>
      <c r="S1469" s="12">
        <v>0.76330884357078832</v>
      </c>
      <c r="T1469" s="12">
        <v>0.85069379531554157</v>
      </c>
      <c r="U1469" s="12">
        <v>0.85342877691340457</v>
      </c>
      <c r="V1469" s="12">
        <v>291.51531063004091</v>
      </c>
      <c r="W1469" s="12">
        <v>4.0376711882777414</v>
      </c>
      <c r="X1469" s="12">
        <v>57.040847138538311</v>
      </c>
      <c r="Y1469" s="12">
        <v>917.42561218614514</v>
      </c>
      <c r="Z1469" s="12">
        <v>1.710446792339648</v>
      </c>
      <c r="AA1469" s="12" t="s">
        <v>1268</v>
      </c>
      <c r="AB1469" s="12"/>
    </row>
    <row r="1470" spans="1:28" x14ac:dyDescent="0.3">
      <c r="A1470" s="12" t="s">
        <v>3379</v>
      </c>
      <c r="B1470" s="12" t="s">
        <v>155</v>
      </c>
      <c r="C1470" s="12" t="s">
        <v>155</v>
      </c>
      <c r="D1470" s="12" t="s">
        <v>137</v>
      </c>
      <c r="E1470" s="12" t="s">
        <v>2978</v>
      </c>
      <c r="F1470" s="12" t="s">
        <v>1861</v>
      </c>
      <c r="G1470" s="12" t="s">
        <v>1861</v>
      </c>
      <c r="H1470" s="12" t="b">
        <v>1</v>
      </c>
      <c r="I1470" s="12" t="b">
        <v>0</v>
      </c>
      <c r="J1470" s="12" t="b">
        <v>0</v>
      </c>
      <c r="K1470" s="12" t="b">
        <v>0</v>
      </c>
      <c r="L1470" s="12">
        <v>446.6667550602474</v>
      </c>
      <c r="M1470" s="12">
        <v>279.20997995072582</v>
      </c>
      <c r="N1470" s="12">
        <v>2009.9450225683679</v>
      </c>
      <c r="O1470" s="12">
        <v>1355.1835949536519</v>
      </c>
      <c r="P1470" s="12">
        <v>0.80001336778214949</v>
      </c>
      <c r="Q1470" s="12">
        <v>0.77724661233159931</v>
      </c>
      <c r="R1470" s="12">
        <v>0.74356806794049168</v>
      </c>
      <c r="S1470" s="12">
        <v>0.67849943827054371</v>
      </c>
      <c r="T1470" s="12">
        <v>0.77339638913824782</v>
      </c>
      <c r="U1470" s="12">
        <v>0.72464446615829725</v>
      </c>
      <c r="V1470" s="12">
        <v>279.20997995072582</v>
      </c>
      <c r="W1470" s="12">
        <v>2.9655413730473499</v>
      </c>
      <c r="X1470" s="12">
        <v>30.86541502987599</v>
      </c>
      <c r="Y1470" s="12">
        <v>654.76142761471647</v>
      </c>
      <c r="Z1470" s="12">
        <v>1.483153301185814</v>
      </c>
      <c r="AA1470" s="12" t="s">
        <v>1268</v>
      </c>
      <c r="AB1470" s="12"/>
    </row>
    <row r="1471" spans="1:28" x14ac:dyDescent="0.3">
      <c r="A1471" s="12" t="s">
        <v>3380</v>
      </c>
      <c r="B1471" s="12" t="s">
        <v>155</v>
      </c>
      <c r="C1471" s="12" t="s">
        <v>155</v>
      </c>
      <c r="D1471" s="12" t="s">
        <v>137</v>
      </c>
      <c r="E1471" s="12" t="s">
        <v>2978</v>
      </c>
      <c r="F1471" s="12" t="s">
        <v>1861</v>
      </c>
      <c r="G1471" s="12" t="s">
        <v>1861</v>
      </c>
      <c r="H1471" s="12" t="b">
        <v>1</v>
      </c>
      <c r="I1471" s="12" t="b">
        <v>0</v>
      </c>
      <c r="J1471" s="12" t="b">
        <v>1</v>
      </c>
      <c r="K1471" s="12" t="b">
        <v>0</v>
      </c>
      <c r="L1471" s="12">
        <v>494.59582151515781</v>
      </c>
      <c r="M1471" s="12">
        <v>295.3913503102026</v>
      </c>
      <c r="N1471" s="12">
        <v>2729.1353869547138</v>
      </c>
      <c r="O1471" s="12">
        <v>1265.4748958349419</v>
      </c>
      <c r="P1471" s="12">
        <v>0.61697560218664749</v>
      </c>
      <c r="Q1471" s="12">
        <v>0.80325930961879277</v>
      </c>
      <c r="R1471" s="12">
        <v>0.76366523446865087</v>
      </c>
      <c r="S1471" s="12">
        <v>0.75534482198476971</v>
      </c>
      <c r="T1471" s="12">
        <v>0.67936830815885607</v>
      </c>
      <c r="U1471" s="12">
        <v>0.79876663471468401</v>
      </c>
      <c r="V1471" s="12">
        <v>295.3913503102026</v>
      </c>
      <c r="W1471" s="12">
        <v>5.5729544581939701</v>
      </c>
      <c r="X1471" s="12">
        <v>79.450106261576821</v>
      </c>
      <c r="Y1471" s="12">
        <v>1463.6604911197719</v>
      </c>
      <c r="Z1471" s="12">
        <v>2.1566096616670301</v>
      </c>
      <c r="AA1471" s="12" t="s">
        <v>1268</v>
      </c>
      <c r="AB1471" s="12"/>
    </row>
    <row r="1472" spans="1:28" x14ac:dyDescent="0.3">
      <c r="A1472" s="12" t="s">
        <v>3381</v>
      </c>
      <c r="B1472" s="12" t="s">
        <v>155</v>
      </c>
      <c r="C1472" s="12" t="s">
        <v>155</v>
      </c>
      <c r="D1472" s="12" t="s">
        <v>137</v>
      </c>
      <c r="E1472" s="12" t="s">
        <v>2978</v>
      </c>
      <c r="F1472" s="12" t="s">
        <v>1861</v>
      </c>
      <c r="G1472" s="12" t="s">
        <v>1861</v>
      </c>
      <c r="H1472" s="12" t="b">
        <v>1</v>
      </c>
      <c r="I1472" s="12" t="b">
        <v>0</v>
      </c>
      <c r="J1472" s="12" t="b">
        <v>1</v>
      </c>
      <c r="K1472" s="12" t="b">
        <v>0</v>
      </c>
      <c r="L1472" s="12">
        <v>433.2266049115928</v>
      </c>
      <c r="M1472" s="12">
        <v>286.45509541839829</v>
      </c>
      <c r="N1472" s="12">
        <v>3156.2584628888731</v>
      </c>
      <c r="O1472" s="12">
        <v>707.90931813205134</v>
      </c>
      <c r="P1472" s="12">
        <v>0.75104106424901695</v>
      </c>
      <c r="Q1472" s="12">
        <v>0.88367291379037816</v>
      </c>
      <c r="R1472" s="12">
        <v>0.84112798582155146</v>
      </c>
      <c r="S1472" s="12">
        <v>0.86073704607842783</v>
      </c>
      <c r="T1472" s="12">
        <v>0.710777780426184</v>
      </c>
      <c r="U1472" s="12">
        <v>0.91617857903657096</v>
      </c>
      <c r="V1472" s="12">
        <v>286.45509541839829</v>
      </c>
      <c r="W1472" s="12">
        <v>12.5551025595041</v>
      </c>
      <c r="X1472" s="12">
        <v>160.47429815690549</v>
      </c>
      <c r="Y1472" s="12">
        <v>2448.3491447568208</v>
      </c>
      <c r="Z1472" s="12">
        <v>4.4585632397342074</v>
      </c>
      <c r="AA1472" s="12" t="s">
        <v>1268</v>
      </c>
      <c r="AB1472" s="12"/>
    </row>
    <row r="1473" spans="1:28" x14ac:dyDescent="0.3">
      <c r="A1473" s="12" t="s">
        <v>3382</v>
      </c>
      <c r="B1473" s="12" t="s">
        <v>155</v>
      </c>
      <c r="C1473" s="12" t="s">
        <v>155</v>
      </c>
      <c r="D1473" s="12" t="s">
        <v>137</v>
      </c>
      <c r="E1473" s="12" t="s">
        <v>2978</v>
      </c>
      <c r="F1473" s="12" t="s">
        <v>1861</v>
      </c>
      <c r="G1473" s="12" t="s">
        <v>1861</v>
      </c>
      <c r="H1473" s="12" t="b">
        <v>1</v>
      </c>
      <c r="I1473" s="12" t="b">
        <v>0</v>
      </c>
      <c r="J1473" s="12" t="b">
        <v>0</v>
      </c>
      <c r="K1473" s="12" t="b">
        <v>0</v>
      </c>
      <c r="L1473" s="12">
        <v>414.45885321656579</v>
      </c>
      <c r="M1473" s="12">
        <v>287.79870325052701</v>
      </c>
      <c r="N1473" s="12">
        <v>3427.8679644679351</v>
      </c>
      <c r="O1473" s="12">
        <v>590.03860154080292</v>
      </c>
      <c r="P1473" s="12">
        <v>0.69548477594891389</v>
      </c>
      <c r="Q1473" s="12">
        <v>0.76385411885359189</v>
      </c>
      <c r="R1473" s="12">
        <v>0.6705585423130217</v>
      </c>
      <c r="S1473" s="12">
        <v>0.72133589207864712</v>
      </c>
      <c r="T1473" s="12">
        <v>0.71378786803695882</v>
      </c>
      <c r="U1473" s="12">
        <v>0.78320965855711844</v>
      </c>
      <c r="V1473" s="12">
        <v>287.79870325052701</v>
      </c>
      <c r="W1473" s="12">
        <v>11.07726137092725</v>
      </c>
      <c r="X1473" s="12">
        <v>73.450319207428592</v>
      </c>
      <c r="Y1473" s="12">
        <v>2837.829362927132</v>
      </c>
      <c r="Z1473" s="12">
        <v>5.8095656038715759</v>
      </c>
      <c r="AA1473" s="12" t="s">
        <v>1268</v>
      </c>
      <c r="AB1473" s="12"/>
    </row>
    <row r="1474" spans="1:28" x14ac:dyDescent="0.3">
      <c r="A1474" s="12" t="s">
        <v>3383</v>
      </c>
      <c r="B1474" s="12" t="s">
        <v>155</v>
      </c>
      <c r="C1474" s="12" t="s">
        <v>155</v>
      </c>
      <c r="D1474" s="12" t="s">
        <v>137</v>
      </c>
      <c r="E1474" s="12" t="s">
        <v>2978</v>
      </c>
      <c r="F1474" s="12" t="s">
        <v>1861</v>
      </c>
      <c r="G1474" s="12" t="s">
        <v>1861</v>
      </c>
      <c r="H1474" s="12" t="b">
        <v>1</v>
      </c>
      <c r="I1474" s="12" t="b">
        <v>0</v>
      </c>
      <c r="J1474" s="12" t="b">
        <v>1</v>
      </c>
      <c r="K1474" s="12" t="b">
        <v>0</v>
      </c>
      <c r="L1474" s="12">
        <v>469.36687649589618</v>
      </c>
      <c r="M1474" s="12">
        <v>283.46921035292041</v>
      </c>
      <c r="N1474" s="12">
        <v>3217.0920698307818</v>
      </c>
      <c r="O1474" s="12">
        <v>1484.6243814641221</v>
      </c>
      <c r="P1474" s="12">
        <v>0.52592586371704875</v>
      </c>
      <c r="Q1474" s="12">
        <v>0.85627394430196702</v>
      </c>
      <c r="R1474" s="12">
        <v>0.66927773723525497</v>
      </c>
      <c r="S1474" s="12">
        <v>0.91270881469497323</v>
      </c>
      <c r="T1474" s="12">
        <v>0.82470417662472917</v>
      </c>
      <c r="U1474" s="12">
        <v>0.7939744566804865</v>
      </c>
      <c r="V1474" s="12">
        <v>283.46921035292041</v>
      </c>
      <c r="W1474" s="12">
        <v>6.0702534254367704</v>
      </c>
      <c r="X1474" s="12">
        <v>97.241003574298446</v>
      </c>
      <c r="Y1474" s="12">
        <v>1732.46768836666</v>
      </c>
      <c r="Z1474" s="12">
        <v>2.1669400758851332</v>
      </c>
      <c r="AA1474" s="12" t="s">
        <v>1268</v>
      </c>
      <c r="AB1474" s="12"/>
    </row>
    <row r="1475" spans="1:28" x14ac:dyDescent="0.3">
      <c r="A1475" s="12" t="s">
        <v>3384</v>
      </c>
      <c r="B1475" s="12" t="s">
        <v>155</v>
      </c>
      <c r="C1475" s="12" t="s">
        <v>155</v>
      </c>
      <c r="D1475" s="12" t="s">
        <v>137</v>
      </c>
      <c r="E1475" s="12" t="s">
        <v>2978</v>
      </c>
      <c r="F1475" s="12" t="s">
        <v>1861</v>
      </c>
      <c r="G1475" s="12" t="s">
        <v>1861</v>
      </c>
      <c r="H1475" s="12" t="b">
        <v>1</v>
      </c>
      <c r="I1475" s="12" t="b">
        <v>0</v>
      </c>
      <c r="J1475" s="12" t="b">
        <v>1</v>
      </c>
      <c r="K1475" s="12" t="b">
        <v>0</v>
      </c>
      <c r="L1475" s="12">
        <v>485.16046001791102</v>
      </c>
      <c r="M1475" s="12">
        <v>291.77791215029208</v>
      </c>
      <c r="N1475" s="12">
        <v>4496.2536475938896</v>
      </c>
      <c r="O1475" s="12">
        <v>617.50002578166254</v>
      </c>
      <c r="P1475" s="12">
        <v>0.72292958414076181</v>
      </c>
      <c r="Q1475" s="12">
        <v>0.89993986395104608</v>
      </c>
      <c r="R1475" s="12">
        <v>0.85332918343711517</v>
      </c>
      <c r="S1475" s="12">
        <v>0.76665428587780893</v>
      </c>
      <c r="T1475" s="12">
        <v>0.75706060132325637</v>
      </c>
      <c r="U1475" s="12">
        <v>0.82764700721867968</v>
      </c>
      <c r="V1475" s="12">
        <v>291.77791215029208</v>
      </c>
      <c r="W1475" s="12">
        <v>16.41330760969738</v>
      </c>
      <c r="X1475" s="12">
        <v>219.84643056957131</v>
      </c>
      <c r="Y1475" s="12">
        <v>3878.7536218122268</v>
      </c>
      <c r="Z1475" s="12">
        <v>7.2813821212433254</v>
      </c>
      <c r="AA1475" s="12" t="s">
        <v>1981</v>
      </c>
      <c r="AB1475" s="12"/>
    </row>
    <row r="1476" spans="1:28" x14ac:dyDescent="0.3">
      <c r="A1476" s="12" t="s">
        <v>3385</v>
      </c>
      <c r="B1476" s="12" t="s">
        <v>155</v>
      </c>
      <c r="C1476" s="12" t="s">
        <v>155</v>
      </c>
      <c r="D1476" s="12" t="s">
        <v>137</v>
      </c>
      <c r="E1476" s="12" t="s">
        <v>2978</v>
      </c>
      <c r="F1476" s="12" t="s">
        <v>1861</v>
      </c>
      <c r="G1476" s="12" t="s">
        <v>1861</v>
      </c>
      <c r="H1476" s="12" t="b">
        <v>1</v>
      </c>
      <c r="I1476" s="12" t="b">
        <v>0</v>
      </c>
      <c r="J1476" s="12" t="b">
        <v>0</v>
      </c>
      <c r="K1476" s="12" t="b">
        <v>0</v>
      </c>
      <c r="L1476" s="12">
        <v>385.50661159528102</v>
      </c>
      <c r="M1476" s="12">
        <v>283.2203811345309</v>
      </c>
      <c r="N1476" s="12">
        <v>4309.7793039101853</v>
      </c>
      <c r="O1476" s="12">
        <v>847.13068235478227</v>
      </c>
      <c r="P1476" s="12">
        <v>0.82053297189799901</v>
      </c>
      <c r="Q1476" s="12">
        <v>0.86743363456792089</v>
      </c>
      <c r="R1476" s="12">
        <v>0.75140322154329064</v>
      </c>
      <c r="S1476" s="12">
        <v>0.88666969325379208</v>
      </c>
      <c r="T1476" s="12">
        <v>0.61043630502798263</v>
      </c>
      <c r="U1476" s="12">
        <v>0.87301231132403756</v>
      </c>
      <c r="V1476" s="12">
        <v>283.2203811345309</v>
      </c>
      <c r="W1476" s="12">
        <v>11.81873722751104</v>
      </c>
      <c r="X1476" s="12">
        <v>81.884672589409433</v>
      </c>
      <c r="Y1476" s="12">
        <v>3462.6486215554032</v>
      </c>
      <c r="Z1476" s="12">
        <v>5.0875023106591124</v>
      </c>
      <c r="AA1476" s="12" t="s">
        <v>1268</v>
      </c>
      <c r="AB1476" s="12"/>
    </row>
    <row r="1477" spans="1:28" x14ac:dyDescent="0.3">
      <c r="A1477" s="12" t="s">
        <v>3386</v>
      </c>
      <c r="B1477" s="12" t="s">
        <v>155</v>
      </c>
      <c r="C1477" s="12" t="s">
        <v>155</v>
      </c>
      <c r="D1477" s="12" t="s">
        <v>137</v>
      </c>
      <c r="E1477" s="12" t="s">
        <v>2978</v>
      </c>
      <c r="F1477" s="12" t="s">
        <v>32</v>
      </c>
      <c r="G1477" s="12" t="s">
        <v>32</v>
      </c>
      <c r="H1477" s="12" t="b">
        <v>1</v>
      </c>
      <c r="I1477" s="12" t="b">
        <v>1</v>
      </c>
      <c r="J1477" s="12" t="b">
        <v>0</v>
      </c>
      <c r="K1477" s="12" t="b">
        <v>0</v>
      </c>
      <c r="L1477" s="12">
        <v>381.18530084695283</v>
      </c>
      <c r="M1477" s="12">
        <v>297.92375506624097</v>
      </c>
      <c r="N1477" s="12">
        <v>3689.0076642334939</v>
      </c>
      <c r="O1477" s="12">
        <v>1471.050689542086</v>
      </c>
      <c r="P1477" s="12">
        <v>0.82624501452189847</v>
      </c>
      <c r="Q1477" s="12">
        <v>0.7940529658547778</v>
      </c>
      <c r="R1477" s="12">
        <v>0.71355147682260278</v>
      </c>
      <c r="S1477" s="12">
        <v>0.77579360046232837</v>
      </c>
      <c r="T1477" s="12">
        <v>0.89961402094278164</v>
      </c>
      <c r="U1477" s="12">
        <v>0.86434527636255576</v>
      </c>
      <c r="V1477" s="12">
        <v>297.92375506624097</v>
      </c>
      <c r="W1477" s="12">
        <v>7.2342336497559598</v>
      </c>
      <c r="X1477" s="12">
        <v>42.509075079535783</v>
      </c>
      <c r="Y1477" s="12">
        <v>2217.956974691409</v>
      </c>
      <c r="Z1477" s="12">
        <v>2.5077366065351709</v>
      </c>
      <c r="AA1477" s="12"/>
      <c r="AB1477" s="12"/>
    </row>
    <row r="1478" spans="1:28" x14ac:dyDescent="0.3">
      <c r="A1478" s="12" t="s">
        <v>3387</v>
      </c>
      <c r="B1478" s="12" t="s">
        <v>155</v>
      </c>
      <c r="C1478" s="12" t="s">
        <v>155</v>
      </c>
      <c r="D1478" s="12" t="s">
        <v>137</v>
      </c>
      <c r="E1478" s="12" t="s">
        <v>2978</v>
      </c>
      <c r="F1478" s="12" t="s">
        <v>1861</v>
      </c>
      <c r="G1478" s="12" t="s">
        <v>1861</v>
      </c>
      <c r="H1478" s="12" t="b">
        <v>1</v>
      </c>
      <c r="I1478" s="12" t="b">
        <v>0</v>
      </c>
      <c r="J1478" s="12" t="b">
        <v>1</v>
      </c>
      <c r="K1478" s="12" t="b">
        <v>0</v>
      </c>
      <c r="L1478" s="12">
        <v>490.01243370397151</v>
      </c>
      <c r="M1478" s="12">
        <v>283.61422744844708</v>
      </c>
      <c r="N1478" s="12">
        <v>2335.0753592331339</v>
      </c>
      <c r="O1478" s="12">
        <v>446.0033245334352</v>
      </c>
      <c r="P1478" s="12">
        <v>0.50885435303368631</v>
      </c>
      <c r="Q1478" s="12">
        <v>0.87209970377632196</v>
      </c>
      <c r="R1478" s="12">
        <v>0.73052775019277749</v>
      </c>
      <c r="S1478" s="12">
        <v>0.75021832953705281</v>
      </c>
      <c r="T1478" s="12">
        <v>0.66629762696673811</v>
      </c>
      <c r="U1478" s="12">
        <v>0.8767528344266583</v>
      </c>
      <c r="V1478" s="12">
        <v>283.61422744844708</v>
      </c>
      <c r="W1478" s="12">
        <v>11.57932448627934</v>
      </c>
      <c r="X1478" s="12">
        <v>189.2923922196569</v>
      </c>
      <c r="Y1478" s="12">
        <v>1889.072034699698</v>
      </c>
      <c r="Z1478" s="12">
        <v>5.2355559494446817</v>
      </c>
      <c r="AA1478" s="12" t="s">
        <v>1268</v>
      </c>
      <c r="AB1478" s="12"/>
    </row>
    <row r="1479" spans="1:28" x14ac:dyDescent="0.3">
      <c r="A1479" s="12" t="s">
        <v>3388</v>
      </c>
      <c r="B1479" s="12" t="s">
        <v>155</v>
      </c>
      <c r="C1479" s="12" t="s">
        <v>155</v>
      </c>
      <c r="D1479" s="12" t="s">
        <v>137</v>
      </c>
      <c r="E1479" s="12" t="s">
        <v>2978</v>
      </c>
      <c r="F1479" s="12" t="s">
        <v>1861</v>
      </c>
      <c r="G1479" s="12" t="s">
        <v>1861</v>
      </c>
      <c r="H1479" s="12" t="b">
        <v>1</v>
      </c>
      <c r="I1479" s="12" t="b">
        <v>0</v>
      </c>
      <c r="J1479" s="12" t="b">
        <v>0</v>
      </c>
      <c r="K1479" s="12" t="b">
        <v>0</v>
      </c>
      <c r="L1479" s="12">
        <v>480.66288017202999</v>
      </c>
      <c r="M1479" s="12">
        <v>292.43808314467469</v>
      </c>
      <c r="N1479" s="12">
        <v>2467.4838138183909</v>
      </c>
      <c r="O1479" s="12">
        <v>598.02451446693021</v>
      </c>
      <c r="P1479" s="12">
        <v>0.76288636451674885</v>
      </c>
      <c r="Q1479" s="12">
        <v>0.82270458158735416</v>
      </c>
      <c r="R1479" s="12">
        <v>0.89269937464112448</v>
      </c>
      <c r="S1479" s="12">
        <v>0.7091119085257297</v>
      </c>
      <c r="T1479" s="12">
        <v>0.61259914598143217</v>
      </c>
      <c r="U1479" s="12">
        <v>0.79366809217741063</v>
      </c>
      <c r="V1479" s="12">
        <v>292.43808314467469</v>
      </c>
      <c r="W1479" s="12">
        <v>10.10850991179284</v>
      </c>
      <c r="X1479" s="12">
        <v>114.3754219023398</v>
      </c>
      <c r="Y1479" s="12">
        <v>1869.4592993514609</v>
      </c>
      <c r="Z1479" s="12">
        <v>4.1260579694092767</v>
      </c>
      <c r="AA1479" s="12" t="s">
        <v>1268</v>
      </c>
      <c r="AB1479" s="12"/>
    </row>
    <row r="1480" spans="1:28" x14ac:dyDescent="0.3">
      <c r="A1480" s="12" t="s">
        <v>3389</v>
      </c>
      <c r="B1480" s="12" t="s">
        <v>155</v>
      </c>
      <c r="C1480" s="12" t="s">
        <v>155</v>
      </c>
      <c r="D1480" s="12" t="s">
        <v>137</v>
      </c>
      <c r="E1480" s="12" t="s">
        <v>2978</v>
      </c>
      <c r="F1480" s="12" t="s">
        <v>1861</v>
      </c>
      <c r="G1480" s="12" t="s">
        <v>1861</v>
      </c>
      <c r="H1480" s="12" t="b">
        <v>1</v>
      </c>
      <c r="I1480" s="12" t="b">
        <v>0</v>
      </c>
      <c r="J1480" s="12" t="b">
        <v>0</v>
      </c>
      <c r="K1480" s="12" t="b">
        <v>0</v>
      </c>
      <c r="L1480" s="12">
        <v>401.55175944248418</v>
      </c>
      <c r="M1480" s="12">
        <v>289.21706991743719</v>
      </c>
      <c r="N1480" s="12">
        <v>2144.4218136633758</v>
      </c>
      <c r="O1480" s="12">
        <v>1168.6771968935841</v>
      </c>
      <c r="P1480" s="12">
        <v>0.7610685373551318</v>
      </c>
      <c r="Q1480" s="12">
        <v>0.87993521447698952</v>
      </c>
      <c r="R1480" s="12">
        <v>0.70431065660993541</v>
      </c>
      <c r="S1480" s="12">
        <v>0.62041948843682992</v>
      </c>
      <c r="T1480" s="12">
        <v>0.8217848724278437</v>
      </c>
      <c r="U1480" s="12">
        <v>0.8484689094718818</v>
      </c>
      <c r="V1480" s="12">
        <v>289.21706991743719</v>
      </c>
      <c r="W1480" s="12">
        <v>5.6342999843719301</v>
      </c>
      <c r="X1480" s="12">
        <v>40.688204464890397</v>
      </c>
      <c r="Y1480" s="12">
        <v>975.74461676979161</v>
      </c>
      <c r="Z1480" s="12">
        <v>1.834913712155402</v>
      </c>
      <c r="AA1480" s="12" t="s">
        <v>1268</v>
      </c>
      <c r="AB1480" s="12"/>
    </row>
    <row r="1481" spans="1:28" x14ac:dyDescent="0.3">
      <c r="A1481" s="12" t="s">
        <v>3390</v>
      </c>
      <c r="B1481" s="12" t="s">
        <v>155</v>
      </c>
      <c r="C1481" s="12" t="s">
        <v>155</v>
      </c>
      <c r="D1481" s="12" t="s">
        <v>137</v>
      </c>
      <c r="E1481" s="12" t="s">
        <v>2978</v>
      </c>
      <c r="F1481" s="12" t="s">
        <v>1861</v>
      </c>
      <c r="G1481" s="12" t="s">
        <v>1861</v>
      </c>
      <c r="H1481" s="12" t="b">
        <v>1</v>
      </c>
      <c r="I1481" s="12" t="b">
        <v>0</v>
      </c>
      <c r="J1481" s="12" t="b">
        <v>1</v>
      </c>
      <c r="K1481" s="12" t="b">
        <v>0</v>
      </c>
      <c r="L1481" s="12">
        <v>471.2402862097353</v>
      </c>
      <c r="M1481" s="12">
        <v>278.70203172737268</v>
      </c>
      <c r="N1481" s="12">
        <v>2074.152719983641</v>
      </c>
      <c r="O1481" s="12">
        <v>796.50212897008078</v>
      </c>
      <c r="P1481" s="12">
        <v>0.76577903187918661</v>
      </c>
      <c r="Q1481" s="12">
        <v>0.83926546324438678</v>
      </c>
      <c r="R1481" s="12">
        <v>0.74066155992042249</v>
      </c>
      <c r="S1481" s="12">
        <v>0.91723389915978115</v>
      </c>
      <c r="T1481" s="12">
        <v>0.65832251439749201</v>
      </c>
      <c r="U1481" s="12">
        <v>0.93710653725421122</v>
      </c>
      <c r="V1481" s="12">
        <v>278.70203172737268</v>
      </c>
      <c r="W1481" s="12">
        <v>7.58207104003501</v>
      </c>
      <c r="X1481" s="12">
        <v>137.3679638596725</v>
      </c>
      <c r="Y1481" s="12">
        <v>1277.65059101356</v>
      </c>
      <c r="Z1481" s="12">
        <v>2.6040768060038082</v>
      </c>
      <c r="AA1481" s="12" t="s">
        <v>1268</v>
      </c>
      <c r="AB1481" s="12"/>
    </row>
    <row r="1482" spans="1:28" x14ac:dyDescent="0.3">
      <c r="A1482" s="12" t="s">
        <v>3391</v>
      </c>
      <c r="B1482" s="12" t="s">
        <v>155</v>
      </c>
      <c r="C1482" s="12" t="s">
        <v>155</v>
      </c>
      <c r="D1482" s="12" t="s">
        <v>137</v>
      </c>
      <c r="E1482" s="12" t="s">
        <v>2978</v>
      </c>
      <c r="F1482" s="12" t="s">
        <v>1861</v>
      </c>
      <c r="G1482" s="12" t="s">
        <v>1861</v>
      </c>
      <c r="H1482" s="12" t="b">
        <v>1</v>
      </c>
      <c r="I1482" s="12" t="b">
        <v>0</v>
      </c>
      <c r="J1482" s="12" t="b">
        <v>1</v>
      </c>
      <c r="K1482" s="12" t="b">
        <v>0</v>
      </c>
      <c r="L1482" s="12">
        <v>458.73678122799868</v>
      </c>
      <c r="M1482" s="12">
        <v>288.15286122657591</v>
      </c>
      <c r="N1482" s="12">
        <v>4546.8963063093861</v>
      </c>
      <c r="O1482" s="12">
        <v>1101.886053225254</v>
      </c>
      <c r="P1482" s="12">
        <v>0.57086807264621375</v>
      </c>
      <c r="Q1482" s="12">
        <v>0.83198105976318337</v>
      </c>
      <c r="R1482" s="12">
        <v>0.76032901097688188</v>
      </c>
      <c r="S1482" s="12">
        <v>0.79675299161579116</v>
      </c>
      <c r="T1482" s="12">
        <v>0.66319016780156348</v>
      </c>
      <c r="U1482" s="12">
        <v>0.76472504902796135</v>
      </c>
      <c r="V1482" s="12">
        <v>288.15286122657591</v>
      </c>
      <c r="W1482" s="12">
        <v>10.053164592021879</v>
      </c>
      <c r="X1482" s="12">
        <v>89.379934282860589</v>
      </c>
      <c r="Y1482" s="12">
        <v>3445.0102530841318</v>
      </c>
      <c r="Z1482" s="12">
        <v>4.126466881943446</v>
      </c>
      <c r="AA1482" s="12" t="s">
        <v>1268</v>
      </c>
      <c r="AB1482" s="12"/>
    </row>
    <row r="1483" spans="1:28" x14ac:dyDescent="0.3">
      <c r="A1483" s="12" t="s">
        <v>3392</v>
      </c>
      <c r="B1483" s="12" t="s">
        <v>155</v>
      </c>
      <c r="C1483" s="12" t="s">
        <v>155</v>
      </c>
      <c r="D1483" s="12" t="s">
        <v>137</v>
      </c>
      <c r="E1483" s="12" t="s">
        <v>2978</v>
      </c>
      <c r="F1483" s="12" t="s">
        <v>1861</v>
      </c>
      <c r="G1483" s="12" t="s">
        <v>1861</v>
      </c>
      <c r="H1483" s="12" t="b">
        <v>1</v>
      </c>
      <c r="I1483" s="12" t="b">
        <v>0</v>
      </c>
      <c r="J1483" s="12" t="b">
        <v>1</v>
      </c>
      <c r="K1483" s="12" t="b">
        <v>0</v>
      </c>
      <c r="L1483" s="12">
        <v>476.17953089196959</v>
      </c>
      <c r="M1483" s="12">
        <v>285.25933526594008</v>
      </c>
      <c r="N1483" s="12">
        <v>4880.5118739549735</v>
      </c>
      <c r="O1483" s="12">
        <v>931.21055785901979</v>
      </c>
      <c r="P1483" s="12">
        <v>0.7194128491740428</v>
      </c>
      <c r="Q1483" s="12">
        <v>0.80003539717509342</v>
      </c>
      <c r="R1483" s="12">
        <v>0.72697852669009144</v>
      </c>
      <c r="S1483" s="12">
        <v>0.81270248304542969</v>
      </c>
      <c r="T1483" s="12">
        <v>0.89680711823838877</v>
      </c>
      <c r="U1483" s="12">
        <v>0.72353740080511153</v>
      </c>
      <c r="V1483" s="12">
        <v>285.25933526594008</v>
      </c>
      <c r="W1483" s="12">
        <v>11.45366082606002</v>
      </c>
      <c r="X1483" s="12">
        <v>143.87503331036859</v>
      </c>
      <c r="Y1483" s="12">
        <v>3949.301316095954</v>
      </c>
      <c r="Z1483" s="12">
        <v>5.2410400985744152</v>
      </c>
      <c r="AA1483" s="12" t="s">
        <v>1268</v>
      </c>
      <c r="AB1483" s="12"/>
    </row>
    <row r="1484" spans="1:28" x14ac:dyDescent="0.3">
      <c r="A1484" s="12" t="s">
        <v>3393</v>
      </c>
      <c r="B1484" s="12" t="s">
        <v>155</v>
      </c>
      <c r="C1484" s="12" t="s">
        <v>155</v>
      </c>
      <c r="D1484" s="12" t="s">
        <v>137</v>
      </c>
      <c r="E1484" s="12" t="s">
        <v>2978</v>
      </c>
      <c r="F1484" s="12" t="s">
        <v>1861</v>
      </c>
      <c r="G1484" s="12" t="s">
        <v>1861</v>
      </c>
      <c r="H1484" s="12" t="b">
        <v>1</v>
      </c>
      <c r="I1484" s="12" t="b">
        <v>0</v>
      </c>
      <c r="J1484" s="12" t="b">
        <v>0</v>
      </c>
      <c r="K1484" s="12" t="b">
        <v>0</v>
      </c>
      <c r="L1484" s="12">
        <v>413.08116433202918</v>
      </c>
      <c r="M1484" s="12">
        <v>286.36790025737628</v>
      </c>
      <c r="N1484" s="12">
        <v>3324.6313538754512</v>
      </c>
      <c r="O1484" s="12">
        <v>462.32781348839421</v>
      </c>
      <c r="P1484" s="12">
        <v>0.71243521629747009</v>
      </c>
      <c r="Q1484" s="12">
        <v>0.8954303811508364</v>
      </c>
      <c r="R1484" s="12">
        <v>0.81717441653139522</v>
      </c>
      <c r="S1484" s="12">
        <v>0.89269125711870101</v>
      </c>
      <c r="T1484" s="12">
        <v>0.63764827325598161</v>
      </c>
      <c r="U1484" s="12">
        <v>0.71686300601658903</v>
      </c>
      <c r="V1484" s="12">
        <v>286.36790025737628</v>
      </c>
      <c r="W1484" s="12">
        <v>14.7028822025809</v>
      </c>
      <c r="X1484" s="12">
        <v>116.3868250786346</v>
      </c>
      <c r="Y1484" s="12">
        <v>2862.3035403870572</v>
      </c>
      <c r="Z1484" s="12">
        <v>7.1910693167909727</v>
      </c>
      <c r="AA1484" s="12" t="s">
        <v>1268</v>
      </c>
      <c r="AB1484" s="12"/>
    </row>
    <row r="1485" spans="1:28" x14ac:dyDescent="0.3">
      <c r="A1485" s="12" t="s">
        <v>3394</v>
      </c>
      <c r="B1485" s="12" t="s">
        <v>155</v>
      </c>
      <c r="C1485" s="12" t="s">
        <v>155</v>
      </c>
      <c r="D1485" s="12" t="s">
        <v>137</v>
      </c>
      <c r="E1485" s="12" t="s">
        <v>2978</v>
      </c>
      <c r="F1485" s="12" t="s">
        <v>1861</v>
      </c>
      <c r="G1485" s="12" t="s">
        <v>1861</v>
      </c>
      <c r="H1485" s="12" t="b">
        <v>1</v>
      </c>
      <c r="I1485" s="12" t="b">
        <v>0</v>
      </c>
      <c r="J1485" s="12" t="b">
        <v>1</v>
      </c>
      <c r="K1485" s="12" t="b">
        <v>0</v>
      </c>
      <c r="L1485" s="12">
        <v>447.39106080066188</v>
      </c>
      <c r="M1485" s="12">
        <v>299.7873441540284</v>
      </c>
      <c r="N1485" s="12">
        <v>2794.216855374882</v>
      </c>
      <c r="O1485" s="12">
        <v>1392.707347050828</v>
      </c>
      <c r="P1485" s="12">
        <v>0.59065405242733382</v>
      </c>
      <c r="Q1485" s="12">
        <v>0.90325435541669241</v>
      </c>
      <c r="R1485" s="12">
        <v>0.86288734141805323</v>
      </c>
      <c r="S1485" s="12">
        <v>0.94833930818838885</v>
      </c>
      <c r="T1485" s="12">
        <v>0.61860757486963502</v>
      </c>
      <c r="U1485" s="12">
        <v>0.8747194993501255</v>
      </c>
      <c r="V1485" s="12">
        <v>299.7873441540284</v>
      </c>
      <c r="W1485" s="12">
        <v>5.8755607487094004</v>
      </c>
      <c r="X1485" s="12">
        <v>82.249029835401174</v>
      </c>
      <c r="Y1485" s="12">
        <v>1401.509508324054</v>
      </c>
      <c r="Z1485" s="12">
        <v>2.0063201801095301</v>
      </c>
      <c r="AA1485" s="12" t="s">
        <v>1268</v>
      </c>
      <c r="AB1485" s="12"/>
    </row>
    <row r="1486" spans="1:28" x14ac:dyDescent="0.3">
      <c r="A1486" s="12" t="s">
        <v>3395</v>
      </c>
      <c r="B1486" s="12" t="s">
        <v>155</v>
      </c>
      <c r="C1486" s="12" t="s">
        <v>155</v>
      </c>
      <c r="D1486" s="12" t="s">
        <v>137</v>
      </c>
      <c r="E1486" s="12" t="s">
        <v>2978</v>
      </c>
      <c r="F1486" s="12" t="s">
        <v>1861</v>
      </c>
      <c r="G1486" s="12" t="s">
        <v>1861</v>
      </c>
      <c r="H1486" s="12" t="b">
        <v>1</v>
      </c>
      <c r="I1486" s="12" t="b">
        <v>0</v>
      </c>
      <c r="J1486" s="12" t="b">
        <v>0</v>
      </c>
      <c r="K1486" s="12" t="b">
        <v>0</v>
      </c>
      <c r="L1486" s="12">
        <v>428.28203080928489</v>
      </c>
      <c r="M1486" s="12">
        <v>299.93780472774051</v>
      </c>
      <c r="N1486" s="12">
        <v>3271.965612358676</v>
      </c>
      <c r="O1486" s="12">
        <v>696.77542875741051</v>
      </c>
      <c r="P1486" s="12">
        <v>0.55791715863288538</v>
      </c>
      <c r="Q1486" s="12">
        <v>0.84100172630511794</v>
      </c>
      <c r="R1486" s="12">
        <v>0.80069381169830778</v>
      </c>
      <c r="S1486" s="12">
        <v>0.79319508767913405</v>
      </c>
      <c r="T1486" s="12">
        <v>0.84739386864584942</v>
      </c>
      <c r="U1486" s="12">
        <v>0.89104757235076371</v>
      </c>
      <c r="V1486" s="12">
        <v>299.93780472774051</v>
      </c>
      <c r="W1486" s="12">
        <v>11.045508665663791</v>
      </c>
      <c r="X1486" s="12">
        <v>70.842504307090721</v>
      </c>
      <c r="Y1486" s="12">
        <v>2575.1901836012662</v>
      </c>
      <c r="Z1486" s="12">
        <v>4.6958682486747749</v>
      </c>
      <c r="AA1486" s="12" t="s">
        <v>1268</v>
      </c>
      <c r="AB1486" s="12"/>
    </row>
    <row r="1487" spans="1:28" x14ac:dyDescent="0.3">
      <c r="A1487" s="12" t="s">
        <v>3396</v>
      </c>
      <c r="B1487" s="12" t="s">
        <v>155</v>
      </c>
      <c r="C1487" s="12" t="s">
        <v>155</v>
      </c>
      <c r="D1487" s="12" t="s">
        <v>137</v>
      </c>
      <c r="E1487" s="12" t="s">
        <v>2978</v>
      </c>
      <c r="F1487" s="12" t="s">
        <v>32</v>
      </c>
      <c r="G1487" s="12" t="s">
        <v>32</v>
      </c>
      <c r="H1487" s="12" t="b">
        <v>1</v>
      </c>
      <c r="I1487" s="12" t="b">
        <v>1</v>
      </c>
      <c r="J1487" s="12" t="b">
        <v>0</v>
      </c>
      <c r="K1487" s="12" t="b">
        <v>0</v>
      </c>
      <c r="L1487" s="12">
        <v>384.49647867478478</v>
      </c>
      <c r="M1487" s="12">
        <v>292.06467035811443</v>
      </c>
      <c r="N1487" s="12">
        <v>3951.2047204010209</v>
      </c>
      <c r="O1487" s="12">
        <v>1054.1597165565561</v>
      </c>
      <c r="P1487" s="12">
        <v>0.66930321305918672</v>
      </c>
      <c r="Q1487" s="12">
        <v>0.91968778442935362</v>
      </c>
      <c r="R1487" s="12">
        <v>0.7178384774827048</v>
      </c>
      <c r="S1487" s="12">
        <v>0.76084362115587467</v>
      </c>
      <c r="T1487" s="12">
        <v>0.65405853504533518</v>
      </c>
      <c r="U1487" s="12">
        <v>0.85531301685086991</v>
      </c>
      <c r="V1487" s="12">
        <v>292.06467035811443</v>
      </c>
      <c r="W1487" s="12">
        <v>5.0503603000250799</v>
      </c>
      <c r="X1487" s="12">
        <v>13.942706431280371</v>
      </c>
      <c r="Y1487" s="12">
        <v>2897.0450038444651</v>
      </c>
      <c r="Z1487" s="12">
        <v>3.7482031027591809</v>
      </c>
      <c r="AA1487" s="12"/>
      <c r="AB1487" s="12"/>
    </row>
    <row r="1488" spans="1:28" x14ac:dyDescent="0.3">
      <c r="A1488" s="12" t="s">
        <v>3397</v>
      </c>
      <c r="B1488" s="12" t="s">
        <v>155</v>
      </c>
      <c r="C1488" s="12" t="s">
        <v>155</v>
      </c>
      <c r="D1488" s="12" t="s">
        <v>137</v>
      </c>
      <c r="E1488" s="12" t="s">
        <v>2978</v>
      </c>
      <c r="F1488" s="12" t="s">
        <v>1861</v>
      </c>
      <c r="G1488" s="12" t="s">
        <v>1861</v>
      </c>
      <c r="H1488" s="12" t="b">
        <v>1</v>
      </c>
      <c r="I1488" s="12" t="b">
        <v>0</v>
      </c>
      <c r="J1488" s="12" t="b">
        <v>0</v>
      </c>
      <c r="K1488" s="12" t="b">
        <v>0</v>
      </c>
      <c r="L1488" s="12">
        <v>423.90283203440958</v>
      </c>
      <c r="M1488" s="12">
        <v>302.87839858588683</v>
      </c>
      <c r="N1488" s="12">
        <v>3849.2694624235978</v>
      </c>
      <c r="O1488" s="12">
        <v>1378.2294780991019</v>
      </c>
      <c r="P1488" s="12">
        <v>0.66037518202378143</v>
      </c>
      <c r="Q1488" s="12">
        <v>0.78684553991524375</v>
      </c>
      <c r="R1488" s="12">
        <v>0.72468303310649496</v>
      </c>
      <c r="S1488" s="12">
        <v>0.81792317665380199</v>
      </c>
      <c r="T1488" s="12">
        <v>0.66848990085445337</v>
      </c>
      <c r="U1488" s="12">
        <v>0.73266020631803863</v>
      </c>
      <c r="V1488" s="12">
        <v>302.87839858588683</v>
      </c>
      <c r="W1488" s="12">
        <v>7.5319324525272808</v>
      </c>
      <c r="X1488" s="12">
        <v>50.77612904890983</v>
      </c>
      <c r="Y1488" s="12">
        <v>2471.0399843244968</v>
      </c>
      <c r="Z1488" s="12">
        <v>2.7929089629780912</v>
      </c>
      <c r="AA1488" s="12" t="s">
        <v>1268</v>
      </c>
      <c r="AB1488" s="12"/>
    </row>
    <row r="1489" spans="1:28" x14ac:dyDescent="0.3">
      <c r="A1489" s="12" t="s">
        <v>3398</v>
      </c>
      <c r="B1489" s="12" t="s">
        <v>155</v>
      </c>
      <c r="C1489" s="12" t="s">
        <v>155</v>
      </c>
      <c r="D1489" s="12" t="s">
        <v>137</v>
      </c>
      <c r="E1489" s="12" t="s">
        <v>2978</v>
      </c>
      <c r="F1489" s="12" t="s">
        <v>1861</v>
      </c>
      <c r="G1489" s="12" t="s">
        <v>1861</v>
      </c>
      <c r="H1489" s="12" t="b">
        <v>1</v>
      </c>
      <c r="I1489" s="12" t="b">
        <v>0</v>
      </c>
      <c r="J1489" s="12" t="b">
        <v>0</v>
      </c>
      <c r="K1489" s="12" t="b">
        <v>0</v>
      </c>
      <c r="L1489" s="12">
        <v>444.7006795381559</v>
      </c>
      <c r="M1489" s="12">
        <v>281.71591794809751</v>
      </c>
      <c r="N1489" s="12">
        <v>2291.8853120773801</v>
      </c>
      <c r="O1489" s="12">
        <v>603.39095639371396</v>
      </c>
      <c r="P1489" s="12">
        <v>0.75738191946954581</v>
      </c>
      <c r="Q1489" s="12">
        <v>0.90089037513476578</v>
      </c>
      <c r="R1489" s="12">
        <v>0.77891317702318397</v>
      </c>
      <c r="S1489" s="12">
        <v>0.60495287697320344</v>
      </c>
      <c r="T1489" s="12">
        <v>0.81761591317268811</v>
      </c>
      <c r="U1489" s="12">
        <v>0.75583023699651808</v>
      </c>
      <c r="V1489" s="12">
        <v>281.71591794809751</v>
      </c>
      <c r="W1489" s="12">
        <v>11.2136674886957</v>
      </c>
      <c r="X1489" s="12">
        <v>111.27675234825971</v>
      </c>
      <c r="Y1489" s="12">
        <v>1688.4943556836661</v>
      </c>
      <c r="Z1489" s="12">
        <v>3.79834216570843</v>
      </c>
      <c r="AA1489" s="12" t="s">
        <v>1268</v>
      </c>
      <c r="AB1489" s="12"/>
    </row>
    <row r="1490" spans="1:28" x14ac:dyDescent="0.3">
      <c r="A1490" s="12" t="s">
        <v>3399</v>
      </c>
      <c r="B1490" s="12" t="s">
        <v>155</v>
      </c>
      <c r="C1490" s="12" t="s">
        <v>155</v>
      </c>
      <c r="D1490" s="12" t="s">
        <v>137</v>
      </c>
      <c r="E1490" s="12" t="s">
        <v>2978</v>
      </c>
      <c r="F1490" s="12" t="s">
        <v>1862</v>
      </c>
      <c r="G1490" s="12" t="s">
        <v>1862</v>
      </c>
      <c r="H1490" s="12" t="b">
        <v>1</v>
      </c>
      <c r="I1490" s="12" t="b">
        <v>0</v>
      </c>
      <c r="J1490" s="12" t="b">
        <v>0</v>
      </c>
      <c r="K1490" s="12" t="b">
        <v>0</v>
      </c>
      <c r="L1490" s="12">
        <v>386.23004331232733</v>
      </c>
      <c r="M1490" s="12">
        <v>290.31627317405139</v>
      </c>
      <c r="N1490" s="12">
        <v>3930.850673891649</v>
      </c>
      <c r="O1490" s="12">
        <v>1196.501615209263</v>
      </c>
      <c r="P1490" s="12">
        <v>0.60051045641954326</v>
      </c>
      <c r="Q1490" s="12">
        <v>0.82491334974074326</v>
      </c>
      <c r="R1490" s="12">
        <v>0.84155513333587673</v>
      </c>
      <c r="S1490" s="12">
        <v>0.92620649591539517</v>
      </c>
      <c r="T1490" s="12">
        <v>0.72315515809518738</v>
      </c>
      <c r="U1490" s="12">
        <v>0.88406322530786496</v>
      </c>
      <c r="V1490" s="12">
        <v>290.31627317405139</v>
      </c>
      <c r="W1490" s="12">
        <v>-9.7890175791419995E-2</v>
      </c>
      <c r="X1490" s="12">
        <v>-0.1573622203802798</v>
      </c>
      <c r="Y1490" s="12">
        <v>2734.3490586823868</v>
      </c>
      <c r="Z1490" s="12">
        <v>3.2852865586848048</v>
      </c>
      <c r="AA1490" s="12" t="s">
        <v>1696</v>
      </c>
      <c r="AB1490" s="12"/>
    </row>
    <row r="1491" spans="1:28" x14ac:dyDescent="0.3">
      <c r="A1491" s="12" t="s">
        <v>3400</v>
      </c>
      <c r="B1491" s="12" t="s">
        <v>155</v>
      </c>
      <c r="C1491" s="12" t="s">
        <v>155</v>
      </c>
      <c r="D1491" s="12" t="s">
        <v>137</v>
      </c>
      <c r="E1491" s="12" t="s">
        <v>2978</v>
      </c>
      <c r="F1491" s="12" t="s">
        <v>32</v>
      </c>
      <c r="G1491" s="12" t="s">
        <v>32</v>
      </c>
      <c r="H1491" s="12" t="b">
        <v>1</v>
      </c>
      <c r="I1491" s="12" t="b">
        <v>1</v>
      </c>
      <c r="J1491" s="12" t="b">
        <v>0</v>
      </c>
      <c r="K1491" s="12" t="b">
        <v>0</v>
      </c>
      <c r="L1491" s="12">
        <v>425.71729196383671</v>
      </c>
      <c r="M1491" s="12">
        <v>295.8786318967264</v>
      </c>
      <c r="N1491" s="12">
        <v>2605.8238290022982</v>
      </c>
      <c r="O1491" s="12">
        <v>1106.3390206251161</v>
      </c>
      <c r="P1491" s="12">
        <v>0.52707095730327747</v>
      </c>
      <c r="Q1491" s="12">
        <v>0.89361292067835341</v>
      </c>
      <c r="R1491" s="12">
        <v>0.83440758926193614</v>
      </c>
      <c r="S1491" s="12">
        <v>0.7685140722635736</v>
      </c>
      <c r="T1491" s="12">
        <v>0.73211608862088973</v>
      </c>
      <c r="U1491" s="12">
        <v>0.90370523526106517</v>
      </c>
      <c r="V1491" s="12">
        <v>295.8786318967264</v>
      </c>
      <c r="W1491" s="12">
        <v>6.2178761368849198</v>
      </c>
      <c r="X1491" s="12">
        <v>43.132180027504347</v>
      </c>
      <c r="Y1491" s="12">
        <v>1499.4848083771819</v>
      </c>
      <c r="Z1491" s="12">
        <v>2.3553574269936952</v>
      </c>
      <c r="AA1491" s="12"/>
      <c r="AB1491" s="12"/>
    </row>
    <row r="1492" spans="1:28" x14ac:dyDescent="0.3">
      <c r="A1492" s="12" t="s">
        <v>3401</v>
      </c>
      <c r="B1492" s="12" t="s">
        <v>155</v>
      </c>
      <c r="C1492" s="12" t="s">
        <v>155</v>
      </c>
      <c r="D1492" s="12" t="s">
        <v>137</v>
      </c>
      <c r="E1492" s="12" t="s">
        <v>2978</v>
      </c>
      <c r="F1492" s="12" t="s">
        <v>1861</v>
      </c>
      <c r="G1492" s="12" t="s">
        <v>1861</v>
      </c>
      <c r="H1492" s="12" t="b">
        <v>1</v>
      </c>
      <c r="I1492" s="12" t="b">
        <v>0</v>
      </c>
      <c r="J1492" s="12" t="b">
        <v>1</v>
      </c>
      <c r="K1492" s="12" t="b">
        <v>0</v>
      </c>
      <c r="L1492" s="12">
        <v>466.46780995281631</v>
      </c>
      <c r="M1492" s="12">
        <v>289.33705993103831</v>
      </c>
      <c r="N1492" s="12">
        <v>3008.3968738697099</v>
      </c>
      <c r="O1492" s="12">
        <v>584.58976948871555</v>
      </c>
      <c r="P1492" s="12">
        <v>0.53135515590883087</v>
      </c>
      <c r="Q1492" s="12">
        <v>0.80506443147029616</v>
      </c>
      <c r="R1492" s="12">
        <v>0.8652385775493403</v>
      </c>
      <c r="S1492" s="12">
        <v>0.92829518182242876</v>
      </c>
      <c r="T1492" s="12">
        <v>0.75905631296505272</v>
      </c>
      <c r="U1492" s="12">
        <v>0.75331554872013762</v>
      </c>
      <c r="V1492" s="12">
        <v>289.33705993103831</v>
      </c>
      <c r="W1492" s="12">
        <v>10.52318894677323</v>
      </c>
      <c r="X1492" s="12">
        <v>163.72459784921929</v>
      </c>
      <c r="Y1492" s="12">
        <v>2423.807104380995</v>
      </c>
      <c r="Z1492" s="12">
        <v>5.1461675022141868</v>
      </c>
      <c r="AA1492" s="12" t="s">
        <v>1268</v>
      </c>
      <c r="AB1492" s="12"/>
    </row>
    <row r="1493" spans="1:28" x14ac:dyDescent="0.3">
      <c r="A1493" s="12" t="s">
        <v>3402</v>
      </c>
      <c r="B1493" s="12" t="s">
        <v>155</v>
      </c>
      <c r="C1493" s="12" t="s">
        <v>155</v>
      </c>
      <c r="D1493" s="12" t="s">
        <v>137</v>
      </c>
      <c r="E1493" s="12" t="s">
        <v>2978</v>
      </c>
      <c r="F1493" s="12" t="s">
        <v>1861</v>
      </c>
      <c r="G1493" s="12" t="s">
        <v>1861</v>
      </c>
      <c r="H1493" s="12" t="b">
        <v>1</v>
      </c>
      <c r="I1493" s="12" t="b">
        <v>0</v>
      </c>
      <c r="J1493" s="12" t="b">
        <v>0</v>
      </c>
      <c r="K1493" s="12" t="b">
        <v>0</v>
      </c>
      <c r="L1493" s="12">
        <v>382.88765221798099</v>
      </c>
      <c r="M1493" s="12">
        <v>298.00657621930731</v>
      </c>
      <c r="N1493" s="12">
        <v>3114.7963816152478</v>
      </c>
      <c r="O1493" s="12">
        <v>720.74620366693352</v>
      </c>
      <c r="P1493" s="12">
        <v>0.74335069828199707</v>
      </c>
      <c r="Q1493" s="12">
        <v>0.88705992823712754</v>
      </c>
      <c r="R1493" s="12">
        <v>0.67146075773552172</v>
      </c>
      <c r="S1493" s="12">
        <v>0.89799739620082197</v>
      </c>
      <c r="T1493" s="12">
        <v>0.60167189622596307</v>
      </c>
      <c r="U1493" s="12">
        <v>0.93592170602119518</v>
      </c>
      <c r="V1493" s="12">
        <v>298.00657621930731</v>
      </c>
      <c r="W1493" s="12">
        <v>11.094692294674759</v>
      </c>
      <c r="X1493" s="12">
        <v>74.378826609125937</v>
      </c>
      <c r="Y1493" s="12">
        <v>2394.0501779483138</v>
      </c>
      <c r="Z1493" s="12">
        <v>4.3216271771784971</v>
      </c>
      <c r="AA1493" s="12" t="s">
        <v>1268</v>
      </c>
      <c r="AB1493" s="12"/>
    </row>
    <row r="1494" spans="1:28" x14ac:dyDescent="0.3">
      <c r="A1494" s="12" t="s">
        <v>3403</v>
      </c>
      <c r="B1494" s="12" t="s">
        <v>155</v>
      </c>
      <c r="C1494" s="12" t="s">
        <v>155</v>
      </c>
      <c r="D1494" s="12" t="s">
        <v>137</v>
      </c>
      <c r="E1494" s="12" t="s">
        <v>2978</v>
      </c>
      <c r="F1494" s="12" t="s">
        <v>1862</v>
      </c>
      <c r="G1494" s="12" t="s">
        <v>1862</v>
      </c>
      <c r="H1494" s="12" t="b">
        <v>1</v>
      </c>
      <c r="I1494" s="12" t="b">
        <v>0</v>
      </c>
      <c r="J1494" s="12" t="b">
        <v>1</v>
      </c>
      <c r="K1494" s="12" t="b">
        <v>0</v>
      </c>
      <c r="L1494" s="12">
        <v>460.65639862794268</v>
      </c>
      <c r="M1494" s="12">
        <v>300.21453173830622</v>
      </c>
      <c r="N1494" s="12">
        <v>3678.498952336176</v>
      </c>
      <c r="O1494" s="12">
        <v>304.7409728147116</v>
      </c>
      <c r="P1494" s="12">
        <v>0.80345145521916772</v>
      </c>
      <c r="Q1494" s="12">
        <v>0.79283379178887747</v>
      </c>
      <c r="R1494" s="12">
        <v>0.65572014804229239</v>
      </c>
      <c r="S1494" s="12">
        <v>0.64091614865428481</v>
      </c>
      <c r="T1494" s="12">
        <v>0.61426070634352226</v>
      </c>
      <c r="U1494" s="12">
        <v>0.75649536087942726</v>
      </c>
      <c r="V1494" s="12">
        <v>300.21453173830622</v>
      </c>
      <c r="W1494" s="12">
        <v>-43.687025795262393</v>
      </c>
      <c r="X1494" s="12">
        <v>-131.736596386359</v>
      </c>
      <c r="Y1494" s="12">
        <v>3373.7579795214642</v>
      </c>
      <c r="Z1494" s="12">
        <v>12.07090375265283</v>
      </c>
      <c r="AA1494" s="12" t="s">
        <v>2513</v>
      </c>
      <c r="AB1494" s="12"/>
    </row>
    <row r="1495" spans="1:28" x14ac:dyDescent="0.3">
      <c r="A1495" s="12" t="s">
        <v>3404</v>
      </c>
      <c r="B1495" s="12" t="s">
        <v>155</v>
      </c>
      <c r="C1495" s="12" t="s">
        <v>155</v>
      </c>
      <c r="D1495" s="12" t="s">
        <v>137</v>
      </c>
      <c r="E1495" s="12" t="s">
        <v>2978</v>
      </c>
      <c r="F1495" s="12" t="s">
        <v>1862</v>
      </c>
      <c r="G1495" s="12" t="s">
        <v>1862</v>
      </c>
      <c r="H1495" s="12" t="b">
        <v>1</v>
      </c>
      <c r="I1495" s="12" t="b">
        <v>0</v>
      </c>
      <c r="J1495" s="12" t="b">
        <v>1</v>
      </c>
      <c r="K1495" s="12" t="b">
        <v>0</v>
      </c>
      <c r="L1495" s="12">
        <v>466.14816466838238</v>
      </c>
      <c r="M1495" s="12">
        <v>300.68514981092608</v>
      </c>
      <c r="N1495" s="12">
        <v>3454.1609641972718</v>
      </c>
      <c r="O1495" s="12">
        <v>306.85918415783817</v>
      </c>
      <c r="P1495" s="12">
        <v>0.84879477320250918</v>
      </c>
      <c r="Q1495" s="12">
        <v>0.81163997553078004</v>
      </c>
      <c r="R1495" s="12">
        <v>0.82762136743715642</v>
      </c>
      <c r="S1495" s="12">
        <v>0.6313090123679227</v>
      </c>
      <c r="T1495" s="12">
        <v>0.71346973063846164</v>
      </c>
      <c r="U1495" s="12">
        <v>0.79796670041889639</v>
      </c>
      <c r="V1495" s="12">
        <v>300.68514981092608</v>
      </c>
      <c r="W1495" s="12">
        <v>-21.430553503815901</v>
      </c>
      <c r="X1495" s="12">
        <v>-59.566357885672801</v>
      </c>
      <c r="Y1495" s="12">
        <v>3147.3017800394341</v>
      </c>
      <c r="Z1495" s="12">
        <v>11.25650181752607</v>
      </c>
      <c r="AA1495" s="12" t="s">
        <v>2513</v>
      </c>
      <c r="AB1495" s="12"/>
    </row>
    <row r="1496" spans="1:28" x14ac:dyDescent="0.3">
      <c r="A1496" s="12" t="s">
        <v>3405</v>
      </c>
      <c r="B1496" s="12" t="s">
        <v>155</v>
      </c>
      <c r="C1496" s="12" t="s">
        <v>155</v>
      </c>
      <c r="D1496" s="12" t="s">
        <v>137</v>
      </c>
      <c r="E1496" s="12" t="s">
        <v>2978</v>
      </c>
      <c r="F1496" s="12" t="s">
        <v>1861</v>
      </c>
      <c r="G1496" s="12" t="s">
        <v>1861</v>
      </c>
      <c r="H1496" s="12" t="b">
        <v>1</v>
      </c>
      <c r="I1496" s="12" t="b">
        <v>0</v>
      </c>
      <c r="J1496" s="12" t="b">
        <v>0</v>
      </c>
      <c r="K1496" s="12" t="b">
        <v>0</v>
      </c>
      <c r="L1496" s="12">
        <v>412.32936457236531</v>
      </c>
      <c r="M1496" s="12">
        <v>292.79281268319312</v>
      </c>
      <c r="N1496" s="12">
        <v>3497.9121428335402</v>
      </c>
      <c r="O1496" s="12">
        <v>719.41146523408065</v>
      </c>
      <c r="P1496" s="12">
        <v>0.73440856087348816</v>
      </c>
      <c r="Q1496" s="12">
        <v>0.91735975643023804</v>
      </c>
      <c r="R1496" s="12">
        <v>0.6602593480267952</v>
      </c>
      <c r="S1496" s="12">
        <v>0.67272846962129962</v>
      </c>
      <c r="T1496" s="12">
        <v>0.71999352737010525</v>
      </c>
      <c r="U1496" s="12">
        <v>0.76935791597747305</v>
      </c>
      <c r="V1496" s="12">
        <v>292.79281268319312</v>
      </c>
      <c r="W1496" s="12">
        <v>12.73507403255714</v>
      </c>
      <c r="X1496" s="12">
        <v>81.12645933603747</v>
      </c>
      <c r="Y1496" s="12">
        <v>2778.5006775994589</v>
      </c>
      <c r="Z1496" s="12">
        <v>4.8621857057774251</v>
      </c>
      <c r="AA1496" s="12" t="s">
        <v>1268</v>
      </c>
      <c r="AB1496" s="12"/>
    </row>
    <row r="1497" spans="1:28" x14ac:dyDescent="0.3">
      <c r="A1497" s="12" t="s">
        <v>3406</v>
      </c>
      <c r="B1497" s="12" t="s">
        <v>155</v>
      </c>
      <c r="C1497" s="12" t="s">
        <v>155</v>
      </c>
      <c r="D1497" s="12" t="s">
        <v>137</v>
      </c>
      <c r="E1497" s="12" t="s">
        <v>2978</v>
      </c>
      <c r="F1497" s="12" t="s">
        <v>32</v>
      </c>
      <c r="G1497" s="12" t="s">
        <v>32</v>
      </c>
      <c r="H1497" s="12" t="b">
        <v>1</v>
      </c>
      <c r="I1497" s="12" t="b">
        <v>1</v>
      </c>
      <c r="J1497" s="12" t="b">
        <v>0</v>
      </c>
      <c r="K1497" s="12" t="b">
        <v>0</v>
      </c>
      <c r="L1497" s="12">
        <v>405.66430145260227</v>
      </c>
      <c r="M1497" s="12">
        <v>297.44108110929432</v>
      </c>
      <c r="N1497" s="12">
        <v>4339.7806157081459</v>
      </c>
      <c r="O1497" s="12">
        <v>812.78154242868038</v>
      </c>
      <c r="P1497" s="12">
        <v>0.54644885055604331</v>
      </c>
      <c r="Q1497" s="12">
        <v>0.87620788944394579</v>
      </c>
      <c r="R1497" s="12">
        <v>0.79977227155621344</v>
      </c>
      <c r="S1497" s="12">
        <v>0.86862088307897789</v>
      </c>
      <c r="T1497" s="12">
        <v>0.83028330162721442</v>
      </c>
      <c r="U1497" s="12">
        <v>0.85158474031121145</v>
      </c>
      <c r="V1497" s="12">
        <v>297.44108110929432</v>
      </c>
      <c r="W1497" s="12">
        <v>5.3752435172322697</v>
      </c>
      <c r="X1497" s="12">
        <v>10.0669531938959</v>
      </c>
      <c r="Y1497" s="12">
        <v>3526.9990732794649</v>
      </c>
      <c r="Z1497" s="12">
        <v>5.3394182682106752</v>
      </c>
      <c r="AA1497" s="12"/>
      <c r="AB1497" s="12"/>
    </row>
    <row r="1498" spans="1:28" x14ac:dyDescent="0.3">
      <c r="A1498" s="12" t="s">
        <v>3407</v>
      </c>
      <c r="B1498" s="12" t="s">
        <v>155</v>
      </c>
      <c r="C1498" s="12" t="s">
        <v>155</v>
      </c>
      <c r="D1498" s="12" t="s">
        <v>137</v>
      </c>
      <c r="E1498" s="12" t="s">
        <v>2978</v>
      </c>
      <c r="F1498" s="12" t="s">
        <v>1861</v>
      </c>
      <c r="G1498" s="12" t="s">
        <v>1861</v>
      </c>
      <c r="H1498" s="12" t="b">
        <v>1</v>
      </c>
      <c r="I1498" s="12" t="b">
        <v>0</v>
      </c>
      <c r="J1498" s="12" t="b">
        <v>0</v>
      </c>
      <c r="K1498" s="12" t="b">
        <v>0</v>
      </c>
      <c r="L1498" s="12">
        <v>421.84169958243928</v>
      </c>
      <c r="M1498" s="12">
        <v>293.77442526587788</v>
      </c>
      <c r="N1498" s="12">
        <v>2796.923069702998</v>
      </c>
      <c r="O1498" s="12">
        <v>1430.5547156754119</v>
      </c>
      <c r="P1498" s="12">
        <v>0.76684145484304689</v>
      </c>
      <c r="Q1498" s="12">
        <v>0.84555989900543382</v>
      </c>
      <c r="R1498" s="12">
        <v>0.89885770095765483</v>
      </c>
      <c r="S1498" s="12">
        <v>0.93797176364628443</v>
      </c>
      <c r="T1498" s="12">
        <v>0.67681237892985724</v>
      </c>
      <c r="U1498" s="12">
        <v>0.74766947169333164</v>
      </c>
      <c r="V1498" s="12">
        <v>293.77442526587788</v>
      </c>
      <c r="W1498" s="12">
        <v>5.81879455420487</v>
      </c>
      <c r="X1498" s="12">
        <v>62.566187659710323</v>
      </c>
      <c r="Y1498" s="12">
        <v>1366.3683540275861</v>
      </c>
      <c r="Z1498" s="12">
        <v>1.955131837360361</v>
      </c>
      <c r="AA1498" s="12" t="s">
        <v>1268</v>
      </c>
      <c r="AB1498" s="12"/>
    </row>
    <row r="1499" spans="1:28" x14ac:dyDescent="0.3">
      <c r="A1499" s="12" t="s">
        <v>3408</v>
      </c>
      <c r="B1499" s="12" t="s">
        <v>155</v>
      </c>
      <c r="C1499" s="12" t="s">
        <v>155</v>
      </c>
      <c r="D1499" s="12" t="s">
        <v>137</v>
      </c>
      <c r="E1499" s="12" t="s">
        <v>2978</v>
      </c>
      <c r="F1499" s="12" t="s">
        <v>1861</v>
      </c>
      <c r="G1499" s="12" t="s">
        <v>1861</v>
      </c>
      <c r="H1499" s="12" t="b">
        <v>1</v>
      </c>
      <c r="I1499" s="12" t="b">
        <v>0</v>
      </c>
      <c r="J1499" s="12" t="b">
        <v>0</v>
      </c>
      <c r="K1499" s="12" t="b">
        <v>0</v>
      </c>
      <c r="L1499" s="12">
        <v>402.6646742529997</v>
      </c>
      <c r="M1499" s="12">
        <v>302.31151453656582</v>
      </c>
      <c r="N1499" s="12">
        <v>3316.4638939990919</v>
      </c>
      <c r="O1499" s="12">
        <v>609.91679894622234</v>
      </c>
      <c r="P1499" s="12">
        <v>0.59937898992681715</v>
      </c>
      <c r="Q1499" s="12">
        <v>0.86357834037541681</v>
      </c>
      <c r="R1499" s="12">
        <v>0.70059009590721499</v>
      </c>
      <c r="S1499" s="12">
        <v>0.63617140076642265</v>
      </c>
      <c r="T1499" s="12">
        <v>0.6443979835417516</v>
      </c>
      <c r="U1499" s="12">
        <v>0.82314396755788255</v>
      </c>
      <c r="V1499" s="12">
        <v>302.31151453656582</v>
      </c>
      <c r="W1499" s="12">
        <v>9.1243610473431698</v>
      </c>
      <c r="X1499" s="12">
        <v>33.617959241238133</v>
      </c>
      <c r="Y1499" s="12">
        <v>2706.5470950528702</v>
      </c>
      <c r="Z1499" s="12">
        <v>5.4375677137096066</v>
      </c>
      <c r="AA1499" s="12" t="s">
        <v>1268</v>
      </c>
      <c r="AB1499" s="12"/>
    </row>
    <row r="1500" spans="1:28" x14ac:dyDescent="0.3">
      <c r="A1500" s="12" t="s">
        <v>3409</v>
      </c>
      <c r="B1500" s="12" t="s">
        <v>155</v>
      </c>
      <c r="C1500" s="12" t="s">
        <v>155</v>
      </c>
      <c r="D1500" s="12" t="s">
        <v>137</v>
      </c>
      <c r="E1500" s="12" t="s">
        <v>2978</v>
      </c>
      <c r="F1500" s="12" t="s">
        <v>1861</v>
      </c>
      <c r="G1500" s="12" t="s">
        <v>1861</v>
      </c>
      <c r="H1500" s="12" t="b">
        <v>1</v>
      </c>
      <c r="I1500" s="12" t="b">
        <v>0</v>
      </c>
      <c r="J1500" s="12" t="b">
        <v>0</v>
      </c>
      <c r="K1500" s="12" t="b">
        <v>0</v>
      </c>
      <c r="L1500" s="12">
        <v>427.22184954970271</v>
      </c>
      <c r="M1500" s="12">
        <v>303.02637558420361</v>
      </c>
      <c r="N1500" s="12">
        <v>4232.3146083145093</v>
      </c>
      <c r="O1500" s="12">
        <v>726.46769530342635</v>
      </c>
      <c r="P1500" s="12">
        <v>0.5232072908744213</v>
      </c>
      <c r="Q1500" s="12">
        <v>0.77264590808616684</v>
      </c>
      <c r="R1500" s="12">
        <v>0.69691594006762303</v>
      </c>
      <c r="S1500" s="12">
        <v>0.72617644107132506</v>
      </c>
      <c r="T1500" s="12">
        <v>0.71766223622987368</v>
      </c>
      <c r="U1500" s="12">
        <v>0.80799343485830288</v>
      </c>
      <c r="V1500" s="12">
        <v>303.02637558420361</v>
      </c>
      <c r="W1500" s="12">
        <v>7.9162162659923192</v>
      </c>
      <c r="X1500" s="12">
        <v>30.191149804967161</v>
      </c>
      <c r="Y1500" s="12">
        <v>3505.846913011083</v>
      </c>
      <c r="Z1500" s="12">
        <v>5.8258813649611536</v>
      </c>
      <c r="AA1500" s="12" t="s">
        <v>1268</v>
      </c>
      <c r="AB1500" s="12"/>
    </row>
    <row r="1501" spans="1:28" x14ac:dyDescent="0.3">
      <c r="A1501" s="12" t="s">
        <v>3410</v>
      </c>
      <c r="B1501" s="12" t="s">
        <v>155</v>
      </c>
      <c r="C1501" s="12" t="s">
        <v>155</v>
      </c>
      <c r="D1501" s="12" t="s">
        <v>137</v>
      </c>
      <c r="E1501" s="12" t="s">
        <v>2978</v>
      </c>
      <c r="F1501" s="12" t="s">
        <v>32</v>
      </c>
      <c r="G1501" s="12" t="s">
        <v>32</v>
      </c>
      <c r="H1501" s="12" t="b">
        <v>1</v>
      </c>
      <c r="I1501" s="12" t="b">
        <v>1</v>
      </c>
      <c r="J1501" s="12" t="b">
        <v>0</v>
      </c>
      <c r="K1501" s="12" t="b">
        <v>0</v>
      </c>
      <c r="L1501" s="12">
        <v>399.04188929710642</v>
      </c>
      <c r="M1501" s="12">
        <v>284.14500222152111</v>
      </c>
      <c r="N1501" s="12">
        <v>3253.987855848156</v>
      </c>
      <c r="O1501" s="12">
        <v>681.06848800431487</v>
      </c>
      <c r="P1501" s="12">
        <v>0.56049018126497419</v>
      </c>
      <c r="Q1501" s="12">
        <v>0.75035791345160696</v>
      </c>
      <c r="R1501" s="12">
        <v>0.68648046892964876</v>
      </c>
      <c r="S1501" s="12">
        <v>0.77457149177287732</v>
      </c>
      <c r="T1501" s="12">
        <v>0.77528775781324311</v>
      </c>
      <c r="U1501" s="12">
        <v>0.83962097686314419</v>
      </c>
      <c r="V1501" s="12">
        <v>284.14500222152111</v>
      </c>
      <c r="W1501" s="12">
        <v>6.820055969511631</v>
      </c>
      <c r="X1501" s="12">
        <v>22.90317982620644</v>
      </c>
      <c r="Y1501" s="12">
        <v>2572.919367843841</v>
      </c>
      <c r="Z1501" s="12">
        <v>4.7777689221580033</v>
      </c>
      <c r="AA1501" s="12"/>
      <c r="AB1501" s="12"/>
    </row>
    <row r="1502" spans="1:28" x14ac:dyDescent="0.3">
      <c r="A1502" s="12" t="s">
        <v>3411</v>
      </c>
      <c r="B1502" s="12" t="s">
        <v>155</v>
      </c>
      <c r="C1502" s="12" t="s">
        <v>155</v>
      </c>
      <c r="D1502" s="12" t="s">
        <v>137</v>
      </c>
      <c r="E1502" s="12" t="s">
        <v>2978</v>
      </c>
      <c r="F1502" s="12" t="s">
        <v>1861</v>
      </c>
      <c r="G1502" s="12" t="s">
        <v>1861</v>
      </c>
      <c r="H1502" s="12" t="b">
        <v>1</v>
      </c>
      <c r="I1502" s="12" t="b">
        <v>0</v>
      </c>
      <c r="J1502" s="12" t="b">
        <v>0</v>
      </c>
      <c r="K1502" s="12" t="b">
        <v>0</v>
      </c>
      <c r="L1502" s="12">
        <v>472.04760142880963</v>
      </c>
      <c r="M1502" s="12">
        <v>286.98874611282281</v>
      </c>
      <c r="N1502" s="12">
        <v>2189.372121129089</v>
      </c>
      <c r="O1502" s="12">
        <v>957.06160811266204</v>
      </c>
      <c r="P1502" s="12">
        <v>0.84084380850069951</v>
      </c>
      <c r="Q1502" s="12">
        <v>0.80872981904010954</v>
      </c>
      <c r="R1502" s="12">
        <v>0.73294974008728397</v>
      </c>
      <c r="S1502" s="12">
        <v>0.82919153280507074</v>
      </c>
      <c r="T1502" s="12">
        <v>0.70776849736172076</v>
      </c>
      <c r="U1502" s="12">
        <v>0.77459620509246807</v>
      </c>
      <c r="V1502" s="12">
        <v>286.98874611282281</v>
      </c>
      <c r="W1502" s="12">
        <v>6.2587759004044798</v>
      </c>
      <c r="X1502" s="12">
        <v>79.90199545879311</v>
      </c>
      <c r="Y1502" s="12">
        <v>1232.310513016427</v>
      </c>
      <c r="Z1502" s="12">
        <v>2.287597896071246</v>
      </c>
      <c r="AA1502" s="12" t="s">
        <v>1268</v>
      </c>
      <c r="AB1502" s="12"/>
    </row>
    <row r="1503" spans="1:28" x14ac:dyDescent="0.3">
      <c r="A1503" s="12" t="s">
        <v>3412</v>
      </c>
      <c r="B1503" s="12" t="s">
        <v>155</v>
      </c>
      <c r="C1503" s="12" t="s">
        <v>155</v>
      </c>
      <c r="D1503" s="12" t="s">
        <v>137</v>
      </c>
      <c r="E1503" s="12" t="s">
        <v>2978</v>
      </c>
      <c r="F1503" s="12" t="s">
        <v>1861</v>
      </c>
      <c r="G1503" s="12" t="s">
        <v>1861</v>
      </c>
      <c r="H1503" s="12" t="b">
        <v>1</v>
      </c>
      <c r="I1503" s="12" t="b">
        <v>0</v>
      </c>
      <c r="J1503" s="12" t="b">
        <v>1</v>
      </c>
      <c r="K1503" s="12" t="b">
        <v>0</v>
      </c>
      <c r="L1503" s="12">
        <v>497.1546164151805</v>
      </c>
      <c r="M1503" s="12">
        <v>285.37982092865678</v>
      </c>
      <c r="N1503" s="12">
        <v>2909.8359720359081</v>
      </c>
      <c r="O1503" s="12">
        <v>1288.8254495376279</v>
      </c>
      <c r="P1503" s="12">
        <v>0.65262079019941865</v>
      </c>
      <c r="Q1503" s="12">
        <v>0.8189319041783818</v>
      </c>
      <c r="R1503" s="12">
        <v>0.71705170759187831</v>
      </c>
      <c r="S1503" s="12">
        <v>0.71312616166007015</v>
      </c>
      <c r="T1503" s="12">
        <v>0.82836613973778495</v>
      </c>
      <c r="U1503" s="12">
        <v>0.86800097518779884</v>
      </c>
      <c r="V1503" s="12">
        <v>285.37982092865678</v>
      </c>
      <c r="W1503" s="12">
        <v>6.3641005467151803</v>
      </c>
      <c r="X1503" s="12">
        <v>90.066651529450382</v>
      </c>
      <c r="Y1503" s="12">
        <v>1621.0105224982799</v>
      </c>
      <c r="Z1503" s="12">
        <v>2.2577424841198042</v>
      </c>
      <c r="AA1503" s="12" t="s">
        <v>1268</v>
      </c>
      <c r="AB1503" s="12"/>
    </row>
    <row r="1504" spans="1:28" x14ac:dyDescent="0.3">
      <c r="A1504" s="12" t="s">
        <v>3413</v>
      </c>
      <c r="B1504" s="12" t="s">
        <v>155</v>
      </c>
      <c r="C1504" s="12" t="s">
        <v>155</v>
      </c>
      <c r="D1504" s="12" t="s">
        <v>137</v>
      </c>
      <c r="E1504" s="12" t="s">
        <v>2978</v>
      </c>
      <c r="F1504" s="12" t="s">
        <v>1861</v>
      </c>
      <c r="G1504" s="12" t="s">
        <v>1861</v>
      </c>
      <c r="H1504" s="12" t="b">
        <v>1</v>
      </c>
      <c r="I1504" s="12" t="b">
        <v>0</v>
      </c>
      <c r="J1504" s="12" t="b">
        <v>1</v>
      </c>
      <c r="K1504" s="12" t="b">
        <v>0</v>
      </c>
      <c r="L1504" s="12">
        <v>470.16063967103389</v>
      </c>
      <c r="M1504" s="12">
        <v>294.45350027556498</v>
      </c>
      <c r="N1504" s="12">
        <v>2624.9808349607952</v>
      </c>
      <c r="O1504" s="12">
        <v>1344.9389442916331</v>
      </c>
      <c r="P1504" s="12">
        <v>0.54326091556160627</v>
      </c>
      <c r="Q1504" s="12">
        <v>0.85319790913623783</v>
      </c>
      <c r="R1504" s="12">
        <v>0.85017726156809981</v>
      </c>
      <c r="S1504" s="12">
        <v>0.90081833410109524</v>
      </c>
      <c r="T1504" s="12">
        <v>0.62675374413014084</v>
      </c>
      <c r="U1504" s="12">
        <v>0.8548740360431456</v>
      </c>
      <c r="V1504" s="12">
        <v>294.45350027556498</v>
      </c>
      <c r="W1504" s="12">
        <v>5.2266392100673293</v>
      </c>
      <c r="X1504" s="12">
        <v>94.141981202907985</v>
      </c>
      <c r="Y1504" s="12">
        <v>1280.0418906691621</v>
      </c>
      <c r="Z1504" s="12">
        <v>1.9517472120961961</v>
      </c>
      <c r="AA1504" s="12" t="s">
        <v>1268</v>
      </c>
      <c r="AB1504" s="12"/>
    </row>
    <row r="1505" spans="1:28" x14ac:dyDescent="0.3">
      <c r="A1505" s="12" t="s">
        <v>3414</v>
      </c>
      <c r="B1505" s="12" t="s">
        <v>155</v>
      </c>
      <c r="C1505" s="12" t="s">
        <v>155</v>
      </c>
      <c r="D1505" s="12" t="s">
        <v>137</v>
      </c>
      <c r="E1505" s="12" t="s">
        <v>2978</v>
      </c>
      <c r="F1505" s="12" t="s">
        <v>32</v>
      </c>
      <c r="G1505" s="12" t="s">
        <v>32</v>
      </c>
      <c r="H1505" s="12" t="b">
        <v>1</v>
      </c>
      <c r="I1505" s="12" t="b">
        <v>1</v>
      </c>
      <c r="J1505" s="12" t="b">
        <v>0</v>
      </c>
      <c r="K1505" s="12" t="b">
        <v>0</v>
      </c>
      <c r="L1505" s="12">
        <v>443.155295575482</v>
      </c>
      <c r="M1505" s="12">
        <v>291.28274442082437</v>
      </c>
      <c r="N1505" s="12">
        <v>4257.2600654761709</v>
      </c>
      <c r="O1505" s="12">
        <v>1490.2004929419361</v>
      </c>
      <c r="P1505" s="12">
        <v>0.67204577776221985</v>
      </c>
      <c r="Q1505" s="12">
        <v>0.76549323249310108</v>
      </c>
      <c r="R1505" s="12">
        <v>0.86002032616813417</v>
      </c>
      <c r="S1505" s="12">
        <v>0.66409426901115276</v>
      </c>
      <c r="T1505" s="12">
        <v>0.76764591383440439</v>
      </c>
      <c r="U1505" s="12">
        <v>0.89552542484861652</v>
      </c>
      <c r="V1505" s="12">
        <v>291.28274442082437</v>
      </c>
      <c r="W1505" s="12">
        <v>7.1356524767479907</v>
      </c>
      <c r="X1505" s="12">
        <v>56.344477528572106</v>
      </c>
      <c r="Y1505" s="12">
        <v>2767.059572534235</v>
      </c>
      <c r="Z1505" s="12">
        <v>2.8568371072482588</v>
      </c>
      <c r="AA1505" s="12"/>
      <c r="AB1505" s="12"/>
    </row>
    <row r="1506" spans="1:28" x14ac:dyDescent="0.3">
      <c r="A1506" s="12" t="s">
        <v>3415</v>
      </c>
      <c r="B1506" s="12" t="s">
        <v>155</v>
      </c>
      <c r="C1506" s="12" t="s">
        <v>155</v>
      </c>
      <c r="D1506" s="12" t="s">
        <v>137</v>
      </c>
      <c r="E1506" s="12" t="s">
        <v>2978</v>
      </c>
      <c r="F1506" s="12" t="s">
        <v>1861</v>
      </c>
      <c r="G1506" s="12" t="s">
        <v>1861</v>
      </c>
      <c r="H1506" s="12" t="b">
        <v>1</v>
      </c>
      <c r="I1506" s="12" t="b">
        <v>0</v>
      </c>
      <c r="J1506" s="12" t="b">
        <v>0</v>
      </c>
      <c r="K1506" s="12" t="b">
        <v>0</v>
      </c>
      <c r="L1506" s="12">
        <v>401.72070720678801</v>
      </c>
      <c r="M1506" s="12">
        <v>300.90464721076791</v>
      </c>
      <c r="N1506" s="12">
        <v>4005.0130795702589</v>
      </c>
      <c r="O1506" s="12">
        <v>1312.976037108916</v>
      </c>
      <c r="P1506" s="12">
        <v>0.6464566062009004</v>
      </c>
      <c r="Q1506" s="12">
        <v>0.78464533400116032</v>
      </c>
      <c r="R1506" s="12">
        <v>0.83584643029673678</v>
      </c>
      <c r="S1506" s="12">
        <v>0.88862225111250692</v>
      </c>
      <c r="T1506" s="12">
        <v>0.67167795682799325</v>
      </c>
      <c r="U1506" s="12">
        <v>0.75416327788795623</v>
      </c>
      <c r="V1506" s="12">
        <v>300.90464721076791</v>
      </c>
      <c r="W1506" s="12">
        <v>7.1781335710533494</v>
      </c>
      <c r="X1506" s="12">
        <v>32.942816417005282</v>
      </c>
      <c r="Y1506" s="12">
        <v>2692.037042461342</v>
      </c>
      <c r="Z1506" s="12">
        <v>3.0503321967619641</v>
      </c>
      <c r="AA1506" s="12" t="s">
        <v>1268</v>
      </c>
      <c r="AB1506" s="12"/>
    </row>
    <row r="1507" spans="1:28" x14ac:dyDescent="0.3">
      <c r="A1507" s="12" t="s">
        <v>3416</v>
      </c>
      <c r="B1507" s="12" t="s">
        <v>155</v>
      </c>
      <c r="C1507" s="12" t="s">
        <v>155</v>
      </c>
      <c r="D1507" s="12" t="s">
        <v>137</v>
      </c>
      <c r="E1507" s="12" t="s">
        <v>2978</v>
      </c>
      <c r="F1507" s="12" t="s">
        <v>1861</v>
      </c>
      <c r="G1507" s="12" t="s">
        <v>1861</v>
      </c>
      <c r="H1507" s="12" t="b">
        <v>1</v>
      </c>
      <c r="I1507" s="12" t="b">
        <v>0</v>
      </c>
      <c r="J1507" s="12" t="b">
        <v>1</v>
      </c>
      <c r="K1507" s="12" t="b">
        <v>0</v>
      </c>
      <c r="L1507" s="12">
        <v>478.50874474728681</v>
      </c>
      <c r="M1507" s="12">
        <v>294.29590293787561</v>
      </c>
      <c r="N1507" s="12">
        <v>4011.1948933267809</v>
      </c>
      <c r="O1507" s="12">
        <v>392.40097664156929</v>
      </c>
      <c r="P1507" s="12">
        <v>0.50289026448000895</v>
      </c>
      <c r="Q1507" s="12">
        <v>0.87501928658570394</v>
      </c>
      <c r="R1507" s="12">
        <v>0.87185167437081545</v>
      </c>
      <c r="S1507" s="12">
        <v>0.83921824325071848</v>
      </c>
      <c r="T1507" s="12">
        <v>0.91877713121378524</v>
      </c>
      <c r="U1507" s="12">
        <v>0.73125363428086798</v>
      </c>
      <c r="V1507" s="12">
        <v>294.29590293787561</v>
      </c>
      <c r="W1507" s="12">
        <v>16.014916311642061</v>
      </c>
      <c r="X1507" s="12">
        <v>201.84524776091999</v>
      </c>
      <c r="Y1507" s="12">
        <v>3618.793916685212</v>
      </c>
      <c r="Z1507" s="12">
        <v>10.22218376635368</v>
      </c>
      <c r="AA1507" s="12" t="s">
        <v>1981</v>
      </c>
      <c r="AB1507" s="12"/>
    </row>
    <row r="1508" spans="1:28" x14ac:dyDescent="0.3">
      <c r="A1508" s="12" t="s">
        <v>3417</v>
      </c>
      <c r="B1508" s="12" t="s">
        <v>155</v>
      </c>
      <c r="C1508" s="12" t="s">
        <v>155</v>
      </c>
      <c r="D1508" s="12" t="s">
        <v>137</v>
      </c>
      <c r="E1508" s="12" t="s">
        <v>2978</v>
      </c>
      <c r="F1508" s="12" t="s">
        <v>832</v>
      </c>
      <c r="G1508" s="12" t="s">
        <v>832</v>
      </c>
      <c r="H1508" s="12" t="b">
        <v>0</v>
      </c>
      <c r="I1508" s="12" t="b">
        <v>0</v>
      </c>
      <c r="J1508" s="12" t="b">
        <v>0</v>
      </c>
      <c r="K1508" s="12" t="b">
        <v>0</v>
      </c>
      <c r="L1508" s="12">
        <v>397.03840123924931</v>
      </c>
      <c r="M1508" s="12">
        <v>293.49517834155853</v>
      </c>
      <c r="N1508" s="12">
        <v>4475.5589101845726</v>
      </c>
      <c r="O1508" s="12">
        <v>925.98910726832196</v>
      </c>
      <c r="P1508" s="12">
        <v>0.77459080676792014</v>
      </c>
      <c r="Q1508" s="12">
        <v>0.80114486744634816</v>
      </c>
      <c r="R1508" s="12">
        <v>0.82519174848571308</v>
      </c>
      <c r="S1508" s="12">
        <v>0.91001347431022817</v>
      </c>
      <c r="T1508" s="12">
        <v>0.69912141369481207</v>
      </c>
      <c r="U1508" s="12">
        <v>0.73745278893773492</v>
      </c>
      <c r="V1508" s="12">
        <v>293.49517834155853</v>
      </c>
      <c r="W1508" s="12"/>
      <c r="X1508" s="12"/>
      <c r="Y1508" s="12">
        <v>3549.56980291625</v>
      </c>
      <c r="Z1508" s="12">
        <v>4.8332738204529431</v>
      </c>
      <c r="AA1508" s="12"/>
      <c r="AB1508" s="12"/>
    </row>
    <row r="1509" spans="1:28" x14ac:dyDescent="0.3">
      <c r="A1509" s="12" t="s">
        <v>3418</v>
      </c>
      <c r="B1509" s="12" t="s">
        <v>155</v>
      </c>
      <c r="C1509" s="12" t="s">
        <v>155</v>
      </c>
      <c r="D1509" s="12" t="s">
        <v>137</v>
      </c>
      <c r="E1509" s="12" t="s">
        <v>2978</v>
      </c>
      <c r="F1509" s="12" t="s">
        <v>1861</v>
      </c>
      <c r="G1509" s="12" t="s">
        <v>1861</v>
      </c>
      <c r="H1509" s="12" t="b">
        <v>1</v>
      </c>
      <c r="I1509" s="12" t="b">
        <v>0</v>
      </c>
      <c r="J1509" s="12" t="b">
        <v>0</v>
      </c>
      <c r="K1509" s="12" t="b">
        <v>0</v>
      </c>
      <c r="L1509" s="12">
        <v>450.94084648528258</v>
      </c>
      <c r="M1509" s="12">
        <v>286.58791396738081</v>
      </c>
      <c r="N1509" s="12">
        <v>4960.171892946295</v>
      </c>
      <c r="O1509" s="12">
        <v>1124.420413302747</v>
      </c>
      <c r="P1509" s="12">
        <v>0.7795878271247525</v>
      </c>
      <c r="Q1509" s="12">
        <v>0.84694890831375902</v>
      </c>
      <c r="R1509" s="12">
        <v>0.78844179094206712</v>
      </c>
      <c r="S1509" s="12">
        <v>0.6349773734073737</v>
      </c>
      <c r="T1509" s="12">
        <v>0.79508712988869323</v>
      </c>
      <c r="U1509" s="12">
        <v>0.86118537047212973</v>
      </c>
      <c r="V1509" s="12">
        <v>286.58791396738081</v>
      </c>
      <c r="W1509" s="12">
        <v>12.2117743427757</v>
      </c>
      <c r="X1509" s="12">
        <v>112.34969061733931</v>
      </c>
      <c r="Y1509" s="12">
        <v>3835.751479643548</v>
      </c>
      <c r="Z1509" s="12">
        <v>4.4113143396043837</v>
      </c>
      <c r="AA1509" s="12" t="s">
        <v>1268</v>
      </c>
      <c r="AB1509" s="12"/>
    </row>
    <row r="1510" spans="1:28" x14ac:dyDescent="0.3">
      <c r="A1510" s="12" t="s">
        <v>3419</v>
      </c>
      <c r="B1510" s="12" t="s">
        <v>155</v>
      </c>
      <c r="C1510" s="12" t="s">
        <v>155</v>
      </c>
      <c r="D1510" s="12" t="s">
        <v>137</v>
      </c>
      <c r="E1510" s="12" t="s">
        <v>2978</v>
      </c>
      <c r="F1510" s="12" t="s">
        <v>32</v>
      </c>
      <c r="G1510" s="12" t="s">
        <v>32</v>
      </c>
      <c r="H1510" s="12" t="b">
        <v>1</v>
      </c>
      <c r="I1510" s="12" t="b">
        <v>0</v>
      </c>
      <c r="J1510" s="12" t="b">
        <v>1</v>
      </c>
      <c r="K1510" s="12" t="b">
        <v>0</v>
      </c>
      <c r="L1510" s="12">
        <v>481.90054172539391</v>
      </c>
      <c r="M1510" s="12">
        <v>283.09200223910727</v>
      </c>
      <c r="N1510" s="12">
        <v>2521.2615369554428</v>
      </c>
      <c r="O1510" s="12">
        <v>1004.773189877077</v>
      </c>
      <c r="P1510" s="12">
        <v>0.53860077564305986</v>
      </c>
      <c r="Q1510" s="12">
        <v>0.81845428546195897</v>
      </c>
      <c r="R1510" s="12">
        <v>0.70336948362015861</v>
      </c>
      <c r="S1510" s="12">
        <v>0.70604169778650716</v>
      </c>
      <c r="T1510" s="12">
        <v>0.80841890709138287</v>
      </c>
      <c r="U1510" s="12">
        <v>0.90817065240486683</v>
      </c>
      <c r="V1510" s="12">
        <v>283.09200223910727</v>
      </c>
      <c r="W1510" s="12">
        <v>6.3559085665082202</v>
      </c>
      <c r="X1510" s="12">
        <v>95.590922610092122</v>
      </c>
      <c r="Y1510" s="12">
        <v>1516.4883470783659</v>
      </c>
      <c r="Z1510" s="12">
        <v>2.5092842467899561</v>
      </c>
      <c r="AA1510" s="12"/>
      <c r="AB1510" s="12"/>
    </row>
    <row r="1511" spans="1:28" x14ac:dyDescent="0.3">
      <c r="A1511" s="12" t="s">
        <v>3420</v>
      </c>
      <c r="B1511" s="12" t="s">
        <v>155</v>
      </c>
      <c r="C1511" s="12" t="s">
        <v>155</v>
      </c>
      <c r="D1511" s="12" t="s">
        <v>137</v>
      </c>
      <c r="E1511" s="12" t="s">
        <v>2978</v>
      </c>
      <c r="F1511" s="12" t="s">
        <v>1861</v>
      </c>
      <c r="G1511" s="12" t="s">
        <v>1861</v>
      </c>
      <c r="H1511" s="12" t="b">
        <v>1</v>
      </c>
      <c r="I1511" s="12" t="b">
        <v>0</v>
      </c>
      <c r="J1511" s="12" t="b">
        <v>0</v>
      </c>
      <c r="K1511" s="12" t="b">
        <v>0</v>
      </c>
      <c r="L1511" s="12">
        <v>394.35226919510268</v>
      </c>
      <c r="M1511" s="12">
        <v>302.76544411312699</v>
      </c>
      <c r="N1511" s="12">
        <v>3635.7903717331678</v>
      </c>
      <c r="O1511" s="12">
        <v>973.71170796292085</v>
      </c>
      <c r="P1511" s="12">
        <v>0.64889257772812448</v>
      </c>
      <c r="Q1511" s="12">
        <v>0.87119020759975074</v>
      </c>
      <c r="R1511" s="12">
        <v>0.80371522956426822</v>
      </c>
      <c r="S1511" s="12">
        <v>0.65804673000488922</v>
      </c>
      <c r="T1511" s="12">
        <v>0.74313785579767677</v>
      </c>
      <c r="U1511" s="12">
        <v>0.81960948785830268</v>
      </c>
      <c r="V1511" s="12">
        <v>302.76544411312699</v>
      </c>
      <c r="W1511" s="12">
        <v>8.2543152475546897</v>
      </c>
      <c r="X1511" s="12">
        <v>26.97702374605548</v>
      </c>
      <c r="Y1511" s="12">
        <v>2662.0786637702472</v>
      </c>
      <c r="Z1511" s="12">
        <v>3.7339495273601249</v>
      </c>
      <c r="AA1511" s="12" t="s">
        <v>1268</v>
      </c>
      <c r="AB1511" s="12"/>
    </row>
    <row r="1512" spans="1:28" x14ac:dyDescent="0.3">
      <c r="A1512" s="12" t="s">
        <v>3421</v>
      </c>
      <c r="B1512" s="12" t="s">
        <v>155</v>
      </c>
      <c r="C1512" s="12" t="s">
        <v>155</v>
      </c>
      <c r="D1512" s="12" t="s">
        <v>137</v>
      </c>
      <c r="E1512" s="12" t="s">
        <v>2978</v>
      </c>
      <c r="F1512" s="12" t="s">
        <v>32</v>
      </c>
      <c r="G1512" s="12" t="s">
        <v>32</v>
      </c>
      <c r="H1512" s="12" t="b">
        <v>1</v>
      </c>
      <c r="I1512" s="12" t="b">
        <v>1</v>
      </c>
      <c r="J1512" s="12" t="b">
        <v>0</v>
      </c>
      <c r="K1512" s="12" t="b">
        <v>0</v>
      </c>
      <c r="L1512" s="12">
        <v>408.79480437103922</v>
      </c>
      <c r="M1512" s="12">
        <v>290.80902654074151</v>
      </c>
      <c r="N1512" s="12">
        <v>4944.96732500092</v>
      </c>
      <c r="O1512" s="12">
        <v>1267.6822819708709</v>
      </c>
      <c r="P1512" s="12">
        <v>0.65916267493344016</v>
      </c>
      <c r="Q1512" s="12">
        <v>0.814750343547199</v>
      </c>
      <c r="R1512" s="12">
        <v>0.81998163879033981</v>
      </c>
      <c r="S1512" s="12">
        <v>0.75096442973831445</v>
      </c>
      <c r="T1512" s="12">
        <v>0.87614723474275513</v>
      </c>
      <c r="U1512" s="12">
        <v>0.71264502710596944</v>
      </c>
      <c r="V1512" s="12">
        <v>290.80902654074151</v>
      </c>
      <c r="W1512" s="12">
        <v>8.5995286944355591</v>
      </c>
      <c r="X1512" s="12">
        <v>29.119913616636641</v>
      </c>
      <c r="Y1512" s="12">
        <v>3677.2850430300491</v>
      </c>
      <c r="Z1512" s="12">
        <v>3.900793909742871</v>
      </c>
      <c r="AA1512" s="12"/>
      <c r="AB1512" s="12"/>
    </row>
    <row r="1513" spans="1:28" x14ac:dyDescent="0.3">
      <c r="A1513" s="12" t="s">
        <v>3422</v>
      </c>
      <c r="B1513" s="12" t="s">
        <v>155</v>
      </c>
      <c r="C1513" s="12" t="s">
        <v>155</v>
      </c>
      <c r="D1513" s="12" t="s">
        <v>137</v>
      </c>
      <c r="E1513" s="12" t="s">
        <v>2978</v>
      </c>
      <c r="F1513" s="12" t="s">
        <v>1861</v>
      </c>
      <c r="G1513" s="12" t="s">
        <v>1861</v>
      </c>
      <c r="H1513" s="12" t="b">
        <v>1</v>
      </c>
      <c r="I1513" s="12" t="b">
        <v>0</v>
      </c>
      <c r="J1513" s="12" t="b">
        <v>1</v>
      </c>
      <c r="K1513" s="12" t="b">
        <v>0</v>
      </c>
      <c r="L1513" s="12">
        <v>452.78999567489649</v>
      </c>
      <c r="M1513" s="12">
        <v>291.16999617907328</v>
      </c>
      <c r="N1513" s="12">
        <v>3900.724847004843</v>
      </c>
      <c r="O1513" s="12">
        <v>552.27812540830928</v>
      </c>
      <c r="P1513" s="12">
        <v>0.62670196931533728</v>
      </c>
      <c r="Q1513" s="12">
        <v>0.86537867156130166</v>
      </c>
      <c r="R1513" s="12">
        <v>0.72253298654557296</v>
      </c>
      <c r="S1513" s="12">
        <v>0.84359880543513621</v>
      </c>
      <c r="T1513" s="12">
        <v>0.79793126014084637</v>
      </c>
      <c r="U1513" s="12">
        <v>0.76514726724376625</v>
      </c>
      <c r="V1513" s="12">
        <v>291.16999617907328</v>
      </c>
      <c r="W1513" s="12">
        <v>14.18682019496544</v>
      </c>
      <c r="X1513" s="12">
        <v>147.2558535270025</v>
      </c>
      <c r="Y1513" s="12">
        <v>3348.4467215965342</v>
      </c>
      <c r="Z1513" s="12">
        <v>7.0629718389099079</v>
      </c>
      <c r="AA1513" s="12" t="s">
        <v>1268</v>
      </c>
      <c r="AB1513" s="12"/>
    </row>
    <row r="1514" spans="1:28" x14ac:dyDescent="0.3">
      <c r="A1514" s="12" t="s">
        <v>3423</v>
      </c>
      <c r="B1514" s="12" t="s">
        <v>155</v>
      </c>
      <c r="C1514" s="12" t="s">
        <v>155</v>
      </c>
      <c r="D1514" s="12" t="s">
        <v>137</v>
      </c>
      <c r="E1514" s="12" t="s">
        <v>2978</v>
      </c>
      <c r="F1514" s="12" t="s">
        <v>1861</v>
      </c>
      <c r="G1514" s="12" t="s">
        <v>1861</v>
      </c>
      <c r="H1514" s="12" t="b">
        <v>1</v>
      </c>
      <c r="I1514" s="12" t="b">
        <v>0</v>
      </c>
      <c r="J1514" s="12" t="b">
        <v>0</v>
      </c>
      <c r="K1514" s="12" t="b">
        <v>0</v>
      </c>
      <c r="L1514" s="12">
        <v>424.72167552362549</v>
      </c>
      <c r="M1514" s="12">
        <v>296.52240390200848</v>
      </c>
      <c r="N1514" s="12">
        <v>4840.2231042553794</v>
      </c>
      <c r="O1514" s="12">
        <v>692.77457708626184</v>
      </c>
      <c r="P1514" s="12">
        <v>0.83835767920041437</v>
      </c>
      <c r="Q1514" s="12">
        <v>0.82036100217665953</v>
      </c>
      <c r="R1514" s="12">
        <v>0.79581573982230258</v>
      </c>
      <c r="S1514" s="12">
        <v>0.74504366576134062</v>
      </c>
      <c r="T1514" s="12">
        <v>0.62085448926379094</v>
      </c>
      <c r="U1514" s="12">
        <v>0.7023015170719189</v>
      </c>
      <c r="V1514" s="12">
        <v>296.52240390200848</v>
      </c>
      <c r="W1514" s="12">
        <v>4.0789306875953706</v>
      </c>
      <c r="X1514" s="12">
        <v>18.292153146071229</v>
      </c>
      <c r="Y1514" s="12">
        <v>4147.4485271691174</v>
      </c>
      <c r="Z1514" s="12">
        <v>6.9867216037471476</v>
      </c>
      <c r="AA1514" s="12" t="s">
        <v>1268</v>
      </c>
      <c r="AB1514" s="12"/>
    </row>
    <row r="1515" spans="1:28" x14ac:dyDescent="0.3">
      <c r="A1515" s="12" t="s">
        <v>3424</v>
      </c>
      <c r="B1515" s="12" t="s">
        <v>155</v>
      </c>
      <c r="C1515" s="12" t="s">
        <v>155</v>
      </c>
      <c r="D1515" s="12" t="s">
        <v>137</v>
      </c>
      <c r="E1515" s="12" t="s">
        <v>2978</v>
      </c>
      <c r="F1515" s="12" t="s">
        <v>1862</v>
      </c>
      <c r="G1515" s="12" t="s">
        <v>1862</v>
      </c>
      <c r="H1515" s="12" t="b">
        <v>1</v>
      </c>
      <c r="I1515" s="12" t="b">
        <v>0</v>
      </c>
      <c r="J1515" s="12" t="b">
        <v>1</v>
      </c>
      <c r="K1515" s="12" t="b">
        <v>0</v>
      </c>
      <c r="L1515" s="12">
        <v>455.35018109001402</v>
      </c>
      <c r="M1515" s="12">
        <v>287.29403190057968</v>
      </c>
      <c r="N1515" s="12">
        <v>2771.6865619785408</v>
      </c>
      <c r="O1515" s="12">
        <v>367.77141340825159</v>
      </c>
      <c r="P1515" s="12">
        <v>0.83081053022764495</v>
      </c>
      <c r="Q1515" s="12">
        <v>0.81366975642731842</v>
      </c>
      <c r="R1515" s="12">
        <v>0.68924786609617239</v>
      </c>
      <c r="S1515" s="12">
        <v>0.85079754970189214</v>
      </c>
      <c r="T1515" s="12">
        <v>0.64743885080120667</v>
      </c>
      <c r="U1515" s="12">
        <v>0.83350341626021363</v>
      </c>
      <c r="V1515" s="12">
        <v>287.29403190057968</v>
      </c>
      <c r="W1515" s="12">
        <v>-0.84929374123363999</v>
      </c>
      <c r="X1515" s="12">
        <v>-5.5842959128148104</v>
      </c>
      <c r="Y1515" s="12">
        <v>2403.9151485702891</v>
      </c>
      <c r="Z1515" s="12">
        <v>7.5364382900031917</v>
      </c>
      <c r="AA1515" s="12" t="s">
        <v>2513</v>
      </c>
      <c r="AB1515" s="12"/>
    </row>
    <row r="1516" spans="1:28" x14ac:dyDescent="0.3">
      <c r="A1516" s="12" t="s">
        <v>3425</v>
      </c>
      <c r="B1516" s="12" t="s">
        <v>155</v>
      </c>
      <c r="C1516" s="12" t="s">
        <v>155</v>
      </c>
      <c r="D1516" s="12" t="s">
        <v>137</v>
      </c>
      <c r="E1516" s="12" t="s">
        <v>2978</v>
      </c>
      <c r="F1516" s="12" t="s">
        <v>1861</v>
      </c>
      <c r="G1516" s="12" t="s">
        <v>1861</v>
      </c>
      <c r="H1516" s="12" t="b">
        <v>1</v>
      </c>
      <c r="I1516" s="12" t="b">
        <v>0</v>
      </c>
      <c r="J1516" s="12" t="b">
        <v>1</v>
      </c>
      <c r="K1516" s="12" t="b">
        <v>0</v>
      </c>
      <c r="L1516" s="12">
        <v>467.31249426258432</v>
      </c>
      <c r="M1516" s="12">
        <v>279.14067000100658</v>
      </c>
      <c r="N1516" s="12">
        <v>4691.4627483280929</v>
      </c>
      <c r="O1516" s="12">
        <v>645.22157818689175</v>
      </c>
      <c r="P1516" s="12">
        <v>0.54502705307287402</v>
      </c>
      <c r="Q1516" s="12">
        <v>0.81622820846360677</v>
      </c>
      <c r="R1516" s="12">
        <v>0.87877855253299497</v>
      </c>
      <c r="S1516" s="12">
        <v>0.60060518810752117</v>
      </c>
      <c r="T1516" s="12">
        <v>0.91757839473524039</v>
      </c>
      <c r="U1516" s="12">
        <v>0.78787616619361911</v>
      </c>
      <c r="V1516" s="12">
        <v>279.14067000100658</v>
      </c>
      <c r="W1516" s="12">
        <v>13.4852353791103</v>
      </c>
      <c r="X1516" s="12">
        <v>94.403605072372898</v>
      </c>
      <c r="Y1516" s="12">
        <v>4046.2411701412011</v>
      </c>
      <c r="Z1516" s="12">
        <v>7.2710878044583724</v>
      </c>
      <c r="AA1516" s="12" t="s">
        <v>1268</v>
      </c>
      <c r="AB1516" s="12"/>
    </row>
    <row r="1517" spans="1:28" x14ac:dyDescent="0.3">
      <c r="A1517" s="12" t="s">
        <v>3426</v>
      </c>
      <c r="B1517" s="12" t="s">
        <v>155</v>
      </c>
      <c r="C1517" s="12" t="s">
        <v>155</v>
      </c>
      <c r="D1517" s="12" t="s">
        <v>137</v>
      </c>
      <c r="E1517" s="12" t="s">
        <v>2978</v>
      </c>
      <c r="F1517" s="12" t="s">
        <v>1862</v>
      </c>
      <c r="G1517" s="12" t="s">
        <v>1862</v>
      </c>
      <c r="H1517" s="12" t="b">
        <v>1</v>
      </c>
      <c r="I1517" s="12" t="b">
        <v>0</v>
      </c>
      <c r="J1517" s="12" t="b">
        <v>0</v>
      </c>
      <c r="K1517" s="12" t="b">
        <v>0</v>
      </c>
      <c r="L1517" s="12">
        <v>420.91578176442761</v>
      </c>
      <c r="M1517" s="12">
        <v>300.765199722962</v>
      </c>
      <c r="N1517" s="12">
        <v>4057.762868975783</v>
      </c>
      <c r="O1517" s="12">
        <v>443.7957771416111</v>
      </c>
      <c r="P1517" s="12">
        <v>0.79716137287470679</v>
      </c>
      <c r="Q1517" s="12">
        <v>0.82415986230880511</v>
      </c>
      <c r="R1517" s="12">
        <v>0.85533523709832571</v>
      </c>
      <c r="S1517" s="12">
        <v>0.805766255847298</v>
      </c>
      <c r="T1517" s="12">
        <v>0.80103529769621362</v>
      </c>
      <c r="U1517" s="12">
        <v>0.8133959038739641</v>
      </c>
      <c r="V1517" s="12">
        <v>300.765199722962</v>
      </c>
      <c r="W1517" s="12">
        <v>-8.5759118637035794</v>
      </c>
      <c r="X1517" s="12">
        <v>-22.98365614380873</v>
      </c>
      <c r="Y1517" s="12">
        <v>3613.9670918341722</v>
      </c>
      <c r="Z1517" s="12">
        <v>9.1433111308785353</v>
      </c>
      <c r="AA1517" s="12" t="s">
        <v>2513</v>
      </c>
      <c r="AB1517" s="12"/>
    </row>
    <row r="1518" spans="1:28" x14ac:dyDescent="0.3">
      <c r="A1518" s="12" t="s">
        <v>3427</v>
      </c>
      <c r="B1518" s="12" t="s">
        <v>155</v>
      </c>
      <c r="C1518" s="12" t="s">
        <v>155</v>
      </c>
      <c r="D1518" s="12" t="s">
        <v>137</v>
      </c>
      <c r="E1518" s="12" t="s">
        <v>2978</v>
      </c>
      <c r="F1518" s="12" t="s">
        <v>1861</v>
      </c>
      <c r="G1518" s="12" t="s">
        <v>1861</v>
      </c>
      <c r="H1518" s="12" t="b">
        <v>1</v>
      </c>
      <c r="I1518" s="12" t="b">
        <v>0</v>
      </c>
      <c r="J1518" s="12" t="b">
        <v>0</v>
      </c>
      <c r="K1518" s="12" t="b">
        <v>0</v>
      </c>
      <c r="L1518" s="12">
        <v>407.42535509811643</v>
      </c>
      <c r="M1518" s="12">
        <v>289.16523016506699</v>
      </c>
      <c r="N1518" s="12">
        <v>4771.5080272120304</v>
      </c>
      <c r="O1518" s="12">
        <v>648.45712322620807</v>
      </c>
      <c r="P1518" s="12">
        <v>0.7699090154945063</v>
      </c>
      <c r="Q1518" s="12">
        <v>0.798069887034488</v>
      </c>
      <c r="R1518" s="12">
        <v>0.88703879757948501</v>
      </c>
      <c r="S1518" s="12">
        <v>0.71663954956314979</v>
      </c>
      <c r="T1518" s="12">
        <v>0.94915723295008403</v>
      </c>
      <c r="U1518" s="12">
        <v>0.72189462468438159</v>
      </c>
      <c r="V1518" s="12">
        <v>289.16523016506699</v>
      </c>
      <c r="W1518" s="12">
        <v>14.07882101788606</v>
      </c>
      <c r="X1518" s="12">
        <v>74.25674055199697</v>
      </c>
      <c r="Y1518" s="12">
        <v>4123.0509039858234</v>
      </c>
      <c r="Z1518" s="12">
        <v>7.3582475329637722</v>
      </c>
      <c r="AA1518" s="12" t="s">
        <v>1268</v>
      </c>
      <c r="AB1518" s="12"/>
    </row>
    <row r="1519" spans="1:28" x14ac:dyDescent="0.3">
      <c r="A1519" s="12" t="s">
        <v>3428</v>
      </c>
      <c r="B1519" s="12" t="s">
        <v>155</v>
      </c>
      <c r="C1519" s="12" t="s">
        <v>155</v>
      </c>
      <c r="D1519" s="12" t="s">
        <v>137</v>
      </c>
      <c r="E1519" s="12" t="s">
        <v>2978</v>
      </c>
      <c r="F1519" s="12" t="s">
        <v>32</v>
      </c>
      <c r="G1519" s="12" t="s">
        <v>32</v>
      </c>
      <c r="H1519" s="12" t="b">
        <v>1</v>
      </c>
      <c r="I1519" s="12" t="b">
        <v>1</v>
      </c>
      <c r="J1519" s="12" t="b">
        <v>0</v>
      </c>
      <c r="K1519" s="12" t="b">
        <v>0</v>
      </c>
      <c r="L1519" s="12">
        <v>409.35464242439548</v>
      </c>
      <c r="M1519" s="12">
        <v>300.51369144075892</v>
      </c>
      <c r="N1519" s="12">
        <v>2844.5887866886478</v>
      </c>
      <c r="O1519" s="12">
        <v>952.44158003742996</v>
      </c>
      <c r="P1519" s="12">
        <v>0.63878258724655201</v>
      </c>
      <c r="Q1519" s="12">
        <v>0.84026904451868045</v>
      </c>
      <c r="R1519" s="12">
        <v>0.81355875493056584</v>
      </c>
      <c r="S1519" s="12">
        <v>0.71470254032339986</v>
      </c>
      <c r="T1519" s="12">
        <v>0.66026426210382727</v>
      </c>
      <c r="U1519" s="12">
        <v>0.91800386345254803</v>
      </c>
      <c r="V1519" s="12">
        <v>300.51369144075892</v>
      </c>
      <c r="W1519" s="12">
        <v>7.8413342785866993</v>
      </c>
      <c r="X1519" s="12">
        <v>49.257546487984342</v>
      </c>
      <c r="Y1519" s="12">
        <v>1892.1472066512181</v>
      </c>
      <c r="Z1519" s="12">
        <v>2.9866281001474739</v>
      </c>
      <c r="AA1519" s="12"/>
      <c r="AB1519" s="12"/>
    </row>
    <row r="1520" spans="1:28" x14ac:dyDescent="0.3">
      <c r="A1520" s="12" t="s">
        <v>3429</v>
      </c>
      <c r="B1520" s="12" t="s">
        <v>155</v>
      </c>
      <c r="C1520" s="12" t="s">
        <v>155</v>
      </c>
      <c r="D1520" s="12" t="s">
        <v>137</v>
      </c>
      <c r="E1520" s="12" t="s">
        <v>2978</v>
      </c>
      <c r="F1520" s="12" t="s">
        <v>1861</v>
      </c>
      <c r="G1520" s="12" t="s">
        <v>1861</v>
      </c>
      <c r="H1520" s="12" t="b">
        <v>1</v>
      </c>
      <c r="I1520" s="12" t="b">
        <v>0</v>
      </c>
      <c r="J1520" s="12" t="b">
        <v>1</v>
      </c>
      <c r="K1520" s="12" t="b">
        <v>0</v>
      </c>
      <c r="L1520" s="12">
        <v>452.59835882759381</v>
      </c>
      <c r="M1520" s="12">
        <v>297.50986404165178</v>
      </c>
      <c r="N1520" s="12">
        <v>2977.4879282495972</v>
      </c>
      <c r="O1520" s="12">
        <v>665.1747174796385</v>
      </c>
      <c r="P1520" s="12">
        <v>0.78827015791507393</v>
      </c>
      <c r="Q1520" s="12">
        <v>0.83486121021715576</v>
      </c>
      <c r="R1520" s="12">
        <v>0.80835503856092217</v>
      </c>
      <c r="S1520" s="12">
        <v>0.82491477807385671</v>
      </c>
      <c r="T1520" s="12">
        <v>0.91657840644928446</v>
      </c>
      <c r="U1520" s="12">
        <v>0.73027202443310157</v>
      </c>
      <c r="V1520" s="12">
        <v>297.50986404165178</v>
      </c>
      <c r="W1520" s="12">
        <v>8.1987453869213489</v>
      </c>
      <c r="X1520" s="12">
        <v>75.642905474135233</v>
      </c>
      <c r="Y1520" s="12">
        <v>2312.313210769958</v>
      </c>
      <c r="Z1520" s="12">
        <v>4.4762493973483588</v>
      </c>
      <c r="AA1520" s="12" t="s">
        <v>1268</v>
      </c>
      <c r="AB1520" s="12"/>
    </row>
    <row r="1521" spans="1:28" x14ac:dyDescent="0.3">
      <c r="A1521" s="12" t="s">
        <v>3430</v>
      </c>
      <c r="B1521" s="12" t="s">
        <v>155</v>
      </c>
      <c r="C1521" s="12" t="s">
        <v>155</v>
      </c>
      <c r="D1521" s="12" t="s">
        <v>137</v>
      </c>
      <c r="E1521" s="12" t="s">
        <v>2978</v>
      </c>
      <c r="F1521" s="12" t="s">
        <v>32</v>
      </c>
      <c r="G1521" s="12" t="s">
        <v>32</v>
      </c>
      <c r="H1521" s="12" t="b">
        <v>1</v>
      </c>
      <c r="I1521" s="12" t="b">
        <v>1</v>
      </c>
      <c r="J1521" s="12" t="b">
        <v>0</v>
      </c>
      <c r="K1521" s="12" t="b">
        <v>0</v>
      </c>
      <c r="L1521" s="12">
        <v>429.4317183863684</v>
      </c>
      <c r="M1521" s="12">
        <v>296.221926249798</v>
      </c>
      <c r="N1521" s="12">
        <v>3001.0147499036138</v>
      </c>
      <c r="O1521" s="12">
        <v>858.32769409496518</v>
      </c>
      <c r="P1521" s="12">
        <v>0.54030264945456574</v>
      </c>
      <c r="Q1521" s="12">
        <v>0.90832170337099882</v>
      </c>
      <c r="R1521" s="12">
        <v>0.76248441026595992</v>
      </c>
      <c r="S1521" s="12">
        <v>0.74757051471012936</v>
      </c>
      <c r="T1521" s="12">
        <v>0.93086769278404724</v>
      </c>
      <c r="U1521" s="12">
        <v>0.9248300932670368</v>
      </c>
      <c r="V1521" s="12">
        <v>296.221926249798</v>
      </c>
      <c r="W1521" s="12">
        <v>9.8327695819828502</v>
      </c>
      <c r="X1521" s="12">
        <v>61.573910539140229</v>
      </c>
      <c r="Y1521" s="12">
        <v>2142.687055808648</v>
      </c>
      <c r="Z1521" s="12">
        <v>3.4963508349429802</v>
      </c>
      <c r="AA1521" s="12"/>
      <c r="AB1521" s="12"/>
    </row>
    <row r="1522" spans="1:28" x14ac:dyDescent="0.3">
      <c r="A1522" s="12" t="s">
        <v>3431</v>
      </c>
      <c r="B1522" s="12" t="s">
        <v>155</v>
      </c>
      <c r="C1522" s="12" t="s">
        <v>155</v>
      </c>
      <c r="D1522" s="12" t="s">
        <v>137</v>
      </c>
      <c r="E1522" s="12" t="s">
        <v>2978</v>
      </c>
      <c r="F1522" s="12" t="s">
        <v>32</v>
      </c>
      <c r="G1522" s="12" t="s">
        <v>32</v>
      </c>
      <c r="H1522" s="12" t="b">
        <v>1</v>
      </c>
      <c r="I1522" s="12" t="b">
        <v>0</v>
      </c>
      <c r="J1522" s="12" t="b">
        <v>1</v>
      </c>
      <c r="K1522" s="12" t="b">
        <v>0</v>
      </c>
      <c r="L1522" s="12">
        <v>489.65038115310551</v>
      </c>
      <c r="M1522" s="12">
        <v>279.84407420590969</v>
      </c>
      <c r="N1522" s="12">
        <v>3808.8273171485462</v>
      </c>
      <c r="O1522" s="12">
        <v>1426.6337525685531</v>
      </c>
      <c r="P1522" s="12">
        <v>0.74291670030413259</v>
      </c>
      <c r="Q1522" s="12">
        <v>0.78070884618188474</v>
      </c>
      <c r="R1522" s="12">
        <v>0.83730040117556059</v>
      </c>
      <c r="S1522" s="12">
        <v>0.92311956089323155</v>
      </c>
      <c r="T1522" s="12">
        <v>0.87288129085893973</v>
      </c>
      <c r="U1522" s="12">
        <v>0.9474141011869216</v>
      </c>
      <c r="V1522" s="12">
        <v>279.84407420590969</v>
      </c>
      <c r="W1522" s="12">
        <v>6.9987411590740098</v>
      </c>
      <c r="X1522" s="12">
        <v>130.3975055644234</v>
      </c>
      <c r="Y1522" s="12">
        <v>2382.193564579994</v>
      </c>
      <c r="Z1522" s="12">
        <v>2.6698003676774249</v>
      </c>
      <c r="AA1522" s="12"/>
      <c r="AB1522" s="12"/>
    </row>
    <row r="1523" spans="1:28" x14ac:dyDescent="0.3">
      <c r="A1523" s="12" t="s">
        <v>3432</v>
      </c>
      <c r="B1523" s="12" t="s">
        <v>155</v>
      </c>
      <c r="C1523" s="12" t="s">
        <v>155</v>
      </c>
      <c r="D1523" s="12" t="s">
        <v>137</v>
      </c>
      <c r="E1523" s="12" t="s">
        <v>2978</v>
      </c>
      <c r="F1523" s="12" t="s">
        <v>32</v>
      </c>
      <c r="G1523" s="12" t="s">
        <v>32</v>
      </c>
      <c r="H1523" s="12" t="b">
        <v>1</v>
      </c>
      <c r="I1523" s="12" t="b">
        <v>1</v>
      </c>
      <c r="J1523" s="12" t="b">
        <v>0</v>
      </c>
      <c r="K1523" s="12" t="b">
        <v>0</v>
      </c>
      <c r="L1523" s="12">
        <v>430.45461788562289</v>
      </c>
      <c r="M1523" s="12">
        <v>280.46294345813891</v>
      </c>
      <c r="N1523" s="12">
        <v>2688.4873424370239</v>
      </c>
      <c r="O1523" s="12">
        <v>1304.5435172953751</v>
      </c>
      <c r="P1523" s="12">
        <v>0.71702002700931544</v>
      </c>
      <c r="Q1523" s="12">
        <v>0.79209457660947769</v>
      </c>
      <c r="R1523" s="12">
        <v>0.74736410427623545</v>
      </c>
      <c r="S1523" s="12">
        <v>0.60674561131960192</v>
      </c>
      <c r="T1523" s="12">
        <v>0.65241173736271496</v>
      </c>
      <c r="U1523" s="12">
        <v>0.86995981696144331</v>
      </c>
      <c r="V1523" s="12">
        <v>280.46294345813891</v>
      </c>
      <c r="W1523" s="12">
        <v>5.2711178049045202</v>
      </c>
      <c r="X1523" s="12">
        <v>46.954083316447701</v>
      </c>
      <c r="Y1523" s="12">
        <v>1383.94382514165</v>
      </c>
      <c r="Z1523" s="12">
        <v>2.0608644378616749</v>
      </c>
      <c r="AA1523" s="12"/>
      <c r="AB1523" s="12"/>
    </row>
    <row r="1524" spans="1:28" x14ac:dyDescent="0.3">
      <c r="A1524" s="12" t="s">
        <v>3433</v>
      </c>
      <c r="B1524" s="12" t="s">
        <v>155</v>
      </c>
      <c r="C1524" s="12" t="s">
        <v>155</v>
      </c>
      <c r="D1524" s="12" t="s">
        <v>137</v>
      </c>
      <c r="E1524" s="12" t="s">
        <v>2978</v>
      </c>
      <c r="F1524" s="12" t="s">
        <v>32</v>
      </c>
      <c r="G1524" s="12" t="s">
        <v>32</v>
      </c>
      <c r="H1524" s="12" t="b">
        <v>1</v>
      </c>
      <c r="I1524" s="12" t="b">
        <v>0</v>
      </c>
      <c r="J1524" s="12" t="b">
        <v>1</v>
      </c>
      <c r="K1524" s="12" t="b">
        <v>0</v>
      </c>
      <c r="L1524" s="12">
        <v>437.13593201044989</v>
      </c>
      <c r="M1524" s="12">
        <v>284.5692239785941</v>
      </c>
      <c r="N1524" s="12">
        <v>2435.1929066201642</v>
      </c>
      <c r="O1524" s="12">
        <v>1049.983715480241</v>
      </c>
      <c r="P1524" s="12">
        <v>0.70401100111647019</v>
      </c>
      <c r="Q1524" s="12">
        <v>0.91022343444918719</v>
      </c>
      <c r="R1524" s="12">
        <v>0.77100302228177031</v>
      </c>
      <c r="S1524" s="12">
        <v>0.82285755032759389</v>
      </c>
      <c r="T1524" s="12">
        <v>0.8032745911722724</v>
      </c>
      <c r="U1524" s="12">
        <v>0.94103721673707685</v>
      </c>
      <c r="V1524" s="12">
        <v>284.5692239785941</v>
      </c>
      <c r="W1524" s="12">
        <v>7.1831815191635702</v>
      </c>
      <c r="X1524" s="12">
        <v>102.9825707817046</v>
      </c>
      <c r="Y1524" s="12">
        <v>1385.209191139923</v>
      </c>
      <c r="Z1524" s="12">
        <v>2.319267309309037</v>
      </c>
      <c r="AA1524" s="12"/>
      <c r="AB1524" s="12"/>
    </row>
    <row r="1525" spans="1:28" x14ac:dyDescent="0.3">
      <c r="A1525" s="12" t="s">
        <v>3434</v>
      </c>
      <c r="B1525" s="12" t="s">
        <v>155</v>
      </c>
      <c r="C1525" s="12" t="s">
        <v>155</v>
      </c>
      <c r="D1525" s="12" t="s">
        <v>137</v>
      </c>
      <c r="E1525" s="12" t="s">
        <v>2978</v>
      </c>
      <c r="F1525" s="12" t="s">
        <v>1862</v>
      </c>
      <c r="G1525" s="12" t="s">
        <v>1862</v>
      </c>
      <c r="H1525" s="12" t="b">
        <v>1</v>
      </c>
      <c r="I1525" s="12" t="b">
        <v>0</v>
      </c>
      <c r="J1525" s="12" t="b">
        <v>1</v>
      </c>
      <c r="K1525" s="12" t="b">
        <v>0</v>
      </c>
      <c r="L1525" s="12">
        <v>456.47313427496931</v>
      </c>
      <c r="M1525" s="12">
        <v>297.25742877665891</v>
      </c>
      <c r="N1525" s="12">
        <v>4139.0756485346556</v>
      </c>
      <c r="O1525" s="12">
        <v>379.12659497671069</v>
      </c>
      <c r="P1525" s="12">
        <v>0.79851522620269444</v>
      </c>
      <c r="Q1525" s="12">
        <v>0.78255147752809673</v>
      </c>
      <c r="R1525" s="12">
        <v>0.67787519192225887</v>
      </c>
      <c r="S1525" s="12">
        <v>0.76113801974703765</v>
      </c>
      <c r="T1525" s="12">
        <v>0.79323378079405482</v>
      </c>
      <c r="U1525" s="12">
        <v>0.89398048141139963</v>
      </c>
      <c r="V1525" s="12">
        <v>297.25742877665891</v>
      </c>
      <c r="W1525" s="12">
        <v>-6.8637889161905701</v>
      </c>
      <c r="X1525" s="12">
        <v>-38.292193342556061</v>
      </c>
      <c r="Y1525" s="12">
        <v>3759.9490535579448</v>
      </c>
      <c r="Z1525" s="12">
        <v>10.917397258266501</v>
      </c>
      <c r="AA1525" s="12" t="s">
        <v>2513</v>
      </c>
      <c r="AB1525" s="12"/>
    </row>
    <row r="1526" spans="1:28" x14ac:dyDescent="0.3">
      <c r="A1526" s="12" t="s">
        <v>3435</v>
      </c>
      <c r="B1526" s="12" t="s">
        <v>155</v>
      </c>
      <c r="C1526" s="12" t="s">
        <v>155</v>
      </c>
      <c r="D1526" s="12" t="s">
        <v>137</v>
      </c>
      <c r="E1526" s="12" t="s">
        <v>2978</v>
      </c>
      <c r="F1526" s="12" t="s">
        <v>1861</v>
      </c>
      <c r="G1526" s="12" t="s">
        <v>1861</v>
      </c>
      <c r="H1526" s="12" t="b">
        <v>1</v>
      </c>
      <c r="I1526" s="12" t="b">
        <v>0</v>
      </c>
      <c r="J1526" s="12" t="b">
        <v>0</v>
      </c>
      <c r="K1526" s="12" t="b">
        <v>0</v>
      </c>
      <c r="L1526" s="12">
        <v>425.56049039848949</v>
      </c>
      <c r="M1526" s="12">
        <v>291.39163663205409</v>
      </c>
      <c r="N1526" s="12">
        <v>2384.0500626484618</v>
      </c>
      <c r="O1526" s="12">
        <v>674.2491416886387</v>
      </c>
      <c r="P1526" s="12">
        <v>0.71649655924093003</v>
      </c>
      <c r="Q1526" s="12">
        <v>0.80026757782404956</v>
      </c>
      <c r="R1526" s="12">
        <v>0.75301128702971143</v>
      </c>
      <c r="S1526" s="12">
        <v>0.69473466102674031</v>
      </c>
      <c r="T1526" s="12">
        <v>0.93630625807207801</v>
      </c>
      <c r="U1526" s="12">
        <v>0.83621676021211799</v>
      </c>
      <c r="V1526" s="12">
        <v>291.39163663205409</v>
      </c>
      <c r="W1526" s="12">
        <v>9.8015095977146807</v>
      </c>
      <c r="X1526" s="12">
        <v>92.411753037722477</v>
      </c>
      <c r="Y1526" s="12">
        <v>1709.8009209598231</v>
      </c>
      <c r="Z1526" s="12">
        <v>3.5358592473364858</v>
      </c>
      <c r="AA1526" s="12" t="s">
        <v>1268</v>
      </c>
      <c r="AB1526" s="12"/>
    </row>
    <row r="1527" spans="1:28" x14ac:dyDescent="0.3">
      <c r="A1527" s="12" t="s">
        <v>3436</v>
      </c>
      <c r="B1527" s="12" t="s">
        <v>155</v>
      </c>
      <c r="C1527" s="12" t="s">
        <v>155</v>
      </c>
      <c r="D1527" s="12" t="s">
        <v>137</v>
      </c>
      <c r="E1527" s="12" t="s">
        <v>2978</v>
      </c>
      <c r="F1527" s="12" t="s">
        <v>1861</v>
      </c>
      <c r="G1527" s="12" t="s">
        <v>1861</v>
      </c>
      <c r="H1527" s="12" t="b">
        <v>1</v>
      </c>
      <c r="I1527" s="12" t="b">
        <v>0</v>
      </c>
      <c r="J1527" s="12" t="b">
        <v>0</v>
      </c>
      <c r="K1527" s="12" t="b">
        <v>0</v>
      </c>
      <c r="L1527" s="12">
        <v>438.36207173708982</v>
      </c>
      <c r="M1527" s="12">
        <v>292.64872900054638</v>
      </c>
      <c r="N1527" s="12">
        <v>2258.175386945265</v>
      </c>
      <c r="O1527" s="12">
        <v>857.33095370029355</v>
      </c>
      <c r="P1527" s="12">
        <v>0.81397021659295099</v>
      </c>
      <c r="Q1527" s="12">
        <v>0.83699168918631983</v>
      </c>
      <c r="R1527" s="12">
        <v>0.71124637310093219</v>
      </c>
      <c r="S1527" s="12">
        <v>0.64799904208748882</v>
      </c>
      <c r="T1527" s="12">
        <v>0.68574337166721377</v>
      </c>
      <c r="U1527" s="12">
        <v>0.73468813230945795</v>
      </c>
      <c r="V1527" s="12">
        <v>292.64872900054638</v>
      </c>
      <c r="W1527" s="12">
        <v>7.2424263824447399</v>
      </c>
      <c r="X1527" s="12">
        <v>68.759199907684717</v>
      </c>
      <c r="Y1527" s="12">
        <v>1400.8444332449719</v>
      </c>
      <c r="Z1527" s="12">
        <v>2.633959939506255</v>
      </c>
      <c r="AA1527" s="12" t="s">
        <v>1268</v>
      </c>
      <c r="AB1527" s="12"/>
    </row>
    <row r="1528" spans="1:28" x14ac:dyDescent="0.3">
      <c r="A1528" s="12" t="s">
        <v>3437</v>
      </c>
      <c r="B1528" s="12" t="s">
        <v>155</v>
      </c>
      <c r="C1528" s="12" t="s">
        <v>155</v>
      </c>
      <c r="D1528" s="12" t="s">
        <v>137</v>
      </c>
      <c r="E1528" s="12" t="s">
        <v>2978</v>
      </c>
      <c r="F1528" s="12" t="s">
        <v>32</v>
      </c>
      <c r="G1528" s="12" t="s">
        <v>32</v>
      </c>
      <c r="H1528" s="12" t="b">
        <v>1</v>
      </c>
      <c r="I1528" s="12" t="b">
        <v>1</v>
      </c>
      <c r="J1528" s="12" t="b">
        <v>0</v>
      </c>
      <c r="K1528" s="12" t="b">
        <v>0</v>
      </c>
      <c r="L1528" s="12">
        <v>431.10623145319317</v>
      </c>
      <c r="M1528" s="12">
        <v>280.77025987052411</v>
      </c>
      <c r="N1528" s="12">
        <v>2547.8802072856461</v>
      </c>
      <c r="O1528" s="12">
        <v>1152.816198561386</v>
      </c>
      <c r="P1528" s="12">
        <v>0.73196077033634221</v>
      </c>
      <c r="Q1528" s="12">
        <v>0.88885593701671484</v>
      </c>
      <c r="R1528" s="12">
        <v>0.70651460593808835</v>
      </c>
      <c r="S1528" s="12">
        <v>0.67591268967088947</v>
      </c>
      <c r="T1528" s="12">
        <v>0.72997308659075788</v>
      </c>
      <c r="U1528" s="12">
        <v>0.85766113930472931</v>
      </c>
      <c r="V1528" s="12">
        <v>280.77025987052411</v>
      </c>
      <c r="W1528" s="12">
        <v>7.1031582363849406</v>
      </c>
      <c r="X1528" s="12">
        <v>73.595206200217902</v>
      </c>
      <c r="Y1528" s="12">
        <v>1395.06400872426</v>
      </c>
      <c r="Z1528" s="12">
        <v>2.2101356751103771</v>
      </c>
      <c r="AA1528" s="12"/>
      <c r="AB1528" s="12"/>
    </row>
    <row r="1529" spans="1:28" x14ac:dyDescent="0.3">
      <c r="A1529" s="12" t="s">
        <v>3438</v>
      </c>
      <c r="B1529" s="12" t="s">
        <v>155</v>
      </c>
      <c r="C1529" s="12" t="s">
        <v>155</v>
      </c>
      <c r="D1529" s="12" t="s">
        <v>137</v>
      </c>
      <c r="E1529" s="12" t="s">
        <v>2978</v>
      </c>
      <c r="F1529" s="12" t="s">
        <v>1861</v>
      </c>
      <c r="G1529" s="12" t="s">
        <v>1861</v>
      </c>
      <c r="H1529" s="12" t="b">
        <v>1</v>
      </c>
      <c r="I1529" s="12" t="b">
        <v>0</v>
      </c>
      <c r="J1529" s="12" t="b">
        <v>0</v>
      </c>
      <c r="K1529" s="12" t="b">
        <v>0</v>
      </c>
      <c r="L1529" s="12">
        <v>435.31151288894341</v>
      </c>
      <c r="M1529" s="12">
        <v>286.80509472482117</v>
      </c>
      <c r="N1529" s="12">
        <v>2964.4761894108842</v>
      </c>
      <c r="O1529" s="12">
        <v>1063.3350922728739</v>
      </c>
      <c r="P1529" s="12">
        <v>0.73854140150911007</v>
      </c>
      <c r="Q1529" s="12">
        <v>0.75998524154415004</v>
      </c>
      <c r="R1529" s="12">
        <v>0.89232565797476771</v>
      </c>
      <c r="S1529" s="12">
        <v>0.66015864441169447</v>
      </c>
      <c r="T1529" s="12">
        <v>0.88126010672993771</v>
      </c>
      <c r="U1529" s="12">
        <v>0.80021750238793443</v>
      </c>
      <c r="V1529" s="12">
        <v>286.80509472482117</v>
      </c>
      <c r="W1529" s="12">
        <v>8.1178992449153089</v>
      </c>
      <c r="X1529" s="12">
        <v>76.12090412881156</v>
      </c>
      <c r="Y1529" s="12">
        <v>1901.1410971380101</v>
      </c>
      <c r="Z1529" s="12">
        <v>2.7879040303977272</v>
      </c>
      <c r="AA1529" s="12" t="s">
        <v>1268</v>
      </c>
      <c r="AB1529" s="12"/>
    </row>
    <row r="1530" spans="1:28" x14ac:dyDescent="0.3">
      <c r="A1530" s="12" t="s">
        <v>3439</v>
      </c>
      <c r="B1530" s="12" t="s">
        <v>155</v>
      </c>
      <c r="C1530" s="12" t="s">
        <v>155</v>
      </c>
      <c r="D1530" s="12" t="s">
        <v>137</v>
      </c>
      <c r="E1530" s="12" t="s">
        <v>2978</v>
      </c>
      <c r="F1530" s="12" t="s">
        <v>32</v>
      </c>
      <c r="G1530" s="12" t="s">
        <v>32</v>
      </c>
      <c r="H1530" s="12" t="b">
        <v>1</v>
      </c>
      <c r="I1530" s="12" t="b">
        <v>0</v>
      </c>
      <c r="J1530" s="12" t="b">
        <v>1</v>
      </c>
      <c r="K1530" s="12" t="b">
        <v>0</v>
      </c>
      <c r="L1530" s="12">
        <v>464.51024081593471</v>
      </c>
      <c r="M1530" s="12">
        <v>289.76217494416022</v>
      </c>
      <c r="N1530" s="12">
        <v>3571.4072979150992</v>
      </c>
      <c r="O1530" s="12">
        <v>688.24423852165376</v>
      </c>
      <c r="P1530" s="12">
        <v>0.53568500458537538</v>
      </c>
      <c r="Q1530" s="12">
        <v>0.85459895277690112</v>
      </c>
      <c r="R1530" s="12">
        <v>0.85990471424501214</v>
      </c>
      <c r="S1530" s="12">
        <v>0.80081322169296898</v>
      </c>
      <c r="T1530" s="12">
        <v>0.93933444403660415</v>
      </c>
      <c r="U1530" s="12">
        <v>0.90527365660496362</v>
      </c>
      <c r="V1530" s="12">
        <v>289.76217494416022</v>
      </c>
      <c r="W1530" s="12">
        <v>11.85082770802142</v>
      </c>
      <c r="X1530" s="12">
        <v>142.25413288324259</v>
      </c>
      <c r="Y1530" s="12">
        <v>2883.1630593934451</v>
      </c>
      <c r="Z1530" s="12">
        <v>5.189156839999808</v>
      </c>
      <c r="AA1530" s="12"/>
      <c r="AB1530" s="12"/>
    </row>
    <row r="1531" spans="1:28" x14ac:dyDescent="0.3">
      <c r="A1531" s="12" t="s">
        <v>3440</v>
      </c>
      <c r="B1531" s="12" t="s">
        <v>155</v>
      </c>
      <c r="C1531" s="12" t="s">
        <v>155</v>
      </c>
      <c r="D1531" s="12" t="s">
        <v>137</v>
      </c>
      <c r="E1531" s="12" t="s">
        <v>2978</v>
      </c>
      <c r="F1531" s="12" t="s">
        <v>1861</v>
      </c>
      <c r="G1531" s="12" t="s">
        <v>1861</v>
      </c>
      <c r="H1531" s="12" t="b">
        <v>1</v>
      </c>
      <c r="I1531" s="12" t="b">
        <v>0</v>
      </c>
      <c r="J1531" s="12" t="b">
        <v>0</v>
      </c>
      <c r="K1531" s="12" t="b">
        <v>0</v>
      </c>
      <c r="L1531" s="12">
        <v>418.4264071948723</v>
      </c>
      <c r="M1531" s="12">
        <v>296.84442105491229</v>
      </c>
      <c r="N1531" s="12">
        <v>4085.7081592492391</v>
      </c>
      <c r="O1531" s="12">
        <v>783.78807287014092</v>
      </c>
      <c r="P1531" s="12">
        <v>0.72451810009948991</v>
      </c>
      <c r="Q1531" s="12">
        <v>0.84358399303407117</v>
      </c>
      <c r="R1531" s="12">
        <v>0.68232212722144059</v>
      </c>
      <c r="S1531" s="12">
        <v>0.69282570727617354</v>
      </c>
      <c r="T1531" s="12">
        <v>0.64611829335026305</v>
      </c>
      <c r="U1531" s="12">
        <v>0.85045556650117649</v>
      </c>
      <c r="V1531" s="12">
        <v>296.84442105491229</v>
      </c>
      <c r="W1531" s="12">
        <v>11.79529995928597</v>
      </c>
      <c r="X1531" s="12">
        <v>78.283797851413183</v>
      </c>
      <c r="Y1531" s="12">
        <v>3301.9200863790979</v>
      </c>
      <c r="Z1531" s="12">
        <v>5.2127715394900704</v>
      </c>
      <c r="AA1531" s="12" t="s">
        <v>1268</v>
      </c>
      <c r="AB1531" s="12"/>
    </row>
    <row r="1532" spans="1:28" x14ac:dyDescent="0.3">
      <c r="A1532" s="12" t="s">
        <v>3441</v>
      </c>
      <c r="B1532" s="12" t="s">
        <v>155</v>
      </c>
      <c r="C1532" s="12" t="s">
        <v>155</v>
      </c>
      <c r="D1532" s="12" t="s">
        <v>137</v>
      </c>
      <c r="E1532" s="12" t="s">
        <v>2978</v>
      </c>
      <c r="F1532" s="12" t="s">
        <v>1863</v>
      </c>
      <c r="G1532" s="12" t="s">
        <v>832</v>
      </c>
      <c r="H1532" s="12" t="b">
        <v>0</v>
      </c>
      <c r="I1532" s="12" t="b">
        <v>0</v>
      </c>
      <c r="J1532" s="12" t="b">
        <v>1</v>
      </c>
      <c r="K1532" s="12" t="b">
        <v>0</v>
      </c>
      <c r="L1532" s="12">
        <v>498.95222680821178</v>
      </c>
      <c r="M1532" s="12">
        <v>298.4752319563554</v>
      </c>
      <c r="N1532" s="12">
        <v>2421.900119820586</v>
      </c>
      <c r="O1532" s="12">
        <v>876.2542343533936</v>
      </c>
      <c r="P1532" s="12">
        <v>0.83525229415219449</v>
      </c>
      <c r="Q1532" s="12">
        <v>0.86725316147602738</v>
      </c>
      <c r="R1532" s="12">
        <v>0.86787652566153617</v>
      </c>
      <c r="S1532" s="12">
        <v>0.87879810716108131</v>
      </c>
      <c r="T1532" s="12">
        <v>0.68992443632365197</v>
      </c>
      <c r="U1532" s="12">
        <v>0.83174302821983714</v>
      </c>
      <c r="V1532" s="12">
        <v>298.4752319563554</v>
      </c>
      <c r="W1532" s="12">
        <v>8.9188879693318395</v>
      </c>
      <c r="X1532" s="12">
        <v>129.66920884135061</v>
      </c>
      <c r="Y1532" s="12">
        <v>1545.6458854671921</v>
      </c>
      <c r="Z1532" s="12">
        <v>2.763924012998074</v>
      </c>
      <c r="AA1532" s="12" t="s">
        <v>3442</v>
      </c>
      <c r="AB1532" s="12"/>
    </row>
    <row r="1533" spans="1:28" x14ac:dyDescent="0.3">
      <c r="A1533" s="12" t="s">
        <v>3443</v>
      </c>
      <c r="B1533" s="12" t="s">
        <v>155</v>
      </c>
      <c r="C1533" s="12" t="s">
        <v>155</v>
      </c>
      <c r="D1533" s="12" t="s">
        <v>137</v>
      </c>
      <c r="E1533" s="12" t="s">
        <v>2978</v>
      </c>
      <c r="F1533" s="12" t="s">
        <v>32</v>
      </c>
      <c r="G1533" s="12" t="s">
        <v>32</v>
      </c>
      <c r="H1533" s="12" t="b">
        <v>1</v>
      </c>
      <c r="I1533" s="12" t="b">
        <v>1</v>
      </c>
      <c r="J1533" s="12" t="b">
        <v>0</v>
      </c>
      <c r="K1533" s="12" t="b">
        <v>0</v>
      </c>
      <c r="L1533" s="12">
        <v>394.991807140974</v>
      </c>
      <c r="M1533" s="12">
        <v>296.02368718394399</v>
      </c>
      <c r="N1533" s="12">
        <v>2488.805528706217</v>
      </c>
      <c r="O1533" s="12">
        <v>1074.925149433288</v>
      </c>
      <c r="P1533" s="12">
        <v>0.68888708151587219</v>
      </c>
      <c r="Q1533" s="12">
        <v>0.86239600966452989</v>
      </c>
      <c r="R1533" s="12">
        <v>0.70817171858349859</v>
      </c>
      <c r="S1533" s="12">
        <v>0.80839708749853512</v>
      </c>
      <c r="T1533" s="12">
        <v>0.6929020388441528</v>
      </c>
      <c r="U1533" s="12">
        <v>0.88923153560245949</v>
      </c>
      <c r="V1533" s="12">
        <v>296.02368718394399</v>
      </c>
      <c r="W1533" s="12">
        <v>6.84031329123391</v>
      </c>
      <c r="X1533" s="12">
        <v>47.7095091825338</v>
      </c>
      <c r="Y1533" s="12">
        <v>1413.8803792729291</v>
      </c>
      <c r="Z1533" s="12">
        <v>2.3153291464232102</v>
      </c>
      <c r="AA1533" s="12"/>
      <c r="AB1533" s="12"/>
    </row>
    <row r="1534" spans="1:28" x14ac:dyDescent="0.3">
      <c r="A1534" s="12" t="s">
        <v>3444</v>
      </c>
      <c r="B1534" s="12" t="s">
        <v>155</v>
      </c>
      <c r="C1534" s="12" t="s">
        <v>155</v>
      </c>
      <c r="D1534" s="12" t="s">
        <v>137</v>
      </c>
      <c r="E1534" s="12" t="s">
        <v>2978</v>
      </c>
      <c r="F1534" s="12" t="s">
        <v>1861</v>
      </c>
      <c r="G1534" s="12" t="s">
        <v>1861</v>
      </c>
      <c r="H1534" s="12" t="b">
        <v>1</v>
      </c>
      <c r="I1534" s="12" t="b">
        <v>0</v>
      </c>
      <c r="J1534" s="12" t="b">
        <v>0</v>
      </c>
      <c r="K1534" s="12" t="b">
        <v>0</v>
      </c>
      <c r="L1534" s="12">
        <v>431.86265931378642</v>
      </c>
      <c r="M1534" s="12">
        <v>284.75110106232569</v>
      </c>
      <c r="N1534" s="12">
        <v>3399.199210539763</v>
      </c>
      <c r="O1534" s="12">
        <v>375.77747588491928</v>
      </c>
      <c r="P1534" s="12">
        <v>0.65628883883021716</v>
      </c>
      <c r="Q1534" s="12">
        <v>0.89928503359134659</v>
      </c>
      <c r="R1534" s="12">
        <v>0.65190659910705817</v>
      </c>
      <c r="S1534" s="12">
        <v>0.6025373210719519</v>
      </c>
      <c r="T1534" s="12">
        <v>0.70293299815247701</v>
      </c>
      <c r="U1534" s="12">
        <v>0.78135821737148625</v>
      </c>
      <c r="V1534" s="12">
        <v>284.75110106232569</v>
      </c>
      <c r="W1534" s="12">
        <v>15.15671411911223</v>
      </c>
      <c r="X1534" s="12">
        <v>101.40089087314</v>
      </c>
      <c r="Y1534" s="12">
        <v>3023.4217346548439</v>
      </c>
      <c r="Z1534" s="12">
        <v>9.0457768990410639</v>
      </c>
      <c r="AA1534" s="12" t="s">
        <v>1268</v>
      </c>
      <c r="AB1534" s="12"/>
    </row>
    <row r="1535" spans="1:28" x14ac:dyDescent="0.3">
      <c r="A1535" s="12" t="s">
        <v>3445</v>
      </c>
      <c r="B1535" s="12" t="s">
        <v>155</v>
      </c>
      <c r="C1535" s="12" t="s">
        <v>155</v>
      </c>
      <c r="D1535" s="12" t="s">
        <v>137</v>
      </c>
      <c r="E1535" s="12" t="s">
        <v>2978</v>
      </c>
      <c r="F1535" s="12" t="s">
        <v>1862</v>
      </c>
      <c r="G1535" s="12" t="s">
        <v>1862</v>
      </c>
      <c r="H1535" s="12" t="b">
        <v>1</v>
      </c>
      <c r="I1535" s="12" t="b">
        <v>0</v>
      </c>
      <c r="J1535" s="12" t="b">
        <v>0</v>
      </c>
      <c r="K1535" s="12" t="b">
        <v>0</v>
      </c>
      <c r="L1535" s="12">
        <v>475.25687509544002</v>
      </c>
      <c r="M1535" s="12">
        <v>303.14175910756359</v>
      </c>
      <c r="N1535" s="12">
        <v>2081.0523578992979</v>
      </c>
      <c r="O1535" s="12">
        <v>401.85024446344028</v>
      </c>
      <c r="P1535" s="12">
        <v>0.83745770230567129</v>
      </c>
      <c r="Q1535" s="12">
        <v>0.75275387019349549</v>
      </c>
      <c r="R1535" s="12">
        <v>0.877019551656681</v>
      </c>
      <c r="S1535" s="12">
        <v>0.77297451153458496</v>
      </c>
      <c r="T1535" s="12">
        <v>0.75431746950083256</v>
      </c>
      <c r="U1535" s="12">
        <v>0.85956332474362918</v>
      </c>
      <c r="V1535" s="12">
        <v>303.14175910756359</v>
      </c>
      <c r="W1535" s="12">
        <v>-0.82335137351691001</v>
      </c>
      <c r="X1535" s="12">
        <v>-4.597215220660587</v>
      </c>
      <c r="Y1535" s="12">
        <v>1679.2021134358581</v>
      </c>
      <c r="Z1535" s="12">
        <v>5.1786763516293668</v>
      </c>
      <c r="AA1535" s="12" t="s">
        <v>2513</v>
      </c>
      <c r="AB1535" s="12"/>
    </row>
    <row r="1536" spans="1:28" x14ac:dyDescent="0.3">
      <c r="A1536" s="12" t="s">
        <v>3446</v>
      </c>
      <c r="B1536" s="12" t="s">
        <v>155</v>
      </c>
      <c r="C1536" s="12" t="s">
        <v>155</v>
      </c>
      <c r="D1536" s="12" t="s">
        <v>137</v>
      </c>
      <c r="E1536" s="12" t="s">
        <v>2978</v>
      </c>
      <c r="F1536" s="12" t="s">
        <v>1862</v>
      </c>
      <c r="G1536" s="12" t="s">
        <v>1862</v>
      </c>
      <c r="H1536" s="12" t="b">
        <v>1</v>
      </c>
      <c r="I1536" s="12" t="b">
        <v>0</v>
      </c>
      <c r="J1536" s="12" t="b">
        <v>0</v>
      </c>
      <c r="K1536" s="12" t="b">
        <v>0</v>
      </c>
      <c r="L1536" s="12">
        <v>412.66216315371338</v>
      </c>
      <c r="M1536" s="12">
        <v>301.71149684949353</v>
      </c>
      <c r="N1536" s="12">
        <v>4824.7091835220554</v>
      </c>
      <c r="O1536" s="12">
        <v>340.16206457801002</v>
      </c>
      <c r="P1536" s="12">
        <v>0.73725607308819285</v>
      </c>
      <c r="Q1536" s="12">
        <v>0.83825251138000045</v>
      </c>
      <c r="R1536" s="12">
        <v>0.81162266219312718</v>
      </c>
      <c r="S1536" s="12">
        <v>0.72500340415597764</v>
      </c>
      <c r="T1536" s="12">
        <v>0.75070515873372279</v>
      </c>
      <c r="U1536" s="12">
        <v>0.87178339562398866</v>
      </c>
      <c r="V1536" s="12">
        <v>301.71149684949353</v>
      </c>
      <c r="W1536" s="12">
        <v>-93.567241489274437</v>
      </c>
      <c r="X1536" s="12">
        <v>-81.89608673673348</v>
      </c>
      <c r="Y1536" s="12">
        <v>4484.547118944045</v>
      </c>
      <c r="Z1536" s="12">
        <v>14.18356038468715</v>
      </c>
      <c r="AA1536" s="12" t="s">
        <v>2513</v>
      </c>
      <c r="AB1536" s="12"/>
    </row>
    <row r="1537" spans="1:28" x14ac:dyDescent="0.3">
      <c r="A1537" s="12" t="s">
        <v>3447</v>
      </c>
      <c r="B1537" s="12" t="s">
        <v>155</v>
      </c>
      <c r="C1537" s="12" t="s">
        <v>155</v>
      </c>
      <c r="D1537" s="12" t="s">
        <v>137</v>
      </c>
      <c r="E1537" s="12" t="s">
        <v>2978</v>
      </c>
      <c r="F1537" s="12" t="s">
        <v>1863</v>
      </c>
      <c r="G1537" s="12" t="s">
        <v>832</v>
      </c>
      <c r="H1537" s="12" t="b">
        <v>0</v>
      </c>
      <c r="I1537" s="12" t="b">
        <v>0</v>
      </c>
      <c r="J1537" s="12" t="b">
        <v>0</v>
      </c>
      <c r="K1537" s="12" t="b">
        <v>0</v>
      </c>
      <c r="L1537" s="12">
        <v>406.29341631562158</v>
      </c>
      <c r="M1537" s="12">
        <v>298.92165521898909</v>
      </c>
      <c r="N1537" s="12">
        <v>4929.4334245506598</v>
      </c>
      <c r="O1537" s="12">
        <v>407.31624011368939</v>
      </c>
      <c r="P1537" s="12">
        <v>0.5375775074722442</v>
      </c>
      <c r="Q1537" s="12">
        <v>0.86639881678924413</v>
      </c>
      <c r="R1537" s="12">
        <v>0.69961128073594603</v>
      </c>
      <c r="S1537" s="12">
        <v>0.82677381121711035</v>
      </c>
      <c r="T1537" s="12">
        <v>0.86449950890267968</v>
      </c>
      <c r="U1537" s="12">
        <v>0.80412431813457619</v>
      </c>
      <c r="V1537" s="12">
        <v>298.92165521898909</v>
      </c>
      <c r="W1537" s="12">
        <v>-46.21107481572475</v>
      </c>
      <c r="X1537" s="12">
        <v>-21.564694287865692</v>
      </c>
      <c r="Y1537" s="12">
        <v>4522.1171844369701</v>
      </c>
      <c r="Z1537" s="12">
        <v>12.10222657258833</v>
      </c>
      <c r="AA1537" s="12" t="s">
        <v>3322</v>
      </c>
      <c r="AB1537" s="12"/>
    </row>
    <row r="1538" spans="1:28" x14ac:dyDescent="0.3">
      <c r="A1538" s="12" t="s">
        <v>3448</v>
      </c>
      <c r="B1538" s="12" t="s">
        <v>155</v>
      </c>
      <c r="C1538" s="12" t="s">
        <v>155</v>
      </c>
      <c r="D1538" s="12" t="s">
        <v>137</v>
      </c>
      <c r="E1538" s="12" t="s">
        <v>2978</v>
      </c>
      <c r="F1538" s="12" t="s">
        <v>32</v>
      </c>
      <c r="G1538" s="12" t="s">
        <v>32</v>
      </c>
      <c r="H1538" s="12" t="b">
        <v>1</v>
      </c>
      <c r="I1538" s="12" t="b">
        <v>1</v>
      </c>
      <c r="J1538" s="12" t="b">
        <v>0</v>
      </c>
      <c r="K1538" s="12" t="b">
        <v>0</v>
      </c>
      <c r="L1538" s="12">
        <v>416.77951618176269</v>
      </c>
      <c r="M1538" s="12">
        <v>286.05963387997178</v>
      </c>
      <c r="N1538" s="12">
        <v>3547.1506419983548</v>
      </c>
      <c r="O1538" s="12">
        <v>546.97167496593806</v>
      </c>
      <c r="P1538" s="12">
        <v>0.5108428268721068</v>
      </c>
      <c r="Q1538" s="12">
        <v>0.90951364321031558</v>
      </c>
      <c r="R1538" s="12">
        <v>0.87379678608802092</v>
      </c>
      <c r="S1538" s="12">
        <v>0.63723443124343282</v>
      </c>
      <c r="T1538" s="12">
        <v>0.62254211255764191</v>
      </c>
      <c r="U1538" s="12">
        <v>0.71758453749904583</v>
      </c>
      <c r="V1538" s="12">
        <v>286.05963387997178</v>
      </c>
      <c r="W1538" s="12">
        <v>7.7801394711396803</v>
      </c>
      <c r="X1538" s="12">
        <v>26.015888584957381</v>
      </c>
      <c r="Y1538" s="12">
        <v>3000.1789670324169</v>
      </c>
      <c r="Z1538" s="12">
        <v>6.4850719047183736</v>
      </c>
      <c r="AA1538" s="12"/>
      <c r="AB1538" s="12"/>
    </row>
    <row r="1539" spans="1:28" x14ac:dyDescent="0.3">
      <c r="A1539" s="12" t="s">
        <v>3449</v>
      </c>
      <c r="B1539" s="12" t="s">
        <v>155</v>
      </c>
      <c r="C1539" s="12" t="s">
        <v>155</v>
      </c>
      <c r="D1539" s="12" t="s">
        <v>137</v>
      </c>
      <c r="E1539" s="12" t="s">
        <v>2978</v>
      </c>
      <c r="F1539" s="12" t="s">
        <v>32</v>
      </c>
      <c r="G1539" s="12" t="s">
        <v>32</v>
      </c>
      <c r="H1539" s="12" t="b">
        <v>1</v>
      </c>
      <c r="I1539" s="12" t="b">
        <v>0</v>
      </c>
      <c r="J1539" s="12" t="b">
        <v>1</v>
      </c>
      <c r="K1539" s="12" t="b">
        <v>0</v>
      </c>
      <c r="L1539" s="12">
        <v>454.15830167784958</v>
      </c>
      <c r="M1539" s="12">
        <v>284.1159655769282</v>
      </c>
      <c r="N1539" s="12">
        <v>2046.947027378186</v>
      </c>
      <c r="O1539" s="12">
        <v>1280.658961349689</v>
      </c>
      <c r="P1539" s="12">
        <v>0.58448991706219633</v>
      </c>
      <c r="Q1539" s="12">
        <v>0.88266025486198108</v>
      </c>
      <c r="R1539" s="12">
        <v>0.8910199078653952</v>
      </c>
      <c r="S1539" s="12">
        <v>0.80431442104505513</v>
      </c>
      <c r="T1539" s="12">
        <v>0.64295787248600977</v>
      </c>
      <c r="U1539" s="12">
        <v>0.93197298207797885</v>
      </c>
      <c r="V1539" s="12">
        <v>284.1159655769282</v>
      </c>
      <c r="W1539" s="12">
        <v>3.6120277439470398</v>
      </c>
      <c r="X1539" s="12">
        <v>61.085945142089081</v>
      </c>
      <c r="Y1539" s="12">
        <v>766.28806602849613</v>
      </c>
      <c r="Z1539" s="12">
        <v>1.5983545105723569</v>
      </c>
      <c r="AA1539" s="12"/>
      <c r="AB1539" s="12"/>
    </row>
    <row r="1540" spans="1:28" x14ac:dyDescent="0.3">
      <c r="A1540" s="12" t="s">
        <v>3450</v>
      </c>
      <c r="B1540" s="12" t="s">
        <v>155</v>
      </c>
      <c r="C1540" s="12" t="s">
        <v>155</v>
      </c>
      <c r="D1540" s="12" t="s">
        <v>137</v>
      </c>
      <c r="E1540" s="12" t="s">
        <v>2978</v>
      </c>
      <c r="F1540" s="12" t="s">
        <v>1861</v>
      </c>
      <c r="G1540" s="12" t="s">
        <v>1861</v>
      </c>
      <c r="H1540" s="12" t="b">
        <v>1</v>
      </c>
      <c r="I1540" s="12" t="b">
        <v>0</v>
      </c>
      <c r="J1540" s="12" t="b">
        <v>0</v>
      </c>
      <c r="K1540" s="12" t="b">
        <v>0</v>
      </c>
      <c r="L1540" s="12">
        <v>410.69611521364749</v>
      </c>
      <c r="M1540" s="12">
        <v>299.11446852822502</v>
      </c>
      <c r="N1540" s="12">
        <v>4519.5529706827838</v>
      </c>
      <c r="O1540" s="12">
        <v>488.11572473594981</v>
      </c>
      <c r="P1540" s="12">
        <v>0.69706108725208349</v>
      </c>
      <c r="Q1540" s="12">
        <v>0.8542706001302639</v>
      </c>
      <c r="R1540" s="12">
        <v>0.76855071339164382</v>
      </c>
      <c r="S1540" s="12">
        <v>0.73371612735574221</v>
      </c>
      <c r="T1540" s="12">
        <v>0.67404374791933486</v>
      </c>
      <c r="U1540" s="12">
        <v>0.91489355759480595</v>
      </c>
      <c r="V1540" s="12">
        <v>299.11446852822502</v>
      </c>
      <c r="W1540" s="12">
        <v>3.2026803637308099</v>
      </c>
      <c r="X1540" s="12">
        <v>11.417377230634999</v>
      </c>
      <c r="Y1540" s="12">
        <v>4031.4372459468341</v>
      </c>
      <c r="Z1540" s="12">
        <v>9.2591833076626919</v>
      </c>
      <c r="AA1540" s="12" t="s">
        <v>1268</v>
      </c>
      <c r="AB1540" s="12"/>
    </row>
    <row r="1541" spans="1:28" x14ac:dyDescent="0.3">
      <c r="A1541" s="12" t="s">
        <v>3451</v>
      </c>
      <c r="B1541" s="12" t="s">
        <v>155</v>
      </c>
      <c r="C1541" s="12" t="s">
        <v>155</v>
      </c>
      <c r="D1541" s="12" t="s">
        <v>137</v>
      </c>
      <c r="E1541" s="12" t="s">
        <v>2978</v>
      </c>
      <c r="F1541" s="12" t="s">
        <v>832</v>
      </c>
      <c r="G1541" s="12" t="s">
        <v>832</v>
      </c>
      <c r="H1541" s="12" t="b">
        <v>0</v>
      </c>
      <c r="I1541" s="12" t="b">
        <v>0</v>
      </c>
      <c r="J1541" s="12" t="b">
        <v>0</v>
      </c>
      <c r="K1541" s="12" t="b">
        <v>0</v>
      </c>
      <c r="L1541" s="12">
        <v>462.8511481132424</v>
      </c>
      <c r="M1541" s="12">
        <v>296.08093066821363</v>
      </c>
      <c r="N1541" s="12">
        <v>4120.8665446055484</v>
      </c>
      <c r="O1541" s="12">
        <v>527.03133707969459</v>
      </c>
      <c r="P1541" s="12">
        <v>0.69869213896679827</v>
      </c>
      <c r="Q1541" s="12">
        <v>0.90786833234267483</v>
      </c>
      <c r="R1541" s="12">
        <v>0.8710743332337727</v>
      </c>
      <c r="S1541" s="12">
        <v>0.78064094538048734</v>
      </c>
      <c r="T1541" s="12">
        <v>0.72800709437819788</v>
      </c>
      <c r="U1541" s="12">
        <v>0.84665386495760608</v>
      </c>
      <c r="V1541" s="12">
        <v>296.08093066821363</v>
      </c>
      <c r="W1541" s="12"/>
      <c r="X1541" s="12"/>
      <c r="Y1541" s="12">
        <v>3593.8352075258531</v>
      </c>
      <c r="Z1541" s="12">
        <v>7.8190161659825836</v>
      </c>
      <c r="AA1541" s="12"/>
      <c r="AB1541" s="12"/>
    </row>
    <row r="1542" spans="1:28" x14ac:dyDescent="0.3">
      <c r="A1542" s="12" t="s">
        <v>3452</v>
      </c>
      <c r="B1542" s="12" t="s">
        <v>155</v>
      </c>
      <c r="C1542" s="12" t="s">
        <v>155</v>
      </c>
      <c r="D1542" s="12" t="s">
        <v>137</v>
      </c>
      <c r="E1542" s="12" t="s">
        <v>2978</v>
      </c>
      <c r="F1542" s="12" t="s">
        <v>32</v>
      </c>
      <c r="G1542" s="12" t="s">
        <v>32</v>
      </c>
      <c r="H1542" s="12" t="b">
        <v>1</v>
      </c>
      <c r="I1542" s="12" t="b">
        <v>0</v>
      </c>
      <c r="J1542" s="12" t="b">
        <v>1</v>
      </c>
      <c r="K1542" s="12" t="b">
        <v>0</v>
      </c>
      <c r="L1542" s="12">
        <v>440.27317810348143</v>
      </c>
      <c r="M1542" s="12">
        <v>282.95018824402609</v>
      </c>
      <c r="N1542" s="12">
        <v>3834.1736730354978</v>
      </c>
      <c r="O1542" s="12">
        <v>1150.635832573309</v>
      </c>
      <c r="P1542" s="12">
        <v>0.64205869810001592</v>
      </c>
      <c r="Q1542" s="12">
        <v>0.79650447046816608</v>
      </c>
      <c r="R1542" s="12">
        <v>0.76581480273343061</v>
      </c>
      <c r="S1542" s="12">
        <v>0.92058897470937884</v>
      </c>
      <c r="T1542" s="12">
        <v>0.92765074833758798</v>
      </c>
      <c r="U1542" s="12">
        <v>0.8789548877363722</v>
      </c>
      <c r="V1542" s="12">
        <v>282.95018824402609</v>
      </c>
      <c r="W1542" s="12">
        <v>8.8151963260056601</v>
      </c>
      <c r="X1542" s="12">
        <v>92.22619640764448</v>
      </c>
      <c r="Y1542" s="12">
        <v>2683.5378404621902</v>
      </c>
      <c r="Z1542" s="12">
        <v>3.332221685170941</v>
      </c>
      <c r="AA1542" s="12"/>
      <c r="AB1542" s="12"/>
    </row>
    <row r="1543" spans="1:28" x14ac:dyDescent="0.3">
      <c r="A1543" s="12" t="s">
        <v>3453</v>
      </c>
      <c r="B1543" s="12" t="s">
        <v>155</v>
      </c>
      <c r="C1543" s="12" t="s">
        <v>155</v>
      </c>
      <c r="D1543" s="12" t="s">
        <v>137</v>
      </c>
      <c r="E1543" s="12" t="s">
        <v>2978</v>
      </c>
      <c r="F1543" s="12" t="s">
        <v>1861</v>
      </c>
      <c r="G1543" s="12" t="s">
        <v>1861</v>
      </c>
      <c r="H1543" s="12" t="b">
        <v>1</v>
      </c>
      <c r="I1543" s="12" t="b">
        <v>0</v>
      </c>
      <c r="J1543" s="12" t="b">
        <v>1</v>
      </c>
      <c r="K1543" s="12" t="b">
        <v>0</v>
      </c>
      <c r="L1543" s="12">
        <v>480.03923755151578</v>
      </c>
      <c r="M1543" s="12">
        <v>279.4725137593469</v>
      </c>
      <c r="N1543" s="12">
        <v>4145.8876742950724</v>
      </c>
      <c r="O1543" s="12">
        <v>1240.754443539701</v>
      </c>
      <c r="P1543" s="12">
        <v>0.78555085842354844</v>
      </c>
      <c r="Q1543" s="12">
        <v>0.80249665752334942</v>
      </c>
      <c r="R1543" s="12">
        <v>0.73728221369003011</v>
      </c>
      <c r="S1543" s="12">
        <v>0.83304431282846747</v>
      </c>
      <c r="T1543" s="12">
        <v>0.78128033370390182</v>
      </c>
      <c r="U1543" s="12">
        <v>0.79082077912859838</v>
      </c>
      <c r="V1543" s="12">
        <v>279.4725137593469</v>
      </c>
      <c r="W1543" s="12">
        <v>9.7419016740644597</v>
      </c>
      <c r="X1543" s="12">
        <v>134.1409248826088</v>
      </c>
      <c r="Y1543" s="12">
        <v>2905.1332307553712</v>
      </c>
      <c r="Z1543" s="12">
        <v>3.34142480478847</v>
      </c>
      <c r="AA1543" s="12" t="s">
        <v>1268</v>
      </c>
      <c r="AB1543" s="12"/>
    </row>
    <row r="1544" spans="1:28" x14ac:dyDescent="0.3">
      <c r="A1544" s="12" t="s">
        <v>3454</v>
      </c>
      <c r="B1544" s="12" t="s">
        <v>155</v>
      </c>
      <c r="C1544" s="12" t="s">
        <v>155</v>
      </c>
      <c r="D1544" s="12" t="s">
        <v>137</v>
      </c>
      <c r="E1544" s="12" t="s">
        <v>2978</v>
      </c>
      <c r="F1544" s="12" t="s">
        <v>32</v>
      </c>
      <c r="G1544" s="12" t="s">
        <v>32</v>
      </c>
      <c r="H1544" s="12" t="b">
        <v>1</v>
      </c>
      <c r="I1544" s="12" t="b">
        <v>0</v>
      </c>
      <c r="J1544" s="12" t="b">
        <v>1</v>
      </c>
      <c r="K1544" s="12" t="b">
        <v>0</v>
      </c>
      <c r="L1544" s="12">
        <v>458.24818958148001</v>
      </c>
      <c r="M1544" s="12">
        <v>289.59237673342602</v>
      </c>
      <c r="N1544" s="12">
        <v>3876.8409309189051</v>
      </c>
      <c r="O1544" s="12">
        <v>1413.172395788022</v>
      </c>
      <c r="P1544" s="12">
        <v>0.70508289010649283</v>
      </c>
      <c r="Q1544" s="12">
        <v>0.85276727275122977</v>
      </c>
      <c r="R1544" s="12">
        <v>0.72788005139887546</v>
      </c>
      <c r="S1544" s="12">
        <v>0.94563553978653203</v>
      </c>
      <c r="T1544" s="12">
        <v>0.65016417024029427</v>
      </c>
      <c r="U1544" s="12">
        <v>0.94512856011804081</v>
      </c>
      <c r="V1544" s="12">
        <v>289.59237673342602</v>
      </c>
      <c r="W1544" s="12">
        <v>7.8030985999291609</v>
      </c>
      <c r="X1544" s="12">
        <v>135.48793266353951</v>
      </c>
      <c r="Y1544" s="12">
        <v>2463.6685351308838</v>
      </c>
      <c r="Z1544" s="12">
        <v>2.7433602173902338</v>
      </c>
      <c r="AA1544" s="12"/>
      <c r="AB1544" s="12"/>
    </row>
    <row r="1545" spans="1:28" x14ac:dyDescent="0.3">
      <c r="A1545" s="12" t="s">
        <v>3455</v>
      </c>
      <c r="B1545" s="12" t="s">
        <v>155</v>
      </c>
      <c r="C1545" s="12" t="s">
        <v>155</v>
      </c>
      <c r="D1545" s="12" t="s">
        <v>137</v>
      </c>
      <c r="E1545" s="12" t="s">
        <v>2978</v>
      </c>
      <c r="F1545" s="12" t="s">
        <v>32</v>
      </c>
      <c r="G1545" s="12" t="s">
        <v>32</v>
      </c>
      <c r="H1545" s="12" t="b">
        <v>1</v>
      </c>
      <c r="I1545" s="12" t="b">
        <v>1</v>
      </c>
      <c r="J1545" s="12" t="b">
        <v>0</v>
      </c>
      <c r="K1545" s="12" t="b">
        <v>0</v>
      </c>
      <c r="L1545" s="12">
        <v>389.23187535918572</v>
      </c>
      <c r="M1545" s="12">
        <v>278.83351292189951</v>
      </c>
      <c r="N1545" s="12">
        <v>3416.9200649321838</v>
      </c>
      <c r="O1545" s="12">
        <v>1245.2287267604811</v>
      </c>
      <c r="P1545" s="12">
        <v>0.75975331846867955</v>
      </c>
      <c r="Q1545" s="12">
        <v>0.75164087646984312</v>
      </c>
      <c r="R1545" s="12">
        <v>0.73817476711197194</v>
      </c>
      <c r="S1545" s="12">
        <v>0.77117786273985278</v>
      </c>
      <c r="T1545" s="12">
        <v>0.90126230666842422</v>
      </c>
      <c r="U1545" s="12">
        <v>0.83787178276931595</v>
      </c>
      <c r="V1545" s="12">
        <v>278.83351292189951</v>
      </c>
      <c r="W1545" s="12">
        <v>7.02456387137891</v>
      </c>
      <c r="X1545" s="12">
        <v>41.600337837312537</v>
      </c>
      <c r="Y1545" s="12">
        <v>2171.6913381717031</v>
      </c>
      <c r="Z1545" s="12">
        <v>2.7440099890896801</v>
      </c>
      <c r="AA1545" s="12"/>
      <c r="AB1545" s="12"/>
    </row>
    <row r="1546" spans="1:28" x14ac:dyDescent="0.3">
      <c r="A1546" s="12" t="s">
        <v>3456</v>
      </c>
      <c r="B1546" s="12" t="s">
        <v>155</v>
      </c>
      <c r="C1546" s="12" t="s">
        <v>155</v>
      </c>
      <c r="D1546" s="12" t="s">
        <v>137</v>
      </c>
      <c r="E1546" s="12" t="s">
        <v>2978</v>
      </c>
      <c r="F1546" s="12" t="s">
        <v>1861</v>
      </c>
      <c r="G1546" s="12" t="s">
        <v>1861</v>
      </c>
      <c r="H1546" s="12" t="b">
        <v>1</v>
      </c>
      <c r="I1546" s="12" t="b">
        <v>0</v>
      </c>
      <c r="J1546" s="12" t="b">
        <v>1</v>
      </c>
      <c r="K1546" s="12" t="b">
        <v>0</v>
      </c>
      <c r="L1546" s="12">
        <v>457.50010504522243</v>
      </c>
      <c r="M1546" s="12">
        <v>296.72569936750199</v>
      </c>
      <c r="N1546" s="12">
        <v>3938.333618433051</v>
      </c>
      <c r="O1546" s="12">
        <v>1233.3481731655511</v>
      </c>
      <c r="P1546" s="12">
        <v>0.75705201355847396</v>
      </c>
      <c r="Q1546" s="12">
        <v>0.82856667502125259</v>
      </c>
      <c r="R1546" s="12">
        <v>0.81873109964110802</v>
      </c>
      <c r="S1546" s="12">
        <v>0.93745032846649945</v>
      </c>
      <c r="T1546" s="12">
        <v>0.92963432549622604</v>
      </c>
      <c r="U1546" s="12">
        <v>0.72040634862772479</v>
      </c>
      <c r="V1546" s="12">
        <v>296.72569936750199</v>
      </c>
      <c r="W1546" s="12">
        <v>8.6045282094937594</v>
      </c>
      <c r="X1546" s="12">
        <v>113.0401914769856</v>
      </c>
      <c r="Y1546" s="12">
        <v>2704.9854452674999</v>
      </c>
      <c r="Z1546" s="12">
        <v>3.193205052815538</v>
      </c>
      <c r="AA1546" s="12" t="s">
        <v>1268</v>
      </c>
      <c r="AB1546" s="12"/>
    </row>
    <row r="1547" spans="1:28" x14ac:dyDescent="0.3">
      <c r="A1547" s="12" t="s">
        <v>3457</v>
      </c>
      <c r="B1547" s="12" t="s">
        <v>155</v>
      </c>
      <c r="C1547" s="12" t="s">
        <v>155</v>
      </c>
      <c r="D1547" s="12" t="s">
        <v>137</v>
      </c>
      <c r="E1547" s="12" t="s">
        <v>2978</v>
      </c>
      <c r="F1547" s="12" t="s">
        <v>1861</v>
      </c>
      <c r="G1547" s="12" t="s">
        <v>1861</v>
      </c>
      <c r="H1547" s="12" t="b">
        <v>1</v>
      </c>
      <c r="I1547" s="12" t="b">
        <v>0</v>
      </c>
      <c r="J1547" s="12" t="b">
        <v>0</v>
      </c>
      <c r="K1547" s="12" t="b">
        <v>0</v>
      </c>
      <c r="L1547" s="12">
        <v>434.44534940100971</v>
      </c>
      <c r="M1547" s="12">
        <v>283.56745847463071</v>
      </c>
      <c r="N1547" s="12">
        <v>4977.0441065072373</v>
      </c>
      <c r="O1547" s="12">
        <v>887.93968167136313</v>
      </c>
      <c r="P1547" s="12">
        <v>0.70183647543332739</v>
      </c>
      <c r="Q1547" s="12">
        <v>0.83332791270721951</v>
      </c>
      <c r="R1547" s="12">
        <v>0.72956374459425255</v>
      </c>
      <c r="S1547" s="12">
        <v>0.73666148195345094</v>
      </c>
      <c r="T1547" s="12">
        <v>0.65606691144914853</v>
      </c>
      <c r="U1547" s="12">
        <v>0.7452686343424072</v>
      </c>
      <c r="V1547" s="12">
        <v>283.56745847463071</v>
      </c>
      <c r="W1547" s="12">
        <v>12.30566365233746</v>
      </c>
      <c r="X1547" s="12">
        <v>87.788007695287973</v>
      </c>
      <c r="Y1547" s="12">
        <v>4089.1044248358739</v>
      </c>
      <c r="Z1547" s="12">
        <v>5.6051601355837359</v>
      </c>
      <c r="AA1547" s="12" t="s">
        <v>1268</v>
      </c>
      <c r="AB1547" s="12"/>
    </row>
    <row r="1548" spans="1:28" x14ac:dyDescent="0.3">
      <c r="A1548" s="12" t="s">
        <v>3458</v>
      </c>
      <c r="B1548" s="12" t="s">
        <v>155</v>
      </c>
      <c r="C1548" s="12" t="s">
        <v>155</v>
      </c>
      <c r="D1548" s="12" t="s">
        <v>137</v>
      </c>
      <c r="E1548" s="12" t="s">
        <v>2978</v>
      </c>
      <c r="F1548" s="12" t="s">
        <v>32</v>
      </c>
      <c r="G1548" s="12" t="s">
        <v>32</v>
      </c>
      <c r="H1548" s="12" t="b">
        <v>1</v>
      </c>
      <c r="I1548" s="12" t="b">
        <v>1</v>
      </c>
      <c r="J1548" s="12" t="b">
        <v>0</v>
      </c>
      <c r="K1548" s="12" t="b">
        <v>0</v>
      </c>
      <c r="L1548" s="12">
        <v>390.15434599736722</v>
      </c>
      <c r="M1548" s="12">
        <v>291.69786795294863</v>
      </c>
      <c r="N1548" s="12">
        <v>4618.0054234464169</v>
      </c>
      <c r="O1548" s="12">
        <v>1275.004073771255</v>
      </c>
      <c r="P1548" s="12">
        <v>0.79298242659503004</v>
      </c>
      <c r="Q1548" s="12">
        <v>0.84211065130342266</v>
      </c>
      <c r="R1548" s="12">
        <v>0.6946353868407199</v>
      </c>
      <c r="S1548" s="12">
        <v>0.62618210208602032</v>
      </c>
      <c r="T1548" s="12">
        <v>0.60415546361995565</v>
      </c>
      <c r="U1548" s="12">
        <v>0.93919754429236402</v>
      </c>
      <c r="V1548" s="12">
        <v>291.69786795294863</v>
      </c>
      <c r="W1548" s="12">
        <v>6.5150648999950294</v>
      </c>
      <c r="X1548" s="12">
        <v>28.765769472961921</v>
      </c>
      <c r="Y1548" s="12">
        <v>3343.0013496751621</v>
      </c>
      <c r="Z1548" s="12">
        <v>3.6219534654403929</v>
      </c>
      <c r="AA1548" s="12"/>
      <c r="AB1548" s="12"/>
    </row>
    <row r="1549" spans="1:28" x14ac:dyDescent="0.3">
      <c r="A1549" s="12" t="s">
        <v>3459</v>
      </c>
      <c r="B1549" s="12" t="s">
        <v>155</v>
      </c>
      <c r="C1549" s="12" t="s">
        <v>155</v>
      </c>
      <c r="D1549" s="12" t="s">
        <v>137</v>
      </c>
      <c r="E1549" s="12" t="s">
        <v>2978</v>
      </c>
      <c r="F1549" s="12" t="s">
        <v>1861</v>
      </c>
      <c r="G1549" s="12" t="s">
        <v>1861</v>
      </c>
      <c r="H1549" s="12" t="b">
        <v>1</v>
      </c>
      <c r="I1549" s="12" t="b">
        <v>0</v>
      </c>
      <c r="J1549" s="12" t="b">
        <v>1</v>
      </c>
      <c r="K1549" s="12" t="b">
        <v>0</v>
      </c>
      <c r="L1549" s="12">
        <v>492.54933378366809</v>
      </c>
      <c r="M1549" s="12">
        <v>280.33297499532949</v>
      </c>
      <c r="N1549" s="12">
        <v>4663.4079501279521</v>
      </c>
      <c r="O1549" s="12">
        <v>841.0457733940583</v>
      </c>
      <c r="P1549" s="12">
        <v>0.68568991860484296</v>
      </c>
      <c r="Q1549" s="12">
        <v>0.86955170138282833</v>
      </c>
      <c r="R1549" s="12">
        <v>0.74240877018847606</v>
      </c>
      <c r="S1549" s="12">
        <v>0.67371001627143257</v>
      </c>
      <c r="T1549" s="12">
        <v>0.74981670422136426</v>
      </c>
      <c r="U1549" s="12">
        <v>0.72870681469392229</v>
      </c>
      <c r="V1549" s="12">
        <v>280.33297499532949</v>
      </c>
      <c r="W1549" s="12">
        <v>13.36857251988822</v>
      </c>
      <c r="X1549" s="12">
        <v>154.16301933594411</v>
      </c>
      <c r="Y1549" s="12">
        <v>3822.3621767338941</v>
      </c>
      <c r="Z1549" s="12">
        <v>5.5447730642633983</v>
      </c>
      <c r="AA1549" s="12" t="s">
        <v>1268</v>
      </c>
      <c r="AB1549" s="12"/>
    </row>
    <row r="1550" spans="1:28" x14ac:dyDescent="0.3">
      <c r="A1550" s="12" t="s">
        <v>3460</v>
      </c>
      <c r="B1550" s="12" t="s">
        <v>155</v>
      </c>
      <c r="C1550" s="12" t="s">
        <v>155</v>
      </c>
      <c r="D1550" s="12" t="s">
        <v>137</v>
      </c>
      <c r="E1550" s="12" t="s">
        <v>2978</v>
      </c>
      <c r="F1550" s="12" t="s">
        <v>1861</v>
      </c>
      <c r="G1550" s="12" t="s">
        <v>1861</v>
      </c>
      <c r="H1550" s="12" t="b">
        <v>1</v>
      </c>
      <c r="I1550" s="12" t="b">
        <v>0</v>
      </c>
      <c r="J1550" s="12" t="b">
        <v>0</v>
      </c>
      <c r="K1550" s="12" t="b">
        <v>0</v>
      </c>
      <c r="L1550" s="12">
        <v>399.4557273742422</v>
      </c>
      <c r="M1550" s="12">
        <v>280.8967472316744</v>
      </c>
      <c r="N1550" s="12">
        <v>3079.970124219652</v>
      </c>
      <c r="O1550" s="12">
        <v>569.76404112574767</v>
      </c>
      <c r="P1550" s="12">
        <v>0.59733469170084275</v>
      </c>
      <c r="Q1550" s="12">
        <v>0.8969903906138067</v>
      </c>
      <c r="R1550" s="12">
        <v>0.65091984214234255</v>
      </c>
      <c r="S1550" s="12">
        <v>0.89543618798897184</v>
      </c>
      <c r="T1550" s="12">
        <v>0.93391700559323576</v>
      </c>
      <c r="U1550" s="12">
        <v>0.73827468586079048</v>
      </c>
      <c r="V1550" s="12">
        <v>280.8967472316744</v>
      </c>
      <c r="W1550" s="12">
        <v>13.135877979839281</v>
      </c>
      <c r="X1550" s="12">
        <v>59.990476152821088</v>
      </c>
      <c r="Y1550" s="12">
        <v>2510.206083093904</v>
      </c>
      <c r="Z1550" s="12">
        <v>5.4056941152941214</v>
      </c>
      <c r="AA1550" s="12" t="s">
        <v>1268</v>
      </c>
      <c r="AB1550" s="12"/>
    </row>
    <row r="1551" spans="1:28" x14ac:dyDescent="0.3">
      <c r="A1551" s="12" t="s">
        <v>3461</v>
      </c>
      <c r="B1551" s="12" t="s">
        <v>155</v>
      </c>
      <c r="C1551" s="12" t="s">
        <v>155</v>
      </c>
      <c r="D1551" s="12" t="s">
        <v>137</v>
      </c>
      <c r="E1551" s="12" t="s">
        <v>2978</v>
      </c>
      <c r="F1551" s="12" t="s">
        <v>1861</v>
      </c>
      <c r="G1551" s="12" t="s">
        <v>1861</v>
      </c>
      <c r="H1551" s="12" t="b">
        <v>1</v>
      </c>
      <c r="I1551" s="12" t="b">
        <v>0</v>
      </c>
      <c r="J1551" s="12" t="b">
        <v>0</v>
      </c>
      <c r="K1551" s="12" t="b">
        <v>0</v>
      </c>
      <c r="L1551" s="12">
        <v>393.35629365707439</v>
      </c>
      <c r="M1551" s="12">
        <v>293.18796474276331</v>
      </c>
      <c r="N1551" s="12">
        <v>2587.2804913964801</v>
      </c>
      <c r="O1551" s="12">
        <v>1013.86509483878</v>
      </c>
      <c r="P1551" s="12">
        <v>0.78478410168230117</v>
      </c>
      <c r="Q1551" s="12">
        <v>0.8310880721811732</v>
      </c>
      <c r="R1551" s="12">
        <v>0.81035177894932509</v>
      </c>
      <c r="S1551" s="12">
        <v>0.64252505895703493</v>
      </c>
      <c r="T1551" s="12">
        <v>0.60320655684245839</v>
      </c>
      <c r="U1551" s="12">
        <v>0.77723831114195918</v>
      </c>
      <c r="V1551" s="12">
        <v>293.18796474276331</v>
      </c>
      <c r="W1551" s="12">
        <v>7.6131535912952506</v>
      </c>
      <c r="X1551" s="12">
        <v>48.424569077502269</v>
      </c>
      <c r="Y1551" s="12">
        <v>1573.4153965577</v>
      </c>
      <c r="Z1551" s="12">
        <v>2.5518981810966652</v>
      </c>
      <c r="AA1551" s="12" t="s">
        <v>1268</v>
      </c>
      <c r="AB1551" s="12"/>
    </row>
    <row r="1552" spans="1:28" x14ac:dyDescent="0.3">
      <c r="A1552" s="12" t="s">
        <v>3462</v>
      </c>
      <c r="B1552" s="12" t="s">
        <v>155</v>
      </c>
      <c r="C1552" s="12" t="s">
        <v>155</v>
      </c>
      <c r="D1552" s="12" t="s">
        <v>137</v>
      </c>
      <c r="E1552" s="12" t="s">
        <v>2978</v>
      </c>
      <c r="F1552" s="12" t="s">
        <v>32</v>
      </c>
      <c r="G1552" s="12" t="s">
        <v>32</v>
      </c>
      <c r="H1552" s="12" t="b">
        <v>1</v>
      </c>
      <c r="I1552" s="12" t="b">
        <v>0</v>
      </c>
      <c r="J1552" s="12" t="b">
        <v>1</v>
      </c>
      <c r="K1552" s="12" t="b">
        <v>0</v>
      </c>
      <c r="L1552" s="12">
        <v>484.76834502679981</v>
      </c>
      <c r="M1552" s="12">
        <v>285.46139213031199</v>
      </c>
      <c r="N1552" s="12">
        <v>3199.6845467170469</v>
      </c>
      <c r="O1552" s="12">
        <v>769.12351004287825</v>
      </c>
      <c r="P1552" s="12">
        <v>0.57247319433572519</v>
      </c>
      <c r="Q1552" s="12">
        <v>0.77169741165513583</v>
      </c>
      <c r="R1552" s="12">
        <v>0.86723206068701442</v>
      </c>
      <c r="S1552" s="12">
        <v>0.65246190439369722</v>
      </c>
      <c r="T1552" s="12">
        <v>0.88281366976765896</v>
      </c>
      <c r="U1552" s="12">
        <v>0.91730416220585376</v>
      </c>
      <c r="V1552" s="12">
        <v>285.46139213031199</v>
      </c>
      <c r="W1552" s="12">
        <v>9.3365458324572703</v>
      </c>
      <c r="X1552" s="12">
        <v>124.4723565466827</v>
      </c>
      <c r="Y1552" s="12">
        <v>2430.561036674168</v>
      </c>
      <c r="Z1552" s="12">
        <v>4.1601699921234578</v>
      </c>
      <c r="AA1552" s="12"/>
      <c r="AB1552" s="12"/>
    </row>
    <row r="1553" spans="1:28" x14ac:dyDescent="0.3">
      <c r="A1553" s="12" t="s">
        <v>3463</v>
      </c>
      <c r="B1553" s="12" t="s">
        <v>155</v>
      </c>
      <c r="C1553" s="12" t="s">
        <v>155</v>
      </c>
      <c r="D1553" s="12" t="s">
        <v>137</v>
      </c>
      <c r="E1553" s="12" t="s">
        <v>2978</v>
      </c>
      <c r="F1553" s="12" t="s">
        <v>1861</v>
      </c>
      <c r="G1553" s="12" t="s">
        <v>1861</v>
      </c>
      <c r="H1553" s="12" t="b">
        <v>1</v>
      </c>
      <c r="I1553" s="12" t="b">
        <v>0</v>
      </c>
      <c r="J1553" s="12" t="b">
        <v>0</v>
      </c>
      <c r="K1553" s="12" t="b">
        <v>0</v>
      </c>
      <c r="L1553" s="12">
        <v>398.37580411552511</v>
      </c>
      <c r="M1553" s="12">
        <v>281.4296374409729</v>
      </c>
      <c r="N1553" s="12">
        <v>4421.4745824465554</v>
      </c>
      <c r="O1553" s="12">
        <v>436.21329595773551</v>
      </c>
      <c r="P1553" s="12">
        <v>0.65480186045689837</v>
      </c>
      <c r="Q1553" s="12">
        <v>0.8847424993071954</v>
      </c>
      <c r="R1553" s="12">
        <v>0.684882767281219</v>
      </c>
      <c r="S1553" s="12">
        <v>0.91654734877555244</v>
      </c>
      <c r="T1553" s="12">
        <v>0.94029235389824017</v>
      </c>
      <c r="U1553" s="12">
        <v>0.76293794910995016</v>
      </c>
      <c r="V1553" s="12">
        <v>281.4296374409729</v>
      </c>
      <c r="W1553" s="12">
        <v>15.55458340034617</v>
      </c>
      <c r="X1553" s="12">
        <v>53.610180400558647</v>
      </c>
      <c r="Y1553" s="12">
        <v>3985.2612864888201</v>
      </c>
      <c r="Z1553" s="12">
        <v>10.13603808829099</v>
      </c>
      <c r="AA1553" s="12" t="s">
        <v>1268</v>
      </c>
      <c r="AB1553" s="12"/>
    </row>
    <row r="1554" spans="1:28" x14ac:dyDescent="0.3">
      <c r="A1554" s="12" t="s">
        <v>3464</v>
      </c>
      <c r="B1554" s="12" t="s">
        <v>155</v>
      </c>
      <c r="C1554" s="12" t="s">
        <v>155</v>
      </c>
      <c r="D1554" s="12" t="s">
        <v>137</v>
      </c>
      <c r="E1554" s="12" t="s">
        <v>2978</v>
      </c>
      <c r="F1554" s="12" t="s">
        <v>1861</v>
      </c>
      <c r="G1554" s="12" t="s">
        <v>1861</v>
      </c>
      <c r="H1554" s="12" t="b">
        <v>1</v>
      </c>
      <c r="I1554" s="12" t="b">
        <v>0</v>
      </c>
      <c r="J1554" s="12" t="b">
        <v>1</v>
      </c>
      <c r="K1554" s="12" t="b">
        <v>0</v>
      </c>
      <c r="L1554" s="12">
        <v>439.45665631683448</v>
      </c>
      <c r="M1554" s="12">
        <v>298.19978711048122</v>
      </c>
      <c r="N1554" s="12">
        <v>2855.587170748473</v>
      </c>
      <c r="O1554" s="12">
        <v>767.04317894877761</v>
      </c>
      <c r="P1554" s="12">
        <v>0.55727089381209793</v>
      </c>
      <c r="Q1554" s="12">
        <v>0.91861946622438495</v>
      </c>
      <c r="R1554" s="12">
        <v>0.775732205685845</v>
      </c>
      <c r="S1554" s="12">
        <v>0.85579162662884722</v>
      </c>
      <c r="T1554" s="12">
        <v>0.8565995350543445</v>
      </c>
      <c r="U1554" s="12">
        <v>0.7919351667229676</v>
      </c>
      <c r="V1554" s="12">
        <v>298.19978711048122</v>
      </c>
      <c r="W1554" s="12">
        <v>10.95563560051162</v>
      </c>
      <c r="X1554" s="12">
        <v>100.1659856417039</v>
      </c>
      <c r="Y1554" s="12">
        <v>2088.543991799696</v>
      </c>
      <c r="Z1554" s="12">
        <v>3.7228506153486909</v>
      </c>
      <c r="AA1554" s="12" t="s">
        <v>1268</v>
      </c>
      <c r="AB1554" s="12"/>
    </row>
    <row r="1555" spans="1:28" x14ac:dyDescent="0.3">
      <c r="A1555" s="12" t="s">
        <v>3465</v>
      </c>
      <c r="B1555" s="12" t="s">
        <v>155</v>
      </c>
      <c r="C1555" s="12" t="s">
        <v>155</v>
      </c>
      <c r="D1555" s="12" t="s">
        <v>137</v>
      </c>
      <c r="E1555" s="12" t="s">
        <v>2978</v>
      </c>
      <c r="F1555" s="12" t="s">
        <v>1861</v>
      </c>
      <c r="G1555" s="12" t="s">
        <v>1861</v>
      </c>
      <c r="H1555" s="12" t="b">
        <v>1</v>
      </c>
      <c r="I1555" s="12" t="b">
        <v>0</v>
      </c>
      <c r="J1555" s="12" t="b">
        <v>0</v>
      </c>
      <c r="K1555" s="12" t="b">
        <v>0</v>
      </c>
      <c r="L1555" s="12">
        <v>422.01468896803431</v>
      </c>
      <c r="M1555" s="12">
        <v>294.20900123487849</v>
      </c>
      <c r="N1555" s="12">
        <v>3241.5306940836108</v>
      </c>
      <c r="O1555" s="12">
        <v>1213.870757203076</v>
      </c>
      <c r="P1555" s="12">
        <v>0.75202757430549161</v>
      </c>
      <c r="Q1555" s="12">
        <v>0.87479119032297725</v>
      </c>
      <c r="R1555" s="12">
        <v>0.78251229069101513</v>
      </c>
      <c r="S1555" s="12">
        <v>0.90170101409155035</v>
      </c>
      <c r="T1555" s="12">
        <v>0.8127164669238599</v>
      </c>
      <c r="U1555" s="12">
        <v>0.7733067189926649</v>
      </c>
      <c r="V1555" s="12">
        <v>294.20900123487849</v>
      </c>
      <c r="W1555" s="12">
        <v>8.8596160667833299</v>
      </c>
      <c r="X1555" s="12">
        <v>86.897521298488655</v>
      </c>
      <c r="Y1555" s="12">
        <v>2027.6599368805339</v>
      </c>
      <c r="Z1555" s="12">
        <v>2.670408422682939</v>
      </c>
      <c r="AA1555" s="12" t="s">
        <v>1268</v>
      </c>
      <c r="AB1555" s="12"/>
    </row>
    <row r="1556" spans="1:28" x14ac:dyDescent="0.3">
      <c r="A1556" s="12" t="s">
        <v>3466</v>
      </c>
      <c r="B1556" s="12" t="s">
        <v>155</v>
      </c>
      <c r="C1556" s="12" t="s">
        <v>155</v>
      </c>
      <c r="D1556" s="12" t="s">
        <v>137</v>
      </c>
      <c r="E1556" s="12" t="s">
        <v>2978</v>
      </c>
      <c r="F1556" s="12" t="s">
        <v>32</v>
      </c>
      <c r="G1556" s="12" t="s">
        <v>32</v>
      </c>
      <c r="H1556" s="12" t="b">
        <v>1</v>
      </c>
      <c r="I1556" s="12" t="b">
        <v>1</v>
      </c>
      <c r="J1556" s="12" t="b">
        <v>0</v>
      </c>
      <c r="K1556" s="12" t="b">
        <v>0</v>
      </c>
      <c r="L1556" s="12">
        <v>404.5641237085016</v>
      </c>
      <c r="M1556" s="12">
        <v>281.48204826381851</v>
      </c>
      <c r="N1556" s="12">
        <v>2921.798925985498</v>
      </c>
      <c r="O1556" s="12">
        <v>1142.2956162766111</v>
      </c>
      <c r="P1556" s="12">
        <v>0.82469698677461878</v>
      </c>
      <c r="Q1556" s="12">
        <v>0.9059458071668296</v>
      </c>
      <c r="R1556" s="12">
        <v>0.83231625938493714</v>
      </c>
      <c r="S1556" s="12">
        <v>0.65282923099110168</v>
      </c>
      <c r="T1556" s="12">
        <v>0.89033635231485664</v>
      </c>
      <c r="U1556" s="12">
        <v>0.87096245611530709</v>
      </c>
      <c r="V1556" s="12">
        <v>281.48204826381851</v>
      </c>
      <c r="W1556" s="12">
        <v>8.6553160734697201</v>
      </c>
      <c r="X1556" s="12">
        <v>67.784784171755859</v>
      </c>
      <c r="Y1556" s="12">
        <v>1779.5033097088869</v>
      </c>
      <c r="Z1556" s="12">
        <v>2.5578308139790442</v>
      </c>
      <c r="AA1556" s="12"/>
      <c r="AB1556" s="12"/>
    </row>
    <row r="1557" spans="1:28" x14ac:dyDescent="0.3">
      <c r="A1557" s="12" t="s">
        <v>3467</v>
      </c>
      <c r="B1557" s="12" t="s">
        <v>155</v>
      </c>
      <c r="C1557" s="12" t="s">
        <v>155</v>
      </c>
      <c r="D1557" s="12" t="s">
        <v>137</v>
      </c>
      <c r="E1557" s="12" t="s">
        <v>2978</v>
      </c>
      <c r="F1557" s="12" t="s">
        <v>1861</v>
      </c>
      <c r="G1557" s="12" t="s">
        <v>1861</v>
      </c>
      <c r="H1557" s="12" t="b">
        <v>1</v>
      </c>
      <c r="I1557" s="12" t="b">
        <v>0</v>
      </c>
      <c r="J1557" s="12" t="b">
        <v>1</v>
      </c>
      <c r="K1557" s="12" t="b">
        <v>0</v>
      </c>
      <c r="L1557" s="12">
        <v>497.61814371543659</v>
      </c>
      <c r="M1557" s="12">
        <v>302.02663772244688</v>
      </c>
      <c r="N1557" s="12">
        <v>4043.992285696097</v>
      </c>
      <c r="O1557" s="12">
        <v>828.3142548484592</v>
      </c>
      <c r="P1557" s="12">
        <v>0.62524326398537822</v>
      </c>
      <c r="Q1557" s="12">
        <v>0.76529434725906165</v>
      </c>
      <c r="R1557" s="12">
        <v>0.65770431196137902</v>
      </c>
      <c r="S1557" s="12">
        <v>0.66785302336164099</v>
      </c>
      <c r="T1557" s="12">
        <v>0.68847396847916964</v>
      </c>
      <c r="U1557" s="12">
        <v>0.93361722029957905</v>
      </c>
      <c r="V1557" s="12">
        <v>302.02663772244688</v>
      </c>
      <c r="W1557" s="12">
        <v>10.401754257500111</v>
      </c>
      <c r="X1557" s="12">
        <v>138.32526976926201</v>
      </c>
      <c r="Y1557" s="12">
        <v>3215.6780308476382</v>
      </c>
      <c r="Z1557" s="12">
        <v>4.8821956908564239</v>
      </c>
      <c r="AA1557" s="12" t="s">
        <v>1268</v>
      </c>
      <c r="AB1557" s="12"/>
    </row>
    <row r="1558" spans="1:28" x14ac:dyDescent="0.3">
      <c r="A1558" s="12" t="s">
        <v>3468</v>
      </c>
      <c r="B1558" s="12" t="s">
        <v>155</v>
      </c>
      <c r="C1558" s="12" t="s">
        <v>155</v>
      </c>
      <c r="D1558" s="12" t="s">
        <v>137</v>
      </c>
      <c r="E1558" s="12" t="s">
        <v>2978</v>
      </c>
      <c r="F1558" s="12" t="s">
        <v>32</v>
      </c>
      <c r="G1558" s="12" t="s">
        <v>32</v>
      </c>
      <c r="H1558" s="12" t="b">
        <v>1</v>
      </c>
      <c r="I1558" s="12" t="b">
        <v>1</v>
      </c>
      <c r="J1558" s="12" t="b">
        <v>0</v>
      </c>
      <c r="K1558" s="12" t="b">
        <v>0</v>
      </c>
      <c r="L1558" s="12">
        <v>483.22504797874399</v>
      </c>
      <c r="M1558" s="12">
        <v>294.82803150237578</v>
      </c>
      <c r="N1558" s="12">
        <v>3718.573104357165</v>
      </c>
      <c r="O1558" s="12">
        <v>1438.218115492034</v>
      </c>
      <c r="P1558" s="12">
        <v>0.82752078087078262</v>
      </c>
      <c r="Q1558" s="12">
        <v>0.79119303807527341</v>
      </c>
      <c r="R1558" s="12">
        <v>0.80457061312074096</v>
      </c>
      <c r="S1558" s="12">
        <v>0.65683769399807934</v>
      </c>
      <c r="T1558" s="12">
        <v>0.70893282720685713</v>
      </c>
      <c r="U1558" s="12">
        <v>0.92527705416925765</v>
      </c>
      <c r="V1558" s="12">
        <v>294.82803150237578</v>
      </c>
      <c r="W1558" s="12">
        <v>7.8032029263056586</v>
      </c>
      <c r="X1558" s="12">
        <v>89.556412359950471</v>
      </c>
      <c r="Y1558" s="12">
        <v>2280.354988865131</v>
      </c>
      <c r="Z1558" s="12">
        <v>2.585541834233529</v>
      </c>
      <c r="AA1558" s="12"/>
      <c r="AB1558" s="12"/>
    </row>
    <row r="1559" spans="1:28" x14ac:dyDescent="0.3">
      <c r="A1559" s="12" t="s">
        <v>3469</v>
      </c>
      <c r="B1559" s="12" t="s">
        <v>155</v>
      </c>
      <c r="C1559" s="12" t="s">
        <v>155</v>
      </c>
      <c r="D1559" s="12" t="s">
        <v>137</v>
      </c>
      <c r="E1559" s="12" t="s">
        <v>2978</v>
      </c>
      <c r="F1559" s="12" t="s">
        <v>1861</v>
      </c>
      <c r="G1559" s="12" t="s">
        <v>1861</v>
      </c>
      <c r="H1559" s="12" t="b">
        <v>1</v>
      </c>
      <c r="I1559" s="12" t="b">
        <v>0</v>
      </c>
      <c r="J1559" s="12" t="b">
        <v>1</v>
      </c>
      <c r="K1559" s="12" t="b">
        <v>0</v>
      </c>
      <c r="L1559" s="12">
        <v>448.38383905285372</v>
      </c>
      <c r="M1559" s="12">
        <v>297.80554358585198</v>
      </c>
      <c r="N1559" s="12">
        <v>3093.8938294653271</v>
      </c>
      <c r="O1559" s="12">
        <v>352.46538038875087</v>
      </c>
      <c r="P1559" s="12">
        <v>0.58362589893460015</v>
      </c>
      <c r="Q1559" s="12">
        <v>0.77826037539103488</v>
      </c>
      <c r="R1559" s="12">
        <v>0.82242985871577923</v>
      </c>
      <c r="S1559" s="12">
        <v>0.80185390571094883</v>
      </c>
      <c r="T1559" s="12">
        <v>0.78950721023963344</v>
      </c>
      <c r="U1559" s="12">
        <v>0.76077356736182233</v>
      </c>
      <c r="V1559" s="12">
        <v>297.80554358585198</v>
      </c>
      <c r="W1559" s="12">
        <v>10.52349635737272</v>
      </c>
      <c r="X1559" s="12">
        <v>89.892922068389595</v>
      </c>
      <c r="Y1559" s="12">
        <v>2741.4284490765758</v>
      </c>
      <c r="Z1559" s="12">
        <v>8.777865860337613</v>
      </c>
      <c r="AA1559" s="12" t="s">
        <v>1268</v>
      </c>
      <c r="AB1559" s="12"/>
    </row>
    <row r="1560" spans="1:28" x14ac:dyDescent="0.3">
      <c r="A1560" s="12" t="s">
        <v>3470</v>
      </c>
      <c r="B1560" s="12" t="s">
        <v>155</v>
      </c>
      <c r="C1560" s="12" t="s">
        <v>155</v>
      </c>
      <c r="D1560" s="12" t="s">
        <v>137</v>
      </c>
      <c r="E1560" s="12" t="s">
        <v>2978</v>
      </c>
      <c r="F1560" s="12" t="s">
        <v>832</v>
      </c>
      <c r="G1560" s="12" t="s">
        <v>832</v>
      </c>
      <c r="H1560" s="12" t="b">
        <v>0</v>
      </c>
      <c r="I1560" s="12" t="b">
        <v>0</v>
      </c>
      <c r="J1560" s="12" t="b">
        <v>0</v>
      </c>
      <c r="K1560" s="12" t="b">
        <v>0</v>
      </c>
      <c r="L1560" s="12">
        <v>491.11499395169858</v>
      </c>
      <c r="M1560" s="12">
        <v>284.92233861663073</v>
      </c>
      <c r="N1560" s="12">
        <v>4920.8803809184628</v>
      </c>
      <c r="O1560" s="12">
        <v>1032.970525554797</v>
      </c>
      <c r="P1560" s="12">
        <v>0.82956996406502692</v>
      </c>
      <c r="Q1560" s="12">
        <v>0.90284086851822776</v>
      </c>
      <c r="R1560" s="12">
        <v>0.75867127727013484</v>
      </c>
      <c r="S1560" s="12">
        <v>0.63309189892053253</v>
      </c>
      <c r="T1560" s="12">
        <v>0.9220088850088608</v>
      </c>
      <c r="U1560" s="12">
        <v>0.77816671850643515</v>
      </c>
      <c r="V1560" s="12">
        <v>284.92233861663073</v>
      </c>
      <c r="W1560" s="12"/>
      <c r="X1560" s="12"/>
      <c r="Y1560" s="12">
        <v>3887.9098553636659</v>
      </c>
      <c r="Z1560" s="12">
        <v>4.7638149000190628</v>
      </c>
      <c r="AA1560" s="12"/>
      <c r="AB1560" s="12"/>
    </row>
    <row r="1561" spans="1:28" x14ac:dyDescent="0.3">
      <c r="A1561" s="12" t="s">
        <v>3471</v>
      </c>
      <c r="B1561" s="12" t="s">
        <v>155</v>
      </c>
      <c r="C1561" s="12" t="s">
        <v>155</v>
      </c>
      <c r="D1561" s="12" t="s">
        <v>137</v>
      </c>
      <c r="E1561" s="12" t="s">
        <v>2978</v>
      </c>
      <c r="F1561" s="12" t="s">
        <v>32</v>
      </c>
      <c r="G1561" s="12" t="s">
        <v>32</v>
      </c>
      <c r="H1561" s="12" t="b">
        <v>1</v>
      </c>
      <c r="I1561" s="12" t="b">
        <v>0</v>
      </c>
      <c r="J1561" s="12" t="b">
        <v>1</v>
      </c>
      <c r="K1561" s="12" t="b">
        <v>0</v>
      </c>
      <c r="L1561" s="12">
        <v>430.00183304208088</v>
      </c>
      <c r="M1561" s="12">
        <v>282.03333869245131</v>
      </c>
      <c r="N1561" s="12">
        <v>3539.5313497682992</v>
      </c>
      <c r="O1561" s="12">
        <v>1184.909450503314</v>
      </c>
      <c r="P1561" s="12">
        <v>0.81746601291172549</v>
      </c>
      <c r="Q1561" s="12">
        <v>0.75650698076306933</v>
      </c>
      <c r="R1561" s="12">
        <v>0.71155045300633812</v>
      </c>
      <c r="S1561" s="12">
        <v>0.93348463919593483</v>
      </c>
      <c r="T1561" s="12">
        <v>0.63481699659524182</v>
      </c>
      <c r="U1561" s="12">
        <v>0.93394703234999277</v>
      </c>
      <c r="V1561" s="12">
        <v>282.03333869245131</v>
      </c>
      <c r="W1561" s="12">
        <v>8.0867868137753103</v>
      </c>
      <c r="X1561" s="12">
        <v>115.6173678321987</v>
      </c>
      <c r="Y1561" s="12">
        <v>2354.6218992649851</v>
      </c>
      <c r="Z1561" s="12">
        <v>2.987174545924006</v>
      </c>
      <c r="AA1561" s="12"/>
      <c r="AB1561" s="12"/>
    </row>
    <row r="1562" spans="1:28" x14ac:dyDescent="0.3">
      <c r="A1562" s="12" t="s">
        <v>3472</v>
      </c>
      <c r="B1562" s="12" t="s">
        <v>155</v>
      </c>
      <c r="C1562" s="12" t="s">
        <v>155</v>
      </c>
      <c r="D1562" s="12" t="s">
        <v>137</v>
      </c>
      <c r="E1562" s="12" t="s">
        <v>2978</v>
      </c>
      <c r="F1562" s="12" t="s">
        <v>1861</v>
      </c>
      <c r="G1562" s="12" t="s">
        <v>1861</v>
      </c>
      <c r="H1562" s="12" t="b">
        <v>1</v>
      </c>
      <c r="I1562" s="12" t="b">
        <v>0</v>
      </c>
      <c r="J1562" s="12" t="b">
        <v>0</v>
      </c>
      <c r="K1562" s="12" t="b">
        <v>0</v>
      </c>
      <c r="L1562" s="12">
        <v>426.48643204369</v>
      </c>
      <c r="M1562" s="12">
        <v>285.9273896361529</v>
      </c>
      <c r="N1562" s="12">
        <v>2230.116054462213</v>
      </c>
      <c r="O1562" s="12">
        <v>890.64743267284507</v>
      </c>
      <c r="P1562" s="12">
        <v>0.74572373801432779</v>
      </c>
      <c r="Q1562" s="12">
        <v>0.7946920393361766</v>
      </c>
      <c r="R1562" s="12">
        <v>0.8438229692172371</v>
      </c>
      <c r="S1562" s="12">
        <v>0.72268256965746291</v>
      </c>
      <c r="T1562" s="12">
        <v>0.80679928762479902</v>
      </c>
      <c r="U1562" s="12">
        <v>0.88601854488599774</v>
      </c>
      <c r="V1562" s="12">
        <v>285.9273896361529</v>
      </c>
      <c r="W1562" s="12">
        <v>7.4040240742314607</v>
      </c>
      <c r="X1562" s="12">
        <v>84.174419067422264</v>
      </c>
      <c r="Y1562" s="12">
        <v>1339.4686217893679</v>
      </c>
      <c r="Z1562" s="12">
        <v>2.503926888072427</v>
      </c>
      <c r="AA1562" s="12" t="s">
        <v>1268</v>
      </c>
      <c r="AB1562" s="12"/>
    </row>
    <row r="1563" spans="1:28" x14ac:dyDescent="0.3">
      <c r="A1563" s="12" t="s">
        <v>3473</v>
      </c>
      <c r="B1563" s="12" t="s">
        <v>155</v>
      </c>
      <c r="C1563" s="12" t="s">
        <v>155</v>
      </c>
      <c r="D1563" s="12" t="s">
        <v>137</v>
      </c>
      <c r="E1563" s="12" t="s">
        <v>2978</v>
      </c>
      <c r="F1563" s="12" t="s">
        <v>1861</v>
      </c>
      <c r="G1563" s="12" t="s">
        <v>1861</v>
      </c>
      <c r="H1563" s="12" t="b">
        <v>1</v>
      </c>
      <c r="I1563" s="12" t="b">
        <v>0</v>
      </c>
      <c r="J1563" s="12" t="b">
        <v>0</v>
      </c>
      <c r="K1563" s="12" t="b">
        <v>0</v>
      </c>
      <c r="L1563" s="12">
        <v>393.04593856608358</v>
      </c>
      <c r="M1563" s="12">
        <v>290.51937768072719</v>
      </c>
      <c r="N1563" s="12">
        <v>2300.8535252729412</v>
      </c>
      <c r="O1563" s="12">
        <v>734.33460914835246</v>
      </c>
      <c r="P1563" s="12">
        <v>0.66100676256843782</v>
      </c>
      <c r="Q1563" s="12">
        <v>0.84317013345425051</v>
      </c>
      <c r="R1563" s="12">
        <v>0.85234680607022073</v>
      </c>
      <c r="S1563" s="12">
        <v>0.84227990008894205</v>
      </c>
      <c r="T1563" s="12">
        <v>0.79723460044925554</v>
      </c>
      <c r="U1563" s="12">
        <v>0.90083008266929365</v>
      </c>
      <c r="V1563" s="12">
        <v>290.51937768072719</v>
      </c>
      <c r="W1563" s="12">
        <v>8.8820066642175988</v>
      </c>
      <c r="X1563" s="12">
        <v>61.077362675492559</v>
      </c>
      <c r="Y1563" s="12">
        <v>1566.518916124588</v>
      </c>
      <c r="Z1563" s="12">
        <v>3.133249470485076</v>
      </c>
      <c r="AA1563" s="12" t="s">
        <v>1268</v>
      </c>
      <c r="AB1563" s="12"/>
    </row>
    <row r="1564" spans="1:28" x14ac:dyDescent="0.3">
      <c r="A1564" s="12" t="s">
        <v>3474</v>
      </c>
      <c r="B1564" s="12" t="s">
        <v>155</v>
      </c>
      <c r="C1564" s="12" t="s">
        <v>155</v>
      </c>
      <c r="D1564" s="12" t="s">
        <v>137</v>
      </c>
      <c r="E1564" s="12" t="s">
        <v>2978</v>
      </c>
      <c r="F1564" s="12" t="s">
        <v>32</v>
      </c>
      <c r="G1564" s="12" t="s">
        <v>32</v>
      </c>
      <c r="H1564" s="12" t="b">
        <v>1</v>
      </c>
      <c r="I1564" s="12" t="b">
        <v>0</v>
      </c>
      <c r="J1564" s="12" t="b">
        <v>1</v>
      </c>
      <c r="K1564" s="12" t="b">
        <v>0</v>
      </c>
      <c r="L1564" s="12">
        <v>440.87823054581179</v>
      </c>
      <c r="M1564" s="12">
        <v>292.91078122262508</v>
      </c>
      <c r="N1564" s="12">
        <v>3514.4151254074941</v>
      </c>
      <c r="O1564" s="12">
        <v>936.88135157308</v>
      </c>
      <c r="P1564" s="12">
        <v>0.54763421312905414</v>
      </c>
      <c r="Q1564" s="12">
        <v>0.78616028701265195</v>
      </c>
      <c r="R1564" s="12">
        <v>0.75100361373925306</v>
      </c>
      <c r="S1564" s="12">
        <v>0.87755702833756277</v>
      </c>
      <c r="T1564" s="12">
        <v>0.87330688210151586</v>
      </c>
      <c r="U1564" s="12">
        <v>0.88042268869207874</v>
      </c>
      <c r="V1564" s="12">
        <v>292.91078122262508</v>
      </c>
      <c r="W1564" s="12">
        <v>8.8684304851486715</v>
      </c>
      <c r="X1564" s="12">
        <v>73.730745606437239</v>
      </c>
      <c r="Y1564" s="12">
        <v>2577.5337738344142</v>
      </c>
      <c r="Z1564" s="12">
        <v>3.751184842676802</v>
      </c>
      <c r="AA1564" s="12"/>
      <c r="AB1564" s="12"/>
    </row>
    <row r="1565" spans="1:28" x14ac:dyDescent="0.3">
      <c r="A1565" s="12" t="s">
        <v>3475</v>
      </c>
      <c r="B1565" s="12" t="s">
        <v>155</v>
      </c>
      <c r="C1565" s="12" t="s">
        <v>155</v>
      </c>
      <c r="D1565" s="12" t="s">
        <v>137</v>
      </c>
      <c r="E1565" s="12" t="s">
        <v>2978</v>
      </c>
      <c r="F1565" s="12" t="s">
        <v>832</v>
      </c>
      <c r="G1565" s="12" t="s">
        <v>832</v>
      </c>
      <c r="H1565" s="12" t="b">
        <v>0</v>
      </c>
      <c r="I1565" s="12" t="b">
        <v>0</v>
      </c>
      <c r="J1565" s="12" t="b">
        <v>0</v>
      </c>
      <c r="K1565" s="12" t="b">
        <v>0</v>
      </c>
      <c r="L1565" s="12">
        <v>383.63709372326292</v>
      </c>
      <c r="M1565" s="12">
        <v>302.6271097175316</v>
      </c>
      <c r="N1565" s="12">
        <v>4593.339295432349</v>
      </c>
      <c r="O1565" s="12">
        <v>1341.797200075589</v>
      </c>
      <c r="P1565" s="12">
        <v>0.52171820519631162</v>
      </c>
      <c r="Q1565" s="12">
        <v>0.84846829689619219</v>
      </c>
      <c r="R1565" s="12">
        <v>0.7148538664645705</v>
      </c>
      <c r="S1565" s="12">
        <v>0.70689280745567196</v>
      </c>
      <c r="T1565" s="12">
        <v>0.76527969920248951</v>
      </c>
      <c r="U1565" s="12">
        <v>0.8304816668282945</v>
      </c>
      <c r="V1565" s="12">
        <v>302.6271097175316</v>
      </c>
      <c r="W1565" s="12"/>
      <c r="X1565" s="12"/>
      <c r="Y1565" s="12">
        <v>3251.54209535676</v>
      </c>
      <c r="Z1565" s="12">
        <v>3.423273871173369</v>
      </c>
      <c r="AA1565" s="12"/>
      <c r="AB1565" s="12"/>
    </row>
    <row r="1566" spans="1:28" x14ac:dyDescent="0.3">
      <c r="A1566" s="12" t="s">
        <v>3476</v>
      </c>
      <c r="B1566" s="12" t="s">
        <v>155</v>
      </c>
      <c r="C1566" s="12" t="s">
        <v>155</v>
      </c>
      <c r="D1566" s="12" t="s">
        <v>137</v>
      </c>
      <c r="E1566" s="12" t="s">
        <v>2978</v>
      </c>
      <c r="F1566" s="12" t="s">
        <v>1862</v>
      </c>
      <c r="G1566" s="12" t="s">
        <v>1862</v>
      </c>
      <c r="H1566" s="12" t="b">
        <v>1</v>
      </c>
      <c r="I1566" s="12" t="b">
        <v>0</v>
      </c>
      <c r="J1566" s="12" t="b">
        <v>0</v>
      </c>
      <c r="K1566" s="12" t="b">
        <v>0</v>
      </c>
      <c r="L1566" s="12">
        <v>419.74702577018672</v>
      </c>
      <c r="M1566" s="12">
        <v>296.43106025066811</v>
      </c>
      <c r="N1566" s="12">
        <v>2410.5086122380399</v>
      </c>
      <c r="O1566" s="12">
        <v>362.75858533845332</v>
      </c>
      <c r="P1566" s="12">
        <v>0.80627215737664415</v>
      </c>
      <c r="Q1566" s="12">
        <v>0.87694624151041434</v>
      </c>
      <c r="R1566" s="12">
        <v>0.7095609148066363</v>
      </c>
      <c r="S1566" s="12">
        <v>0.87149860951888725</v>
      </c>
      <c r="T1566" s="12">
        <v>0.6418483745740059</v>
      </c>
      <c r="U1566" s="12">
        <v>0.76658105485481187</v>
      </c>
      <c r="V1566" s="12">
        <v>296.43106025066811</v>
      </c>
      <c r="W1566" s="12">
        <v>-6.2942157207334608</v>
      </c>
      <c r="X1566" s="12">
        <v>-26.862453633114882</v>
      </c>
      <c r="Y1566" s="12">
        <v>2047.7500268995859</v>
      </c>
      <c r="Z1566" s="12">
        <v>6.6449388371857232</v>
      </c>
      <c r="AA1566" s="12" t="s">
        <v>2513</v>
      </c>
      <c r="AB1566" s="12"/>
    </row>
    <row r="1567" spans="1:28" x14ac:dyDescent="0.3">
      <c r="A1567" s="12" t="s">
        <v>3477</v>
      </c>
      <c r="B1567" s="12" t="s">
        <v>155</v>
      </c>
      <c r="C1567" s="12" t="s">
        <v>155</v>
      </c>
      <c r="D1567" s="12" t="s">
        <v>137</v>
      </c>
      <c r="E1567" s="12" t="s">
        <v>2978</v>
      </c>
      <c r="F1567" s="12" t="s">
        <v>1861</v>
      </c>
      <c r="G1567" s="12" t="s">
        <v>1861</v>
      </c>
      <c r="H1567" s="12" t="b">
        <v>1</v>
      </c>
      <c r="I1567" s="12" t="b">
        <v>0</v>
      </c>
      <c r="J1567" s="12" t="b">
        <v>1</v>
      </c>
      <c r="K1567" s="12" t="b">
        <v>0</v>
      </c>
      <c r="L1567" s="12">
        <v>486.13468432271952</v>
      </c>
      <c r="M1567" s="12">
        <v>303.46999463700263</v>
      </c>
      <c r="N1567" s="12">
        <v>2365.348117495867</v>
      </c>
      <c r="O1567" s="12">
        <v>419.45825195615021</v>
      </c>
      <c r="P1567" s="12">
        <v>0.55459452131104903</v>
      </c>
      <c r="Q1567" s="12">
        <v>0.75877187958979597</v>
      </c>
      <c r="R1567" s="12">
        <v>0.67574283369205579</v>
      </c>
      <c r="S1567" s="12">
        <v>0.86197557438012473</v>
      </c>
      <c r="T1567" s="12">
        <v>0.85489997782990779</v>
      </c>
      <c r="U1567" s="12">
        <v>0.91342312077524102</v>
      </c>
      <c r="V1567" s="12">
        <v>303.46999463700263</v>
      </c>
      <c r="W1567" s="12">
        <v>10.007032992813681</v>
      </c>
      <c r="X1567" s="12">
        <v>171.90256649830849</v>
      </c>
      <c r="Y1567" s="12">
        <v>1945.8898655397161</v>
      </c>
      <c r="Z1567" s="12">
        <v>5.6390549153939116</v>
      </c>
      <c r="AA1567" s="12" t="s">
        <v>1268</v>
      </c>
      <c r="AB1567" s="12"/>
    </row>
    <row r="1568" spans="1:28" x14ac:dyDescent="0.3">
      <c r="A1568" s="12" t="s">
        <v>3478</v>
      </c>
      <c r="B1568" s="12" t="s">
        <v>155</v>
      </c>
      <c r="C1568" s="12" t="s">
        <v>155</v>
      </c>
      <c r="D1568" s="12" t="s">
        <v>137</v>
      </c>
      <c r="E1568" s="12" t="s">
        <v>2978</v>
      </c>
      <c r="F1568" s="12" t="s">
        <v>1861</v>
      </c>
      <c r="G1568" s="12" t="s">
        <v>1861</v>
      </c>
      <c r="H1568" s="12" t="b">
        <v>1</v>
      </c>
      <c r="I1568" s="12" t="b">
        <v>0</v>
      </c>
      <c r="J1568" s="12" t="b">
        <v>0</v>
      </c>
      <c r="K1568" s="12" t="b">
        <v>0</v>
      </c>
      <c r="L1568" s="12">
        <v>391.58689037200242</v>
      </c>
      <c r="M1568" s="12">
        <v>281.1796040552066</v>
      </c>
      <c r="N1568" s="12">
        <v>2871.547892208388</v>
      </c>
      <c r="O1568" s="12">
        <v>518.89779731228361</v>
      </c>
      <c r="P1568" s="12">
        <v>0.64779999441844272</v>
      </c>
      <c r="Q1568" s="12">
        <v>0.85581432790436507</v>
      </c>
      <c r="R1568" s="12">
        <v>0.77172100171849511</v>
      </c>
      <c r="S1568" s="12">
        <v>0.83568727778992546</v>
      </c>
      <c r="T1568" s="12">
        <v>0.62488694418632695</v>
      </c>
      <c r="U1568" s="12">
        <v>0.84128892074134931</v>
      </c>
      <c r="V1568" s="12">
        <v>281.1796040552066</v>
      </c>
      <c r="W1568" s="12">
        <v>11.01586930128213</v>
      </c>
      <c r="X1568" s="12">
        <v>63.137021918388569</v>
      </c>
      <c r="Y1568" s="12">
        <v>2352.6500948961052</v>
      </c>
      <c r="Z1568" s="12">
        <v>5.5339373323264089</v>
      </c>
      <c r="AA1568" s="12" t="s">
        <v>1268</v>
      </c>
      <c r="AB1568" s="12"/>
    </row>
    <row r="1569" spans="1:28" x14ac:dyDescent="0.3">
      <c r="A1569" s="12" t="s">
        <v>3479</v>
      </c>
      <c r="B1569" s="12" t="s">
        <v>155</v>
      </c>
      <c r="C1569" s="12" t="s">
        <v>155</v>
      </c>
      <c r="D1569" s="12" t="s">
        <v>137</v>
      </c>
      <c r="E1569" s="12" t="s">
        <v>2978</v>
      </c>
      <c r="F1569" s="12" t="s">
        <v>1861</v>
      </c>
      <c r="G1569" s="12" t="s">
        <v>1861</v>
      </c>
      <c r="H1569" s="12" t="b">
        <v>1</v>
      </c>
      <c r="I1569" s="12" t="b">
        <v>0</v>
      </c>
      <c r="J1569" s="12" t="b">
        <v>1</v>
      </c>
      <c r="K1569" s="12" t="b">
        <v>0</v>
      </c>
      <c r="L1569" s="12">
        <v>487.12618566355241</v>
      </c>
      <c r="M1569" s="12">
        <v>301.33949283584002</v>
      </c>
      <c r="N1569" s="12">
        <v>4897.460721034211</v>
      </c>
      <c r="O1569" s="12">
        <v>496.7649004882162</v>
      </c>
      <c r="P1569" s="12">
        <v>0.51616667692486828</v>
      </c>
      <c r="Q1569" s="12">
        <v>0.77108234910004736</v>
      </c>
      <c r="R1569" s="12">
        <v>0.78149735203968163</v>
      </c>
      <c r="S1569" s="12">
        <v>0.72016300217390905</v>
      </c>
      <c r="T1569" s="12">
        <v>0.73863207692728994</v>
      </c>
      <c r="U1569" s="12">
        <v>0.88194901937199321</v>
      </c>
      <c r="V1569" s="12">
        <v>301.33949283584002</v>
      </c>
      <c r="W1569" s="12">
        <v>13.65396402127257</v>
      </c>
      <c r="X1569" s="12">
        <v>164.44062006492749</v>
      </c>
      <c r="Y1569" s="12">
        <v>4400.695820545995</v>
      </c>
      <c r="Z1569" s="12">
        <v>9.8587092530511509</v>
      </c>
      <c r="AA1569" s="12" t="s">
        <v>1981</v>
      </c>
      <c r="AB1569" s="12"/>
    </row>
    <row r="1570" spans="1:28" x14ac:dyDescent="0.3">
      <c r="A1570" s="12" t="s">
        <v>3480</v>
      </c>
      <c r="B1570" s="12" t="s">
        <v>155</v>
      </c>
      <c r="C1570" s="12" t="s">
        <v>155</v>
      </c>
      <c r="D1570" s="12" t="s">
        <v>137</v>
      </c>
      <c r="E1570" s="12" t="s">
        <v>2978</v>
      </c>
      <c r="F1570" s="12" t="s">
        <v>1861</v>
      </c>
      <c r="G1570" s="12" t="s">
        <v>1861</v>
      </c>
      <c r="H1570" s="12" t="b">
        <v>1</v>
      </c>
      <c r="I1570" s="12" t="b">
        <v>0</v>
      </c>
      <c r="J1570" s="12" t="b">
        <v>0</v>
      </c>
      <c r="K1570" s="12" t="b">
        <v>0</v>
      </c>
      <c r="L1570" s="12">
        <v>403.68511963190582</v>
      </c>
      <c r="M1570" s="12">
        <v>281.05631631514223</v>
      </c>
      <c r="N1570" s="12">
        <v>2120.168989719818</v>
      </c>
      <c r="O1570" s="12">
        <v>745.63761687732017</v>
      </c>
      <c r="P1570" s="12">
        <v>0.55168317340371398</v>
      </c>
      <c r="Q1570" s="12">
        <v>0.75532296534489984</v>
      </c>
      <c r="R1570" s="12">
        <v>0.7457533692445284</v>
      </c>
      <c r="S1570" s="12">
        <v>0.94336897624802984</v>
      </c>
      <c r="T1570" s="12">
        <v>0.71705682238335211</v>
      </c>
      <c r="U1570" s="12">
        <v>0.74001625791331715</v>
      </c>
      <c r="V1570" s="12">
        <v>281.05631631514223</v>
      </c>
      <c r="W1570" s="12">
        <v>6.8969247514094194</v>
      </c>
      <c r="X1570" s="12">
        <v>45.927550080835758</v>
      </c>
      <c r="Y1570" s="12">
        <v>1374.5313728424981</v>
      </c>
      <c r="Z1570" s="12">
        <v>2.8434308325255131</v>
      </c>
      <c r="AA1570" s="12" t="s">
        <v>1268</v>
      </c>
      <c r="AB1570" s="12"/>
    </row>
    <row r="1571" spans="1:28" x14ac:dyDescent="0.3">
      <c r="A1571" s="12" t="s">
        <v>3481</v>
      </c>
      <c r="B1571" s="12" t="s">
        <v>155</v>
      </c>
      <c r="C1571" s="12" t="s">
        <v>155</v>
      </c>
      <c r="D1571" s="12" t="s">
        <v>137</v>
      </c>
      <c r="E1571" s="12" t="s">
        <v>2978</v>
      </c>
      <c r="F1571" s="12" t="s">
        <v>832</v>
      </c>
      <c r="G1571" s="12" t="s">
        <v>832</v>
      </c>
      <c r="H1571" s="12" t="b">
        <v>0</v>
      </c>
      <c r="I1571" s="12" t="b">
        <v>0</v>
      </c>
      <c r="J1571" s="12" t="b">
        <v>0</v>
      </c>
      <c r="K1571" s="12" t="b">
        <v>0</v>
      </c>
      <c r="L1571" s="12">
        <v>380.29418501612179</v>
      </c>
      <c r="M1571" s="12">
        <v>290.98572267137217</v>
      </c>
      <c r="N1571" s="12">
        <v>4079.3051310880769</v>
      </c>
      <c r="O1571" s="12">
        <v>472.88901566860011</v>
      </c>
      <c r="P1571" s="12">
        <v>0.50691746606518573</v>
      </c>
      <c r="Q1571" s="12">
        <v>0.90522945576800895</v>
      </c>
      <c r="R1571" s="12">
        <v>0.85847733315380537</v>
      </c>
      <c r="S1571" s="12">
        <v>0.78758921302916107</v>
      </c>
      <c r="T1571" s="12">
        <v>0.94507316365550875</v>
      </c>
      <c r="U1571" s="12">
        <v>0.86661330544568971</v>
      </c>
      <c r="V1571" s="12">
        <v>290.98572267137217</v>
      </c>
      <c r="W1571" s="12"/>
      <c r="X1571" s="12"/>
      <c r="Y1571" s="12">
        <v>3606.4161154194771</v>
      </c>
      <c r="Z1571" s="12">
        <v>8.6263478235384685</v>
      </c>
      <c r="AA1571" s="12"/>
      <c r="AB1571" s="12"/>
    </row>
    <row r="1572" spans="1:28" x14ac:dyDescent="0.3">
      <c r="A1572" s="12" t="s">
        <v>3482</v>
      </c>
      <c r="B1572" s="12" t="s">
        <v>160</v>
      </c>
      <c r="C1572" s="12" t="s">
        <v>160</v>
      </c>
      <c r="D1572" s="12" t="s">
        <v>161</v>
      </c>
      <c r="E1572" s="12" t="s">
        <v>2978</v>
      </c>
      <c r="F1572" s="12" t="s">
        <v>3483</v>
      </c>
      <c r="G1572" s="12"/>
      <c r="H1572" s="12" t="b">
        <v>0</v>
      </c>
      <c r="I1572" s="12" t="b">
        <v>0</v>
      </c>
      <c r="J1572" s="12"/>
      <c r="K1572" s="12" t="b">
        <v>1</v>
      </c>
      <c r="L1572" s="12">
        <v>450.03549602414103</v>
      </c>
      <c r="M1572" s="12">
        <v>284.6098849332933</v>
      </c>
      <c r="N1572" s="12">
        <v>2037.934117413673</v>
      </c>
      <c r="O1572" s="12">
        <v>2472.0681199767419</v>
      </c>
      <c r="P1572" s="12">
        <v>0.74372429943014107</v>
      </c>
      <c r="Q1572" s="12">
        <v>0.81793469496073767</v>
      </c>
      <c r="R1572" s="12">
        <v>0.68296855733882478</v>
      </c>
      <c r="S1572" s="12">
        <v>0.76619278323508733</v>
      </c>
      <c r="T1572" s="12">
        <v>0.79135100473346187</v>
      </c>
      <c r="U1572" s="12">
        <v>0.82049261335927792</v>
      </c>
      <c r="V1572" s="12"/>
      <c r="W1572" s="12"/>
      <c r="X1572" s="12"/>
      <c r="Y1572" s="12">
        <v>-434.1340025630696</v>
      </c>
      <c r="Z1572" s="12">
        <v>0.82438428817764375</v>
      </c>
      <c r="AA1572" s="12"/>
      <c r="AB1572" s="12"/>
    </row>
    <row r="1573" spans="1:28" x14ac:dyDescent="0.3">
      <c r="A1573" s="12" t="s">
        <v>3484</v>
      </c>
      <c r="B1573" s="12" t="s">
        <v>160</v>
      </c>
      <c r="C1573" s="12" t="s">
        <v>160</v>
      </c>
      <c r="D1573" s="12" t="s">
        <v>161</v>
      </c>
      <c r="E1573" s="12" t="s">
        <v>2978</v>
      </c>
      <c r="F1573" s="12" t="s">
        <v>1863</v>
      </c>
      <c r="G1573" s="12" t="s">
        <v>832</v>
      </c>
      <c r="H1573" s="12" t="b">
        <v>0</v>
      </c>
      <c r="I1573" s="12" t="b">
        <v>0</v>
      </c>
      <c r="J1573" s="12" t="b">
        <v>0</v>
      </c>
      <c r="K1573" s="12" t="b">
        <v>0</v>
      </c>
      <c r="L1573" s="12">
        <v>390.4398665966994</v>
      </c>
      <c r="M1573" s="12">
        <v>282.29479622749591</v>
      </c>
      <c r="N1573" s="12">
        <v>3432.3890708026611</v>
      </c>
      <c r="O1573" s="12">
        <v>2446.0426621261422</v>
      </c>
      <c r="P1573" s="12">
        <v>0.51327638368376594</v>
      </c>
      <c r="Q1573" s="12">
        <v>0.8018552668165404</v>
      </c>
      <c r="R1573" s="12">
        <v>0.84750430011472588</v>
      </c>
      <c r="S1573" s="12">
        <v>0.92185752381869901</v>
      </c>
      <c r="T1573" s="12">
        <v>0.65211321953376733</v>
      </c>
      <c r="U1573" s="12">
        <v>0.79900669155759352</v>
      </c>
      <c r="V1573" s="12">
        <v>282.29479622749591</v>
      </c>
      <c r="W1573" s="12">
        <v>-1.8421030268090499</v>
      </c>
      <c r="X1573" s="12">
        <v>-2.8369948351657319</v>
      </c>
      <c r="Y1573" s="12">
        <v>986.34640867651876</v>
      </c>
      <c r="Z1573" s="12">
        <v>1.403241702995961</v>
      </c>
      <c r="AA1573" s="12" t="s">
        <v>2846</v>
      </c>
      <c r="AB1573" s="12"/>
    </row>
    <row r="1574" spans="1:28" x14ac:dyDescent="0.3">
      <c r="A1574" s="12" t="s">
        <v>3485</v>
      </c>
      <c r="B1574" s="12" t="s">
        <v>160</v>
      </c>
      <c r="C1574" s="12" t="s">
        <v>160</v>
      </c>
      <c r="D1574" s="12" t="s">
        <v>161</v>
      </c>
      <c r="E1574" s="12" t="s">
        <v>2978</v>
      </c>
      <c r="F1574" s="12" t="s">
        <v>1861</v>
      </c>
      <c r="G1574" s="12" t="s">
        <v>1861</v>
      </c>
      <c r="H1574" s="12" t="b">
        <v>1</v>
      </c>
      <c r="I1574" s="12" t="b">
        <v>0</v>
      </c>
      <c r="J1574" s="12" t="b">
        <v>0</v>
      </c>
      <c r="K1574" s="12" t="b">
        <v>0</v>
      </c>
      <c r="L1574" s="12">
        <v>432.69949083196491</v>
      </c>
      <c r="M1574" s="12">
        <v>303.04697546537722</v>
      </c>
      <c r="N1574" s="12">
        <v>3520.1720276887522</v>
      </c>
      <c r="O1574" s="12">
        <v>1790.6892480516799</v>
      </c>
      <c r="P1574" s="12">
        <v>0.79222196489200181</v>
      </c>
      <c r="Q1574" s="12">
        <v>0.85980959644269128</v>
      </c>
      <c r="R1574" s="12">
        <v>0.73110547122031899</v>
      </c>
      <c r="S1574" s="12">
        <v>0.69058056141747692</v>
      </c>
      <c r="T1574" s="12">
        <v>0.77981320666540532</v>
      </c>
      <c r="U1574" s="12">
        <v>0.81868540277478963</v>
      </c>
      <c r="V1574" s="12">
        <v>303.04697546537722</v>
      </c>
      <c r="W1574" s="12">
        <v>6.51942623085659</v>
      </c>
      <c r="X1574" s="12">
        <v>59.499170767981163</v>
      </c>
      <c r="Y1574" s="12">
        <v>1729.4827796370721</v>
      </c>
      <c r="Z1574" s="12">
        <v>1.9658196035514239</v>
      </c>
      <c r="AA1574" s="12" t="s">
        <v>1268</v>
      </c>
      <c r="AB1574" s="12"/>
    </row>
    <row r="1575" spans="1:28" x14ac:dyDescent="0.3">
      <c r="A1575" s="12" t="s">
        <v>3486</v>
      </c>
      <c r="B1575" s="12" t="s">
        <v>160</v>
      </c>
      <c r="C1575" s="12" t="s">
        <v>160</v>
      </c>
      <c r="D1575" s="12" t="s">
        <v>161</v>
      </c>
      <c r="E1575" s="12" t="s">
        <v>2978</v>
      </c>
      <c r="F1575" s="12" t="s">
        <v>3483</v>
      </c>
      <c r="G1575" s="12"/>
      <c r="H1575" s="12" t="b">
        <v>0</v>
      </c>
      <c r="I1575" s="12" t="b">
        <v>0</v>
      </c>
      <c r="J1575" s="12"/>
      <c r="K1575" s="12" t="b">
        <v>1</v>
      </c>
      <c r="L1575" s="12">
        <v>431.15042946461131</v>
      </c>
      <c r="M1575" s="12">
        <v>289.30069777843011</v>
      </c>
      <c r="N1575" s="12">
        <v>2358.6399122311459</v>
      </c>
      <c r="O1575" s="12">
        <v>2367.8903505923399</v>
      </c>
      <c r="P1575" s="12">
        <v>0.65222325414282911</v>
      </c>
      <c r="Q1575" s="12">
        <v>0.78580125430254033</v>
      </c>
      <c r="R1575" s="12">
        <v>0.80643289541156271</v>
      </c>
      <c r="S1575" s="12">
        <v>0.80357276004915246</v>
      </c>
      <c r="T1575" s="12">
        <v>0.78958146777265192</v>
      </c>
      <c r="U1575" s="12">
        <v>0.72899461796725862</v>
      </c>
      <c r="V1575" s="12"/>
      <c r="W1575" s="12"/>
      <c r="X1575" s="12"/>
      <c r="Y1575" s="12">
        <v>-9.2504383611935737</v>
      </c>
      <c r="Z1575" s="12">
        <v>0.99609338398677139</v>
      </c>
      <c r="AA1575" s="12"/>
      <c r="AB1575" s="12"/>
    </row>
    <row r="1576" spans="1:28" x14ac:dyDescent="0.3">
      <c r="A1576" s="12" t="s">
        <v>3487</v>
      </c>
      <c r="B1576" s="12" t="s">
        <v>160</v>
      </c>
      <c r="C1576" s="12" t="s">
        <v>160</v>
      </c>
      <c r="D1576" s="12" t="s">
        <v>161</v>
      </c>
      <c r="E1576" s="12" t="s">
        <v>2978</v>
      </c>
      <c r="F1576" s="12" t="s">
        <v>3483</v>
      </c>
      <c r="G1576" s="12"/>
      <c r="H1576" s="12" t="b">
        <v>0</v>
      </c>
      <c r="I1576" s="12" t="b">
        <v>0</v>
      </c>
      <c r="J1576" s="12"/>
      <c r="K1576" s="12" t="b">
        <v>1</v>
      </c>
      <c r="L1576" s="12">
        <v>431.6129077169137</v>
      </c>
      <c r="M1576" s="12">
        <v>283.57988363509668</v>
      </c>
      <c r="N1576" s="12">
        <v>2172.3614879372049</v>
      </c>
      <c r="O1576" s="12">
        <v>2054.7885672878701</v>
      </c>
      <c r="P1576" s="12">
        <v>0.71817401122511781</v>
      </c>
      <c r="Q1576" s="12">
        <v>0.87008521860925925</v>
      </c>
      <c r="R1576" s="12">
        <v>0.65119398132024731</v>
      </c>
      <c r="S1576" s="12">
        <v>0.78928808261232353</v>
      </c>
      <c r="T1576" s="12">
        <v>0.74395484409379053</v>
      </c>
      <c r="U1576" s="12">
        <v>0.86623174644961065</v>
      </c>
      <c r="V1576" s="12"/>
      <c r="W1576" s="12"/>
      <c r="X1576" s="12"/>
      <c r="Y1576" s="12">
        <v>117.5729206493347</v>
      </c>
      <c r="Z1576" s="12">
        <v>1.0572189871605719</v>
      </c>
      <c r="AA1576" s="12"/>
      <c r="AB1576" s="12"/>
    </row>
    <row r="1577" spans="1:28" x14ac:dyDescent="0.3">
      <c r="A1577" s="12" t="s">
        <v>3488</v>
      </c>
      <c r="B1577" s="12" t="s">
        <v>160</v>
      </c>
      <c r="C1577" s="12" t="s">
        <v>160</v>
      </c>
      <c r="D1577" s="12" t="s">
        <v>161</v>
      </c>
      <c r="E1577" s="12" t="s">
        <v>2978</v>
      </c>
      <c r="F1577" s="12" t="s">
        <v>1861</v>
      </c>
      <c r="G1577" s="12" t="s">
        <v>1861</v>
      </c>
      <c r="H1577" s="12" t="b">
        <v>1</v>
      </c>
      <c r="I1577" s="12" t="b">
        <v>0</v>
      </c>
      <c r="J1577" s="12" t="b">
        <v>0</v>
      </c>
      <c r="K1577" s="12" t="b">
        <v>0</v>
      </c>
      <c r="L1577" s="12">
        <v>457.87637032394628</v>
      </c>
      <c r="M1577" s="12">
        <v>297.09864644386539</v>
      </c>
      <c r="N1577" s="12">
        <v>3719.5669791269629</v>
      </c>
      <c r="O1577" s="12">
        <v>1523.799278985118</v>
      </c>
      <c r="P1577" s="12">
        <v>0.78409623663449945</v>
      </c>
      <c r="Q1577" s="12">
        <v>0.85335398828753517</v>
      </c>
      <c r="R1577" s="12">
        <v>0.82596732617989721</v>
      </c>
      <c r="S1577" s="12">
        <v>0.6044837674139375</v>
      </c>
      <c r="T1577" s="12">
        <v>0.89552874918717462</v>
      </c>
      <c r="U1577" s="12">
        <v>0.88160057414944915</v>
      </c>
      <c r="V1577" s="12">
        <v>297.09864644386539</v>
      </c>
      <c r="W1577" s="12">
        <v>8.19112789781326</v>
      </c>
      <c r="X1577" s="12">
        <v>81.86139075824434</v>
      </c>
      <c r="Y1577" s="12">
        <v>2195.7677001418442</v>
      </c>
      <c r="Z1577" s="12">
        <v>2.4409822411809192</v>
      </c>
      <c r="AA1577" s="12" t="s">
        <v>1268</v>
      </c>
      <c r="AB1577" s="12"/>
    </row>
    <row r="1578" spans="1:28" x14ac:dyDescent="0.3">
      <c r="A1578" s="12" t="s">
        <v>3489</v>
      </c>
      <c r="B1578" s="12" t="s">
        <v>160</v>
      </c>
      <c r="C1578" s="12" t="s">
        <v>160</v>
      </c>
      <c r="D1578" s="12" t="s">
        <v>161</v>
      </c>
      <c r="E1578" s="12" t="s">
        <v>2978</v>
      </c>
      <c r="F1578" s="12" t="s">
        <v>32</v>
      </c>
      <c r="G1578" s="12" t="s">
        <v>32</v>
      </c>
      <c r="H1578" s="12" t="b">
        <v>1</v>
      </c>
      <c r="I1578" s="12" t="b">
        <v>1</v>
      </c>
      <c r="J1578" s="12" t="b">
        <v>0</v>
      </c>
      <c r="K1578" s="12" t="b">
        <v>0</v>
      </c>
      <c r="L1578" s="12">
        <v>429.05491566405578</v>
      </c>
      <c r="M1578" s="12">
        <v>302.44036338095151</v>
      </c>
      <c r="N1578" s="12">
        <v>2916.061184773991</v>
      </c>
      <c r="O1578" s="12">
        <v>2096.1816814280851</v>
      </c>
      <c r="P1578" s="12">
        <v>0.58496583794185864</v>
      </c>
      <c r="Q1578" s="12">
        <v>0.83075213038356632</v>
      </c>
      <c r="R1578" s="12">
        <v>0.69295657920651799</v>
      </c>
      <c r="S1578" s="12">
        <v>0.74087318017865089</v>
      </c>
      <c r="T1578" s="12">
        <v>0.76800870471019</v>
      </c>
      <c r="U1578" s="12">
        <v>0.87784212475895929</v>
      </c>
      <c r="V1578" s="12">
        <v>302.44036338095151</v>
      </c>
      <c r="W1578" s="12">
        <v>2.4902919960982999</v>
      </c>
      <c r="X1578" s="12">
        <v>18.173384723351521</v>
      </c>
      <c r="Y1578" s="12">
        <v>819.8795033459055</v>
      </c>
      <c r="Z1578" s="12">
        <v>1.391129982009641</v>
      </c>
      <c r="AA1578" s="12"/>
      <c r="AB1578" s="12"/>
    </row>
    <row r="1579" spans="1:28" x14ac:dyDescent="0.3">
      <c r="A1579" s="12" t="s">
        <v>3490</v>
      </c>
      <c r="B1579" s="12" t="s">
        <v>160</v>
      </c>
      <c r="C1579" s="12" t="s">
        <v>160</v>
      </c>
      <c r="D1579" s="12" t="s">
        <v>161</v>
      </c>
      <c r="E1579" s="12" t="s">
        <v>2978</v>
      </c>
      <c r="F1579" s="12" t="s">
        <v>32</v>
      </c>
      <c r="G1579" s="12" t="s">
        <v>32</v>
      </c>
      <c r="H1579" s="12" t="b">
        <v>1</v>
      </c>
      <c r="I1579" s="12" t="b">
        <v>1</v>
      </c>
      <c r="J1579" s="12" t="b">
        <v>0</v>
      </c>
      <c r="K1579" s="12" t="b">
        <v>0</v>
      </c>
      <c r="L1579" s="12">
        <v>399.87544701078832</v>
      </c>
      <c r="M1579" s="12">
        <v>280.93988636715511</v>
      </c>
      <c r="N1579" s="12">
        <v>3080.1430643595459</v>
      </c>
      <c r="O1579" s="12">
        <v>1604.636210125756</v>
      </c>
      <c r="P1579" s="12">
        <v>0.76341096239495632</v>
      </c>
      <c r="Q1579" s="12">
        <v>0.80936721871627548</v>
      </c>
      <c r="R1579" s="12">
        <v>0.73604073132174908</v>
      </c>
      <c r="S1579" s="12">
        <v>0.83670379807084383</v>
      </c>
      <c r="T1579" s="12">
        <v>0.9476963824473652</v>
      </c>
      <c r="U1579" s="12">
        <v>0.80311414343662713</v>
      </c>
      <c r="V1579" s="12">
        <v>280.93988636715511</v>
      </c>
      <c r="W1579" s="12">
        <v>5.6437441821583203</v>
      </c>
      <c r="X1579" s="12">
        <v>43.700173871178023</v>
      </c>
      <c r="Y1579" s="12">
        <v>1475.5068542337899</v>
      </c>
      <c r="Z1579" s="12">
        <v>1.919527332689416</v>
      </c>
      <c r="AA1579" s="12"/>
      <c r="AB1579" s="12"/>
    </row>
    <row r="1580" spans="1:28" x14ac:dyDescent="0.3">
      <c r="A1580" s="12" t="s">
        <v>3491</v>
      </c>
      <c r="B1580" s="12" t="s">
        <v>160</v>
      </c>
      <c r="C1580" s="12" t="s">
        <v>160</v>
      </c>
      <c r="D1580" s="12" t="s">
        <v>161</v>
      </c>
      <c r="E1580" s="12" t="s">
        <v>2978</v>
      </c>
      <c r="F1580" s="12" t="s">
        <v>1861</v>
      </c>
      <c r="G1580" s="12" t="s">
        <v>1861</v>
      </c>
      <c r="H1580" s="12" t="b">
        <v>1</v>
      </c>
      <c r="I1580" s="12" t="b">
        <v>0</v>
      </c>
      <c r="J1580" s="12" t="b">
        <v>0</v>
      </c>
      <c r="K1580" s="12" t="b">
        <v>0</v>
      </c>
      <c r="L1580" s="12">
        <v>465.07438958324411</v>
      </c>
      <c r="M1580" s="12">
        <v>280.49097346783998</v>
      </c>
      <c r="N1580" s="12">
        <v>2467.9384219602462</v>
      </c>
      <c r="O1580" s="12">
        <v>1785.646256258532</v>
      </c>
      <c r="P1580" s="12">
        <v>0.71986270172591516</v>
      </c>
      <c r="Q1580" s="12">
        <v>0.86113493078291836</v>
      </c>
      <c r="R1580" s="12">
        <v>0.6770273057332904</v>
      </c>
      <c r="S1580" s="12">
        <v>0.60549050635141821</v>
      </c>
      <c r="T1580" s="12">
        <v>0.83160541938362054</v>
      </c>
      <c r="U1580" s="12">
        <v>0.73246604213347644</v>
      </c>
      <c r="V1580" s="12">
        <v>280.49097346783998</v>
      </c>
      <c r="W1580" s="12">
        <v>2.87182095283785</v>
      </c>
      <c r="X1580" s="12">
        <v>29.408972763781801</v>
      </c>
      <c r="Y1580" s="12">
        <v>682.29216570171457</v>
      </c>
      <c r="Z1580" s="12">
        <v>1.3820981693940451</v>
      </c>
      <c r="AA1580" s="12" t="s">
        <v>1268</v>
      </c>
      <c r="AB1580" s="12"/>
    </row>
    <row r="1581" spans="1:28" x14ac:dyDescent="0.3">
      <c r="A1581" s="12" t="s">
        <v>3492</v>
      </c>
      <c r="B1581" s="12" t="s">
        <v>160</v>
      </c>
      <c r="C1581" s="12" t="s">
        <v>160</v>
      </c>
      <c r="D1581" s="12" t="s">
        <v>161</v>
      </c>
      <c r="E1581" s="12" t="s">
        <v>2978</v>
      </c>
      <c r="F1581" s="12" t="s">
        <v>32</v>
      </c>
      <c r="G1581" s="12" t="s">
        <v>32</v>
      </c>
      <c r="H1581" s="12" t="b">
        <v>1</v>
      </c>
      <c r="I1581" s="12" t="b">
        <v>1</v>
      </c>
      <c r="J1581" s="12" t="b">
        <v>0</v>
      </c>
      <c r="K1581" s="12" t="b">
        <v>0</v>
      </c>
      <c r="L1581" s="12">
        <v>411.26958904267178</v>
      </c>
      <c r="M1581" s="12">
        <v>289.60897894086378</v>
      </c>
      <c r="N1581" s="12">
        <v>3931.1978747045659</v>
      </c>
      <c r="O1581" s="12">
        <v>2143.7895169055009</v>
      </c>
      <c r="P1581" s="12">
        <v>0.62194831519965077</v>
      </c>
      <c r="Q1581" s="12">
        <v>0.91918779398715</v>
      </c>
      <c r="R1581" s="12">
        <v>0.86471912636102766</v>
      </c>
      <c r="S1581" s="12">
        <v>0.67678628970630139</v>
      </c>
      <c r="T1581" s="12">
        <v>0.65047702304534982</v>
      </c>
      <c r="U1581" s="12">
        <v>0.75112117623059282</v>
      </c>
      <c r="V1581" s="12">
        <v>289.60897894086378</v>
      </c>
      <c r="W1581" s="12">
        <v>4.0219279089265099</v>
      </c>
      <c r="X1581" s="12">
        <v>17.369878359758001</v>
      </c>
      <c r="Y1581" s="12">
        <v>1787.408357799065</v>
      </c>
      <c r="Z1581" s="12">
        <v>1.8337611242633269</v>
      </c>
      <c r="AA1581" s="12"/>
      <c r="AB1581" s="12"/>
    </row>
    <row r="1582" spans="1:28" x14ac:dyDescent="0.3">
      <c r="A1582" s="12" t="s">
        <v>3493</v>
      </c>
      <c r="B1582" s="12" t="s">
        <v>160</v>
      </c>
      <c r="C1582" s="12" t="s">
        <v>160</v>
      </c>
      <c r="D1582" s="12" t="s">
        <v>161</v>
      </c>
      <c r="E1582" s="12" t="s">
        <v>2978</v>
      </c>
      <c r="F1582" s="12" t="s">
        <v>32</v>
      </c>
      <c r="G1582" s="12" t="s">
        <v>32</v>
      </c>
      <c r="H1582" s="12" t="b">
        <v>1</v>
      </c>
      <c r="I1582" s="12" t="b">
        <v>0</v>
      </c>
      <c r="J1582" s="12" t="b">
        <v>1</v>
      </c>
      <c r="K1582" s="12" t="b">
        <v>0</v>
      </c>
      <c r="L1582" s="12">
        <v>494.7404471694847</v>
      </c>
      <c r="M1582" s="12">
        <v>291.8553306155917</v>
      </c>
      <c r="N1582" s="12">
        <v>2694.6641904987032</v>
      </c>
      <c r="O1582" s="12">
        <v>1981.397269808512</v>
      </c>
      <c r="P1582" s="12">
        <v>0.5673175851034441</v>
      </c>
      <c r="Q1582" s="12">
        <v>0.87545272306377953</v>
      </c>
      <c r="R1582" s="12">
        <v>0.68585063628192899</v>
      </c>
      <c r="S1582" s="12">
        <v>0.88691180634591071</v>
      </c>
      <c r="T1582" s="12">
        <v>0.92904281130992761</v>
      </c>
      <c r="U1582" s="12">
        <v>0.92361125371151997</v>
      </c>
      <c r="V1582" s="12">
        <v>291.8553306155917</v>
      </c>
      <c r="W1582" s="12">
        <v>2.3956700112703002</v>
      </c>
      <c r="X1582" s="12">
        <v>46.09293895145823</v>
      </c>
      <c r="Y1582" s="12">
        <v>713.26692069019123</v>
      </c>
      <c r="Z1582" s="12">
        <v>1.359981782330367</v>
      </c>
      <c r="AA1582" s="12"/>
      <c r="AB1582" s="12"/>
    </row>
    <row r="1583" spans="1:28" x14ac:dyDescent="0.3">
      <c r="A1583" s="12" t="s">
        <v>3494</v>
      </c>
      <c r="B1583" s="12" t="s">
        <v>160</v>
      </c>
      <c r="C1583" s="12" t="s">
        <v>160</v>
      </c>
      <c r="D1583" s="12" t="s">
        <v>161</v>
      </c>
      <c r="E1583" s="12" t="s">
        <v>2978</v>
      </c>
      <c r="F1583" s="12" t="s">
        <v>32</v>
      </c>
      <c r="G1583" s="12" t="s">
        <v>32</v>
      </c>
      <c r="H1583" s="12" t="b">
        <v>1</v>
      </c>
      <c r="I1583" s="12" t="b">
        <v>1</v>
      </c>
      <c r="J1583" s="12" t="b">
        <v>0</v>
      </c>
      <c r="K1583" s="12" t="b">
        <v>0</v>
      </c>
      <c r="L1583" s="12">
        <v>410.2474695314724</v>
      </c>
      <c r="M1583" s="12">
        <v>294.57995555063832</v>
      </c>
      <c r="N1583" s="12">
        <v>4185.4749059129354</v>
      </c>
      <c r="O1583" s="12">
        <v>1628.785266354178</v>
      </c>
      <c r="P1583" s="12">
        <v>0.53065874234615429</v>
      </c>
      <c r="Q1583" s="12">
        <v>0.81953260753818336</v>
      </c>
      <c r="R1583" s="12">
        <v>0.72570722071069482</v>
      </c>
      <c r="S1583" s="12">
        <v>0.71335901015916225</v>
      </c>
      <c r="T1583" s="12">
        <v>0.69992938514784586</v>
      </c>
      <c r="U1583" s="12">
        <v>0.81253749133021724</v>
      </c>
      <c r="V1583" s="12">
        <v>294.57995555063832</v>
      </c>
      <c r="W1583" s="12">
        <v>1.4773468775385901</v>
      </c>
      <c r="X1583" s="12">
        <v>3.484156123590505</v>
      </c>
      <c r="Y1583" s="12">
        <v>2556.6896395587569</v>
      </c>
      <c r="Z1583" s="12">
        <v>2.5696910405394142</v>
      </c>
      <c r="AA1583" s="12"/>
      <c r="AB1583" s="12"/>
    </row>
    <row r="1584" spans="1:28" x14ac:dyDescent="0.3">
      <c r="A1584" s="12" t="s">
        <v>3495</v>
      </c>
      <c r="B1584" s="12" t="s">
        <v>160</v>
      </c>
      <c r="C1584" s="12" t="s">
        <v>160</v>
      </c>
      <c r="D1584" s="12" t="s">
        <v>161</v>
      </c>
      <c r="E1584" s="12" t="s">
        <v>2978</v>
      </c>
      <c r="F1584" s="12" t="s">
        <v>1861</v>
      </c>
      <c r="G1584" s="12" t="s">
        <v>1861</v>
      </c>
      <c r="H1584" s="12" t="b">
        <v>1</v>
      </c>
      <c r="I1584" s="12" t="b">
        <v>0</v>
      </c>
      <c r="J1584" s="12" t="b">
        <v>1</v>
      </c>
      <c r="K1584" s="12" t="b">
        <v>0</v>
      </c>
      <c r="L1584" s="12">
        <v>450.98930748111019</v>
      </c>
      <c r="M1584" s="12">
        <v>299.24438352729879</v>
      </c>
      <c r="N1584" s="12">
        <v>4689.3982416483077</v>
      </c>
      <c r="O1584" s="12">
        <v>1766.2951574869489</v>
      </c>
      <c r="P1584" s="12">
        <v>0.79533451502410912</v>
      </c>
      <c r="Q1584" s="12">
        <v>0.83598438607456282</v>
      </c>
      <c r="R1584" s="12">
        <v>0.79615694127744874</v>
      </c>
      <c r="S1584" s="12">
        <v>0.71574112767819154</v>
      </c>
      <c r="T1584" s="12">
        <v>0.72538908277461533</v>
      </c>
      <c r="U1584" s="12">
        <v>0.83365106623085772</v>
      </c>
      <c r="V1584" s="12">
        <v>299.24438352729879</v>
      </c>
      <c r="W1584" s="12">
        <v>8.8206905114511809</v>
      </c>
      <c r="X1584" s="12">
        <v>92.730136623443784</v>
      </c>
      <c r="Y1584" s="12">
        <v>2923.1030841613579</v>
      </c>
      <c r="Z1584" s="12">
        <v>2.6549346646685561</v>
      </c>
      <c r="AA1584" s="12" t="s">
        <v>1268</v>
      </c>
      <c r="AB1584" s="12"/>
    </row>
    <row r="1585" spans="1:28" x14ac:dyDescent="0.3">
      <c r="A1585" s="12" t="s">
        <v>3496</v>
      </c>
      <c r="B1585" s="12" t="s">
        <v>160</v>
      </c>
      <c r="C1585" s="12" t="s">
        <v>160</v>
      </c>
      <c r="D1585" s="12" t="s">
        <v>161</v>
      </c>
      <c r="E1585" s="12" t="s">
        <v>2978</v>
      </c>
      <c r="F1585" s="12" t="s">
        <v>32</v>
      </c>
      <c r="G1585" s="12" t="s">
        <v>32</v>
      </c>
      <c r="H1585" s="12" t="b">
        <v>1</v>
      </c>
      <c r="I1585" s="12" t="b">
        <v>0</v>
      </c>
      <c r="J1585" s="12" t="b">
        <v>1</v>
      </c>
      <c r="K1585" s="12" t="b">
        <v>0</v>
      </c>
      <c r="L1585" s="12">
        <v>474.84779446357788</v>
      </c>
      <c r="M1585" s="12">
        <v>290.50152374294919</v>
      </c>
      <c r="N1585" s="12">
        <v>3752.0533374971719</v>
      </c>
      <c r="O1585" s="12">
        <v>1655.5133671419669</v>
      </c>
      <c r="P1585" s="12">
        <v>0.67415278696924652</v>
      </c>
      <c r="Q1585" s="12">
        <v>0.80328078915308976</v>
      </c>
      <c r="R1585" s="12">
        <v>0.79048555941851872</v>
      </c>
      <c r="S1585" s="12">
        <v>0.72633856404009878</v>
      </c>
      <c r="T1585" s="12">
        <v>0.91032491206571575</v>
      </c>
      <c r="U1585" s="12">
        <v>0.94217211142556778</v>
      </c>
      <c r="V1585" s="12">
        <v>290.50152374294919</v>
      </c>
      <c r="W1585" s="12">
        <v>6.0668863181843102</v>
      </c>
      <c r="X1585" s="12">
        <v>84.212514728322716</v>
      </c>
      <c r="Y1585" s="12">
        <v>2096.5399703552048</v>
      </c>
      <c r="Z1585" s="12">
        <v>2.2663986966016552</v>
      </c>
      <c r="AA1585" s="12"/>
      <c r="AB1585" s="12"/>
    </row>
    <row r="1586" spans="1:28" x14ac:dyDescent="0.3">
      <c r="A1586" s="12" t="s">
        <v>3497</v>
      </c>
      <c r="B1586" s="12" t="s">
        <v>160</v>
      </c>
      <c r="C1586" s="12" t="s">
        <v>160</v>
      </c>
      <c r="D1586" s="12" t="s">
        <v>161</v>
      </c>
      <c r="E1586" s="12" t="s">
        <v>2978</v>
      </c>
      <c r="F1586" s="12" t="s">
        <v>32</v>
      </c>
      <c r="G1586" s="12" t="s">
        <v>32</v>
      </c>
      <c r="H1586" s="12" t="b">
        <v>1</v>
      </c>
      <c r="I1586" s="12" t="b">
        <v>1</v>
      </c>
      <c r="J1586" s="12" t="b">
        <v>0</v>
      </c>
      <c r="K1586" s="12" t="b">
        <v>0</v>
      </c>
      <c r="L1586" s="12">
        <v>391.56602215317338</v>
      </c>
      <c r="M1586" s="12">
        <v>292.52058693260312</v>
      </c>
      <c r="N1586" s="12">
        <v>2802.8097607420768</v>
      </c>
      <c r="O1586" s="12">
        <v>2423.0186315981368</v>
      </c>
      <c r="P1586" s="12">
        <v>0.70601594981164506</v>
      </c>
      <c r="Q1586" s="12">
        <v>0.75694991345734608</v>
      </c>
      <c r="R1586" s="12">
        <v>0.81278251984995031</v>
      </c>
      <c r="S1586" s="12">
        <v>0.92884012798259996</v>
      </c>
      <c r="T1586" s="12">
        <v>0.86105825692776694</v>
      </c>
      <c r="U1586" s="12">
        <v>0.73989876321301074</v>
      </c>
      <c r="V1586" s="12">
        <v>292.52058693260312</v>
      </c>
      <c r="W1586" s="12">
        <v>1.23497821787083</v>
      </c>
      <c r="X1586" s="12">
        <v>7.94138154531292</v>
      </c>
      <c r="Y1586" s="12">
        <v>379.79112914394</v>
      </c>
      <c r="Z1586" s="12">
        <v>1.1567429668889679</v>
      </c>
      <c r="AA1586" s="12"/>
      <c r="AB1586" s="12"/>
    </row>
    <row r="1587" spans="1:28" x14ac:dyDescent="0.3">
      <c r="A1587" s="12" t="s">
        <v>3498</v>
      </c>
      <c r="B1587" s="12" t="s">
        <v>160</v>
      </c>
      <c r="C1587" s="12" t="s">
        <v>160</v>
      </c>
      <c r="D1587" s="12" t="s">
        <v>161</v>
      </c>
      <c r="E1587" s="12" t="s">
        <v>2978</v>
      </c>
      <c r="F1587" s="12" t="s">
        <v>32</v>
      </c>
      <c r="G1587" s="12" t="s">
        <v>32</v>
      </c>
      <c r="H1587" s="12" t="b">
        <v>1</v>
      </c>
      <c r="I1587" s="12" t="b">
        <v>1</v>
      </c>
      <c r="J1587" s="12" t="b">
        <v>0</v>
      </c>
      <c r="K1587" s="12" t="b">
        <v>0</v>
      </c>
      <c r="L1587" s="12">
        <v>412.75959402486291</v>
      </c>
      <c r="M1587" s="12">
        <v>286.75456521348389</v>
      </c>
      <c r="N1587" s="12">
        <v>4887.819971582242</v>
      </c>
      <c r="O1587" s="12">
        <v>2482.3574971776261</v>
      </c>
      <c r="P1587" s="12">
        <v>0.73030347196863232</v>
      </c>
      <c r="Q1587" s="12">
        <v>0.87828399440411098</v>
      </c>
      <c r="R1587" s="12">
        <v>0.85096046698456629</v>
      </c>
      <c r="S1587" s="12">
        <v>0.84285700547461628</v>
      </c>
      <c r="T1587" s="12">
        <v>0.61552476568658177</v>
      </c>
      <c r="U1587" s="12">
        <v>0.90223058920726684</v>
      </c>
      <c r="V1587" s="12">
        <v>286.75456521348389</v>
      </c>
      <c r="W1587" s="12">
        <v>4.8083709344064207</v>
      </c>
      <c r="X1587" s="12">
        <v>34.10943882872089</v>
      </c>
      <c r="Y1587" s="12">
        <v>2405.4624744046159</v>
      </c>
      <c r="Z1587" s="12">
        <v>1.969023388911372</v>
      </c>
      <c r="AA1587" s="12"/>
      <c r="AB1587" s="12"/>
    </row>
    <row r="1588" spans="1:28" x14ac:dyDescent="0.3">
      <c r="A1588" s="12" t="s">
        <v>3499</v>
      </c>
      <c r="B1588" s="12" t="s">
        <v>160</v>
      </c>
      <c r="C1588" s="12" t="s">
        <v>160</v>
      </c>
      <c r="D1588" s="12" t="s">
        <v>161</v>
      </c>
      <c r="E1588" s="12" t="s">
        <v>2978</v>
      </c>
      <c r="F1588" s="12" t="s">
        <v>32</v>
      </c>
      <c r="G1588" s="12" t="s">
        <v>32</v>
      </c>
      <c r="H1588" s="12" t="b">
        <v>1</v>
      </c>
      <c r="I1588" s="12" t="b">
        <v>1</v>
      </c>
      <c r="J1588" s="12" t="b">
        <v>0</v>
      </c>
      <c r="K1588" s="12" t="b">
        <v>0</v>
      </c>
      <c r="L1588" s="12">
        <v>415.83146316211582</v>
      </c>
      <c r="M1588" s="12">
        <v>280.81394024689172</v>
      </c>
      <c r="N1588" s="12">
        <v>4909.5960244343532</v>
      </c>
      <c r="O1588" s="12">
        <v>2406.8677034200819</v>
      </c>
      <c r="P1588" s="12">
        <v>0.69744986000640041</v>
      </c>
      <c r="Q1588" s="12">
        <v>0.85719846530280885</v>
      </c>
      <c r="R1588" s="12">
        <v>0.80770198511262603</v>
      </c>
      <c r="S1588" s="12">
        <v>0.80559136617672666</v>
      </c>
      <c r="T1588" s="12">
        <v>0.8763660612833688</v>
      </c>
      <c r="U1588" s="12">
        <v>0.88382513530371609</v>
      </c>
      <c r="V1588" s="12">
        <v>280.81394024689172</v>
      </c>
      <c r="W1588" s="12">
        <v>5.1533981291548798</v>
      </c>
      <c r="X1588" s="12">
        <v>30.02342566538902</v>
      </c>
      <c r="Y1588" s="12">
        <v>2502.7283210142709</v>
      </c>
      <c r="Z1588" s="12">
        <v>2.039827954589267</v>
      </c>
      <c r="AA1588" s="12"/>
      <c r="AB1588" s="12"/>
    </row>
    <row r="1589" spans="1:28" x14ac:dyDescent="0.3">
      <c r="A1589" s="12" t="s">
        <v>3500</v>
      </c>
      <c r="B1589" s="12" t="s">
        <v>160</v>
      </c>
      <c r="C1589" s="12" t="s">
        <v>160</v>
      </c>
      <c r="D1589" s="12" t="s">
        <v>161</v>
      </c>
      <c r="E1589" s="12" t="s">
        <v>2978</v>
      </c>
      <c r="F1589" s="12" t="s">
        <v>32</v>
      </c>
      <c r="G1589" s="12" t="s">
        <v>32</v>
      </c>
      <c r="H1589" s="12" t="b">
        <v>1</v>
      </c>
      <c r="I1589" s="12" t="b">
        <v>0</v>
      </c>
      <c r="J1589" s="12" t="b">
        <v>1</v>
      </c>
      <c r="K1589" s="12" t="b">
        <v>0</v>
      </c>
      <c r="L1589" s="12">
        <v>495.92806112906931</v>
      </c>
      <c r="M1589" s="12">
        <v>303.41045166904291</v>
      </c>
      <c r="N1589" s="12">
        <v>3056.7037323199179</v>
      </c>
      <c r="O1589" s="12">
        <v>2342.8778239904518</v>
      </c>
      <c r="P1589" s="12">
        <v>0.67814100135004018</v>
      </c>
      <c r="Q1589" s="12">
        <v>0.78052652164806824</v>
      </c>
      <c r="R1589" s="12">
        <v>0.67111713411909513</v>
      </c>
      <c r="S1589" s="12">
        <v>0.91457390286485041</v>
      </c>
      <c r="T1589" s="12">
        <v>0.63262348909555632</v>
      </c>
      <c r="U1589" s="12">
        <v>0.88875423610249871</v>
      </c>
      <c r="V1589" s="12">
        <v>303.41045166904291</v>
      </c>
      <c r="W1589" s="12">
        <v>2.08102168152804</v>
      </c>
      <c r="X1589" s="12">
        <v>36.767616753925132</v>
      </c>
      <c r="Y1589" s="12">
        <v>713.82590832946607</v>
      </c>
      <c r="Z1589" s="12">
        <v>1.30467910064284</v>
      </c>
      <c r="AA1589" s="12"/>
      <c r="AB1589" s="12"/>
    </row>
    <row r="1590" spans="1:28" x14ac:dyDescent="0.3">
      <c r="A1590" s="12" t="s">
        <v>3501</v>
      </c>
      <c r="B1590" s="12" t="s">
        <v>160</v>
      </c>
      <c r="C1590" s="12" t="s">
        <v>160</v>
      </c>
      <c r="D1590" s="12" t="s">
        <v>161</v>
      </c>
      <c r="E1590" s="12" t="s">
        <v>2978</v>
      </c>
      <c r="F1590" s="12" t="s">
        <v>32</v>
      </c>
      <c r="G1590" s="12" t="s">
        <v>32</v>
      </c>
      <c r="H1590" s="12" t="b">
        <v>1</v>
      </c>
      <c r="I1590" s="12" t="b">
        <v>0</v>
      </c>
      <c r="J1590" s="12" t="b">
        <v>1</v>
      </c>
      <c r="K1590" s="12" t="b">
        <v>0</v>
      </c>
      <c r="L1590" s="12">
        <v>441.70349209092501</v>
      </c>
      <c r="M1590" s="12">
        <v>279.15778735696392</v>
      </c>
      <c r="N1590" s="12">
        <v>4263.5324724644488</v>
      </c>
      <c r="O1590" s="12">
        <v>1582.364931794596</v>
      </c>
      <c r="P1590" s="12">
        <v>0.62755667813154881</v>
      </c>
      <c r="Q1590" s="12">
        <v>0.84727587896353018</v>
      </c>
      <c r="R1590" s="12">
        <v>0.78592780067768042</v>
      </c>
      <c r="S1590" s="12">
        <v>0.69741216898724667</v>
      </c>
      <c r="T1590" s="12">
        <v>0.94294677204719224</v>
      </c>
      <c r="U1590" s="12">
        <v>0.82654317989787529</v>
      </c>
      <c r="V1590" s="12">
        <v>279.15778735696392</v>
      </c>
      <c r="W1590" s="12">
        <v>7.6585345405638714</v>
      </c>
      <c r="X1590" s="12">
        <v>53.187330926176742</v>
      </c>
      <c r="Y1590" s="12">
        <v>2681.1675406698532</v>
      </c>
      <c r="Z1590" s="12">
        <v>2.6944053086597921</v>
      </c>
      <c r="AA1590" s="12"/>
      <c r="AB1590" s="12"/>
    </row>
    <row r="1591" spans="1:28" x14ac:dyDescent="0.3">
      <c r="A1591" s="12" t="s">
        <v>3502</v>
      </c>
      <c r="B1591" s="12" t="s">
        <v>160</v>
      </c>
      <c r="C1591" s="12" t="s">
        <v>160</v>
      </c>
      <c r="D1591" s="12" t="s">
        <v>161</v>
      </c>
      <c r="E1591" s="12" t="s">
        <v>2978</v>
      </c>
      <c r="F1591" s="12" t="s">
        <v>1863</v>
      </c>
      <c r="G1591" s="12" t="s">
        <v>832</v>
      </c>
      <c r="H1591" s="12" t="b">
        <v>0</v>
      </c>
      <c r="I1591" s="12" t="b">
        <v>0</v>
      </c>
      <c r="J1591" s="12" t="b">
        <v>0</v>
      </c>
      <c r="K1591" s="12" t="b">
        <v>0</v>
      </c>
      <c r="L1591" s="12">
        <v>404.91500009861738</v>
      </c>
      <c r="M1591" s="12">
        <v>283.88792440105749</v>
      </c>
      <c r="N1591" s="12">
        <v>4944.4260668487914</v>
      </c>
      <c r="O1591" s="12">
        <v>1972.3683403358179</v>
      </c>
      <c r="P1591" s="12">
        <v>0.51499905089547049</v>
      </c>
      <c r="Q1591" s="12">
        <v>0.78685931082064298</v>
      </c>
      <c r="R1591" s="12">
        <v>0.71991486577680053</v>
      </c>
      <c r="S1591" s="12">
        <v>0.65902181613111332</v>
      </c>
      <c r="T1591" s="12">
        <v>0.82617900006935452</v>
      </c>
      <c r="U1591" s="12">
        <v>0.74956694926320921</v>
      </c>
      <c r="V1591" s="12">
        <v>283.88792440105749</v>
      </c>
      <c r="W1591" s="12">
        <v>-73.872690886973302</v>
      </c>
      <c r="X1591" s="12">
        <v>-20.02344328242749</v>
      </c>
      <c r="Y1591" s="12">
        <v>2972.0577265129732</v>
      </c>
      <c r="Z1591" s="12">
        <v>2.5068472078632862</v>
      </c>
      <c r="AA1591" s="12" t="s">
        <v>2018</v>
      </c>
      <c r="AB1591" s="12"/>
    </row>
    <row r="1592" spans="1:28" x14ac:dyDescent="0.3">
      <c r="A1592" s="12" t="s">
        <v>3503</v>
      </c>
      <c r="B1592" s="12" t="s">
        <v>160</v>
      </c>
      <c r="C1592" s="12" t="s">
        <v>160</v>
      </c>
      <c r="D1592" s="12" t="s">
        <v>161</v>
      </c>
      <c r="E1592" s="12" t="s">
        <v>2978</v>
      </c>
      <c r="F1592" s="12" t="s">
        <v>32</v>
      </c>
      <c r="G1592" s="12" t="s">
        <v>32</v>
      </c>
      <c r="H1592" s="12" t="b">
        <v>1</v>
      </c>
      <c r="I1592" s="12" t="b">
        <v>1</v>
      </c>
      <c r="J1592" s="12" t="b">
        <v>0</v>
      </c>
      <c r="K1592" s="12" t="b">
        <v>0</v>
      </c>
      <c r="L1592" s="12">
        <v>397.78295038004029</v>
      </c>
      <c r="M1592" s="12">
        <v>290.31730454049568</v>
      </c>
      <c r="N1592" s="12">
        <v>3249.398768663742</v>
      </c>
      <c r="O1592" s="12">
        <v>2388.2257836633289</v>
      </c>
      <c r="P1592" s="12">
        <v>0.75550574448611174</v>
      </c>
      <c r="Q1592" s="12">
        <v>0.79020748405979735</v>
      </c>
      <c r="R1592" s="12">
        <v>0.76585356742930999</v>
      </c>
      <c r="S1592" s="12">
        <v>0.83341263850961467</v>
      </c>
      <c r="T1592" s="12">
        <v>0.64029849873377853</v>
      </c>
      <c r="U1592" s="12">
        <v>0.92071152299634085</v>
      </c>
      <c r="V1592" s="12">
        <v>290.31730454049568</v>
      </c>
      <c r="W1592" s="12">
        <v>2.2730947058050801</v>
      </c>
      <c r="X1592" s="12">
        <v>17.939558746707359</v>
      </c>
      <c r="Y1592" s="12">
        <v>861.17298500041352</v>
      </c>
      <c r="Z1592" s="12">
        <v>1.3605911094718399</v>
      </c>
      <c r="AA1592" s="12"/>
      <c r="AB1592" s="12"/>
    </row>
    <row r="1593" spans="1:28" x14ac:dyDescent="0.3">
      <c r="A1593" s="12" t="s">
        <v>3504</v>
      </c>
      <c r="B1593" s="12" t="s">
        <v>160</v>
      </c>
      <c r="C1593" s="12" t="s">
        <v>160</v>
      </c>
      <c r="D1593" s="12" t="s">
        <v>161</v>
      </c>
      <c r="E1593" s="12" t="s">
        <v>2978</v>
      </c>
      <c r="F1593" s="12" t="s">
        <v>32</v>
      </c>
      <c r="G1593" s="12" t="s">
        <v>32</v>
      </c>
      <c r="H1593" s="12" t="b">
        <v>1</v>
      </c>
      <c r="I1593" s="12" t="b">
        <v>0</v>
      </c>
      <c r="J1593" s="12" t="b">
        <v>1</v>
      </c>
      <c r="K1593" s="12" t="b">
        <v>0</v>
      </c>
      <c r="L1593" s="12">
        <v>436.69515360178571</v>
      </c>
      <c r="M1593" s="12">
        <v>287.99263236900669</v>
      </c>
      <c r="N1593" s="12">
        <v>4304.6515757148254</v>
      </c>
      <c r="O1593" s="12">
        <v>1828.3869778256301</v>
      </c>
      <c r="P1593" s="12">
        <v>0.56213001168525989</v>
      </c>
      <c r="Q1593" s="12">
        <v>0.88454893760199704</v>
      </c>
      <c r="R1593" s="12">
        <v>0.82032317709445146</v>
      </c>
      <c r="S1593" s="12">
        <v>0.92635647945099919</v>
      </c>
      <c r="T1593" s="12">
        <v>0.70250340060598804</v>
      </c>
      <c r="U1593" s="12">
        <v>0.84033073227405408</v>
      </c>
      <c r="V1593" s="12">
        <v>287.99263236900669</v>
      </c>
      <c r="W1593" s="12">
        <v>5.9750913113645998</v>
      </c>
      <c r="X1593" s="12">
        <v>43.928170503984859</v>
      </c>
      <c r="Y1593" s="12">
        <v>2476.2645978891951</v>
      </c>
      <c r="Z1593" s="12">
        <v>2.3543438166651351</v>
      </c>
      <c r="AA1593" s="12"/>
      <c r="AB1593" s="12"/>
    </row>
    <row r="1594" spans="1:28" x14ac:dyDescent="0.3">
      <c r="A1594" s="12" t="s">
        <v>3505</v>
      </c>
      <c r="B1594" s="12" t="s">
        <v>160</v>
      </c>
      <c r="C1594" s="12" t="s">
        <v>160</v>
      </c>
      <c r="D1594" s="12" t="s">
        <v>161</v>
      </c>
      <c r="E1594" s="12" t="s">
        <v>2978</v>
      </c>
      <c r="F1594" s="12" t="s">
        <v>32</v>
      </c>
      <c r="G1594" s="12" t="s">
        <v>32</v>
      </c>
      <c r="H1594" s="12" t="b">
        <v>1</v>
      </c>
      <c r="I1594" s="12" t="b">
        <v>1</v>
      </c>
      <c r="J1594" s="12" t="b">
        <v>0</v>
      </c>
      <c r="K1594" s="12" t="b">
        <v>0</v>
      </c>
      <c r="L1594" s="12">
        <v>427.54395148564021</v>
      </c>
      <c r="M1594" s="12">
        <v>287.21825808585538</v>
      </c>
      <c r="N1594" s="12">
        <v>2990.7113696382812</v>
      </c>
      <c r="O1594" s="12">
        <v>1641.698527584877</v>
      </c>
      <c r="P1594" s="12">
        <v>0.6918101977880825</v>
      </c>
      <c r="Q1594" s="12">
        <v>0.8906120777525941</v>
      </c>
      <c r="R1594" s="12">
        <v>0.89317313500510065</v>
      </c>
      <c r="S1594" s="12">
        <v>0.61920754773703102</v>
      </c>
      <c r="T1594" s="12">
        <v>0.82181684708979108</v>
      </c>
      <c r="U1594" s="12">
        <v>0.91903525983040002</v>
      </c>
      <c r="V1594" s="12">
        <v>287.21825808585538</v>
      </c>
      <c r="W1594" s="12">
        <v>5.0692228805506199</v>
      </c>
      <c r="X1594" s="12">
        <v>39.233330858458082</v>
      </c>
      <c r="Y1594" s="12">
        <v>1349.012842053404</v>
      </c>
      <c r="Z1594" s="12">
        <v>1.821717763271649</v>
      </c>
      <c r="AA1594" s="12"/>
      <c r="AB1594" s="12"/>
    </row>
    <row r="1595" spans="1:28" x14ac:dyDescent="0.3">
      <c r="A1595" s="12" t="s">
        <v>3506</v>
      </c>
      <c r="B1595" s="12" t="s">
        <v>160</v>
      </c>
      <c r="C1595" s="12" t="s">
        <v>160</v>
      </c>
      <c r="D1595" s="12" t="s">
        <v>161</v>
      </c>
      <c r="E1595" s="12" t="s">
        <v>2978</v>
      </c>
      <c r="F1595" s="12" t="s">
        <v>1861</v>
      </c>
      <c r="G1595" s="12" t="s">
        <v>1861</v>
      </c>
      <c r="H1595" s="12" t="b">
        <v>1</v>
      </c>
      <c r="I1595" s="12" t="b">
        <v>0</v>
      </c>
      <c r="J1595" s="12" t="b">
        <v>1</v>
      </c>
      <c r="K1595" s="12" t="b">
        <v>0</v>
      </c>
      <c r="L1595" s="12">
        <v>483.43937149894958</v>
      </c>
      <c r="M1595" s="12">
        <v>284.51634539865728</v>
      </c>
      <c r="N1595" s="12">
        <v>3738.773385672755</v>
      </c>
      <c r="O1595" s="12">
        <v>2101.5120080467291</v>
      </c>
      <c r="P1595" s="12">
        <v>0.7418460797768196</v>
      </c>
      <c r="Q1595" s="12">
        <v>0.90108023187553599</v>
      </c>
      <c r="R1595" s="12">
        <v>0.69508598273148392</v>
      </c>
      <c r="S1595" s="12">
        <v>0.61009846803241519</v>
      </c>
      <c r="T1595" s="12">
        <v>0.81633353561259603</v>
      </c>
      <c r="U1595" s="12">
        <v>0.74291113066592007</v>
      </c>
      <c r="V1595" s="12">
        <v>284.51634539865728</v>
      </c>
      <c r="W1595" s="12">
        <v>5.7234354525417501</v>
      </c>
      <c r="X1595" s="12">
        <v>58.530515485291659</v>
      </c>
      <c r="Y1595" s="12">
        <v>1637.2613776260259</v>
      </c>
      <c r="Z1595" s="12">
        <v>1.7790873291977021</v>
      </c>
      <c r="AA1595" s="12" t="s">
        <v>1268</v>
      </c>
      <c r="AB1595" s="12"/>
    </row>
    <row r="1596" spans="1:28" x14ac:dyDescent="0.3">
      <c r="A1596" s="12" t="s">
        <v>3507</v>
      </c>
      <c r="B1596" s="12" t="s">
        <v>160</v>
      </c>
      <c r="C1596" s="12" t="s">
        <v>160</v>
      </c>
      <c r="D1596" s="12" t="s">
        <v>161</v>
      </c>
      <c r="E1596" s="12" t="s">
        <v>2978</v>
      </c>
      <c r="F1596" s="12" t="s">
        <v>3483</v>
      </c>
      <c r="G1596" s="12"/>
      <c r="H1596" s="12" t="b">
        <v>0</v>
      </c>
      <c r="I1596" s="12" t="b">
        <v>0</v>
      </c>
      <c r="J1596" s="12"/>
      <c r="K1596" s="12" t="b">
        <v>1</v>
      </c>
      <c r="L1596" s="12">
        <v>417.52340339737259</v>
      </c>
      <c r="M1596" s="12">
        <v>284.8844817652855</v>
      </c>
      <c r="N1596" s="12">
        <v>2182.1829295073248</v>
      </c>
      <c r="O1596" s="12">
        <v>2456.9619194136289</v>
      </c>
      <c r="P1596" s="12">
        <v>0.54417811770921554</v>
      </c>
      <c r="Q1596" s="12">
        <v>0.77249223874958128</v>
      </c>
      <c r="R1596" s="12">
        <v>0.86323944081504411</v>
      </c>
      <c r="S1596" s="12">
        <v>0.70842900714331014</v>
      </c>
      <c r="T1596" s="12">
        <v>0.71901915735770727</v>
      </c>
      <c r="U1596" s="12">
        <v>0.90148280586391039</v>
      </c>
      <c r="V1596" s="12"/>
      <c r="W1596" s="12"/>
      <c r="X1596" s="12"/>
      <c r="Y1596" s="12">
        <v>-274.77898990630462</v>
      </c>
      <c r="Z1596" s="12">
        <v>0.88816310593373693</v>
      </c>
      <c r="AA1596" s="12"/>
      <c r="AB1596" s="12"/>
    </row>
    <row r="1597" spans="1:28" x14ac:dyDescent="0.3">
      <c r="A1597" s="12" t="s">
        <v>3508</v>
      </c>
      <c r="B1597" s="12" t="s">
        <v>160</v>
      </c>
      <c r="C1597" s="12" t="s">
        <v>160</v>
      </c>
      <c r="D1597" s="12" t="s">
        <v>161</v>
      </c>
      <c r="E1597" s="12" t="s">
        <v>2978</v>
      </c>
      <c r="F1597" s="12" t="s">
        <v>32</v>
      </c>
      <c r="G1597" s="12" t="s">
        <v>32</v>
      </c>
      <c r="H1597" s="12" t="b">
        <v>1</v>
      </c>
      <c r="I1597" s="12" t="b">
        <v>1</v>
      </c>
      <c r="J1597" s="12" t="b">
        <v>0</v>
      </c>
      <c r="K1597" s="12" t="b">
        <v>0</v>
      </c>
      <c r="L1597" s="12">
        <v>402.04599738576729</v>
      </c>
      <c r="M1597" s="12">
        <v>302.88747392522839</v>
      </c>
      <c r="N1597" s="12">
        <v>4070.854896157934</v>
      </c>
      <c r="O1597" s="12">
        <v>2135.8252842246479</v>
      </c>
      <c r="P1597" s="12">
        <v>0.55492709636237114</v>
      </c>
      <c r="Q1597" s="12">
        <v>0.76845476137955726</v>
      </c>
      <c r="R1597" s="12">
        <v>0.75600456176288322</v>
      </c>
      <c r="S1597" s="12">
        <v>0.67784396874255715</v>
      </c>
      <c r="T1597" s="12">
        <v>0.71493872098354194</v>
      </c>
      <c r="U1597" s="12">
        <v>0.93805229761518805</v>
      </c>
      <c r="V1597" s="12">
        <v>302.88747392522839</v>
      </c>
      <c r="W1597" s="12">
        <v>0.26709346223526997</v>
      </c>
      <c r="X1597" s="12">
        <v>0.51827150711824332</v>
      </c>
      <c r="Y1597" s="12">
        <v>1935.0296119332861</v>
      </c>
      <c r="Z1597" s="12">
        <v>1.905986845565294</v>
      </c>
      <c r="AA1597" s="12"/>
      <c r="AB1597" s="12"/>
    </row>
    <row r="1598" spans="1:28" x14ac:dyDescent="0.3">
      <c r="A1598" s="12" t="s">
        <v>3509</v>
      </c>
      <c r="B1598" s="12" t="s">
        <v>160</v>
      </c>
      <c r="C1598" s="12" t="s">
        <v>160</v>
      </c>
      <c r="D1598" s="12" t="s">
        <v>161</v>
      </c>
      <c r="E1598" s="12" t="s">
        <v>2978</v>
      </c>
      <c r="F1598" s="12" t="s">
        <v>832</v>
      </c>
      <c r="G1598" s="12" t="s">
        <v>832</v>
      </c>
      <c r="H1598" s="12" t="b">
        <v>0</v>
      </c>
      <c r="I1598" s="12" t="b">
        <v>0</v>
      </c>
      <c r="J1598" s="12" t="b">
        <v>0</v>
      </c>
      <c r="K1598" s="12" t="b">
        <v>0</v>
      </c>
      <c r="L1598" s="12">
        <v>480.39139533088309</v>
      </c>
      <c r="M1598" s="12">
        <v>302.55674891319683</v>
      </c>
      <c r="N1598" s="12">
        <v>4859.2279151764114</v>
      </c>
      <c r="O1598" s="12">
        <v>2166.6451027457242</v>
      </c>
      <c r="P1598" s="12">
        <v>0.8170584412625963</v>
      </c>
      <c r="Q1598" s="12">
        <v>0.91855611194553155</v>
      </c>
      <c r="R1598" s="12">
        <v>0.77287418510575212</v>
      </c>
      <c r="S1598" s="12">
        <v>0.9329311330598854</v>
      </c>
      <c r="T1598" s="12">
        <v>0.9052064045035132</v>
      </c>
      <c r="U1598" s="12">
        <v>0.82811437373928865</v>
      </c>
      <c r="V1598" s="12">
        <v>302.55674891319683</v>
      </c>
      <c r="W1598" s="12"/>
      <c r="X1598" s="12"/>
      <c r="Y1598" s="12">
        <v>2692.5828124306859</v>
      </c>
      <c r="Z1598" s="12">
        <v>2.242742897310896</v>
      </c>
      <c r="AA1598" s="12"/>
      <c r="AB1598" s="12"/>
    </row>
    <row r="1599" spans="1:28" x14ac:dyDescent="0.3">
      <c r="A1599" s="12" t="s">
        <v>3510</v>
      </c>
      <c r="B1599" s="12" t="s">
        <v>160</v>
      </c>
      <c r="C1599" s="12" t="s">
        <v>160</v>
      </c>
      <c r="D1599" s="12" t="s">
        <v>161</v>
      </c>
      <c r="E1599" s="12" t="s">
        <v>2978</v>
      </c>
      <c r="F1599" s="12" t="s">
        <v>32</v>
      </c>
      <c r="G1599" s="12" t="s">
        <v>32</v>
      </c>
      <c r="H1599" s="12" t="b">
        <v>1</v>
      </c>
      <c r="I1599" s="12" t="b">
        <v>1</v>
      </c>
      <c r="J1599" s="12" t="b">
        <v>0</v>
      </c>
      <c r="K1599" s="12" t="b">
        <v>0</v>
      </c>
      <c r="L1599" s="12">
        <v>468.16606759917869</v>
      </c>
      <c r="M1599" s="12">
        <v>284.35712277942542</v>
      </c>
      <c r="N1599" s="12">
        <v>3411.888854052801</v>
      </c>
      <c r="O1599" s="12">
        <v>1978.7569372631101</v>
      </c>
      <c r="P1599" s="12">
        <v>0.79036745520545448</v>
      </c>
      <c r="Q1599" s="12">
        <v>0.81581159023875327</v>
      </c>
      <c r="R1599" s="12">
        <v>0.76845871316565162</v>
      </c>
      <c r="S1599" s="12">
        <v>0.68584816311960328</v>
      </c>
      <c r="T1599" s="12">
        <v>0.92152020107270416</v>
      </c>
      <c r="U1599" s="12">
        <v>0.928419991783346</v>
      </c>
      <c r="V1599" s="12">
        <v>284.35712277942542</v>
      </c>
      <c r="W1599" s="12">
        <v>4.5318197277232803</v>
      </c>
      <c r="X1599" s="12">
        <v>55.257065776628082</v>
      </c>
      <c r="Y1599" s="12">
        <v>1433.1319167896911</v>
      </c>
      <c r="Z1599" s="12">
        <v>1.7242586948409679</v>
      </c>
      <c r="AA1599" s="12"/>
      <c r="AB1599" s="12"/>
    </row>
    <row r="1600" spans="1:28" x14ac:dyDescent="0.3">
      <c r="A1600" s="12" t="s">
        <v>3511</v>
      </c>
      <c r="B1600" s="12" t="s">
        <v>160</v>
      </c>
      <c r="C1600" s="12" t="s">
        <v>160</v>
      </c>
      <c r="D1600" s="12" t="s">
        <v>161</v>
      </c>
      <c r="E1600" s="12" t="s">
        <v>2978</v>
      </c>
      <c r="F1600" s="12" t="s">
        <v>1861</v>
      </c>
      <c r="G1600" s="12" t="s">
        <v>1861</v>
      </c>
      <c r="H1600" s="12" t="b">
        <v>1</v>
      </c>
      <c r="I1600" s="12" t="b">
        <v>0</v>
      </c>
      <c r="J1600" s="12" t="b">
        <v>1</v>
      </c>
      <c r="K1600" s="12" t="b">
        <v>0</v>
      </c>
      <c r="L1600" s="12">
        <v>486.73046142035543</v>
      </c>
      <c r="M1600" s="12">
        <v>301.34503744910228</v>
      </c>
      <c r="N1600" s="12">
        <v>2840.5723908073069</v>
      </c>
      <c r="O1600" s="12">
        <v>1575.0030174508461</v>
      </c>
      <c r="P1600" s="12">
        <v>0.68555680210750358</v>
      </c>
      <c r="Q1600" s="12">
        <v>0.75946639937460936</v>
      </c>
      <c r="R1600" s="12">
        <v>0.83860539480932439</v>
      </c>
      <c r="S1600" s="12">
        <v>0.71793314698734723</v>
      </c>
      <c r="T1600" s="12">
        <v>0.62962257320726167</v>
      </c>
      <c r="U1600" s="12">
        <v>0.85282470908048758</v>
      </c>
      <c r="V1600" s="12">
        <v>301.34503744910228</v>
      </c>
      <c r="W1600" s="12">
        <v>4.4991417271105103</v>
      </c>
      <c r="X1600" s="12">
        <v>60.024934542716522</v>
      </c>
      <c r="Y1600" s="12">
        <v>1265.569373356461</v>
      </c>
      <c r="Z1600" s="12">
        <v>1.8035345706224699</v>
      </c>
      <c r="AA1600" s="12" t="s">
        <v>1268</v>
      </c>
      <c r="AB1600" s="12"/>
    </row>
    <row r="1601" spans="1:28" x14ac:dyDescent="0.3">
      <c r="A1601" s="12" t="s">
        <v>3512</v>
      </c>
      <c r="B1601" s="12" t="s">
        <v>160</v>
      </c>
      <c r="C1601" s="12" t="s">
        <v>160</v>
      </c>
      <c r="D1601" s="12" t="s">
        <v>161</v>
      </c>
      <c r="E1601" s="12" t="s">
        <v>2978</v>
      </c>
      <c r="F1601" s="12" t="s">
        <v>32</v>
      </c>
      <c r="G1601" s="12" t="s">
        <v>32</v>
      </c>
      <c r="H1601" s="12" t="b">
        <v>1</v>
      </c>
      <c r="I1601" s="12" t="b">
        <v>1</v>
      </c>
      <c r="J1601" s="12" t="b">
        <v>0</v>
      </c>
      <c r="K1601" s="12" t="b">
        <v>0</v>
      </c>
      <c r="L1601" s="12">
        <v>406.44386419989058</v>
      </c>
      <c r="M1601" s="12">
        <v>293.98458621224188</v>
      </c>
      <c r="N1601" s="12">
        <v>4677.0474558520091</v>
      </c>
      <c r="O1601" s="12">
        <v>2282.4585432480771</v>
      </c>
      <c r="P1601" s="12">
        <v>0.62126422653552238</v>
      </c>
      <c r="Q1601" s="12">
        <v>0.76529009378233792</v>
      </c>
      <c r="R1601" s="12">
        <v>0.65971655309486432</v>
      </c>
      <c r="S1601" s="12">
        <v>0.81849795173837581</v>
      </c>
      <c r="T1601" s="12">
        <v>0.62120364958013774</v>
      </c>
      <c r="U1601" s="12">
        <v>0.84882499499723463</v>
      </c>
      <c r="V1601" s="12">
        <v>293.98458621224188</v>
      </c>
      <c r="W1601" s="12">
        <v>2.3022835998529199</v>
      </c>
      <c r="X1601" s="12">
        <v>8.715327877676426</v>
      </c>
      <c r="Y1601" s="12">
        <v>2394.5889126039319</v>
      </c>
      <c r="Z1601" s="12">
        <v>2.0491270124872831</v>
      </c>
      <c r="AA1601" s="12"/>
      <c r="AB1601" s="12"/>
    </row>
    <row r="1602" spans="1:28" x14ac:dyDescent="0.3">
      <c r="A1602" s="12" t="s">
        <v>3513</v>
      </c>
      <c r="B1602" s="12" t="s">
        <v>160</v>
      </c>
      <c r="C1602" s="12" t="s">
        <v>160</v>
      </c>
      <c r="D1602" s="12" t="s">
        <v>161</v>
      </c>
      <c r="E1602" s="12" t="s">
        <v>2978</v>
      </c>
      <c r="F1602" s="12" t="s">
        <v>32</v>
      </c>
      <c r="G1602" s="12" t="s">
        <v>32</v>
      </c>
      <c r="H1602" s="12" t="b">
        <v>1</v>
      </c>
      <c r="I1602" s="12" t="b">
        <v>0</v>
      </c>
      <c r="J1602" s="12" t="b">
        <v>1</v>
      </c>
      <c r="K1602" s="12" t="b">
        <v>0</v>
      </c>
      <c r="L1602" s="12">
        <v>432.95588222872851</v>
      </c>
      <c r="M1602" s="12">
        <v>285.31243237064223</v>
      </c>
      <c r="N1602" s="12">
        <v>3562.7619811950999</v>
      </c>
      <c r="O1602" s="12">
        <v>1541.368130664265</v>
      </c>
      <c r="P1602" s="12">
        <v>0.6130057518299965</v>
      </c>
      <c r="Q1602" s="12">
        <v>0.85531612620801079</v>
      </c>
      <c r="R1602" s="12">
        <v>0.87991507803021562</v>
      </c>
      <c r="S1602" s="12">
        <v>0.81151315993486994</v>
      </c>
      <c r="T1602" s="12">
        <v>0.89973211207361525</v>
      </c>
      <c r="U1602" s="12">
        <v>0.93614752074880436</v>
      </c>
      <c r="V1602" s="12">
        <v>285.31243237064223</v>
      </c>
      <c r="W1602" s="12">
        <v>6.3373312816937508</v>
      </c>
      <c r="X1602" s="12">
        <v>51.698440811467719</v>
      </c>
      <c r="Y1602" s="12">
        <v>2021.3938505308349</v>
      </c>
      <c r="Z1602" s="12">
        <v>2.3114283410412142</v>
      </c>
      <c r="AA1602" s="12"/>
      <c r="AB1602" s="12"/>
    </row>
    <row r="1603" spans="1:28" x14ac:dyDescent="0.3">
      <c r="A1603" s="12" t="s">
        <v>3514</v>
      </c>
      <c r="B1603" s="12" t="s">
        <v>160</v>
      </c>
      <c r="C1603" s="12" t="s">
        <v>160</v>
      </c>
      <c r="D1603" s="12" t="s">
        <v>161</v>
      </c>
      <c r="E1603" s="12" t="s">
        <v>2978</v>
      </c>
      <c r="F1603" s="12" t="s">
        <v>1863</v>
      </c>
      <c r="G1603" s="12" t="s">
        <v>832</v>
      </c>
      <c r="H1603" s="12" t="b">
        <v>0</v>
      </c>
      <c r="I1603" s="12" t="b">
        <v>0</v>
      </c>
      <c r="J1603" s="12" t="b">
        <v>0</v>
      </c>
      <c r="K1603" s="12" t="b">
        <v>0</v>
      </c>
      <c r="L1603" s="12">
        <v>385.32501240927121</v>
      </c>
      <c r="M1603" s="12">
        <v>300.70977810674782</v>
      </c>
      <c r="N1603" s="12">
        <v>4766.0646084197497</v>
      </c>
      <c r="O1603" s="12">
        <v>2061.5856458251978</v>
      </c>
      <c r="P1603" s="12">
        <v>0.64689333242528679</v>
      </c>
      <c r="Q1603" s="12">
        <v>0.80583574206604047</v>
      </c>
      <c r="R1603" s="12">
        <v>0.85666955155400637</v>
      </c>
      <c r="S1603" s="12">
        <v>0.78846106289349571</v>
      </c>
      <c r="T1603" s="12">
        <v>0.68105667727589425</v>
      </c>
      <c r="U1603" s="12">
        <v>0.91460125420638783</v>
      </c>
      <c r="V1603" s="12">
        <v>300.70977810674782</v>
      </c>
      <c r="W1603" s="12">
        <v>-34.629232588032338</v>
      </c>
      <c r="X1603" s="12">
        <v>-23.55940238445546</v>
      </c>
      <c r="Y1603" s="12">
        <v>2704.4789625945509</v>
      </c>
      <c r="Z1603" s="12">
        <v>2.3118440982897019</v>
      </c>
      <c r="AA1603" s="12" t="s">
        <v>2018</v>
      </c>
      <c r="AB1603" s="12"/>
    </row>
    <row r="1604" spans="1:28" x14ac:dyDescent="0.3">
      <c r="A1604" s="12" t="s">
        <v>3515</v>
      </c>
      <c r="B1604" s="12" t="s">
        <v>160</v>
      </c>
      <c r="C1604" s="12" t="s">
        <v>160</v>
      </c>
      <c r="D1604" s="12" t="s">
        <v>161</v>
      </c>
      <c r="E1604" s="12" t="s">
        <v>2978</v>
      </c>
      <c r="F1604" s="12" t="s">
        <v>32</v>
      </c>
      <c r="G1604" s="12" t="s">
        <v>32</v>
      </c>
      <c r="H1604" s="12" t="b">
        <v>1</v>
      </c>
      <c r="I1604" s="12" t="b">
        <v>1</v>
      </c>
      <c r="J1604" s="12" t="b">
        <v>0</v>
      </c>
      <c r="K1604" s="12" t="b">
        <v>0</v>
      </c>
      <c r="L1604" s="12">
        <v>420.18793096815801</v>
      </c>
      <c r="M1604" s="12">
        <v>294.75033203415262</v>
      </c>
      <c r="N1604" s="12">
        <v>4835.8544621785022</v>
      </c>
      <c r="O1604" s="12">
        <v>2239.9287193858131</v>
      </c>
      <c r="P1604" s="12">
        <v>0.56884810115349949</v>
      </c>
      <c r="Q1604" s="12">
        <v>0.89034716275805215</v>
      </c>
      <c r="R1604" s="12">
        <v>0.79258008309328065</v>
      </c>
      <c r="S1604" s="12">
        <v>0.85423199297062924</v>
      </c>
      <c r="T1604" s="12">
        <v>0.7111601440680041</v>
      </c>
      <c r="U1604" s="12">
        <v>0.93172195008930503</v>
      </c>
      <c r="V1604" s="12">
        <v>294.75033203415262</v>
      </c>
      <c r="W1604" s="12">
        <v>3.633516050515849</v>
      </c>
      <c r="X1604" s="12">
        <v>14.988544066789199</v>
      </c>
      <c r="Y1604" s="12">
        <v>2595.9257427926891</v>
      </c>
      <c r="Z1604" s="12">
        <v>2.1589323000887681</v>
      </c>
      <c r="AA1604" s="12"/>
      <c r="AB1604" s="12"/>
    </row>
    <row r="1605" spans="1:28" x14ac:dyDescent="0.3">
      <c r="A1605" s="12" t="s">
        <v>3516</v>
      </c>
      <c r="B1605" s="12" t="s">
        <v>160</v>
      </c>
      <c r="C1605" s="12" t="s">
        <v>160</v>
      </c>
      <c r="D1605" s="12" t="s">
        <v>161</v>
      </c>
      <c r="E1605" s="12" t="s">
        <v>2978</v>
      </c>
      <c r="F1605" s="12" t="s">
        <v>1861</v>
      </c>
      <c r="G1605" s="12" t="s">
        <v>1861</v>
      </c>
      <c r="H1605" s="12" t="b">
        <v>1</v>
      </c>
      <c r="I1605" s="12" t="b">
        <v>0</v>
      </c>
      <c r="J1605" s="12" t="b">
        <v>1</v>
      </c>
      <c r="K1605" s="12" t="b">
        <v>0</v>
      </c>
      <c r="L1605" s="12">
        <v>491.5938697300798</v>
      </c>
      <c r="M1605" s="12">
        <v>297.1406992033011</v>
      </c>
      <c r="N1605" s="12">
        <v>2335.081504417939</v>
      </c>
      <c r="O1605" s="12">
        <v>1572.751589231709</v>
      </c>
      <c r="P1605" s="12">
        <v>0.58187103016275077</v>
      </c>
      <c r="Q1605" s="12">
        <v>0.85229642642159142</v>
      </c>
      <c r="R1605" s="12">
        <v>0.6878611322081355</v>
      </c>
      <c r="S1605" s="12">
        <v>0.67319232066667223</v>
      </c>
      <c r="T1605" s="12">
        <v>0.92359719844682542</v>
      </c>
      <c r="U1605" s="12">
        <v>0.78008777938777829</v>
      </c>
      <c r="V1605" s="12">
        <v>297.1406992033011</v>
      </c>
      <c r="W1605" s="12">
        <v>3.1382693517031202</v>
      </c>
      <c r="X1605" s="12">
        <v>39.917951753047753</v>
      </c>
      <c r="Y1605" s="12">
        <v>762.32991518622953</v>
      </c>
      <c r="Z1605" s="12">
        <v>1.484710948890936</v>
      </c>
      <c r="AA1605" s="12" t="s">
        <v>1268</v>
      </c>
      <c r="AB1605" s="12"/>
    </row>
    <row r="1606" spans="1:28" x14ac:dyDescent="0.3">
      <c r="A1606" s="12" t="s">
        <v>3517</v>
      </c>
      <c r="B1606" s="12" t="s">
        <v>160</v>
      </c>
      <c r="C1606" s="12" t="s">
        <v>160</v>
      </c>
      <c r="D1606" s="12" t="s">
        <v>161</v>
      </c>
      <c r="E1606" s="12" t="s">
        <v>2978</v>
      </c>
      <c r="F1606" s="12" t="s">
        <v>32</v>
      </c>
      <c r="G1606" s="12" t="s">
        <v>32</v>
      </c>
      <c r="H1606" s="12" t="b">
        <v>1</v>
      </c>
      <c r="I1606" s="12" t="b">
        <v>0</v>
      </c>
      <c r="J1606" s="12" t="b">
        <v>1</v>
      </c>
      <c r="K1606" s="12" t="b">
        <v>0</v>
      </c>
      <c r="L1606" s="12">
        <v>438.22595666578081</v>
      </c>
      <c r="M1606" s="12">
        <v>282.8953248402438</v>
      </c>
      <c r="N1606" s="12">
        <v>3655.0315704537861</v>
      </c>
      <c r="O1606" s="12">
        <v>2494.5286687783441</v>
      </c>
      <c r="P1606" s="12">
        <v>0.5781880347009879</v>
      </c>
      <c r="Q1606" s="12">
        <v>0.78074992969467716</v>
      </c>
      <c r="R1606" s="12">
        <v>0.87178269432939537</v>
      </c>
      <c r="S1606" s="12">
        <v>0.82045515847927486</v>
      </c>
      <c r="T1606" s="12">
        <v>0.87258359742785907</v>
      </c>
      <c r="U1606" s="12">
        <v>0.83795017882933232</v>
      </c>
      <c r="V1606" s="12">
        <v>282.8953248402438</v>
      </c>
      <c r="W1606" s="12">
        <v>2.66901697023635</v>
      </c>
      <c r="X1606" s="12">
        <v>20.735670369635152</v>
      </c>
      <c r="Y1606" s="12">
        <v>1160.502901675442</v>
      </c>
      <c r="Z1606" s="12">
        <v>1.465219308240614</v>
      </c>
      <c r="AA1606" s="12"/>
      <c r="AB1606" s="12"/>
    </row>
    <row r="1607" spans="1:28" x14ac:dyDescent="0.3">
      <c r="A1607" s="12" t="s">
        <v>3518</v>
      </c>
      <c r="B1607" s="12" t="s">
        <v>160</v>
      </c>
      <c r="C1607" s="12" t="s">
        <v>160</v>
      </c>
      <c r="D1607" s="12" t="s">
        <v>161</v>
      </c>
      <c r="E1607" s="12" t="s">
        <v>2978</v>
      </c>
      <c r="F1607" s="12" t="s">
        <v>32</v>
      </c>
      <c r="G1607" s="12" t="s">
        <v>32</v>
      </c>
      <c r="H1607" s="12" t="b">
        <v>1</v>
      </c>
      <c r="I1607" s="12" t="b">
        <v>1</v>
      </c>
      <c r="J1607" s="12" t="b">
        <v>0</v>
      </c>
      <c r="K1607" s="12" t="b">
        <v>0</v>
      </c>
      <c r="L1607" s="12">
        <v>394.95641151209918</v>
      </c>
      <c r="M1607" s="12">
        <v>297.82754773404912</v>
      </c>
      <c r="N1607" s="12">
        <v>3192.6319059430089</v>
      </c>
      <c r="O1607" s="12">
        <v>1878.6605680440571</v>
      </c>
      <c r="P1607" s="12">
        <v>0.55328368439005271</v>
      </c>
      <c r="Q1607" s="12">
        <v>0.82943497439692693</v>
      </c>
      <c r="R1607" s="12">
        <v>0.68375281770497442</v>
      </c>
      <c r="S1607" s="12">
        <v>0.70375880232314314</v>
      </c>
      <c r="T1607" s="12">
        <v>0.93167719701028362</v>
      </c>
      <c r="U1607" s="12">
        <v>0.76042474129852755</v>
      </c>
      <c r="V1607" s="12">
        <v>297.82754773404912</v>
      </c>
      <c r="W1607" s="12">
        <v>2.9128077838530002</v>
      </c>
      <c r="X1607" s="12">
        <v>5.9479214177323918</v>
      </c>
      <c r="Y1607" s="12">
        <v>1313.971337898952</v>
      </c>
      <c r="Z1607" s="12">
        <v>1.699419235304958</v>
      </c>
      <c r="AA1607" s="12"/>
      <c r="AB1607" s="12"/>
    </row>
    <row r="1608" spans="1:28" x14ac:dyDescent="0.3">
      <c r="A1608" s="12" t="s">
        <v>3519</v>
      </c>
      <c r="B1608" s="12" t="s">
        <v>160</v>
      </c>
      <c r="C1608" s="12" t="s">
        <v>160</v>
      </c>
      <c r="D1608" s="12" t="s">
        <v>161</v>
      </c>
      <c r="E1608" s="12" t="s">
        <v>2978</v>
      </c>
      <c r="F1608" s="12" t="s">
        <v>32</v>
      </c>
      <c r="G1608" s="12" t="s">
        <v>32</v>
      </c>
      <c r="H1608" s="12" t="b">
        <v>1</v>
      </c>
      <c r="I1608" s="12" t="b">
        <v>1</v>
      </c>
      <c r="J1608" s="12" t="b">
        <v>0</v>
      </c>
      <c r="K1608" s="12" t="b">
        <v>0</v>
      </c>
      <c r="L1608" s="12">
        <v>400.59431070418009</v>
      </c>
      <c r="M1608" s="12">
        <v>297.46863080583893</v>
      </c>
      <c r="N1608" s="12">
        <v>2825.2412429693331</v>
      </c>
      <c r="O1608" s="12">
        <v>2184.5223140212051</v>
      </c>
      <c r="P1608" s="12">
        <v>0.6446581625462916</v>
      </c>
      <c r="Q1608" s="12">
        <v>0.78331237891618366</v>
      </c>
      <c r="R1608" s="12">
        <v>0.72313850838986482</v>
      </c>
      <c r="S1608" s="12">
        <v>0.7843786884166003</v>
      </c>
      <c r="T1608" s="12">
        <v>0.88256169068261259</v>
      </c>
      <c r="U1608" s="12">
        <v>0.75557087663673062</v>
      </c>
      <c r="V1608" s="12">
        <v>297.46863080583893</v>
      </c>
      <c r="W1608" s="12">
        <v>2.0592996285480898</v>
      </c>
      <c r="X1608" s="12">
        <v>10.91730630786819</v>
      </c>
      <c r="Y1608" s="12">
        <v>640.71892894812754</v>
      </c>
      <c r="Z1608" s="12">
        <v>1.293299329027549</v>
      </c>
      <c r="AA1608" s="12"/>
      <c r="AB1608" s="12"/>
    </row>
    <row r="1609" spans="1:28" x14ac:dyDescent="0.3">
      <c r="A1609" s="12" t="s">
        <v>3520</v>
      </c>
      <c r="B1609" s="12" t="s">
        <v>160</v>
      </c>
      <c r="C1609" s="12" t="s">
        <v>160</v>
      </c>
      <c r="D1609" s="12" t="s">
        <v>161</v>
      </c>
      <c r="E1609" s="12" t="s">
        <v>2978</v>
      </c>
      <c r="F1609" s="12" t="s">
        <v>1861</v>
      </c>
      <c r="G1609" s="12" t="s">
        <v>1861</v>
      </c>
      <c r="H1609" s="12" t="b">
        <v>1</v>
      </c>
      <c r="I1609" s="12" t="b">
        <v>0</v>
      </c>
      <c r="J1609" s="12" t="b">
        <v>1</v>
      </c>
      <c r="K1609" s="12" t="b">
        <v>0</v>
      </c>
      <c r="L1609" s="12">
        <v>441.33088061633151</v>
      </c>
      <c r="M1609" s="12">
        <v>278.38457578976431</v>
      </c>
      <c r="N1609" s="12">
        <v>2925.261605772082</v>
      </c>
      <c r="O1609" s="12">
        <v>2233.233944296735</v>
      </c>
      <c r="P1609" s="12">
        <v>0.73610087023286508</v>
      </c>
      <c r="Q1609" s="12">
        <v>0.79771299081635016</v>
      </c>
      <c r="R1609" s="12">
        <v>0.83374796673689966</v>
      </c>
      <c r="S1609" s="12">
        <v>0.91087292389195817</v>
      </c>
      <c r="T1609" s="12">
        <v>0.91838307619724879</v>
      </c>
      <c r="U1609" s="12">
        <v>0.7018462513938819</v>
      </c>
      <c r="V1609" s="12">
        <v>278.38457578976431</v>
      </c>
      <c r="W1609" s="12">
        <v>2.1292423037797898</v>
      </c>
      <c r="X1609" s="12">
        <v>26.644912153635449</v>
      </c>
      <c r="Y1609" s="12">
        <v>692.02766147534749</v>
      </c>
      <c r="Z1609" s="12">
        <v>1.3098769223182629</v>
      </c>
      <c r="AA1609" s="12" t="s">
        <v>1268</v>
      </c>
      <c r="AB1609" s="12"/>
    </row>
    <row r="1610" spans="1:28" x14ac:dyDescent="0.3">
      <c r="A1610" s="12" t="s">
        <v>3521</v>
      </c>
      <c r="B1610" s="12" t="s">
        <v>160</v>
      </c>
      <c r="C1610" s="12" t="s">
        <v>160</v>
      </c>
      <c r="D1610" s="12" t="s">
        <v>161</v>
      </c>
      <c r="E1610" s="12" t="s">
        <v>2978</v>
      </c>
      <c r="F1610" s="12" t="s">
        <v>32</v>
      </c>
      <c r="G1610" s="12" t="s">
        <v>32</v>
      </c>
      <c r="H1610" s="12" t="b">
        <v>1</v>
      </c>
      <c r="I1610" s="12" t="b">
        <v>0</v>
      </c>
      <c r="J1610" s="12" t="b">
        <v>1</v>
      </c>
      <c r="K1610" s="12" t="b">
        <v>0</v>
      </c>
      <c r="L1610" s="12">
        <v>494.37016524250703</v>
      </c>
      <c r="M1610" s="12">
        <v>296.40285493432111</v>
      </c>
      <c r="N1610" s="12">
        <v>3842.3588158538</v>
      </c>
      <c r="O1610" s="12">
        <v>1741.88695844015</v>
      </c>
      <c r="P1610" s="12">
        <v>0.63735344796928173</v>
      </c>
      <c r="Q1610" s="12">
        <v>0.78892397194439889</v>
      </c>
      <c r="R1610" s="12">
        <v>0.88638245590678832</v>
      </c>
      <c r="S1610" s="12">
        <v>0.73587085244419859</v>
      </c>
      <c r="T1610" s="12">
        <v>0.82020427181874234</v>
      </c>
      <c r="U1610" s="12">
        <v>0.90966645229354715</v>
      </c>
      <c r="V1610" s="12">
        <v>296.40285493432111</v>
      </c>
      <c r="W1610" s="12">
        <v>5.7900846693636803</v>
      </c>
      <c r="X1610" s="12">
        <v>83.803315709426059</v>
      </c>
      <c r="Y1610" s="12">
        <v>2100.47185741365</v>
      </c>
      <c r="Z1610" s="12">
        <v>2.2058600285374488</v>
      </c>
      <c r="AA1610" s="12"/>
      <c r="AB1610" s="12"/>
    </row>
    <row r="1611" spans="1:28" x14ac:dyDescent="0.3">
      <c r="A1611" s="12" t="s">
        <v>3522</v>
      </c>
      <c r="B1611" s="12" t="s">
        <v>160</v>
      </c>
      <c r="C1611" s="12" t="s">
        <v>160</v>
      </c>
      <c r="D1611" s="12" t="s">
        <v>161</v>
      </c>
      <c r="E1611" s="12" t="s">
        <v>2978</v>
      </c>
      <c r="F1611" s="12" t="s">
        <v>832</v>
      </c>
      <c r="G1611" s="12" t="s">
        <v>832</v>
      </c>
      <c r="H1611" s="12" t="b">
        <v>0</v>
      </c>
      <c r="I1611" s="12" t="b">
        <v>0</v>
      </c>
      <c r="J1611" s="12" t="b">
        <v>0</v>
      </c>
      <c r="K1611" s="12" t="b">
        <v>0</v>
      </c>
      <c r="L1611" s="12">
        <v>499.0107679729125</v>
      </c>
      <c r="M1611" s="12">
        <v>301.79017500863512</v>
      </c>
      <c r="N1611" s="12">
        <v>4259.6496858576256</v>
      </c>
      <c r="O1611" s="12">
        <v>2118.4309167005222</v>
      </c>
      <c r="P1611" s="12">
        <v>0.76069247365628401</v>
      </c>
      <c r="Q1611" s="12">
        <v>0.80855441175923914</v>
      </c>
      <c r="R1611" s="12">
        <v>0.6569333072148128</v>
      </c>
      <c r="S1611" s="12">
        <v>0.71055876402363061</v>
      </c>
      <c r="T1611" s="12">
        <v>0.91059908507627618</v>
      </c>
      <c r="U1611" s="12">
        <v>0.76988023615834811</v>
      </c>
      <c r="V1611" s="12">
        <v>301.79017500863512</v>
      </c>
      <c r="W1611" s="12"/>
      <c r="X1611" s="12"/>
      <c r="Y1611" s="12">
        <v>2141.2187691571039</v>
      </c>
      <c r="Z1611" s="12">
        <v>2.0107569485872472</v>
      </c>
      <c r="AA1611" s="12"/>
      <c r="AB1611" s="12"/>
    </row>
    <row r="1612" spans="1:28" x14ac:dyDescent="0.3">
      <c r="A1612" s="12" t="s">
        <v>3523</v>
      </c>
      <c r="B1612" s="12" t="s">
        <v>160</v>
      </c>
      <c r="C1612" s="12" t="s">
        <v>160</v>
      </c>
      <c r="D1612" s="12" t="s">
        <v>161</v>
      </c>
      <c r="E1612" s="12" t="s">
        <v>2978</v>
      </c>
      <c r="F1612" s="12" t="s">
        <v>832</v>
      </c>
      <c r="G1612" s="12" t="s">
        <v>832</v>
      </c>
      <c r="H1612" s="12" t="b">
        <v>0</v>
      </c>
      <c r="I1612" s="12" t="b">
        <v>0</v>
      </c>
      <c r="J1612" s="12" t="b">
        <v>0</v>
      </c>
      <c r="K1612" s="12" t="b">
        <v>0</v>
      </c>
      <c r="L1612" s="12">
        <v>460.71870878192482</v>
      </c>
      <c r="M1612" s="12">
        <v>280.60049936884212</v>
      </c>
      <c r="N1612" s="12">
        <v>4004.0104728467008</v>
      </c>
      <c r="O1612" s="12">
        <v>2034.619829969995</v>
      </c>
      <c r="P1612" s="12">
        <v>0.66645427317100003</v>
      </c>
      <c r="Q1612" s="12">
        <v>0.80494056415296533</v>
      </c>
      <c r="R1612" s="12">
        <v>0.8558741615651192</v>
      </c>
      <c r="S1612" s="12">
        <v>0.70264726036918679</v>
      </c>
      <c r="T1612" s="12">
        <v>0.68259377819649292</v>
      </c>
      <c r="U1612" s="12">
        <v>0.92774171674686756</v>
      </c>
      <c r="V1612" s="12">
        <v>280.60049936884212</v>
      </c>
      <c r="W1612" s="12"/>
      <c r="X1612" s="12"/>
      <c r="Y1612" s="12">
        <v>1969.3906428767059</v>
      </c>
      <c r="Z1612" s="12">
        <v>1.9679403561626301</v>
      </c>
      <c r="AA1612" s="12"/>
      <c r="AB1612" s="12"/>
    </row>
    <row r="1613" spans="1:28" x14ac:dyDescent="0.3">
      <c r="A1613" s="12" t="s">
        <v>3524</v>
      </c>
      <c r="B1613" s="12" t="s">
        <v>160</v>
      </c>
      <c r="C1613" s="12" t="s">
        <v>160</v>
      </c>
      <c r="D1613" s="12" t="s">
        <v>161</v>
      </c>
      <c r="E1613" s="12" t="s">
        <v>2978</v>
      </c>
      <c r="F1613" s="12" t="s">
        <v>32</v>
      </c>
      <c r="G1613" s="12" t="s">
        <v>32</v>
      </c>
      <c r="H1613" s="12" t="b">
        <v>1</v>
      </c>
      <c r="I1613" s="12" t="b">
        <v>0</v>
      </c>
      <c r="J1613" s="12" t="b">
        <v>1</v>
      </c>
      <c r="K1613" s="12" t="b">
        <v>0</v>
      </c>
      <c r="L1613" s="12">
        <v>469.70754386528557</v>
      </c>
      <c r="M1613" s="12">
        <v>291.12707084761331</v>
      </c>
      <c r="N1613" s="12">
        <v>3888.4932927735949</v>
      </c>
      <c r="O1613" s="12">
        <v>2023.6196367769039</v>
      </c>
      <c r="P1613" s="12">
        <v>0.65082487892697982</v>
      </c>
      <c r="Q1613" s="12">
        <v>0.86820716485958693</v>
      </c>
      <c r="R1613" s="12">
        <v>0.79934588714919497</v>
      </c>
      <c r="S1613" s="12">
        <v>0.72299476481957692</v>
      </c>
      <c r="T1613" s="12">
        <v>0.85744773368961757</v>
      </c>
      <c r="U1613" s="12">
        <v>0.91824224226964324</v>
      </c>
      <c r="V1613" s="12">
        <v>291.12707084761331</v>
      </c>
      <c r="W1613" s="12">
        <v>5.2553645655666896</v>
      </c>
      <c r="X1613" s="12">
        <v>71.662208107712758</v>
      </c>
      <c r="Y1613" s="12">
        <v>1864.873655996691</v>
      </c>
      <c r="Z1613" s="12">
        <v>1.9215534491288819</v>
      </c>
      <c r="AA1613" s="12"/>
      <c r="AB1613" s="12"/>
    </row>
    <row r="1614" spans="1:28" x14ac:dyDescent="0.3">
      <c r="A1614" s="12" t="s">
        <v>3525</v>
      </c>
      <c r="B1614" s="12" t="s">
        <v>160</v>
      </c>
      <c r="C1614" s="12" t="s">
        <v>160</v>
      </c>
      <c r="D1614" s="12" t="s">
        <v>161</v>
      </c>
      <c r="E1614" s="12" t="s">
        <v>2978</v>
      </c>
      <c r="F1614" s="12" t="s">
        <v>1863</v>
      </c>
      <c r="G1614" s="12" t="s">
        <v>832</v>
      </c>
      <c r="H1614" s="12" t="b">
        <v>0</v>
      </c>
      <c r="I1614" s="12" t="b">
        <v>0</v>
      </c>
      <c r="J1614" s="12" t="b">
        <v>0</v>
      </c>
      <c r="K1614" s="12" t="b">
        <v>0</v>
      </c>
      <c r="L1614" s="12">
        <v>387.78671335738437</v>
      </c>
      <c r="M1614" s="12">
        <v>294.24736096674889</v>
      </c>
      <c r="N1614" s="12">
        <v>4995.7578338505673</v>
      </c>
      <c r="O1614" s="12">
        <v>1530.663174893521</v>
      </c>
      <c r="P1614" s="12">
        <v>0.66307591877728855</v>
      </c>
      <c r="Q1614" s="12">
        <v>0.88270126574987096</v>
      </c>
      <c r="R1614" s="12">
        <v>0.85456579534877553</v>
      </c>
      <c r="S1614" s="12">
        <v>0.81354969769727714</v>
      </c>
      <c r="T1614" s="12">
        <v>0.62670500370515347</v>
      </c>
      <c r="U1614" s="12">
        <v>0.87367701336463111</v>
      </c>
      <c r="V1614" s="12">
        <v>294.24736096674889</v>
      </c>
      <c r="W1614" s="12">
        <v>-32.388059294210642</v>
      </c>
      <c r="X1614" s="12">
        <v>-34.01842645755876</v>
      </c>
      <c r="Y1614" s="12">
        <v>3465.0946589570458</v>
      </c>
      <c r="Z1614" s="12">
        <v>3.263786518022223</v>
      </c>
      <c r="AA1614" s="12" t="s">
        <v>2018</v>
      </c>
      <c r="AB1614" s="12"/>
    </row>
    <row r="1615" spans="1:28" x14ac:dyDescent="0.3">
      <c r="A1615" s="12" t="s">
        <v>3526</v>
      </c>
      <c r="B1615" s="12" t="s">
        <v>160</v>
      </c>
      <c r="C1615" s="12" t="s">
        <v>160</v>
      </c>
      <c r="D1615" s="12" t="s">
        <v>161</v>
      </c>
      <c r="E1615" s="12" t="s">
        <v>2978</v>
      </c>
      <c r="F1615" s="12" t="s">
        <v>1861</v>
      </c>
      <c r="G1615" s="12" t="s">
        <v>1861</v>
      </c>
      <c r="H1615" s="12" t="b">
        <v>1</v>
      </c>
      <c r="I1615" s="12" t="b">
        <v>0</v>
      </c>
      <c r="J1615" s="12" t="b">
        <v>0</v>
      </c>
      <c r="K1615" s="12" t="b">
        <v>0</v>
      </c>
      <c r="L1615" s="12">
        <v>408.61425346151339</v>
      </c>
      <c r="M1615" s="12">
        <v>283.51494340036811</v>
      </c>
      <c r="N1615" s="12">
        <v>3483.2700715220581</v>
      </c>
      <c r="O1615" s="12">
        <v>1808.053371215052</v>
      </c>
      <c r="P1615" s="12">
        <v>0.84122200403058423</v>
      </c>
      <c r="Q1615" s="12">
        <v>0.76621095081838797</v>
      </c>
      <c r="R1615" s="12">
        <v>0.66993982825574383</v>
      </c>
      <c r="S1615" s="12">
        <v>0.68199209834258445</v>
      </c>
      <c r="T1615" s="12">
        <v>0.76441138732328062</v>
      </c>
      <c r="U1615" s="12">
        <v>0.70004214020950417</v>
      </c>
      <c r="V1615" s="12">
        <v>283.51494340036811</v>
      </c>
      <c r="W1615" s="12">
        <v>5.3968554379346401</v>
      </c>
      <c r="X1615" s="12">
        <v>39.318152352317121</v>
      </c>
      <c r="Y1615" s="12">
        <v>1675.216700307006</v>
      </c>
      <c r="Z1615" s="12">
        <v>1.9265305587639949</v>
      </c>
      <c r="AA1615" s="12" t="s">
        <v>1268</v>
      </c>
      <c r="AB1615" s="12"/>
    </row>
    <row r="1616" spans="1:28" x14ac:dyDescent="0.3">
      <c r="A1616" s="12" t="s">
        <v>3527</v>
      </c>
      <c r="B1616" s="12" t="s">
        <v>160</v>
      </c>
      <c r="C1616" s="12" t="s">
        <v>160</v>
      </c>
      <c r="D1616" s="12" t="s">
        <v>161</v>
      </c>
      <c r="E1616" s="12" t="s">
        <v>2978</v>
      </c>
      <c r="F1616" s="12" t="s">
        <v>32</v>
      </c>
      <c r="G1616" s="12" t="s">
        <v>32</v>
      </c>
      <c r="H1616" s="12" t="b">
        <v>1</v>
      </c>
      <c r="I1616" s="12" t="b">
        <v>0</v>
      </c>
      <c r="J1616" s="12" t="b">
        <v>1</v>
      </c>
      <c r="K1616" s="12" t="b">
        <v>0</v>
      </c>
      <c r="L1616" s="12">
        <v>455.78372560425811</v>
      </c>
      <c r="M1616" s="12">
        <v>287.47705897125411</v>
      </c>
      <c r="N1616" s="12">
        <v>2447.7326581244611</v>
      </c>
      <c r="O1616" s="12">
        <v>1907.207517585249</v>
      </c>
      <c r="P1616" s="12">
        <v>0.73837307846065259</v>
      </c>
      <c r="Q1616" s="12">
        <v>0.79131827790275999</v>
      </c>
      <c r="R1616" s="12">
        <v>0.89820059589482237</v>
      </c>
      <c r="S1616" s="12">
        <v>0.85912768577981113</v>
      </c>
      <c r="T1616" s="12">
        <v>0.71207169998485187</v>
      </c>
      <c r="U1616" s="12">
        <v>0.89880041524406451</v>
      </c>
      <c r="V1616" s="12">
        <v>287.47705897125411</v>
      </c>
      <c r="W1616" s="12">
        <v>2.0193698930142499</v>
      </c>
      <c r="X1616" s="12">
        <v>31.882294971176659</v>
      </c>
      <c r="Y1616" s="12">
        <v>540.52514053921232</v>
      </c>
      <c r="Z1616" s="12">
        <v>1.2834118131117589</v>
      </c>
      <c r="AA1616" s="12"/>
      <c r="AB1616" s="12"/>
    </row>
    <row r="1617" spans="1:28" x14ac:dyDescent="0.3">
      <c r="A1617" s="12" t="s">
        <v>3528</v>
      </c>
      <c r="B1617" s="12" t="s">
        <v>160</v>
      </c>
      <c r="C1617" s="12" t="s">
        <v>160</v>
      </c>
      <c r="D1617" s="12" t="s">
        <v>161</v>
      </c>
      <c r="E1617" s="12" t="s">
        <v>2978</v>
      </c>
      <c r="F1617" s="12" t="s">
        <v>32</v>
      </c>
      <c r="G1617" s="12" t="s">
        <v>32</v>
      </c>
      <c r="H1617" s="12" t="b">
        <v>1</v>
      </c>
      <c r="I1617" s="12" t="b">
        <v>0</v>
      </c>
      <c r="J1617" s="12" t="b">
        <v>1</v>
      </c>
      <c r="K1617" s="12" t="b">
        <v>0</v>
      </c>
      <c r="L1617" s="12">
        <v>448.06628312242663</v>
      </c>
      <c r="M1617" s="12">
        <v>289.06038159689439</v>
      </c>
      <c r="N1617" s="12">
        <v>4608.0176387013344</v>
      </c>
      <c r="O1617" s="12">
        <v>2069.9832516387942</v>
      </c>
      <c r="P1617" s="12">
        <v>0.54113412179565923</v>
      </c>
      <c r="Q1617" s="12">
        <v>0.84068077027959354</v>
      </c>
      <c r="R1617" s="12">
        <v>0.82455114875031077</v>
      </c>
      <c r="S1617" s="12">
        <v>0.6147180732045171</v>
      </c>
      <c r="T1617" s="12">
        <v>0.64717370762244042</v>
      </c>
      <c r="U1617" s="12">
        <v>0.78720230647876321</v>
      </c>
      <c r="V1617" s="12">
        <v>289.06038159689439</v>
      </c>
      <c r="W1617" s="12">
        <v>4.3462233222263604</v>
      </c>
      <c r="X1617" s="12">
        <v>23.200266997262499</v>
      </c>
      <c r="Y1617" s="12">
        <v>2538.0343870625411</v>
      </c>
      <c r="Z1617" s="12">
        <v>2.2261134891082781</v>
      </c>
      <c r="AA1617" s="12"/>
      <c r="AB1617" s="12"/>
    </row>
    <row r="1618" spans="1:28" x14ac:dyDescent="0.3">
      <c r="A1618" s="12" t="s">
        <v>3529</v>
      </c>
      <c r="B1618" s="12" t="s">
        <v>160</v>
      </c>
      <c r="C1618" s="12" t="s">
        <v>160</v>
      </c>
      <c r="D1618" s="12" t="s">
        <v>161</v>
      </c>
      <c r="E1618" s="12" t="s">
        <v>2978</v>
      </c>
      <c r="F1618" s="12" t="s">
        <v>1861</v>
      </c>
      <c r="G1618" s="12" t="s">
        <v>1861</v>
      </c>
      <c r="H1618" s="12" t="b">
        <v>1</v>
      </c>
      <c r="I1618" s="12" t="b">
        <v>0</v>
      </c>
      <c r="J1618" s="12" t="b">
        <v>1</v>
      </c>
      <c r="K1618" s="12" t="b">
        <v>0</v>
      </c>
      <c r="L1618" s="12">
        <v>463.51656468172359</v>
      </c>
      <c r="M1618" s="12">
        <v>299.49919140258731</v>
      </c>
      <c r="N1618" s="12">
        <v>2878.595434131244</v>
      </c>
      <c r="O1618" s="12">
        <v>2175.3866568247349</v>
      </c>
      <c r="P1618" s="12">
        <v>0.59201542734867652</v>
      </c>
      <c r="Q1618" s="12">
        <v>0.8810849355746313</v>
      </c>
      <c r="R1618" s="12">
        <v>0.76042030540612604</v>
      </c>
      <c r="S1618" s="12">
        <v>0.63074138124908197</v>
      </c>
      <c r="T1618" s="12">
        <v>0.6946224039439316</v>
      </c>
      <c r="U1618" s="12">
        <v>0.71932642132215052</v>
      </c>
      <c r="V1618" s="12">
        <v>299.49919140258731</v>
      </c>
      <c r="W1618" s="12">
        <v>2.3700444666075602</v>
      </c>
      <c r="X1618" s="12">
        <v>25.64267510687154</v>
      </c>
      <c r="Y1618" s="12">
        <v>703.20877730650864</v>
      </c>
      <c r="Z1618" s="12">
        <v>1.323256913937743</v>
      </c>
      <c r="AA1618" s="12" t="s">
        <v>1268</v>
      </c>
      <c r="AB1618" s="12"/>
    </row>
    <row r="1619" spans="1:28" x14ac:dyDescent="0.3">
      <c r="A1619" s="12" t="s">
        <v>3530</v>
      </c>
      <c r="B1619" s="12" t="s">
        <v>160</v>
      </c>
      <c r="C1619" s="12" t="s">
        <v>160</v>
      </c>
      <c r="D1619" s="12" t="s">
        <v>161</v>
      </c>
      <c r="E1619" s="12" t="s">
        <v>2978</v>
      </c>
      <c r="F1619" s="12" t="s">
        <v>32</v>
      </c>
      <c r="G1619" s="12" t="s">
        <v>32</v>
      </c>
      <c r="H1619" s="12" t="b">
        <v>1</v>
      </c>
      <c r="I1619" s="12" t="b">
        <v>1</v>
      </c>
      <c r="J1619" s="12" t="b">
        <v>0</v>
      </c>
      <c r="K1619" s="12" t="b">
        <v>0</v>
      </c>
      <c r="L1619" s="12">
        <v>386.97074840699571</v>
      </c>
      <c r="M1619" s="12">
        <v>281.44233708981079</v>
      </c>
      <c r="N1619" s="12">
        <v>4550.8478904167741</v>
      </c>
      <c r="O1619" s="12">
        <v>2449.312120001814</v>
      </c>
      <c r="P1619" s="12">
        <v>0.84580186876144814</v>
      </c>
      <c r="Q1619" s="12">
        <v>0.76118310133397338</v>
      </c>
      <c r="R1619" s="12">
        <v>0.7110713864243654</v>
      </c>
      <c r="S1619" s="12">
        <v>0.73976844527200225</v>
      </c>
      <c r="T1619" s="12">
        <v>0.7585519690948781</v>
      </c>
      <c r="U1619" s="12">
        <v>0.85525059175638118</v>
      </c>
      <c r="V1619" s="12">
        <v>281.44233708981079</v>
      </c>
      <c r="W1619" s="12">
        <v>3.8982117141132</v>
      </c>
      <c r="X1619" s="12">
        <v>22.90888704595692</v>
      </c>
      <c r="Y1619" s="12">
        <v>2101.535770414961</v>
      </c>
      <c r="Z1619" s="12">
        <v>1.858010603570363</v>
      </c>
      <c r="AA1619" s="12"/>
      <c r="AB1619" s="12"/>
    </row>
    <row r="1620" spans="1:28" x14ac:dyDescent="0.3">
      <c r="A1620" s="12" t="s">
        <v>3531</v>
      </c>
      <c r="B1620" s="12" t="s">
        <v>160</v>
      </c>
      <c r="C1620" s="12" t="s">
        <v>160</v>
      </c>
      <c r="D1620" s="12" t="s">
        <v>161</v>
      </c>
      <c r="E1620" s="12" t="s">
        <v>2978</v>
      </c>
      <c r="F1620" s="12" t="s">
        <v>32</v>
      </c>
      <c r="G1620" s="12" t="s">
        <v>32</v>
      </c>
      <c r="H1620" s="12" t="b">
        <v>1</v>
      </c>
      <c r="I1620" s="12" t="b">
        <v>1</v>
      </c>
      <c r="J1620" s="12" t="b">
        <v>0</v>
      </c>
      <c r="K1620" s="12" t="b">
        <v>0</v>
      </c>
      <c r="L1620" s="12">
        <v>396.26084373373101</v>
      </c>
      <c r="M1620" s="12">
        <v>302.71705941367401</v>
      </c>
      <c r="N1620" s="12">
        <v>4290.7960324633623</v>
      </c>
      <c r="O1620" s="12">
        <v>2418.816917516489</v>
      </c>
      <c r="P1620" s="12">
        <v>0.58860305481951558</v>
      </c>
      <c r="Q1620" s="12">
        <v>0.90332363512133662</v>
      </c>
      <c r="R1620" s="12">
        <v>0.75270808859313498</v>
      </c>
      <c r="S1620" s="12">
        <v>0.88142453990106562</v>
      </c>
      <c r="T1620" s="12">
        <v>0.73807012941335237</v>
      </c>
      <c r="U1620" s="12">
        <v>0.76533439791601399</v>
      </c>
      <c r="V1620" s="12">
        <v>302.71705941367401</v>
      </c>
      <c r="W1620" s="12">
        <v>0.95799763708456998</v>
      </c>
      <c r="X1620" s="12">
        <v>1.788992961489221</v>
      </c>
      <c r="Y1620" s="12">
        <v>1871.9791149468731</v>
      </c>
      <c r="Z1620" s="12">
        <v>1.773923442237588</v>
      </c>
      <c r="AA1620" s="12"/>
      <c r="AB1620" s="12"/>
    </row>
    <row r="1621" spans="1:28" x14ac:dyDescent="0.3">
      <c r="A1621" s="12" t="s">
        <v>3532</v>
      </c>
      <c r="B1621" s="12" t="s">
        <v>160</v>
      </c>
      <c r="C1621" s="12" t="s">
        <v>160</v>
      </c>
      <c r="D1621" s="12" t="s">
        <v>161</v>
      </c>
      <c r="E1621" s="12" t="s">
        <v>2978</v>
      </c>
      <c r="F1621" s="12" t="s">
        <v>32</v>
      </c>
      <c r="G1621" s="12" t="s">
        <v>32</v>
      </c>
      <c r="H1621" s="12" t="b">
        <v>1</v>
      </c>
      <c r="I1621" s="12" t="b">
        <v>1</v>
      </c>
      <c r="J1621" s="12" t="b">
        <v>0</v>
      </c>
      <c r="K1621" s="12" t="b">
        <v>0</v>
      </c>
      <c r="L1621" s="12">
        <v>425.7037165982901</v>
      </c>
      <c r="M1621" s="12">
        <v>279.63235354498602</v>
      </c>
      <c r="N1621" s="12">
        <v>3295.1624671572358</v>
      </c>
      <c r="O1621" s="12">
        <v>1728.0559371610291</v>
      </c>
      <c r="P1621" s="12">
        <v>0.80847952714139337</v>
      </c>
      <c r="Q1621" s="12">
        <v>0.79436377603013941</v>
      </c>
      <c r="R1621" s="12">
        <v>0.72863269402941422</v>
      </c>
      <c r="S1621" s="12">
        <v>0.66248355649841251</v>
      </c>
      <c r="T1621" s="12">
        <v>0.88794414560842116</v>
      </c>
      <c r="U1621" s="12">
        <v>0.85130872848553751</v>
      </c>
      <c r="V1621" s="12">
        <v>279.63235354498602</v>
      </c>
      <c r="W1621" s="12">
        <v>5.3918155481660497</v>
      </c>
      <c r="X1621" s="12">
        <v>49.240488760913728</v>
      </c>
      <c r="Y1621" s="12">
        <v>1567.106529996207</v>
      </c>
      <c r="Z1621" s="12">
        <v>1.906860996971405</v>
      </c>
      <c r="AA1621" s="12"/>
      <c r="AB1621" s="12"/>
    </row>
    <row r="1622" spans="1:28" x14ac:dyDescent="0.3">
      <c r="A1622" s="12" t="s">
        <v>3533</v>
      </c>
      <c r="B1622" s="12" t="s">
        <v>160</v>
      </c>
      <c r="C1622" s="12" t="s">
        <v>160</v>
      </c>
      <c r="D1622" s="12" t="s">
        <v>161</v>
      </c>
      <c r="E1622" s="12" t="s">
        <v>2978</v>
      </c>
      <c r="F1622" s="12" t="s">
        <v>832</v>
      </c>
      <c r="G1622" s="12" t="s">
        <v>832</v>
      </c>
      <c r="H1622" s="12" t="b">
        <v>0</v>
      </c>
      <c r="I1622" s="12" t="b">
        <v>0</v>
      </c>
      <c r="J1622" s="12" t="b">
        <v>0</v>
      </c>
      <c r="K1622" s="12" t="b">
        <v>0</v>
      </c>
      <c r="L1622" s="12">
        <v>381.40760213420322</v>
      </c>
      <c r="M1622" s="12">
        <v>288.3333678464785</v>
      </c>
      <c r="N1622" s="12">
        <v>4875.6039411736328</v>
      </c>
      <c r="O1622" s="12">
        <v>1668.5307500576109</v>
      </c>
      <c r="P1622" s="12">
        <v>0.5239875839376793</v>
      </c>
      <c r="Q1622" s="12">
        <v>0.79687842349724913</v>
      </c>
      <c r="R1622" s="12">
        <v>0.76351551808260032</v>
      </c>
      <c r="S1622" s="12">
        <v>0.77545540527756718</v>
      </c>
      <c r="T1622" s="12">
        <v>0.94648264997034937</v>
      </c>
      <c r="U1622" s="12">
        <v>0.84767575863718281</v>
      </c>
      <c r="V1622" s="12">
        <v>288.3333678464785</v>
      </c>
      <c r="W1622" s="12"/>
      <c r="X1622" s="12"/>
      <c r="Y1622" s="12">
        <v>3207.0731911160219</v>
      </c>
      <c r="Z1622" s="12">
        <v>2.9220941484028922</v>
      </c>
      <c r="AA1622" s="12"/>
      <c r="AB1622" s="12"/>
    </row>
    <row r="1623" spans="1:28" x14ac:dyDescent="0.3">
      <c r="A1623" s="12" t="s">
        <v>3534</v>
      </c>
      <c r="B1623" s="12" t="s">
        <v>160</v>
      </c>
      <c r="C1623" s="12" t="s">
        <v>160</v>
      </c>
      <c r="D1623" s="12" t="s">
        <v>161</v>
      </c>
      <c r="E1623" s="12" t="s">
        <v>2978</v>
      </c>
      <c r="F1623" s="12" t="s">
        <v>32</v>
      </c>
      <c r="G1623" s="12" t="s">
        <v>32</v>
      </c>
      <c r="H1623" s="12" t="b">
        <v>1</v>
      </c>
      <c r="I1623" s="12" t="b">
        <v>1</v>
      </c>
      <c r="J1623" s="12" t="b">
        <v>0</v>
      </c>
      <c r="K1623" s="12" t="b">
        <v>0</v>
      </c>
      <c r="L1623" s="12">
        <v>418.52861434600368</v>
      </c>
      <c r="M1623" s="12">
        <v>282.14320801227109</v>
      </c>
      <c r="N1623" s="12">
        <v>2402.3973286781861</v>
      </c>
      <c r="O1623" s="12">
        <v>1733.3488033332651</v>
      </c>
      <c r="P1623" s="12">
        <v>0.50544096253536286</v>
      </c>
      <c r="Q1623" s="12">
        <v>0.8218286060296438</v>
      </c>
      <c r="R1623" s="12">
        <v>0.8352536288208493</v>
      </c>
      <c r="S1623" s="12">
        <v>0.73301549454195636</v>
      </c>
      <c r="T1623" s="12">
        <v>0.68723921312709613</v>
      </c>
      <c r="U1623" s="12">
        <v>0.94165122723863637</v>
      </c>
      <c r="V1623" s="12">
        <v>282.14320801227109</v>
      </c>
      <c r="W1623" s="12">
        <v>1.88055196682375</v>
      </c>
      <c r="X1623" s="12">
        <v>11.61372308174241</v>
      </c>
      <c r="Y1623" s="12">
        <v>669.04852534492102</v>
      </c>
      <c r="Z1623" s="12">
        <v>1.385986088927011</v>
      </c>
      <c r="AA1623" s="12"/>
      <c r="AB1623" s="12"/>
    </row>
    <row r="1624" spans="1:28" x14ac:dyDescent="0.3">
      <c r="A1624" s="12" t="s">
        <v>3535</v>
      </c>
      <c r="B1624" s="12" t="s">
        <v>160</v>
      </c>
      <c r="C1624" s="12" t="s">
        <v>160</v>
      </c>
      <c r="D1624" s="12" t="s">
        <v>161</v>
      </c>
      <c r="E1624" s="12" t="s">
        <v>2978</v>
      </c>
      <c r="F1624" s="12" t="s">
        <v>32</v>
      </c>
      <c r="G1624" s="12" t="s">
        <v>32</v>
      </c>
      <c r="H1624" s="12" t="b">
        <v>1</v>
      </c>
      <c r="I1624" s="12" t="b">
        <v>0</v>
      </c>
      <c r="J1624" s="12" t="b">
        <v>1</v>
      </c>
      <c r="K1624" s="12" t="b">
        <v>0</v>
      </c>
      <c r="L1624" s="12">
        <v>481.96850669985861</v>
      </c>
      <c r="M1624" s="12">
        <v>286.12309628504471</v>
      </c>
      <c r="N1624" s="12">
        <v>4490.7694819822427</v>
      </c>
      <c r="O1624" s="12">
        <v>1931.052982177544</v>
      </c>
      <c r="P1624" s="12">
        <v>0.50373714532859359</v>
      </c>
      <c r="Q1624" s="12">
        <v>0.81514930100398619</v>
      </c>
      <c r="R1624" s="12">
        <v>0.86666910453633217</v>
      </c>
      <c r="S1624" s="12">
        <v>0.63541233261323538</v>
      </c>
      <c r="T1624" s="12">
        <v>0.88952171767405042</v>
      </c>
      <c r="U1624" s="12">
        <v>0.90558702060785379</v>
      </c>
      <c r="V1624" s="12">
        <v>286.12309628504471</v>
      </c>
      <c r="W1624" s="12">
        <v>5.5758135620395697</v>
      </c>
      <c r="X1624" s="12">
        <v>56.16331828208304</v>
      </c>
      <c r="Y1624" s="12">
        <v>2559.7164998046992</v>
      </c>
      <c r="Z1624" s="12">
        <v>2.3255547742238769</v>
      </c>
      <c r="AA1624" s="12"/>
      <c r="AB1624" s="12"/>
    </row>
    <row r="1625" spans="1:28" x14ac:dyDescent="0.3">
      <c r="A1625" s="12" t="s">
        <v>3536</v>
      </c>
      <c r="B1625" s="12" t="s">
        <v>160</v>
      </c>
      <c r="C1625" s="12" t="s">
        <v>160</v>
      </c>
      <c r="D1625" s="12" t="s">
        <v>161</v>
      </c>
      <c r="E1625" s="12" t="s">
        <v>2978</v>
      </c>
      <c r="F1625" s="12" t="s">
        <v>1861</v>
      </c>
      <c r="G1625" s="12" t="s">
        <v>1861</v>
      </c>
      <c r="H1625" s="12" t="b">
        <v>1</v>
      </c>
      <c r="I1625" s="12" t="b">
        <v>0</v>
      </c>
      <c r="J1625" s="12" t="b">
        <v>0</v>
      </c>
      <c r="K1625" s="12" t="b">
        <v>0</v>
      </c>
      <c r="L1625" s="12">
        <v>461.09732165583438</v>
      </c>
      <c r="M1625" s="12">
        <v>291.9289187001321</v>
      </c>
      <c r="N1625" s="12">
        <v>2125.2187669636801</v>
      </c>
      <c r="O1625" s="12">
        <v>1753.1412430243849</v>
      </c>
      <c r="P1625" s="12">
        <v>0.78214113633137594</v>
      </c>
      <c r="Q1625" s="12">
        <v>0.87774705752407223</v>
      </c>
      <c r="R1625" s="12">
        <v>0.67597669692212192</v>
      </c>
      <c r="S1625" s="12">
        <v>0.61843003216650616</v>
      </c>
      <c r="T1625" s="12">
        <v>0.67075545120443347</v>
      </c>
      <c r="U1625" s="12">
        <v>0.8567522549812463</v>
      </c>
      <c r="V1625" s="12">
        <v>291.9289187001321</v>
      </c>
      <c r="W1625" s="12">
        <v>1.9024266010290101</v>
      </c>
      <c r="X1625" s="12">
        <v>20.55187068576469</v>
      </c>
      <c r="Y1625" s="12">
        <v>372.07752393929468</v>
      </c>
      <c r="Z1625" s="12">
        <v>1.212234767403803</v>
      </c>
      <c r="AA1625" s="12" t="s">
        <v>1268</v>
      </c>
      <c r="AB1625" s="12"/>
    </row>
    <row r="1626" spans="1:28" x14ac:dyDescent="0.3">
      <c r="A1626" s="12" t="s">
        <v>3537</v>
      </c>
      <c r="B1626" s="12" t="s">
        <v>160</v>
      </c>
      <c r="C1626" s="12" t="s">
        <v>160</v>
      </c>
      <c r="D1626" s="12" t="s">
        <v>161</v>
      </c>
      <c r="E1626" s="12" t="s">
        <v>2978</v>
      </c>
      <c r="F1626" s="12" t="s">
        <v>1861</v>
      </c>
      <c r="G1626" s="12" t="s">
        <v>1861</v>
      </c>
      <c r="H1626" s="12" t="b">
        <v>1</v>
      </c>
      <c r="I1626" s="12" t="b">
        <v>0</v>
      </c>
      <c r="J1626" s="12" t="b">
        <v>1</v>
      </c>
      <c r="K1626" s="12" t="b">
        <v>0</v>
      </c>
      <c r="L1626" s="12">
        <v>485.86490535773038</v>
      </c>
      <c r="M1626" s="12">
        <v>299.76069818322583</v>
      </c>
      <c r="N1626" s="12">
        <v>3603.1482318366061</v>
      </c>
      <c r="O1626" s="12">
        <v>1554.4103131313909</v>
      </c>
      <c r="P1626" s="12">
        <v>0.83982056033225827</v>
      </c>
      <c r="Q1626" s="12">
        <v>0.77823196048552712</v>
      </c>
      <c r="R1626" s="12">
        <v>0.74288740720291246</v>
      </c>
      <c r="S1626" s="12">
        <v>0.84197091521613043</v>
      </c>
      <c r="T1626" s="12">
        <v>0.61091303645058082</v>
      </c>
      <c r="U1626" s="12">
        <v>0.88655692822950638</v>
      </c>
      <c r="V1626" s="12">
        <v>299.76069818322583</v>
      </c>
      <c r="W1626" s="12">
        <v>7.0716832973416102</v>
      </c>
      <c r="X1626" s="12">
        <v>100.4122427635195</v>
      </c>
      <c r="Y1626" s="12">
        <v>2048.7379187052152</v>
      </c>
      <c r="Z1626" s="12">
        <v>2.3180161643279318</v>
      </c>
      <c r="AA1626" s="12" t="s">
        <v>1268</v>
      </c>
      <c r="AB1626" s="12"/>
    </row>
    <row r="1627" spans="1:28" x14ac:dyDescent="0.3">
      <c r="A1627" s="12" t="s">
        <v>3538</v>
      </c>
      <c r="B1627" s="12" t="s">
        <v>160</v>
      </c>
      <c r="C1627" s="12" t="s">
        <v>160</v>
      </c>
      <c r="D1627" s="12" t="s">
        <v>161</v>
      </c>
      <c r="E1627" s="12" t="s">
        <v>2978</v>
      </c>
      <c r="F1627" s="12" t="s">
        <v>832</v>
      </c>
      <c r="G1627" s="12" t="s">
        <v>832</v>
      </c>
      <c r="H1627" s="12" t="b">
        <v>0</v>
      </c>
      <c r="I1627" s="12" t="b">
        <v>0</v>
      </c>
      <c r="J1627" s="12" t="b">
        <v>0</v>
      </c>
      <c r="K1627" s="12" t="b">
        <v>0</v>
      </c>
      <c r="L1627" s="12">
        <v>454.6338630555237</v>
      </c>
      <c r="M1627" s="12">
        <v>287.36924977065468</v>
      </c>
      <c r="N1627" s="12">
        <v>3623.8746057876701</v>
      </c>
      <c r="O1627" s="12">
        <v>2257.2319154274119</v>
      </c>
      <c r="P1627" s="12">
        <v>0.72226758969092764</v>
      </c>
      <c r="Q1627" s="12">
        <v>0.8391460100346767</v>
      </c>
      <c r="R1627" s="12">
        <v>0.87344849577268624</v>
      </c>
      <c r="S1627" s="12">
        <v>0.6559622779084604</v>
      </c>
      <c r="T1627" s="12">
        <v>0.80701689204800076</v>
      </c>
      <c r="U1627" s="12">
        <v>0.88188489789580515</v>
      </c>
      <c r="V1627" s="12">
        <v>287.36924977065468</v>
      </c>
      <c r="W1627" s="12"/>
      <c r="X1627" s="12"/>
      <c r="Y1627" s="12">
        <v>1366.6426903602569</v>
      </c>
      <c r="Z1627" s="12">
        <v>1.6054507208673241</v>
      </c>
      <c r="AA1627" s="12"/>
      <c r="AB1627" s="12"/>
    </row>
    <row r="1628" spans="1:28" x14ac:dyDescent="0.3">
      <c r="A1628" s="12" t="s">
        <v>3539</v>
      </c>
      <c r="B1628" s="12" t="s">
        <v>160</v>
      </c>
      <c r="C1628" s="12" t="s">
        <v>160</v>
      </c>
      <c r="D1628" s="12" t="s">
        <v>161</v>
      </c>
      <c r="E1628" s="12" t="s">
        <v>2978</v>
      </c>
      <c r="F1628" s="12" t="s">
        <v>1861</v>
      </c>
      <c r="G1628" s="12" t="s">
        <v>1861</v>
      </c>
      <c r="H1628" s="12" t="b">
        <v>1</v>
      </c>
      <c r="I1628" s="12" t="b">
        <v>0</v>
      </c>
      <c r="J1628" s="12" t="b">
        <v>1</v>
      </c>
      <c r="K1628" s="12" t="b">
        <v>0</v>
      </c>
      <c r="L1628" s="12">
        <v>487.93942926265339</v>
      </c>
      <c r="M1628" s="12">
        <v>297.66496901158081</v>
      </c>
      <c r="N1628" s="12">
        <v>4044.6302743125748</v>
      </c>
      <c r="O1628" s="12">
        <v>1665.8999644388491</v>
      </c>
      <c r="P1628" s="12">
        <v>0.83825447965645106</v>
      </c>
      <c r="Q1628" s="12">
        <v>0.86019634386834032</v>
      </c>
      <c r="R1628" s="12">
        <v>0.8683924288342052</v>
      </c>
      <c r="S1628" s="12">
        <v>0.8465788890063749</v>
      </c>
      <c r="T1628" s="12">
        <v>0.7656862177743462</v>
      </c>
      <c r="U1628" s="12">
        <v>0.74659061984005803</v>
      </c>
      <c r="V1628" s="12">
        <v>297.66496901158081</v>
      </c>
      <c r="W1628" s="12">
        <v>8.0735386806492304</v>
      </c>
      <c r="X1628" s="12">
        <v>99.917946504866677</v>
      </c>
      <c r="Y1628" s="12">
        <v>2378.7303098737261</v>
      </c>
      <c r="Z1628" s="12">
        <v>2.427895048112922</v>
      </c>
      <c r="AA1628" s="12" t="s">
        <v>1268</v>
      </c>
      <c r="AB1628" s="12"/>
    </row>
    <row r="1629" spans="1:28" x14ac:dyDescent="0.3">
      <c r="A1629" s="12" t="s">
        <v>3540</v>
      </c>
      <c r="B1629" s="12" t="s">
        <v>160</v>
      </c>
      <c r="C1629" s="12" t="s">
        <v>160</v>
      </c>
      <c r="D1629" s="12" t="s">
        <v>161</v>
      </c>
      <c r="E1629" s="12" t="s">
        <v>2978</v>
      </c>
      <c r="F1629" s="12" t="s">
        <v>32</v>
      </c>
      <c r="G1629" s="12" t="s">
        <v>32</v>
      </c>
      <c r="H1629" s="12" t="b">
        <v>1</v>
      </c>
      <c r="I1629" s="12" t="b">
        <v>1</v>
      </c>
      <c r="J1629" s="12" t="b">
        <v>0</v>
      </c>
      <c r="K1629" s="12" t="b">
        <v>0</v>
      </c>
      <c r="L1629" s="12">
        <v>424.5756752168117</v>
      </c>
      <c r="M1629" s="12">
        <v>301.46869844555829</v>
      </c>
      <c r="N1629" s="12">
        <v>3260.063627665817</v>
      </c>
      <c r="O1629" s="12">
        <v>1712.6364184071051</v>
      </c>
      <c r="P1629" s="12">
        <v>0.55009862702522971</v>
      </c>
      <c r="Q1629" s="12">
        <v>0.84568005361798781</v>
      </c>
      <c r="R1629" s="12">
        <v>0.80965599751129524</v>
      </c>
      <c r="S1629" s="12">
        <v>0.79809030068826203</v>
      </c>
      <c r="T1629" s="12">
        <v>0.79895171002773857</v>
      </c>
      <c r="U1629" s="12">
        <v>0.75422120400677839</v>
      </c>
      <c r="V1629" s="12">
        <v>301.46869844555829</v>
      </c>
      <c r="W1629" s="12">
        <v>4.9617446832086598</v>
      </c>
      <c r="X1629" s="12">
        <v>27.438158900281611</v>
      </c>
      <c r="Y1629" s="12">
        <v>1547.4272092587121</v>
      </c>
      <c r="Z1629" s="12">
        <v>1.9035351535371119</v>
      </c>
      <c r="AA1629" s="12"/>
      <c r="AB1629" s="12"/>
    </row>
    <row r="1630" spans="1:28" x14ac:dyDescent="0.3">
      <c r="A1630" s="12" t="s">
        <v>3541</v>
      </c>
      <c r="B1630" s="12" t="s">
        <v>160</v>
      </c>
      <c r="C1630" s="12" t="s">
        <v>160</v>
      </c>
      <c r="D1630" s="12" t="s">
        <v>161</v>
      </c>
      <c r="E1630" s="12" t="s">
        <v>2978</v>
      </c>
      <c r="F1630" s="12" t="s">
        <v>32</v>
      </c>
      <c r="G1630" s="12" t="s">
        <v>32</v>
      </c>
      <c r="H1630" s="12" t="b">
        <v>1</v>
      </c>
      <c r="I1630" s="12" t="b">
        <v>0</v>
      </c>
      <c r="J1630" s="12" t="b">
        <v>1</v>
      </c>
      <c r="K1630" s="12" t="b">
        <v>0</v>
      </c>
      <c r="L1630" s="12">
        <v>499.82679585291538</v>
      </c>
      <c r="M1630" s="12">
        <v>283.32014294928001</v>
      </c>
      <c r="N1630" s="12">
        <v>4518.0762702706579</v>
      </c>
      <c r="O1630" s="12">
        <v>1637.89169753281</v>
      </c>
      <c r="P1630" s="12">
        <v>0.64798541204954696</v>
      </c>
      <c r="Q1630" s="12">
        <v>0.81458834758505128</v>
      </c>
      <c r="R1630" s="12">
        <v>0.66119699757173966</v>
      </c>
      <c r="S1630" s="12">
        <v>0.80954716864660603</v>
      </c>
      <c r="T1630" s="12">
        <v>0.79718671014334241</v>
      </c>
      <c r="U1630" s="12">
        <v>0.89523596412900375</v>
      </c>
      <c r="V1630" s="12">
        <v>283.32014294928001</v>
      </c>
      <c r="W1630" s="12">
        <v>7.3589336250348314</v>
      </c>
      <c r="X1630" s="12">
        <v>118.8873207976074</v>
      </c>
      <c r="Y1630" s="12">
        <v>2880.1845727378482</v>
      </c>
      <c r="Z1630" s="12">
        <v>2.7584707078473678</v>
      </c>
      <c r="AA1630" s="12"/>
      <c r="AB1630" s="12"/>
    </row>
    <row r="1631" spans="1:28" x14ac:dyDescent="0.3">
      <c r="A1631" s="12" t="s">
        <v>3542</v>
      </c>
      <c r="B1631" s="12" t="s">
        <v>160</v>
      </c>
      <c r="C1631" s="12" t="s">
        <v>160</v>
      </c>
      <c r="D1631" s="12" t="s">
        <v>161</v>
      </c>
      <c r="E1631" s="12" t="s">
        <v>2978</v>
      </c>
      <c r="F1631" s="12" t="s">
        <v>32</v>
      </c>
      <c r="G1631" s="12" t="s">
        <v>32</v>
      </c>
      <c r="H1631" s="12" t="b">
        <v>1</v>
      </c>
      <c r="I1631" s="12" t="b">
        <v>0</v>
      </c>
      <c r="J1631" s="12" t="b">
        <v>1</v>
      </c>
      <c r="K1631" s="12" t="b">
        <v>0</v>
      </c>
      <c r="L1631" s="12">
        <v>483.17925820739322</v>
      </c>
      <c r="M1631" s="12">
        <v>279.47326576896222</v>
      </c>
      <c r="N1631" s="12">
        <v>3342.764875777179</v>
      </c>
      <c r="O1631" s="12">
        <v>2479.3589550311531</v>
      </c>
      <c r="P1631" s="12">
        <v>0.68313591897834236</v>
      </c>
      <c r="Q1631" s="12">
        <v>0.88918487393598966</v>
      </c>
      <c r="R1631" s="12">
        <v>0.76296907933721292</v>
      </c>
      <c r="S1631" s="12">
        <v>0.79916655314539387</v>
      </c>
      <c r="T1631" s="12">
        <v>0.73000888420431642</v>
      </c>
      <c r="U1631" s="12">
        <v>0.89067218506576884</v>
      </c>
      <c r="V1631" s="12">
        <v>279.47326576896222</v>
      </c>
      <c r="W1631" s="12">
        <v>2.5364410569025702</v>
      </c>
      <c r="X1631" s="12">
        <v>39.721197405749983</v>
      </c>
      <c r="Y1631" s="12">
        <v>863.40592074602546</v>
      </c>
      <c r="Z1631" s="12">
        <v>1.348237563178978</v>
      </c>
      <c r="AA1631" s="12"/>
      <c r="AB1631" s="12"/>
    </row>
    <row r="1632" spans="1:28" x14ac:dyDescent="0.3">
      <c r="A1632" s="12" t="s">
        <v>3543</v>
      </c>
      <c r="B1632" s="12" t="s">
        <v>160</v>
      </c>
      <c r="C1632" s="12" t="s">
        <v>160</v>
      </c>
      <c r="D1632" s="12" t="s">
        <v>161</v>
      </c>
      <c r="E1632" s="12" t="s">
        <v>2978</v>
      </c>
      <c r="F1632" s="12" t="s">
        <v>1861</v>
      </c>
      <c r="G1632" s="12" t="s">
        <v>1861</v>
      </c>
      <c r="H1632" s="12" t="b">
        <v>1</v>
      </c>
      <c r="I1632" s="12" t="b">
        <v>0</v>
      </c>
      <c r="J1632" s="12" t="b">
        <v>1</v>
      </c>
      <c r="K1632" s="12" t="b">
        <v>0</v>
      </c>
      <c r="L1632" s="12">
        <v>466.37450309139552</v>
      </c>
      <c r="M1632" s="12">
        <v>278.81274655947539</v>
      </c>
      <c r="N1632" s="12">
        <v>2315.6882238405728</v>
      </c>
      <c r="O1632" s="12">
        <v>1563.936972237929</v>
      </c>
      <c r="P1632" s="12">
        <v>0.52794697384327571</v>
      </c>
      <c r="Q1632" s="12">
        <v>0.77543273715458672</v>
      </c>
      <c r="R1632" s="12">
        <v>0.69843183515800356</v>
      </c>
      <c r="S1632" s="12">
        <v>0.62470746498502472</v>
      </c>
      <c r="T1632" s="12">
        <v>0.60038198088424355</v>
      </c>
      <c r="U1632" s="12">
        <v>0.76831042874372646</v>
      </c>
      <c r="V1632" s="12">
        <v>278.81274655947539</v>
      </c>
      <c r="W1632" s="12">
        <v>2.84457644258356</v>
      </c>
      <c r="X1632" s="12">
        <v>34.922895191698743</v>
      </c>
      <c r="Y1632" s="12">
        <v>751.75125160264452</v>
      </c>
      <c r="Z1632" s="12">
        <v>1.4806787389436289</v>
      </c>
      <c r="AA1632" s="12" t="s">
        <v>1268</v>
      </c>
      <c r="AB1632" s="12"/>
    </row>
    <row r="1633" spans="1:28" x14ac:dyDescent="0.3">
      <c r="A1633" s="12" t="s">
        <v>3544</v>
      </c>
      <c r="B1633" s="12" t="s">
        <v>160</v>
      </c>
      <c r="C1633" s="12" t="s">
        <v>160</v>
      </c>
      <c r="D1633" s="12" t="s">
        <v>161</v>
      </c>
      <c r="E1633" s="12" t="s">
        <v>2978</v>
      </c>
      <c r="F1633" s="12" t="s">
        <v>3483</v>
      </c>
      <c r="G1633" s="12"/>
      <c r="H1633" s="12" t="b">
        <v>0</v>
      </c>
      <c r="I1633" s="12" t="b">
        <v>0</v>
      </c>
      <c r="J1633" s="12"/>
      <c r="K1633" s="12" t="b">
        <v>1</v>
      </c>
      <c r="L1633" s="12">
        <v>472.81300235477971</v>
      </c>
      <c r="M1633" s="12">
        <v>290.59018006716559</v>
      </c>
      <c r="N1633" s="12">
        <v>2075.965331776471</v>
      </c>
      <c r="O1633" s="12">
        <v>1778.0868230413139</v>
      </c>
      <c r="P1633" s="12">
        <v>0.81372135526630229</v>
      </c>
      <c r="Q1633" s="12">
        <v>0.90640042886113659</v>
      </c>
      <c r="R1633" s="12">
        <v>0.84871782318914413</v>
      </c>
      <c r="S1633" s="12">
        <v>0.86666789155060464</v>
      </c>
      <c r="T1633" s="12">
        <v>0.86427702531999429</v>
      </c>
      <c r="U1633" s="12">
        <v>0.84628957073854605</v>
      </c>
      <c r="V1633" s="12"/>
      <c r="W1633" s="12"/>
      <c r="X1633" s="12"/>
      <c r="Y1633" s="12">
        <v>297.87850873515748</v>
      </c>
      <c r="Z1633" s="12">
        <v>1.167527538517863</v>
      </c>
      <c r="AA1633" s="12"/>
      <c r="AB1633" s="12"/>
    </row>
    <row r="1634" spans="1:28" x14ac:dyDescent="0.3">
      <c r="A1634" s="12" t="s">
        <v>3545</v>
      </c>
      <c r="B1634" s="12" t="s">
        <v>160</v>
      </c>
      <c r="C1634" s="12" t="s">
        <v>160</v>
      </c>
      <c r="D1634" s="12" t="s">
        <v>161</v>
      </c>
      <c r="E1634" s="12" t="s">
        <v>2978</v>
      </c>
      <c r="F1634" s="12" t="s">
        <v>3483</v>
      </c>
      <c r="G1634" s="12"/>
      <c r="H1634" s="12" t="b">
        <v>0</v>
      </c>
      <c r="I1634" s="12" t="b">
        <v>0</v>
      </c>
      <c r="J1634" s="12"/>
      <c r="K1634" s="12" t="b">
        <v>1</v>
      </c>
      <c r="L1634" s="12">
        <v>405.85665042179642</v>
      </c>
      <c r="M1634" s="12">
        <v>294.16214716605998</v>
      </c>
      <c r="N1634" s="12">
        <v>2093.6371901408402</v>
      </c>
      <c r="O1634" s="12">
        <v>1951.892694854916</v>
      </c>
      <c r="P1634" s="12">
        <v>0.58078385676956035</v>
      </c>
      <c r="Q1634" s="12">
        <v>0.90228618338067479</v>
      </c>
      <c r="R1634" s="12">
        <v>0.85203029948617437</v>
      </c>
      <c r="S1634" s="12">
        <v>0.61264304242378298</v>
      </c>
      <c r="T1634" s="12">
        <v>0.77922225269592493</v>
      </c>
      <c r="U1634" s="12">
        <v>0.86297837310121417</v>
      </c>
      <c r="V1634" s="12"/>
      <c r="W1634" s="12"/>
      <c r="X1634" s="12"/>
      <c r="Y1634" s="12">
        <v>141.7444952859241</v>
      </c>
      <c r="Z1634" s="12">
        <v>1.0726189998351621</v>
      </c>
      <c r="AA1634" s="12"/>
      <c r="AB1634" s="12"/>
    </row>
    <row r="1635" spans="1:28" x14ac:dyDescent="0.3">
      <c r="A1635" s="12" t="s">
        <v>3546</v>
      </c>
      <c r="B1635" s="12" t="s">
        <v>160</v>
      </c>
      <c r="C1635" s="12" t="s">
        <v>160</v>
      </c>
      <c r="D1635" s="12" t="s">
        <v>161</v>
      </c>
      <c r="E1635" s="12" t="s">
        <v>2978</v>
      </c>
      <c r="F1635" s="12" t="s">
        <v>1861</v>
      </c>
      <c r="G1635" s="12" t="s">
        <v>1861</v>
      </c>
      <c r="H1635" s="12" t="b">
        <v>1</v>
      </c>
      <c r="I1635" s="12" t="b">
        <v>0</v>
      </c>
      <c r="J1635" s="12" t="b">
        <v>1</v>
      </c>
      <c r="K1635" s="12" t="b">
        <v>0</v>
      </c>
      <c r="L1635" s="12">
        <v>477.4981640360661</v>
      </c>
      <c r="M1635" s="12">
        <v>287.09198844200341</v>
      </c>
      <c r="N1635" s="12">
        <v>3222.2612410190291</v>
      </c>
      <c r="O1635" s="12">
        <v>2261.1829933567169</v>
      </c>
      <c r="P1635" s="12">
        <v>0.73535297918766629</v>
      </c>
      <c r="Q1635" s="12">
        <v>0.89827536355477267</v>
      </c>
      <c r="R1635" s="12">
        <v>0.75400525323920575</v>
      </c>
      <c r="S1635" s="12">
        <v>0.73216853632295575</v>
      </c>
      <c r="T1635" s="12">
        <v>0.81890386180152031</v>
      </c>
      <c r="U1635" s="12">
        <v>0.75935392434081406</v>
      </c>
      <c r="V1635" s="12">
        <v>287.09198844200341</v>
      </c>
      <c r="W1635" s="12">
        <v>3.4109315192835501</v>
      </c>
      <c r="X1635" s="12">
        <v>41.487064592795669</v>
      </c>
      <c r="Y1635" s="12">
        <v>961.07824766231124</v>
      </c>
      <c r="Z1635" s="12">
        <v>1.4250333787605549</v>
      </c>
      <c r="AA1635" s="12" t="s">
        <v>1268</v>
      </c>
      <c r="AB1635" s="12"/>
    </row>
    <row r="1636" spans="1:28" x14ac:dyDescent="0.3">
      <c r="A1636" s="12" t="s">
        <v>3547</v>
      </c>
      <c r="B1636" s="12" t="s">
        <v>160</v>
      </c>
      <c r="C1636" s="12" t="s">
        <v>160</v>
      </c>
      <c r="D1636" s="12" t="s">
        <v>161</v>
      </c>
      <c r="E1636" s="12" t="s">
        <v>2978</v>
      </c>
      <c r="F1636" s="12" t="s">
        <v>32</v>
      </c>
      <c r="G1636" s="12" t="s">
        <v>32</v>
      </c>
      <c r="H1636" s="12" t="b">
        <v>1</v>
      </c>
      <c r="I1636" s="12" t="b">
        <v>1</v>
      </c>
      <c r="J1636" s="12" t="b">
        <v>0</v>
      </c>
      <c r="K1636" s="12" t="b">
        <v>0</v>
      </c>
      <c r="L1636" s="12">
        <v>407.4118337847604</v>
      </c>
      <c r="M1636" s="12">
        <v>279.73162864126181</v>
      </c>
      <c r="N1636" s="12">
        <v>4460.0769572029194</v>
      </c>
      <c r="O1636" s="12">
        <v>2272.0976529555169</v>
      </c>
      <c r="P1636" s="12">
        <v>0.70999743832628459</v>
      </c>
      <c r="Q1636" s="12">
        <v>0.84892610598584117</v>
      </c>
      <c r="R1636" s="12">
        <v>0.79709995985450721</v>
      </c>
      <c r="S1636" s="12">
        <v>0.6402524268779608</v>
      </c>
      <c r="T1636" s="12">
        <v>0.68994268444491647</v>
      </c>
      <c r="U1636" s="12">
        <v>0.91048754531470077</v>
      </c>
      <c r="V1636" s="12">
        <v>279.73162864126181</v>
      </c>
      <c r="W1636" s="12">
        <v>3.7724233654622301</v>
      </c>
      <c r="X1636" s="12">
        <v>18.6035385440547</v>
      </c>
      <c r="Y1636" s="12">
        <v>2187.9793042474021</v>
      </c>
      <c r="Z1636" s="12">
        <v>1.9629776701724531</v>
      </c>
      <c r="AA1636" s="12"/>
      <c r="AB1636" s="12"/>
    </row>
    <row r="1637" spans="1:28" x14ac:dyDescent="0.3">
      <c r="A1637" s="12" t="s">
        <v>3548</v>
      </c>
      <c r="B1637" s="12" t="s">
        <v>160</v>
      </c>
      <c r="C1637" s="12" t="s">
        <v>160</v>
      </c>
      <c r="D1637" s="12" t="s">
        <v>161</v>
      </c>
      <c r="E1637" s="12" t="s">
        <v>2978</v>
      </c>
      <c r="F1637" s="12" t="s">
        <v>1861</v>
      </c>
      <c r="G1637" s="12" t="s">
        <v>1861</v>
      </c>
      <c r="H1637" s="12" t="b">
        <v>1</v>
      </c>
      <c r="I1637" s="12" t="b">
        <v>0</v>
      </c>
      <c r="J1637" s="12" t="b">
        <v>1</v>
      </c>
      <c r="K1637" s="12" t="b">
        <v>0</v>
      </c>
      <c r="L1637" s="12">
        <v>492.69448519260271</v>
      </c>
      <c r="M1637" s="12">
        <v>281.70425869701808</v>
      </c>
      <c r="N1637" s="12">
        <v>4106.0153901851681</v>
      </c>
      <c r="O1637" s="12">
        <v>2298.0538154567312</v>
      </c>
      <c r="P1637" s="12">
        <v>0.59840206710716259</v>
      </c>
      <c r="Q1637" s="12">
        <v>0.81106274724315131</v>
      </c>
      <c r="R1637" s="12">
        <v>0.829454617420333</v>
      </c>
      <c r="S1637" s="12">
        <v>0.93420064649658641</v>
      </c>
      <c r="T1637" s="12">
        <v>0.88057620620193666</v>
      </c>
      <c r="U1637" s="12">
        <v>0.75194043258086973</v>
      </c>
      <c r="V1637" s="12">
        <v>281.70425869701808</v>
      </c>
      <c r="W1637" s="12">
        <v>4.5082132419841798</v>
      </c>
      <c r="X1637" s="12">
        <v>74.940577105704961</v>
      </c>
      <c r="Y1637" s="12">
        <v>1807.961574728437</v>
      </c>
      <c r="Z1637" s="12">
        <v>1.7867359600406529</v>
      </c>
      <c r="AA1637" s="12" t="s">
        <v>1268</v>
      </c>
      <c r="AB1637" s="12"/>
    </row>
    <row r="1638" spans="1:28" x14ac:dyDescent="0.3">
      <c r="A1638" s="12" t="s">
        <v>3549</v>
      </c>
      <c r="B1638" s="12" t="s">
        <v>160</v>
      </c>
      <c r="C1638" s="12" t="s">
        <v>160</v>
      </c>
      <c r="D1638" s="12" t="s">
        <v>161</v>
      </c>
      <c r="E1638" s="12" t="s">
        <v>2978</v>
      </c>
      <c r="F1638" s="12" t="s">
        <v>32</v>
      </c>
      <c r="G1638" s="12" t="s">
        <v>32</v>
      </c>
      <c r="H1638" s="12" t="b">
        <v>1</v>
      </c>
      <c r="I1638" s="12" t="b">
        <v>0</v>
      </c>
      <c r="J1638" s="12" t="b">
        <v>1</v>
      </c>
      <c r="K1638" s="12" t="b">
        <v>0</v>
      </c>
      <c r="L1638" s="12">
        <v>496.18039123682632</v>
      </c>
      <c r="M1638" s="12">
        <v>278.88022509586409</v>
      </c>
      <c r="N1638" s="12">
        <v>2613.3223792498502</v>
      </c>
      <c r="O1638" s="12">
        <v>1550.510570027684</v>
      </c>
      <c r="P1638" s="12">
        <v>0.51724757445646297</v>
      </c>
      <c r="Q1638" s="12">
        <v>0.91216615583554461</v>
      </c>
      <c r="R1638" s="12">
        <v>0.88673126916617306</v>
      </c>
      <c r="S1638" s="12">
        <v>0.89628931519618893</v>
      </c>
      <c r="T1638" s="12">
        <v>0.93621534945341156</v>
      </c>
      <c r="U1638" s="12">
        <v>0.89804415452540076</v>
      </c>
      <c r="V1638" s="12">
        <v>278.88022509586409</v>
      </c>
      <c r="W1638" s="12">
        <v>4.1132341782165707</v>
      </c>
      <c r="X1638" s="12">
        <v>82.319269712743449</v>
      </c>
      <c r="Y1638" s="12">
        <v>1062.811809222165</v>
      </c>
      <c r="Z1638" s="12">
        <v>1.6854592479193411</v>
      </c>
      <c r="AA1638" s="12"/>
      <c r="AB1638" s="12"/>
    </row>
    <row r="1639" spans="1:28" x14ac:dyDescent="0.3">
      <c r="A1639" s="12" t="s">
        <v>3550</v>
      </c>
      <c r="B1639" s="12" t="s">
        <v>160</v>
      </c>
      <c r="C1639" s="12" t="s">
        <v>160</v>
      </c>
      <c r="D1639" s="12" t="s">
        <v>161</v>
      </c>
      <c r="E1639" s="12" t="s">
        <v>2978</v>
      </c>
      <c r="F1639" s="12" t="s">
        <v>1861</v>
      </c>
      <c r="G1639" s="12" t="s">
        <v>1861</v>
      </c>
      <c r="H1639" s="12" t="b">
        <v>1</v>
      </c>
      <c r="I1639" s="12" t="b">
        <v>0</v>
      </c>
      <c r="J1639" s="12" t="b">
        <v>1</v>
      </c>
      <c r="K1639" s="12" t="b">
        <v>0</v>
      </c>
      <c r="L1639" s="12">
        <v>446.20112013808182</v>
      </c>
      <c r="M1639" s="12">
        <v>300.43484460520853</v>
      </c>
      <c r="N1639" s="12">
        <v>2729.1446046052638</v>
      </c>
      <c r="O1639" s="12">
        <v>2130.3486493774012</v>
      </c>
      <c r="P1639" s="12">
        <v>0.60944185316900246</v>
      </c>
      <c r="Q1639" s="12">
        <v>0.89623474174330719</v>
      </c>
      <c r="R1639" s="12">
        <v>0.78795412110167062</v>
      </c>
      <c r="S1639" s="12">
        <v>0.8615302837735177</v>
      </c>
      <c r="T1639" s="12">
        <v>0.66446720899486567</v>
      </c>
      <c r="U1639" s="12">
        <v>0.81717407315721369</v>
      </c>
      <c r="V1639" s="12">
        <v>300.43484460520853</v>
      </c>
      <c r="W1639" s="12">
        <v>2.2651918704042502</v>
      </c>
      <c r="X1639" s="12">
        <v>27.992462840353291</v>
      </c>
      <c r="Y1639" s="12">
        <v>598.79595522786258</v>
      </c>
      <c r="Z1639" s="12">
        <v>1.2810788531740389</v>
      </c>
      <c r="AA1639" s="12" t="s">
        <v>1268</v>
      </c>
      <c r="AB1639" s="12"/>
    </row>
    <row r="1640" spans="1:28" x14ac:dyDescent="0.3">
      <c r="A1640" s="12" t="s">
        <v>3551</v>
      </c>
      <c r="B1640" s="12" t="s">
        <v>160</v>
      </c>
      <c r="C1640" s="12" t="s">
        <v>160</v>
      </c>
      <c r="D1640" s="12" t="s">
        <v>161</v>
      </c>
      <c r="E1640" s="12" t="s">
        <v>2978</v>
      </c>
      <c r="F1640" s="12" t="s">
        <v>1861</v>
      </c>
      <c r="G1640" s="12" t="s">
        <v>1861</v>
      </c>
      <c r="H1640" s="12" t="b">
        <v>1</v>
      </c>
      <c r="I1640" s="12" t="b">
        <v>0</v>
      </c>
      <c r="J1640" s="12" t="b">
        <v>1</v>
      </c>
      <c r="K1640" s="12" t="b">
        <v>0</v>
      </c>
      <c r="L1640" s="12">
        <v>488.4701366724409</v>
      </c>
      <c r="M1640" s="12">
        <v>281.21060634092652</v>
      </c>
      <c r="N1640" s="12">
        <v>3117.8884416637252</v>
      </c>
      <c r="O1640" s="12">
        <v>2490.7972137766901</v>
      </c>
      <c r="P1640" s="12">
        <v>0.60140875241974656</v>
      </c>
      <c r="Q1640" s="12">
        <v>0.84236504912859866</v>
      </c>
      <c r="R1640" s="12">
        <v>0.84494872925782705</v>
      </c>
      <c r="S1640" s="12">
        <v>0.86411030317121662</v>
      </c>
      <c r="T1640" s="12">
        <v>0.86191101064514775</v>
      </c>
      <c r="U1640" s="12">
        <v>0.70549673057916873</v>
      </c>
      <c r="V1640" s="12">
        <v>281.21060634092652</v>
      </c>
      <c r="W1640" s="12">
        <v>1.78667430285064</v>
      </c>
      <c r="X1640" s="12">
        <v>26.342454271224</v>
      </c>
      <c r="Y1640" s="12">
        <v>627.09122788703462</v>
      </c>
      <c r="Z1640" s="12">
        <v>1.2517632605410709</v>
      </c>
      <c r="AA1640" s="12" t="s">
        <v>1268</v>
      </c>
      <c r="AB1640" s="12"/>
    </row>
    <row r="1641" spans="1:28" x14ac:dyDescent="0.3">
      <c r="A1641" s="12" t="s">
        <v>3552</v>
      </c>
      <c r="B1641" s="12" t="s">
        <v>160</v>
      </c>
      <c r="C1641" s="12" t="s">
        <v>160</v>
      </c>
      <c r="D1641" s="12" t="s">
        <v>161</v>
      </c>
      <c r="E1641" s="12" t="s">
        <v>2978</v>
      </c>
      <c r="F1641" s="12" t="s">
        <v>3483</v>
      </c>
      <c r="G1641" s="12"/>
      <c r="H1641" s="12" t="b">
        <v>0</v>
      </c>
      <c r="I1641" s="12" t="b">
        <v>0</v>
      </c>
      <c r="J1641" s="12"/>
      <c r="K1641" s="12" t="b">
        <v>1</v>
      </c>
      <c r="L1641" s="12">
        <v>493.47019141702083</v>
      </c>
      <c r="M1641" s="12">
        <v>295.01307481940682</v>
      </c>
      <c r="N1641" s="12">
        <v>2112.0005297382522</v>
      </c>
      <c r="O1641" s="12">
        <v>1965.709829521463</v>
      </c>
      <c r="P1641" s="12">
        <v>0.62474727359818738</v>
      </c>
      <c r="Q1641" s="12">
        <v>0.77008950525190167</v>
      </c>
      <c r="R1641" s="12">
        <v>0.68976354557855657</v>
      </c>
      <c r="S1641" s="12">
        <v>0.63755200598391948</v>
      </c>
      <c r="T1641" s="12">
        <v>0.83431000979970737</v>
      </c>
      <c r="U1641" s="12">
        <v>0.80948968525107767</v>
      </c>
      <c r="V1641" s="12"/>
      <c r="W1641" s="12"/>
      <c r="X1641" s="12"/>
      <c r="Y1641" s="12">
        <v>146.29070021678919</v>
      </c>
      <c r="Z1641" s="12">
        <v>1.074421309808683</v>
      </c>
      <c r="AA1641" s="12"/>
      <c r="AB1641" s="12"/>
    </row>
    <row r="1642" spans="1:28" x14ac:dyDescent="0.3">
      <c r="A1642" s="12" t="s">
        <v>3553</v>
      </c>
      <c r="B1642" s="12" t="s">
        <v>160</v>
      </c>
      <c r="C1642" s="12" t="s">
        <v>160</v>
      </c>
      <c r="D1642" s="12" t="s">
        <v>161</v>
      </c>
      <c r="E1642" s="12" t="s">
        <v>2978</v>
      </c>
      <c r="F1642" s="12" t="s">
        <v>32</v>
      </c>
      <c r="G1642" s="12" t="s">
        <v>32</v>
      </c>
      <c r="H1642" s="12" t="b">
        <v>1</v>
      </c>
      <c r="I1642" s="12" t="b">
        <v>0</v>
      </c>
      <c r="J1642" s="12" t="b">
        <v>1</v>
      </c>
      <c r="K1642" s="12" t="b">
        <v>0</v>
      </c>
      <c r="L1642" s="12">
        <v>452.20769249439951</v>
      </c>
      <c r="M1642" s="12">
        <v>284.10099210761388</v>
      </c>
      <c r="N1642" s="12">
        <v>2386.8500687968681</v>
      </c>
      <c r="O1642" s="12">
        <v>1921.426537752159</v>
      </c>
      <c r="P1642" s="12">
        <v>0.5452035036028553</v>
      </c>
      <c r="Q1642" s="12">
        <v>0.83639591197559049</v>
      </c>
      <c r="R1642" s="12">
        <v>0.67997338634774618</v>
      </c>
      <c r="S1642" s="12">
        <v>0.74283124354463437</v>
      </c>
      <c r="T1642" s="12">
        <v>0.63446748989019364</v>
      </c>
      <c r="U1642" s="12">
        <v>0.84357144786474803</v>
      </c>
      <c r="V1642" s="12">
        <v>284.10099210761388</v>
      </c>
      <c r="W1642" s="12">
        <v>1.6432158856196</v>
      </c>
      <c r="X1642" s="12">
        <v>21.291002004388179</v>
      </c>
      <c r="Y1642" s="12">
        <v>465.42353104470931</v>
      </c>
      <c r="Z1642" s="12">
        <v>1.2422281164020981</v>
      </c>
      <c r="AA1642" s="12"/>
      <c r="AB1642" s="12"/>
    </row>
    <row r="1643" spans="1:28" x14ac:dyDescent="0.3">
      <c r="A1643" s="12" t="s">
        <v>3554</v>
      </c>
      <c r="B1643" s="12" t="s">
        <v>160</v>
      </c>
      <c r="C1643" s="12" t="s">
        <v>160</v>
      </c>
      <c r="D1643" s="12" t="s">
        <v>161</v>
      </c>
      <c r="E1643" s="12" t="s">
        <v>2978</v>
      </c>
      <c r="F1643" s="12" t="s">
        <v>1861</v>
      </c>
      <c r="G1643" s="12" t="s">
        <v>1861</v>
      </c>
      <c r="H1643" s="12" t="b">
        <v>1</v>
      </c>
      <c r="I1643" s="12" t="b">
        <v>0</v>
      </c>
      <c r="J1643" s="12" t="b">
        <v>1</v>
      </c>
      <c r="K1643" s="12" t="b">
        <v>0</v>
      </c>
      <c r="L1643" s="12">
        <v>466.93708550469972</v>
      </c>
      <c r="M1643" s="12">
        <v>280.10240509205647</v>
      </c>
      <c r="N1643" s="12">
        <v>2497.2774920542029</v>
      </c>
      <c r="O1643" s="12">
        <v>2124.2357546828598</v>
      </c>
      <c r="P1643" s="12">
        <v>0.5898490911902845</v>
      </c>
      <c r="Q1643" s="12">
        <v>0.91561223855903662</v>
      </c>
      <c r="R1643" s="12">
        <v>0.80292795270574646</v>
      </c>
      <c r="S1643" s="12">
        <v>0.9161575105079538</v>
      </c>
      <c r="T1643" s="12">
        <v>0.60541364890519833</v>
      </c>
      <c r="U1643" s="12">
        <v>0.73373522547433501</v>
      </c>
      <c r="V1643" s="12">
        <v>280.10240509205647</v>
      </c>
      <c r="W1643" s="12">
        <v>1.38163492318675</v>
      </c>
      <c r="X1643" s="12">
        <v>21.986327109655122</v>
      </c>
      <c r="Y1643" s="12">
        <v>373.04173737134261</v>
      </c>
      <c r="Z1643" s="12">
        <v>1.1756122109087821</v>
      </c>
      <c r="AA1643" s="12" t="s">
        <v>1268</v>
      </c>
      <c r="AB1643" s="12"/>
    </row>
    <row r="1644" spans="1:28" x14ac:dyDescent="0.3">
      <c r="A1644" s="12" t="s">
        <v>3555</v>
      </c>
      <c r="B1644" s="12" t="s">
        <v>160</v>
      </c>
      <c r="C1644" s="12" t="s">
        <v>160</v>
      </c>
      <c r="D1644" s="12" t="s">
        <v>161</v>
      </c>
      <c r="E1644" s="12" t="s">
        <v>2978</v>
      </c>
      <c r="F1644" s="12" t="s">
        <v>1863</v>
      </c>
      <c r="G1644" s="12" t="s">
        <v>832</v>
      </c>
      <c r="H1644" s="12" t="b">
        <v>0</v>
      </c>
      <c r="I1644" s="12" t="b">
        <v>0</v>
      </c>
      <c r="J1644" s="12" t="b">
        <v>0</v>
      </c>
      <c r="K1644" s="12" t="b">
        <v>0</v>
      </c>
      <c r="L1644" s="12">
        <v>383.72379878334289</v>
      </c>
      <c r="M1644" s="12">
        <v>289.9744831215599</v>
      </c>
      <c r="N1644" s="12">
        <v>3397.186060079769</v>
      </c>
      <c r="O1644" s="12">
        <v>1688.08311954695</v>
      </c>
      <c r="P1644" s="12">
        <v>0.54758763798816323</v>
      </c>
      <c r="Q1644" s="12">
        <v>0.88596095376601547</v>
      </c>
      <c r="R1644" s="12">
        <v>0.73824878639804603</v>
      </c>
      <c r="S1644" s="12">
        <v>0.87251627162953005</v>
      </c>
      <c r="T1644" s="12">
        <v>0.65986707007641343</v>
      </c>
      <c r="U1644" s="12">
        <v>0.80675835177057031</v>
      </c>
      <c r="V1644" s="12">
        <v>289.9744831215599</v>
      </c>
      <c r="W1644" s="12">
        <v>-6.7156908638746806</v>
      </c>
      <c r="X1644" s="12">
        <v>-8.3420738709478215</v>
      </c>
      <c r="Y1644" s="12">
        <v>1709.102940532819</v>
      </c>
      <c r="Z1644" s="12">
        <v>2.0124518874352049</v>
      </c>
      <c r="AA1644" s="12" t="s">
        <v>2846</v>
      </c>
      <c r="AB1644" s="12"/>
    </row>
    <row r="1645" spans="1:28" x14ac:dyDescent="0.3">
      <c r="A1645" s="12" t="s">
        <v>3556</v>
      </c>
      <c r="B1645" s="12" t="s">
        <v>160</v>
      </c>
      <c r="C1645" s="12" t="s">
        <v>160</v>
      </c>
      <c r="D1645" s="12" t="s">
        <v>161</v>
      </c>
      <c r="E1645" s="12" t="s">
        <v>2978</v>
      </c>
      <c r="F1645" s="12" t="s">
        <v>32</v>
      </c>
      <c r="G1645" s="12" t="s">
        <v>32</v>
      </c>
      <c r="H1645" s="12" t="b">
        <v>1</v>
      </c>
      <c r="I1645" s="12" t="b">
        <v>1</v>
      </c>
      <c r="J1645" s="12" t="b">
        <v>0</v>
      </c>
      <c r="K1645" s="12" t="b">
        <v>0</v>
      </c>
      <c r="L1645" s="12">
        <v>392.4621045410471</v>
      </c>
      <c r="M1645" s="12">
        <v>293.12876013596753</v>
      </c>
      <c r="N1645" s="12">
        <v>3466.8463901290961</v>
      </c>
      <c r="O1645" s="12">
        <v>1715.355498068953</v>
      </c>
      <c r="P1645" s="12">
        <v>0.56008303359072853</v>
      </c>
      <c r="Q1645" s="12">
        <v>0.83767606283687435</v>
      </c>
      <c r="R1645" s="12">
        <v>0.67209584120168375</v>
      </c>
      <c r="S1645" s="12">
        <v>0.69366614602528964</v>
      </c>
      <c r="T1645" s="12">
        <v>0.8846835776972779</v>
      </c>
      <c r="U1645" s="12">
        <v>0.83512693901134694</v>
      </c>
      <c r="V1645" s="12">
        <v>293.12876013596753</v>
      </c>
      <c r="W1645" s="12">
        <v>2.1013397434443601</v>
      </c>
      <c r="X1645" s="12">
        <v>3.2846238487344208</v>
      </c>
      <c r="Y1645" s="12">
        <v>1751.4908920601431</v>
      </c>
      <c r="Z1645" s="12">
        <v>2.021065833893831</v>
      </c>
      <c r="AA1645" s="12"/>
      <c r="AB1645" s="12"/>
    </row>
    <row r="1646" spans="1:28" x14ac:dyDescent="0.3">
      <c r="A1646" s="12" t="s">
        <v>3557</v>
      </c>
      <c r="B1646" s="12" t="s">
        <v>160</v>
      </c>
      <c r="C1646" s="12" t="s">
        <v>160</v>
      </c>
      <c r="D1646" s="12" t="s">
        <v>161</v>
      </c>
      <c r="E1646" s="12" t="s">
        <v>2978</v>
      </c>
      <c r="F1646" s="12" t="s">
        <v>32</v>
      </c>
      <c r="G1646" s="12" t="s">
        <v>32</v>
      </c>
      <c r="H1646" s="12" t="b">
        <v>1</v>
      </c>
      <c r="I1646" s="12" t="b">
        <v>1</v>
      </c>
      <c r="J1646" s="12" t="b">
        <v>0</v>
      </c>
      <c r="K1646" s="12" t="b">
        <v>0</v>
      </c>
      <c r="L1646" s="12">
        <v>421.59241983610838</v>
      </c>
      <c r="M1646" s="12">
        <v>292.3555864607452</v>
      </c>
      <c r="N1646" s="12">
        <v>3998.6497073155929</v>
      </c>
      <c r="O1646" s="12">
        <v>2312.1504843392358</v>
      </c>
      <c r="P1646" s="12">
        <v>0.82745453296572413</v>
      </c>
      <c r="Q1646" s="12">
        <v>0.85828213556433119</v>
      </c>
      <c r="R1646" s="12">
        <v>0.78499059889291845</v>
      </c>
      <c r="S1646" s="12">
        <v>0.78155890975237108</v>
      </c>
      <c r="T1646" s="12">
        <v>0.75228579530254713</v>
      </c>
      <c r="U1646" s="12">
        <v>0.94966475133465322</v>
      </c>
      <c r="V1646" s="12">
        <v>292.3555864607452</v>
      </c>
      <c r="W1646" s="12">
        <v>4.7306219308166897</v>
      </c>
      <c r="X1646" s="12">
        <v>47.804829383272697</v>
      </c>
      <c r="Y1646" s="12">
        <v>1686.499222976357</v>
      </c>
      <c r="Z1646" s="12">
        <v>1.72940720528332</v>
      </c>
      <c r="AA1646" s="12"/>
      <c r="AB1646" s="12"/>
    </row>
    <row r="1647" spans="1:28" x14ac:dyDescent="0.3">
      <c r="A1647" s="12" t="s">
        <v>3558</v>
      </c>
      <c r="B1647" s="12" t="s">
        <v>160</v>
      </c>
      <c r="C1647" s="12" t="s">
        <v>160</v>
      </c>
      <c r="D1647" s="12" t="s">
        <v>161</v>
      </c>
      <c r="E1647" s="12" t="s">
        <v>2978</v>
      </c>
      <c r="F1647" s="12" t="s">
        <v>32</v>
      </c>
      <c r="G1647" s="12" t="s">
        <v>32</v>
      </c>
      <c r="H1647" s="12" t="b">
        <v>1</v>
      </c>
      <c r="I1647" s="12" t="b">
        <v>1</v>
      </c>
      <c r="J1647" s="12" t="b">
        <v>0</v>
      </c>
      <c r="K1647" s="12" t="b">
        <v>0</v>
      </c>
      <c r="L1647" s="12">
        <v>416.11517379586468</v>
      </c>
      <c r="M1647" s="12">
        <v>283.99062628614053</v>
      </c>
      <c r="N1647" s="12">
        <v>4128.1639073304896</v>
      </c>
      <c r="O1647" s="12">
        <v>1942.1302301885601</v>
      </c>
      <c r="P1647" s="12">
        <v>0.82938628820206195</v>
      </c>
      <c r="Q1647" s="12">
        <v>0.79296321845390227</v>
      </c>
      <c r="R1647" s="12">
        <v>0.74783455357306872</v>
      </c>
      <c r="S1647" s="12">
        <v>0.76842626400603697</v>
      </c>
      <c r="T1647" s="12">
        <v>0.91684398051066562</v>
      </c>
      <c r="U1647" s="12">
        <v>0.93037233561257904</v>
      </c>
      <c r="V1647" s="12">
        <v>283.99062628614053</v>
      </c>
      <c r="W1647" s="12">
        <v>5.8905598125431</v>
      </c>
      <c r="X1647" s="12">
        <v>54.039189301440103</v>
      </c>
      <c r="Y1647" s="12">
        <v>2186.0336771419302</v>
      </c>
      <c r="Z1647" s="12">
        <v>2.1255855262237962</v>
      </c>
      <c r="AA1647" s="12"/>
      <c r="AB1647" s="12"/>
    </row>
    <row r="1648" spans="1:28" x14ac:dyDescent="0.3">
      <c r="A1648" s="12" t="s">
        <v>3559</v>
      </c>
      <c r="B1648" s="12" t="s">
        <v>160</v>
      </c>
      <c r="C1648" s="12" t="s">
        <v>160</v>
      </c>
      <c r="D1648" s="12" t="s">
        <v>161</v>
      </c>
      <c r="E1648" s="12" t="s">
        <v>2978</v>
      </c>
      <c r="F1648" s="12" t="s">
        <v>3483</v>
      </c>
      <c r="G1648" s="12"/>
      <c r="H1648" s="12" t="b">
        <v>0</v>
      </c>
      <c r="I1648" s="12" t="b">
        <v>0</v>
      </c>
      <c r="J1648" s="12"/>
      <c r="K1648" s="12" t="b">
        <v>1</v>
      </c>
      <c r="L1648" s="12">
        <v>484.04656756303422</v>
      </c>
      <c r="M1648" s="12">
        <v>288.17792080115311</v>
      </c>
      <c r="N1648" s="12">
        <v>2205.8633020694219</v>
      </c>
      <c r="O1648" s="12">
        <v>2052.347714108445</v>
      </c>
      <c r="P1648" s="12">
        <v>0.67022821517631503</v>
      </c>
      <c r="Q1648" s="12">
        <v>0.75427051732100392</v>
      </c>
      <c r="R1648" s="12">
        <v>0.79335182686710048</v>
      </c>
      <c r="S1648" s="12">
        <v>0.6701399452118364</v>
      </c>
      <c r="T1648" s="12">
        <v>0.90123316945657683</v>
      </c>
      <c r="U1648" s="12">
        <v>0.79553372730802663</v>
      </c>
      <c r="V1648" s="12"/>
      <c r="W1648" s="12"/>
      <c r="X1648" s="12"/>
      <c r="Y1648" s="12">
        <v>153.51558796097649</v>
      </c>
      <c r="Z1648" s="12">
        <v>1.0747999897413409</v>
      </c>
      <c r="AA1648" s="12"/>
      <c r="AB1648" s="12"/>
    </row>
    <row r="1649" spans="1:28" x14ac:dyDescent="0.3">
      <c r="A1649" s="12" t="s">
        <v>3560</v>
      </c>
      <c r="B1649" s="12" t="s">
        <v>160</v>
      </c>
      <c r="C1649" s="12" t="s">
        <v>160</v>
      </c>
      <c r="D1649" s="12" t="s">
        <v>161</v>
      </c>
      <c r="E1649" s="12" t="s">
        <v>2978</v>
      </c>
      <c r="F1649" s="12" t="s">
        <v>32</v>
      </c>
      <c r="G1649" s="12" t="s">
        <v>32</v>
      </c>
      <c r="H1649" s="12" t="b">
        <v>1</v>
      </c>
      <c r="I1649" s="12" t="b">
        <v>0</v>
      </c>
      <c r="J1649" s="12" t="b">
        <v>1</v>
      </c>
      <c r="K1649" s="12" t="b">
        <v>0</v>
      </c>
      <c r="L1649" s="12">
        <v>451.24053783354401</v>
      </c>
      <c r="M1649" s="12">
        <v>278.2778372787966</v>
      </c>
      <c r="N1649" s="12">
        <v>2884.3864790812422</v>
      </c>
      <c r="O1649" s="12">
        <v>2107.6277110886108</v>
      </c>
      <c r="P1649" s="12">
        <v>0.53779543217388337</v>
      </c>
      <c r="Q1649" s="12">
        <v>0.75867994398817984</v>
      </c>
      <c r="R1649" s="12">
        <v>0.8830070741060182</v>
      </c>
      <c r="S1649" s="12">
        <v>0.87893266444015816</v>
      </c>
      <c r="T1649" s="12">
        <v>0.9387428803390816</v>
      </c>
      <c r="U1649" s="12">
        <v>0.83088889997222848</v>
      </c>
      <c r="V1649" s="12">
        <v>278.2778372787966</v>
      </c>
      <c r="W1649" s="12">
        <v>2.1999278544281999</v>
      </c>
      <c r="X1649" s="12">
        <v>26.260650472197149</v>
      </c>
      <c r="Y1649" s="12">
        <v>776.75876799263096</v>
      </c>
      <c r="Z1649" s="12">
        <v>1.368546477115461</v>
      </c>
      <c r="AA1649" s="12"/>
      <c r="AB1649" s="12"/>
    </row>
    <row r="1650" spans="1:28" x14ac:dyDescent="0.3">
      <c r="A1650" s="12" t="s">
        <v>3561</v>
      </c>
      <c r="B1650" s="12" t="s">
        <v>160</v>
      </c>
      <c r="C1650" s="12" t="s">
        <v>160</v>
      </c>
      <c r="D1650" s="12" t="s">
        <v>161</v>
      </c>
      <c r="E1650" s="12" t="s">
        <v>2978</v>
      </c>
      <c r="F1650" s="12" t="s">
        <v>32</v>
      </c>
      <c r="G1650" s="12" t="s">
        <v>32</v>
      </c>
      <c r="H1650" s="12" t="b">
        <v>1</v>
      </c>
      <c r="I1650" s="12" t="b">
        <v>1</v>
      </c>
      <c r="J1650" s="12" t="b">
        <v>0</v>
      </c>
      <c r="K1650" s="12" t="b">
        <v>0</v>
      </c>
      <c r="L1650" s="12">
        <v>397.09177885195999</v>
      </c>
      <c r="M1650" s="12">
        <v>293.76933074706022</v>
      </c>
      <c r="N1650" s="12">
        <v>2972.540349518591</v>
      </c>
      <c r="O1650" s="12">
        <v>2334.3730126520818</v>
      </c>
      <c r="P1650" s="12">
        <v>0.70368604994648909</v>
      </c>
      <c r="Q1650" s="12">
        <v>0.90864147813871043</v>
      </c>
      <c r="R1650" s="12">
        <v>0.86049252949944355</v>
      </c>
      <c r="S1650" s="12">
        <v>0.64766646207576462</v>
      </c>
      <c r="T1650" s="12">
        <v>0.71788029421796984</v>
      </c>
      <c r="U1650" s="12">
        <v>0.91559972037379245</v>
      </c>
      <c r="V1650" s="12">
        <v>293.76933074706022</v>
      </c>
      <c r="W1650" s="12">
        <v>1.95448434018676</v>
      </c>
      <c r="X1650" s="12">
        <v>10.695819146625</v>
      </c>
      <c r="Y1650" s="12">
        <v>638.16733686650878</v>
      </c>
      <c r="Z1650" s="12">
        <v>1.273378476108018</v>
      </c>
      <c r="AA1650" s="12"/>
      <c r="AB1650" s="12"/>
    </row>
    <row r="1651" spans="1:28" x14ac:dyDescent="0.3">
      <c r="A1651" s="12" t="s">
        <v>3562</v>
      </c>
      <c r="B1651" s="12" t="s">
        <v>160</v>
      </c>
      <c r="C1651" s="12" t="s">
        <v>160</v>
      </c>
      <c r="D1651" s="12" t="s">
        <v>161</v>
      </c>
      <c r="E1651" s="12" t="s">
        <v>2978</v>
      </c>
      <c r="F1651" s="12" t="s">
        <v>1861</v>
      </c>
      <c r="G1651" s="12" t="s">
        <v>1861</v>
      </c>
      <c r="H1651" s="12" t="b">
        <v>1</v>
      </c>
      <c r="I1651" s="12" t="b">
        <v>0</v>
      </c>
      <c r="J1651" s="12" t="b">
        <v>0</v>
      </c>
      <c r="K1651" s="12" t="b">
        <v>0</v>
      </c>
      <c r="L1651" s="12">
        <v>412.87035845290802</v>
      </c>
      <c r="M1651" s="12">
        <v>286.92106925052121</v>
      </c>
      <c r="N1651" s="12">
        <v>4027.3023236173381</v>
      </c>
      <c r="O1651" s="12">
        <v>2007.8300794441741</v>
      </c>
      <c r="P1651" s="12">
        <v>0.77077625070104439</v>
      </c>
      <c r="Q1651" s="12">
        <v>0.83458206750047503</v>
      </c>
      <c r="R1651" s="12">
        <v>0.71534096435683592</v>
      </c>
      <c r="S1651" s="12">
        <v>0.9225374163397182</v>
      </c>
      <c r="T1651" s="12">
        <v>0.66721997675550015</v>
      </c>
      <c r="U1651" s="12">
        <v>0.77746834329373393</v>
      </c>
      <c r="V1651" s="12">
        <v>286.92106925052121</v>
      </c>
      <c r="W1651" s="12">
        <v>6.1978199200734201</v>
      </c>
      <c r="X1651" s="12">
        <v>53.977650063695279</v>
      </c>
      <c r="Y1651" s="12">
        <v>2019.472244173164</v>
      </c>
      <c r="Z1651" s="12">
        <v>2.0057983814707141</v>
      </c>
      <c r="AA1651" s="12" t="s">
        <v>1268</v>
      </c>
      <c r="AB1651" s="12"/>
    </row>
    <row r="1652" spans="1:28" x14ac:dyDescent="0.3">
      <c r="A1652" s="12" t="s">
        <v>3563</v>
      </c>
      <c r="B1652" s="12" t="s">
        <v>160</v>
      </c>
      <c r="C1652" s="12" t="s">
        <v>160</v>
      </c>
      <c r="D1652" s="12" t="s">
        <v>161</v>
      </c>
      <c r="E1652" s="12" t="s">
        <v>2978</v>
      </c>
      <c r="F1652" s="12" t="s">
        <v>32</v>
      </c>
      <c r="G1652" s="12" t="s">
        <v>32</v>
      </c>
      <c r="H1652" s="12" t="b">
        <v>1</v>
      </c>
      <c r="I1652" s="12" t="b">
        <v>1</v>
      </c>
      <c r="J1652" s="12" t="b">
        <v>0</v>
      </c>
      <c r="K1652" s="12" t="b">
        <v>0</v>
      </c>
      <c r="L1652" s="12">
        <v>409.08016833840151</v>
      </c>
      <c r="M1652" s="12">
        <v>280.27514546636939</v>
      </c>
      <c r="N1652" s="12">
        <v>4369.2647667642268</v>
      </c>
      <c r="O1652" s="12">
        <v>1864.259073243996</v>
      </c>
      <c r="P1652" s="12">
        <v>0.82124128438398181</v>
      </c>
      <c r="Q1652" s="12">
        <v>0.908761943510214</v>
      </c>
      <c r="R1652" s="12">
        <v>0.70506679745588174</v>
      </c>
      <c r="S1652" s="12">
        <v>0.76435447571264337</v>
      </c>
      <c r="T1652" s="12">
        <v>0.70609449143988257</v>
      </c>
      <c r="U1652" s="12">
        <v>0.86710404846297862</v>
      </c>
      <c r="V1652" s="12">
        <v>280.27514546636939</v>
      </c>
      <c r="W1652" s="12">
        <v>7.2652780367497103</v>
      </c>
      <c r="X1652" s="12">
        <v>58.87728202858554</v>
      </c>
      <c r="Y1652" s="12">
        <v>2505.005693520231</v>
      </c>
      <c r="Z1652" s="12">
        <v>2.3437004166815032</v>
      </c>
      <c r="AA1652" s="12"/>
      <c r="AB1652" s="12"/>
    </row>
    <row r="1653" spans="1:28" x14ac:dyDescent="0.3">
      <c r="A1653" s="12" t="s">
        <v>3564</v>
      </c>
      <c r="B1653" s="12" t="s">
        <v>160</v>
      </c>
      <c r="C1653" s="12" t="s">
        <v>160</v>
      </c>
      <c r="D1653" s="12" t="s">
        <v>161</v>
      </c>
      <c r="E1653" s="12" t="s">
        <v>2978</v>
      </c>
      <c r="F1653" s="12" t="s">
        <v>32</v>
      </c>
      <c r="G1653" s="12" t="s">
        <v>32</v>
      </c>
      <c r="H1653" s="12" t="b">
        <v>1</v>
      </c>
      <c r="I1653" s="12" t="b">
        <v>1</v>
      </c>
      <c r="J1653" s="12" t="b">
        <v>0</v>
      </c>
      <c r="K1653" s="12" t="b">
        <v>0</v>
      </c>
      <c r="L1653" s="12">
        <v>401.43250818795423</v>
      </c>
      <c r="M1653" s="12">
        <v>293.59455855492149</v>
      </c>
      <c r="N1653" s="12">
        <v>4921.1716040596084</v>
      </c>
      <c r="O1653" s="12">
        <v>1620.8037890716259</v>
      </c>
      <c r="P1653" s="12">
        <v>0.72812493004520573</v>
      </c>
      <c r="Q1653" s="12">
        <v>0.8316954002334136</v>
      </c>
      <c r="R1653" s="12">
        <v>0.8144800145974217</v>
      </c>
      <c r="S1653" s="12">
        <v>0.88741680604639295</v>
      </c>
      <c r="T1653" s="12">
        <v>0.86819267282265145</v>
      </c>
      <c r="U1653" s="12">
        <v>0.78513949004306383</v>
      </c>
      <c r="V1653" s="12">
        <v>293.59455855492149</v>
      </c>
      <c r="W1653" s="12">
        <v>8.3498612263942693</v>
      </c>
      <c r="X1653" s="12">
        <v>40.444636992039058</v>
      </c>
      <c r="Y1653" s="12">
        <v>3300.367814987982</v>
      </c>
      <c r="Z1653" s="12">
        <v>3.036253763250631</v>
      </c>
      <c r="AA1653" s="12"/>
      <c r="AB1653" s="12"/>
    </row>
    <row r="1654" spans="1:28" x14ac:dyDescent="0.3">
      <c r="A1654" s="12" t="s">
        <v>3565</v>
      </c>
      <c r="B1654" s="12" t="s">
        <v>160</v>
      </c>
      <c r="C1654" s="12" t="s">
        <v>160</v>
      </c>
      <c r="D1654" s="12" t="s">
        <v>161</v>
      </c>
      <c r="E1654" s="12" t="s">
        <v>2978</v>
      </c>
      <c r="F1654" s="12" t="s">
        <v>32</v>
      </c>
      <c r="G1654" s="12" t="s">
        <v>32</v>
      </c>
      <c r="H1654" s="12" t="b">
        <v>1</v>
      </c>
      <c r="I1654" s="12" t="b">
        <v>0</v>
      </c>
      <c r="J1654" s="12" t="b">
        <v>1</v>
      </c>
      <c r="K1654" s="12" t="b">
        <v>0</v>
      </c>
      <c r="L1654" s="12">
        <v>435.22934999826452</v>
      </c>
      <c r="M1654" s="12">
        <v>300.00177212610453</v>
      </c>
      <c r="N1654" s="12">
        <v>4814.5792994048543</v>
      </c>
      <c r="O1654" s="12">
        <v>2328.4795059497251</v>
      </c>
      <c r="P1654" s="12">
        <v>0.61083583948175679</v>
      </c>
      <c r="Q1654" s="12">
        <v>0.76236546978568609</v>
      </c>
      <c r="R1654" s="12">
        <v>0.78111047652357646</v>
      </c>
      <c r="S1654" s="12">
        <v>0.87606707672324391</v>
      </c>
      <c r="T1654" s="12">
        <v>0.89251269120574139</v>
      </c>
      <c r="U1654" s="12">
        <v>0.81126390259355663</v>
      </c>
      <c r="V1654" s="12">
        <v>300.00177212610453</v>
      </c>
      <c r="W1654" s="12">
        <v>5.0351364451166898</v>
      </c>
      <c r="X1654" s="12">
        <v>31.61776332229088</v>
      </c>
      <c r="Y1654" s="12">
        <v>2486.0997934551292</v>
      </c>
      <c r="Z1654" s="12">
        <v>2.067692366242714</v>
      </c>
      <c r="AA1654" s="12"/>
      <c r="AB1654" s="12"/>
    </row>
    <row r="1655" spans="1:28" x14ac:dyDescent="0.3">
      <c r="A1655" s="12" t="s">
        <v>3566</v>
      </c>
      <c r="B1655" s="12" t="s">
        <v>160</v>
      </c>
      <c r="C1655" s="12" t="s">
        <v>160</v>
      </c>
      <c r="D1655" s="12" t="s">
        <v>161</v>
      </c>
      <c r="E1655" s="12" t="s">
        <v>2978</v>
      </c>
      <c r="F1655" s="12" t="s">
        <v>32</v>
      </c>
      <c r="G1655" s="12" t="s">
        <v>32</v>
      </c>
      <c r="H1655" s="12" t="b">
        <v>1</v>
      </c>
      <c r="I1655" s="12" t="b">
        <v>1</v>
      </c>
      <c r="J1655" s="12" t="b">
        <v>0</v>
      </c>
      <c r="K1655" s="12" t="b">
        <v>0</v>
      </c>
      <c r="L1655" s="12">
        <v>382.28758915932048</v>
      </c>
      <c r="M1655" s="12">
        <v>286.39848691521411</v>
      </c>
      <c r="N1655" s="12">
        <v>2575.7419112427519</v>
      </c>
      <c r="O1655" s="12">
        <v>1593.044753827096</v>
      </c>
      <c r="P1655" s="12">
        <v>0.5345607850088705</v>
      </c>
      <c r="Q1655" s="12">
        <v>0.75169042530276342</v>
      </c>
      <c r="R1655" s="12">
        <v>0.83291839285464897</v>
      </c>
      <c r="S1655" s="12">
        <v>0.84805710638990006</v>
      </c>
      <c r="T1655" s="12">
        <v>0.64568660990521587</v>
      </c>
      <c r="U1655" s="12">
        <v>0.81641090597792532</v>
      </c>
      <c r="V1655" s="12">
        <v>286.39848691521411</v>
      </c>
      <c r="W1655" s="12">
        <v>1.41739478217852</v>
      </c>
      <c r="X1655" s="12">
        <v>3.805228450669996</v>
      </c>
      <c r="Y1655" s="12">
        <v>982.69715741565597</v>
      </c>
      <c r="Z1655" s="12">
        <v>1.616867263179421</v>
      </c>
      <c r="AA1655" s="12"/>
      <c r="AB1655" s="12"/>
    </row>
    <row r="1656" spans="1:28" x14ac:dyDescent="0.3">
      <c r="A1656" s="12" t="s">
        <v>3567</v>
      </c>
      <c r="B1656" s="12" t="s">
        <v>160</v>
      </c>
      <c r="C1656" s="12" t="s">
        <v>160</v>
      </c>
      <c r="D1656" s="12" t="s">
        <v>161</v>
      </c>
      <c r="E1656" s="12" t="s">
        <v>2978</v>
      </c>
      <c r="F1656" s="12" t="s">
        <v>1861</v>
      </c>
      <c r="G1656" s="12" t="s">
        <v>1861</v>
      </c>
      <c r="H1656" s="12" t="b">
        <v>1</v>
      </c>
      <c r="I1656" s="12" t="b">
        <v>0</v>
      </c>
      <c r="J1656" s="12" t="b">
        <v>1</v>
      </c>
      <c r="K1656" s="12" t="b">
        <v>0</v>
      </c>
      <c r="L1656" s="12">
        <v>464.29830447763118</v>
      </c>
      <c r="M1656" s="12">
        <v>292.91892902401742</v>
      </c>
      <c r="N1656" s="12">
        <v>3819.720033286515</v>
      </c>
      <c r="O1656" s="12">
        <v>1501.2621549128989</v>
      </c>
      <c r="P1656" s="12">
        <v>0.745081577927037</v>
      </c>
      <c r="Q1656" s="12">
        <v>0.88237595526546708</v>
      </c>
      <c r="R1656" s="12">
        <v>0.66532263046608331</v>
      </c>
      <c r="S1656" s="12">
        <v>0.94013220165534939</v>
      </c>
      <c r="T1656" s="12">
        <v>0.69208135691223149</v>
      </c>
      <c r="U1656" s="12">
        <v>0.80530554393091425</v>
      </c>
      <c r="V1656" s="12">
        <v>292.91892902401742</v>
      </c>
      <c r="W1656" s="12">
        <v>7.9959225372500802</v>
      </c>
      <c r="X1656" s="12">
        <v>122.0109368322515</v>
      </c>
      <c r="Y1656" s="12">
        <v>2318.457878373616</v>
      </c>
      <c r="Z1656" s="12">
        <v>2.5443391221089762</v>
      </c>
      <c r="AA1656" s="12" t="s">
        <v>1268</v>
      </c>
      <c r="AB1656" s="12"/>
    </row>
    <row r="1657" spans="1:28" x14ac:dyDescent="0.3">
      <c r="A1657" s="12" t="s">
        <v>3568</v>
      </c>
      <c r="B1657" s="12" t="s">
        <v>160</v>
      </c>
      <c r="C1657" s="12" t="s">
        <v>160</v>
      </c>
      <c r="D1657" s="12" t="s">
        <v>161</v>
      </c>
      <c r="E1657" s="12" t="s">
        <v>2978</v>
      </c>
      <c r="F1657" s="12" t="s">
        <v>1862</v>
      </c>
      <c r="G1657" s="12" t="s">
        <v>1862</v>
      </c>
      <c r="H1657" s="12" t="b">
        <v>1</v>
      </c>
      <c r="I1657" s="12" t="b">
        <v>0</v>
      </c>
      <c r="J1657" s="12" t="b">
        <v>1</v>
      </c>
      <c r="K1657" s="12" t="b">
        <v>0</v>
      </c>
      <c r="L1657" s="12">
        <v>489.6872015061121</v>
      </c>
      <c r="M1657" s="12">
        <v>302.2748697423454</v>
      </c>
      <c r="N1657" s="12">
        <v>3159.1552193598641</v>
      </c>
      <c r="O1657" s="12">
        <v>2205.413747149867</v>
      </c>
      <c r="P1657" s="12">
        <v>0.63010042178054615</v>
      </c>
      <c r="Q1657" s="12">
        <v>0.82664767195250832</v>
      </c>
      <c r="R1657" s="12">
        <v>0.84218793875435305</v>
      </c>
      <c r="S1657" s="12">
        <v>0.94746954679710282</v>
      </c>
      <c r="T1657" s="12">
        <v>0.6773533144991517</v>
      </c>
      <c r="U1657" s="12">
        <v>0.71572029346097588</v>
      </c>
      <c r="V1657" s="12">
        <v>302.2748697423454</v>
      </c>
      <c r="W1657" s="12">
        <v>2.6339739837729499</v>
      </c>
      <c r="X1657" s="12">
        <v>40.063740979468463</v>
      </c>
      <c r="Y1657" s="12">
        <v>953.7414722099976</v>
      </c>
      <c r="Z1657" s="12">
        <v>1.4324546690808251</v>
      </c>
      <c r="AA1657" s="12" t="s">
        <v>3569</v>
      </c>
      <c r="AB1657" s="12"/>
    </row>
    <row r="1658" spans="1:28" x14ac:dyDescent="0.3">
      <c r="A1658" s="12" t="s">
        <v>3570</v>
      </c>
      <c r="B1658" s="12" t="s">
        <v>160</v>
      </c>
      <c r="C1658" s="12" t="s">
        <v>160</v>
      </c>
      <c r="D1658" s="12" t="s">
        <v>161</v>
      </c>
      <c r="E1658" s="12" t="s">
        <v>2978</v>
      </c>
      <c r="F1658" s="12" t="s">
        <v>32</v>
      </c>
      <c r="G1658" s="12" t="s">
        <v>32</v>
      </c>
      <c r="H1658" s="12" t="b">
        <v>1</v>
      </c>
      <c r="I1658" s="12" t="b">
        <v>0</v>
      </c>
      <c r="J1658" s="12" t="b">
        <v>1</v>
      </c>
      <c r="K1658" s="12" t="b">
        <v>0</v>
      </c>
      <c r="L1658" s="12">
        <v>471.37234464771223</v>
      </c>
      <c r="M1658" s="12">
        <v>286.07960677209911</v>
      </c>
      <c r="N1658" s="12">
        <v>2952.3071328675801</v>
      </c>
      <c r="O1658" s="12">
        <v>2044.378449691666</v>
      </c>
      <c r="P1658" s="12">
        <v>0.57192101896968917</v>
      </c>
      <c r="Q1658" s="12">
        <v>0.81344847374624696</v>
      </c>
      <c r="R1658" s="12">
        <v>0.81955489011304727</v>
      </c>
      <c r="S1658" s="12">
        <v>0.65721953055006421</v>
      </c>
      <c r="T1658" s="12">
        <v>0.72687002542504509</v>
      </c>
      <c r="U1658" s="12">
        <v>0.79092117411005336</v>
      </c>
      <c r="V1658" s="12">
        <v>286.07960677209911</v>
      </c>
      <c r="W1658" s="12">
        <v>2.9211126098870102</v>
      </c>
      <c r="X1658" s="12">
        <v>36.326988620558453</v>
      </c>
      <c r="Y1658" s="12">
        <v>907.92868317591365</v>
      </c>
      <c r="Z1658" s="12">
        <v>1.4441098874393079</v>
      </c>
      <c r="AA1658" s="12"/>
      <c r="AB1658" s="12"/>
    </row>
    <row r="1659" spans="1:28" x14ac:dyDescent="0.3">
      <c r="A1659" s="12" t="s">
        <v>3571</v>
      </c>
      <c r="B1659" s="12" t="s">
        <v>160</v>
      </c>
      <c r="C1659" s="12" t="s">
        <v>160</v>
      </c>
      <c r="D1659" s="12" t="s">
        <v>161</v>
      </c>
      <c r="E1659" s="12" t="s">
        <v>2978</v>
      </c>
      <c r="F1659" s="12" t="s">
        <v>1861</v>
      </c>
      <c r="G1659" s="12" t="s">
        <v>1861</v>
      </c>
      <c r="H1659" s="12" t="b">
        <v>1</v>
      </c>
      <c r="I1659" s="12" t="b">
        <v>0</v>
      </c>
      <c r="J1659" s="12" t="b">
        <v>1</v>
      </c>
      <c r="K1659" s="12" t="b">
        <v>0</v>
      </c>
      <c r="L1659" s="12">
        <v>472.34123573393191</v>
      </c>
      <c r="M1659" s="12">
        <v>278.64324141277831</v>
      </c>
      <c r="N1659" s="12">
        <v>3763.894804263703</v>
      </c>
      <c r="O1659" s="12">
        <v>1988.2223372834669</v>
      </c>
      <c r="P1659" s="12">
        <v>0.80286936865695879</v>
      </c>
      <c r="Q1659" s="12">
        <v>0.87272784569317086</v>
      </c>
      <c r="R1659" s="12">
        <v>0.70400052250833056</v>
      </c>
      <c r="S1659" s="12">
        <v>0.94845462500867805</v>
      </c>
      <c r="T1659" s="12">
        <v>0.89660878174483205</v>
      </c>
      <c r="U1659" s="12">
        <v>0.85351304696048713</v>
      </c>
      <c r="V1659" s="12">
        <v>278.64324141277831</v>
      </c>
      <c r="W1659" s="12">
        <v>5.8791047294429903</v>
      </c>
      <c r="X1659" s="12">
        <v>96.257303002801919</v>
      </c>
      <c r="Y1659" s="12">
        <v>1775.6724669802361</v>
      </c>
      <c r="Z1659" s="12">
        <v>1.8930955224084041</v>
      </c>
      <c r="AA1659" s="12" t="s">
        <v>1268</v>
      </c>
      <c r="AB1659" s="12"/>
    </row>
    <row r="1660" spans="1:28" x14ac:dyDescent="0.3">
      <c r="A1660" s="12" t="s">
        <v>3572</v>
      </c>
      <c r="B1660" s="12" t="s">
        <v>160</v>
      </c>
      <c r="C1660" s="12" t="s">
        <v>160</v>
      </c>
      <c r="D1660" s="12" t="s">
        <v>161</v>
      </c>
      <c r="E1660" s="12" t="s">
        <v>2978</v>
      </c>
      <c r="F1660" s="12" t="s">
        <v>32</v>
      </c>
      <c r="G1660" s="12" t="s">
        <v>32</v>
      </c>
      <c r="H1660" s="12" t="b">
        <v>1</v>
      </c>
      <c r="I1660" s="12" t="b">
        <v>0</v>
      </c>
      <c r="J1660" s="12" t="b">
        <v>1</v>
      </c>
      <c r="K1660" s="12" t="b">
        <v>0</v>
      </c>
      <c r="L1660" s="12">
        <v>448.96110530470429</v>
      </c>
      <c r="M1660" s="12">
        <v>296.69773322094602</v>
      </c>
      <c r="N1660" s="12">
        <v>4719.9259082595181</v>
      </c>
      <c r="O1660" s="12">
        <v>2383.637463910125</v>
      </c>
      <c r="P1660" s="12">
        <v>0.75005792177543107</v>
      </c>
      <c r="Q1660" s="12">
        <v>0.77320906249277876</v>
      </c>
      <c r="R1660" s="12">
        <v>0.70739401133787327</v>
      </c>
      <c r="S1660" s="12">
        <v>0.69311567446712175</v>
      </c>
      <c r="T1660" s="12">
        <v>0.79459714655989888</v>
      </c>
      <c r="U1660" s="12">
        <v>0.94784282241960716</v>
      </c>
      <c r="V1660" s="12">
        <v>296.69773322094602</v>
      </c>
      <c r="W1660" s="12">
        <v>4.9711539487056298</v>
      </c>
      <c r="X1660" s="12">
        <v>48.666350856003163</v>
      </c>
      <c r="Y1660" s="12">
        <v>2336.2884443493931</v>
      </c>
      <c r="Z1660" s="12">
        <v>1.9801358133199249</v>
      </c>
      <c r="AA1660" s="12"/>
      <c r="AB1660" s="12"/>
    </row>
    <row r="1661" spans="1:28" x14ac:dyDescent="0.3">
      <c r="A1661" s="12" t="s">
        <v>3573</v>
      </c>
      <c r="B1661" s="12" t="s">
        <v>160</v>
      </c>
      <c r="C1661" s="12" t="s">
        <v>160</v>
      </c>
      <c r="D1661" s="12" t="s">
        <v>161</v>
      </c>
      <c r="E1661" s="12" t="s">
        <v>2978</v>
      </c>
      <c r="F1661" s="12" t="s">
        <v>832</v>
      </c>
      <c r="G1661" s="12" t="s">
        <v>832</v>
      </c>
      <c r="H1661" s="12" t="b">
        <v>0</v>
      </c>
      <c r="I1661" s="12" t="b">
        <v>0</v>
      </c>
      <c r="J1661" s="12" t="b">
        <v>0</v>
      </c>
      <c r="K1661" s="12" t="b">
        <v>0</v>
      </c>
      <c r="L1661" s="12">
        <v>447.14600686228391</v>
      </c>
      <c r="M1661" s="12">
        <v>301.06607879808178</v>
      </c>
      <c r="N1661" s="12">
        <v>3009.127671922412</v>
      </c>
      <c r="O1661" s="12">
        <v>2277.2690436394628</v>
      </c>
      <c r="P1661" s="12">
        <v>0.69378477444485043</v>
      </c>
      <c r="Q1661" s="12">
        <v>0.79383499843769922</v>
      </c>
      <c r="R1661" s="12">
        <v>0.70937733635726941</v>
      </c>
      <c r="S1661" s="12">
        <v>0.68699891445279471</v>
      </c>
      <c r="T1661" s="12">
        <v>0.81155743472336084</v>
      </c>
      <c r="U1661" s="12">
        <v>0.93884448716960378</v>
      </c>
      <c r="V1661" s="12">
        <v>301.06607879808178</v>
      </c>
      <c r="W1661" s="12"/>
      <c r="X1661" s="12"/>
      <c r="Y1661" s="12">
        <v>731.8586282829483</v>
      </c>
      <c r="Z1661" s="12">
        <v>1.321375566197182</v>
      </c>
      <c r="AA1661" s="12"/>
      <c r="AB1661" s="12"/>
    </row>
    <row r="1662" spans="1:28" x14ac:dyDescent="0.3">
      <c r="A1662" s="12" t="s">
        <v>3574</v>
      </c>
      <c r="B1662" s="12" t="s">
        <v>160</v>
      </c>
      <c r="C1662" s="12" t="s">
        <v>160</v>
      </c>
      <c r="D1662" s="12" t="s">
        <v>161</v>
      </c>
      <c r="E1662" s="12" t="s">
        <v>2978</v>
      </c>
      <c r="F1662" s="12" t="s">
        <v>832</v>
      </c>
      <c r="G1662" s="12" t="s">
        <v>832</v>
      </c>
      <c r="H1662" s="12" t="b">
        <v>0</v>
      </c>
      <c r="I1662" s="12" t="b">
        <v>0</v>
      </c>
      <c r="J1662" s="12" t="b">
        <v>0</v>
      </c>
      <c r="K1662" s="12" t="b">
        <v>0</v>
      </c>
      <c r="L1662" s="12">
        <v>479.98439365558738</v>
      </c>
      <c r="M1662" s="12">
        <v>288.60777360986748</v>
      </c>
      <c r="N1662" s="12">
        <v>4417.8626889536627</v>
      </c>
      <c r="O1662" s="12">
        <v>2364.1816914643769</v>
      </c>
      <c r="P1662" s="12">
        <v>0.84952674944694118</v>
      </c>
      <c r="Q1662" s="12">
        <v>0.91191703620703801</v>
      </c>
      <c r="R1662" s="12">
        <v>0.67472755882216795</v>
      </c>
      <c r="S1662" s="12">
        <v>0.89996420002490851</v>
      </c>
      <c r="T1662" s="12">
        <v>0.65483004726930127</v>
      </c>
      <c r="U1662" s="12">
        <v>0.8585504502070993</v>
      </c>
      <c r="V1662" s="12">
        <v>288.60777360986748</v>
      </c>
      <c r="W1662" s="12"/>
      <c r="X1662" s="12"/>
      <c r="Y1662" s="12">
        <v>2053.6809974892849</v>
      </c>
      <c r="Z1662" s="12">
        <v>1.868664622902664</v>
      </c>
      <c r="AA1662" s="12"/>
      <c r="AB1662" s="12"/>
    </row>
    <row r="1663" spans="1:28" x14ac:dyDescent="0.3">
      <c r="A1663" s="12" t="s">
        <v>3575</v>
      </c>
      <c r="B1663" s="12" t="s">
        <v>160</v>
      </c>
      <c r="C1663" s="12" t="s">
        <v>160</v>
      </c>
      <c r="D1663" s="12" t="s">
        <v>161</v>
      </c>
      <c r="E1663" s="12" t="s">
        <v>2978</v>
      </c>
      <c r="F1663" s="12" t="s">
        <v>32</v>
      </c>
      <c r="G1663" s="12" t="s">
        <v>32</v>
      </c>
      <c r="H1663" s="12" t="b">
        <v>1</v>
      </c>
      <c r="I1663" s="12" t="b">
        <v>0</v>
      </c>
      <c r="J1663" s="12" t="b">
        <v>1</v>
      </c>
      <c r="K1663" s="12" t="b">
        <v>0</v>
      </c>
      <c r="L1663" s="12">
        <v>453.25108243049982</v>
      </c>
      <c r="M1663" s="12">
        <v>290.81251230483952</v>
      </c>
      <c r="N1663" s="12">
        <v>3940.9169272955778</v>
      </c>
      <c r="O1663" s="12">
        <v>2019.0749911328651</v>
      </c>
      <c r="P1663" s="12">
        <v>0.71216463240613381</v>
      </c>
      <c r="Q1663" s="12">
        <v>0.76472788459894547</v>
      </c>
      <c r="R1663" s="12">
        <v>0.73369381759008001</v>
      </c>
      <c r="S1663" s="12">
        <v>0.93703308069184299</v>
      </c>
      <c r="T1663" s="12">
        <v>0.62548247482631514</v>
      </c>
      <c r="U1663" s="12">
        <v>0.87604601201421906</v>
      </c>
      <c r="V1663" s="12">
        <v>290.81251230483952</v>
      </c>
      <c r="W1663" s="12">
        <v>5.0147140525358997</v>
      </c>
      <c r="X1663" s="12">
        <v>74.304996103476384</v>
      </c>
      <c r="Y1663" s="12">
        <v>1921.841936162713</v>
      </c>
      <c r="Z1663" s="12">
        <v>1.9518427718647551</v>
      </c>
      <c r="AA1663" s="12"/>
      <c r="AB1663" s="12"/>
    </row>
    <row r="1664" spans="1:28" x14ac:dyDescent="0.3">
      <c r="A1664" s="12" t="s">
        <v>3576</v>
      </c>
      <c r="B1664" s="12" t="s">
        <v>160</v>
      </c>
      <c r="C1664" s="12" t="s">
        <v>160</v>
      </c>
      <c r="D1664" s="12" t="s">
        <v>161</v>
      </c>
      <c r="E1664" s="12" t="s">
        <v>2978</v>
      </c>
      <c r="F1664" s="12" t="s">
        <v>1861</v>
      </c>
      <c r="G1664" s="12" t="s">
        <v>1861</v>
      </c>
      <c r="H1664" s="12" t="b">
        <v>1</v>
      </c>
      <c r="I1664" s="12" t="b">
        <v>0</v>
      </c>
      <c r="J1664" s="12" t="b">
        <v>1</v>
      </c>
      <c r="K1664" s="12" t="b">
        <v>0</v>
      </c>
      <c r="L1664" s="12">
        <v>462.78100685078209</v>
      </c>
      <c r="M1664" s="12">
        <v>285.15183692934761</v>
      </c>
      <c r="N1664" s="12">
        <v>4388.9148204142766</v>
      </c>
      <c r="O1664" s="12">
        <v>2153.603666861276</v>
      </c>
      <c r="P1664" s="12">
        <v>0.77032774035346163</v>
      </c>
      <c r="Q1664" s="12">
        <v>0.77398930272446664</v>
      </c>
      <c r="R1664" s="12">
        <v>0.84542235804824017</v>
      </c>
      <c r="S1664" s="12">
        <v>0.75056486644191711</v>
      </c>
      <c r="T1664" s="12">
        <v>0.73484922872252112</v>
      </c>
      <c r="U1664" s="12">
        <v>0.714443069507262</v>
      </c>
      <c r="V1664" s="12">
        <v>285.15183692934761</v>
      </c>
      <c r="W1664" s="12">
        <v>5.8231333754010697</v>
      </c>
      <c r="X1664" s="12">
        <v>65.105584782501836</v>
      </c>
      <c r="Y1664" s="12">
        <v>2235.3111535530011</v>
      </c>
      <c r="Z1664" s="12">
        <v>2.0379398902170371</v>
      </c>
      <c r="AA1664" s="12" t="s">
        <v>1268</v>
      </c>
      <c r="AB1664" s="12"/>
    </row>
    <row r="1665" spans="1:28" x14ac:dyDescent="0.3">
      <c r="A1665" s="12" t="s">
        <v>3577</v>
      </c>
      <c r="B1665" s="12" t="s">
        <v>160</v>
      </c>
      <c r="C1665" s="12" t="s">
        <v>160</v>
      </c>
      <c r="D1665" s="12" t="s">
        <v>161</v>
      </c>
      <c r="E1665" s="12" t="s">
        <v>2978</v>
      </c>
      <c r="F1665" s="12" t="s">
        <v>32</v>
      </c>
      <c r="G1665" s="12" t="s">
        <v>32</v>
      </c>
      <c r="H1665" s="12" t="b">
        <v>1</v>
      </c>
      <c r="I1665" s="12" t="b">
        <v>1</v>
      </c>
      <c r="J1665" s="12" t="b">
        <v>0</v>
      </c>
      <c r="K1665" s="12" t="b">
        <v>0</v>
      </c>
      <c r="L1665" s="12">
        <v>418.28888370706602</v>
      </c>
      <c r="M1665" s="12">
        <v>291.68251273815793</v>
      </c>
      <c r="N1665" s="12">
        <v>4090.0662917916602</v>
      </c>
      <c r="O1665" s="12">
        <v>1896.9499833997011</v>
      </c>
      <c r="P1665" s="12">
        <v>0.80339659859700963</v>
      </c>
      <c r="Q1665" s="12">
        <v>0.89919273475629802</v>
      </c>
      <c r="R1665" s="12">
        <v>0.81082206431150305</v>
      </c>
      <c r="S1665" s="12">
        <v>0.60752821817352753</v>
      </c>
      <c r="T1665" s="12">
        <v>0.77701853848766744</v>
      </c>
      <c r="U1665" s="12">
        <v>0.82861882436094603</v>
      </c>
      <c r="V1665" s="12">
        <v>291.68251273815793</v>
      </c>
      <c r="W1665" s="12">
        <v>6.9465984757714798</v>
      </c>
      <c r="X1665" s="12">
        <v>46.770328040424239</v>
      </c>
      <c r="Y1665" s="12">
        <v>2193.1163083919591</v>
      </c>
      <c r="Z1665" s="12">
        <v>2.1561276404670782</v>
      </c>
      <c r="AA1665" s="12"/>
      <c r="AB1665" s="12"/>
    </row>
    <row r="1666" spans="1:28" x14ac:dyDescent="0.3">
      <c r="A1666" s="12" t="s">
        <v>3578</v>
      </c>
      <c r="B1666" s="12" t="s">
        <v>160</v>
      </c>
      <c r="C1666" s="12" t="s">
        <v>160</v>
      </c>
      <c r="D1666" s="12" t="s">
        <v>161</v>
      </c>
      <c r="E1666" s="12" t="s">
        <v>2978</v>
      </c>
      <c r="F1666" s="12" t="s">
        <v>32</v>
      </c>
      <c r="G1666" s="12" t="s">
        <v>32</v>
      </c>
      <c r="H1666" s="12" t="b">
        <v>1</v>
      </c>
      <c r="I1666" s="12" t="b">
        <v>1</v>
      </c>
      <c r="J1666" s="12" t="b">
        <v>0</v>
      </c>
      <c r="K1666" s="12" t="b">
        <v>0</v>
      </c>
      <c r="L1666" s="12">
        <v>430.27134699507951</v>
      </c>
      <c r="M1666" s="12">
        <v>281.8103860601592</v>
      </c>
      <c r="N1666" s="12">
        <v>4232.2246975438993</v>
      </c>
      <c r="O1666" s="12">
        <v>1958.97895330556</v>
      </c>
      <c r="P1666" s="12">
        <v>0.57282119409067367</v>
      </c>
      <c r="Q1666" s="12">
        <v>0.78463776187264245</v>
      </c>
      <c r="R1666" s="12">
        <v>0.72389031096738421</v>
      </c>
      <c r="S1666" s="12">
        <v>0.66512691450040318</v>
      </c>
      <c r="T1666" s="12">
        <v>0.87998503937721961</v>
      </c>
      <c r="U1666" s="12">
        <v>0.77308673650414406</v>
      </c>
      <c r="V1666" s="12">
        <v>281.8103860601592</v>
      </c>
      <c r="W1666" s="12">
        <v>4.6301145092400402</v>
      </c>
      <c r="X1666" s="12">
        <v>20.699570647733601</v>
      </c>
      <c r="Y1666" s="12">
        <v>2273.2457442383402</v>
      </c>
      <c r="Z1666" s="12">
        <v>2.1604237709662422</v>
      </c>
      <c r="AA1666" s="12"/>
      <c r="AB1666" s="12"/>
    </row>
    <row r="1667" spans="1:28" x14ac:dyDescent="0.3">
      <c r="A1667" s="12" t="s">
        <v>3579</v>
      </c>
      <c r="B1667" s="12" t="s">
        <v>160</v>
      </c>
      <c r="C1667" s="12" t="s">
        <v>160</v>
      </c>
      <c r="D1667" s="12" t="s">
        <v>161</v>
      </c>
      <c r="E1667" s="12" t="s">
        <v>2978</v>
      </c>
      <c r="F1667" s="12" t="s">
        <v>1861</v>
      </c>
      <c r="G1667" s="12" t="s">
        <v>1861</v>
      </c>
      <c r="H1667" s="12" t="b">
        <v>1</v>
      </c>
      <c r="I1667" s="12" t="b">
        <v>0</v>
      </c>
      <c r="J1667" s="12" t="b">
        <v>1</v>
      </c>
      <c r="K1667" s="12" t="b">
        <v>0</v>
      </c>
      <c r="L1667" s="12">
        <v>490.713404990708</v>
      </c>
      <c r="M1667" s="12">
        <v>279.30237875451041</v>
      </c>
      <c r="N1667" s="12">
        <v>4561.0031733543065</v>
      </c>
      <c r="O1667" s="12">
        <v>2000.448736805984</v>
      </c>
      <c r="P1667" s="12">
        <v>0.57654635553203959</v>
      </c>
      <c r="Q1667" s="12">
        <v>0.7770247249745752</v>
      </c>
      <c r="R1667" s="12">
        <v>0.69667146217290998</v>
      </c>
      <c r="S1667" s="12">
        <v>0.77348119850584851</v>
      </c>
      <c r="T1667" s="12">
        <v>0.90589711484128821</v>
      </c>
      <c r="U1667" s="12">
        <v>0.72118639256793926</v>
      </c>
      <c r="V1667" s="12">
        <v>279.30237875451041</v>
      </c>
      <c r="W1667" s="12">
        <v>6.0275445581086204</v>
      </c>
      <c r="X1667" s="12">
        <v>81.801456634637731</v>
      </c>
      <c r="Y1667" s="12">
        <v>2560.5544365483229</v>
      </c>
      <c r="Z1667" s="12">
        <v>2.2799900289555191</v>
      </c>
      <c r="AA1667" s="12" t="s">
        <v>1268</v>
      </c>
      <c r="AB1667" s="12"/>
    </row>
    <row r="1668" spans="1:28" x14ac:dyDescent="0.3">
      <c r="A1668" s="12" t="s">
        <v>3580</v>
      </c>
      <c r="B1668" s="12" t="s">
        <v>160</v>
      </c>
      <c r="C1668" s="12" t="s">
        <v>160</v>
      </c>
      <c r="D1668" s="12" t="s">
        <v>161</v>
      </c>
      <c r="E1668" s="12" t="s">
        <v>2978</v>
      </c>
      <c r="F1668" s="12" t="s">
        <v>1861</v>
      </c>
      <c r="G1668" s="12" t="s">
        <v>1861</v>
      </c>
      <c r="H1668" s="12" t="b">
        <v>1</v>
      </c>
      <c r="I1668" s="12" t="b">
        <v>0</v>
      </c>
      <c r="J1668" s="12" t="b">
        <v>1</v>
      </c>
      <c r="K1668" s="12" t="b">
        <v>0</v>
      </c>
      <c r="L1668" s="12">
        <v>484.80362758481323</v>
      </c>
      <c r="M1668" s="12">
        <v>292.72370806420452</v>
      </c>
      <c r="N1668" s="12">
        <v>2244.6492488026652</v>
      </c>
      <c r="O1668" s="12">
        <v>1858.6537850475349</v>
      </c>
      <c r="P1668" s="12">
        <v>0.65613049731299999</v>
      </c>
      <c r="Q1668" s="12">
        <v>0.8636751418141928</v>
      </c>
      <c r="R1668" s="12">
        <v>0.74337805438041327</v>
      </c>
      <c r="S1668" s="12">
        <v>0.82675410781374725</v>
      </c>
      <c r="T1668" s="12">
        <v>0.84298134197134622</v>
      </c>
      <c r="U1668" s="12">
        <v>0.79684207809030427</v>
      </c>
      <c r="V1668" s="12">
        <v>292.72370806420452</v>
      </c>
      <c r="W1668" s="12">
        <v>1.55435789677948</v>
      </c>
      <c r="X1668" s="12">
        <v>23.352551076412531</v>
      </c>
      <c r="Y1668" s="12">
        <v>385.99546375512978</v>
      </c>
      <c r="Z1668" s="12">
        <v>1.207674751941636</v>
      </c>
      <c r="AA1668" s="12" t="s">
        <v>1268</v>
      </c>
      <c r="AB1668" s="12"/>
    </row>
    <row r="1669" spans="1:28" x14ac:dyDescent="0.3">
      <c r="A1669" s="12" t="s">
        <v>3581</v>
      </c>
      <c r="B1669" s="12" t="s">
        <v>160</v>
      </c>
      <c r="C1669" s="12" t="s">
        <v>160</v>
      </c>
      <c r="D1669" s="12" t="s">
        <v>161</v>
      </c>
      <c r="E1669" s="12" t="s">
        <v>2978</v>
      </c>
      <c r="F1669" s="12" t="s">
        <v>32</v>
      </c>
      <c r="G1669" s="12" t="s">
        <v>32</v>
      </c>
      <c r="H1669" s="12" t="b">
        <v>1</v>
      </c>
      <c r="I1669" s="12" t="b">
        <v>1</v>
      </c>
      <c r="J1669" s="12" t="b">
        <v>0</v>
      </c>
      <c r="K1669" s="12" t="b">
        <v>0</v>
      </c>
      <c r="L1669" s="12">
        <v>403.12261971787859</v>
      </c>
      <c r="M1669" s="12">
        <v>302.04664315815432</v>
      </c>
      <c r="N1669" s="12">
        <v>3790.927120985752</v>
      </c>
      <c r="O1669" s="12">
        <v>1510.129263615873</v>
      </c>
      <c r="P1669" s="12">
        <v>0.59786596511177781</v>
      </c>
      <c r="Q1669" s="12">
        <v>0.83994092121203967</v>
      </c>
      <c r="R1669" s="12">
        <v>0.84047685872673217</v>
      </c>
      <c r="S1669" s="12">
        <v>0.72993315714456863</v>
      </c>
      <c r="T1669" s="12">
        <v>0.82992596545644459</v>
      </c>
      <c r="U1669" s="12">
        <v>0.77148385630711702</v>
      </c>
      <c r="V1669" s="12">
        <v>302.04664315815432</v>
      </c>
      <c r="W1669" s="12">
        <v>5.8213694146658499</v>
      </c>
      <c r="X1669" s="12">
        <v>18.083284989360799</v>
      </c>
      <c r="Y1669" s="12">
        <v>2280.7978573698788</v>
      </c>
      <c r="Z1669" s="12">
        <v>2.510332865087793</v>
      </c>
      <c r="AA1669" s="12"/>
      <c r="AB1669" s="12"/>
    </row>
    <row r="1670" spans="1:28" x14ac:dyDescent="0.3">
      <c r="A1670" s="12" t="s">
        <v>3582</v>
      </c>
      <c r="B1670" s="12" t="s">
        <v>160</v>
      </c>
      <c r="C1670" s="12" t="s">
        <v>160</v>
      </c>
      <c r="D1670" s="12" t="s">
        <v>161</v>
      </c>
      <c r="E1670" s="12" t="s">
        <v>2978</v>
      </c>
      <c r="F1670" s="12" t="s">
        <v>1861</v>
      </c>
      <c r="G1670" s="12" t="s">
        <v>1861</v>
      </c>
      <c r="H1670" s="12" t="b">
        <v>1</v>
      </c>
      <c r="I1670" s="12" t="b">
        <v>0</v>
      </c>
      <c r="J1670" s="12" t="b">
        <v>1</v>
      </c>
      <c r="K1670" s="12" t="b">
        <v>0</v>
      </c>
      <c r="L1670" s="12">
        <v>445.2542323682415</v>
      </c>
      <c r="M1670" s="12">
        <v>301.91880319810531</v>
      </c>
      <c r="N1670" s="12">
        <v>3821.8460900889831</v>
      </c>
      <c r="O1670" s="12">
        <v>1697.526761536378</v>
      </c>
      <c r="P1670" s="12">
        <v>0.70045935796426206</v>
      </c>
      <c r="Q1670" s="12">
        <v>0.75608757351701128</v>
      </c>
      <c r="R1670" s="12">
        <v>0.82291740914237588</v>
      </c>
      <c r="S1670" s="12">
        <v>0.75873754725310572</v>
      </c>
      <c r="T1670" s="12">
        <v>0.91451975932023799</v>
      </c>
      <c r="U1670" s="12">
        <v>0.77435594950831754</v>
      </c>
      <c r="V1670" s="12">
        <v>301.91880319810531</v>
      </c>
      <c r="W1670" s="12">
        <v>6.4669403957007292</v>
      </c>
      <c r="X1670" s="12">
        <v>60.643684889144453</v>
      </c>
      <c r="Y1670" s="12">
        <v>2124.3193285526058</v>
      </c>
      <c r="Z1670" s="12">
        <v>2.2514202289393959</v>
      </c>
      <c r="AA1670" s="12" t="s">
        <v>1268</v>
      </c>
      <c r="AB1670" s="12"/>
    </row>
    <row r="1671" spans="1:28" x14ac:dyDescent="0.3">
      <c r="A1671" s="12" t="s">
        <v>3583</v>
      </c>
      <c r="B1671" s="12" t="s">
        <v>160</v>
      </c>
      <c r="C1671" s="12" t="s">
        <v>160</v>
      </c>
      <c r="D1671" s="12" t="s">
        <v>161</v>
      </c>
      <c r="E1671" s="12" t="s">
        <v>2978</v>
      </c>
      <c r="F1671" s="12" t="s">
        <v>32</v>
      </c>
      <c r="G1671" s="12" t="s">
        <v>32</v>
      </c>
      <c r="H1671" s="12" t="b">
        <v>1</v>
      </c>
      <c r="I1671" s="12" t="b">
        <v>0</v>
      </c>
      <c r="J1671" s="12" t="b">
        <v>1</v>
      </c>
      <c r="K1671" s="12" t="b">
        <v>0</v>
      </c>
      <c r="L1671" s="12">
        <v>473.8881995625577</v>
      </c>
      <c r="M1671" s="12">
        <v>287.73240229169761</v>
      </c>
      <c r="N1671" s="12">
        <v>2666.6993931343491</v>
      </c>
      <c r="O1671" s="12">
        <v>1868.4287607432409</v>
      </c>
      <c r="P1671" s="12">
        <v>0.61725952783183669</v>
      </c>
      <c r="Q1671" s="12">
        <v>0.91394830216041156</v>
      </c>
      <c r="R1671" s="12">
        <v>0.72816923233314212</v>
      </c>
      <c r="S1671" s="12">
        <v>0.77742693487340531</v>
      </c>
      <c r="T1671" s="12">
        <v>0.87002974491981111</v>
      </c>
      <c r="U1671" s="12">
        <v>0.92302957801938201</v>
      </c>
      <c r="V1671" s="12">
        <v>287.73240229169761</v>
      </c>
      <c r="W1671" s="12">
        <v>2.9790926349698799</v>
      </c>
      <c r="X1671" s="12">
        <v>47.113041199011917</v>
      </c>
      <c r="Y1671" s="12">
        <v>798.27063239110771</v>
      </c>
      <c r="Z1671" s="12">
        <v>1.4272416744824481</v>
      </c>
      <c r="AA1671" s="12"/>
      <c r="AB1671" s="12"/>
    </row>
    <row r="1672" spans="1:28" x14ac:dyDescent="0.3">
      <c r="A1672" s="12" t="s">
        <v>3584</v>
      </c>
      <c r="B1672" s="12" t="s">
        <v>160</v>
      </c>
      <c r="C1672" s="12" t="s">
        <v>160</v>
      </c>
      <c r="D1672" s="12" t="s">
        <v>161</v>
      </c>
      <c r="E1672" s="12" t="s">
        <v>2978</v>
      </c>
      <c r="F1672" s="12" t="s">
        <v>32</v>
      </c>
      <c r="G1672" s="12" t="s">
        <v>32</v>
      </c>
      <c r="H1672" s="12" t="b">
        <v>1</v>
      </c>
      <c r="I1672" s="12" t="b">
        <v>1</v>
      </c>
      <c r="J1672" s="12" t="b">
        <v>0</v>
      </c>
      <c r="K1672" s="12" t="b">
        <v>0</v>
      </c>
      <c r="L1672" s="12">
        <v>383.08107794140312</v>
      </c>
      <c r="M1672" s="12">
        <v>296.07344617010119</v>
      </c>
      <c r="N1672" s="12">
        <v>4213.4781974074076</v>
      </c>
      <c r="O1672" s="12">
        <v>2292.551550175685</v>
      </c>
      <c r="P1672" s="12">
        <v>0.7745939516432897</v>
      </c>
      <c r="Q1672" s="12">
        <v>0.89971827811876159</v>
      </c>
      <c r="R1672" s="12">
        <v>0.71435253519961461</v>
      </c>
      <c r="S1672" s="12">
        <v>0.64560401516683241</v>
      </c>
      <c r="T1672" s="12">
        <v>0.85487380348865472</v>
      </c>
      <c r="U1672" s="12">
        <v>0.82320651214124818</v>
      </c>
      <c r="V1672" s="12">
        <v>296.07344617010119</v>
      </c>
      <c r="W1672" s="12">
        <v>4.2905930294492798</v>
      </c>
      <c r="X1672" s="12">
        <v>14.388481548916671</v>
      </c>
      <c r="Y1672" s="12">
        <v>1920.926647231722</v>
      </c>
      <c r="Z1672" s="12">
        <v>1.8378989982077021</v>
      </c>
      <c r="AA1672" s="12"/>
      <c r="AB1672" s="12"/>
    </row>
    <row r="1673" spans="1:28" x14ac:dyDescent="0.3">
      <c r="A1673" s="12" t="s">
        <v>3585</v>
      </c>
      <c r="B1673" s="12" t="s">
        <v>160</v>
      </c>
      <c r="C1673" s="12" t="s">
        <v>160</v>
      </c>
      <c r="D1673" s="12" t="s">
        <v>161</v>
      </c>
      <c r="E1673" s="12" t="s">
        <v>2978</v>
      </c>
      <c r="F1673" s="12" t="s">
        <v>32</v>
      </c>
      <c r="G1673" s="12" t="s">
        <v>32</v>
      </c>
      <c r="H1673" s="12" t="b">
        <v>1</v>
      </c>
      <c r="I1673" s="12" t="b">
        <v>0</v>
      </c>
      <c r="J1673" s="12" t="b">
        <v>1</v>
      </c>
      <c r="K1673" s="12" t="b">
        <v>0</v>
      </c>
      <c r="L1673" s="12">
        <v>444.77699137234032</v>
      </c>
      <c r="M1673" s="12">
        <v>295.78541981994317</v>
      </c>
      <c r="N1673" s="12">
        <v>4455.1988645869415</v>
      </c>
      <c r="O1673" s="12">
        <v>1891.5927878808409</v>
      </c>
      <c r="P1673" s="12">
        <v>0.63944975628605505</v>
      </c>
      <c r="Q1673" s="12">
        <v>0.89316736751602699</v>
      </c>
      <c r="R1673" s="12">
        <v>0.77423898477063235</v>
      </c>
      <c r="S1673" s="12">
        <v>0.79394040037204583</v>
      </c>
      <c r="T1673" s="12">
        <v>0.64411766911456048</v>
      </c>
      <c r="U1673" s="12">
        <v>0.80453634286149245</v>
      </c>
      <c r="V1673" s="12">
        <v>295.78541981994317</v>
      </c>
      <c r="W1673" s="12">
        <v>7.0561562894779302</v>
      </c>
      <c r="X1673" s="12">
        <v>59.295388590224</v>
      </c>
      <c r="Y1673" s="12">
        <v>2563.6060767060999</v>
      </c>
      <c r="Z1673" s="12">
        <v>2.355263190434405</v>
      </c>
      <c r="AA1673" s="12"/>
      <c r="AB1673" s="12"/>
    </row>
    <row r="1674" spans="1:28" x14ac:dyDescent="0.3">
      <c r="A1674" s="12" t="s">
        <v>3586</v>
      </c>
      <c r="B1674" s="12" t="s">
        <v>160</v>
      </c>
      <c r="C1674" s="12" t="s">
        <v>160</v>
      </c>
      <c r="D1674" s="12" t="s">
        <v>161</v>
      </c>
      <c r="E1674" s="12" t="s">
        <v>2978</v>
      </c>
      <c r="F1674" s="12" t="s">
        <v>32</v>
      </c>
      <c r="G1674" s="12" t="s">
        <v>32</v>
      </c>
      <c r="H1674" s="12" t="b">
        <v>1</v>
      </c>
      <c r="I1674" s="12" t="b">
        <v>0</v>
      </c>
      <c r="J1674" s="12" t="b">
        <v>1</v>
      </c>
      <c r="K1674" s="12" t="b">
        <v>0</v>
      </c>
      <c r="L1674" s="12">
        <v>467.84295576958652</v>
      </c>
      <c r="M1674" s="12">
        <v>282.5096578718439</v>
      </c>
      <c r="N1674" s="12">
        <v>2772.5354000042021</v>
      </c>
      <c r="O1674" s="12">
        <v>2078.849196353292</v>
      </c>
      <c r="P1674" s="12">
        <v>0.68730363274586637</v>
      </c>
      <c r="Q1674" s="12">
        <v>0.81828468671501808</v>
      </c>
      <c r="R1674" s="12">
        <v>0.87078283362316666</v>
      </c>
      <c r="S1674" s="12">
        <v>0.90886291571177957</v>
      </c>
      <c r="T1674" s="12">
        <v>0.81352458625820412</v>
      </c>
      <c r="U1674" s="12">
        <v>0.92604411985207402</v>
      </c>
      <c r="V1674" s="12">
        <v>282.5096578718439</v>
      </c>
      <c r="W1674" s="12">
        <v>2.2181056529813499</v>
      </c>
      <c r="X1674" s="12">
        <v>40.274342594260439</v>
      </c>
      <c r="Y1674" s="12">
        <v>693.68620365090919</v>
      </c>
      <c r="Z1674" s="12">
        <v>1.3336876021924871</v>
      </c>
      <c r="AA1674" s="12"/>
      <c r="AB1674" s="12"/>
    </row>
    <row r="1675" spans="1:28" x14ac:dyDescent="0.3">
      <c r="A1675" s="12" t="s">
        <v>3587</v>
      </c>
      <c r="B1675" s="12" t="s">
        <v>160</v>
      </c>
      <c r="C1675" s="12" t="s">
        <v>160</v>
      </c>
      <c r="D1675" s="12" t="s">
        <v>161</v>
      </c>
      <c r="E1675" s="12" t="s">
        <v>2978</v>
      </c>
      <c r="F1675" s="12" t="s">
        <v>1863</v>
      </c>
      <c r="G1675" s="12" t="s">
        <v>832</v>
      </c>
      <c r="H1675" s="12" t="b">
        <v>0</v>
      </c>
      <c r="I1675" s="12" t="b">
        <v>0</v>
      </c>
      <c r="J1675" s="12" t="b">
        <v>0</v>
      </c>
      <c r="K1675" s="12" t="b">
        <v>0</v>
      </c>
      <c r="L1675" s="12">
        <v>386.23545098946761</v>
      </c>
      <c r="M1675" s="12">
        <v>300.50576083793533</v>
      </c>
      <c r="N1675" s="12">
        <v>4140.2450177755691</v>
      </c>
      <c r="O1675" s="12">
        <v>1838.423774081167</v>
      </c>
      <c r="P1675" s="12">
        <v>0.55769202688082253</v>
      </c>
      <c r="Q1675" s="12">
        <v>0.85615444771962768</v>
      </c>
      <c r="R1675" s="12">
        <v>0.88895274633118149</v>
      </c>
      <c r="S1675" s="12">
        <v>0.72539405949841229</v>
      </c>
      <c r="T1675" s="12">
        <v>0.76101934389047576</v>
      </c>
      <c r="U1675" s="12">
        <v>0.8243203588857394</v>
      </c>
      <c r="V1675" s="12">
        <v>300.50576083793533</v>
      </c>
      <c r="W1675" s="12">
        <v>-60.412112238882251</v>
      </c>
      <c r="X1675" s="12">
        <v>-21.861044780494939</v>
      </c>
      <c r="Y1675" s="12">
        <v>2301.8212436944018</v>
      </c>
      <c r="Z1675" s="12">
        <v>2.2520623787324761</v>
      </c>
      <c r="AA1675" s="12" t="s">
        <v>2018</v>
      </c>
      <c r="AB1675" s="12"/>
    </row>
    <row r="1676" spans="1:28" x14ac:dyDescent="0.3">
      <c r="A1676" s="12" t="s">
        <v>3588</v>
      </c>
      <c r="B1676" s="12" t="s">
        <v>160</v>
      </c>
      <c r="C1676" s="12" t="s">
        <v>160</v>
      </c>
      <c r="D1676" s="12" t="s">
        <v>161</v>
      </c>
      <c r="E1676" s="12" t="s">
        <v>2978</v>
      </c>
      <c r="F1676" s="12" t="s">
        <v>1861</v>
      </c>
      <c r="G1676" s="12" t="s">
        <v>1861</v>
      </c>
      <c r="H1676" s="12" t="b">
        <v>1</v>
      </c>
      <c r="I1676" s="12" t="b">
        <v>0</v>
      </c>
      <c r="J1676" s="12" t="b">
        <v>0</v>
      </c>
      <c r="K1676" s="12" t="b">
        <v>0</v>
      </c>
      <c r="L1676" s="12">
        <v>447.21815062215421</v>
      </c>
      <c r="M1676" s="12">
        <v>285.64429616602081</v>
      </c>
      <c r="N1676" s="12">
        <v>3304.55859925308</v>
      </c>
      <c r="O1676" s="12">
        <v>1902.764174137651</v>
      </c>
      <c r="P1676" s="12">
        <v>0.67592705986051493</v>
      </c>
      <c r="Q1676" s="12">
        <v>0.8290046329853098</v>
      </c>
      <c r="R1676" s="12">
        <v>0.65643878822940316</v>
      </c>
      <c r="S1676" s="12">
        <v>0.60089326793421505</v>
      </c>
      <c r="T1676" s="12">
        <v>0.78437949304343446</v>
      </c>
      <c r="U1676" s="12">
        <v>0.7097454894462264</v>
      </c>
      <c r="V1676" s="12">
        <v>285.64429616602081</v>
      </c>
      <c r="W1676" s="12">
        <v>4.80383447965652</v>
      </c>
      <c r="X1676" s="12">
        <v>39.934302240185858</v>
      </c>
      <c r="Y1676" s="12">
        <v>1401.794425115429</v>
      </c>
      <c r="Z1676" s="12">
        <v>1.736714745930475</v>
      </c>
      <c r="AA1676" s="12" t="s">
        <v>1268</v>
      </c>
      <c r="AB1676" s="12"/>
    </row>
    <row r="1677" spans="1:28" x14ac:dyDescent="0.3">
      <c r="A1677" s="12" t="s">
        <v>3589</v>
      </c>
      <c r="B1677" s="12" t="s">
        <v>160</v>
      </c>
      <c r="C1677" s="12" t="s">
        <v>160</v>
      </c>
      <c r="D1677" s="12" t="s">
        <v>161</v>
      </c>
      <c r="E1677" s="12" t="s">
        <v>2978</v>
      </c>
      <c r="F1677" s="12" t="s">
        <v>1861</v>
      </c>
      <c r="G1677" s="12" t="s">
        <v>1861</v>
      </c>
      <c r="H1677" s="12" t="b">
        <v>1</v>
      </c>
      <c r="I1677" s="12" t="b">
        <v>0</v>
      </c>
      <c r="J1677" s="12" t="b">
        <v>1</v>
      </c>
      <c r="K1677" s="12" t="b">
        <v>0</v>
      </c>
      <c r="L1677" s="12">
        <v>425.20578760712209</v>
      </c>
      <c r="M1677" s="12">
        <v>298.02332092649488</v>
      </c>
      <c r="N1677" s="12">
        <v>2599.3012462460269</v>
      </c>
      <c r="O1677" s="12">
        <v>1815.583967107892</v>
      </c>
      <c r="P1677" s="12">
        <v>0.59450111844014064</v>
      </c>
      <c r="Q1677" s="12">
        <v>0.79896999436177751</v>
      </c>
      <c r="R1677" s="12">
        <v>0.69355066442472169</v>
      </c>
      <c r="S1677" s="12">
        <v>0.941210816397684</v>
      </c>
      <c r="T1677" s="12">
        <v>0.74842994438317489</v>
      </c>
      <c r="U1677" s="12">
        <v>0.77961042713136708</v>
      </c>
      <c r="V1677" s="12">
        <v>298.02332092649488</v>
      </c>
      <c r="W1677" s="12">
        <v>2.9024142580364898</v>
      </c>
      <c r="X1677" s="12">
        <v>26.150448901773249</v>
      </c>
      <c r="Y1677" s="12">
        <v>783.71727913813538</v>
      </c>
      <c r="Z1677" s="12">
        <v>1.4316612689560959</v>
      </c>
      <c r="AA1677" s="12" t="s">
        <v>1268</v>
      </c>
      <c r="AB1677" s="12"/>
    </row>
    <row r="1678" spans="1:28" x14ac:dyDescent="0.3">
      <c r="A1678" s="12" t="s">
        <v>3590</v>
      </c>
      <c r="B1678" s="12" t="s">
        <v>160</v>
      </c>
      <c r="C1678" s="12" t="s">
        <v>160</v>
      </c>
      <c r="D1678" s="12" t="s">
        <v>161</v>
      </c>
      <c r="E1678" s="12" t="s">
        <v>2978</v>
      </c>
      <c r="F1678" s="12" t="s">
        <v>832</v>
      </c>
      <c r="G1678" s="12" t="s">
        <v>832</v>
      </c>
      <c r="H1678" s="12" t="b">
        <v>0</v>
      </c>
      <c r="I1678" s="12" t="b">
        <v>0</v>
      </c>
      <c r="J1678" s="12" t="b">
        <v>0</v>
      </c>
      <c r="K1678" s="12" t="b">
        <v>0</v>
      </c>
      <c r="L1678" s="12">
        <v>497.33777668174139</v>
      </c>
      <c r="M1678" s="12">
        <v>285.81705994574952</v>
      </c>
      <c r="N1678" s="12">
        <v>2522.3795691324699</v>
      </c>
      <c r="O1678" s="12">
        <v>1998.435127826524</v>
      </c>
      <c r="P1678" s="12">
        <v>0.79963849582006119</v>
      </c>
      <c r="Q1678" s="12">
        <v>0.82055072235930582</v>
      </c>
      <c r="R1678" s="12">
        <v>0.88021427339389346</v>
      </c>
      <c r="S1678" s="12">
        <v>0.80283598023495062</v>
      </c>
      <c r="T1678" s="12">
        <v>0.67424566185263601</v>
      </c>
      <c r="U1678" s="12">
        <v>0.74730509397229838</v>
      </c>
      <c r="V1678" s="12">
        <v>285.81705994574952</v>
      </c>
      <c r="W1678" s="12"/>
      <c r="X1678" s="12"/>
      <c r="Y1678" s="12">
        <v>523.94444130594638</v>
      </c>
      <c r="Z1678" s="12">
        <v>1.2621773576787469</v>
      </c>
      <c r="AA1678" s="12"/>
      <c r="AB1678" s="12"/>
    </row>
    <row r="1679" spans="1:28" x14ac:dyDescent="0.3">
      <c r="A1679" s="12" t="s">
        <v>3591</v>
      </c>
      <c r="B1679" s="12" t="s">
        <v>160</v>
      </c>
      <c r="C1679" s="12" t="s">
        <v>160</v>
      </c>
      <c r="D1679" s="12" t="s">
        <v>161</v>
      </c>
      <c r="E1679" s="12" t="s">
        <v>2978</v>
      </c>
      <c r="F1679" s="12" t="s">
        <v>1861</v>
      </c>
      <c r="G1679" s="12" t="s">
        <v>1861</v>
      </c>
      <c r="H1679" s="12" t="b">
        <v>1</v>
      </c>
      <c r="I1679" s="12" t="b">
        <v>0</v>
      </c>
      <c r="J1679" s="12" t="b">
        <v>1</v>
      </c>
      <c r="K1679" s="12" t="b">
        <v>0</v>
      </c>
      <c r="L1679" s="12">
        <v>456.22366543309113</v>
      </c>
      <c r="M1679" s="12">
        <v>285.01875902451889</v>
      </c>
      <c r="N1679" s="12">
        <v>4171.579111762625</v>
      </c>
      <c r="O1679" s="12">
        <v>1724.2481855142371</v>
      </c>
      <c r="P1679" s="12">
        <v>0.75795510842418268</v>
      </c>
      <c r="Q1679" s="12">
        <v>0.88658438022145469</v>
      </c>
      <c r="R1679" s="12">
        <v>0.74151011015614932</v>
      </c>
      <c r="S1679" s="12">
        <v>0.82280129468790186</v>
      </c>
      <c r="T1679" s="12">
        <v>0.72137705604510338</v>
      </c>
      <c r="U1679" s="12">
        <v>0.83240644393595331</v>
      </c>
      <c r="V1679" s="12">
        <v>285.01875902451889</v>
      </c>
      <c r="W1679" s="12">
        <v>8.1307169217357202</v>
      </c>
      <c r="X1679" s="12">
        <v>110.65363127108699</v>
      </c>
      <c r="Y1679" s="12">
        <v>2447.3309262483881</v>
      </c>
      <c r="Z1679" s="12">
        <v>2.4193611724860249</v>
      </c>
      <c r="AA1679" s="12" t="s">
        <v>1268</v>
      </c>
      <c r="AB1679" s="12"/>
    </row>
    <row r="1680" spans="1:28" x14ac:dyDescent="0.3">
      <c r="A1680" s="12" t="s">
        <v>3592</v>
      </c>
      <c r="B1680" s="12" t="s">
        <v>160</v>
      </c>
      <c r="C1680" s="12" t="s">
        <v>160</v>
      </c>
      <c r="D1680" s="12" t="s">
        <v>161</v>
      </c>
      <c r="E1680" s="12" t="s">
        <v>2978</v>
      </c>
      <c r="F1680" s="12" t="s">
        <v>32</v>
      </c>
      <c r="G1680" s="12" t="s">
        <v>32</v>
      </c>
      <c r="H1680" s="12" t="b">
        <v>1</v>
      </c>
      <c r="I1680" s="12" t="b">
        <v>1</v>
      </c>
      <c r="J1680" s="12" t="b">
        <v>0</v>
      </c>
      <c r="K1680" s="12" t="b">
        <v>0</v>
      </c>
      <c r="L1680" s="12">
        <v>426.40324925515699</v>
      </c>
      <c r="M1680" s="12">
        <v>289.76284114628368</v>
      </c>
      <c r="N1680" s="12">
        <v>4732.0032328609741</v>
      </c>
      <c r="O1680" s="12">
        <v>1880.5907768196771</v>
      </c>
      <c r="P1680" s="12">
        <v>0.83406230684503868</v>
      </c>
      <c r="Q1680" s="12">
        <v>0.7510274163891214</v>
      </c>
      <c r="R1680" s="12">
        <v>0.8010870904718862</v>
      </c>
      <c r="S1680" s="12">
        <v>0.82617587030682071</v>
      </c>
      <c r="T1680" s="12">
        <v>0.74483256686623034</v>
      </c>
      <c r="U1680" s="12">
        <v>0.83878456043704186</v>
      </c>
      <c r="V1680" s="12">
        <v>289.76284114628368</v>
      </c>
      <c r="W1680" s="12">
        <v>7.3819948857555397</v>
      </c>
      <c r="X1680" s="12">
        <v>72.762291346346473</v>
      </c>
      <c r="Y1680" s="12">
        <v>2851.412456041297</v>
      </c>
      <c r="Z1680" s="12">
        <v>2.516232287847016</v>
      </c>
      <c r="AA1680" s="12"/>
      <c r="AB1680" s="12"/>
    </row>
    <row r="1681" spans="1:28" x14ac:dyDescent="0.3">
      <c r="A1681" s="12" t="s">
        <v>3593</v>
      </c>
      <c r="B1681" s="12" t="s">
        <v>160</v>
      </c>
      <c r="C1681" s="12" t="s">
        <v>160</v>
      </c>
      <c r="D1681" s="12" t="s">
        <v>161</v>
      </c>
      <c r="E1681" s="12" t="s">
        <v>2978</v>
      </c>
      <c r="F1681" s="12" t="s">
        <v>1861</v>
      </c>
      <c r="G1681" s="12" t="s">
        <v>1861</v>
      </c>
      <c r="H1681" s="12" t="b">
        <v>1</v>
      </c>
      <c r="I1681" s="12" t="b">
        <v>0</v>
      </c>
      <c r="J1681" s="12" t="b">
        <v>1</v>
      </c>
      <c r="K1681" s="12" t="b">
        <v>0</v>
      </c>
      <c r="L1681" s="12">
        <v>477.940405859902</v>
      </c>
      <c r="M1681" s="12">
        <v>300.2392682491917</v>
      </c>
      <c r="N1681" s="12">
        <v>4964.802176677782</v>
      </c>
      <c r="O1681" s="12">
        <v>1612.7435642760181</v>
      </c>
      <c r="P1681" s="12">
        <v>0.60342483676174763</v>
      </c>
      <c r="Q1681" s="12">
        <v>0.86728642979042592</v>
      </c>
      <c r="R1681" s="12">
        <v>0.89085875389544456</v>
      </c>
      <c r="S1681" s="12">
        <v>0.6526153699231122</v>
      </c>
      <c r="T1681" s="12">
        <v>0.66274532130040431</v>
      </c>
      <c r="U1681" s="12">
        <v>0.81359404617860354</v>
      </c>
      <c r="V1681" s="12">
        <v>300.2392682491917</v>
      </c>
      <c r="W1681" s="12">
        <v>8.9547431902099408</v>
      </c>
      <c r="X1681" s="12">
        <v>92.101551395441646</v>
      </c>
      <c r="Y1681" s="12">
        <v>3352.058612401765</v>
      </c>
      <c r="Z1681" s="12">
        <v>3.0784820889405</v>
      </c>
      <c r="AA1681" s="12" t="s">
        <v>1268</v>
      </c>
      <c r="AB1681" s="12"/>
    </row>
    <row r="1682" spans="1:28" x14ac:dyDescent="0.3">
      <c r="A1682" s="12" t="s">
        <v>3594</v>
      </c>
      <c r="B1682" s="12" t="s">
        <v>160</v>
      </c>
      <c r="C1682" s="12" t="s">
        <v>160</v>
      </c>
      <c r="D1682" s="12" t="s">
        <v>161</v>
      </c>
      <c r="E1682" s="12" t="s">
        <v>2978</v>
      </c>
      <c r="F1682" s="12" t="s">
        <v>3483</v>
      </c>
      <c r="G1682" s="12"/>
      <c r="H1682" s="12" t="b">
        <v>0</v>
      </c>
      <c r="I1682" s="12" t="b">
        <v>0</v>
      </c>
      <c r="J1682" s="12"/>
      <c r="K1682" s="12" t="b">
        <v>1</v>
      </c>
      <c r="L1682" s="12">
        <v>478.73332774829191</v>
      </c>
      <c r="M1682" s="12">
        <v>298.62867839628188</v>
      </c>
      <c r="N1682" s="12">
        <v>2040.9617866261401</v>
      </c>
      <c r="O1682" s="12">
        <v>2146.8007759165012</v>
      </c>
      <c r="P1682" s="12">
        <v>0.82413321676042184</v>
      </c>
      <c r="Q1682" s="12">
        <v>0.82293334856572231</v>
      </c>
      <c r="R1682" s="12">
        <v>0.65338697983806049</v>
      </c>
      <c r="S1682" s="12">
        <v>0.83181479357545474</v>
      </c>
      <c r="T1682" s="12">
        <v>0.60457806713599072</v>
      </c>
      <c r="U1682" s="12">
        <v>0.80062482828075499</v>
      </c>
      <c r="V1682" s="12"/>
      <c r="W1682" s="12"/>
      <c r="X1682" s="12"/>
      <c r="Y1682" s="12">
        <v>-105.8389892903615</v>
      </c>
      <c r="Z1682" s="12">
        <v>0.95069920298255095</v>
      </c>
      <c r="AA1682" s="12"/>
      <c r="AB1682" s="12"/>
    </row>
    <row r="1683" spans="1:28" x14ac:dyDescent="0.3">
      <c r="A1683" s="12" t="s">
        <v>3595</v>
      </c>
      <c r="B1683" s="12" t="s">
        <v>160</v>
      </c>
      <c r="C1683" s="12" t="s">
        <v>160</v>
      </c>
      <c r="D1683" s="12" t="s">
        <v>161</v>
      </c>
      <c r="E1683" s="12" t="s">
        <v>2978</v>
      </c>
      <c r="F1683" s="12" t="s">
        <v>3483</v>
      </c>
      <c r="G1683" s="12"/>
      <c r="H1683" s="12" t="b">
        <v>0</v>
      </c>
      <c r="I1683" s="12" t="b">
        <v>0</v>
      </c>
      <c r="J1683" s="12"/>
      <c r="K1683" s="12" t="b">
        <v>1</v>
      </c>
      <c r="L1683" s="12">
        <v>443.01396427053459</v>
      </c>
      <c r="M1683" s="12">
        <v>289.44409731140559</v>
      </c>
      <c r="N1683" s="12">
        <v>2222.7215180339522</v>
      </c>
      <c r="O1683" s="12">
        <v>2319.5458143436981</v>
      </c>
      <c r="P1683" s="12">
        <v>0.71404858975321339</v>
      </c>
      <c r="Q1683" s="12">
        <v>0.79543302516856529</v>
      </c>
      <c r="R1683" s="12">
        <v>0.89987993699374724</v>
      </c>
      <c r="S1683" s="12">
        <v>0.9439425021010408</v>
      </c>
      <c r="T1683" s="12">
        <v>0.94516816267682924</v>
      </c>
      <c r="U1683" s="12">
        <v>0.86436248796089021</v>
      </c>
      <c r="V1683" s="12"/>
      <c r="W1683" s="12"/>
      <c r="X1683" s="12"/>
      <c r="Y1683" s="12">
        <v>-96.824296309745918</v>
      </c>
      <c r="Z1683" s="12">
        <v>0.95825721755052218</v>
      </c>
      <c r="AA1683" s="12"/>
      <c r="AB1683" s="12"/>
    </row>
    <row r="1684" spans="1:28" x14ac:dyDescent="0.3">
      <c r="A1684" s="12" t="s">
        <v>3596</v>
      </c>
      <c r="B1684" s="12" t="s">
        <v>160</v>
      </c>
      <c r="C1684" s="12" t="s">
        <v>160</v>
      </c>
      <c r="D1684" s="12" t="s">
        <v>161</v>
      </c>
      <c r="E1684" s="12" t="s">
        <v>2978</v>
      </c>
      <c r="F1684" s="12" t="s">
        <v>1861</v>
      </c>
      <c r="G1684" s="12" t="s">
        <v>1861</v>
      </c>
      <c r="H1684" s="12" t="b">
        <v>1</v>
      </c>
      <c r="I1684" s="12" t="b">
        <v>0</v>
      </c>
      <c r="J1684" s="12" t="b">
        <v>1</v>
      </c>
      <c r="K1684" s="12" t="b">
        <v>0</v>
      </c>
      <c r="L1684" s="12">
        <v>475.38534025854608</v>
      </c>
      <c r="M1684" s="12">
        <v>295.72951627557921</v>
      </c>
      <c r="N1684" s="12">
        <v>3916.5703641234559</v>
      </c>
      <c r="O1684" s="12">
        <v>1766.927029301462</v>
      </c>
      <c r="P1684" s="12">
        <v>0.53690966016742192</v>
      </c>
      <c r="Q1684" s="12">
        <v>0.86313497689972252</v>
      </c>
      <c r="R1684" s="12">
        <v>0.71208174416748637</v>
      </c>
      <c r="S1684" s="12">
        <v>0.85551709600414505</v>
      </c>
      <c r="T1684" s="12">
        <v>0.80306799096564219</v>
      </c>
      <c r="U1684" s="12">
        <v>0.78364884382595112</v>
      </c>
      <c r="V1684" s="12">
        <v>295.72951627557921</v>
      </c>
      <c r="W1684" s="12">
        <v>6.4574407857909897</v>
      </c>
      <c r="X1684" s="12">
        <v>89.128453500653208</v>
      </c>
      <c r="Y1684" s="12">
        <v>2149.643334821993</v>
      </c>
      <c r="Z1684" s="12">
        <v>2.2165999496152562</v>
      </c>
      <c r="AA1684" s="12" t="s">
        <v>1268</v>
      </c>
      <c r="AB1684" s="12"/>
    </row>
    <row r="1685" spans="1:28" x14ac:dyDescent="0.3">
      <c r="A1685" s="12" t="s">
        <v>3597</v>
      </c>
      <c r="B1685" s="12" t="s">
        <v>160</v>
      </c>
      <c r="C1685" s="12" t="s">
        <v>160</v>
      </c>
      <c r="D1685" s="12" t="s">
        <v>161</v>
      </c>
      <c r="E1685" s="12" t="s">
        <v>2978</v>
      </c>
      <c r="F1685" s="12" t="s">
        <v>32</v>
      </c>
      <c r="G1685" s="12" t="s">
        <v>32</v>
      </c>
      <c r="H1685" s="12" t="b">
        <v>1</v>
      </c>
      <c r="I1685" s="12" t="b">
        <v>1</v>
      </c>
      <c r="J1685" s="12" t="b">
        <v>0</v>
      </c>
      <c r="K1685" s="12" t="b">
        <v>0</v>
      </c>
      <c r="L1685" s="12">
        <v>428.46097698940582</v>
      </c>
      <c r="M1685" s="12">
        <v>298.90666443005699</v>
      </c>
      <c r="N1685" s="12">
        <v>2637.6055533321678</v>
      </c>
      <c r="O1685" s="12">
        <v>2089.4690610343559</v>
      </c>
      <c r="P1685" s="12">
        <v>0.72471182718311944</v>
      </c>
      <c r="Q1685" s="12">
        <v>0.91663246341018056</v>
      </c>
      <c r="R1685" s="12">
        <v>0.87511058483898341</v>
      </c>
      <c r="S1685" s="12">
        <v>0.75448559064880383</v>
      </c>
      <c r="T1685" s="12">
        <v>0.83757890197931983</v>
      </c>
      <c r="U1685" s="12">
        <v>0.94426559117481235</v>
      </c>
      <c r="V1685" s="12">
        <v>298.90666443005699</v>
      </c>
      <c r="W1685" s="12">
        <v>2.20815726674136</v>
      </c>
      <c r="X1685" s="12">
        <v>23.75764595840117</v>
      </c>
      <c r="Y1685" s="12">
        <v>548.13649229781231</v>
      </c>
      <c r="Z1685" s="12">
        <v>1.262332906727256</v>
      </c>
      <c r="AA1685" s="12"/>
      <c r="AB1685" s="12"/>
    </row>
    <row r="1686" spans="1:28" x14ac:dyDescent="0.3">
      <c r="A1686" s="12" t="s">
        <v>3598</v>
      </c>
      <c r="B1686" s="12" t="s">
        <v>160</v>
      </c>
      <c r="C1686" s="12" t="s">
        <v>160</v>
      </c>
      <c r="D1686" s="12" t="s">
        <v>161</v>
      </c>
      <c r="E1686" s="12" t="s">
        <v>2978</v>
      </c>
      <c r="F1686" s="12" t="s">
        <v>32</v>
      </c>
      <c r="G1686" s="12" t="s">
        <v>32</v>
      </c>
      <c r="H1686" s="12" t="b">
        <v>1</v>
      </c>
      <c r="I1686" s="12" t="b">
        <v>0</v>
      </c>
      <c r="J1686" s="12" t="b">
        <v>1</v>
      </c>
      <c r="K1686" s="12" t="b">
        <v>0</v>
      </c>
      <c r="L1686" s="12">
        <v>439.84435123722852</v>
      </c>
      <c r="M1686" s="12">
        <v>298.3630328264353</v>
      </c>
      <c r="N1686" s="12">
        <v>4599.0390608157077</v>
      </c>
      <c r="O1686" s="12">
        <v>1703.1227414574171</v>
      </c>
      <c r="P1686" s="12">
        <v>0.65647335833044829</v>
      </c>
      <c r="Q1686" s="12">
        <v>0.83338713619864579</v>
      </c>
      <c r="R1686" s="12">
        <v>0.77718181649386253</v>
      </c>
      <c r="S1686" s="12">
        <v>0.90481712185566998</v>
      </c>
      <c r="T1686" s="12">
        <v>0.63626267131921443</v>
      </c>
      <c r="U1686" s="12">
        <v>0.86089331213844322</v>
      </c>
      <c r="V1686" s="12">
        <v>298.3630328264353</v>
      </c>
      <c r="W1686" s="12">
        <v>7.4811156825655898</v>
      </c>
      <c r="X1686" s="12">
        <v>69.444184973242784</v>
      </c>
      <c r="Y1686" s="12">
        <v>2895.9163193582908</v>
      </c>
      <c r="Z1686" s="12">
        <v>2.700356791008593</v>
      </c>
      <c r="AA1686" s="12"/>
      <c r="AB1686" s="12"/>
    </row>
    <row r="1687" spans="1:28" x14ac:dyDescent="0.3">
      <c r="A1687" s="12" t="s">
        <v>3599</v>
      </c>
      <c r="B1687" s="12" t="s">
        <v>160</v>
      </c>
      <c r="C1687" s="12" t="s">
        <v>160</v>
      </c>
      <c r="D1687" s="12" t="s">
        <v>161</v>
      </c>
      <c r="E1687" s="12" t="s">
        <v>2978</v>
      </c>
      <c r="F1687" s="12" t="s">
        <v>32</v>
      </c>
      <c r="G1687" s="12" t="s">
        <v>32</v>
      </c>
      <c r="H1687" s="12" t="b">
        <v>1</v>
      </c>
      <c r="I1687" s="12" t="b">
        <v>1</v>
      </c>
      <c r="J1687" s="12" t="b">
        <v>0</v>
      </c>
      <c r="K1687" s="12" t="b">
        <v>0</v>
      </c>
      <c r="L1687" s="12">
        <v>389.47265287782812</v>
      </c>
      <c r="M1687" s="12">
        <v>282.7915908046291</v>
      </c>
      <c r="N1687" s="12">
        <v>3688.995046670389</v>
      </c>
      <c r="O1687" s="12">
        <v>1759.82994292785</v>
      </c>
      <c r="P1687" s="12">
        <v>0.68062672110345623</v>
      </c>
      <c r="Q1687" s="12">
        <v>0.80283059583217709</v>
      </c>
      <c r="R1687" s="12">
        <v>0.76722928230570109</v>
      </c>
      <c r="S1687" s="12">
        <v>0.92961307090046075</v>
      </c>
      <c r="T1687" s="12">
        <v>0.78757489524356705</v>
      </c>
      <c r="U1687" s="12">
        <v>0.72388177766886963</v>
      </c>
      <c r="V1687" s="12">
        <v>282.7915908046291</v>
      </c>
      <c r="W1687" s="12">
        <v>5.1089498584612603</v>
      </c>
      <c r="X1687" s="12">
        <v>23.155078517867889</v>
      </c>
      <c r="Y1687" s="12">
        <v>1929.165103742539</v>
      </c>
      <c r="Z1687" s="12">
        <v>2.096222456888627</v>
      </c>
      <c r="AA1687" s="12"/>
      <c r="AB1687" s="12"/>
    </row>
    <row r="1688" spans="1:28" x14ac:dyDescent="0.3">
      <c r="A1688" s="12" t="s">
        <v>3600</v>
      </c>
      <c r="B1688" s="12" t="s">
        <v>160</v>
      </c>
      <c r="C1688" s="12" t="s">
        <v>160</v>
      </c>
      <c r="D1688" s="12" t="s">
        <v>161</v>
      </c>
      <c r="E1688" s="12" t="s">
        <v>2978</v>
      </c>
      <c r="F1688" s="12" t="s">
        <v>32</v>
      </c>
      <c r="G1688" s="12" t="s">
        <v>32</v>
      </c>
      <c r="H1688" s="12" t="b">
        <v>1</v>
      </c>
      <c r="I1688" s="12" t="b">
        <v>0</v>
      </c>
      <c r="J1688" s="12" t="b">
        <v>1</v>
      </c>
      <c r="K1688" s="12" t="b">
        <v>0</v>
      </c>
      <c r="L1688" s="12">
        <v>453.84103038885758</v>
      </c>
      <c r="M1688" s="12">
        <v>295.28677882035367</v>
      </c>
      <c r="N1688" s="12">
        <v>4529.324632897753</v>
      </c>
      <c r="O1688" s="12">
        <v>2427.598344614476</v>
      </c>
      <c r="P1688" s="12">
        <v>0.51006437704331997</v>
      </c>
      <c r="Q1688" s="12">
        <v>0.90498073661796763</v>
      </c>
      <c r="R1688" s="12">
        <v>0.81501876654036631</v>
      </c>
      <c r="S1688" s="12">
        <v>0.74709249145863699</v>
      </c>
      <c r="T1688" s="12">
        <v>0.70825002364937495</v>
      </c>
      <c r="U1688" s="12">
        <v>0.88703027601222573</v>
      </c>
      <c r="V1688" s="12">
        <v>295.28677882035367</v>
      </c>
      <c r="W1688" s="12">
        <v>3.9963094826786798</v>
      </c>
      <c r="X1688" s="12">
        <v>26.774931659056399</v>
      </c>
      <c r="Y1688" s="12">
        <v>2101.726288283277</v>
      </c>
      <c r="Z1688" s="12">
        <v>1.865763602511044</v>
      </c>
      <c r="AA1688" s="12"/>
      <c r="AB1688" s="12"/>
    </row>
    <row r="1689" spans="1:28" x14ac:dyDescent="0.3">
      <c r="A1689" s="12" t="s">
        <v>3601</v>
      </c>
      <c r="B1689" s="12" t="s">
        <v>160</v>
      </c>
      <c r="C1689" s="12" t="s">
        <v>160</v>
      </c>
      <c r="D1689" s="12" t="s">
        <v>161</v>
      </c>
      <c r="E1689" s="12" t="s">
        <v>2978</v>
      </c>
      <c r="F1689" s="12" t="s">
        <v>32</v>
      </c>
      <c r="G1689" s="12" t="s">
        <v>32</v>
      </c>
      <c r="H1689" s="12" t="b">
        <v>1</v>
      </c>
      <c r="I1689" s="12" t="b">
        <v>0</v>
      </c>
      <c r="J1689" s="12" t="b">
        <v>1</v>
      </c>
      <c r="K1689" s="12" t="b">
        <v>0</v>
      </c>
      <c r="L1689" s="12">
        <v>469.24331235603768</v>
      </c>
      <c r="M1689" s="12">
        <v>283.10316501920948</v>
      </c>
      <c r="N1689" s="12">
        <v>3378.9983062258948</v>
      </c>
      <c r="O1689" s="12">
        <v>1820.4222094528379</v>
      </c>
      <c r="P1689" s="12">
        <v>0.66476341823472029</v>
      </c>
      <c r="Q1689" s="12">
        <v>0.77887752805042221</v>
      </c>
      <c r="R1689" s="12">
        <v>0.71773055053063206</v>
      </c>
      <c r="S1689" s="12">
        <v>0.84985670878421038</v>
      </c>
      <c r="T1689" s="12">
        <v>0.8420715084766266</v>
      </c>
      <c r="U1689" s="12">
        <v>0.91241597923476825</v>
      </c>
      <c r="V1689" s="12">
        <v>283.10316501920948</v>
      </c>
      <c r="W1689" s="12">
        <v>4.4225771214564196</v>
      </c>
      <c r="X1689" s="12">
        <v>73.571773722970875</v>
      </c>
      <c r="Y1689" s="12">
        <v>1558.576096773056</v>
      </c>
      <c r="Z1689" s="12">
        <v>1.8561618775468109</v>
      </c>
      <c r="AA1689" s="12"/>
      <c r="AB1689" s="12"/>
    </row>
    <row r="1690" spans="1:28" x14ac:dyDescent="0.3">
      <c r="A1690" s="12" t="s">
        <v>3602</v>
      </c>
      <c r="B1690" s="12" t="s">
        <v>160</v>
      </c>
      <c r="C1690" s="12" t="s">
        <v>160</v>
      </c>
      <c r="D1690" s="12" t="s">
        <v>161</v>
      </c>
      <c r="E1690" s="12" t="s">
        <v>2978</v>
      </c>
      <c r="F1690" s="12" t="s">
        <v>1861</v>
      </c>
      <c r="G1690" s="12" t="s">
        <v>1861</v>
      </c>
      <c r="H1690" s="12" t="b">
        <v>1</v>
      </c>
      <c r="I1690" s="12" t="b">
        <v>0</v>
      </c>
      <c r="J1690" s="12" t="b">
        <v>0</v>
      </c>
      <c r="K1690" s="12" t="b">
        <v>0</v>
      </c>
      <c r="L1690" s="12">
        <v>437.10111159292558</v>
      </c>
      <c r="M1690" s="12">
        <v>288.79611656117828</v>
      </c>
      <c r="N1690" s="12">
        <v>2504.20600520682</v>
      </c>
      <c r="O1690" s="12">
        <v>1516.8554419862</v>
      </c>
      <c r="P1690" s="12">
        <v>0.81056048529451341</v>
      </c>
      <c r="Q1690" s="12">
        <v>0.8745257278501134</v>
      </c>
      <c r="R1690" s="12">
        <v>0.66671377233572005</v>
      </c>
      <c r="S1690" s="12">
        <v>0.7062809112520162</v>
      </c>
      <c r="T1690" s="12">
        <v>0.87347780725303414</v>
      </c>
      <c r="U1690" s="12">
        <v>0.73693975734708128</v>
      </c>
      <c r="V1690" s="12">
        <v>288.79611656117828</v>
      </c>
      <c r="W1690" s="12">
        <v>4.4046401936098398</v>
      </c>
      <c r="X1690" s="12">
        <v>45.281980717864251</v>
      </c>
      <c r="Y1690" s="12">
        <v>987.35056322061996</v>
      </c>
      <c r="Z1690" s="12">
        <v>1.6509193532165229</v>
      </c>
      <c r="AA1690" s="12" t="s">
        <v>1268</v>
      </c>
      <c r="AB1690" s="12"/>
    </row>
    <row r="1691" spans="1:28" x14ac:dyDescent="0.3">
      <c r="A1691" s="12" t="s">
        <v>3603</v>
      </c>
      <c r="B1691" s="12" t="s">
        <v>160</v>
      </c>
      <c r="C1691" s="12" t="s">
        <v>160</v>
      </c>
      <c r="D1691" s="12" t="s">
        <v>161</v>
      </c>
      <c r="E1691" s="12" t="s">
        <v>2978</v>
      </c>
      <c r="F1691" s="12" t="s">
        <v>32</v>
      </c>
      <c r="G1691" s="12" t="s">
        <v>32</v>
      </c>
      <c r="H1691" s="12" t="b">
        <v>1</v>
      </c>
      <c r="I1691" s="12" t="b">
        <v>0</v>
      </c>
      <c r="J1691" s="12" t="b">
        <v>1</v>
      </c>
      <c r="K1691" s="12" t="b">
        <v>0</v>
      </c>
      <c r="L1691" s="12">
        <v>488.99504570359682</v>
      </c>
      <c r="M1691" s="12">
        <v>296.79966893927258</v>
      </c>
      <c r="N1691" s="12">
        <v>4788.9458567561996</v>
      </c>
      <c r="O1691" s="12">
        <v>2085.8163681035958</v>
      </c>
      <c r="P1691" s="12">
        <v>0.77891223513817198</v>
      </c>
      <c r="Q1691" s="12">
        <v>0.84998138682070112</v>
      </c>
      <c r="R1691" s="12">
        <v>0.70102999968808033</v>
      </c>
      <c r="S1691" s="12">
        <v>0.64405073786571054</v>
      </c>
      <c r="T1691" s="12">
        <v>0.75961170787854249</v>
      </c>
      <c r="U1691" s="12">
        <v>0.89245710367153164</v>
      </c>
      <c r="V1691" s="12">
        <v>296.79966893927258</v>
      </c>
      <c r="W1691" s="12">
        <v>7.1801272070424194</v>
      </c>
      <c r="X1691" s="12">
        <v>80.192828642946125</v>
      </c>
      <c r="Y1691" s="12">
        <v>2703.1294886526039</v>
      </c>
      <c r="Z1691" s="12">
        <v>2.2959575588671131</v>
      </c>
      <c r="AA1691" s="12"/>
      <c r="AB1691" s="12"/>
    </row>
    <row r="1692" spans="1:28" x14ac:dyDescent="0.3">
      <c r="A1692" s="12" t="s">
        <v>3604</v>
      </c>
      <c r="B1692" s="12" t="s">
        <v>160</v>
      </c>
      <c r="C1692" s="12" t="s">
        <v>160</v>
      </c>
      <c r="D1692" s="12" t="s">
        <v>161</v>
      </c>
      <c r="E1692" s="12" t="s">
        <v>2978</v>
      </c>
      <c r="F1692" s="12" t="s">
        <v>1862</v>
      </c>
      <c r="G1692" s="12" t="s">
        <v>1862</v>
      </c>
      <c r="H1692" s="12" t="b">
        <v>1</v>
      </c>
      <c r="I1692" s="12" t="b">
        <v>0</v>
      </c>
      <c r="J1692" s="12" t="b">
        <v>0</v>
      </c>
      <c r="K1692" s="12" t="b">
        <v>0</v>
      </c>
      <c r="L1692" s="12">
        <v>393.90795192750772</v>
      </c>
      <c r="M1692" s="12">
        <v>282.66728083949198</v>
      </c>
      <c r="N1692" s="12">
        <v>3457.2811652620539</v>
      </c>
      <c r="O1692" s="12">
        <v>1674.8049376698591</v>
      </c>
      <c r="P1692" s="12">
        <v>0.50845011528348794</v>
      </c>
      <c r="Q1692" s="12">
        <v>0.84339824287942511</v>
      </c>
      <c r="R1692" s="12">
        <v>0.65254439739624681</v>
      </c>
      <c r="S1692" s="12">
        <v>0.83001091206300615</v>
      </c>
      <c r="T1692" s="12">
        <v>0.73588542215227892</v>
      </c>
      <c r="U1692" s="12">
        <v>0.74474703636689121</v>
      </c>
      <c r="V1692" s="12">
        <v>282.66728083949198</v>
      </c>
      <c r="W1692" s="12">
        <v>-2.01476039779747</v>
      </c>
      <c r="X1692" s="12">
        <v>-2.7270047769224619</v>
      </c>
      <c r="Y1692" s="12">
        <v>1782.4762275921951</v>
      </c>
      <c r="Z1692" s="12">
        <v>2.0642888538841651</v>
      </c>
      <c r="AA1692" s="12" t="s">
        <v>1696</v>
      </c>
      <c r="AB1692" s="12"/>
    </row>
    <row r="1693" spans="1:28" x14ac:dyDescent="0.3">
      <c r="A1693" s="12" t="s">
        <v>3605</v>
      </c>
      <c r="B1693" s="12" t="s">
        <v>160</v>
      </c>
      <c r="C1693" s="12" t="s">
        <v>160</v>
      </c>
      <c r="D1693" s="12" t="s">
        <v>161</v>
      </c>
      <c r="E1693" s="12" t="s">
        <v>2978</v>
      </c>
      <c r="F1693" s="12" t="s">
        <v>32</v>
      </c>
      <c r="G1693" s="12" t="s">
        <v>32</v>
      </c>
      <c r="H1693" s="12" t="b">
        <v>1</v>
      </c>
      <c r="I1693" s="12" t="b">
        <v>1</v>
      </c>
      <c r="J1693" s="12" t="b">
        <v>0</v>
      </c>
      <c r="K1693" s="12" t="b">
        <v>0</v>
      </c>
      <c r="L1693" s="12">
        <v>384.02257267163048</v>
      </c>
      <c r="M1693" s="12">
        <v>291.51587755349033</v>
      </c>
      <c r="N1693" s="12">
        <v>3175.598436877513</v>
      </c>
      <c r="O1693" s="12">
        <v>2207.5419024177781</v>
      </c>
      <c r="P1693" s="12">
        <v>0.60671737880116083</v>
      </c>
      <c r="Q1693" s="12">
        <v>0.77072653496881782</v>
      </c>
      <c r="R1693" s="12">
        <v>0.77967471991687998</v>
      </c>
      <c r="S1693" s="12">
        <v>0.81663311800821681</v>
      </c>
      <c r="T1693" s="12">
        <v>0.65827416747679501</v>
      </c>
      <c r="U1693" s="12">
        <v>0.90765425377620756</v>
      </c>
      <c r="V1693" s="12">
        <v>291.51587755349033</v>
      </c>
      <c r="W1693" s="12">
        <v>1.3165933874465301</v>
      </c>
      <c r="X1693" s="12">
        <v>4.1325166695735112</v>
      </c>
      <c r="Y1693" s="12">
        <v>968.05653445973485</v>
      </c>
      <c r="Z1693" s="12">
        <v>1.438522382474138</v>
      </c>
      <c r="AA1693" s="12"/>
      <c r="AB1693" s="12"/>
    </row>
    <row r="1694" spans="1:28" x14ac:dyDescent="0.3">
      <c r="A1694" s="12" t="s">
        <v>3606</v>
      </c>
      <c r="B1694" s="12" t="s">
        <v>160</v>
      </c>
      <c r="C1694" s="12" t="s">
        <v>160</v>
      </c>
      <c r="D1694" s="12" t="s">
        <v>161</v>
      </c>
      <c r="E1694" s="12" t="s">
        <v>2978</v>
      </c>
      <c r="F1694" s="12" t="s">
        <v>832</v>
      </c>
      <c r="G1694" s="12" t="s">
        <v>832</v>
      </c>
      <c r="H1694" s="12" t="b">
        <v>0</v>
      </c>
      <c r="I1694" s="12" t="b">
        <v>0</v>
      </c>
      <c r="J1694" s="12" t="b">
        <v>0</v>
      </c>
      <c r="K1694" s="12" t="b">
        <v>0</v>
      </c>
      <c r="L1694" s="12">
        <v>438.86094139954031</v>
      </c>
      <c r="M1694" s="12">
        <v>300.9173659070056</v>
      </c>
      <c r="N1694" s="12">
        <v>3672.8228234136532</v>
      </c>
      <c r="O1694" s="12">
        <v>2223.2722894705498</v>
      </c>
      <c r="P1694" s="12">
        <v>0.81872818331556063</v>
      </c>
      <c r="Q1694" s="12">
        <v>0.91060278110741821</v>
      </c>
      <c r="R1694" s="12">
        <v>0.8034799639286001</v>
      </c>
      <c r="S1694" s="12">
        <v>0.83849265545075813</v>
      </c>
      <c r="T1694" s="12">
        <v>0.63947038924320199</v>
      </c>
      <c r="U1694" s="12">
        <v>0.75697037329737726</v>
      </c>
      <c r="V1694" s="12">
        <v>300.9173659070056</v>
      </c>
      <c r="W1694" s="12"/>
      <c r="X1694" s="12"/>
      <c r="Y1694" s="12">
        <v>1449.5505339431029</v>
      </c>
      <c r="Z1694" s="12">
        <v>1.6519896554318581</v>
      </c>
      <c r="AA1694" s="12"/>
      <c r="AB1694" s="12"/>
    </row>
    <row r="1695" spans="1:28" x14ac:dyDescent="0.3">
      <c r="A1695" s="12" t="s">
        <v>3607</v>
      </c>
      <c r="B1695" s="12" t="s">
        <v>160</v>
      </c>
      <c r="C1695" s="12" t="s">
        <v>160</v>
      </c>
      <c r="D1695" s="12" t="s">
        <v>161</v>
      </c>
      <c r="E1695" s="12" t="s">
        <v>2978</v>
      </c>
      <c r="F1695" s="12" t="s">
        <v>1861</v>
      </c>
      <c r="G1695" s="12" t="s">
        <v>1861</v>
      </c>
      <c r="H1695" s="12" t="b">
        <v>1</v>
      </c>
      <c r="I1695" s="12" t="b">
        <v>0</v>
      </c>
      <c r="J1695" s="12" t="b">
        <v>0</v>
      </c>
      <c r="K1695" s="12" t="b">
        <v>0</v>
      </c>
      <c r="L1695" s="12">
        <v>415.09112476947467</v>
      </c>
      <c r="M1695" s="12">
        <v>296.25331661435712</v>
      </c>
      <c r="N1695" s="12">
        <v>3329.7529689680468</v>
      </c>
      <c r="O1695" s="12">
        <v>1799.2624347935671</v>
      </c>
      <c r="P1695" s="12">
        <v>0.75417328758521851</v>
      </c>
      <c r="Q1695" s="12">
        <v>0.84504800113964917</v>
      </c>
      <c r="R1695" s="12">
        <v>0.8277500631645015</v>
      </c>
      <c r="S1695" s="12">
        <v>0.78237870389861697</v>
      </c>
      <c r="T1695" s="12">
        <v>0.73165612632989518</v>
      </c>
      <c r="U1695" s="12">
        <v>0.70426088885118132</v>
      </c>
      <c r="V1695" s="12">
        <v>296.25331661435712</v>
      </c>
      <c r="W1695" s="12">
        <v>5.5726214600315602</v>
      </c>
      <c r="X1695" s="12">
        <v>41.593163886805577</v>
      </c>
      <c r="Y1695" s="12">
        <v>1530.49053417448</v>
      </c>
      <c r="Z1695" s="12">
        <v>1.850621068154561</v>
      </c>
      <c r="AA1695" s="12" t="s">
        <v>1268</v>
      </c>
      <c r="AB1695" s="12"/>
    </row>
    <row r="1696" spans="1:28" x14ac:dyDescent="0.3">
      <c r="A1696" s="12" t="s">
        <v>3608</v>
      </c>
      <c r="B1696" s="12" t="s">
        <v>160</v>
      </c>
      <c r="C1696" s="12" t="s">
        <v>160</v>
      </c>
      <c r="D1696" s="12" t="s">
        <v>161</v>
      </c>
      <c r="E1696" s="12" t="s">
        <v>2978</v>
      </c>
      <c r="F1696" s="12" t="s">
        <v>3483</v>
      </c>
      <c r="G1696" s="12"/>
      <c r="H1696" s="12" t="b">
        <v>0</v>
      </c>
      <c r="I1696" s="12" t="b">
        <v>0</v>
      </c>
      <c r="J1696" s="12"/>
      <c r="K1696" s="12" t="b">
        <v>1</v>
      </c>
      <c r="L1696" s="12">
        <v>404.46821641464481</v>
      </c>
      <c r="M1696" s="12">
        <v>288.9777503074456</v>
      </c>
      <c r="N1696" s="12">
        <v>2556.5238843048792</v>
      </c>
      <c r="O1696" s="12">
        <v>2400.3735681087301</v>
      </c>
      <c r="P1696" s="12">
        <v>0.52946932958922144</v>
      </c>
      <c r="Q1696" s="12">
        <v>0.8758315795240148</v>
      </c>
      <c r="R1696" s="12">
        <v>0.68108417240064445</v>
      </c>
      <c r="S1696" s="12">
        <v>0.75714224253490436</v>
      </c>
      <c r="T1696" s="12">
        <v>0.85259417541164684</v>
      </c>
      <c r="U1696" s="12">
        <v>0.71789886706105466</v>
      </c>
      <c r="V1696" s="12"/>
      <c r="W1696" s="12"/>
      <c r="X1696" s="12"/>
      <c r="Y1696" s="12">
        <v>156.15031619614871</v>
      </c>
      <c r="Z1696" s="12">
        <v>1.065052506106031</v>
      </c>
      <c r="AA1696" s="12"/>
      <c r="AB1696" s="12"/>
    </row>
    <row r="1697" spans="1:28" x14ac:dyDescent="0.3">
      <c r="A1697" s="12" t="s">
        <v>3609</v>
      </c>
      <c r="B1697" s="12" t="s">
        <v>160</v>
      </c>
      <c r="C1697" s="12" t="s">
        <v>160</v>
      </c>
      <c r="D1697" s="12" t="s">
        <v>161</v>
      </c>
      <c r="E1697" s="12" t="s">
        <v>2978</v>
      </c>
      <c r="F1697" s="12" t="s">
        <v>3483</v>
      </c>
      <c r="G1697" s="12"/>
      <c r="H1697" s="12" t="b">
        <v>0</v>
      </c>
      <c r="I1697" s="12" t="b">
        <v>0</v>
      </c>
      <c r="J1697" s="12"/>
      <c r="K1697" s="12" t="b">
        <v>1</v>
      </c>
      <c r="L1697" s="12">
        <v>435.05440938212757</v>
      </c>
      <c r="M1697" s="12">
        <v>299.41544265109212</v>
      </c>
      <c r="N1697" s="12">
        <v>2157.380822465776</v>
      </c>
      <c r="O1697" s="12">
        <v>2246.1992004841859</v>
      </c>
      <c r="P1697" s="12">
        <v>0.52288947468837477</v>
      </c>
      <c r="Q1697" s="12">
        <v>0.84792249729316072</v>
      </c>
      <c r="R1697" s="12">
        <v>0.74582985679172098</v>
      </c>
      <c r="S1697" s="12">
        <v>0.87314107783823247</v>
      </c>
      <c r="T1697" s="12">
        <v>0.82854019866662432</v>
      </c>
      <c r="U1697" s="12">
        <v>0.77605278787073462</v>
      </c>
      <c r="V1697" s="12"/>
      <c r="W1697" s="12"/>
      <c r="X1697" s="12"/>
      <c r="Y1697" s="12">
        <v>-88.818378018410385</v>
      </c>
      <c r="Z1697" s="12">
        <v>0.96045836985461264</v>
      </c>
      <c r="AA1697" s="12"/>
      <c r="AB1697" s="12"/>
    </row>
    <row r="1698" spans="1:28" x14ac:dyDescent="0.3">
      <c r="A1698" s="12" t="s">
        <v>3610</v>
      </c>
      <c r="B1698" s="12" t="s">
        <v>160</v>
      </c>
      <c r="C1698" s="12" t="s">
        <v>160</v>
      </c>
      <c r="D1698" s="12" t="s">
        <v>161</v>
      </c>
      <c r="E1698" s="12" t="s">
        <v>2978</v>
      </c>
      <c r="F1698" s="12" t="s">
        <v>32</v>
      </c>
      <c r="G1698" s="12" t="s">
        <v>32</v>
      </c>
      <c r="H1698" s="12" t="b">
        <v>1</v>
      </c>
      <c r="I1698" s="12" t="b">
        <v>1</v>
      </c>
      <c r="J1698" s="12" t="b">
        <v>0</v>
      </c>
      <c r="K1698" s="12" t="b">
        <v>0</v>
      </c>
      <c r="L1698" s="12">
        <v>433.91524701685091</v>
      </c>
      <c r="M1698" s="12">
        <v>303.22606528823047</v>
      </c>
      <c r="N1698" s="12">
        <v>3976.1452958955542</v>
      </c>
      <c r="O1698" s="12">
        <v>1935.407812669293</v>
      </c>
      <c r="P1698" s="12">
        <v>0.80790219232209926</v>
      </c>
      <c r="Q1698" s="12">
        <v>0.88721950173552799</v>
      </c>
      <c r="R1698" s="12">
        <v>0.89584638644943104</v>
      </c>
      <c r="S1698" s="12">
        <v>0.63418326946275805</v>
      </c>
      <c r="T1698" s="12">
        <v>0.61297813256248934</v>
      </c>
      <c r="U1698" s="12">
        <v>0.89339412768294824</v>
      </c>
      <c r="V1698" s="12">
        <v>303.22606528823047</v>
      </c>
      <c r="W1698" s="12">
        <v>6.7069448672201508</v>
      </c>
      <c r="X1698" s="12">
        <v>58.534905637914058</v>
      </c>
      <c r="Y1698" s="12">
        <v>2040.737483226261</v>
      </c>
      <c r="Z1698" s="12">
        <v>2.0544224684159449</v>
      </c>
      <c r="AA1698" s="12"/>
      <c r="AB1698" s="12"/>
    </row>
    <row r="1699" spans="1:28" x14ac:dyDescent="0.3">
      <c r="A1699" s="12" t="s">
        <v>3611</v>
      </c>
      <c r="B1699" s="12" t="s">
        <v>160</v>
      </c>
      <c r="C1699" s="12" t="s">
        <v>160</v>
      </c>
      <c r="D1699" s="12" t="s">
        <v>161</v>
      </c>
      <c r="E1699" s="12" t="s">
        <v>2978</v>
      </c>
      <c r="F1699" s="12" t="s">
        <v>3483</v>
      </c>
      <c r="G1699" s="12"/>
      <c r="H1699" s="12" t="b">
        <v>0</v>
      </c>
      <c r="I1699" s="12" t="b">
        <v>0</v>
      </c>
      <c r="J1699" s="12"/>
      <c r="K1699" s="12" t="b">
        <v>1</v>
      </c>
      <c r="L1699" s="12">
        <v>459.0945485427772</v>
      </c>
      <c r="M1699" s="12">
        <v>297.31524975400168</v>
      </c>
      <c r="N1699" s="12">
        <v>2299.383980074163</v>
      </c>
      <c r="O1699" s="12">
        <v>2306.5313877265812</v>
      </c>
      <c r="P1699" s="12">
        <v>0.79690532206227049</v>
      </c>
      <c r="Q1699" s="12">
        <v>0.76774291408051365</v>
      </c>
      <c r="R1699" s="12">
        <v>0.85891812342324936</v>
      </c>
      <c r="S1699" s="12">
        <v>0.6506114125053295</v>
      </c>
      <c r="T1699" s="12">
        <v>0.66887518270738089</v>
      </c>
      <c r="U1699" s="12">
        <v>0.7127045420760193</v>
      </c>
      <c r="V1699" s="12"/>
      <c r="W1699" s="12"/>
      <c r="X1699" s="12"/>
      <c r="Y1699" s="12">
        <v>-7.147407652417769</v>
      </c>
      <c r="Z1699" s="12">
        <v>0.9969012311341392</v>
      </c>
      <c r="AA1699" s="12"/>
      <c r="AB1699" s="12"/>
    </row>
    <row r="1700" spans="1:28" x14ac:dyDescent="0.3">
      <c r="A1700" s="12" t="s">
        <v>3612</v>
      </c>
      <c r="B1700" s="12" t="s">
        <v>160</v>
      </c>
      <c r="C1700" s="12" t="s">
        <v>160</v>
      </c>
      <c r="D1700" s="12" t="s">
        <v>161</v>
      </c>
      <c r="E1700" s="12" t="s">
        <v>2978</v>
      </c>
      <c r="F1700" s="12" t="s">
        <v>32</v>
      </c>
      <c r="G1700" s="12" t="s">
        <v>32</v>
      </c>
      <c r="H1700" s="12" t="b">
        <v>1</v>
      </c>
      <c r="I1700" s="12" t="b">
        <v>1</v>
      </c>
      <c r="J1700" s="12" t="b">
        <v>0</v>
      </c>
      <c r="K1700" s="12" t="b">
        <v>0</v>
      </c>
      <c r="L1700" s="12">
        <v>403.61314795940001</v>
      </c>
      <c r="M1700" s="12">
        <v>291.23743362784347</v>
      </c>
      <c r="N1700" s="12">
        <v>3867.4230660268322</v>
      </c>
      <c r="O1700" s="12">
        <v>2349.9872703992928</v>
      </c>
      <c r="P1700" s="12">
        <v>0.69043163778720285</v>
      </c>
      <c r="Q1700" s="12">
        <v>0.89557994534402996</v>
      </c>
      <c r="R1700" s="12">
        <v>0.75784589111249601</v>
      </c>
      <c r="S1700" s="12">
        <v>0.90764409507267041</v>
      </c>
      <c r="T1700" s="12">
        <v>0.75575035273198421</v>
      </c>
      <c r="U1700" s="12">
        <v>0.84206627143153212</v>
      </c>
      <c r="V1700" s="12">
        <v>291.23743362784347</v>
      </c>
      <c r="W1700" s="12">
        <v>4.0851032327745402</v>
      </c>
      <c r="X1700" s="12">
        <v>25.997651512404211</v>
      </c>
      <c r="Y1700" s="12">
        <v>1517.4357956275389</v>
      </c>
      <c r="Z1700" s="12">
        <v>1.6457208576154141</v>
      </c>
      <c r="AA1700" s="12"/>
      <c r="AB1700" s="12"/>
    </row>
    <row r="1701" spans="1:28" x14ac:dyDescent="0.3">
      <c r="A1701" s="12" t="s">
        <v>3613</v>
      </c>
      <c r="B1701" s="12" t="s">
        <v>160</v>
      </c>
      <c r="C1701" s="12" t="s">
        <v>160</v>
      </c>
      <c r="D1701" s="12" t="s">
        <v>161</v>
      </c>
      <c r="E1701" s="12" t="s">
        <v>2978</v>
      </c>
      <c r="F1701" s="12" t="s">
        <v>1861</v>
      </c>
      <c r="G1701" s="12" t="s">
        <v>1861</v>
      </c>
      <c r="H1701" s="12" t="b">
        <v>1</v>
      </c>
      <c r="I1701" s="12" t="b">
        <v>0</v>
      </c>
      <c r="J1701" s="12" t="b">
        <v>0</v>
      </c>
      <c r="K1701" s="12" t="b">
        <v>0</v>
      </c>
      <c r="L1701" s="12">
        <v>421.81209291203351</v>
      </c>
      <c r="M1701" s="12">
        <v>293.29213695041528</v>
      </c>
      <c r="N1701" s="12">
        <v>4325.8198147113326</v>
      </c>
      <c r="O1701" s="12">
        <v>1534.076609265747</v>
      </c>
      <c r="P1701" s="12">
        <v>0.74860665940674576</v>
      </c>
      <c r="Q1701" s="12">
        <v>0.89490572602201734</v>
      </c>
      <c r="R1701" s="12">
        <v>0.66207735259697142</v>
      </c>
      <c r="S1701" s="12">
        <v>0.72014398951497116</v>
      </c>
      <c r="T1701" s="12">
        <v>0.61776644661904467</v>
      </c>
      <c r="U1701" s="12">
        <v>0.70680083919381753</v>
      </c>
      <c r="V1701" s="12">
        <v>293.29213695041528</v>
      </c>
      <c r="W1701" s="12">
        <v>9.0718541506683703</v>
      </c>
      <c r="X1701" s="12">
        <v>61.107081279847861</v>
      </c>
      <c r="Y1701" s="12">
        <v>2791.7432054455862</v>
      </c>
      <c r="Z1701" s="12">
        <v>2.8198199415750138</v>
      </c>
      <c r="AA1701" s="12" t="s">
        <v>1268</v>
      </c>
      <c r="AB1701" s="12"/>
    </row>
    <row r="1702" spans="1:28" x14ac:dyDescent="0.3">
      <c r="A1702" s="12" t="s">
        <v>3614</v>
      </c>
      <c r="B1702" s="12" t="s">
        <v>160</v>
      </c>
      <c r="C1702" s="12" t="s">
        <v>160</v>
      </c>
      <c r="D1702" s="12" t="s">
        <v>161</v>
      </c>
      <c r="E1702" s="12" t="s">
        <v>2978</v>
      </c>
      <c r="F1702" s="12" t="s">
        <v>1861</v>
      </c>
      <c r="G1702" s="12" t="s">
        <v>1861</v>
      </c>
      <c r="H1702" s="12" t="b">
        <v>1</v>
      </c>
      <c r="I1702" s="12" t="b">
        <v>0</v>
      </c>
      <c r="J1702" s="12" t="b">
        <v>0</v>
      </c>
      <c r="K1702" s="12" t="b">
        <v>0</v>
      </c>
      <c r="L1702" s="12">
        <v>422.45940932359667</v>
      </c>
      <c r="M1702" s="12">
        <v>294.53535318926151</v>
      </c>
      <c r="N1702" s="12">
        <v>3505.922650777025</v>
      </c>
      <c r="O1702" s="12">
        <v>1840.0066882050121</v>
      </c>
      <c r="P1702" s="12">
        <v>0.6342186682035923</v>
      </c>
      <c r="Q1702" s="12">
        <v>0.89233998066702114</v>
      </c>
      <c r="R1702" s="12">
        <v>0.72081125989160544</v>
      </c>
      <c r="S1702" s="12">
        <v>0.89113284251043723</v>
      </c>
      <c r="T1702" s="12">
        <v>0.74051639799148705</v>
      </c>
      <c r="U1702" s="12">
        <v>0.72607903623289849</v>
      </c>
      <c r="V1702" s="12">
        <v>294.53535318926151</v>
      </c>
      <c r="W1702" s="12">
        <v>5.8471461156438203</v>
      </c>
      <c r="X1702" s="12">
        <v>41.823716906338191</v>
      </c>
      <c r="Y1702" s="12">
        <v>1665.9159625720131</v>
      </c>
      <c r="Z1702" s="12">
        <v>1.9053858191119779</v>
      </c>
      <c r="AA1702" s="12" t="s">
        <v>1268</v>
      </c>
      <c r="AB1702" s="12"/>
    </row>
    <row r="1703" spans="1:28" x14ac:dyDescent="0.3">
      <c r="A1703" s="12" t="s">
        <v>3615</v>
      </c>
      <c r="B1703" s="12" t="s">
        <v>160</v>
      </c>
      <c r="C1703" s="12" t="s">
        <v>160</v>
      </c>
      <c r="D1703" s="12" t="s">
        <v>161</v>
      </c>
      <c r="E1703" s="12" t="s">
        <v>2978</v>
      </c>
      <c r="F1703" s="12" t="s">
        <v>32</v>
      </c>
      <c r="G1703" s="12" t="s">
        <v>32</v>
      </c>
      <c r="H1703" s="12" t="b">
        <v>1</v>
      </c>
      <c r="I1703" s="12" t="b">
        <v>0</v>
      </c>
      <c r="J1703" s="12" t="b">
        <v>1</v>
      </c>
      <c r="K1703" s="12" t="b">
        <v>0</v>
      </c>
      <c r="L1703" s="12">
        <v>459.80202576255579</v>
      </c>
      <c r="M1703" s="12">
        <v>286.5030612471279</v>
      </c>
      <c r="N1703" s="12">
        <v>4355.3170985151392</v>
      </c>
      <c r="O1703" s="12">
        <v>2168.5541864031952</v>
      </c>
      <c r="P1703" s="12">
        <v>0.56474787862396458</v>
      </c>
      <c r="Q1703" s="12">
        <v>0.86606559644295511</v>
      </c>
      <c r="R1703" s="12">
        <v>0.7318655054133566</v>
      </c>
      <c r="S1703" s="12">
        <v>0.79292733887222944</v>
      </c>
      <c r="T1703" s="12">
        <v>0.77400948548116499</v>
      </c>
      <c r="U1703" s="12">
        <v>0.71105022326710621</v>
      </c>
      <c r="V1703" s="12">
        <v>286.5030612471279</v>
      </c>
      <c r="W1703" s="12">
        <v>5.7611193672283898</v>
      </c>
      <c r="X1703" s="12">
        <v>49.920601578915431</v>
      </c>
      <c r="Y1703" s="12">
        <v>2186.7629121119439</v>
      </c>
      <c r="Z1703" s="12">
        <v>2.00839671234545</v>
      </c>
      <c r="AA1703" s="12"/>
      <c r="AB1703" s="12"/>
    </row>
    <row r="1704" spans="1:28" x14ac:dyDescent="0.3">
      <c r="A1704" s="12" t="s">
        <v>3616</v>
      </c>
      <c r="B1704" s="12" t="s">
        <v>160</v>
      </c>
      <c r="C1704" s="12" t="s">
        <v>160</v>
      </c>
      <c r="D1704" s="12" t="s">
        <v>161</v>
      </c>
      <c r="E1704" s="12" t="s">
        <v>2978</v>
      </c>
      <c r="F1704" s="12" t="s">
        <v>32</v>
      </c>
      <c r="G1704" s="12" t="s">
        <v>32</v>
      </c>
      <c r="H1704" s="12" t="b">
        <v>1</v>
      </c>
      <c r="I1704" s="12" t="b">
        <v>1</v>
      </c>
      <c r="J1704" s="12" t="b">
        <v>0</v>
      </c>
      <c r="K1704" s="12" t="b">
        <v>0</v>
      </c>
      <c r="L1704" s="12">
        <v>423.84243727286753</v>
      </c>
      <c r="M1704" s="12">
        <v>290.86661327782173</v>
      </c>
      <c r="N1704" s="12">
        <v>3076.067495852913</v>
      </c>
      <c r="O1704" s="12">
        <v>2198.6937402742078</v>
      </c>
      <c r="P1704" s="12">
        <v>0.71674381711556379</v>
      </c>
      <c r="Q1704" s="12">
        <v>0.81209522236440512</v>
      </c>
      <c r="R1704" s="12">
        <v>0.7033153522474741</v>
      </c>
      <c r="S1704" s="12">
        <v>0.87063470540600174</v>
      </c>
      <c r="T1704" s="12">
        <v>0.84818406983124217</v>
      </c>
      <c r="U1704" s="12">
        <v>0.7933775181360545</v>
      </c>
      <c r="V1704" s="12">
        <v>290.86661327782173</v>
      </c>
      <c r="W1704" s="12">
        <v>3.0076504611640198</v>
      </c>
      <c r="X1704" s="12">
        <v>28.926543246681351</v>
      </c>
      <c r="Y1704" s="12">
        <v>877.37375557870473</v>
      </c>
      <c r="Z1704" s="12">
        <v>1.3990431861916719</v>
      </c>
      <c r="AA1704" s="12"/>
      <c r="AB1704" s="12"/>
    </row>
    <row r="1705" spans="1:28" x14ac:dyDescent="0.3">
      <c r="A1705" s="12" t="s">
        <v>3617</v>
      </c>
      <c r="B1705" s="12" t="s">
        <v>160</v>
      </c>
      <c r="C1705" s="12" t="s">
        <v>160</v>
      </c>
      <c r="D1705" s="12" t="s">
        <v>161</v>
      </c>
      <c r="E1705" s="12" t="s">
        <v>2978</v>
      </c>
      <c r="F1705" s="12" t="s">
        <v>1861</v>
      </c>
      <c r="G1705" s="12" t="s">
        <v>1861</v>
      </c>
      <c r="H1705" s="12" t="b">
        <v>1</v>
      </c>
      <c r="I1705" s="12" t="b">
        <v>0</v>
      </c>
      <c r="J1705" s="12" t="b">
        <v>1</v>
      </c>
      <c r="K1705" s="12" t="b">
        <v>0</v>
      </c>
      <c r="L1705" s="12">
        <v>443.41125550884931</v>
      </c>
      <c r="M1705" s="12">
        <v>295.22634923217828</v>
      </c>
      <c r="N1705" s="12">
        <v>2656.921883777969</v>
      </c>
      <c r="O1705" s="12">
        <v>2215.0170606603001</v>
      </c>
      <c r="P1705" s="12">
        <v>0.67041761566881575</v>
      </c>
      <c r="Q1705" s="12">
        <v>0.80070186565164081</v>
      </c>
      <c r="R1705" s="12">
        <v>0.83008531932229546</v>
      </c>
      <c r="S1705" s="12">
        <v>0.91858187671352098</v>
      </c>
      <c r="T1705" s="12">
        <v>0.80225579012508852</v>
      </c>
      <c r="U1705" s="12">
        <v>0.72780648137524928</v>
      </c>
      <c r="V1705" s="12">
        <v>295.22634923217828</v>
      </c>
      <c r="W1705" s="12">
        <v>1.38163869324443</v>
      </c>
      <c r="X1705" s="12">
        <v>17.441608247771029</v>
      </c>
      <c r="Y1705" s="12">
        <v>441.90482311766891</v>
      </c>
      <c r="Z1705" s="12">
        <v>1.199504026838482</v>
      </c>
      <c r="AA1705" s="12" t="s">
        <v>1268</v>
      </c>
      <c r="AB1705" s="12"/>
    </row>
    <row r="1706" spans="1:28" x14ac:dyDescent="0.3">
      <c r="A1706" s="12" t="s">
        <v>3618</v>
      </c>
      <c r="B1706" s="12" t="s">
        <v>160</v>
      </c>
      <c r="C1706" s="12" t="s">
        <v>160</v>
      </c>
      <c r="D1706" s="12" t="s">
        <v>161</v>
      </c>
      <c r="E1706" s="12" t="s">
        <v>2978</v>
      </c>
      <c r="F1706" s="12" t="s">
        <v>1861</v>
      </c>
      <c r="G1706" s="12" t="s">
        <v>1861</v>
      </c>
      <c r="H1706" s="12" t="b">
        <v>1</v>
      </c>
      <c r="I1706" s="12" t="b">
        <v>0</v>
      </c>
      <c r="J1706" s="12" t="b">
        <v>0</v>
      </c>
      <c r="K1706" s="12" t="b">
        <v>0</v>
      </c>
      <c r="L1706" s="12">
        <v>440.63538343545429</v>
      </c>
      <c r="M1706" s="12">
        <v>298.18215793936628</v>
      </c>
      <c r="N1706" s="12">
        <v>4433.3512546788388</v>
      </c>
      <c r="O1706" s="12">
        <v>2393.6378093261301</v>
      </c>
      <c r="P1706" s="12">
        <v>0.7773825853794325</v>
      </c>
      <c r="Q1706" s="12">
        <v>0.87042715639534696</v>
      </c>
      <c r="R1706" s="12">
        <v>0.81694027714658701</v>
      </c>
      <c r="S1706" s="12">
        <v>0.74605297626597455</v>
      </c>
      <c r="T1706" s="12">
        <v>0.93470966943709499</v>
      </c>
      <c r="U1706" s="12">
        <v>0.78925410152835207</v>
      </c>
      <c r="V1706" s="12">
        <v>298.18215793936628</v>
      </c>
      <c r="W1706" s="12">
        <v>6.1976439002782104</v>
      </c>
      <c r="X1706" s="12">
        <v>56.94972902943443</v>
      </c>
      <c r="Y1706" s="12">
        <v>2039.713445352709</v>
      </c>
      <c r="Z1706" s="12">
        <v>1.852139549854011</v>
      </c>
      <c r="AA1706" s="12" t="s">
        <v>1268</v>
      </c>
      <c r="AB1706" s="12"/>
    </row>
    <row r="1707" spans="1:28" x14ac:dyDescent="0.3">
      <c r="A1707" s="12" t="s">
        <v>3619</v>
      </c>
      <c r="B1707" s="12" t="s">
        <v>160</v>
      </c>
      <c r="C1707" s="12" t="s">
        <v>160</v>
      </c>
      <c r="D1707" s="12" t="s">
        <v>161</v>
      </c>
      <c r="E1707" s="12" t="s">
        <v>2978</v>
      </c>
      <c r="F1707" s="12" t="s">
        <v>1861</v>
      </c>
      <c r="G1707" s="12" t="s">
        <v>1861</v>
      </c>
      <c r="H1707" s="12" t="b">
        <v>1</v>
      </c>
      <c r="I1707" s="12" t="b">
        <v>0</v>
      </c>
      <c r="J1707" s="12" t="b">
        <v>0</v>
      </c>
      <c r="K1707" s="12" t="b">
        <v>0</v>
      </c>
      <c r="L1707" s="12">
        <v>476.4503260574262</v>
      </c>
      <c r="M1707" s="12">
        <v>281.95447203521979</v>
      </c>
      <c r="N1707" s="12">
        <v>3027.3304269021651</v>
      </c>
      <c r="O1707" s="12">
        <v>2376.5249286712969</v>
      </c>
      <c r="P1707" s="12">
        <v>0.78653222715004223</v>
      </c>
      <c r="Q1707" s="12">
        <v>0.85166895854274849</v>
      </c>
      <c r="R1707" s="12">
        <v>0.86569867113250931</v>
      </c>
      <c r="S1707" s="12">
        <v>0.6296816700561122</v>
      </c>
      <c r="T1707" s="12">
        <v>0.67674185168186674</v>
      </c>
      <c r="U1707" s="12">
        <v>0.78251536281333023</v>
      </c>
      <c r="V1707" s="12">
        <v>281.95447203521979</v>
      </c>
      <c r="W1707" s="12">
        <v>2.3986646228967801</v>
      </c>
      <c r="X1707" s="12">
        <v>25.55256493857182</v>
      </c>
      <c r="Y1707" s="12">
        <v>650.80549823086767</v>
      </c>
      <c r="Z1707" s="12">
        <v>1.273847536955873</v>
      </c>
      <c r="AA1707" s="12" t="s">
        <v>1268</v>
      </c>
      <c r="AB1707" s="12"/>
    </row>
    <row r="1708" spans="1:28" x14ac:dyDescent="0.3">
      <c r="A1708" s="12" t="s">
        <v>3620</v>
      </c>
      <c r="B1708" s="12" t="s">
        <v>160</v>
      </c>
      <c r="C1708" s="12" t="s">
        <v>160</v>
      </c>
      <c r="D1708" s="12" t="s">
        <v>161</v>
      </c>
      <c r="E1708" s="12" t="s">
        <v>2978</v>
      </c>
      <c r="F1708" s="12" t="s">
        <v>32</v>
      </c>
      <c r="G1708" s="12" t="s">
        <v>32</v>
      </c>
      <c r="H1708" s="12" t="b">
        <v>1</v>
      </c>
      <c r="I1708" s="12" t="b">
        <v>1</v>
      </c>
      <c r="J1708" s="12" t="b">
        <v>0</v>
      </c>
      <c r="K1708" s="12" t="b">
        <v>0</v>
      </c>
      <c r="L1708" s="12">
        <v>393.43677762317787</v>
      </c>
      <c r="M1708" s="12">
        <v>299.97101667233528</v>
      </c>
      <c r="N1708" s="12">
        <v>2269.635077149364</v>
      </c>
      <c r="O1708" s="12">
        <v>1918.8734832568341</v>
      </c>
      <c r="P1708" s="12">
        <v>0.64051807196461552</v>
      </c>
      <c r="Q1708" s="12">
        <v>0.88001726398007341</v>
      </c>
      <c r="R1708" s="12">
        <v>0.75864682608470124</v>
      </c>
      <c r="S1708" s="12">
        <v>0.66915621047811136</v>
      </c>
      <c r="T1708" s="12">
        <v>0.83917399642061619</v>
      </c>
      <c r="U1708" s="12">
        <v>0.9342310569515514</v>
      </c>
      <c r="V1708" s="12">
        <v>299.97101667233528</v>
      </c>
      <c r="W1708" s="12">
        <v>1.38447544027515</v>
      </c>
      <c r="X1708" s="12">
        <v>7.1038286527069534</v>
      </c>
      <c r="Y1708" s="12">
        <v>350.76159389253081</v>
      </c>
      <c r="Z1708" s="12">
        <v>1.1827955813413999</v>
      </c>
      <c r="AA1708" s="12"/>
      <c r="AB1708" s="12"/>
    </row>
    <row r="1709" spans="1:28" x14ac:dyDescent="0.3">
      <c r="A1709" s="12" t="s">
        <v>3621</v>
      </c>
      <c r="B1709" s="12" t="s">
        <v>160</v>
      </c>
      <c r="C1709" s="12" t="s">
        <v>160</v>
      </c>
      <c r="D1709" s="12" t="s">
        <v>161</v>
      </c>
      <c r="E1709" s="12" t="s">
        <v>2978</v>
      </c>
      <c r="F1709" s="12" t="s">
        <v>3483</v>
      </c>
      <c r="G1709" s="12"/>
      <c r="H1709" s="12" t="b">
        <v>0</v>
      </c>
      <c r="I1709" s="12" t="b">
        <v>0</v>
      </c>
      <c r="J1709" s="12"/>
      <c r="K1709" s="12" t="b">
        <v>1</v>
      </c>
      <c r="L1709" s="12">
        <v>480.84595621476501</v>
      </c>
      <c r="M1709" s="12">
        <v>281.04281842908682</v>
      </c>
      <c r="N1709" s="12">
        <v>2438.595224373827</v>
      </c>
      <c r="O1709" s="12">
        <v>2322.1875272728621</v>
      </c>
      <c r="P1709" s="12">
        <v>0.73190159983961112</v>
      </c>
      <c r="Q1709" s="12">
        <v>0.91513646209554955</v>
      </c>
      <c r="R1709" s="12">
        <v>0.7821440645094303</v>
      </c>
      <c r="S1709" s="12">
        <v>0.8983096857388424</v>
      </c>
      <c r="T1709" s="12">
        <v>0.77204965363596556</v>
      </c>
      <c r="U1709" s="12">
        <v>0.86898070551909179</v>
      </c>
      <c r="V1709" s="12"/>
      <c r="W1709" s="12"/>
      <c r="X1709" s="12"/>
      <c r="Y1709" s="12">
        <v>116.4076971009649</v>
      </c>
      <c r="Z1709" s="12">
        <v>1.0501284653947269</v>
      </c>
      <c r="AA1709" s="12"/>
      <c r="AB1709" s="12"/>
    </row>
    <row r="1710" spans="1:28" x14ac:dyDescent="0.3">
      <c r="A1710" s="12" t="s">
        <v>3622</v>
      </c>
      <c r="B1710" s="12" t="s">
        <v>160</v>
      </c>
      <c r="C1710" s="12" t="s">
        <v>160</v>
      </c>
      <c r="D1710" s="12" t="s">
        <v>161</v>
      </c>
      <c r="E1710" s="12" t="s">
        <v>2978</v>
      </c>
      <c r="F1710" s="12" t="s">
        <v>32</v>
      </c>
      <c r="G1710" s="12" t="s">
        <v>32</v>
      </c>
      <c r="H1710" s="12" t="b">
        <v>1</v>
      </c>
      <c r="I1710" s="12" t="b">
        <v>1</v>
      </c>
      <c r="J1710" s="12" t="b">
        <v>0</v>
      </c>
      <c r="K1710" s="12" t="b">
        <v>0</v>
      </c>
      <c r="L1710" s="12">
        <v>414.16286466286732</v>
      </c>
      <c r="M1710" s="12">
        <v>295.50767200941772</v>
      </c>
      <c r="N1710" s="12">
        <v>4755.232960711648</v>
      </c>
      <c r="O1710" s="12">
        <v>1848.803303059377</v>
      </c>
      <c r="P1710" s="12">
        <v>0.78857221256011101</v>
      </c>
      <c r="Q1710" s="12">
        <v>0.75479050085243149</v>
      </c>
      <c r="R1710" s="12">
        <v>0.75024018119738034</v>
      </c>
      <c r="S1710" s="12">
        <v>0.75291860083770346</v>
      </c>
      <c r="T1710" s="12">
        <v>0.70283331345621824</v>
      </c>
      <c r="U1710" s="12">
        <v>0.87207974072360128</v>
      </c>
      <c r="V1710" s="12">
        <v>295.50767200941772</v>
      </c>
      <c r="W1710" s="12">
        <v>6.5900377874050102</v>
      </c>
      <c r="X1710" s="12">
        <v>47.44621773860888</v>
      </c>
      <c r="Y1710" s="12">
        <v>2906.4296576522711</v>
      </c>
      <c r="Z1710" s="12">
        <v>2.5720599659481072</v>
      </c>
      <c r="AA1710" s="12"/>
      <c r="AB1710" s="12"/>
    </row>
    <row r="1711" spans="1:28" x14ac:dyDescent="0.3">
      <c r="A1711" s="12" t="s">
        <v>3623</v>
      </c>
      <c r="B1711" s="12" t="s">
        <v>160</v>
      </c>
      <c r="C1711" s="12" t="s">
        <v>160</v>
      </c>
      <c r="D1711" s="12" t="s">
        <v>161</v>
      </c>
      <c r="E1711" s="12" t="s">
        <v>2978</v>
      </c>
      <c r="F1711" s="12" t="s">
        <v>1861</v>
      </c>
      <c r="G1711" s="12" t="s">
        <v>1861</v>
      </c>
      <c r="H1711" s="12" t="b">
        <v>1</v>
      </c>
      <c r="I1711" s="12" t="b">
        <v>0</v>
      </c>
      <c r="J1711" s="12" t="b">
        <v>1</v>
      </c>
      <c r="K1711" s="12" t="b">
        <v>0</v>
      </c>
      <c r="L1711" s="12">
        <v>471.12619316187897</v>
      </c>
      <c r="M1711" s="12">
        <v>287.81378802364662</v>
      </c>
      <c r="N1711" s="12">
        <v>3214.3693621988841</v>
      </c>
      <c r="O1711" s="12">
        <v>2028.3754944791469</v>
      </c>
      <c r="P1711" s="12">
        <v>0.50230136437970951</v>
      </c>
      <c r="Q1711" s="12">
        <v>0.80686851373843593</v>
      </c>
      <c r="R1711" s="12">
        <v>0.7891455995436234</v>
      </c>
      <c r="S1711" s="12">
        <v>0.77124096169666689</v>
      </c>
      <c r="T1711" s="12">
        <v>0.75023578853937645</v>
      </c>
      <c r="U1711" s="12">
        <v>0.73145786208893537</v>
      </c>
      <c r="V1711" s="12">
        <v>287.81378802364662</v>
      </c>
      <c r="W1711" s="12">
        <v>3.5470753424135602</v>
      </c>
      <c r="X1711" s="12">
        <v>45.358462326374323</v>
      </c>
      <c r="Y1711" s="12">
        <v>1185.993867719737</v>
      </c>
      <c r="Z1711" s="12">
        <v>1.584701339050776</v>
      </c>
      <c r="AA1711" s="12" t="s">
        <v>1268</v>
      </c>
      <c r="AB1711" s="12"/>
    </row>
    <row r="1712" spans="1:28" x14ac:dyDescent="0.3">
      <c r="A1712" s="12" t="s">
        <v>3624</v>
      </c>
      <c r="B1712" s="12" t="s">
        <v>160</v>
      </c>
      <c r="C1712" s="12" t="s">
        <v>160</v>
      </c>
      <c r="D1712" s="12" t="s">
        <v>161</v>
      </c>
      <c r="E1712" s="12" t="s">
        <v>2978</v>
      </c>
      <c r="F1712" s="12" t="s">
        <v>3483</v>
      </c>
      <c r="G1712" s="12"/>
      <c r="H1712" s="12" t="b">
        <v>0</v>
      </c>
      <c r="I1712" s="12" t="b">
        <v>0</v>
      </c>
      <c r="J1712" s="12"/>
      <c r="K1712" s="12" t="b">
        <v>1</v>
      </c>
      <c r="L1712" s="12">
        <v>380.74591673523958</v>
      </c>
      <c r="M1712" s="12">
        <v>292.66044426362032</v>
      </c>
      <c r="N1712" s="12">
        <v>2015.693408162781</v>
      </c>
      <c r="O1712" s="12">
        <v>2357.7142639293488</v>
      </c>
      <c r="P1712" s="12">
        <v>0.51950935125316688</v>
      </c>
      <c r="Q1712" s="12">
        <v>0.7627783005451696</v>
      </c>
      <c r="R1712" s="12">
        <v>0.73867243624908718</v>
      </c>
      <c r="S1712" s="12">
        <v>0.90194189155811322</v>
      </c>
      <c r="T1712" s="12">
        <v>0.69578077079568723</v>
      </c>
      <c r="U1712" s="12">
        <v>0.79239444701090311</v>
      </c>
      <c r="V1712" s="12"/>
      <c r="W1712" s="12"/>
      <c r="X1712" s="12"/>
      <c r="Y1712" s="12">
        <v>-342.02085576656799</v>
      </c>
      <c r="Z1712" s="12">
        <v>0.85493540884103625</v>
      </c>
      <c r="AA1712" s="12"/>
      <c r="AB1712" s="12"/>
    </row>
    <row r="1713" spans="1:28" x14ac:dyDescent="0.3">
      <c r="A1713" s="12" t="s">
        <v>3625</v>
      </c>
      <c r="B1713" s="12" t="s">
        <v>160</v>
      </c>
      <c r="C1713" s="12" t="s">
        <v>160</v>
      </c>
      <c r="D1713" s="12" t="s">
        <v>161</v>
      </c>
      <c r="E1713" s="12" t="s">
        <v>2978</v>
      </c>
      <c r="F1713" s="12" t="s">
        <v>32</v>
      </c>
      <c r="G1713" s="12" t="s">
        <v>32</v>
      </c>
      <c r="H1713" s="12" t="b">
        <v>1</v>
      </c>
      <c r="I1713" s="12" t="b">
        <v>1</v>
      </c>
      <c r="J1713" s="12" t="b">
        <v>0</v>
      </c>
      <c r="K1713" s="12" t="b">
        <v>0</v>
      </c>
      <c r="L1713" s="12">
        <v>399.13346995571368</v>
      </c>
      <c r="M1713" s="12">
        <v>298.67540625432918</v>
      </c>
      <c r="N1713" s="12">
        <v>2361.85368546775</v>
      </c>
      <c r="O1713" s="12">
        <v>1648.0491126172401</v>
      </c>
      <c r="P1713" s="12">
        <v>0.84325686266302657</v>
      </c>
      <c r="Q1713" s="12">
        <v>0.86553187924866715</v>
      </c>
      <c r="R1713" s="12">
        <v>0.87768589299545208</v>
      </c>
      <c r="S1713" s="12">
        <v>0.8567621189788508</v>
      </c>
      <c r="T1713" s="12">
        <v>0.85029956216437097</v>
      </c>
      <c r="U1713" s="12">
        <v>0.94523782891374764</v>
      </c>
      <c r="V1713" s="12">
        <v>298.67540625432918</v>
      </c>
      <c r="W1713" s="12">
        <v>3.4824258565208299</v>
      </c>
      <c r="X1713" s="12">
        <v>37.673027654860491</v>
      </c>
      <c r="Y1713" s="12">
        <v>713.80457285050966</v>
      </c>
      <c r="Z1713" s="12">
        <v>1.4331209351625009</v>
      </c>
      <c r="AA1713" s="12"/>
      <c r="AB1713" s="12"/>
    </row>
    <row r="1714" spans="1:28" x14ac:dyDescent="0.3">
      <c r="A1714" s="12" t="s">
        <v>3626</v>
      </c>
      <c r="B1714" s="12" t="s">
        <v>160</v>
      </c>
      <c r="C1714" s="12" t="s">
        <v>160</v>
      </c>
      <c r="D1714" s="12" t="s">
        <v>161</v>
      </c>
      <c r="E1714" s="12" t="s">
        <v>2978</v>
      </c>
      <c r="F1714" s="12" t="s">
        <v>32</v>
      </c>
      <c r="G1714" s="12" t="s">
        <v>32</v>
      </c>
      <c r="H1714" s="12" t="b">
        <v>1</v>
      </c>
      <c r="I1714" s="12" t="b">
        <v>1</v>
      </c>
      <c r="J1714" s="12" t="b">
        <v>0</v>
      </c>
      <c r="K1714" s="12" t="b">
        <v>0</v>
      </c>
      <c r="L1714" s="12">
        <v>419.69340643891587</v>
      </c>
      <c r="M1714" s="12">
        <v>293.39527600725671</v>
      </c>
      <c r="N1714" s="12">
        <v>4648.636776778967</v>
      </c>
      <c r="O1714" s="12">
        <v>1617.269128432268</v>
      </c>
      <c r="P1714" s="12">
        <v>0.66078507798841102</v>
      </c>
      <c r="Q1714" s="12">
        <v>0.82742649171305671</v>
      </c>
      <c r="R1714" s="12">
        <v>0.74872434413153777</v>
      </c>
      <c r="S1714" s="12">
        <v>0.62638640252844124</v>
      </c>
      <c r="T1714" s="12">
        <v>0.68442108745137753</v>
      </c>
      <c r="U1714" s="12">
        <v>0.90336438641191164</v>
      </c>
      <c r="V1714" s="12">
        <v>293.39527600725671</v>
      </c>
      <c r="W1714" s="12">
        <v>5.7531624539954702</v>
      </c>
      <c r="X1714" s="12">
        <v>27.29981830725426</v>
      </c>
      <c r="Y1714" s="12">
        <v>3031.3676483467002</v>
      </c>
      <c r="Z1714" s="12">
        <v>2.8743742739250928</v>
      </c>
      <c r="AA1714" s="12"/>
      <c r="AB1714" s="12"/>
    </row>
    <row r="1715" spans="1:28" x14ac:dyDescent="0.3">
      <c r="A1715" s="12" t="s">
        <v>3627</v>
      </c>
      <c r="B1715" s="12" t="s">
        <v>160</v>
      </c>
      <c r="C1715" s="12" t="s">
        <v>160</v>
      </c>
      <c r="D1715" s="12" t="s">
        <v>161</v>
      </c>
      <c r="E1715" s="12" t="s">
        <v>2978</v>
      </c>
      <c r="F1715" s="12" t="s">
        <v>32</v>
      </c>
      <c r="G1715" s="12" t="s">
        <v>32</v>
      </c>
      <c r="H1715" s="12" t="b">
        <v>1</v>
      </c>
      <c r="I1715" s="12" t="b">
        <v>0</v>
      </c>
      <c r="J1715" s="12" t="b">
        <v>1</v>
      </c>
      <c r="K1715" s="12" t="b">
        <v>0</v>
      </c>
      <c r="L1715" s="12">
        <v>457.39072633067912</v>
      </c>
      <c r="M1715" s="12">
        <v>292.13587823042451</v>
      </c>
      <c r="N1715" s="12">
        <v>3596.434523118251</v>
      </c>
      <c r="O1715" s="12">
        <v>2193.0327834944851</v>
      </c>
      <c r="P1715" s="12">
        <v>0.61448675831083921</v>
      </c>
      <c r="Q1715" s="12">
        <v>0.82551380880120762</v>
      </c>
      <c r="R1715" s="12">
        <v>0.89408704904029346</v>
      </c>
      <c r="S1715" s="12">
        <v>0.70029199873776826</v>
      </c>
      <c r="T1715" s="12">
        <v>0.92530178471798596</v>
      </c>
      <c r="U1715" s="12">
        <v>0.87975114251679554</v>
      </c>
      <c r="V1715" s="12">
        <v>292.13587823042451</v>
      </c>
      <c r="W1715" s="12">
        <v>3.9028064068219201</v>
      </c>
      <c r="X1715" s="12">
        <v>40.346016439597904</v>
      </c>
      <c r="Y1715" s="12">
        <v>1403.4017396237671</v>
      </c>
      <c r="Z1715" s="12">
        <v>1.639936507190521</v>
      </c>
      <c r="AA1715" s="12"/>
      <c r="AB1715" s="12"/>
    </row>
    <row r="1716" spans="1:28" x14ac:dyDescent="0.3">
      <c r="A1716" s="12" t="s">
        <v>3628</v>
      </c>
      <c r="B1716" s="12" t="s">
        <v>160</v>
      </c>
      <c r="C1716" s="12" t="s">
        <v>160</v>
      </c>
      <c r="D1716" s="12" t="s">
        <v>161</v>
      </c>
      <c r="E1716" s="12" t="s">
        <v>2978</v>
      </c>
      <c r="F1716" s="12" t="s">
        <v>1861</v>
      </c>
      <c r="G1716" s="12" t="s">
        <v>1861</v>
      </c>
      <c r="H1716" s="12" t="b">
        <v>1</v>
      </c>
      <c r="I1716" s="12" t="b">
        <v>0</v>
      </c>
      <c r="J1716" s="12" t="b">
        <v>1</v>
      </c>
      <c r="K1716" s="12" t="b">
        <v>0</v>
      </c>
      <c r="L1716" s="12">
        <v>498.20546280271708</v>
      </c>
      <c r="M1716" s="12">
        <v>285.43975870585092</v>
      </c>
      <c r="N1716" s="12">
        <v>2787.9844131317968</v>
      </c>
      <c r="O1716" s="12">
        <v>2439.434749827305</v>
      </c>
      <c r="P1716" s="12">
        <v>0.70268746377705538</v>
      </c>
      <c r="Q1716" s="12">
        <v>0.78786476229154212</v>
      </c>
      <c r="R1716" s="12">
        <v>0.66399381661788537</v>
      </c>
      <c r="S1716" s="12">
        <v>0.8939050109715323</v>
      </c>
      <c r="T1716" s="12">
        <v>0.80961142427879429</v>
      </c>
      <c r="U1716" s="12">
        <v>0.72290310196502539</v>
      </c>
      <c r="V1716" s="12">
        <v>285.43975870585092</v>
      </c>
      <c r="W1716" s="12">
        <v>0.89315233684035011</v>
      </c>
      <c r="X1716" s="12">
        <v>13.15413217686954</v>
      </c>
      <c r="Y1716" s="12">
        <v>348.54966330449179</v>
      </c>
      <c r="Z1716" s="12">
        <v>1.1428813225396439</v>
      </c>
      <c r="AA1716" s="12" t="s">
        <v>1268</v>
      </c>
      <c r="AB1716" s="12"/>
    </row>
    <row r="1717" spans="1:28" x14ac:dyDescent="0.3">
      <c r="A1717" s="12" t="s">
        <v>3629</v>
      </c>
      <c r="B1717" s="12" t="s">
        <v>160</v>
      </c>
      <c r="C1717" s="12" t="s">
        <v>160</v>
      </c>
      <c r="D1717" s="12" t="s">
        <v>161</v>
      </c>
      <c r="E1717" s="12" t="s">
        <v>2978</v>
      </c>
      <c r="F1717" s="12" t="s">
        <v>1861</v>
      </c>
      <c r="G1717" s="12" t="s">
        <v>1861</v>
      </c>
      <c r="H1717" s="12" t="b">
        <v>1</v>
      </c>
      <c r="I1717" s="12" t="b">
        <v>0</v>
      </c>
      <c r="J1717" s="12" t="b">
        <v>0</v>
      </c>
      <c r="K1717" s="12" t="b">
        <v>0</v>
      </c>
      <c r="L1717" s="12">
        <v>462.22374766672652</v>
      </c>
      <c r="M1717" s="12">
        <v>296.51139883794622</v>
      </c>
      <c r="N1717" s="12">
        <v>4621.3115030148492</v>
      </c>
      <c r="O1717" s="12">
        <v>1680.7872741311289</v>
      </c>
      <c r="P1717" s="12">
        <v>0.82450397102480255</v>
      </c>
      <c r="Q1717" s="12">
        <v>0.90635440010127044</v>
      </c>
      <c r="R1717" s="12">
        <v>0.77104968884031388</v>
      </c>
      <c r="S1717" s="12">
        <v>0.68009066058189782</v>
      </c>
      <c r="T1717" s="12">
        <v>0.84570132804297682</v>
      </c>
      <c r="U1717" s="12">
        <v>0.87075600293052713</v>
      </c>
      <c r="V1717" s="12">
        <v>296.51139883794622</v>
      </c>
      <c r="W1717" s="12">
        <v>9.9363817432610997</v>
      </c>
      <c r="X1717" s="12">
        <v>106.9966880764745</v>
      </c>
      <c r="Y1717" s="12">
        <v>2940.5242288837198</v>
      </c>
      <c r="Z1717" s="12">
        <v>2.7494922017444492</v>
      </c>
      <c r="AA1717" s="12" t="s">
        <v>1268</v>
      </c>
      <c r="AB1717" s="12"/>
    </row>
    <row r="1718" spans="1:28" x14ac:dyDescent="0.3">
      <c r="A1718" s="12" t="s">
        <v>3630</v>
      </c>
      <c r="B1718" s="12" t="s">
        <v>160</v>
      </c>
      <c r="C1718" s="12" t="s">
        <v>160</v>
      </c>
      <c r="D1718" s="12" t="s">
        <v>161</v>
      </c>
      <c r="E1718" s="12" t="s">
        <v>2978</v>
      </c>
      <c r="F1718" s="12" t="s">
        <v>32</v>
      </c>
      <c r="G1718" s="12" t="s">
        <v>32</v>
      </c>
      <c r="H1718" s="12" t="b">
        <v>1</v>
      </c>
      <c r="I1718" s="12" t="b">
        <v>1</v>
      </c>
      <c r="J1718" s="12" t="b">
        <v>0</v>
      </c>
      <c r="K1718" s="12" t="b">
        <v>0</v>
      </c>
      <c r="L1718" s="12">
        <v>395.38077773461617</v>
      </c>
      <c r="M1718" s="12">
        <v>301.63423553765091</v>
      </c>
      <c r="N1718" s="12">
        <v>3129.18287946593</v>
      </c>
      <c r="O1718" s="12">
        <v>1804.015748887794</v>
      </c>
      <c r="P1718" s="12">
        <v>0.63212892457858805</v>
      </c>
      <c r="Q1718" s="12">
        <v>0.87220762723597145</v>
      </c>
      <c r="R1718" s="12">
        <v>0.83756610621226468</v>
      </c>
      <c r="S1718" s="12">
        <v>0.62162412911963372</v>
      </c>
      <c r="T1718" s="12">
        <v>0.92825517464657559</v>
      </c>
      <c r="U1718" s="12">
        <v>0.76327491826337002</v>
      </c>
      <c r="V1718" s="12">
        <v>301.63423553765091</v>
      </c>
      <c r="W1718" s="12">
        <v>4.4861405323880286</v>
      </c>
      <c r="X1718" s="12">
        <v>14.593855450515109</v>
      </c>
      <c r="Y1718" s="12">
        <v>1325.167130578136</v>
      </c>
      <c r="Z1718" s="12">
        <v>1.7345651674022931</v>
      </c>
      <c r="AA1718" s="12"/>
      <c r="AB1718" s="12"/>
    </row>
    <row r="1719" spans="1:28" x14ac:dyDescent="0.3">
      <c r="A1719" s="12" t="s">
        <v>3631</v>
      </c>
      <c r="B1719" s="12" t="s">
        <v>160</v>
      </c>
      <c r="C1719" s="12" t="s">
        <v>160</v>
      </c>
      <c r="D1719" s="12" t="s">
        <v>161</v>
      </c>
      <c r="E1719" s="12" t="s">
        <v>2978</v>
      </c>
      <c r="F1719" s="12" t="s">
        <v>1861</v>
      </c>
      <c r="G1719" s="12" t="s">
        <v>1861</v>
      </c>
      <c r="H1719" s="12" t="b">
        <v>1</v>
      </c>
      <c r="I1719" s="12" t="b">
        <v>0</v>
      </c>
      <c r="J1719" s="12" t="b">
        <v>0</v>
      </c>
      <c r="K1719" s="12" t="b">
        <v>0</v>
      </c>
      <c r="L1719" s="12">
        <v>389.79863449297937</v>
      </c>
      <c r="M1719" s="12">
        <v>279.88124194512238</v>
      </c>
      <c r="N1719" s="12">
        <v>2714.7486146901701</v>
      </c>
      <c r="O1719" s="12">
        <v>1593.6272612806661</v>
      </c>
      <c r="P1719" s="12">
        <v>0.7677373592949468</v>
      </c>
      <c r="Q1719" s="12">
        <v>0.82405640522951729</v>
      </c>
      <c r="R1719" s="12">
        <v>0.77522929863955314</v>
      </c>
      <c r="S1719" s="12">
        <v>0.88420036545058567</v>
      </c>
      <c r="T1719" s="12">
        <v>0.62047064871571556</v>
      </c>
      <c r="U1719" s="12">
        <v>0.74041065623356339</v>
      </c>
      <c r="V1719" s="12">
        <v>279.88124194512238</v>
      </c>
      <c r="W1719" s="12">
        <v>4.7731470241480496</v>
      </c>
      <c r="X1719" s="12">
        <v>36.6351250515008</v>
      </c>
      <c r="Y1719" s="12">
        <v>1121.1213534095041</v>
      </c>
      <c r="Z1719" s="12">
        <v>1.703502870871167</v>
      </c>
      <c r="AA1719" s="12" t="s">
        <v>1268</v>
      </c>
      <c r="AB1719" s="12"/>
    </row>
    <row r="1720" spans="1:28" x14ac:dyDescent="0.3">
      <c r="A1720" s="12" t="s">
        <v>3632</v>
      </c>
      <c r="B1720" s="12" t="s">
        <v>160</v>
      </c>
      <c r="C1720" s="12" t="s">
        <v>160</v>
      </c>
      <c r="D1720" s="12" t="s">
        <v>161</v>
      </c>
      <c r="E1720" s="12" t="s">
        <v>2978</v>
      </c>
      <c r="F1720" s="12" t="s">
        <v>1861</v>
      </c>
      <c r="G1720" s="12" t="s">
        <v>1861</v>
      </c>
      <c r="H1720" s="12" t="b">
        <v>1</v>
      </c>
      <c r="I1720" s="12" t="b">
        <v>0</v>
      </c>
      <c r="J1720" s="12" t="b">
        <v>0</v>
      </c>
      <c r="K1720" s="12" t="b">
        <v>0</v>
      </c>
      <c r="L1720" s="12">
        <v>388.23356500570151</v>
      </c>
      <c r="M1720" s="12">
        <v>299.13191591161808</v>
      </c>
      <c r="N1720" s="12">
        <v>2754.7332631360318</v>
      </c>
      <c r="O1720" s="12">
        <v>2247.3779947730031</v>
      </c>
      <c r="P1720" s="12">
        <v>0.83199853031364313</v>
      </c>
      <c r="Q1720" s="12">
        <v>0.75285897764116017</v>
      </c>
      <c r="R1720" s="12">
        <v>0.88491396097622321</v>
      </c>
      <c r="S1720" s="12">
        <v>0.6659295643536014</v>
      </c>
      <c r="T1720" s="12">
        <v>0.78352321664059177</v>
      </c>
      <c r="U1720" s="12">
        <v>0.76479512817394624</v>
      </c>
      <c r="V1720" s="12">
        <v>299.13191591161808</v>
      </c>
      <c r="W1720" s="12">
        <v>1.82060280799094</v>
      </c>
      <c r="X1720" s="12">
        <v>11.578219196567581</v>
      </c>
      <c r="Y1720" s="12">
        <v>507.35526836302961</v>
      </c>
      <c r="Z1720" s="12">
        <v>1.225754309930527</v>
      </c>
      <c r="AA1720" s="12" t="s">
        <v>1268</v>
      </c>
      <c r="AB1720" s="12"/>
    </row>
    <row r="1721" spans="1:28" x14ac:dyDescent="0.3">
      <c r="A1721" s="12" t="s">
        <v>3633</v>
      </c>
      <c r="B1721" s="12" t="s">
        <v>160</v>
      </c>
      <c r="C1721" s="12" t="s">
        <v>160</v>
      </c>
      <c r="D1721" s="12" t="s">
        <v>161</v>
      </c>
      <c r="E1721" s="12" t="s">
        <v>2978</v>
      </c>
      <c r="F1721" s="12" t="s">
        <v>32</v>
      </c>
      <c r="G1721" s="12" t="s">
        <v>32</v>
      </c>
      <c r="H1721" s="12" t="b">
        <v>1</v>
      </c>
      <c r="I1721" s="12" t="b">
        <v>1</v>
      </c>
      <c r="J1721" s="12" t="b">
        <v>0</v>
      </c>
      <c r="K1721" s="12" t="b">
        <v>0</v>
      </c>
      <c r="L1721" s="12">
        <v>411.07102212359939</v>
      </c>
      <c r="M1721" s="12">
        <v>290.13570880028198</v>
      </c>
      <c r="N1721" s="12">
        <v>3544.717472517385</v>
      </c>
      <c r="O1721" s="12">
        <v>2462.7729220515371</v>
      </c>
      <c r="P1721" s="12">
        <v>0.76386186934729294</v>
      </c>
      <c r="Q1721" s="12">
        <v>0.78205885597225933</v>
      </c>
      <c r="R1721" s="12">
        <v>0.69131745197183703</v>
      </c>
      <c r="S1721" s="12">
        <v>0.76302093321146269</v>
      </c>
      <c r="T1721" s="12">
        <v>0.60753451808938985</v>
      </c>
      <c r="U1721" s="12">
        <v>0.73646720665475363</v>
      </c>
      <c r="V1721" s="12">
        <v>290.13570880028198</v>
      </c>
      <c r="W1721" s="12">
        <v>3.1052971079564098</v>
      </c>
      <c r="X1721" s="12">
        <v>22.68058249934716</v>
      </c>
      <c r="Y1721" s="12">
        <v>1081.9445504658479</v>
      </c>
      <c r="Z1721" s="12">
        <v>1.4393196550027709</v>
      </c>
      <c r="AA1721" s="12"/>
      <c r="AB1721" s="12"/>
    </row>
    <row r="1722" spans="1:28" x14ac:dyDescent="0.3">
      <c r="A1722" s="12" t="s">
        <v>3634</v>
      </c>
      <c r="B1722" s="12" t="s">
        <v>170</v>
      </c>
      <c r="C1722" s="12" t="s">
        <v>430</v>
      </c>
      <c r="D1722" s="12" t="s">
        <v>721</v>
      </c>
      <c r="E1722" s="12" t="s">
        <v>2978</v>
      </c>
      <c r="F1722" s="12" t="s">
        <v>832</v>
      </c>
      <c r="G1722" s="12" t="s">
        <v>832</v>
      </c>
      <c r="H1722" s="12" t="b">
        <v>0</v>
      </c>
      <c r="I1722" s="12" t="b">
        <v>0</v>
      </c>
      <c r="J1722" s="12" t="b">
        <v>0</v>
      </c>
      <c r="K1722" s="12" t="b">
        <v>0</v>
      </c>
      <c r="L1722" s="12">
        <v>623.15</v>
      </c>
      <c r="M1722" s="12">
        <v>300.032917</v>
      </c>
      <c r="N1722" s="12">
        <v>2511.3317796086549</v>
      </c>
      <c r="O1722" s="12">
        <v>1714.1356685979979</v>
      </c>
      <c r="P1722" s="12">
        <v>0.62186164200960992</v>
      </c>
      <c r="Q1722" s="12">
        <v>0.66686677659273119</v>
      </c>
      <c r="R1722" s="12">
        <v>0.67045137834549062</v>
      </c>
      <c r="S1722" s="12">
        <v>0.94218802007134761</v>
      </c>
      <c r="T1722" s="12">
        <v>0.42907202365400249</v>
      </c>
      <c r="U1722" s="12">
        <v>0.63294629629160171</v>
      </c>
      <c r="V1722" s="12">
        <v>300.032917</v>
      </c>
      <c r="W1722" s="12"/>
      <c r="X1722" s="12"/>
      <c r="Y1722" s="12">
        <v>797.19611101065652</v>
      </c>
      <c r="Z1722" s="12">
        <v>1.465071770930878</v>
      </c>
      <c r="AA1722" s="12"/>
      <c r="AB1722" s="12"/>
    </row>
    <row r="1723" spans="1:28" x14ac:dyDescent="0.3">
      <c r="A1723" s="12" t="s">
        <v>3635</v>
      </c>
      <c r="B1723" s="12" t="s">
        <v>170</v>
      </c>
      <c r="C1723" s="12" t="s">
        <v>430</v>
      </c>
      <c r="D1723" s="12" t="s">
        <v>721</v>
      </c>
      <c r="E1723" s="12" t="s">
        <v>2978</v>
      </c>
      <c r="F1723" s="12" t="s">
        <v>832</v>
      </c>
      <c r="G1723" s="12" t="s">
        <v>832</v>
      </c>
      <c r="H1723" s="12" t="b">
        <v>0</v>
      </c>
      <c r="I1723" s="12" t="b">
        <v>0</v>
      </c>
      <c r="J1723" s="12" t="b">
        <v>0</v>
      </c>
      <c r="K1723" s="12" t="b">
        <v>0</v>
      </c>
      <c r="L1723" s="12">
        <v>623.15</v>
      </c>
      <c r="M1723" s="12">
        <v>300.032917</v>
      </c>
      <c r="N1723" s="12">
        <v>3259.9230274503079</v>
      </c>
      <c r="O1723" s="12">
        <v>257.70407658169597</v>
      </c>
      <c r="P1723" s="12">
        <v>0.60566171049072726</v>
      </c>
      <c r="Q1723" s="12">
        <v>0.52402606811719443</v>
      </c>
      <c r="R1723" s="12">
        <v>0.57515842409988194</v>
      </c>
      <c r="S1723" s="12">
        <v>0.51620158985695253</v>
      </c>
      <c r="T1723" s="12">
        <v>0.77243921664639759</v>
      </c>
      <c r="U1723" s="12">
        <v>0.51219828253372712</v>
      </c>
      <c r="V1723" s="12">
        <v>300.032917</v>
      </c>
      <c r="W1723" s="12"/>
      <c r="X1723" s="12"/>
      <c r="Y1723" s="12">
        <v>3002.218950868612</v>
      </c>
      <c r="Z1723" s="12">
        <v>12.64986984564392</v>
      </c>
      <c r="AA1723" s="12"/>
      <c r="AB1723" s="12"/>
    </row>
    <row r="1724" spans="1:28" x14ac:dyDescent="0.3">
      <c r="A1724" s="12" t="s">
        <v>3636</v>
      </c>
      <c r="B1724" s="12" t="s">
        <v>170</v>
      </c>
      <c r="C1724" s="12" t="s">
        <v>430</v>
      </c>
      <c r="D1724" s="12" t="s">
        <v>721</v>
      </c>
      <c r="E1724" s="12" t="s">
        <v>2978</v>
      </c>
      <c r="F1724" s="12" t="s">
        <v>832</v>
      </c>
      <c r="G1724" s="12" t="s">
        <v>832</v>
      </c>
      <c r="H1724" s="12" t="b">
        <v>0</v>
      </c>
      <c r="I1724" s="12" t="b">
        <v>0</v>
      </c>
      <c r="J1724" s="12" t="b">
        <v>0</v>
      </c>
      <c r="K1724" s="12" t="b">
        <v>0</v>
      </c>
      <c r="L1724" s="12">
        <v>623.15</v>
      </c>
      <c r="M1724" s="12">
        <v>300.032917</v>
      </c>
      <c r="N1724" s="12">
        <v>3051.570071415058</v>
      </c>
      <c r="O1724" s="12">
        <v>1373.1686249731081</v>
      </c>
      <c r="P1724" s="12">
        <v>0.56722868030046669</v>
      </c>
      <c r="Q1724" s="12">
        <v>0.92927023909724737</v>
      </c>
      <c r="R1724" s="12">
        <v>0.94367249539227638</v>
      </c>
      <c r="S1724" s="12">
        <v>0.72040433021172268</v>
      </c>
      <c r="T1724" s="12">
        <v>0.84774527747406414</v>
      </c>
      <c r="U1724" s="12">
        <v>0.50429213295904829</v>
      </c>
      <c r="V1724" s="12">
        <v>300.032917</v>
      </c>
      <c r="W1724" s="12"/>
      <c r="X1724" s="12"/>
      <c r="Y1724" s="12">
        <v>1678.4014464419499</v>
      </c>
      <c r="Z1724" s="12">
        <v>2.222283568032164</v>
      </c>
      <c r="AA1724" s="12"/>
      <c r="AB1724" s="12"/>
    </row>
    <row r="1725" spans="1:28" x14ac:dyDescent="0.3">
      <c r="A1725" s="12" t="s">
        <v>3637</v>
      </c>
      <c r="B1725" s="12" t="s">
        <v>170</v>
      </c>
      <c r="C1725" s="12" t="s">
        <v>430</v>
      </c>
      <c r="D1725" s="12" t="s">
        <v>721</v>
      </c>
      <c r="E1725" s="12" t="s">
        <v>2978</v>
      </c>
      <c r="F1725" s="12" t="s">
        <v>832</v>
      </c>
      <c r="G1725" s="12" t="s">
        <v>832</v>
      </c>
      <c r="H1725" s="12" t="b">
        <v>0</v>
      </c>
      <c r="I1725" s="12" t="b">
        <v>0</v>
      </c>
      <c r="J1725" s="12" t="b">
        <v>0</v>
      </c>
      <c r="K1725" s="12" t="b">
        <v>0</v>
      </c>
      <c r="L1725" s="12">
        <v>623.15</v>
      </c>
      <c r="M1725" s="12">
        <v>300.032917</v>
      </c>
      <c r="N1725" s="12">
        <v>4414.5098926984574</v>
      </c>
      <c r="O1725" s="12">
        <v>858.82421908959827</v>
      </c>
      <c r="P1725" s="12">
        <v>0.69149426981730167</v>
      </c>
      <c r="Q1725" s="12">
        <v>0.80315157891098532</v>
      </c>
      <c r="R1725" s="12">
        <v>0.63761974849930803</v>
      </c>
      <c r="S1725" s="12">
        <v>0.75051365659130331</v>
      </c>
      <c r="T1725" s="12">
        <v>0.57878278558239593</v>
      </c>
      <c r="U1725" s="12">
        <v>0.49485406112812402</v>
      </c>
      <c r="V1725" s="12">
        <v>300.032917</v>
      </c>
      <c r="W1725" s="12"/>
      <c r="X1725" s="12"/>
      <c r="Y1725" s="12">
        <v>3555.6856736088598</v>
      </c>
      <c r="Z1725" s="12">
        <v>5.1401786239541369</v>
      </c>
      <c r="AA1725" s="12"/>
      <c r="AB1725" s="12"/>
    </row>
    <row r="1726" spans="1:28" x14ac:dyDescent="0.3">
      <c r="A1726" s="12" t="s">
        <v>3638</v>
      </c>
      <c r="B1726" s="12" t="s">
        <v>170</v>
      </c>
      <c r="C1726" s="12" t="s">
        <v>430</v>
      </c>
      <c r="D1726" s="12" t="s">
        <v>721</v>
      </c>
      <c r="E1726" s="12" t="s">
        <v>2978</v>
      </c>
      <c r="F1726" s="12" t="s">
        <v>832</v>
      </c>
      <c r="G1726" s="12" t="s">
        <v>832</v>
      </c>
      <c r="H1726" s="12" t="b">
        <v>0</v>
      </c>
      <c r="I1726" s="12" t="b">
        <v>0</v>
      </c>
      <c r="J1726" s="12" t="b">
        <v>0</v>
      </c>
      <c r="K1726" s="12" t="b">
        <v>0</v>
      </c>
      <c r="L1726" s="12">
        <v>623.15</v>
      </c>
      <c r="M1726" s="12">
        <v>300.032917</v>
      </c>
      <c r="N1726" s="12">
        <v>3425.0932647520358</v>
      </c>
      <c r="O1726" s="12">
        <v>1815.5791228306341</v>
      </c>
      <c r="P1726" s="12">
        <v>0.58267426680605416</v>
      </c>
      <c r="Q1726" s="12">
        <v>0.45913167047864079</v>
      </c>
      <c r="R1726" s="12">
        <v>0.89948409938326235</v>
      </c>
      <c r="S1726" s="12">
        <v>0.8655286709689356</v>
      </c>
      <c r="T1726" s="12">
        <v>0.83429617910348108</v>
      </c>
      <c r="U1726" s="12">
        <v>0.81339235459419834</v>
      </c>
      <c r="V1726" s="12">
        <v>300.032917</v>
      </c>
      <c r="W1726" s="12"/>
      <c r="X1726" s="12"/>
      <c r="Y1726" s="12">
        <v>1609.5141419214019</v>
      </c>
      <c r="Z1726" s="12">
        <v>1.8865017898046981</v>
      </c>
      <c r="AA1726" s="12"/>
      <c r="AB1726" s="12"/>
    </row>
    <row r="1727" spans="1:28" x14ac:dyDescent="0.3">
      <c r="A1727" s="12" t="s">
        <v>3639</v>
      </c>
      <c r="B1727" s="12" t="s">
        <v>170</v>
      </c>
      <c r="C1727" s="12" t="s">
        <v>430</v>
      </c>
      <c r="D1727" s="12" t="s">
        <v>721</v>
      </c>
      <c r="E1727" s="12" t="s">
        <v>2978</v>
      </c>
      <c r="F1727" s="12" t="s">
        <v>832</v>
      </c>
      <c r="G1727" s="12" t="s">
        <v>832</v>
      </c>
      <c r="H1727" s="12" t="b">
        <v>0</v>
      </c>
      <c r="I1727" s="12" t="b">
        <v>0</v>
      </c>
      <c r="J1727" s="12" t="b">
        <v>0</v>
      </c>
      <c r="K1727" s="12" t="b">
        <v>0</v>
      </c>
      <c r="L1727" s="12">
        <v>623.15</v>
      </c>
      <c r="M1727" s="12">
        <v>300.032917</v>
      </c>
      <c r="N1727" s="12">
        <v>4621.8590884989044</v>
      </c>
      <c r="O1727" s="12">
        <v>680.4407400432583</v>
      </c>
      <c r="P1727" s="12">
        <v>0.74502508737127626</v>
      </c>
      <c r="Q1727" s="12">
        <v>0.46693219136886349</v>
      </c>
      <c r="R1727" s="12">
        <v>0.74025743103786068</v>
      </c>
      <c r="S1727" s="12">
        <v>0.57824959345696214</v>
      </c>
      <c r="T1727" s="12">
        <v>0.7834567125225439</v>
      </c>
      <c r="U1727" s="12">
        <v>0.64209276945099647</v>
      </c>
      <c r="V1727" s="12">
        <v>300.032917</v>
      </c>
      <c r="W1727" s="12"/>
      <c r="X1727" s="12"/>
      <c r="Y1727" s="12">
        <v>3941.4183484556461</v>
      </c>
      <c r="Z1727" s="12">
        <v>6.7924490943988367</v>
      </c>
      <c r="AA1727" s="12"/>
      <c r="AB1727" s="12"/>
    </row>
    <row r="1728" spans="1:28" x14ac:dyDescent="0.3">
      <c r="A1728" s="12" t="s">
        <v>3640</v>
      </c>
      <c r="B1728" s="12" t="s">
        <v>170</v>
      </c>
      <c r="C1728" s="12" t="s">
        <v>430</v>
      </c>
      <c r="D1728" s="12" t="s">
        <v>721</v>
      </c>
      <c r="E1728" s="12" t="s">
        <v>2978</v>
      </c>
      <c r="F1728" s="12" t="s">
        <v>1861</v>
      </c>
      <c r="G1728" s="12" t="s">
        <v>1861</v>
      </c>
      <c r="H1728" s="12" t="b">
        <v>1</v>
      </c>
      <c r="I1728" s="12" t="b">
        <v>0</v>
      </c>
      <c r="J1728" s="12" t="b">
        <v>1</v>
      </c>
      <c r="K1728" s="12" t="b">
        <v>0</v>
      </c>
      <c r="L1728" s="12">
        <v>623.15</v>
      </c>
      <c r="M1728" s="12">
        <v>300.032917</v>
      </c>
      <c r="N1728" s="12">
        <v>3882.966114501743</v>
      </c>
      <c r="O1728" s="12">
        <v>641.705417603971</v>
      </c>
      <c r="P1728" s="12">
        <v>0.63942558944620698</v>
      </c>
      <c r="Q1728" s="12">
        <v>0.41570823931514211</v>
      </c>
      <c r="R1728" s="12">
        <v>0.92439718167150797</v>
      </c>
      <c r="S1728" s="12">
        <v>0.5432377821884421</v>
      </c>
      <c r="T1728" s="12">
        <v>0.61896392615125762</v>
      </c>
      <c r="U1728" s="12">
        <v>0.61254850868425481</v>
      </c>
      <c r="V1728" s="12">
        <v>300.032917</v>
      </c>
      <c r="W1728" s="12">
        <v>0.25562414469775002</v>
      </c>
      <c r="X1728" s="12">
        <v>2.4998191006411332</v>
      </c>
      <c r="Y1728" s="12">
        <v>3241.260696897772</v>
      </c>
      <c r="Z1728" s="12">
        <v>6.0510103358642962</v>
      </c>
      <c r="AA1728" s="12" t="s">
        <v>1268</v>
      </c>
      <c r="AB1728" s="12"/>
    </row>
    <row r="1729" spans="1:28" x14ac:dyDescent="0.3">
      <c r="A1729" s="12" t="s">
        <v>3641</v>
      </c>
      <c r="B1729" s="12" t="s">
        <v>170</v>
      </c>
      <c r="C1729" s="12" t="s">
        <v>430</v>
      </c>
      <c r="D1729" s="12" t="s">
        <v>721</v>
      </c>
      <c r="E1729" s="12" t="s">
        <v>2978</v>
      </c>
      <c r="F1729" s="12" t="s">
        <v>1861</v>
      </c>
      <c r="G1729" s="12" t="s">
        <v>1861</v>
      </c>
      <c r="H1729" s="12" t="b">
        <v>1</v>
      </c>
      <c r="I1729" s="12" t="b">
        <v>0</v>
      </c>
      <c r="J1729" s="12" t="b">
        <v>1</v>
      </c>
      <c r="K1729" s="12" t="b">
        <v>0</v>
      </c>
      <c r="L1729" s="12">
        <v>623.15</v>
      </c>
      <c r="M1729" s="12">
        <v>300.032917</v>
      </c>
      <c r="N1729" s="12">
        <v>3787.564501720889</v>
      </c>
      <c r="O1729" s="12">
        <v>934.08408169163738</v>
      </c>
      <c r="P1729" s="12">
        <v>0.83055819108387585</v>
      </c>
      <c r="Q1729" s="12">
        <v>0.50268506845004901</v>
      </c>
      <c r="R1729" s="12">
        <v>0.50791169597164099</v>
      </c>
      <c r="S1729" s="12">
        <v>0.68026591436899575</v>
      </c>
      <c r="T1729" s="12">
        <v>0.81660990190729987</v>
      </c>
      <c r="U1729" s="12">
        <v>0.94454683248401039</v>
      </c>
      <c r="V1729" s="12">
        <v>300.032917</v>
      </c>
      <c r="W1729" s="12">
        <v>6.65963513466785</v>
      </c>
      <c r="X1729" s="12">
        <v>96.83378722489212</v>
      </c>
      <c r="Y1729" s="12">
        <v>2853.480420029251</v>
      </c>
      <c r="Z1729" s="12">
        <v>4.0548432158929044</v>
      </c>
      <c r="AA1729" s="12" t="s">
        <v>1268</v>
      </c>
      <c r="AB1729" s="12"/>
    </row>
    <row r="1730" spans="1:28" x14ac:dyDescent="0.3">
      <c r="A1730" s="12" t="s">
        <v>3642</v>
      </c>
      <c r="B1730" s="12" t="s">
        <v>170</v>
      </c>
      <c r="C1730" s="12" t="s">
        <v>430</v>
      </c>
      <c r="D1730" s="12" t="s">
        <v>721</v>
      </c>
      <c r="E1730" s="12" t="s">
        <v>2978</v>
      </c>
      <c r="F1730" s="12" t="s">
        <v>832</v>
      </c>
      <c r="G1730" s="12" t="s">
        <v>832</v>
      </c>
      <c r="H1730" s="12" t="b">
        <v>0</v>
      </c>
      <c r="I1730" s="12" t="b">
        <v>0</v>
      </c>
      <c r="J1730" s="12" t="b">
        <v>0</v>
      </c>
      <c r="K1730" s="12" t="b">
        <v>0</v>
      </c>
      <c r="L1730" s="12">
        <v>623.15</v>
      </c>
      <c r="M1730" s="12">
        <v>300.032917</v>
      </c>
      <c r="N1730" s="12">
        <v>2172.751910283414</v>
      </c>
      <c r="O1730" s="12">
        <v>397.63843524985691</v>
      </c>
      <c r="P1730" s="12">
        <v>0.79993596096332131</v>
      </c>
      <c r="Q1730" s="12">
        <v>0.78697850399343505</v>
      </c>
      <c r="R1730" s="12">
        <v>0.63991982408043602</v>
      </c>
      <c r="S1730" s="12">
        <v>0.59220284490027586</v>
      </c>
      <c r="T1730" s="12">
        <v>0.63223878549417811</v>
      </c>
      <c r="U1730" s="12">
        <v>0.67874635681786089</v>
      </c>
      <c r="V1730" s="12">
        <v>300.032917</v>
      </c>
      <c r="W1730" s="12"/>
      <c r="X1730" s="12"/>
      <c r="Y1730" s="12">
        <v>1775.1134750335571</v>
      </c>
      <c r="Z1730" s="12">
        <v>5.4641395742294403</v>
      </c>
      <c r="AA1730" s="12"/>
      <c r="AB1730" s="12"/>
    </row>
    <row r="1731" spans="1:28" x14ac:dyDescent="0.3">
      <c r="A1731" s="12" t="s">
        <v>3643</v>
      </c>
      <c r="B1731" s="12" t="s">
        <v>170</v>
      </c>
      <c r="C1731" s="12" t="s">
        <v>430</v>
      </c>
      <c r="D1731" s="12" t="s">
        <v>721</v>
      </c>
      <c r="E1731" s="12" t="s">
        <v>2978</v>
      </c>
      <c r="F1731" s="12" t="s">
        <v>1861</v>
      </c>
      <c r="G1731" s="12" t="s">
        <v>1861</v>
      </c>
      <c r="H1731" s="12" t="b">
        <v>1</v>
      </c>
      <c r="I1731" s="12" t="b">
        <v>0</v>
      </c>
      <c r="J1731" s="12" t="b">
        <v>1</v>
      </c>
      <c r="K1731" s="12" t="b">
        <v>0</v>
      </c>
      <c r="L1731" s="12">
        <v>623.15</v>
      </c>
      <c r="M1731" s="12">
        <v>300.032917</v>
      </c>
      <c r="N1731" s="12">
        <v>3497.2603113745322</v>
      </c>
      <c r="O1731" s="12">
        <v>955.74260065658677</v>
      </c>
      <c r="P1731" s="12">
        <v>0.52223794647972743</v>
      </c>
      <c r="Q1731" s="12">
        <v>0.94745388906772898</v>
      </c>
      <c r="R1731" s="12">
        <v>0.71172503695018174</v>
      </c>
      <c r="S1731" s="12">
        <v>0.70648056111739144</v>
      </c>
      <c r="T1731" s="12">
        <v>0.43861714524183931</v>
      </c>
      <c r="U1731" s="12">
        <v>0.6059612125283188</v>
      </c>
      <c r="V1731" s="12">
        <v>300.032917</v>
      </c>
      <c r="W1731" s="12">
        <v>8.8242315305487811</v>
      </c>
      <c r="X1731" s="12">
        <v>114.39674379507331</v>
      </c>
      <c r="Y1731" s="12">
        <v>2541.5177107179452</v>
      </c>
      <c r="Z1731" s="12">
        <v>3.659207310600098</v>
      </c>
      <c r="AA1731" s="12" t="s">
        <v>1268</v>
      </c>
      <c r="AB1731" s="12"/>
    </row>
    <row r="1732" spans="1:28" x14ac:dyDescent="0.3">
      <c r="A1732" s="12" t="s">
        <v>3644</v>
      </c>
      <c r="B1732" s="12" t="s">
        <v>170</v>
      </c>
      <c r="C1732" s="12" t="s">
        <v>430</v>
      </c>
      <c r="D1732" s="12" t="s">
        <v>721</v>
      </c>
      <c r="E1732" s="12" t="s">
        <v>2978</v>
      </c>
      <c r="F1732" s="12" t="s">
        <v>832</v>
      </c>
      <c r="G1732" s="12" t="s">
        <v>832</v>
      </c>
      <c r="H1732" s="12" t="b">
        <v>0</v>
      </c>
      <c r="I1732" s="12" t="b">
        <v>0</v>
      </c>
      <c r="J1732" s="12" t="b">
        <v>0</v>
      </c>
      <c r="K1732" s="12" t="b">
        <v>0</v>
      </c>
      <c r="L1732" s="12">
        <v>623.15</v>
      </c>
      <c r="M1732" s="12">
        <v>300.032917</v>
      </c>
      <c r="N1732" s="12">
        <v>4399.5373831666748</v>
      </c>
      <c r="O1732" s="12">
        <v>1043.7881249224879</v>
      </c>
      <c r="P1732" s="12">
        <v>0.78565260742306187</v>
      </c>
      <c r="Q1732" s="12">
        <v>0.72931514656183838</v>
      </c>
      <c r="R1732" s="12">
        <v>0.52343831321963763</v>
      </c>
      <c r="S1732" s="12">
        <v>0.76292461603223383</v>
      </c>
      <c r="T1732" s="12">
        <v>0.40567663016150968</v>
      </c>
      <c r="U1732" s="12">
        <v>0.75561781764507741</v>
      </c>
      <c r="V1732" s="12">
        <v>300.032917</v>
      </c>
      <c r="W1732" s="12"/>
      <c r="X1732" s="12"/>
      <c r="Y1732" s="12">
        <v>3355.749258244186</v>
      </c>
      <c r="Z1732" s="12">
        <v>4.214971676836603</v>
      </c>
      <c r="AA1732" s="12"/>
      <c r="AB1732" s="12"/>
    </row>
    <row r="1733" spans="1:28" x14ac:dyDescent="0.3">
      <c r="A1733" s="12" t="s">
        <v>3645</v>
      </c>
      <c r="B1733" s="12" t="s">
        <v>170</v>
      </c>
      <c r="C1733" s="12" t="s">
        <v>430</v>
      </c>
      <c r="D1733" s="12" t="s">
        <v>721</v>
      </c>
      <c r="E1733" s="12" t="s">
        <v>2978</v>
      </c>
      <c r="F1733" s="12" t="s">
        <v>832</v>
      </c>
      <c r="G1733" s="12" t="s">
        <v>832</v>
      </c>
      <c r="H1733" s="12" t="b">
        <v>0</v>
      </c>
      <c r="I1733" s="12" t="b">
        <v>0</v>
      </c>
      <c r="J1733" s="12" t="b">
        <v>0</v>
      </c>
      <c r="K1733" s="12" t="b">
        <v>0</v>
      </c>
      <c r="L1733" s="12">
        <v>623.15</v>
      </c>
      <c r="M1733" s="12">
        <v>300.032917</v>
      </c>
      <c r="N1733" s="12">
        <v>3836.4381922866692</v>
      </c>
      <c r="O1733" s="12">
        <v>662.985062927439</v>
      </c>
      <c r="P1733" s="12">
        <v>0.81832642344155293</v>
      </c>
      <c r="Q1733" s="12">
        <v>0.51207530922371958</v>
      </c>
      <c r="R1733" s="12">
        <v>0.43800752046335051</v>
      </c>
      <c r="S1733" s="12">
        <v>0.90477293432505157</v>
      </c>
      <c r="T1733" s="12">
        <v>0.55431859625403002</v>
      </c>
      <c r="U1733" s="12">
        <v>0.89010263234677356</v>
      </c>
      <c r="V1733" s="12">
        <v>300.032917</v>
      </c>
      <c r="W1733" s="12"/>
      <c r="X1733" s="12"/>
      <c r="Y1733" s="12">
        <v>3173.4531293592299</v>
      </c>
      <c r="Z1733" s="12">
        <v>5.78661331425283</v>
      </c>
      <c r="AA1733" s="12"/>
      <c r="AB1733" s="12"/>
    </row>
    <row r="1734" spans="1:28" x14ac:dyDescent="0.3">
      <c r="A1734" s="12" t="s">
        <v>3646</v>
      </c>
      <c r="B1734" s="12" t="s">
        <v>170</v>
      </c>
      <c r="C1734" s="12" t="s">
        <v>430</v>
      </c>
      <c r="D1734" s="12" t="s">
        <v>721</v>
      </c>
      <c r="E1734" s="12" t="s">
        <v>2978</v>
      </c>
      <c r="F1734" s="12" t="s">
        <v>1861</v>
      </c>
      <c r="G1734" s="12" t="s">
        <v>1861</v>
      </c>
      <c r="H1734" s="12" t="b">
        <v>1</v>
      </c>
      <c r="I1734" s="12" t="b">
        <v>0</v>
      </c>
      <c r="J1734" s="12" t="b">
        <v>1</v>
      </c>
      <c r="K1734" s="12" t="b">
        <v>0</v>
      </c>
      <c r="L1734" s="12">
        <v>623.15</v>
      </c>
      <c r="M1734" s="12">
        <v>300.032917</v>
      </c>
      <c r="N1734" s="12">
        <v>3943.3302381233789</v>
      </c>
      <c r="O1734" s="12">
        <v>1253.143857069151</v>
      </c>
      <c r="P1734" s="12">
        <v>0.50831364804597179</v>
      </c>
      <c r="Q1734" s="12">
        <v>0.48567890454714741</v>
      </c>
      <c r="R1734" s="12">
        <v>0.48942258310863801</v>
      </c>
      <c r="S1734" s="12">
        <v>0.40441009579851528</v>
      </c>
      <c r="T1734" s="12">
        <v>0.88591742697783393</v>
      </c>
      <c r="U1734" s="12">
        <v>0.73534761437334706</v>
      </c>
      <c r="V1734" s="12">
        <v>300.032917</v>
      </c>
      <c r="W1734" s="12">
        <v>4.2697199363328604</v>
      </c>
      <c r="X1734" s="12">
        <v>38.118645749420743</v>
      </c>
      <c r="Y1734" s="12">
        <v>2690.1863810542281</v>
      </c>
      <c r="Z1734" s="12">
        <v>3.146749845102403</v>
      </c>
      <c r="AA1734" s="12" t="s">
        <v>1268</v>
      </c>
      <c r="AB1734" s="12"/>
    </row>
    <row r="1735" spans="1:28" x14ac:dyDescent="0.3">
      <c r="A1735" s="12" t="s">
        <v>3647</v>
      </c>
      <c r="B1735" s="12" t="s">
        <v>170</v>
      </c>
      <c r="C1735" s="12" t="s">
        <v>430</v>
      </c>
      <c r="D1735" s="12" t="s">
        <v>721</v>
      </c>
      <c r="E1735" s="12" t="s">
        <v>2978</v>
      </c>
      <c r="F1735" s="12" t="s">
        <v>832</v>
      </c>
      <c r="G1735" s="12" t="s">
        <v>832</v>
      </c>
      <c r="H1735" s="12" t="b">
        <v>0</v>
      </c>
      <c r="I1735" s="12" t="b">
        <v>0</v>
      </c>
      <c r="J1735" s="12" t="b">
        <v>0</v>
      </c>
      <c r="K1735" s="12" t="b">
        <v>0</v>
      </c>
      <c r="L1735" s="12">
        <v>623.15</v>
      </c>
      <c r="M1735" s="12">
        <v>300.032917</v>
      </c>
      <c r="N1735" s="12">
        <v>4062.5786916976908</v>
      </c>
      <c r="O1735" s="12">
        <v>244.36318747548921</v>
      </c>
      <c r="P1735" s="12">
        <v>0.50500613397709937</v>
      </c>
      <c r="Q1735" s="12">
        <v>0.73056587655992133</v>
      </c>
      <c r="R1735" s="12">
        <v>0.75610177708899329</v>
      </c>
      <c r="S1735" s="12">
        <v>0.84338730273642937</v>
      </c>
      <c r="T1735" s="12">
        <v>0.69373202055697414</v>
      </c>
      <c r="U1735" s="12">
        <v>0.80640937093873655</v>
      </c>
      <c r="V1735" s="12">
        <v>300.032917</v>
      </c>
      <c r="W1735" s="12"/>
      <c r="X1735" s="12"/>
      <c r="Y1735" s="12">
        <v>3818.2155042222021</v>
      </c>
      <c r="Z1735" s="12">
        <v>16.625166555028621</v>
      </c>
      <c r="AA1735" s="12"/>
      <c r="AB1735" s="12"/>
    </row>
    <row r="1736" spans="1:28" x14ac:dyDescent="0.3">
      <c r="A1736" s="12" t="s">
        <v>3648</v>
      </c>
      <c r="B1736" s="12" t="s">
        <v>170</v>
      </c>
      <c r="C1736" s="12" t="s">
        <v>430</v>
      </c>
      <c r="D1736" s="12" t="s">
        <v>721</v>
      </c>
      <c r="E1736" s="12" t="s">
        <v>2978</v>
      </c>
      <c r="F1736" s="12" t="s">
        <v>832</v>
      </c>
      <c r="G1736" s="12" t="s">
        <v>832</v>
      </c>
      <c r="H1736" s="12" t="b">
        <v>0</v>
      </c>
      <c r="I1736" s="12" t="b">
        <v>0</v>
      </c>
      <c r="J1736" s="12" t="b">
        <v>0</v>
      </c>
      <c r="K1736" s="12" t="b">
        <v>0</v>
      </c>
      <c r="L1736" s="12">
        <v>623.15</v>
      </c>
      <c r="M1736" s="12">
        <v>300.032917</v>
      </c>
      <c r="N1736" s="12">
        <v>4196.4934311734396</v>
      </c>
      <c r="O1736" s="12">
        <v>1838.6820288874089</v>
      </c>
      <c r="P1736" s="12">
        <v>0.76322683471581487</v>
      </c>
      <c r="Q1736" s="12">
        <v>0.61723519940996119</v>
      </c>
      <c r="R1736" s="12">
        <v>0.58569895046148457</v>
      </c>
      <c r="S1736" s="12">
        <v>0.80822027555625953</v>
      </c>
      <c r="T1736" s="12">
        <v>0.55866617431894272</v>
      </c>
      <c r="U1736" s="12">
        <v>0.4651671400104106</v>
      </c>
      <c r="V1736" s="12">
        <v>300.032917</v>
      </c>
      <c r="W1736" s="12"/>
      <c r="X1736" s="12"/>
      <c r="Y1736" s="12">
        <v>2357.8114022860309</v>
      </c>
      <c r="Z1736" s="12">
        <v>2.2823377643565421</v>
      </c>
      <c r="AA1736" s="12"/>
      <c r="AB1736" s="12"/>
    </row>
    <row r="1737" spans="1:28" x14ac:dyDescent="0.3">
      <c r="A1737" s="12" t="s">
        <v>3649</v>
      </c>
      <c r="B1737" s="12" t="s">
        <v>170</v>
      </c>
      <c r="C1737" s="12" t="s">
        <v>430</v>
      </c>
      <c r="D1737" s="12" t="s">
        <v>721</v>
      </c>
      <c r="E1737" s="12" t="s">
        <v>2978</v>
      </c>
      <c r="F1737" s="12" t="s">
        <v>832</v>
      </c>
      <c r="G1737" s="12" t="s">
        <v>832</v>
      </c>
      <c r="H1737" s="12" t="b">
        <v>0</v>
      </c>
      <c r="I1737" s="12" t="b">
        <v>0</v>
      </c>
      <c r="J1737" s="12" t="b">
        <v>0</v>
      </c>
      <c r="K1737" s="12" t="b">
        <v>0</v>
      </c>
      <c r="L1737" s="12">
        <v>623.15</v>
      </c>
      <c r="M1737" s="12">
        <v>300.032917</v>
      </c>
      <c r="N1737" s="12">
        <v>2135.608310660421</v>
      </c>
      <c r="O1737" s="12">
        <v>1348.7364938803289</v>
      </c>
      <c r="P1737" s="12">
        <v>0.78824506476814071</v>
      </c>
      <c r="Q1737" s="12">
        <v>0.5582281011580974</v>
      </c>
      <c r="R1737" s="12">
        <v>0.43087624077719378</v>
      </c>
      <c r="S1737" s="12">
        <v>0.64096018405582311</v>
      </c>
      <c r="T1737" s="12">
        <v>0.71840376371107051</v>
      </c>
      <c r="U1737" s="12">
        <v>0.43182792077227772</v>
      </c>
      <c r="V1737" s="12">
        <v>300.032917</v>
      </c>
      <c r="W1737" s="12"/>
      <c r="X1737" s="12"/>
      <c r="Y1737" s="12">
        <v>786.87181678009165</v>
      </c>
      <c r="Z1737" s="12">
        <v>1.583414047406883</v>
      </c>
      <c r="AA1737" s="12"/>
      <c r="AB1737" s="12"/>
    </row>
    <row r="1738" spans="1:28" x14ac:dyDescent="0.3">
      <c r="A1738" s="12" t="s">
        <v>3650</v>
      </c>
      <c r="B1738" s="12" t="s">
        <v>170</v>
      </c>
      <c r="C1738" s="12" t="s">
        <v>430</v>
      </c>
      <c r="D1738" s="12" t="s">
        <v>721</v>
      </c>
      <c r="E1738" s="12" t="s">
        <v>2978</v>
      </c>
      <c r="F1738" s="12" t="s">
        <v>1861</v>
      </c>
      <c r="G1738" s="12" t="s">
        <v>1861</v>
      </c>
      <c r="H1738" s="12" t="b">
        <v>1</v>
      </c>
      <c r="I1738" s="12" t="b">
        <v>0</v>
      </c>
      <c r="J1738" s="12" t="b">
        <v>1</v>
      </c>
      <c r="K1738" s="12" t="b">
        <v>0</v>
      </c>
      <c r="L1738" s="12">
        <v>623.15</v>
      </c>
      <c r="M1738" s="12">
        <v>300.032917</v>
      </c>
      <c r="N1738" s="12">
        <v>4513.9973433807081</v>
      </c>
      <c r="O1738" s="12">
        <v>343.52641303737693</v>
      </c>
      <c r="P1738" s="12">
        <v>0.60868539399956345</v>
      </c>
      <c r="Q1738" s="12">
        <v>0.89629867666371976</v>
      </c>
      <c r="R1738" s="12">
        <v>0.5458942641594926</v>
      </c>
      <c r="S1738" s="12">
        <v>0.60583021192309194</v>
      </c>
      <c r="T1738" s="12">
        <v>0.66415129526765138</v>
      </c>
      <c r="U1738" s="12">
        <v>0.7330832346341305</v>
      </c>
      <c r="V1738" s="12">
        <v>300.032917</v>
      </c>
      <c r="W1738" s="12">
        <v>7.7471157997291904</v>
      </c>
      <c r="X1738" s="12">
        <v>78.014869851513026</v>
      </c>
      <c r="Y1738" s="12">
        <v>4170.470930343331</v>
      </c>
      <c r="Z1738" s="12">
        <v>13.14017546269308</v>
      </c>
      <c r="AA1738" s="12" t="s">
        <v>1981</v>
      </c>
      <c r="AB1738" s="12"/>
    </row>
    <row r="1739" spans="1:28" x14ac:dyDescent="0.3">
      <c r="A1739" s="12" t="s">
        <v>3651</v>
      </c>
      <c r="B1739" s="12" t="s">
        <v>170</v>
      </c>
      <c r="C1739" s="12" t="s">
        <v>430</v>
      </c>
      <c r="D1739" s="12" t="s">
        <v>721</v>
      </c>
      <c r="E1739" s="12" t="s">
        <v>2978</v>
      </c>
      <c r="F1739" s="12" t="s">
        <v>832</v>
      </c>
      <c r="G1739" s="12" t="s">
        <v>832</v>
      </c>
      <c r="H1739" s="12" t="b">
        <v>0</v>
      </c>
      <c r="I1739" s="12" t="b">
        <v>0</v>
      </c>
      <c r="J1739" s="12" t="b">
        <v>0</v>
      </c>
      <c r="K1739" s="12" t="b">
        <v>0</v>
      </c>
      <c r="L1739" s="12">
        <v>623.15</v>
      </c>
      <c r="M1739" s="12">
        <v>300.032917</v>
      </c>
      <c r="N1739" s="12">
        <v>4215.0666718714647</v>
      </c>
      <c r="O1739" s="12">
        <v>1569.905076069427</v>
      </c>
      <c r="P1739" s="12">
        <v>0.72352431704489151</v>
      </c>
      <c r="Q1739" s="12">
        <v>0.65214044632989743</v>
      </c>
      <c r="R1739" s="12">
        <v>0.41050195506759291</v>
      </c>
      <c r="S1739" s="12">
        <v>0.62983170317400361</v>
      </c>
      <c r="T1739" s="12">
        <v>0.93165012489098964</v>
      </c>
      <c r="U1739" s="12">
        <v>0.46097330642031148</v>
      </c>
      <c r="V1739" s="12">
        <v>300.032917</v>
      </c>
      <c r="W1739" s="12"/>
      <c r="X1739" s="12"/>
      <c r="Y1739" s="12">
        <v>2645.1615958020379</v>
      </c>
      <c r="Z1739" s="12">
        <v>2.684918175068733</v>
      </c>
      <c r="AA1739" s="12"/>
      <c r="AB1739" s="12"/>
    </row>
    <row r="1740" spans="1:28" x14ac:dyDescent="0.3">
      <c r="A1740" s="12" t="s">
        <v>3652</v>
      </c>
      <c r="B1740" s="12" t="s">
        <v>170</v>
      </c>
      <c r="C1740" s="12" t="s">
        <v>430</v>
      </c>
      <c r="D1740" s="12" t="s">
        <v>721</v>
      </c>
      <c r="E1740" s="12" t="s">
        <v>2978</v>
      </c>
      <c r="F1740" s="12" t="s">
        <v>832</v>
      </c>
      <c r="G1740" s="12" t="s">
        <v>832</v>
      </c>
      <c r="H1740" s="12" t="b">
        <v>0</v>
      </c>
      <c r="I1740" s="12" t="b">
        <v>0</v>
      </c>
      <c r="J1740" s="12" t="b">
        <v>0</v>
      </c>
      <c r="K1740" s="12" t="b">
        <v>0</v>
      </c>
      <c r="L1740" s="12">
        <v>623.15</v>
      </c>
      <c r="M1740" s="12">
        <v>300.032917</v>
      </c>
      <c r="N1740" s="12">
        <v>2448.346429314513</v>
      </c>
      <c r="O1740" s="12">
        <v>331.10254336888289</v>
      </c>
      <c r="P1740" s="12">
        <v>0.76045604192325356</v>
      </c>
      <c r="Q1740" s="12">
        <v>0.67315075308045491</v>
      </c>
      <c r="R1740" s="12">
        <v>0.40430223421667277</v>
      </c>
      <c r="S1740" s="12">
        <v>0.84562283886545919</v>
      </c>
      <c r="T1740" s="12">
        <v>0.54505479956161007</v>
      </c>
      <c r="U1740" s="12">
        <v>0.70390289851626031</v>
      </c>
      <c r="V1740" s="12">
        <v>300.032917</v>
      </c>
      <c r="W1740" s="12"/>
      <c r="X1740" s="12"/>
      <c r="Y1740" s="12">
        <v>2117.2438859456302</v>
      </c>
      <c r="Z1740" s="12">
        <v>7.3945261924092156</v>
      </c>
      <c r="AA1740" s="12"/>
      <c r="AB1740" s="12"/>
    </row>
    <row r="1741" spans="1:28" x14ac:dyDescent="0.3">
      <c r="A1741" s="12" t="s">
        <v>3653</v>
      </c>
      <c r="B1741" s="12" t="s">
        <v>170</v>
      </c>
      <c r="C1741" s="12" t="s">
        <v>430</v>
      </c>
      <c r="D1741" s="12" t="s">
        <v>721</v>
      </c>
      <c r="E1741" s="12" t="s">
        <v>2978</v>
      </c>
      <c r="F1741" s="12" t="s">
        <v>1861</v>
      </c>
      <c r="G1741" s="12" t="s">
        <v>1861</v>
      </c>
      <c r="H1741" s="12" t="b">
        <v>1</v>
      </c>
      <c r="I1741" s="12" t="b">
        <v>0</v>
      </c>
      <c r="J1741" s="12" t="b">
        <v>1</v>
      </c>
      <c r="K1741" s="12" t="b">
        <v>0</v>
      </c>
      <c r="L1741" s="12">
        <v>623.15</v>
      </c>
      <c r="M1741" s="12">
        <v>300.032917</v>
      </c>
      <c r="N1741" s="12">
        <v>3522.0527527975041</v>
      </c>
      <c r="O1741" s="12">
        <v>1009.088868917098</v>
      </c>
      <c r="P1741" s="12">
        <v>0.55486056600015965</v>
      </c>
      <c r="Q1741" s="12">
        <v>0.89054177589490124</v>
      </c>
      <c r="R1741" s="12">
        <v>0.85500466593838098</v>
      </c>
      <c r="S1741" s="12">
        <v>0.6535398706184975</v>
      </c>
      <c r="T1741" s="12">
        <v>0.70313919627518406</v>
      </c>
      <c r="U1741" s="12">
        <v>0.74994804519118274</v>
      </c>
      <c r="V1741" s="12">
        <v>300.032917</v>
      </c>
      <c r="W1741" s="12">
        <v>9.6522315438720199</v>
      </c>
      <c r="X1741" s="12">
        <v>136.626804312606</v>
      </c>
      <c r="Y1741" s="12">
        <v>2512.9638838804071</v>
      </c>
      <c r="Z1741" s="12">
        <v>3.4903296045443351</v>
      </c>
      <c r="AA1741" s="12" t="s">
        <v>1268</v>
      </c>
      <c r="AB1741" s="12"/>
    </row>
    <row r="1742" spans="1:28" x14ac:dyDescent="0.3">
      <c r="A1742" s="12" t="s">
        <v>3654</v>
      </c>
      <c r="B1742" s="12" t="s">
        <v>170</v>
      </c>
      <c r="C1742" s="12" t="s">
        <v>430</v>
      </c>
      <c r="D1742" s="12" t="s">
        <v>721</v>
      </c>
      <c r="E1742" s="12" t="s">
        <v>2978</v>
      </c>
      <c r="F1742" s="12" t="s">
        <v>1861</v>
      </c>
      <c r="G1742" s="12" t="s">
        <v>1861</v>
      </c>
      <c r="H1742" s="12" t="b">
        <v>1</v>
      </c>
      <c r="I1742" s="12" t="b">
        <v>0</v>
      </c>
      <c r="J1742" s="12" t="b">
        <v>1</v>
      </c>
      <c r="K1742" s="12" t="b">
        <v>0</v>
      </c>
      <c r="L1742" s="12">
        <v>623.15</v>
      </c>
      <c r="M1742" s="12">
        <v>300.032917</v>
      </c>
      <c r="N1742" s="12">
        <v>4364.2983752583114</v>
      </c>
      <c r="O1742" s="12">
        <v>888.02863922215488</v>
      </c>
      <c r="P1742" s="12">
        <v>0.77035798056886862</v>
      </c>
      <c r="Q1742" s="12">
        <v>0.91609864365359062</v>
      </c>
      <c r="R1742" s="12">
        <v>0.49963331735489919</v>
      </c>
      <c r="S1742" s="12">
        <v>0.67129043213485895</v>
      </c>
      <c r="T1742" s="12">
        <v>0.53089882244758146</v>
      </c>
      <c r="U1742" s="12">
        <v>0.70223448451224069</v>
      </c>
      <c r="V1742" s="12">
        <v>300.032917</v>
      </c>
      <c r="W1742" s="12">
        <v>9.3549330094927097</v>
      </c>
      <c r="X1742" s="12">
        <v>110.76812608340281</v>
      </c>
      <c r="Y1742" s="12">
        <v>3476.2697360361558</v>
      </c>
      <c r="Z1742" s="12">
        <v>4.9145919202348054</v>
      </c>
      <c r="AA1742" s="12" t="s">
        <v>1268</v>
      </c>
      <c r="AB1742" s="12"/>
    </row>
    <row r="1743" spans="1:28" x14ac:dyDescent="0.3">
      <c r="A1743" s="12" t="s">
        <v>3655</v>
      </c>
      <c r="B1743" s="12" t="s">
        <v>170</v>
      </c>
      <c r="C1743" s="12" t="s">
        <v>430</v>
      </c>
      <c r="D1743" s="12" t="s">
        <v>721</v>
      </c>
      <c r="E1743" s="12" t="s">
        <v>2978</v>
      </c>
      <c r="F1743" s="12" t="s">
        <v>832</v>
      </c>
      <c r="G1743" s="12" t="s">
        <v>832</v>
      </c>
      <c r="H1743" s="12" t="b">
        <v>0</v>
      </c>
      <c r="I1743" s="12" t="b">
        <v>0</v>
      </c>
      <c r="J1743" s="12" t="b">
        <v>0</v>
      </c>
      <c r="K1743" s="12" t="b">
        <v>0</v>
      </c>
      <c r="L1743" s="12">
        <v>623.15</v>
      </c>
      <c r="M1743" s="12">
        <v>300.032917</v>
      </c>
      <c r="N1743" s="12">
        <v>2074.429700505631</v>
      </c>
      <c r="O1743" s="12">
        <v>453.88861908087853</v>
      </c>
      <c r="P1743" s="12">
        <v>0.52691700659389684</v>
      </c>
      <c r="Q1743" s="12">
        <v>0.75224823641433503</v>
      </c>
      <c r="R1743" s="12">
        <v>0.44798721781877432</v>
      </c>
      <c r="S1743" s="12">
        <v>0.82273855960187192</v>
      </c>
      <c r="T1743" s="12">
        <v>0.69105295047867199</v>
      </c>
      <c r="U1743" s="12">
        <v>0.54427046249672961</v>
      </c>
      <c r="V1743" s="12">
        <v>300.032917</v>
      </c>
      <c r="W1743" s="12"/>
      <c r="X1743" s="12"/>
      <c r="Y1743" s="12">
        <v>1620.541081424753</v>
      </c>
      <c r="Z1743" s="12">
        <v>4.5703496701599127</v>
      </c>
      <c r="AA1743" s="12"/>
      <c r="AB1743" s="12"/>
    </row>
    <row r="1744" spans="1:28" x14ac:dyDescent="0.3">
      <c r="A1744" s="12" t="s">
        <v>3656</v>
      </c>
      <c r="B1744" s="12" t="s">
        <v>170</v>
      </c>
      <c r="C1744" s="12" t="s">
        <v>430</v>
      </c>
      <c r="D1744" s="12" t="s">
        <v>721</v>
      </c>
      <c r="E1744" s="12" t="s">
        <v>2978</v>
      </c>
      <c r="F1744" s="12" t="s">
        <v>832</v>
      </c>
      <c r="G1744" s="12" t="s">
        <v>832</v>
      </c>
      <c r="H1744" s="12" t="b">
        <v>0</v>
      </c>
      <c r="I1744" s="12" t="b">
        <v>0</v>
      </c>
      <c r="J1744" s="12" t="b">
        <v>0</v>
      </c>
      <c r="K1744" s="12" t="b">
        <v>0</v>
      </c>
      <c r="L1744" s="12">
        <v>623.15</v>
      </c>
      <c r="M1744" s="12">
        <v>300.032917</v>
      </c>
      <c r="N1744" s="12">
        <v>3676.2897409722582</v>
      </c>
      <c r="O1744" s="12">
        <v>1059.918723065527</v>
      </c>
      <c r="P1744" s="12">
        <v>0.82583358618241176</v>
      </c>
      <c r="Q1744" s="12">
        <v>0.80675560933128043</v>
      </c>
      <c r="R1744" s="12">
        <v>0.8443518407674433</v>
      </c>
      <c r="S1744" s="12">
        <v>0.46331582352769901</v>
      </c>
      <c r="T1744" s="12">
        <v>0.4201254101542638</v>
      </c>
      <c r="U1744" s="12">
        <v>0.76828744597628451</v>
      </c>
      <c r="V1744" s="12">
        <v>300.032917</v>
      </c>
      <c r="W1744" s="12"/>
      <c r="X1744" s="12"/>
      <c r="Y1744" s="12">
        <v>2616.371017906732</v>
      </c>
      <c r="Z1744" s="12">
        <v>3.4684638179987899</v>
      </c>
      <c r="AA1744" s="12"/>
      <c r="AB1744" s="12"/>
    </row>
    <row r="1745" spans="1:28" x14ac:dyDescent="0.3">
      <c r="A1745" s="12" t="s">
        <v>3657</v>
      </c>
      <c r="B1745" s="12" t="s">
        <v>170</v>
      </c>
      <c r="C1745" s="12" t="s">
        <v>430</v>
      </c>
      <c r="D1745" s="12" t="s">
        <v>721</v>
      </c>
      <c r="E1745" s="12" t="s">
        <v>2978</v>
      </c>
      <c r="F1745" s="12" t="s">
        <v>832</v>
      </c>
      <c r="G1745" s="12" t="s">
        <v>832</v>
      </c>
      <c r="H1745" s="12" t="b">
        <v>0</v>
      </c>
      <c r="I1745" s="12" t="b">
        <v>0</v>
      </c>
      <c r="J1745" s="12" t="b">
        <v>0</v>
      </c>
      <c r="K1745" s="12" t="b">
        <v>0</v>
      </c>
      <c r="L1745" s="12">
        <v>623.15</v>
      </c>
      <c r="M1745" s="12">
        <v>300.032917</v>
      </c>
      <c r="N1745" s="12">
        <v>2528.2341278414051</v>
      </c>
      <c r="O1745" s="12">
        <v>1954.272502093258</v>
      </c>
      <c r="P1745" s="12">
        <v>0.80384848556773203</v>
      </c>
      <c r="Q1745" s="12">
        <v>0.60329255727545139</v>
      </c>
      <c r="R1745" s="12">
        <v>0.80180776061554226</v>
      </c>
      <c r="S1745" s="12">
        <v>0.76131176541623702</v>
      </c>
      <c r="T1745" s="12">
        <v>0.41171811853028778</v>
      </c>
      <c r="U1745" s="12">
        <v>0.69676199860590127</v>
      </c>
      <c r="V1745" s="12">
        <v>300.032917</v>
      </c>
      <c r="W1745" s="12"/>
      <c r="X1745" s="12"/>
      <c r="Y1745" s="12">
        <v>573.96162574814662</v>
      </c>
      <c r="Z1745" s="12">
        <v>1.293695799911919</v>
      </c>
      <c r="AA1745" s="12"/>
      <c r="AB1745" s="12"/>
    </row>
    <row r="1746" spans="1:28" x14ac:dyDescent="0.3">
      <c r="A1746" s="12" t="s">
        <v>3658</v>
      </c>
      <c r="B1746" s="12" t="s">
        <v>170</v>
      </c>
      <c r="C1746" s="12" t="s">
        <v>430</v>
      </c>
      <c r="D1746" s="12" t="s">
        <v>721</v>
      </c>
      <c r="E1746" s="12" t="s">
        <v>2978</v>
      </c>
      <c r="F1746" s="12" t="s">
        <v>1861</v>
      </c>
      <c r="G1746" s="12" t="s">
        <v>1861</v>
      </c>
      <c r="H1746" s="12" t="b">
        <v>1</v>
      </c>
      <c r="I1746" s="12" t="b">
        <v>0</v>
      </c>
      <c r="J1746" s="12" t="b">
        <v>1</v>
      </c>
      <c r="K1746" s="12" t="b">
        <v>0</v>
      </c>
      <c r="L1746" s="12">
        <v>623.15</v>
      </c>
      <c r="M1746" s="12">
        <v>300.032917</v>
      </c>
      <c r="N1746" s="12">
        <v>4153.5937530817946</v>
      </c>
      <c r="O1746" s="12">
        <v>1563.2807048180921</v>
      </c>
      <c r="P1746" s="12">
        <v>0.80981213474878211</v>
      </c>
      <c r="Q1746" s="12">
        <v>0.57808656731420871</v>
      </c>
      <c r="R1746" s="12">
        <v>0.60362908806848359</v>
      </c>
      <c r="S1746" s="12">
        <v>0.59489672268152194</v>
      </c>
      <c r="T1746" s="12">
        <v>0.86726588088620138</v>
      </c>
      <c r="U1746" s="12">
        <v>0.76343571025754398</v>
      </c>
      <c r="V1746" s="12">
        <v>300.032917</v>
      </c>
      <c r="W1746" s="12">
        <v>4.4893124985851696</v>
      </c>
      <c r="X1746" s="12">
        <v>50.494132515864493</v>
      </c>
      <c r="Y1746" s="12">
        <v>2590.313048263703</v>
      </c>
      <c r="Z1746" s="12">
        <v>2.6569724428122581</v>
      </c>
      <c r="AA1746" s="12" t="s">
        <v>1268</v>
      </c>
      <c r="AB1746" s="12"/>
    </row>
    <row r="1747" spans="1:28" x14ac:dyDescent="0.3">
      <c r="A1747" s="12" t="s">
        <v>3659</v>
      </c>
      <c r="B1747" s="12" t="s">
        <v>170</v>
      </c>
      <c r="C1747" s="12" t="s">
        <v>430</v>
      </c>
      <c r="D1747" s="12" t="s">
        <v>721</v>
      </c>
      <c r="E1747" s="12" t="s">
        <v>2978</v>
      </c>
      <c r="F1747" s="12" t="s">
        <v>1861</v>
      </c>
      <c r="G1747" s="12" t="s">
        <v>1861</v>
      </c>
      <c r="H1747" s="12" t="b">
        <v>1</v>
      </c>
      <c r="I1747" s="12" t="b">
        <v>0</v>
      </c>
      <c r="J1747" s="12" t="b">
        <v>1</v>
      </c>
      <c r="K1747" s="12" t="b">
        <v>0</v>
      </c>
      <c r="L1747" s="12">
        <v>623.15</v>
      </c>
      <c r="M1747" s="12">
        <v>300.032917</v>
      </c>
      <c r="N1747" s="12">
        <v>3767.5371996639169</v>
      </c>
      <c r="O1747" s="12">
        <v>1927.8763965249991</v>
      </c>
      <c r="P1747" s="12">
        <v>0.62709748388965747</v>
      </c>
      <c r="Q1747" s="12">
        <v>0.85412387980132953</v>
      </c>
      <c r="R1747" s="12">
        <v>0.82924507545578563</v>
      </c>
      <c r="S1747" s="12">
        <v>0.40613412031998392</v>
      </c>
      <c r="T1747" s="12">
        <v>0.91236775769962164</v>
      </c>
      <c r="U1747" s="12">
        <v>0.45835468187945028</v>
      </c>
      <c r="V1747" s="12">
        <v>300.032917</v>
      </c>
      <c r="W1747" s="12">
        <v>3.8674027281384502</v>
      </c>
      <c r="X1747" s="12">
        <v>26.480197007627499</v>
      </c>
      <c r="Y1747" s="12">
        <v>1839.660803138918</v>
      </c>
      <c r="Z1747" s="12">
        <v>1.9542420906521349</v>
      </c>
      <c r="AA1747" s="12" t="s">
        <v>1268</v>
      </c>
      <c r="AB1747" s="12"/>
    </row>
    <row r="1748" spans="1:28" x14ac:dyDescent="0.3">
      <c r="A1748" s="12" t="s">
        <v>3660</v>
      </c>
      <c r="B1748" s="12" t="s">
        <v>170</v>
      </c>
      <c r="C1748" s="12" t="s">
        <v>430</v>
      </c>
      <c r="D1748" s="12" t="s">
        <v>721</v>
      </c>
      <c r="E1748" s="12" t="s">
        <v>2978</v>
      </c>
      <c r="F1748" s="12" t="s">
        <v>832</v>
      </c>
      <c r="G1748" s="12" t="s">
        <v>832</v>
      </c>
      <c r="H1748" s="12" t="b">
        <v>0</v>
      </c>
      <c r="I1748" s="12" t="b">
        <v>0</v>
      </c>
      <c r="J1748" s="12" t="b">
        <v>0</v>
      </c>
      <c r="K1748" s="12" t="b">
        <v>0</v>
      </c>
      <c r="L1748" s="12">
        <v>623.15</v>
      </c>
      <c r="M1748" s="12">
        <v>300.032917</v>
      </c>
      <c r="N1748" s="12">
        <v>3237.8035114396489</v>
      </c>
      <c r="O1748" s="12">
        <v>1880.5098189903799</v>
      </c>
      <c r="P1748" s="12">
        <v>0.77787312341722314</v>
      </c>
      <c r="Q1748" s="12">
        <v>0.93820668823993758</v>
      </c>
      <c r="R1748" s="12">
        <v>0.92897660188745301</v>
      </c>
      <c r="S1748" s="12">
        <v>0.71156843489204169</v>
      </c>
      <c r="T1748" s="12">
        <v>0.83554783956000778</v>
      </c>
      <c r="U1748" s="12">
        <v>0.52489790783079027</v>
      </c>
      <c r="V1748" s="12">
        <v>300.032917</v>
      </c>
      <c r="W1748" s="12"/>
      <c r="X1748" s="12"/>
      <c r="Y1748" s="12">
        <v>1357.293692449269</v>
      </c>
      <c r="Z1748" s="12">
        <v>1.721769000481997</v>
      </c>
      <c r="AA1748" s="12"/>
      <c r="AB1748" s="12"/>
    </row>
    <row r="1749" spans="1:28" x14ac:dyDescent="0.3">
      <c r="A1749" s="12" t="s">
        <v>3661</v>
      </c>
      <c r="B1749" s="12" t="s">
        <v>170</v>
      </c>
      <c r="C1749" s="12" t="s">
        <v>430</v>
      </c>
      <c r="D1749" s="12" t="s">
        <v>721</v>
      </c>
      <c r="E1749" s="12" t="s">
        <v>2978</v>
      </c>
      <c r="F1749" s="12" t="s">
        <v>832</v>
      </c>
      <c r="G1749" s="12" t="s">
        <v>832</v>
      </c>
      <c r="H1749" s="12" t="b">
        <v>0</v>
      </c>
      <c r="I1749" s="12" t="b">
        <v>0</v>
      </c>
      <c r="J1749" s="12" t="b">
        <v>0</v>
      </c>
      <c r="K1749" s="12" t="b">
        <v>0</v>
      </c>
      <c r="L1749" s="12">
        <v>623.15</v>
      </c>
      <c r="M1749" s="12">
        <v>300.032917</v>
      </c>
      <c r="N1749" s="12">
        <v>2736.0798772012981</v>
      </c>
      <c r="O1749" s="12">
        <v>861.03575315996932</v>
      </c>
      <c r="P1749" s="12">
        <v>0.64021941470655686</v>
      </c>
      <c r="Q1749" s="12">
        <v>0.8207136537468398</v>
      </c>
      <c r="R1749" s="12">
        <v>0.88489087115471654</v>
      </c>
      <c r="S1749" s="12">
        <v>0.91815497740420116</v>
      </c>
      <c r="T1749" s="12">
        <v>0.45297186002262507</v>
      </c>
      <c r="U1749" s="12">
        <v>0.89081745368482412</v>
      </c>
      <c r="V1749" s="12">
        <v>300.032917</v>
      </c>
      <c r="W1749" s="12"/>
      <c r="X1749" s="12"/>
      <c r="Y1749" s="12">
        <v>1875.044124041329</v>
      </c>
      <c r="Z1749" s="12">
        <v>3.1776611681454421</v>
      </c>
      <c r="AA1749" s="12"/>
      <c r="AB1749" s="12"/>
    </row>
    <row r="1750" spans="1:28" x14ac:dyDescent="0.3">
      <c r="A1750" s="12" t="s">
        <v>3662</v>
      </c>
      <c r="B1750" s="12" t="s">
        <v>170</v>
      </c>
      <c r="C1750" s="12" t="s">
        <v>430</v>
      </c>
      <c r="D1750" s="12" t="s">
        <v>721</v>
      </c>
      <c r="E1750" s="12" t="s">
        <v>2978</v>
      </c>
      <c r="F1750" s="12" t="s">
        <v>832</v>
      </c>
      <c r="G1750" s="12" t="s">
        <v>832</v>
      </c>
      <c r="H1750" s="12" t="b">
        <v>0</v>
      </c>
      <c r="I1750" s="12" t="b">
        <v>0</v>
      </c>
      <c r="J1750" s="12" t="b">
        <v>0</v>
      </c>
      <c r="K1750" s="12" t="b">
        <v>0</v>
      </c>
      <c r="L1750" s="12">
        <v>623.15</v>
      </c>
      <c r="M1750" s="12">
        <v>300.032917</v>
      </c>
      <c r="N1750" s="12">
        <v>3010.748483926257</v>
      </c>
      <c r="O1750" s="12">
        <v>1093.290578471443</v>
      </c>
      <c r="P1750" s="12">
        <v>0.67364540807224926</v>
      </c>
      <c r="Q1750" s="12">
        <v>0.91908440438126959</v>
      </c>
      <c r="R1750" s="12">
        <v>0.44218669803611438</v>
      </c>
      <c r="S1750" s="12">
        <v>0.85406845169553947</v>
      </c>
      <c r="T1750" s="12">
        <v>0.58747612126402671</v>
      </c>
      <c r="U1750" s="12">
        <v>0.91897911162631118</v>
      </c>
      <c r="V1750" s="12">
        <v>300.032917</v>
      </c>
      <c r="W1750" s="12"/>
      <c r="X1750" s="12"/>
      <c r="Y1750" s="12">
        <v>1917.457905454813</v>
      </c>
      <c r="Z1750" s="12">
        <v>2.7538410585552282</v>
      </c>
      <c r="AA1750" s="12"/>
      <c r="AB1750" s="12"/>
    </row>
    <row r="1751" spans="1:28" x14ac:dyDescent="0.3">
      <c r="A1751" s="12" t="s">
        <v>3663</v>
      </c>
      <c r="B1751" s="12" t="s">
        <v>170</v>
      </c>
      <c r="C1751" s="12" t="s">
        <v>430</v>
      </c>
      <c r="D1751" s="12" t="s">
        <v>721</v>
      </c>
      <c r="E1751" s="12" t="s">
        <v>2978</v>
      </c>
      <c r="F1751" s="12" t="s">
        <v>1861</v>
      </c>
      <c r="G1751" s="12" t="s">
        <v>1861</v>
      </c>
      <c r="H1751" s="12" t="b">
        <v>1</v>
      </c>
      <c r="I1751" s="12" t="b">
        <v>0</v>
      </c>
      <c r="J1751" s="12" t="b">
        <v>1</v>
      </c>
      <c r="K1751" s="12" t="b">
        <v>0</v>
      </c>
      <c r="L1751" s="12">
        <v>623.15</v>
      </c>
      <c r="M1751" s="12">
        <v>300.032917</v>
      </c>
      <c r="N1751" s="12">
        <v>3161.9950305429411</v>
      </c>
      <c r="O1751" s="12">
        <v>1610.4523326951839</v>
      </c>
      <c r="P1751" s="12">
        <v>0.58931232500800057</v>
      </c>
      <c r="Q1751" s="12">
        <v>0.44393987193537882</v>
      </c>
      <c r="R1751" s="12">
        <v>0.824513792393055</v>
      </c>
      <c r="S1751" s="12">
        <v>0.73050685022809425</v>
      </c>
      <c r="T1751" s="12">
        <v>0.43411190609233158</v>
      </c>
      <c r="U1751" s="12">
        <v>0.85968578875188595</v>
      </c>
      <c r="V1751" s="12">
        <v>300.032917</v>
      </c>
      <c r="W1751" s="12">
        <v>2.70067068907198</v>
      </c>
      <c r="X1751" s="12">
        <v>46.059583911773181</v>
      </c>
      <c r="Y1751" s="12">
        <v>1551.5426978477569</v>
      </c>
      <c r="Z1751" s="12">
        <v>1.963420441790513</v>
      </c>
      <c r="AA1751" s="12" t="s">
        <v>1268</v>
      </c>
      <c r="AB1751" s="12"/>
    </row>
    <row r="1752" spans="1:28" x14ac:dyDescent="0.3">
      <c r="A1752" s="12" t="s">
        <v>3664</v>
      </c>
      <c r="B1752" s="12" t="s">
        <v>170</v>
      </c>
      <c r="C1752" s="12" t="s">
        <v>430</v>
      </c>
      <c r="D1752" s="12" t="s">
        <v>721</v>
      </c>
      <c r="E1752" s="12" t="s">
        <v>2978</v>
      </c>
      <c r="F1752" s="12" t="s">
        <v>832</v>
      </c>
      <c r="G1752" s="12" t="s">
        <v>832</v>
      </c>
      <c r="H1752" s="12" t="b">
        <v>0</v>
      </c>
      <c r="I1752" s="12" t="b">
        <v>0</v>
      </c>
      <c r="J1752" s="12" t="b">
        <v>0</v>
      </c>
      <c r="K1752" s="12" t="b">
        <v>0</v>
      </c>
      <c r="L1752" s="12">
        <v>623.15</v>
      </c>
      <c r="M1752" s="12">
        <v>300.032917</v>
      </c>
      <c r="N1752" s="12">
        <v>4893.4643993845821</v>
      </c>
      <c r="O1752" s="12">
        <v>1786.4112878574911</v>
      </c>
      <c r="P1752" s="12">
        <v>0.54974325489543463</v>
      </c>
      <c r="Q1752" s="12">
        <v>0.53526028953738869</v>
      </c>
      <c r="R1752" s="12">
        <v>0.77974004196608548</v>
      </c>
      <c r="S1752" s="12">
        <v>0.91044024848305283</v>
      </c>
      <c r="T1752" s="12">
        <v>0.8856975878376333</v>
      </c>
      <c r="U1752" s="12">
        <v>0.57183493809033725</v>
      </c>
      <c r="V1752" s="12">
        <v>300.032917</v>
      </c>
      <c r="W1752" s="12"/>
      <c r="X1752" s="12"/>
      <c r="Y1752" s="12">
        <v>3107.053111527091</v>
      </c>
      <c r="Z1752" s="12">
        <v>2.7392708681624458</v>
      </c>
      <c r="AA1752" s="12"/>
      <c r="AB1752" s="12"/>
    </row>
    <row r="1753" spans="1:28" x14ac:dyDescent="0.3">
      <c r="A1753" s="12" t="s">
        <v>3665</v>
      </c>
      <c r="B1753" s="12" t="s">
        <v>170</v>
      </c>
      <c r="C1753" s="12" t="s">
        <v>430</v>
      </c>
      <c r="D1753" s="12" t="s">
        <v>721</v>
      </c>
      <c r="E1753" s="12" t="s">
        <v>2978</v>
      </c>
      <c r="F1753" s="12" t="s">
        <v>1861</v>
      </c>
      <c r="G1753" s="12" t="s">
        <v>1861</v>
      </c>
      <c r="H1753" s="12" t="b">
        <v>1</v>
      </c>
      <c r="I1753" s="12" t="b">
        <v>0</v>
      </c>
      <c r="J1753" s="12" t="b">
        <v>1</v>
      </c>
      <c r="K1753" s="12" t="b">
        <v>0</v>
      </c>
      <c r="L1753" s="12">
        <v>623.15</v>
      </c>
      <c r="M1753" s="12">
        <v>300.032917</v>
      </c>
      <c r="N1753" s="12">
        <v>3588.1085940089679</v>
      </c>
      <c r="O1753" s="12">
        <v>490.29057995806511</v>
      </c>
      <c r="P1753" s="12">
        <v>0.51797610758298418</v>
      </c>
      <c r="Q1753" s="12">
        <v>0.87915439586800348</v>
      </c>
      <c r="R1753" s="12">
        <v>0.72402053070474004</v>
      </c>
      <c r="S1753" s="12">
        <v>0.43068461663800772</v>
      </c>
      <c r="T1753" s="12">
        <v>0.75689931751023032</v>
      </c>
      <c r="U1753" s="12">
        <v>0.93682649948918983</v>
      </c>
      <c r="V1753" s="12">
        <v>300.032917</v>
      </c>
      <c r="W1753" s="12">
        <v>13.62936539947485</v>
      </c>
      <c r="X1753" s="12">
        <v>141.0800023678417</v>
      </c>
      <c r="Y1753" s="12">
        <v>3097.818014050903</v>
      </c>
      <c r="Z1753" s="12">
        <v>7.3183306811969784</v>
      </c>
      <c r="AA1753" s="12" t="s">
        <v>1268</v>
      </c>
      <c r="AB1753" s="12"/>
    </row>
    <row r="1754" spans="1:28" x14ac:dyDescent="0.3">
      <c r="A1754" s="12" t="s">
        <v>3666</v>
      </c>
      <c r="B1754" s="12" t="s">
        <v>170</v>
      </c>
      <c r="C1754" s="12" t="s">
        <v>430</v>
      </c>
      <c r="D1754" s="12" t="s">
        <v>721</v>
      </c>
      <c r="E1754" s="12" t="s">
        <v>2978</v>
      </c>
      <c r="F1754" s="12" t="s">
        <v>832</v>
      </c>
      <c r="G1754" s="12" t="s">
        <v>832</v>
      </c>
      <c r="H1754" s="12" t="b">
        <v>0</v>
      </c>
      <c r="I1754" s="12" t="b">
        <v>0</v>
      </c>
      <c r="J1754" s="12" t="b">
        <v>0</v>
      </c>
      <c r="K1754" s="12" t="b">
        <v>0</v>
      </c>
      <c r="L1754" s="12">
        <v>623.15</v>
      </c>
      <c r="M1754" s="12">
        <v>300.032917</v>
      </c>
      <c r="N1754" s="12">
        <v>4918.1127765862821</v>
      </c>
      <c r="O1754" s="12">
        <v>1635.2715696706921</v>
      </c>
      <c r="P1754" s="12">
        <v>0.79109133896272477</v>
      </c>
      <c r="Q1754" s="12">
        <v>0.60106452778304398</v>
      </c>
      <c r="R1754" s="12">
        <v>0.41928476228696121</v>
      </c>
      <c r="S1754" s="12">
        <v>0.86134108572919821</v>
      </c>
      <c r="T1754" s="12">
        <v>0.48064119572043351</v>
      </c>
      <c r="U1754" s="12">
        <v>0.67414539436838794</v>
      </c>
      <c r="V1754" s="12">
        <v>300.032917</v>
      </c>
      <c r="W1754" s="12"/>
      <c r="X1754" s="12"/>
      <c r="Y1754" s="12">
        <v>3282.8412069155902</v>
      </c>
      <c r="Z1754" s="12">
        <v>3.007520504729793</v>
      </c>
      <c r="AA1754" s="12"/>
      <c r="AB1754" s="12"/>
    </row>
    <row r="1755" spans="1:28" x14ac:dyDescent="0.3">
      <c r="A1755" s="12" t="s">
        <v>3667</v>
      </c>
      <c r="B1755" s="12" t="s">
        <v>170</v>
      </c>
      <c r="C1755" s="12" t="s">
        <v>430</v>
      </c>
      <c r="D1755" s="12" t="s">
        <v>721</v>
      </c>
      <c r="E1755" s="12" t="s">
        <v>2978</v>
      </c>
      <c r="F1755" s="12" t="s">
        <v>832</v>
      </c>
      <c r="G1755" s="12" t="s">
        <v>832</v>
      </c>
      <c r="H1755" s="12" t="b">
        <v>0</v>
      </c>
      <c r="I1755" s="12" t="b">
        <v>0</v>
      </c>
      <c r="J1755" s="12" t="b">
        <v>0</v>
      </c>
      <c r="K1755" s="12" t="b">
        <v>0</v>
      </c>
      <c r="L1755" s="12">
        <v>623.15</v>
      </c>
      <c r="M1755" s="12">
        <v>300.032917</v>
      </c>
      <c r="N1755" s="12">
        <v>4963.5686201974167</v>
      </c>
      <c r="O1755" s="12">
        <v>700.60688950545796</v>
      </c>
      <c r="P1755" s="12">
        <v>0.63574220378629731</v>
      </c>
      <c r="Q1755" s="12">
        <v>0.55254989283399381</v>
      </c>
      <c r="R1755" s="12">
        <v>0.5631792115145956</v>
      </c>
      <c r="S1755" s="12">
        <v>0.89665779574430871</v>
      </c>
      <c r="T1755" s="12">
        <v>0.86868915431290983</v>
      </c>
      <c r="U1755" s="12">
        <v>0.77964381844176711</v>
      </c>
      <c r="V1755" s="12">
        <v>300.032917</v>
      </c>
      <c r="W1755" s="12"/>
      <c r="X1755" s="12"/>
      <c r="Y1755" s="12">
        <v>4262.961730691959</v>
      </c>
      <c r="Z1755" s="12">
        <v>7.0846700118822463</v>
      </c>
      <c r="AA1755" s="12"/>
      <c r="AB1755" s="12"/>
    </row>
    <row r="1756" spans="1:28" x14ac:dyDescent="0.3">
      <c r="A1756" s="12" t="s">
        <v>3668</v>
      </c>
      <c r="B1756" s="12" t="s">
        <v>170</v>
      </c>
      <c r="C1756" s="12" t="s">
        <v>430</v>
      </c>
      <c r="D1756" s="12" t="s">
        <v>721</v>
      </c>
      <c r="E1756" s="12" t="s">
        <v>2978</v>
      </c>
      <c r="F1756" s="12" t="s">
        <v>1861</v>
      </c>
      <c r="G1756" s="12" t="s">
        <v>1861</v>
      </c>
      <c r="H1756" s="12" t="b">
        <v>1</v>
      </c>
      <c r="I1756" s="12" t="b">
        <v>0</v>
      </c>
      <c r="J1756" s="12" t="b">
        <v>1</v>
      </c>
      <c r="K1756" s="12" t="b">
        <v>0</v>
      </c>
      <c r="L1756" s="12">
        <v>623.15</v>
      </c>
      <c r="M1756" s="12">
        <v>300.032917</v>
      </c>
      <c r="N1756" s="12">
        <v>4755.8144696435311</v>
      </c>
      <c r="O1756" s="12">
        <v>608.87070010766729</v>
      </c>
      <c r="P1756" s="12">
        <v>0.62432918127324155</v>
      </c>
      <c r="Q1756" s="12">
        <v>0.91204839961591944</v>
      </c>
      <c r="R1756" s="12">
        <v>0.478805403676408</v>
      </c>
      <c r="S1756" s="12">
        <v>0.44980737035017709</v>
      </c>
      <c r="T1756" s="12">
        <v>0.70217929880938135</v>
      </c>
      <c r="U1756" s="12">
        <v>0.66215951375364868</v>
      </c>
      <c r="V1756" s="12">
        <v>300.032917</v>
      </c>
      <c r="W1756" s="12">
        <v>10.09602686408507</v>
      </c>
      <c r="X1756" s="12">
        <v>89.453335680778167</v>
      </c>
      <c r="Y1756" s="12">
        <v>4146.9437695358638</v>
      </c>
      <c r="Z1756" s="12">
        <v>7.8108775291741823</v>
      </c>
      <c r="AA1756" s="12" t="s">
        <v>1981</v>
      </c>
      <c r="AB1756" s="12"/>
    </row>
    <row r="1757" spans="1:28" x14ac:dyDescent="0.3">
      <c r="A1757" s="12" t="s">
        <v>3669</v>
      </c>
      <c r="B1757" s="12" t="s">
        <v>170</v>
      </c>
      <c r="C1757" s="12" t="s">
        <v>430</v>
      </c>
      <c r="D1757" s="12" t="s">
        <v>721</v>
      </c>
      <c r="E1757" s="12" t="s">
        <v>2978</v>
      </c>
      <c r="F1757" s="12" t="s">
        <v>1862</v>
      </c>
      <c r="G1757" s="12" t="s">
        <v>1862</v>
      </c>
      <c r="H1757" s="12" t="b">
        <v>1</v>
      </c>
      <c r="I1757" s="12" t="b">
        <v>0</v>
      </c>
      <c r="J1757" s="12" t="b">
        <v>1</v>
      </c>
      <c r="K1757" s="12" t="b">
        <v>0</v>
      </c>
      <c r="L1757" s="12">
        <v>623.15</v>
      </c>
      <c r="M1757" s="12">
        <v>300.032917</v>
      </c>
      <c r="N1757" s="12">
        <v>2226.6090759620479</v>
      </c>
      <c r="O1757" s="12">
        <v>1736.317338473599</v>
      </c>
      <c r="P1757" s="12">
        <v>0.72892696214384456</v>
      </c>
      <c r="Q1757" s="12">
        <v>0.40061574322136978</v>
      </c>
      <c r="R1757" s="12">
        <v>0.81690639722792735</v>
      </c>
      <c r="S1757" s="12">
        <v>0.50540184147101863</v>
      </c>
      <c r="T1757" s="12">
        <v>0.52779336676581412</v>
      </c>
      <c r="U1757" s="12">
        <v>0.50874408017188011</v>
      </c>
      <c r="V1757" s="12">
        <v>300.032917</v>
      </c>
      <c r="W1757" s="12">
        <v>-0.80203253957107001</v>
      </c>
      <c r="X1757" s="12">
        <v>-6.5309828729056907</v>
      </c>
      <c r="Y1757" s="12">
        <v>490.29173748844892</v>
      </c>
      <c r="Z1757" s="12">
        <v>1.2823744983848779</v>
      </c>
      <c r="AA1757" s="12" t="s">
        <v>2513</v>
      </c>
      <c r="AB1757" s="12"/>
    </row>
    <row r="1758" spans="1:28" x14ac:dyDescent="0.3">
      <c r="A1758" s="12" t="s">
        <v>3670</v>
      </c>
      <c r="B1758" s="12" t="s">
        <v>170</v>
      </c>
      <c r="C1758" s="12" t="s">
        <v>430</v>
      </c>
      <c r="D1758" s="12" t="s">
        <v>721</v>
      </c>
      <c r="E1758" s="12" t="s">
        <v>2978</v>
      </c>
      <c r="F1758" s="12" t="s">
        <v>1861</v>
      </c>
      <c r="G1758" s="12" t="s">
        <v>1861</v>
      </c>
      <c r="H1758" s="12" t="b">
        <v>1</v>
      </c>
      <c r="I1758" s="12" t="b">
        <v>0</v>
      </c>
      <c r="J1758" s="12" t="b">
        <v>1</v>
      </c>
      <c r="K1758" s="12" t="b">
        <v>0</v>
      </c>
      <c r="L1758" s="12">
        <v>623.15</v>
      </c>
      <c r="M1758" s="12">
        <v>300.032917</v>
      </c>
      <c r="N1758" s="12">
        <v>3666.4066377897238</v>
      </c>
      <c r="O1758" s="12">
        <v>1028.4055409520649</v>
      </c>
      <c r="P1758" s="12">
        <v>0.7488010887278802</v>
      </c>
      <c r="Q1758" s="12">
        <v>0.93275679817149038</v>
      </c>
      <c r="R1758" s="12">
        <v>0.73895714107347987</v>
      </c>
      <c r="S1758" s="12">
        <v>0.53413964315923212</v>
      </c>
      <c r="T1758" s="12">
        <v>0.70709126677351763</v>
      </c>
      <c r="U1758" s="12">
        <v>0.9306080402074618</v>
      </c>
      <c r="V1758" s="12">
        <v>300.032917</v>
      </c>
      <c r="W1758" s="12">
        <v>11.616824344188201</v>
      </c>
      <c r="X1758" s="12">
        <v>137.38338480570829</v>
      </c>
      <c r="Y1758" s="12">
        <v>2638.0010968376591</v>
      </c>
      <c r="Z1758" s="12">
        <v>3.565136992937127</v>
      </c>
      <c r="AA1758" s="12" t="s">
        <v>1268</v>
      </c>
      <c r="AB1758" s="12"/>
    </row>
    <row r="1759" spans="1:28" x14ac:dyDescent="0.3">
      <c r="A1759" s="12" t="s">
        <v>3671</v>
      </c>
      <c r="B1759" s="12" t="s">
        <v>170</v>
      </c>
      <c r="C1759" s="12" t="s">
        <v>430</v>
      </c>
      <c r="D1759" s="12" t="s">
        <v>721</v>
      </c>
      <c r="E1759" s="12" t="s">
        <v>2978</v>
      </c>
      <c r="F1759" s="12" t="s">
        <v>1861</v>
      </c>
      <c r="G1759" s="12" t="s">
        <v>1861</v>
      </c>
      <c r="H1759" s="12" t="b">
        <v>1</v>
      </c>
      <c r="I1759" s="12" t="b">
        <v>0</v>
      </c>
      <c r="J1759" s="12" t="b">
        <v>0</v>
      </c>
      <c r="K1759" s="12" t="b">
        <v>0</v>
      </c>
      <c r="L1759" s="12">
        <v>623.15</v>
      </c>
      <c r="M1759" s="12">
        <v>300.032917</v>
      </c>
      <c r="N1759" s="12">
        <v>3323.3369754558812</v>
      </c>
      <c r="O1759" s="12">
        <v>1307.691395215046</v>
      </c>
      <c r="P1759" s="12">
        <v>0.77691902142632707</v>
      </c>
      <c r="Q1759" s="12">
        <v>0.84215221641245452</v>
      </c>
      <c r="R1759" s="12">
        <v>0.52837096385740123</v>
      </c>
      <c r="S1759" s="12">
        <v>0.41782771612575381</v>
      </c>
      <c r="T1759" s="12">
        <v>0.50767321199524895</v>
      </c>
      <c r="U1759" s="12">
        <v>0.66651990953816875</v>
      </c>
      <c r="V1759" s="12">
        <v>300.032917</v>
      </c>
      <c r="W1759" s="12">
        <v>5.1056963305757801</v>
      </c>
      <c r="X1759" s="12">
        <v>40.429616842814369</v>
      </c>
      <c r="Y1759" s="12">
        <v>2015.645580240835</v>
      </c>
      <c r="Z1759" s="12">
        <v>2.541377107485951</v>
      </c>
      <c r="AA1759" s="12" t="s">
        <v>1268</v>
      </c>
      <c r="AB1759" s="12"/>
    </row>
    <row r="1760" spans="1:28" x14ac:dyDescent="0.3">
      <c r="A1760" s="12" t="s">
        <v>3672</v>
      </c>
      <c r="B1760" s="12" t="s">
        <v>170</v>
      </c>
      <c r="C1760" s="12" t="s">
        <v>430</v>
      </c>
      <c r="D1760" s="12" t="s">
        <v>721</v>
      </c>
      <c r="E1760" s="12" t="s">
        <v>2978</v>
      </c>
      <c r="F1760" s="12" t="s">
        <v>832</v>
      </c>
      <c r="G1760" s="12" t="s">
        <v>832</v>
      </c>
      <c r="H1760" s="12" t="b">
        <v>0</v>
      </c>
      <c r="I1760" s="12" t="b">
        <v>0</v>
      </c>
      <c r="J1760" s="12" t="b">
        <v>0</v>
      </c>
      <c r="K1760" s="12" t="b">
        <v>0</v>
      </c>
      <c r="L1760" s="12">
        <v>623.15</v>
      </c>
      <c r="M1760" s="12">
        <v>300.032917</v>
      </c>
      <c r="N1760" s="12">
        <v>3743.7894630672322</v>
      </c>
      <c r="O1760" s="12">
        <v>1177.6895047512739</v>
      </c>
      <c r="P1760" s="12">
        <v>0.5656517100429016</v>
      </c>
      <c r="Q1760" s="12">
        <v>0.64352299999072871</v>
      </c>
      <c r="R1760" s="12">
        <v>0.87240240940583713</v>
      </c>
      <c r="S1760" s="12">
        <v>0.92470358510809936</v>
      </c>
      <c r="T1760" s="12">
        <v>0.45876539970948521</v>
      </c>
      <c r="U1760" s="12">
        <v>0.58686299178066403</v>
      </c>
      <c r="V1760" s="12">
        <v>300.032917</v>
      </c>
      <c r="W1760" s="12"/>
      <c r="X1760" s="12"/>
      <c r="Y1760" s="12">
        <v>2566.0999583159578</v>
      </c>
      <c r="Z1760" s="12">
        <v>3.1789274235384428</v>
      </c>
      <c r="AA1760" s="12"/>
      <c r="AB1760" s="12"/>
    </row>
    <row r="1761" spans="1:28" x14ac:dyDescent="0.3">
      <c r="A1761" s="12" t="s">
        <v>3673</v>
      </c>
      <c r="B1761" s="12" t="s">
        <v>170</v>
      </c>
      <c r="C1761" s="12" t="s">
        <v>430</v>
      </c>
      <c r="D1761" s="12" t="s">
        <v>721</v>
      </c>
      <c r="E1761" s="12" t="s">
        <v>2978</v>
      </c>
      <c r="F1761" s="12" t="s">
        <v>832</v>
      </c>
      <c r="G1761" s="12" t="s">
        <v>832</v>
      </c>
      <c r="H1761" s="12" t="b">
        <v>0</v>
      </c>
      <c r="I1761" s="12" t="b">
        <v>0</v>
      </c>
      <c r="J1761" s="12" t="b">
        <v>0</v>
      </c>
      <c r="K1761" s="12" t="b">
        <v>0</v>
      </c>
      <c r="L1761" s="12">
        <v>623.15</v>
      </c>
      <c r="M1761" s="12">
        <v>300.032917</v>
      </c>
      <c r="N1761" s="12">
        <v>4674.0676638283448</v>
      </c>
      <c r="O1761" s="12">
        <v>1126.8867559930129</v>
      </c>
      <c r="P1761" s="12">
        <v>0.6695106606453457</v>
      </c>
      <c r="Q1761" s="12">
        <v>0.88254728392760329</v>
      </c>
      <c r="R1761" s="12">
        <v>0.69271808232061294</v>
      </c>
      <c r="S1761" s="12">
        <v>0.9332464551672992</v>
      </c>
      <c r="T1761" s="12">
        <v>0.4633850870770011</v>
      </c>
      <c r="U1761" s="12">
        <v>0.57980584111062816</v>
      </c>
      <c r="V1761" s="12">
        <v>300.032917</v>
      </c>
      <c r="W1761" s="12"/>
      <c r="X1761" s="12"/>
      <c r="Y1761" s="12">
        <v>3547.1809078353322</v>
      </c>
      <c r="Z1761" s="12">
        <v>4.1477705181738109</v>
      </c>
      <c r="AA1761" s="12"/>
      <c r="AB1761" s="12"/>
    </row>
    <row r="1762" spans="1:28" x14ac:dyDescent="0.3">
      <c r="A1762" s="12" t="s">
        <v>3674</v>
      </c>
      <c r="B1762" s="12" t="s">
        <v>170</v>
      </c>
      <c r="C1762" s="12" t="s">
        <v>430</v>
      </c>
      <c r="D1762" s="12" t="s">
        <v>721</v>
      </c>
      <c r="E1762" s="12" t="s">
        <v>2978</v>
      </c>
      <c r="F1762" s="12" t="s">
        <v>832</v>
      </c>
      <c r="G1762" s="12" t="s">
        <v>832</v>
      </c>
      <c r="H1762" s="12" t="b">
        <v>0</v>
      </c>
      <c r="I1762" s="12" t="b">
        <v>0</v>
      </c>
      <c r="J1762" s="12" t="b">
        <v>0</v>
      </c>
      <c r="K1762" s="12" t="b">
        <v>0</v>
      </c>
      <c r="L1762" s="12">
        <v>623.15</v>
      </c>
      <c r="M1762" s="12">
        <v>300.032917</v>
      </c>
      <c r="N1762" s="12">
        <v>2820.7482964229648</v>
      </c>
      <c r="O1762" s="12">
        <v>314.62968974670162</v>
      </c>
      <c r="P1762" s="12">
        <v>0.73650456197517211</v>
      </c>
      <c r="Q1762" s="12">
        <v>0.56635206957572859</v>
      </c>
      <c r="R1762" s="12">
        <v>0.47289449863078048</v>
      </c>
      <c r="S1762" s="12">
        <v>0.6968650740275768</v>
      </c>
      <c r="T1762" s="12">
        <v>0.58841692134542867</v>
      </c>
      <c r="U1762" s="12">
        <v>0.41624465293020341</v>
      </c>
      <c r="V1762" s="12">
        <v>300.032917</v>
      </c>
      <c r="W1762" s="12"/>
      <c r="X1762" s="12"/>
      <c r="Y1762" s="12">
        <v>2506.118606676263</v>
      </c>
      <c r="Z1762" s="12">
        <v>8.965295991913095</v>
      </c>
      <c r="AA1762" s="12"/>
      <c r="AB1762" s="12"/>
    </row>
    <row r="1763" spans="1:28" x14ac:dyDescent="0.3">
      <c r="A1763" s="12" t="s">
        <v>3675</v>
      </c>
      <c r="B1763" s="12" t="s">
        <v>170</v>
      </c>
      <c r="C1763" s="12" t="s">
        <v>430</v>
      </c>
      <c r="D1763" s="12" t="s">
        <v>721</v>
      </c>
      <c r="E1763" s="12" t="s">
        <v>2978</v>
      </c>
      <c r="F1763" s="12" t="s">
        <v>832</v>
      </c>
      <c r="G1763" s="12" t="s">
        <v>832</v>
      </c>
      <c r="H1763" s="12" t="b">
        <v>0</v>
      </c>
      <c r="I1763" s="12" t="b">
        <v>0</v>
      </c>
      <c r="J1763" s="12" t="b">
        <v>0</v>
      </c>
      <c r="K1763" s="12" t="b">
        <v>0</v>
      </c>
      <c r="L1763" s="12">
        <v>623.15</v>
      </c>
      <c r="M1763" s="12">
        <v>300.032917</v>
      </c>
      <c r="N1763" s="12">
        <v>3531.2922655746152</v>
      </c>
      <c r="O1763" s="12">
        <v>1662.0208720773489</v>
      </c>
      <c r="P1763" s="12">
        <v>0.65792982959618773</v>
      </c>
      <c r="Q1763" s="12">
        <v>0.52033470523761749</v>
      </c>
      <c r="R1763" s="12">
        <v>0.7284581701977324</v>
      </c>
      <c r="S1763" s="12">
        <v>0.91509924627806816</v>
      </c>
      <c r="T1763" s="12">
        <v>0.82745578465610226</v>
      </c>
      <c r="U1763" s="12">
        <v>0.69326500337067176</v>
      </c>
      <c r="V1763" s="12">
        <v>300.032917</v>
      </c>
      <c r="W1763" s="12"/>
      <c r="X1763" s="12"/>
      <c r="Y1763" s="12">
        <v>1869.271393497266</v>
      </c>
      <c r="Z1763" s="12">
        <v>2.1246979053643749</v>
      </c>
      <c r="AA1763" s="12"/>
      <c r="AB1763" s="12"/>
    </row>
    <row r="1764" spans="1:28" x14ac:dyDescent="0.3">
      <c r="A1764" s="12" t="s">
        <v>3676</v>
      </c>
      <c r="B1764" s="12" t="s">
        <v>170</v>
      </c>
      <c r="C1764" s="12" t="s">
        <v>430</v>
      </c>
      <c r="D1764" s="12" t="s">
        <v>721</v>
      </c>
      <c r="E1764" s="12" t="s">
        <v>2978</v>
      </c>
      <c r="F1764" s="12" t="s">
        <v>1861</v>
      </c>
      <c r="G1764" s="12" t="s">
        <v>1861</v>
      </c>
      <c r="H1764" s="12" t="b">
        <v>1</v>
      </c>
      <c r="I1764" s="12" t="b">
        <v>0</v>
      </c>
      <c r="J1764" s="12" t="b">
        <v>1</v>
      </c>
      <c r="K1764" s="12" t="b">
        <v>0</v>
      </c>
      <c r="L1764" s="12">
        <v>623.15</v>
      </c>
      <c r="M1764" s="12">
        <v>300.032917</v>
      </c>
      <c r="N1764" s="12">
        <v>4229.8713196477647</v>
      </c>
      <c r="O1764" s="12">
        <v>804.46743440728301</v>
      </c>
      <c r="P1764" s="12">
        <v>0.70456945559095208</v>
      </c>
      <c r="Q1764" s="12">
        <v>0.77677392316501526</v>
      </c>
      <c r="R1764" s="12">
        <v>0.4248922506184456</v>
      </c>
      <c r="S1764" s="12">
        <v>0.67924413785102378</v>
      </c>
      <c r="T1764" s="12">
        <v>0.86268313124975948</v>
      </c>
      <c r="U1764" s="12">
        <v>0.72380561177682778</v>
      </c>
      <c r="V1764" s="12">
        <v>300.032917</v>
      </c>
      <c r="W1764" s="12">
        <v>5.3792705914883197</v>
      </c>
      <c r="X1764" s="12">
        <v>67.309496262791782</v>
      </c>
      <c r="Y1764" s="12">
        <v>3425.4038852404819</v>
      </c>
      <c r="Z1764" s="12">
        <v>5.2579770649936339</v>
      </c>
      <c r="AA1764" s="12" t="s">
        <v>1268</v>
      </c>
      <c r="AB1764" s="12"/>
    </row>
    <row r="1765" spans="1:28" x14ac:dyDescent="0.3">
      <c r="A1765" s="12" t="s">
        <v>3677</v>
      </c>
      <c r="B1765" s="12" t="s">
        <v>170</v>
      </c>
      <c r="C1765" s="12" t="s">
        <v>430</v>
      </c>
      <c r="D1765" s="12" t="s">
        <v>721</v>
      </c>
      <c r="E1765" s="12" t="s">
        <v>2978</v>
      </c>
      <c r="F1765" s="12" t="s">
        <v>1861</v>
      </c>
      <c r="G1765" s="12" t="s">
        <v>1861</v>
      </c>
      <c r="H1765" s="12" t="b">
        <v>1</v>
      </c>
      <c r="I1765" s="12" t="b">
        <v>0</v>
      </c>
      <c r="J1765" s="12" t="b">
        <v>1</v>
      </c>
      <c r="K1765" s="12" t="b">
        <v>0</v>
      </c>
      <c r="L1765" s="12">
        <v>623.15</v>
      </c>
      <c r="M1765" s="12">
        <v>300.032917</v>
      </c>
      <c r="N1765" s="12">
        <v>3818.851880522423</v>
      </c>
      <c r="O1765" s="12">
        <v>1488.6910757713449</v>
      </c>
      <c r="P1765" s="12">
        <v>0.50900545437010503</v>
      </c>
      <c r="Q1765" s="12">
        <v>0.82744878332261218</v>
      </c>
      <c r="R1765" s="12">
        <v>0.87078478023903905</v>
      </c>
      <c r="S1765" s="12">
        <v>0.60793729654763007</v>
      </c>
      <c r="T1765" s="12">
        <v>0.4673040207586453</v>
      </c>
      <c r="U1765" s="12">
        <v>0.78524139331639042</v>
      </c>
      <c r="V1765" s="12">
        <v>300.032917</v>
      </c>
      <c r="W1765" s="12">
        <v>6.9912543109835799</v>
      </c>
      <c r="X1765" s="12">
        <v>97.580174577151297</v>
      </c>
      <c r="Y1765" s="12">
        <v>2330.1608047510781</v>
      </c>
      <c r="Z1765" s="12">
        <v>2.565241333594841</v>
      </c>
      <c r="AA1765" s="12" t="s">
        <v>1268</v>
      </c>
      <c r="AB1765" s="12"/>
    </row>
    <row r="1766" spans="1:28" x14ac:dyDescent="0.3">
      <c r="A1766" s="12" t="s">
        <v>3678</v>
      </c>
      <c r="B1766" s="12" t="s">
        <v>170</v>
      </c>
      <c r="C1766" s="12" t="s">
        <v>430</v>
      </c>
      <c r="D1766" s="12" t="s">
        <v>721</v>
      </c>
      <c r="E1766" s="12" t="s">
        <v>2978</v>
      </c>
      <c r="F1766" s="12" t="s">
        <v>832</v>
      </c>
      <c r="G1766" s="12" t="s">
        <v>832</v>
      </c>
      <c r="H1766" s="12" t="b">
        <v>0</v>
      </c>
      <c r="I1766" s="12" t="b">
        <v>0</v>
      </c>
      <c r="J1766" s="12" t="b">
        <v>0</v>
      </c>
      <c r="K1766" s="12" t="b">
        <v>0</v>
      </c>
      <c r="L1766" s="12">
        <v>623.15</v>
      </c>
      <c r="M1766" s="12">
        <v>300.032917</v>
      </c>
      <c r="N1766" s="12">
        <v>4813.7012463992087</v>
      </c>
      <c r="O1766" s="12">
        <v>1414.3485262397601</v>
      </c>
      <c r="P1766" s="12">
        <v>0.84895018008500522</v>
      </c>
      <c r="Q1766" s="12">
        <v>0.7622353627455889</v>
      </c>
      <c r="R1766" s="12">
        <v>0.66007157174269837</v>
      </c>
      <c r="S1766" s="12">
        <v>0.72581267765147794</v>
      </c>
      <c r="T1766" s="12">
        <v>0.84120111818047194</v>
      </c>
      <c r="U1766" s="12">
        <v>0.7422757575562452</v>
      </c>
      <c r="V1766" s="12">
        <v>300.032917</v>
      </c>
      <c r="W1766" s="12"/>
      <c r="X1766" s="12"/>
      <c r="Y1766" s="12">
        <v>3399.3527201594488</v>
      </c>
      <c r="Z1766" s="12">
        <v>3.4034759870659999</v>
      </c>
      <c r="AA1766" s="12"/>
      <c r="AB1766" s="12"/>
    </row>
    <row r="1767" spans="1:28" x14ac:dyDescent="0.3">
      <c r="A1767" s="12" t="s">
        <v>3679</v>
      </c>
      <c r="B1767" s="12" t="s">
        <v>170</v>
      </c>
      <c r="C1767" s="12" t="s">
        <v>430</v>
      </c>
      <c r="D1767" s="12" t="s">
        <v>721</v>
      </c>
      <c r="E1767" s="12" t="s">
        <v>2978</v>
      </c>
      <c r="F1767" s="12" t="s">
        <v>832</v>
      </c>
      <c r="G1767" s="12" t="s">
        <v>832</v>
      </c>
      <c r="H1767" s="12" t="b">
        <v>0</v>
      </c>
      <c r="I1767" s="12" t="b">
        <v>0</v>
      </c>
      <c r="J1767" s="12" t="b">
        <v>0</v>
      </c>
      <c r="K1767" s="12" t="b">
        <v>0</v>
      </c>
      <c r="L1767" s="12">
        <v>623.15</v>
      </c>
      <c r="M1767" s="12">
        <v>300.032917</v>
      </c>
      <c r="N1767" s="12">
        <v>3086.1250396980731</v>
      </c>
      <c r="O1767" s="12">
        <v>1223.093120281681</v>
      </c>
      <c r="P1767" s="12">
        <v>0.66846521611428233</v>
      </c>
      <c r="Q1767" s="12">
        <v>0.85896582917797981</v>
      </c>
      <c r="R1767" s="12">
        <v>0.86190923651895746</v>
      </c>
      <c r="S1767" s="12">
        <v>0.92836489066460759</v>
      </c>
      <c r="T1767" s="12">
        <v>0.68086846844901294</v>
      </c>
      <c r="U1767" s="12">
        <v>0.51624852639818886</v>
      </c>
      <c r="V1767" s="12">
        <v>300.032917</v>
      </c>
      <c r="W1767" s="12"/>
      <c r="X1767" s="12"/>
      <c r="Y1767" s="12">
        <v>1863.0319194163919</v>
      </c>
      <c r="Z1767" s="12">
        <v>2.523213472893489</v>
      </c>
      <c r="AA1767" s="12"/>
      <c r="AB1767" s="12"/>
    </row>
    <row r="1768" spans="1:28" x14ac:dyDescent="0.3">
      <c r="A1768" s="12" t="s">
        <v>3680</v>
      </c>
      <c r="B1768" s="12" t="s">
        <v>170</v>
      </c>
      <c r="C1768" s="12" t="s">
        <v>430</v>
      </c>
      <c r="D1768" s="12" t="s">
        <v>721</v>
      </c>
      <c r="E1768" s="12" t="s">
        <v>2978</v>
      </c>
      <c r="F1768" s="12" t="s">
        <v>832</v>
      </c>
      <c r="G1768" s="12" t="s">
        <v>832</v>
      </c>
      <c r="H1768" s="12" t="b">
        <v>0</v>
      </c>
      <c r="I1768" s="12" t="b">
        <v>0</v>
      </c>
      <c r="J1768" s="12" t="b">
        <v>0</v>
      </c>
      <c r="K1768" s="12" t="b">
        <v>0</v>
      </c>
      <c r="L1768" s="12">
        <v>623.15</v>
      </c>
      <c r="M1768" s="12">
        <v>300.032917</v>
      </c>
      <c r="N1768" s="12">
        <v>2484.3314837722401</v>
      </c>
      <c r="O1768" s="12">
        <v>376.99807064192601</v>
      </c>
      <c r="P1768" s="12">
        <v>0.83744525030452821</v>
      </c>
      <c r="Q1768" s="12">
        <v>0.42386079004561911</v>
      </c>
      <c r="R1768" s="12">
        <v>0.76497814511193951</v>
      </c>
      <c r="S1768" s="12">
        <v>0.58699580719695577</v>
      </c>
      <c r="T1768" s="12">
        <v>0.4909143800518892</v>
      </c>
      <c r="U1768" s="12">
        <v>0.67999438175227778</v>
      </c>
      <c r="V1768" s="12">
        <v>300.032917</v>
      </c>
      <c r="W1768" s="12"/>
      <c r="X1768" s="12"/>
      <c r="Y1768" s="12">
        <v>2107.3334131303141</v>
      </c>
      <c r="Z1768" s="12">
        <v>6.5897724079650963</v>
      </c>
      <c r="AA1768" s="12"/>
      <c r="AB1768" s="12"/>
    </row>
    <row r="1769" spans="1:28" x14ac:dyDescent="0.3">
      <c r="A1769" s="12" t="s">
        <v>3681</v>
      </c>
      <c r="B1769" s="12" t="s">
        <v>170</v>
      </c>
      <c r="C1769" s="12" t="s">
        <v>430</v>
      </c>
      <c r="D1769" s="12" t="s">
        <v>721</v>
      </c>
      <c r="E1769" s="12" t="s">
        <v>2978</v>
      </c>
      <c r="F1769" s="12" t="s">
        <v>1863</v>
      </c>
      <c r="G1769" s="12" t="s">
        <v>832</v>
      </c>
      <c r="H1769" s="12" t="b">
        <v>0</v>
      </c>
      <c r="I1769" s="12" t="b">
        <v>0</v>
      </c>
      <c r="J1769" s="12" t="b">
        <v>1</v>
      </c>
      <c r="K1769" s="12" t="b">
        <v>0</v>
      </c>
      <c r="L1769" s="12">
        <v>623.15</v>
      </c>
      <c r="M1769" s="12">
        <v>300.032917</v>
      </c>
      <c r="N1769" s="12">
        <v>2774.908884424553</v>
      </c>
      <c r="O1769" s="12">
        <v>745.8991327141955</v>
      </c>
      <c r="P1769" s="12">
        <v>0.69799238968226351</v>
      </c>
      <c r="Q1769" s="12">
        <v>0.45050575700879819</v>
      </c>
      <c r="R1769" s="12">
        <v>0.43253189241227491</v>
      </c>
      <c r="S1769" s="12">
        <v>0.78656991075100935</v>
      </c>
      <c r="T1769" s="12">
        <v>0.76108621006436905</v>
      </c>
      <c r="U1769" s="12">
        <v>0.84927470450135056</v>
      </c>
      <c r="V1769" s="12">
        <v>300.032917</v>
      </c>
      <c r="W1769" s="12">
        <v>2.5928831216017798</v>
      </c>
      <c r="X1769" s="12">
        <v>43.36206051929868</v>
      </c>
      <c r="Y1769" s="12">
        <v>2029.009751710357</v>
      </c>
      <c r="Z1769" s="12">
        <v>3.7202200173194311</v>
      </c>
      <c r="AA1769" s="12" t="s">
        <v>3442</v>
      </c>
      <c r="AB1769" s="12"/>
    </row>
    <row r="1770" spans="1:28" x14ac:dyDescent="0.3">
      <c r="A1770" s="12" t="s">
        <v>3682</v>
      </c>
      <c r="B1770" s="12" t="s">
        <v>170</v>
      </c>
      <c r="C1770" s="12" t="s">
        <v>430</v>
      </c>
      <c r="D1770" s="12" t="s">
        <v>721</v>
      </c>
      <c r="E1770" s="12" t="s">
        <v>2978</v>
      </c>
      <c r="F1770" s="12" t="s">
        <v>832</v>
      </c>
      <c r="G1770" s="12" t="s">
        <v>832</v>
      </c>
      <c r="H1770" s="12" t="b">
        <v>0</v>
      </c>
      <c r="I1770" s="12" t="b">
        <v>0</v>
      </c>
      <c r="J1770" s="12" t="b">
        <v>0</v>
      </c>
      <c r="K1770" s="12" t="b">
        <v>0</v>
      </c>
      <c r="L1770" s="12">
        <v>623.15</v>
      </c>
      <c r="M1770" s="12">
        <v>300.032917</v>
      </c>
      <c r="N1770" s="12">
        <v>2559.6658226555769</v>
      </c>
      <c r="O1770" s="12">
        <v>1386.2169145668099</v>
      </c>
      <c r="P1770" s="12">
        <v>0.81546634807581575</v>
      </c>
      <c r="Q1770" s="12">
        <v>0.94292931014596537</v>
      </c>
      <c r="R1770" s="12">
        <v>0.679218305377428</v>
      </c>
      <c r="S1770" s="12">
        <v>0.88150081135320058</v>
      </c>
      <c r="T1770" s="12">
        <v>0.496390839255959</v>
      </c>
      <c r="U1770" s="12">
        <v>0.86878447525451064</v>
      </c>
      <c r="V1770" s="12">
        <v>300.032917</v>
      </c>
      <c r="W1770" s="12"/>
      <c r="X1770" s="12"/>
      <c r="Y1770" s="12">
        <v>1173.448908088767</v>
      </c>
      <c r="Z1770" s="12">
        <v>1.8465117513412159</v>
      </c>
      <c r="AA1770" s="12"/>
      <c r="AB1770" s="12"/>
    </row>
    <row r="1771" spans="1:28" x14ac:dyDescent="0.3">
      <c r="A1771" s="12" t="s">
        <v>3683</v>
      </c>
      <c r="B1771" s="12" t="s">
        <v>170</v>
      </c>
      <c r="C1771" s="12" t="s">
        <v>430</v>
      </c>
      <c r="D1771" s="12" t="s">
        <v>721</v>
      </c>
      <c r="E1771" s="12" t="s">
        <v>2978</v>
      </c>
      <c r="F1771" s="12" t="s">
        <v>1861</v>
      </c>
      <c r="G1771" s="12" t="s">
        <v>1861</v>
      </c>
      <c r="H1771" s="12" t="b">
        <v>1</v>
      </c>
      <c r="I1771" s="12" t="b">
        <v>0</v>
      </c>
      <c r="J1771" s="12" t="b">
        <v>1</v>
      </c>
      <c r="K1771" s="12" t="b">
        <v>0</v>
      </c>
      <c r="L1771" s="12">
        <v>623.15</v>
      </c>
      <c r="M1771" s="12">
        <v>300.032917</v>
      </c>
      <c r="N1771" s="12">
        <v>3411.4154865030209</v>
      </c>
      <c r="O1771" s="12">
        <v>540.32768673923829</v>
      </c>
      <c r="P1771" s="12">
        <v>0.71068516498807588</v>
      </c>
      <c r="Q1771" s="12">
        <v>0.67515334410025907</v>
      </c>
      <c r="R1771" s="12">
        <v>0.90779998091590675</v>
      </c>
      <c r="S1771" s="12">
        <v>0.62453432791107988</v>
      </c>
      <c r="T1771" s="12">
        <v>0.47565400821818349</v>
      </c>
      <c r="U1771" s="12">
        <v>0.59633043762447524</v>
      </c>
      <c r="V1771" s="12">
        <v>300.032917</v>
      </c>
      <c r="W1771" s="12">
        <v>2.7842342758294398</v>
      </c>
      <c r="X1771" s="12">
        <v>23.889287343142001</v>
      </c>
      <c r="Y1771" s="12">
        <v>2871.0877997637822</v>
      </c>
      <c r="Z1771" s="12">
        <v>6.3136048183837881</v>
      </c>
      <c r="AA1771" s="12" t="s">
        <v>1268</v>
      </c>
      <c r="AB1771" s="12"/>
    </row>
    <row r="1772" spans="1:28" x14ac:dyDescent="0.3">
      <c r="A1772" s="12" t="s">
        <v>3684</v>
      </c>
      <c r="B1772" s="12" t="s">
        <v>170</v>
      </c>
      <c r="C1772" s="12" t="s">
        <v>430</v>
      </c>
      <c r="D1772" s="12" t="s">
        <v>721</v>
      </c>
      <c r="E1772" s="12" t="s">
        <v>2978</v>
      </c>
      <c r="F1772" s="12" t="s">
        <v>832</v>
      </c>
      <c r="G1772" s="12" t="s">
        <v>832</v>
      </c>
      <c r="H1772" s="12" t="b">
        <v>0</v>
      </c>
      <c r="I1772" s="12" t="b">
        <v>0</v>
      </c>
      <c r="J1772" s="12" t="b">
        <v>0</v>
      </c>
      <c r="K1772" s="12" t="b">
        <v>0</v>
      </c>
      <c r="L1772" s="12">
        <v>623.15</v>
      </c>
      <c r="M1772" s="12">
        <v>300.032917</v>
      </c>
      <c r="N1772" s="12">
        <v>4729.6521810664108</v>
      </c>
      <c r="O1772" s="12">
        <v>621.49546668698667</v>
      </c>
      <c r="P1772" s="12">
        <v>0.71947560845624092</v>
      </c>
      <c r="Q1772" s="12">
        <v>0.77230991002587046</v>
      </c>
      <c r="R1772" s="12">
        <v>0.6953953282445956</v>
      </c>
      <c r="S1772" s="12">
        <v>0.89091052466650877</v>
      </c>
      <c r="T1772" s="12">
        <v>0.47224919151147748</v>
      </c>
      <c r="U1772" s="12">
        <v>0.55403360833740067</v>
      </c>
      <c r="V1772" s="12">
        <v>300.032917</v>
      </c>
      <c r="W1772" s="12"/>
      <c r="X1772" s="12"/>
      <c r="Y1772" s="12">
        <v>4108.1567143794236</v>
      </c>
      <c r="Z1772" s="12">
        <v>7.6101153340326428</v>
      </c>
      <c r="AA1772" s="12"/>
      <c r="AB1772" s="12"/>
    </row>
    <row r="1773" spans="1:28" x14ac:dyDescent="0.3">
      <c r="A1773" s="12" t="s">
        <v>3685</v>
      </c>
      <c r="B1773" s="12" t="s">
        <v>170</v>
      </c>
      <c r="C1773" s="12" t="s">
        <v>430</v>
      </c>
      <c r="D1773" s="12" t="s">
        <v>721</v>
      </c>
      <c r="E1773" s="12" t="s">
        <v>2978</v>
      </c>
      <c r="F1773" s="12" t="s">
        <v>1862</v>
      </c>
      <c r="G1773" s="12" t="s">
        <v>1862</v>
      </c>
      <c r="H1773" s="12" t="b">
        <v>1</v>
      </c>
      <c r="I1773" s="12" t="b">
        <v>0</v>
      </c>
      <c r="J1773" s="12" t="b">
        <v>0</v>
      </c>
      <c r="K1773" s="12" t="b">
        <v>0</v>
      </c>
      <c r="L1773" s="12">
        <v>623.15</v>
      </c>
      <c r="M1773" s="12">
        <v>300.032917</v>
      </c>
      <c r="N1773" s="12">
        <v>3193.3347924182631</v>
      </c>
      <c r="O1773" s="12">
        <v>755.94732973170017</v>
      </c>
      <c r="P1773" s="12">
        <v>0.80271468410320779</v>
      </c>
      <c r="Q1773" s="12">
        <v>0.70066426607262922</v>
      </c>
      <c r="R1773" s="12">
        <v>0.60116103093157869</v>
      </c>
      <c r="S1773" s="12">
        <v>0.43707619727276209</v>
      </c>
      <c r="T1773" s="12">
        <v>0.44922260387579938</v>
      </c>
      <c r="U1773" s="12">
        <v>0.70947262047679438</v>
      </c>
      <c r="V1773" s="12">
        <v>300.032917</v>
      </c>
      <c r="W1773" s="12">
        <v>-1.5364366836532</v>
      </c>
      <c r="X1773" s="12">
        <v>-10.512721487223621</v>
      </c>
      <c r="Y1773" s="12">
        <v>2437.3874626865631</v>
      </c>
      <c r="Z1773" s="12">
        <v>4.2242821249883074</v>
      </c>
      <c r="AA1773" s="12" t="s">
        <v>2513</v>
      </c>
      <c r="AB1773" s="12"/>
    </row>
    <row r="1774" spans="1:28" x14ac:dyDescent="0.3">
      <c r="A1774" s="12" t="s">
        <v>3686</v>
      </c>
      <c r="B1774" s="12" t="s">
        <v>170</v>
      </c>
      <c r="C1774" s="12" t="s">
        <v>430</v>
      </c>
      <c r="D1774" s="12" t="s">
        <v>721</v>
      </c>
      <c r="E1774" s="12" t="s">
        <v>2978</v>
      </c>
      <c r="F1774" s="12" t="s">
        <v>32</v>
      </c>
      <c r="G1774" s="12" t="s">
        <v>32</v>
      </c>
      <c r="H1774" s="12" t="b">
        <v>1</v>
      </c>
      <c r="I1774" s="12" t="b">
        <v>1</v>
      </c>
      <c r="J1774" s="12" t="b">
        <v>0</v>
      </c>
      <c r="K1774" s="12" t="b">
        <v>0</v>
      </c>
      <c r="L1774" s="12">
        <v>623.15</v>
      </c>
      <c r="M1774" s="12">
        <v>300.032917</v>
      </c>
      <c r="N1774" s="12">
        <v>3905.950043184831</v>
      </c>
      <c r="O1774" s="12">
        <v>1359.5567020080759</v>
      </c>
      <c r="P1774" s="12">
        <v>0.82947803278088494</v>
      </c>
      <c r="Q1774" s="12">
        <v>0.83605590745864788</v>
      </c>
      <c r="R1774" s="12">
        <v>0.83753427271834879</v>
      </c>
      <c r="S1774" s="12">
        <v>0.4963658855761367</v>
      </c>
      <c r="T1774" s="12">
        <v>0.9166775946077288</v>
      </c>
      <c r="U1774" s="12">
        <v>0.94578817753558442</v>
      </c>
      <c r="V1774" s="12">
        <v>300.032917</v>
      </c>
      <c r="W1774" s="12">
        <v>9.28909448226735</v>
      </c>
      <c r="X1774" s="12">
        <v>96.710834655031718</v>
      </c>
      <c r="Y1774" s="12">
        <v>2546.3933411767548</v>
      </c>
      <c r="Z1774" s="12">
        <v>2.872958544072278</v>
      </c>
      <c r="AA1774" s="12"/>
      <c r="AB1774" s="12"/>
    </row>
    <row r="1775" spans="1:28" x14ac:dyDescent="0.3">
      <c r="A1775" s="12" t="s">
        <v>3687</v>
      </c>
      <c r="B1775" s="12" t="s">
        <v>170</v>
      </c>
      <c r="C1775" s="12" t="s">
        <v>430</v>
      </c>
      <c r="D1775" s="12" t="s">
        <v>721</v>
      </c>
      <c r="E1775" s="12" t="s">
        <v>2978</v>
      </c>
      <c r="F1775" s="12" t="s">
        <v>1861</v>
      </c>
      <c r="G1775" s="12" t="s">
        <v>1861</v>
      </c>
      <c r="H1775" s="12" t="b">
        <v>1</v>
      </c>
      <c r="I1775" s="12" t="b">
        <v>0</v>
      </c>
      <c r="J1775" s="12" t="b">
        <v>1</v>
      </c>
      <c r="K1775" s="12" t="b">
        <v>0</v>
      </c>
      <c r="L1775" s="12">
        <v>623.15</v>
      </c>
      <c r="M1775" s="12">
        <v>300.032917</v>
      </c>
      <c r="N1775" s="12">
        <v>3358.3685752459028</v>
      </c>
      <c r="O1775" s="12">
        <v>829.18018042678943</v>
      </c>
      <c r="P1775" s="12">
        <v>0.74178695910076753</v>
      </c>
      <c r="Q1775" s="12">
        <v>0.66341082609234636</v>
      </c>
      <c r="R1775" s="12">
        <v>0.55675240002736903</v>
      </c>
      <c r="S1775" s="12">
        <v>0.56588446643770474</v>
      </c>
      <c r="T1775" s="12">
        <v>0.56196375087160721</v>
      </c>
      <c r="U1775" s="12">
        <v>0.93385277169704117</v>
      </c>
      <c r="V1775" s="12">
        <v>300.032917</v>
      </c>
      <c r="W1775" s="12">
        <v>8.4915188840078599</v>
      </c>
      <c r="X1775" s="12">
        <v>108.13462116580909</v>
      </c>
      <c r="Y1775" s="12">
        <v>2529.1883948191139</v>
      </c>
      <c r="Z1775" s="12">
        <v>4.0502277484699514</v>
      </c>
      <c r="AA1775" s="12" t="s">
        <v>1268</v>
      </c>
      <c r="AB1775" s="12"/>
    </row>
    <row r="1776" spans="1:28" x14ac:dyDescent="0.3">
      <c r="A1776" s="12" t="s">
        <v>3688</v>
      </c>
      <c r="B1776" s="12" t="s">
        <v>170</v>
      </c>
      <c r="C1776" s="12" t="s">
        <v>430</v>
      </c>
      <c r="D1776" s="12" t="s">
        <v>721</v>
      </c>
      <c r="E1776" s="12" t="s">
        <v>2978</v>
      </c>
      <c r="F1776" s="12" t="s">
        <v>1862</v>
      </c>
      <c r="G1776" s="12" t="s">
        <v>1862</v>
      </c>
      <c r="H1776" s="12" t="b">
        <v>1</v>
      </c>
      <c r="I1776" s="12" t="b">
        <v>0</v>
      </c>
      <c r="J1776" s="12" t="b">
        <v>1</v>
      </c>
      <c r="K1776" s="12" t="b">
        <v>0</v>
      </c>
      <c r="L1776" s="12">
        <v>623.15</v>
      </c>
      <c r="M1776" s="12">
        <v>300.032917</v>
      </c>
      <c r="N1776" s="12">
        <v>4003.360745790174</v>
      </c>
      <c r="O1776" s="12">
        <v>1169.543677446062</v>
      </c>
      <c r="P1776" s="12">
        <v>0.50123860519614927</v>
      </c>
      <c r="Q1776" s="12">
        <v>0.47123850028412168</v>
      </c>
      <c r="R1776" s="12">
        <v>0.79251315503513897</v>
      </c>
      <c r="S1776" s="12">
        <v>0.69929368141744708</v>
      </c>
      <c r="T1776" s="12">
        <v>0.72361785632695264</v>
      </c>
      <c r="U1776" s="12">
        <v>0.48576352613369272</v>
      </c>
      <c r="V1776" s="12">
        <v>300.032917</v>
      </c>
      <c r="W1776" s="12">
        <v>-2.1870676635496098</v>
      </c>
      <c r="X1776" s="12">
        <v>-22.559956430445169</v>
      </c>
      <c r="Y1776" s="12">
        <v>2833.8170683441122</v>
      </c>
      <c r="Z1776" s="12">
        <v>3.4230108913352701</v>
      </c>
      <c r="AA1776" s="12" t="s">
        <v>2513</v>
      </c>
      <c r="AB1776" s="12"/>
    </row>
    <row r="1777" spans="1:28" x14ac:dyDescent="0.3">
      <c r="A1777" s="12" t="s">
        <v>3689</v>
      </c>
      <c r="B1777" s="12" t="s">
        <v>170</v>
      </c>
      <c r="C1777" s="12" t="s">
        <v>430</v>
      </c>
      <c r="D1777" s="12" t="s">
        <v>721</v>
      </c>
      <c r="E1777" s="12" t="s">
        <v>2978</v>
      </c>
      <c r="F1777" s="12" t="s">
        <v>1861</v>
      </c>
      <c r="G1777" s="12" t="s">
        <v>1861</v>
      </c>
      <c r="H1777" s="12" t="b">
        <v>1</v>
      </c>
      <c r="I1777" s="12" t="b">
        <v>0</v>
      </c>
      <c r="J1777" s="12" t="b">
        <v>1</v>
      </c>
      <c r="K1777" s="12" t="b">
        <v>0</v>
      </c>
      <c r="L1777" s="12">
        <v>623.15</v>
      </c>
      <c r="M1777" s="12">
        <v>300.032917</v>
      </c>
      <c r="N1777" s="12">
        <v>4699.5621073220318</v>
      </c>
      <c r="O1777" s="12">
        <v>1861.4695625761731</v>
      </c>
      <c r="P1777" s="12">
        <v>0.77336559207035505</v>
      </c>
      <c r="Q1777" s="12">
        <v>0.75596759657535406</v>
      </c>
      <c r="R1777" s="12">
        <v>0.91406659484073516</v>
      </c>
      <c r="S1777" s="12">
        <v>0.72258566742736963</v>
      </c>
      <c r="T1777" s="12">
        <v>0.8955220123522093</v>
      </c>
      <c r="U1777" s="12">
        <v>0.83050398276879078</v>
      </c>
      <c r="V1777" s="12">
        <v>300.032917</v>
      </c>
      <c r="W1777" s="12">
        <v>7.3538000342125196</v>
      </c>
      <c r="X1777" s="12">
        <v>108.33035912271281</v>
      </c>
      <c r="Y1777" s="12">
        <v>2838.092544745859</v>
      </c>
      <c r="Z1777" s="12">
        <v>2.5246515988250122</v>
      </c>
      <c r="AA1777" s="12" t="s">
        <v>1268</v>
      </c>
      <c r="AB1777" s="12"/>
    </row>
    <row r="1778" spans="1:28" x14ac:dyDescent="0.3">
      <c r="A1778" s="12" t="s">
        <v>3690</v>
      </c>
      <c r="B1778" s="12" t="s">
        <v>170</v>
      </c>
      <c r="C1778" s="12" t="s">
        <v>430</v>
      </c>
      <c r="D1778" s="12" t="s">
        <v>721</v>
      </c>
      <c r="E1778" s="12" t="s">
        <v>2978</v>
      </c>
      <c r="F1778" s="12" t="s">
        <v>832</v>
      </c>
      <c r="G1778" s="12" t="s">
        <v>832</v>
      </c>
      <c r="H1778" s="12" t="b">
        <v>0</v>
      </c>
      <c r="I1778" s="12" t="b">
        <v>0</v>
      </c>
      <c r="J1778" s="12" t="b">
        <v>0</v>
      </c>
      <c r="K1778" s="12" t="b">
        <v>0</v>
      </c>
      <c r="L1778" s="12">
        <v>623.15</v>
      </c>
      <c r="M1778" s="12">
        <v>300.032917</v>
      </c>
      <c r="N1778" s="12">
        <v>3333.0941200475008</v>
      </c>
      <c r="O1778" s="12">
        <v>1430.7702948312169</v>
      </c>
      <c r="P1778" s="12">
        <v>0.84220099277922733</v>
      </c>
      <c r="Q1778" s="12">
        <v>0.7899548561771994</v>
      </c>
      <c r="R1778" s="12">
        <v>0.70955742410618705</v>
      </c>
      <c r="S1778" s="12">
        <v>0.94918663079258636</v>
      </c>
      <c r="T1778" s="12">
        <v>0.54195838149071507</v>
      </c>
      <c r="U1778" s="12">
        <v>0.91005881850540538</v>
      </c>
      <c r="V1778" s="12">
        <v>300.032917</v>
      </c>
      <c r="W1778" s="12"/>
      <c r="X1778" s="12"/>
      <c r="Y1778" s="12">
        <v>1902.3238252162839</v>
      </c>
      <c r="Z1778" s="12">
        <v>2.3295801793541528</v>
      </c>
      <c r="AA1778" s="12"/>
      <c r="AB1778" s="12"/>
    </row>
    <row r="1779" spans="1:28" x14ac:dyDescent="0.3">
      <c r="A1779" s="12" t="s">
        <v>3691</v>
      </c>
      <c r="B1779" s="12" t="s">
        <v>170</v>
      </c>
      <c r="C1779" s="12" t="s">
        <v>430</v>
      </c>
      <c r="D1779" s="12" t="s">
        <v>721</v>
      </c>
      <c r="E1779" s="12" t="s">
        <v>2978</v>
      </c>
      <c r="F1779" s="12" t="s">
        <v>832</v>
      </c>
      <c r="G1779" s="12" t="s">
        <v>832</v>
      </c>
      <c r="H1779" s="12" t="b">
        <v>0</v>
      </c>
      <c r="I1779" s="12" t="b">
        <v>0</v>
      </c>
      <c r="J1779" s="12" t="b">
        <v>0</v>
      </c>
      <c r="K1779" s="12" t="b">
        <v>0</v>
      </c>
      <c r="L1779" s="12">
        <v>623.15</v>
      </c>
      <c r="M1779" s="12">
        <v>300.032917</v>
      </c>
      <c r="N1779" s="12">
        <v>3965.7227335249208</v>
      </c>
      <c r="O1779" s="12">
        <v>1280.1866654652081</v>
      </c>
      <c r="P1779" s="12">
        <v>0.66254784364637709</v>
      </c>
      <c r="Q1779" s="12">
        <v>0.63516050093744436</v>
      </c>
      <c r="R1779" s="12">
        <v>0.40557930663931752</v>
      </c>
      <c r="S1779" s="12">
        <v>0.73605634281659904</v>
      </c>
      <c r="T1779" s="12">
        <v>0.62181365182237458</v>
      </c>
      <c r="U1779" s="12">
        <v>0.64327371742567196</v>
      </c>
      <c r="V1779" s="12">
        <v>300.032917</v>
      </c>
      <c r="W1779" s="12"/>
      <c r="X1779" s="12"/>
      <c r="Y1779" s="12">
        <v>2685.5360680597132</v>
      </c>
      <c r="Z1779" s="12">
        <v>3.097769130475839</v>
      </c>
      <c r="AA1779" s="12"/>
      <c r="AB1779" s="12"/>
    </row>
    <row r="1780" spans="1:28" x14ac:dyDescent="0.3">
      <c r="A1780" s="12" t="s">
        <v>3692</v>
      </c>
      <c r="B1780" s="12" t="s">
        <v>170</v>
      </c>
      <c r="C1780" s="12" t="s">
        <v>430</v>
      </c>
      <c r="D1780" s="12" t="s">
        <v>721</v>
      </c>
      <c r="E1780" s="12" t="s">
        <v>2978</v>
      </c>
      <c r="F1780" s="12" t="s">
        <v>1863</v>
      </c>
      <c r="G1780" s="12" t="s">
        <v>832</v>
      </c>
      <c r="H1780" s="12" t="b">
        <v>0</v>
      </c>
      <c r="I1780" s="12" t="b">
        <v>0</v>
      </c>
      <c r="J1780" s="12" t="b">
        <v>1</v>
      </c>
      <c r="K1780" s="12" t="b">
        <v>0</v>
      </c>
      <c r="L1780" s="12">
        <v>623.15</v>
      </c>
      <c r="M1780" s="12">
        <v>300.032917</v>
      </c>
      <c r="N1780" s="12">
        <v>4027.7327712390052</v>
      </c>
      <c r="O1780" s="12">
        <v>1267.927605355789</v>
      </c>
      <c r="P1780" s="12">
        <v>0.59768664579627018</v>
      </c>
      <c r="Q1780" s="12">
        <v>0.62277500291891952</v>
      </c>
      <c r="R1780" s="12">
        <v>0.59143582712325393</v>
      </c>
      <c r="S1780" s="12">
        <v>0.82021254282492251</v>
      </c>
      <c r="T1780" s="12">
        <v>0.5749160580571383</v>
      </c>
      <c r="U1780" s="12">
        <v>0.83637002604368105</v>
      </c>
      <c r="V1780" s="12">
        <v>300.032917</v>
      </c>
      <c r="W1780" s="12">
        <v>6.5053125019270892</v>
      </c>
      <c r="X1780" s="12">
        <v>119.37269555070991</v>
      </c>
      <c r="Y1780" s="12">
        <v>2759.805165883216</v>
      </c>
      <c r="Z1780" s="12">
        <v>3.1766267681417002</v>
      </c>
      <c r="AA1780" s="12" t="s">
        <v>3442</v>
      </c>
      <c r="AB1780" s="12"/>
    </row>
    <row r="1781" spans="1:28" x14ac:dyDescent="0.3">
      <c r="A1781" s="12" t="s">
        <v>3693</v>
      </c>
      <c r="B1781" s="12" t="s">
        <v>170</v>
      </c>
      <c r="C1781" s="12" t="s">
        <v>430</v>
      </c>
      <c r="D1781" s="12" t="s">
        <v>721</v>
      </c>
      <c r="E1781" s="12" t="s">
        <v>2978</v>
      </c>
      <c r="F1781" s="12" t="s">
        <v>1862</v>
      </c>
      <c r="G1781" s="12" t="s">
        <v>1862</v>
      </c>
      <c r="H1781" s="12" t="b">
        <v>1</v>
      </c>
      <c r="I1781" s="12" t="b">
        <v>0</v>
      </c>
      <c r="J1781" s="12" t="b">
        <v>1</v>
      </c>
      <c r="K1781" s="12" t="b">
        <v>0</v>
      </c>
      <c r="L1781" s="12">
        <v>623.15</v>
      </c>
      <c r="M1781" s="12">
        <v>300.032917</v>
      </c>
      <c r="N1781" s="12">
        <v>3038.1124234767881</v>
      </c>
      <c r="O1781" s="12">
        <v>424.87524523048648</v>
      </c>
      <c r="P1781" s="12">
        <v>0.80740888941228284</v>
      </c>
      <c r="Q1781" s="12">
        <v>0.79712305438721953</v>
      </c>
      <c r="R1781" s="12">
        <v>0.54704641372223561</v>
      </c>
      <c r="S1781" s="12">
        <v>0.45239385883982569</v>
      </c>
      <c r="T1781" s="12">
        <v>0.60350404220238918</v>
      </c>
      <c r="U1781" s="12">
        <v>0.87894681883500403</v>
      </c>
      <c r="V1781" s="12">
        <v>300.032917</v>
      </c>
      <c r="W1781" s="12">
        <v>-18.349694699336759</v>
      </c>
      <c r="X1781" s="12">
        <v>-95.270220625780198</v>
      </c>
      <c r="Y1781" s="12">
        <v>2613.237178246301</v>
      </c>
      <c r="Z1781" s="12">
        <v>7.1505988112549881</v>
      </c>
      <c r="AA1781" s="12" t="s">
        <v>2513</v>
      </c>
      <c r="AB1781" s="12"/>
    </row>
    <row r="1782" spans="1:28" x14ac:dyDescent="0.3">
      <c r="A1782" s="12" t="s">
        <v>3694</v>
      </c>
      <c r="B1782" s="12" t="s">
        <v>170</v>
      </c>
      <c r="C1782" s="12" t="s">
        <v>430</v>
      </c>
      <c r="D1782" s="12" t="s">
        <v>721</v>
      </c>
      <c r="E1782" s="12" t="s">
        <v>2978</v>
      </c>
      <c r="F1782" s="12" t="s">
        <v>832</v>
      </c>
      <c r="G1782" s="12" t="s">
        <v>832</v>
      </c>
      <c r="H1782" s="12" t="b">
        <v>0</v>
      </c>
      <c r="I1782" s="12" t="b">
        <v>0</v>
      </c>
      <c r="J1782" s="12" t="b">
        <v>0</v>
      </c>
      <c r="K1782" s="12" t="b">
        <v>0</v>
      </c>
      <c r="L1782" s="12">
        <v>623.15</v>
      </c>
      <c r="M1782" s="12">
        <v>300.032917</v>
      </c>
      <c r="N1782" s="12">
        <v>3615.6213288970248</v>
      </c>
      <c r="O1782" s="12">
        <v>899.15775650685055</v>
      </c>
      <c r="P1782" s="12">
        <v>0.6317543284333571</v>
      </c>
      <c r="Q1782" s="12">
        <v>0.53841959426903863</v>
      </c>
      <c r="R1782" s="12">
        <v>0.64618657941507907</v>
      </c>
      <c r="S1782" s="12">
        <v>0.88786345469468464</v>
      </c>
      <c r="T1782" s="12">
        <v>0.94790264155384396</v>
      </c>
      <c r="U1782" s="12">
        <v>0.40640208250124671</v>
      </c>
      <c r="V1782" s="12">
        <v>300.032917</v>
      </c>
      <c r="W1782" s="12"/>
      <c r="X1782" s="12"/>
      <c r="Y1782" s="12">
        <v>2716.4635723901738</v>
      </c>
      <c r="Z1782" s="12">
        <v>4.0211201012638744</v>
      </c>
      <c r="AA1782" s="12"/>
      <c r="AB1782" s="12"/>
    </row>
    <row r="1783" spans="1:28" x14ac:dyDescent="0.3">
      <c r="A1783" s="12" t="s">
        <v>3695</v>
      </c>
      <c r="B1783" s="12" t="s">
        <v>170</v>
      </c>
      <c r="C1783" s="12" t="s">
        <v>430</v>
      </c>
      <c r="D1783" s="12" t="s">
        <v>721</v>
      </c>
      <c r="E1783" s="12" t="s">
        <v>2978</v>
      </c>
      <c r="F1783" s="12" t="s">
        <v>832</v>
      </c>
      <c r="G1783" s="12" t="s">
        <v>832</v>
      </c>
      <c r="H1783" s="12" t="b">
        <v>0</v>
      </c>
      <c r="I1783" s="12" t="b">
        <v>0</v>
      </c>
      <c r="J1783" s="12" t="b">
        <v>0</v>
      </c>
      <c r="K1783" s="12" t="b">
        <v>0</v>
      </c>
      <c r="L1783" s="12">
        <v>623.15</v>
      </c>
      <c r="M1783" s="12">
        <v>300.032917</v>
      </c>
      <c r="N1783" s="12">
        <v>4798.2442926640542</v>
      </c>
      <c r="O1783" s="12">
        <v>1194.619977855655</v>
      </c>
      <c r="P1783" s="12">
        <v>0.6937692841858456</v>
      </c>
      <c r="Q1783" s="12">
        <v>0.58178956788760217</v>
      </c>
      <c r="R1783" s="12">
        <v>0.90990583986684637</v>
      </c>
      <c r="S1783" s="12">
        <v>0.73996818935831588</v>
      </c>
      <c r="T1783" s="12">
        <v>0.94336543631843717</v>
      </c>
      <c r="U1783" s="12">
        <v>0.44856432530258078</v>
      </c>
      <c r="V1783" s="12">
        <v>300.032917</v>
      </c>
      <c r="W1783" s="12"/>
      <c r="X1783" s="12"/>
      <c r="Y1783" s="12">
        <v>3603.6243148084</v>
      </c>
      <c r="Z1783" s="12">
        <v>4.0165444924811258</v>
      </c>
      <c r="AA1783" s="12"/>
      <c r="AB1783" s="12"/>
    </row>
    <row r="1784" spans="1:28" x14ac:dyDescent="0.3">
      <c r="A1784" s="12" t="s">
        <v>3696</v>
      </c>
      <c r="B1784" s="12" t="s">
        <v>170</v>
      </c>
      <c r="C1784" s="12" t="s">
        <v>430</v>
      </c>
      <c r="D1784" s="12" t="s">
        <v>721</v>
      </c>
      <c r="E1784" s="12" t="s">
        <v>2978</v>
      </c>
      <c r="F1784" s="12" t="s">
        <v>832</v>
      </c>
      <c r="G1784" s="12" t="s">
        <v>832</v>
      </c>
      <c r="H1784" s="12" t="b">
        <v>0</v>
      </c>
      <c r="I1784" s="12" t="b">
        <v>0</v>
      </c>
      <c r="J1784" s="12" t="b">
        <v>0</v>
      </c>
      <c r="K1784" s="12" t="b">
        <v>0</v>
      </c>
      <c r="L1784" s="12">
        <v>623.15</v>
      </c>
      <c r="M1784" s="12">
        <v>300.032917</v>
      </c>
      <c r="N1784" s="12">
        <v>2955.0200224440882</v>
      </c>
      <c r="O1784" s="12">
        <v>1023.011635302588</v>
      </c>
      <c r="P1784" s="12">
        <v>0.58645825957597264</v>
      </c>
      <c r="Q1784" s="12">
        <v>0.4087118270223854</v>
      </c>
      <c r="R1784" s="12">
        <v>0.73435803453160586</v>
      </c>
      <c r="S1784" s="12">
        <v>0.7536057939967149</v>
      </c>
      <c r="T1784" s="12">
        <v>0.67651768694533021</v>
      </c>
      <c r="U1784" s="12">
        <v>0.56326856959190419</v>
      </c>
      <c r="V1784" s="12">
        <v>300.032917</v>
      </c>
      <c r="W1784" s="12"/>
      <c r="X1784" s="12"/>
      <c r="Y1784" s="12">
        <v>1932.0083871415</v>
      </c>
      <c r="Z1784" s="12">
        <v>2.8885497686153361</v>
      </c>
      <c r="AA1784" s="12"/>
      <c r="AB1784" s="12"/>
    </row>
    <row r="1785" spans="1:28" x14ac:dyDescent="0.3">
      <c r="A1785" s="12" t="s">
        <v>3697</v>
      </c>
      <c r="B1785" s="12" t="s">
        <v>170</v>
      </c>
      <c r="C1785" s="12" t="s">
        <v>430</v>
      </c>
      <c r="D1785" s="12" t="s">
        <v>721</v>
      </c>
      <c r="E1785" s="12" t="s">
        <v>2978</v>
      </c>
      <c r="F1785" s="12" t="s">
        <v>832</v>
      </c>
      <c r="G1785" s="12" t="s">
        <v>832</v>
      </c>
      <c r="H1785" s="12" t="b">
        <v>0</v>
      </c>
      <c r="I1785" s="12" t="b">
        <v>0</v>
      </c>
      <c r="J1785" s="12" t="b">
        <v>0</v>
      </c>
      <c r="K1785" s="12" t="b">
        <v>0</v>
      </c>
      <c r="L1785" s="12">
        <v>623.15</v>
      </c>
      <c r="M1785" s="12">
        <v>300.032917</v>
      </c>
      <c r="N1785" s="12">
        <v>4334.2913017448254</v>
      </c>
      <c r="O1785" s="12">
        <v>1915.5735069014661</v>
      </c>
      <c r="P1785" s="12">
        <v>0.6028444035155367</v>
      </c>
      <c r="Q1785" s="12">
        <v>0.7069512712459316</v>
      </c>
      <c r="R1785" s="12">
        <v>0.78462247017472664</v>
      </c>
      <c r="S1785" s="12">
        <v>0.87537412969293915</v>
      </c>
      <c r="T1785" s="12">
        <v>0.63643591653583531</v>
      </c>
      <c r="U1785" s="12">
        <v>0.44536851556516099</v>
      </c>
      <c r="V1785" s="12">
        <v>300.032917</v>
      </c>
      <c r="W1785" s="12"/>
      <c r="X1785" s="12"/>
      <c r="Y1785" s="12">
        <v>2418.7177948433591</v>
      </c>
      <c r="Z1785" s="12">
        <v>2.2626598698140041</v>
      </c>
      <c r="AA1785" s="12"/>
      <c r="AB1785" s="12"/>
    </row>
    <row r="1786" spans="1:28" x14ac:dyDescent="0.3">
      <c r="A1786" s="12" t="s">
        <v>3698</v>
      </c>
      <c r="B1786" s="12" t="s">
        <v>170</v>
      </c>
      <c r="C1786" s="12" t="s">
        <v>430</v>
      </c>
      <c r="D1786" s="12" t="s">
        <v>721</v>
      </c>
      <c r="E1786" s="12" t="s">
        <v>2978</v>
      </c>
      <c r="F1786" s="12" t="s">
        <v>832</v>
      </c>
      <c r="G1786" s="12" t="s">
        <v>832</v>
      </c>
      <c r="H1786" s="12" t="b">
        <v>0</v>
      </c>
      <c r="I1786" s="12" t="b">
        <v>0</v>
      </c>
      <c r="J1786" s="12" t="b">
        <v>0</v>
      </c>
      <c r="K1786" s="12" t="b">
        <v>0</v>
      </c>
      <c r="L1786" s="12">
        <v>623.15</v>
      </c>
      <c r="M1786" s="12">
        <v>300.032917</v>
      </c>
      <c r="N1786" s="12">
        <v>2633.296027164602</v>
      </c>
      <c r="O1786" s="12">
        <v>1420.672726862932</v>
      </c>
      <c r="P1786" s="12">
        <v>0.82127718376981962</v>
      </c>
      <c r="Q1786" s="12">
        <v>0.56044710237408113</v>
      </c>
      <c r="R1786" s="12">
        <v>0.90136274007108164</v>
      </c>
      <c r="S1786" s="12">
        <v>0.71620754157291655</v>
      </c>
      <c r="T1786" s="12">
        <v>0.80544456963460642</v>
      </c>
      <c r="U1786" s="12">
        <v>0.53330723212473341</v>
      </c>
      <c r="V1786" s="12">
        <v>300.032917</v>
      </c>
      <c r="W1786" s="12"/>
      <c r="X1786" s="12"/>
      <c r="Y1786" s="12">
        <v>1212.62330030167</v>
      </c>
      <c r="Z1786" s="12">
        <v>1.8535556975034859</v>
      </c>
      <c r="AA1786" s="12"/>
      <c r="AB1786" s="12"/>
    </row>
    <row r="1787" spans="1:28" x14ac:dyDescent="0.3">
      <c r="A1787" s="12" t="s">
        <v>3699</v>
      </c>
      <c r="B1787" s="12" t="s">
        <v>170</v>
      </c>
      <c r="C1787" s="12" t="s">
        <v>430</v>
      </c>
      <c r="D1787" s="12" t="s">
        <v>721</v>
      </c>
      <c r="E1787" s="12" t="s">
        <v>2978</v>
      </c>
      <c r="F1787" s="12" t="s">
        <v>1861</v>
      </c>
      <c r="G1787" s="12" t="s">
        <v>1861</v>
      </c>
      <c r="H1787" s="12" t="b">
        <v>1</v>
      </c>
      <c r="I1787" s="12" t="b">
        <v>0</v>
      </c>
      <c r="J1787" s="12" t="b">
        <v>1</v>
      </c>
      <c r="K1787" s="12" t="b">
        <v>0</v>
      </c>
      <c r="L1787" s="12">
        <v>623.15</v>
      </c>
      <c r="M1787" s="12">
        <v>300.032917</v>
      </c>
      <c r="N1787" s="12">
        <v>4453.2411436965631</v>
      </c>
      <c r="O1787" s="12">
        <v>481.31084552041091</v>
      </c>
      <c r="P1787" s="12">
        <v>0.57512785979376357</v>
      </c>
      <c r="Q1787" s="12">
        <v>0.69428845679820761</v>
      </c>
      <c r="R1787" s="12">
        <v>0.49260859498011822</v>
      </c>
      <c r="S1787" s="12">
        <v>0.63441232953365179</v>
      </c>
      <c r="T1787" s="12">
        <v>0.66665657524755573</v>
      </c>
      <c r="U1787" s="12">
        <v>0.84815222407426272</v>
      </c>
      <c r="V1787" s="12">
        <v>300.032917</v>
      </c>
      <c r="W1787" s="12">
        <v>11.14567593269761</v>
      </c>
      <c r="X1787" s="12">
        <v>160.77691392814631</v>
      </c>
      <c r="Y1787" s="12">
        <v>3971.9302981761521</v>
      </c>
      <c r="Z1787" s="12">
        <v>9.2523182993758564</v>
      </c>
      <c r="AA1787" s="12" t="s">
        <v>1268</v>
      </c>
      <c r="AB1787" s="12"/>
    </row>
    <row r="1788" spans="1:28" x14ac:dyDescent="0.3">
      <c r="A1788" s="12" t="s">
        <v>3700</v>
      </c>
      <c r="B1788" s="12" t="s">
        <v>170</v>
      </c>
      <c r="C1788" s="12" t="s">
        <v>430</v>
      </c>
      <c r="D1788" s="12" t="s">
        <v>721</v>
      </c>
      <c r="E1788" s="12" t="s">
        <v>2978</v>
      </c>
      <c r="F1788" s="12" t="s">
        <v>1861</v>
      </c>
      <c r="G1788" s="12" t="s">
        <v>1861</v>
      </c>
      <c r="H1788" s="12" t="b">
        <v>1</v>
      </c>
      <c r="I1788" s="12" t="b">
        <v>0</v>
      </c>
      <c r="J1788" s="12" t="b">
        <v>0</v>
      </c>
      <c r="K1788" s="12" t="b">
        <v>0</v>
      </c>
      <c r="L1788" s="12">
        <v>623.15</v>
      </c>
      <c r="M1788" s="12">
        <v>300.032917</v>
      </c>
      <c r="N1788" s="12">
        <v>2085.1158458045138</v>
      </c>
      <c r="O1788" s="12">
        <v>976.77855636983804</v>
      </c>
      <c r="P1788" s="12">
        <v>0.76811250252009033</v>
      </c>
      <c r="Q1788" s="12">
        <v>0.82279361661923156</v>
      </c>
      <c r="R1788" s="12">
        <v>0.66689443786329838</v>
      </c>
      <c r="S1788" s="12">
        <v>0.54155622555170901</v>
      </c>
      <c r="T1788" s="12">
        <v>0.78942844218231456</v>
      </c>
      <c r="U1788" s="12">
        <v>0.92356364554598402</v>
      </c>
      <c r="V1788" s="12">
        <v>300.032917</v>
      </c>
      <c r="W1788" s="12">
        <v>6.4313782204196404</v>
      </c>
      <c r="X1788" s="12">
        <v>77.256978828912963</v>
      </c>
      <c r="Y1788" s="12">
        <v>1108.337289434676</v>
      </c>
      <c r="Z1788" s="12">
        <v>2.1346863444195279</v>
      </c>
      <c r="AA1788" s="12" t="s">
        <v>1268</v>
      </c>
      <c r="AB1788" s="12"/>
    </row>
    <row r="1789" spans="1:28" x14ac:dyDescent="0.3">
      <c r="A1789" s="12" t="s">
        <v>3701</v>
      </c>
      <c r="B1789" s="12" t="s">
        <v>170</v>
      </c>
      <c r="C1789" s="12" t="s">
        <v>430</v>
      </c>
      <c r="D1789" s="12" t="s">
        <v>721</v>
      </c>
      <c r="E1789" s="12" t="s">
        <v>2978</v>
      </c>
      <c r="F1789" s="12" t="s">
        <v>1862</v>
      </c>
      <c r="G1789" s="12" t="s">
        <v>1862</v>
      </c>
      <c r="H1789" s="12" t="b">
        <v>1</v>
      </c>
      <c r="I1789" s="12" t="b">
        <v>0</v>
      </c>
      <c r="J1789" s="12" t="b">
        <v>1</v>
      </c>
      <c r="K1789" s="12" t="b">
        <v>0</v>
      </c>
      <c r="L1789" s="12">
        <v>623.15</v>
      </c>
      <c r="M1789" s="12">
        <v>300.032917</v>
      </c>
      <c r="N1789" s="12">
        <v>2350.886432513078</v>
      </c>
      <c r="O1789" s="12">
        <v>990.15000075526723</v>
      </c>
      <c r="P1789" s="12">
        <v>0.61377443888459937</v>
      </c>
      <c r="Q1789" s="12">
        <v>0.50062420456015977</v>
      </c>
      <c r="R1789" s="12">
        <v>0.74907018635731326</v>
      </c>
      <c r="S1789" s="12">
        <v>0.55391721161823171</v>
      </c>
      <c r="T1789" s="12">
        <v>0.53346605448875095</v>
      </c>
      <c r="U1789" s="12">
        <v>0.43667730229161972</v>
      </c>
      <c r="V1789" s="12">
        <v>300.032917</v>
      </c>
      <c r="W1789" s="12">
        <v>-4.3330726111657514</v>
      </c>
      <c r="X1789" s="12">
        <v>-34.336711396794357</v>
      </c>
      <c r="Y1789" s="12">
        <v>1360.736431757811</v>
      </c>
      <c r="Z1789" s="12">
        <v>2.3742730199665378</v>
      </c>
      <c r="AA1789" s="12" t="s">
        <v>2513</v>
      </c>
      <c r="AB1789" s="12"/>
    </row>
    <row r="1790" spans="1:28" x14ac:dyDescent="0.3">
      <c r="A1790" s="12" t="s">
        <v>3702</v>
      </c>
      <c r="B1790" s="12" t="s">
        <v>170</v>
      </c>
      <c r="C1790" s="12" t="s">
        <v>430</v>
      </c>
      <c r="D1790" s="12" t="s">
        <v>721</v>
      </c>
      <c r="E1790" s="12" t="s">
        <v>2978</v>
      </c>
      <c r="F1790" s="12" t="s">
        <v>1861</v>
      </c>
      <c r="G1790" s="12" t="s">
        <v>1861</v>
      </c>
      <c r="H1790" s="12" t="b">
        <v>1</v>
      </c>
      <c r="I1790" s="12" t="b">
        <v>0</v>
      </c>
      <c r="J1790" s="12" t="b">
        <v>1</v>
      </c>
      <c r="K1790" s="12" t="b">
        <v>0</v>
      </c>
      <c r="L1790" s="12">
        <v>623.15</v>
      </c>
      <c r="M1790" s="12">
        <v>300.032917</v>
      </c>
      <c r="N1790" s="12">
        <v>4278.9352897957579</v>
      </c>
      <c r="O1790" s="12">
        <v>1072.4232045456299</v>
      </c>
      <c r="P1790" s="12">
        <v>0.53394236708198961</v>
      </c>
      <c r="Q1790" s="12">
        <v>0.72500670294392078</v>
      </c>
      <c r="R1790" s="12">
        <v>0.45835703647467591</v>
      </c>
      <c r="S1790" s="12">
        <v>0.77905001203168478</v>
      </c>
      <c r="T1790" s="12">
        <v>0.72851965493268855</v>
      </c>
      <c r="U1790" s="12">
        <v>0.66094821929780934</v>
      </c>
      <c r="V1790" s="12">
        <v>300.032917</v>
      </c>
      <c r="W1790" s="12">
        <v>3.2448958825618601</v>
      </c>
      <c r="X1790" s="12">
        <v>46.389752764419939</v>
      </c>
      <c r="Y1790" s="12">
        <v>3206.5120852501282</v>
      </c>
      <c r="Z1790" s="12">
        <v>3.9899689522371729</v>
      </c>
      <c r="AA1790" s="12" t="s">
        <v>1268</v>
      </c>
      <c r="AB1790" s="12"/>
    </row>
    <row r="1791" spans="1:28" x14ac:dyDescent="0.3">
      <c r="A1791" s="12" t="s">
        <v>3703</v>
      </c>
      <c r="B1791" s="12" t="s">
        <v>170</v>
      </c>
      <c r="C1791" s="12" t="s">
        <v>430</v>
      </c>
      <c r="D1791" s="12" t="s">
        <v>721</v>
      </c>
      <c r="E1791" s="12" t="s">
        <v>2978</v>
      </c>
      <c r="F1791" s="12" t="s">
        <v>832</v>
      </c>
      <c r="G1791" s="12" t="s">
        <v>832</v>
      </c>
      <c r="H1791" s="12" t="b">
        <v>0</v>
      </c>
      <c r="I1791" s="12" t="b">
        <v>0</v>
      </c>
      <c r="J1791" s="12" t="b">
        <v>0</v>
      </c>
      <c r="K1791" s="12" t="b">
        <v>0</v>
      </c>
      <c r="L1791" s="12">
        <v>623.15</v>
      </c>
      <c r="M1791" s="12">
        <v>300.032917</v>
      </c>
      <c r="N1791" s="12">
        <v>2401.477527370052</v>
      </c>
      <c r="O1791" s="12">
        <v>553.83370347515915</v>
      </c>
      <c r="P1791" s="12">
        <v>0.79506080943863777</v>
      </c>
      <c r="Q1791" s="12">
        <v>0.43202034571191461</v>
      </c>
      <c r="R1791" s="12">
        <v>0.92191656478996176</v>
      </c>
      <c r="S1791" s="12">
        <v>0.66036550080881917</v>
      </c>
      <c r="T1791" s="12">
        <v>0.61135153440019407</v>
      </c>
      <c r="U1791" s="12">
        <v>0.65289664126607649</v>
      </c>
      <c r="V1791" s="12">
        <v>300.032917</v>
      </c>
      <c r="W1791" s="12"/>
      <c r="X1791" s="12"/>
      <c r="Y1791" s="12">
        <v>1847.6438238948931</v>
      </c>
      <c r="Z1791" s="12">
        <v>4.3360985658717048</v>
      </c>
      <c r="AA1791" s="12"/>
      <c r="AB1791" s="12"/>
    </row>
    <row r="1792" spans="1:28" x14ac:dyDescent="0.3">
      <c r="A1792" s="12" t="s">
        <v>3704</v>
      </c>
      <c r="B1792" s="12" t="s">
        <v>170</v>
      </c>
      <c r="C1792" s="12" t="s">
        <v>430</v>
      </c>
      <c r="D1792" s="12" t="s">
        <v>721</v>
      </c>
      <c r="E1792" s="12" t="s">
        <v>2978</v>
      </c>
      <c r="F1792" s="12" t="s">
        <v>1861</v>
      </c>
      <c r="G1792" s="12" t="s">
        <v>1861</v>
      </c>
      <c r="H1792" s="12" t="b">
        <v>1</v>
      </c>
      <c r="I1792" s="12" t="b">
        <v>0</v>
      </c>
      <c r="J1792" s="12" t="b">
        <v>1</v>
      </c>
      <c r="K1792" s="12" t="b">
        <v>0</v>
      </c>
      <c r="L1792" s="12">
        <v>623.15</v>
      </c>
      <c r="M1792" s="12">
        <v>300.032917</v>
      </c>
      <c r="N1792" s="12">
        <v>2917.9898505253632</v>
      </c>
      <c r="O1792" s="12">
        <v>1215.632736319139</v>
      </c>
      <c r="P1792" s="12">
        <v>0.69834261236793171</v>
      </c>
      <c r="Q1792" s="12">
        <v>0.49118753765488471</v>
      </c>
      <c r="R1792" s="12">
        <v>0.68174135070432018</v>
      </c>
      <c r="S1792" s="12">
        <v>0.44319139330803869</v>
      </c>
      <c r="T1792" s="12">
        <v>0.79780399315606187</v>
      </c>
      <c r="U1792" s="12">
        <v>0.62410594778051465</v>
      </c>
      <c r="V1792" s="12">
        <v>300.032917</v>
      </c>
      <c r="W1792" s="12">
        <v>0.37412780910518001</v>
      </c>
      <c r="X1792" s="12">
        <v>3.1024822968509369</v>
      </c>
      <c r="Y1792" s="12">
        <v>1702.357114206224</v>
      </c>
      <c r="Z1792" s="12">
        <v>2.4003876856433282</v>
      </c>
      <c r="AA1792" s="12" t="s">
        <v>1268</v>
      </c>
      <c r="AB1792" s="12"/>
    </row>
    <row r="1793" spans="1:28" x14ac:dyDescent="0.3">
      <c r="A1793" s="12" t="s">
        <v>3705</v>
      </c>
      <c r="B1793" s="12" t="s">
        <v>170</v>
      </c>
      <c r="C1793" s="12" t="s">
        <v>430</v>
      </c>
      <c r="D1793" s="12" t="s">
        <v>721</v>
      </c>
      <c r="E1793" s="12" t="s">
        <v>2978</v>
      </c>
      <c r="F1793" s="12" t="s">
        <v>1862</v>
      </c>
      <c r="G1793" s="12" t="s">
        <v>1862</v>
      </c>
      <c r="H1793" s="12" t="b">
        <v>1</v>
      </c>
      <c r="I1793" s="12" t="b">
        <v>0</v>
      </c>
      <c r="J1793" s="12" t="b">
        <v>1</v>
      </c>
      <c r="K1793" s="12" t="b">
        <v>0</v>
      </c>
      <c r="L1793" s="12">
        <v>623.15</v>
      </c>
      <c r="M1793" s="12">
        <v>300.032917</v>
      </c>
      <c r="N1793" s="12">
        <v>4588.4618524778034</v>
      </c>
      <c r="O1793" s="12">
        <v>914.86920989947441</v>
      </c>
      <c r="P1793" s="12">
        <v>0.70300476499407527</v>
      </c>
      <c r="Q1793" s="12">
        <v>0.47555477121710099</v>
      </c>
      <c r="R1793" s="12">
        <v>0.46417337080824661</v>
      </c>
      <c r="S1793" s="12">
        <v>0.68955993906171242</v>
      </c>
      <c r="T1793" s="12">
        <v>0.68453670733593253</v>
      </c>
      <c r="U1793" s="12">
        <v>0.62619764000493139</v>
      </c>
      <c r="V1793" s="12">
        <v>300.032917</v>
      </c>
      <c r="W1793" s="12">
        <v>-7.7938292709961301</v>
      </c>
      <c r="X1793" s="12">
        <v>-83.27662456195327</v>
      </c>
      <c r="Y1793" s="12">
        <v>3673.5926425783291</v>
      </c>
      <c r="Z1793" s="12">
        <v>5.0154293125483829</v>
      </c>
      <c r="AA1793" s="12" t="s">
        <v>2513</v>
      </c>
      <c r="AB1793" s="12"/>
    </row>
    <row r="1794" spans="1:28" x14ac:dyDescent="0.3">
      <c r="A1794" s="12" t="s">
        <v>3706</v>
      </c>
      <c r="B1794" s="12" t="s">
        <v>170</v>
      </c>
      <c r="C1794" s="12" t="s">
        <v>430</v>
      </c>
      <c r="D1794" s="12" t="s">
        <v>721</v>
      </c>
      <c r="E1794" s="12" t="s">
        <v>2978</v>
      </c>
      <c r="F1794" s="12" t="s">
        <v>1862</v>
      </c>
      <c r="G1794" s="12" t="s">
        <v>1862</v>
      </c>
      <c r="H1794" s="12" t="b">
        <v>1</v>
      </c>
      <c r="I1794" s="12" t="b">
        <v>0</v>
      </c>
      <c r="J1794" s="12" t="b">
        <v>1</v>
      </c>
      <c r="K1794" s="12" t="b">
        <v>0</v>
      </c>
      <c r="L1794" s="12">
        <v>623.15</v>
      </c>
      <c r="M1794" s="12">
        <v>300.032917</v>
      </c>
      <c r="N1794" s="12">
        <v>4556.6254645829122</v>
      </c>
      <c r="O1794" s="12">
        <v>267.99083606100612</v>
      </c>
      <c r="P1794" s="12">
        <v>0.51740704252071279</v>
      </c>
      <c r="Q1794" s="12">
        <v>0.62877184749236248</v>
      </c>
      <c r="R1794" s="12">
        <v>0.56859521796346468</v>
      </c>
      <c r="S1794" s="12">
        <v>0.4118733350802426</v>
      </c>
      <c r="T1794" s="12">
        <v>0.85364584147786293</v>
      </c>
      <c r="U1794" s="12">
        <v>0.64951964780653926</v>
      </c>
      <c r="V1794" s="12">
        <v>300.032917</v>
      </c>
      <c r="W1794" s="12">
        <v>-3.49325499012176</v>
      </c>
      <c r="X1794" s="12">
        <v>-26.135410045119361</v>
      </c>
      <c r="Y1794" s="12">
        <v>4288.6346285219061</v>
      </c>
      <c r="Z1794" s="12">
        <v>17.002915217390608</v>
      </c>
      <c r="AA1794" s="12" t="s">
        <v>2513</v>
      </c>
      <c r="AB1794" s="12"/>
    </row>
    <row r="1795" spans="1:28" x14ac:dyDescent="0.3">
      <c r="A1795" s="12" t="s">
        <v>3707</v>
      </c>
      <c r="B1795" s="12" t="s">
        <v>170</v>
      </c>
      <c r="C1795" s="12" t="s">
        <v>430</v>
      </c>
      <c r="D1795" s="12" t="s">
        <v>721</v>
      </c>
      <c r="E1795" s="12" t="s">
        <v>2978</v>
      </c>
      <c r="F1795" s="12" t="s">
        <v>832</v>
      </c>
      <c r="G1795" s="12" t="s">
        <v>832</v>
      </c>
      <c r="H1795" s="12" t="b">
        <v>0</v>
      </c>
      <c r="I1795" s="12" t="b">
        <v>0</v>
      </c>
      <c r="J1795" s="12" t="b">
        <v>0</v>
      </c>
      <c r="K1795" s="12" t="b">
        <v>0</v>
      </c>
      <c r="L1795" s="12">
        <v>623.15</v>
      </c>
      <c r="M1795" s="12">
        <v>300.032917</v>
      </c>
      <c r="N1795" s="12">
        <v>4872.5953378383219</v>
      </c>
      <c r="O1795" s="12">
        <v>1335.256319448823</v>
      </c>
      <c r="P1795" s="12">
        <v>0.68206509839526697</v>
      </c>
      <c r="Q1795" s="12">
        <v>0.6932862095964083</v>
      </c>
      <c r="R1795" s="12">
        <v>0.77454174332228409</v>
      </c>
      <c r="S1795" s="12">
        <v>0.78411050984154751</v>
      </c>
      <c r="T1795" s="12">
        <v>0.93858103778156565</v>
      </c>
      <c r="U1795" s="12">
        <v>0.47856556802142719</v>
      </c>
      <c r="V1795" s="12">
        <v>300.032917</v>
      </c>
      <c r="W1795" s="12"/>
      <c r="X1795" s="12"/>
      <c r="Y1795" s="12">
        <v>3537.339018389499</v>
      </c>
      <c r="Z1795" s="12">
        <v>3.6491835064668838</v>
      </c>
      <c r="AA1795" s="12"/>
      <c r="AB1795" s="12"/>
    </row>
    <row r="1796" spans="1:28" x14ac:dyDescent="0.3">
      <c r="A1796" s="12" t="s">
        <v>3708</v>
      </c>
      <c r="B1796" s="12" t="s">
        <v>170</v>
      </c>
      <c r="C1796" s="12" t="s">
        <v>430</v>
      </c>
      <c r="D1796" s="12" t="s">
        <v>721</v>
      </c>
      <c r="E1796" s="12" t="s">
        <v>2978</v>
      </c>
      <c r="F1796" s="12" t="s">
        <v>832</v>
      </c>
      <c r="G1796" s="12" t="s">
        <v>832</v>
      </c>
      <c r="H1796" s="12" t="b">
        <v>0</v>
      </c>
      <c r="I1796" s="12" t="b">
        <v>0</v>
      </c>
      <c r="J1796" s="12" t="b">
        <v>0</v>
      </c>
      <c r="K1796" s="12" t="b">
        <v>0</v>
      </c>
      <c r="L1796" s="12">
        <v>623.15</v>
      </c>
      <c r="M1796" s="12">
        <v>300.032917</v>
      </c>
      <c r="N1796" s="12">
        <v>2196.6390627249971</v>
      </c>
      <c r="O1796" s="12">
        <v>677.46804704846124</v>
      </c>
      <c r="P1796" s="12">
        <v>0.64409252650194326</v>
      </c>
      <c r="Q1796" s="12">
        <v>0.4625334344439011</v>
      </c>
      <c r="R1796" s="12">
        <v>0.70623972853870054</v>
      </c>
      <c r="S1796" s="12">
        <v>0.79238995860390526</v>
      </c>
      <c r="T1796" s="12">
        <v>0.5227576845739943</v>
      </c>
      <c r="U1796" s="12">
        <v>0.59952322615341203</v>
      </c>
      <c r="V1796" s="12">
        <v>300.032917</v>
      </c>
      <c r="W1796" s="12"/>
      <c r="X1796" s="12"/>
      <c r="Y1796" s="12">
        <v>1519.171015676535</v>
      </c>
      <c r="Z1796" s="12">
        <v>3.2424246018615031</v>
      </c>
      <c r="AA1796" s="12"/>
      <c r="AB1796" s="12"/>
    </row>
    <row r="1797" spans="1:28" x14ac:dyDescent="0.3">
      <c r="A1797" s="12" t="s">
        <v>3709</v>
      </c>
      <c r="B1797" s="12" t="s">
        <v>170</v>
      </c>
      <c r="C1797" s="12" t="s">
        <v>430</v>
      </c>
      <c r="D1797" s="12" t="s">
        <v>721</v>
      </c>
      <c r="E1797" s="12" t="s">
        <v>2978</v>
      </c>
      <c r="F1797" s="12" t="s">
        <v>832</v>
      </c>
      <c r="G1797" s="12" t="s">
        <v>832</v>
      </c>
      <c r="H1797" s="12" t="b">
        <v>0</v>
      </c>
      <c r="I1797" s="12" t="b">
        <v>0</v>
      </c>
      <c r="J1797" s="12" t="b">
        <v>0</v>
      </c>
      <c r="K1797" s="12" t="b">
        <v>0</v>
      </c>
      <c r="L1797" s="12">
        <v>623.15</v>
      </c>
      <c r="M1797" s="12">
        <v>300.032917</v>
      </c>
      <c r="N1797" s="12">
        <v>2776.727436590294</v>
      </c>
      <c r="O1797" s="12">
        <v>439.75750084010292</v>
      </c>
      <c r="P1797" s="12">
        <v>0.75877111506000106</v>
      </c>
      <c r="Q1797" s="12">
        <v>0.61143346921346442</v>
      </c>
      <c r="R1797" s="12">
        <v>0.87770015812765079</v>
      </c>
      <c r="S1797" s="12">
        <v>0.4793482842548526</v>
      </c>
      <c r="T1797" s="12">
        <v>0.8018030452447571</v>
      </c>
      <c r="U1797" s="12">
        <v>0.489726016894033</v>
      </c>
      <c r="V1797" s="12">
        <v>300.032917</v>
      </c>
      <c r="W1797" s="12"/>
      <c r="X1797" s="12"/>
      <c r="Y1797" s="12">
        <v>2336.9699357501918</v>
      </c>
      <c r="Z1797" s="12">
        <v>6.3142241605559786</v>
      </c>
      <c r="AA1797" s="12"/>
      <c r="AB1797" s="12"/>
    </row>
    <row r="1798" spans="1:28" x14ac:dyDescent="0.3">
      <c r="A1798" s="12" t="s">
        <v>3710</v>
      </c>
      <c r="B1798" s="12" t="s">
        <v>170</v>
      </c>
      <c r="C1798" s="12" t="s">
        <v>430</v>
      </c>
      <c r="D1798" s="12" t="s">
        <v>721</v>
      </c>
      <c r="E1798" s="12" t="s">
        <v>2978</v>
      </c>
      <c r="F1798" s="12" t="s">
        <v>832</v>
      </c>
      <c r="G1798" s="12" t="s">
        <v>832</v>
      </c>
      <c r="H1798" s="12" t="b">
        <v>0</v>
      </c>
      <c r="I1798" s="12" t="b">
        <v>0</v>
      </c>
      <c r="J1798" s="12" t="b">
        <v>0</v>
      </c>
      <c r="K1798" s="12" t="b">
        <v>0</v>
      </c>
      <c r="L1798" s="12">
        <v>623.15</v>
      </c>
      <c r="M1798" s="12">
        <v>300.032917</v>
      </c>
      <c r="N1798" s="12">
        <v>2884.7954406049612</v>
      </c>
      <c r="O1798" s="12">
        <v>726.31676841161914</v>
      </c>
      <c r="P1798" s="12">
        <v>0.59052972104080292</v>
      </c>
      <c r="Q1798" s="12">
        <v>0.71616353580203784</v>
      </c>
      <c r="R1798" s="12">
        <v>0.74417300785491558</v>
      </c>
      <c r="S1798" s="12">
        <v>0.85295475827818557</v>
      </c>
      <c r="T1798" s="12">
        <v>0.88064548808261933</v>
      </c>
      <c r="U1798" s="12">
        <v>0.90411953494225661</v>
      </c>
      <c r="V1798" s="12">
        <v>300.032917</v>
      </c>
      <c r="W1798" s="12"/>
      <c r="X1798" s="12"/>
      <c r="Y1798" s="12">
        <v>2158.4786721933419</v>
      </c>
      <c r="Z1798" s="12">
        <v>3.9718144562650202</v>
      </c>
      <c r="AA1798" s="12"/>
      <c r="AB1798" s="12"/>
    </row>
    <row r="1799" spans="1:28" x14ac:dyDescent="0.3">
      <c r="A1799" s="12" t="s">
        <v>3711</v>
      </c>
      <c r="B1799" s="12" t="s">
        <v>170</v>
      </c>
      <c r="C1799" s="12" t="s">
        <v>430</v>
      </c>
      <c r="D1799" s="12" t="s">
        <v>721</v>
      </c>
      <c r="E1799" s="12" t="s">
        <v>2978</v>
      </c>
      <c r="F1799" s="12" t="s">
        <v>1862</v>
      </c>
      <c r="G1799" s="12" t="s">
        <v>1862</v>
      </c>
      <c r="H1799" s="12" t="b">
        <v>1</v>
      </c>
      <c r="I1799" s="12" t="b">
        <v>0</v>
      </c>
      <c r="J1799" s="12" t="b">
        <v>1</v>
      </c>
      <c r="K1799" s="12" t="b">
        <v>0</v>
      </c>
      <c r="L1799" s="12">
        <v>623.15</v>
      </c>
      <c r="M1799" s="12">
        <v>300.032917</v>
      </c>
      <c r="N1799" s="12">
        <v>4324.3518189810384</v>
      </c>
      <c r="O1799" s="12">
        <v>572.2184244159414</v>
      </c>
      <c r="P1799" s="12">
        <v>0.64915321105083856</v>
      </c>
      <c r="Q1799" s="12">
        <v>0.68830928158391813</v>
      </c>
      <c r="R1799" s="12">
        <v>0.50306460275507725</v>
      </c>
      <c r="S1799" s="12">
        <v>0.58246333822152674</v>
      </c>
      <c r="T1799" s="12">
        <v>0.51816496817733548</v>
      </c>
      <c r="U1799" s="12">
        <v>0.57580334844035697</v>
      </c>
      <c r="V1799" s="12">
        <v>300.032917</v>
      </c>
      <c r="W1799" s="12">
        <v>-6.9754150693807002</v>
      </c>
      <c r="X1799" s="12">
        <v>-60.439160358251293</v>
      </c>
      <c r="Y1799" s="12">
        <v>3752.1333945650972</v>
      </c>
      <c r="Z1799" s="12">
        <v>7.5571698401617677</v>
      </c>
      <c r="AA1799" s="12" t="s">
        <v>2513</v>
      </c>
      <c r="AB1799" s="12"/>
    </row>
    <row r="1800" spans="1:28" x14ac:dyDescent="0.3">
      <c r="A1800" s="12" t="s">
        <v>3712</v>
      </c>
      <c r="B1800" s="12" t="s">
        <v>170</v>
      </c>
      <c r="C1800" s="12" t="s">
        <v>430</v>
      </c>
      <c r="D1800" s="12" t="s">
        <v>721</v>
      </c>
      <c r="E1800" s="12" t="s">
        <v>2978</v>
      </c>
      <c r="F1800" s="12" t="s">
        <v>1862</v>
      </c>
      <c r="G1800" s="12" t="s">
        <v>1862</v>
      </c>
      <c r="H1800" s="12" t="b">
        <v>1</v>
      </c>
      <c r="I1800" s="12" t="b">
        <v>0</v>
      </c>
      <c r="J1800" s="12" t="b">
        <v>1</v>
      </c>
      <c r="K1800" s="12" t="b">
        <v>0</v>
      </c>
      <c r="L1800" s="12">
        <v>623.15</v>
      </c>
      <c r="M1800" s="12">
        <v>300.032917</v>
      </c>
      <c r="N1800" s="12">
        <v>4119.2945345377893</v>
      </c>
      <c r="O1800" s="12">
        <v>457.14303078273218</v>
      </c>
      <c r="P1800" s="12">
        <v>0.7267749171700898</v>
      </c>
      <c r="Q1800" s="12">
        <v>0.59526564302155571</v>
      </c>
      <c r="R1800" s="12">
        <v>0.75959563855537304</v>
      </c>
      <c r="S1800" s="12">
        <v>0.42086469644696339</v>
      </c>
      <c r="T1800" s="12">
        <v>0.50497506872482634</v>
      </c>
      <c r="U1800" s="12">
        <v>0.87222383303053164</v>
      </c>
      <c r="V1800" s="12">
        <v>300.032917</v>
      </c>
      <c r="W1800" s="12">
        <v>-1.7375625200035101</v>
      </c>
      <c r="X1800" s="12">
        <v>-11.96859435329333</v>
      </c>
      <c r="Y1800" s="12">
        <v>3662.1515037550571</v>
      </c>
      <c r="Z1800" s="12">
        <v>9.0109533716058756</v>
      </c>
      <c r="AA1800" s="12" t="s">
        <v>2513</v>
      </c>
      <c r="AB1800" s="12"/>
    </row>
    <row r="1801" spans="1:28" x14ac:dyDescent="0.3">
      <c r="A1801" s="12" t="s">
        <v>3713</v>
      </c>
      <c r="B1801" s="12" t="s">
        <v>170</v>
      </c>
      <c r="C1801" s="12" t="s">
        <v>430</v>
      </c>
      <c r="D1801" s="12" t="s">
        <v>721</v>
      </c>
      <c r="E1801" s="12" t="s">
        <v>2978</v>
      </c>
      <c r="F1801" s="12" t="s">
        <v>1862</v>
      </c>
      <c r="G1801" s="12" t="s">
        <v>1862</v>
      </c>
      <c r="H1801" s="12" t="b">
        <v>1</v>
      </c>
      <c r="I1801" s="12" t="b">
        <v>0</v>
      </c>
      <c r="J1801" s="12" t="b">
        <v>1</v>
      </c>
      <c r="K1801" s="12" t="b">
        <v>0</v>
      </c>
      <c r="L1801" s="12">
        <v>623.15</v>
      </c>
      <c r="M1801" s="12">
        <v>300.032917</v>
      </c>
      <c r="N1801" s="12">
        <v>2342.9523307605332</v>
      </c>
      <c r="O1801" s="12">
        <v>1136.0496655919201</v>
      </c>
      <c r="P1801" s="12">
        <v>0.53585262572326342</v>
      </c>
      <c r="Q1801" s="12">
        <v>0.54412011354298406</v>
      </c>
      <c r="R1801" s="12">
        <v>0.65297126382634096</v>
      </c>
      <c r="S1801" s="12">
        <v>0.80601360852301263</v>
      </c>
      <c r="T1801" s="12">
        <v>0.74034705117860788</v>
      </c>
      <c r="U1801" s="12">
        <v>0.79260028567945229</v>
      </c>
      <c r="V1801" s="12">
        <v>300.032917</v>
      </c>
      <c r="W1801" s="12">
        <v>2.6618567913137499</v>
      </c>
      <c r="X1801" s="12">
        <v>47.746492289360837</v>
      </c>
      <c r="Y1801" s="12">
        <v>1206.902665168612</v>
      </c>
      <c r="Z1801" s="12">
        <v>2.062367871513588</v>
      </c>
      <c r="AA1801" s="12" t="s">
        <v>3569</v>
      </c>
      <c r="AB1801" s="12"/>
    </row>
    <row r="1802" spans="1:28" x14ac:dyDescent="0.3">
      <c r="A1802" s="12" t="s">
        <v>3714</v>
      </c>
      <c r="B1802" s="12" t="s">
        <v>170</v>
      </c>
      <c r="C1802" s="12" t="s">
        <v>430</v>
      </c>
      <c r="D1802" s="12" t="s">
        <v>721</v>
      </c>
      <c r="E1802" s="12" t="s">
        <v>2978</v>
      </c>
      <c r="F1802" s="12" t="s">
        <v>832</v>
      </c>
      <c r="G1802" s="12" t="s">
        <v>832</v>
      </c>
      <c r="H1802" s="12" t="b">
        <v>0</v>
      </c>
      <c r="I1802" s="12" t="b">
        <v>0</v>
      </c>
      <c r="J1802" s="12" t="b">
        <v>0</v>
      </c>
      <c r="K1802" s="12" t="b">
        <v>0</v>
      </c>
      <c r="L1802" s="12">
        <v>623.15</v>
      </c>
      <c r="M1802" s="12">
        <v>300.032917</v>
      </c>
      <c r="N1802" s="12">
        <v>2611.522347354427</v>
      </c>
      <c r="O1802" s="12">
        <v>222.47859140792281</v>
      </c>
      <c r="P1802" s="12">
        <v>0.54366027620119728</v>
      </c>
      <c r="Q1802" s="12">
        <v>0.4192047621815565</v>
      </c>
      <c r="R1802" s="12">
        <v>0.6853013899577306</v>
      </c>
      <c r="S1802" s="12">
        <v>0.86886600909271405</v>
      </c>
      <c r="T1802" s="12">
        <v>0.64299115932425854</v>
      </c>
      <c r="U1802" s="12">
        <v>0.55796747229040788</v>
      </c>
      <c r="V1802" s="12">
        <v>300.032917</v>
      </c>
      <c r="W1802" s="12"/>
      <c r="X1802" s="12"/>
      <c r="Y1802" s="12">
        <v>2389.043755946504</v>
      </c>
      <c r="Z1802" s="12">
        <v>11.73830853039744</v>
      </c>
      <c r="AA1802" s="12"/>
      <c r="AB1802" s="12"/>
    </row>
    <row r="1803" spans="1:28" x14ac:dyDescent="0.3">
      <c r="A1803" s="12" t="s">
        <v>3715</v>
      </c>
      <c r="B1803" s="12" t="s">
        <v>170</v>
      </c>
      <c r="C1803" s="12" t="s">
        <v>430</v>
      </c>
      <c r="D1803" s="12" t="s">
        <v>721</v>
      </c>
      <c r="E1803" s="12" t="s">
        <v>2978</v>
      </c>
      <c r="F1803" s="12" t="s">
        <v>832</v>
      </c>
      <c r="G1803" s="12" t="s">
        <v>832</v>
      </c>
      <c r="H1803" s="12" t="b">
        <v>0</v>
      </c>
      <c r="I1803" s="12" t="b">
        <v>0</v>
      </c>
      <c r="J1803" s="12" t="b">
        <v>0</v>
      </c>
      <c r="K1803" s="12" t="b">
        <v>0</v>
      </c>
      <c r="L1803" s="12">
        <v>623.15</v>
      </c>
      <c r="M1803" s="12">
        <v>300.032917</v>
      </c>
      <c r="N1803" s="12">
        <v>2270.238421742054</v>
      </c>
      <c r="O1803" s="12">
        <v>796.80535791092836</v>
      </c>
      <c r="P1803" s="12">
        <v>0.84493897734027223</v>
      </c>
      <c r="Q1803" s="12">
        <v>0.71780983034911405</v>
      </c>
      <c r="R1803" s="12">
        <v>0.64751763602566892</v>
      </c>
      <c r="S1803" s="12">
        <v>0.90331713640691802</v>
      </c>
      <c r="T1803" s="12">
        <v>0.51457830147424966</v>
      </c>
      <c r="U1803" s="12">
        <v>0.88256881097215167</v>
      </c>
      <c r="V1803" s="12">
        <v>300.032917</v>
      </c>
      <c r="W1803" s="12"/>
      <c r="X1803" s="12"/>
      <c r="Y1803" s="12">
        <v>1473.4330638311251</v>
      </c>
      <c r="Z1803" s="12">
        <v>2.84917564773182</v>
      </c>
      <c r="AA1803" s="12"/>
      <c r="AB1803" s="12"/>
    </row>
    <row r="1804" spans="1:28" x14ac:dyDescent="0.3">
      <c r="A1804" s="12" t="s">
        <v>3716</v>
      </c>
      <c r="B1804" s="12" t="s">
        <v>170</v>
      </c>
      <c r="C1804" s="12" t="s">
        <v>430</v>
      </c>
      <c r="D1804" s="12" t="s">
        <v>721</v>
      </c>
      <c r="E1804" s="12" t="s">
        <v>2978</v>
      </c>
      <c r="F1804" s="12" t="s">
        <v>1861</v>
      </c>
      <c r="G1804" s="12" t="s">
        <v>1861</v>
      </c>
      <c r="H1804" s="12" t="b">
        <v>1</v>
      </c>
      <c r="I1804" s="12" t="b">
        <v>0</v>
      </c>
      <c r="J1804" s="12" t="b">
        <v>1</v>
      </c>
      <c r="K1804" s="12" t="b">
        <v>0</v>
      </c>
      <c r="L1804" s="12">
        <v>623.15</v>
      </c>
      <c r="M1804" s="12">
        <v>300.032917</v>
      </c>
      <c r="N1804" s="12">
        <v>2281.4903904499838</v>
      </c>
      <c r="O1804" s="12">
        <v>1492.1548126823359</v>
      </c>
      <c r="P1804" s="12">
        <v>0.57974896836620982</v>
      </c>
      <c r="Q1804" s="12">
        <v>0.81348074470460918</v>
      </c>
      <c r="R1804" s="12">
        <v>0.55295926302941822</v>
      </c>
      <c r="S1804" s="12">
        <v>0.62564523225422608</v>
      </c>
      <c r="T1804" s="12">
        <v>0.85826014578963505</v>
      </c>
      <c r="U1804" s="12">
        <v>0.84097803791505565</v>
      </c>
      <c r="V1804" s="12">
        <v>300.032917</v>
      </c>
      <c r="W1804" s="12">
        <v>3.2237276054853199</v>
      </c>
      <c r="X1804" s="12">
        <v>46.696295741818382</v>
      </c>
      <c r="Y1804" s="12">
        <v>789.33557776764815</v>
      </c>
      <c r="Z1804" s="12">
        <v>1.528990404386203</v>
      </c>
      <c r="AA1804" s="12" t="s">
        <v>1268</v>
      </c>
      <c r="AB1804" s="12"/>
    </row>
    <row r="1805" spans="1:28" x14ac:dyDescent="0.3">
      <c r="A1805" s="12" t="s">
        <v>3717</v>
      </c>
      <c r="B1805" s="12" t="s">
        <v>170</v>
      </c>
      <c r="C1805" s="12" t="s">
        <v>430</v>
      </c>
      <c r="D1805" s="12" t="s">
        <v>721</v>
      </c>
      <c r="E1805" s="12" t="s">
        <v>2978</v>
      </c>
      <c r="F1805" s="12" t="s">
        <v>32</v>
      </c>
      <c r="G1805" s="12" t="s">
        <v>32</v>
      </c>
      <c r="H1805" s="12" t="b">
        <v>1</v>
      </c>
      <c r="I1805" s="12" t="b">
        <v>1</v>
      </c>
      <c r="J1805" s="12" t="b">
        <v>0</v>
      </c>
      <c r="K1805" s="12" t="b">
        <v>0</v>
      </c>
      <c r="L1805" s="12">
        <v>623.15</v>
      </c>
      <c r="M1805" s="12">
        <v>300.032917</v>
      </c>
      <c r="N1805" s="12">
        <v>3207.5192377314611</v>
      </c>
      <c r="O1805" s="12">
        <v>1965.6210847776449</v>
      </c>
      <c r="P1805" s="12">
        <v>0.71341925055061983</v>
      </c>
      <c r="Q1805" s="12">
        <v>0.8348616003705871</v>
      </c>
      <c r="R1805" s="12">
        <v>0.86600019790591554</v>
      </c>
      <c r="S1805" s="12">
        <v>0.4652155556182947</v>
      </c>
      <c r="T1805" s="12">
        <v>0.76321516694428038</v>
      </c>
      <c r="U1805" s="12">
        <v>0.85450285626405842</v>
      </c>
      <c r="V1805" s="12">
        <v>300.032917</v>
      </c>
      <c r="W1805" s="12">
        <v>4.3534950485539499</v>
      </c>
      <c r="X1805" s="12">
        <v>44.234197938970389</v>
      </c>
      <c r="Y1805" s="12">
        <v>1241.898152953815</v>
      </c>
      <c r="Z1805" s="12">
        <v>1.6318095397792809</v>
      </c>
      <c r="AA1805" s="12"/>
      <c r="AB1805" s="12"/>
    </row>
    <row r="1806" spans="1:28" x14ac:dyDescent="0.3">
      <c r="A1806" s="12" t="s">
        <v>3718</v>
      </c>
      <c r="B1806" s="12" t="s">
        <v>170</v>
      </c>
      <c r="C1806" s="12" t="s">
        <v>430</v>
      </c>
      <c r="D1806" s="12" t="s">
        <v>721</v>
      </c>
      <c r="E1806" s="12" t="s">
        <v>2978</v>
      </c>
      <c r="F1806" s="12" t="s">
        <v>1862</v>
      </c>
      <c r="G1806" s="12" t="s">
        <v>1862</v>
      </c>
      <c r="H1806" s="12" t="b">
        <v>1</v>
      </c>
      <c r="I1806" s="12" t="b">
        <v>0</v>
      </c>
      <c r="J1806" s="12" t="b">
        <v>1</v>
      </c>
      <c r="K1806" s="12" t="b">
        <v>0</v>
      </c>
      <c r="L1806" s="12">
        <v>623.15</v>
      </c>
      <c r="M1806" s="12">
        <v>300.032917</v>
      </c>
      <c r="N1806" s="12">
        <v>4644.311816525058</v>
      </c>
      <c r="O1806" s="12">
        <v>1686.266109972614</v>
      </c>
      <c r="P1806" s="12">
        <v>0.6535006779102488</v>
      </c>
      <c r="Q1806" s="12">
        <v>0.68097870118233761</v>
      </c>
      <c r="R1806" s="12">
        <v>0.41644349135252612</v>
      </c>
      <c r="S1806" s="12">
        <v>0.45534121493649637</v>
      </c>
      <c r="T1806" s="12">
        <v>0.82576610121460359</v>
      </c>
      <c r="U1806" s="12">
        <v>0.5495064178048078</v>
      </c>
      <c r="V1806" s="12">
        <v>300.032917</v>
      </c>
      <c r="W1806" s="12">
        <v>-3.0902458856194999</v>
      </c>
      <c r="X1806" s="12">
        <v>-23.905248336956191</v>
      </c>
      <c r="Y1806" s="12">
        <v>2958.0457065524438</v>
      </c>
      <c r="Z1806" s="12">
        <v>2.7541986339276461</v>
      </c>
      <c r="AA1806" s="12" t="s">
        <v>2513</v>
      </c>
      <c r="AB1806" s="12"/>
    </row>
    <row r="1807" spans="1:28" x14ac:dyDescent="0.3">
      <c r="A1807" s="12" t="s">
        <v>3719</v>
      </c>
      <c r="B1807" s="12" t="s">
        <v>170</v>
      </c>
      <c r="C1807" s="12" t="s">
        <v>430</v>
      </c>
      <c r="D1807" s="12" t="s">
        <v>721</v>
      </c>
      <c r="E1807" s="12" t="s">
        <v>2978</v>
      </c>
      <c r="F1807" s="12" t="s">
        <v>832</v>
      </c>
      <c r="G1807" s="12" t="s">
        <v>832</v>
      </c>
      <c r="H1807" s="12" t="b">
        <v>0</v>
      </c>
      <c r="I1807" s="12" t="b">
        <v>0</v>
      </c>
      <c r="J1807" s="12" t="b">
        <v>0</v>
      </c>
      <c r="K1807" s="12" t="b">
        <v>0</v>
      </c>
      <c r="L1807" s="12">
        <v>623.15</v>
      </c>
      <c r="M1807" s="12">
        <v>300.032917</v>
      </c>
      <c r="N1807" s="12">
        <v>4094.9566647205888</v>
      </c>
      <c r="O1807" s="12">
        <v>780.69535184295637</v>
      </c>
      <c r="P1807" s="12">
        <v>0.83965169408287788</v>
      </c>
      <c r="Q1807" s="12">
        <v>0.50541840103155711</v>
      </c>
      <c r="R1807" s="12">
        <v>0.52480734710347976</v>
      </c>
      <c r="S1807" s="12">
        <v>0.6488119298315449</v>
      </c>
      <c r="T1807" s="12">
        <v>0.90078225211665541</v>
      </c>
      <c r="U1807" s="12">
        <v>0.42646298619766831</v>
      </c>
      <c r="V1807" s="12">
        <v>300.032917</v>
      </c>
      <c r="W1807" s="12"/>
      <c r="X1807" s="12"/>
      <c r="Y1807" s="12">
        <v>3314.261312877632</v>
      </c>
      <c r="Z1807" s="12">
        <v>5.2452684072651232</v>
      </c>
      <c r="AA1807" s="12"/>
      <c r="AB1807" s="12"/>
    </row>
    <row r="1808" spans="1:28" x14ac:dyDescent="0.3">
      <c r="A1808" s="12" t="s">
        <v>3720</v>
      </c>
      <c r="B1808" s="12" t="s">
        <v>170</v>
      </c>
      <c r="C1808" s="12" t="s">
        <v>430</v>
      </c>
      <c r="D1808" s="12" t="s">
        <v>721</v>
      </c>
      <c r="E1808" s="12" t="s">
        <v>2978</v>
      </c>
      <c r="F1808" s="12" t="s">
        <v>832</v>
      </c>
      <c r="G1808" s="12" t="s">
        <v>832</v>
      </c>
      <c r="H1808" s="12" t="b">
        <v>0</v>
      </c>
      <c r="I1808" s="12" t="b">
        <v>0</v>
      </c>
      <c r="J1808" s="12" t="b">
        <v>0</v>
      </c>
      <c r="K1808" s="12" t="b">
        <v>0</v>
      </c>
      <c r="L1808" s="12">
        <v>623.15</v>
      </c>
      <c r="M1808" s="12">
        <v>300.032917</v>
      </c>
      <c r="N1808" s="12">
        <v>3112.6688341816189</v>
      </c>
      <c r="O1808" s="12">
        <v>1896.9266868107779</v>
      </c>
      <c r="P1808" s="12">
        <v>0.52554058390172287</v>
      </c>
      <c r="Q1808" s="12">
        <v>0.41144034802157592</v>
      </c>
      <c r="R1808" s="12">
        <v>0.62146728653997307</v>
      </c>
      <c r="S1808" s="12">
        <v>0.83652187005442147</v>
      </c>
      <c r="T1808" s="12">
        <v>0.89341759719623526</v>
      </c>
      <c r="U1808" s="12">
        <v>0.6375524466957645</v>
      </c>
      <c r="V1808" s="12">
        <v>300.032917</v>
      </c>
      <c r="W1808" s="12"/>
      <c r="X1808" s="12"/>
      <c r="Y1808" s="12">
        <v>1215.74214737084</v>
      </c>
      <c r="Z1808" s="12">
        <v>1.640900966718337</v>
      </c>
      <c r="AA1808" s="12"/>
      <c r="AB1808" s="12"/>
    </row>
    <row r="1809" spans="1:28" x14ac:dyDescent="0.3">
      <c r="A1809" s="12" t="s">
        <v>3721</v>
      </c>
      <c r="B1809" s="12" t="s">
        <v>170</v>
      </c>
      <c r="C1809" s="12" t="s">
        <v>430</v>
      </c>
      <c r="D1809" s="12" t="s">
        <v>721</v>
      </c>
      <c r="E1809" s="12" t="s">
        <v>2978</v>
      </c>
      <c r="F1809" s="12" t="s">
        <v>1862</v>
      </c>
      <c r="G1809" s="12" t="s">
        <v>1862</v>
      </c>
      <c r="H1809" s="12" t="b">
        <v>1</v>
      </c>
      <c r="I1809" s="12" t="b">
        <v>0</v>
      </c>
      <c r="J1809" s="12" t="b">
        <v>1</v>
      </c>
      <c r="K1809" s="12" t="b">
        <v>0</v>
      </c>
      <c r="L1809" s="12">
        <v>623.15</v>
      </c>
      <c r="M1809" s="12">
        <v>300.032917</v>
      </c>
      <c r="N1809" s="12">
        <v>4131.499397817609</v>
      </c>
      <c r="O1809" s="12">
        <v>1523.7656013583189</v>
      </c>
      <c r="P1809" s="12">
        <v>0.54534502222281223</v>
      </c>
      <c r="Q1809" s="12">
        <v>0.65800741628209403</v>
      </c>
      <c r="R1809" s="12">
        <v>0.59557705237067549</v>
      </c>
      <c r="S1809" s="12">
        <v>0.54909561026727871</v>
      </c>
      <c r="T1809" s="12">
        <v>0.44520942526242152</v>
      </c>
      <c r="U1809" s="12">
        <v>0.47166208134446641</v>
      </c>
      <c r="V1809" s="12">
        <v>300.032917</v>
      </c>
      <c r="W1809" s="12">
        <v>-1.94758803768349</v>
      </c>
      <c r="X1809" s="12">
        <v>-16.68332519454491</v>
      </c>
      <c r="Y1809" s="12">
        <v>2607.7337964592898</v>
      </c>
      <c r="Z1809" s="12">
        <v>2.7113746327746839</v>
      </c>
      <c r="AA1809" s="12" t="s">
        <v>2513</v>
      </c>
      <c r="AB1809" s="12"/>
    </row>
    <row r="1810" spans="1:28" x14ac:dyDescent="0.3">
      <c r="A1810" s="12" t="s">
        <v>3722</v>
      </c>
      <c r="B1810" s="12" t="s">
        <v>170</v>
      </c>
      <c r="C1810" s="12" t="s">
        <v>430</v>
      </c>
      <c r="D1810" s="12" t="s">
        <v>721</v>
      </c>
      <c r="E1810" s="12" t="s">
        <v>2978</v>
      </c>
      <c r="F1810" s="12" t="s">
        <v>832</v>
      </c>
      <c r="G1810" s="12" t="s">
        <v>832</v>
      </c>
      <c r="H1810" s="12" t="b">
        <v>0</v>
      </c>
      <c r="I1810" s="12" t="b">
        <v>0</v>
      </c>
      <c r="J1810" s="12" t="b">
        <v>0</v>
      </c>
      <c r="K1810" s="12" t="b">
        <v>0</v>
      </c>
      <c r="L1810" s="12">
        <v>623.15</v>
      </c>
      <c r="M1810" s="12">
        <v>300.032917</v>
      </c>
      <c r="N1810" s="12">
        <v>2979.3880036330202</v>
      </c>
      <c r="O1810" s="12">
        <v>508.00009975005651</v>
      </c>
      <c r="P1810" s="12">
        <v>0.56293475613923427</v>
      </c>
      <c r="Q1810" s="12">
        <v>0.43417903911329497</v>
      </c>
      <c r="R1810" s="12">
        <v>0.63073563107125108</v>
      </c>
      <c r="S1810" s="12">
        <v>0.83222357158907201</v>
      </c>
      <c r="T1810" s="12">
        <v>0.42635357788654998</v>
      </c>
      <c r="U1810" s="12">
        <v>0.80040564627657496</v>
      </c>
      <c r="V1810" s="12">
        <v>300.032917</v>
      </c>
      <c r="W1810" s="12"/>
      <c r="X1810" s="12"/>
      <c r="Y1810" s="12">
        <v>2471.3879038829632</v>
      </c>
      <c r="Z1810" s="12">
        <v>5.8649358633963304</v>
      </c>
      <c r="AA1810" s="12"/>
      <c r="AB1810" s="12"/>
    </row>
    <row r="1811" spans="1:28" x14ac:dyDescent="0.3">
      <c r="A1811" s="12" t="s">
        <v>3723</v>
      </c>
      <c r="B1811" s="12" t="s">
        <v>170</v>
      </c>
      <c r="C1811" s="12" t="s">
        <v>430</v>
      </c>
      <c r="D1811" s="12" t="s">
        <v>721</v>
      </c>
      <c r="E1811" s="12" t="s">
        <v>2978</v>
      </c>
      <c r="F1811" s="12" t="s">
        <v>1861</v>
      </c>
      <c r="G1811" s="12" t="s">
        <v>1861</v>
      </c>
      <c r="H1811" s="12" t="b">
        <v>1</v>
      </c>
      <c r="I1811" s="12" t="b">
        <v>0</v>
      </c>
      <c r="J1811" s="12" t="b">
        <v>1</v>
      </c>
      <c r="K1811" s="12" t="b">
        <v>0</v>
      </c>
      <c r="L1811" s="12">
        <v>623.15</v>
      </c>
      <c r="M1811" s="12">
        <v>300.032917</v>
      </c>
      <c r="N1811" s="12">
        <v>2576.2668072982478</v>
      </c>
      <c r="O1811" s="12">
        <v>301.32416839733878</v>
      </c>
      <c r="P1811" s="12">
        <v>0.51230636153268105</v>
      </c>
      <c r="Q1811" s="12">
        <v>0.63899405137342002</v>
      </c>
      <c r="R1811" s="12">
        <v>0.46049102748441378</v>
      </c>
      <c r="S1811" s="12">
        <v>0.55885271465808006</v>
      </c>
      <c r="T1811" s="12">
        <v>0.79326945379155012</v>
      </c>
      <c r="U1811" s="12">
        <v>0.90665344800745362</v>
      </c>
      <c r="V1811" s="12">
        <v>300.032917</v>
      </c>
      <c r="W1811" s="12">
        <v>8.6063188416007304</v>
      </c>
      <c r="X1811" s="12">
        <v>112.9534619136703</v>
      </c>
      <c r="Y1811" s="12">
        <v>2274.9426389009091</v>
      </c>
      <c r="Z1811" s="12">
        <v>8.5498180282076603</v>
      </c>
      <c r="AA1811" s="12" t="s">
        <v>1268</v>
      </c>
      <c r="AB1811" s="12"/>
    </row>
    <row r="1812" spans="1:28" x14ac:dyDescent="0.3">
      <c r="A1812" s="12" t="s">
        <v>3724</v>
      </c>
      <c r="B1812" s="12" t="s">
        <v>170</v>
      </c>
      <c r="C1812" s="12" t="s">
        <v>430</v>
      </c>
      <c r="D1812" s="12" t="s">
        <v>721</v>
      </c>
      <c r="E1812" s="12" t="s">
        <v>2978</v>
      </c>
      <c r="F1812" s="12" t="s">
        <v>1862</v>
      </c>
      <c r="G1812" s="12" t="s">
        <v>1862</v>
      </c>
      <c r="H1812" s="12" t="b">
        <v>1</v>
      </c>
      <c r="I1812" s="12" t="b">
        <v>0</v>
      </c>
      <c r="J1812" s="12" t="b">
        <v>1</v>
      </c>
      <c r="K1812" s="12" t="b">
        <v>0</v>
      </c>
      <c r="L1812" s="12">
        <v>623.15</v>
      </c>
      <c r="M1812" s="12">
        <v>300.032917</v>
      </c>
      <c r="N1812" s="12">
        <v>4933.0203256811355</v>
      </c>
      <c r="O1812" s="12">
        <v>1753.3988631352399</v>
      </c>
      <c r="P1812" s="12">
        <v>0.67990542356220574</v>
      </c>
      <c r="Q1812" s="12">
        <v>0.44942622771275448</v>
      </c>
      <c r="R1812" s="12">
        <v>0.5815992424640174</v>
      </c>
      <c r="S1812" s="12">
        <v>0.53002990827968921</v>
      </c>
      <c r="T1812" s="12">
        <v>0.64849999025364635</v>
      </c>
      <c r="U1812" s="12">
        <v>0.42025121428481188</v>
      </c>
      <c r="V1812" s="12">
        <v>300.032917</v>
      </c>
      <c r="W1812" s="12">
        <v>-13.267657501264869</v>
      </c>
      <c r="X1812" s="12">
        <v>-88.820494208959943</v>
      </c>
      <c r="Y1812" s="12">
        <v>3179.621462545897</v>
      </c>
      <c r="Z1812" s="12">
        <v>2.8134045421133891</v>
      </c>
      <c r="AA1812" s="12" t="s">
        <v>2513</v>
      </c>
      <c r="AB1812" s="12"/>
    </row>
    <row r="1813" spans="1:28" x14ac:dyDescent="0.3">
      <c r="A1813" s="12" t="s">
        <v>3725</v>
      </c>
      <c r="B1813" s="12" t="s">
        <v>170</v>
      </c>
      <c r="C1813" s="12" t="s">
        <v>430</v>
      </c>
      <c r="D1813" s="12" t="s">
        <v>721</v>
      </c>
      <c r="E1813" s="12" t="s">
        <v>2978</v>
      </c>
      <c r="F1813" s="12" t="s">
        <v>832</v>
      </c>
      <c r="G1813" s="12" t="s">
        <v>832</v>
      </c>
      <c r="H1813" s="12" t="b">
        <v>0</v>
      </c>
      <c r="I1813" s="12" t="b">
        <v>0</v>
      </c>
      <c r="J1813" s="12" t="b">
        <v>0</v>
      </c>
      <c r="K1813" s="12" t="b">
        <v>0</v>
      </c>
      <c r="L1813" s="12">
        <v>623.15</v>
      </c>
      <c r="M1813" s="12">
        <v>300.032917</v>
      </c>
      <c r="N1813" s="12">
        <v>4258.4414246327578</v>
      </c>
      <c r="O1813" s="12">
        <v>1153.1459118808541</v>
      </c>
      <c r="P1813" s="12">
        <v>0.74498354806260725</v>
      </c>
      <c r="Q1813" s="12">
        <v>0.58705023939453849</v>
      </c>
      <c r="R1813" s="12">
        <v>0.93746614553476515</v>
      </c>
      <c r="S1813" s="12">
        <v>0.77032806617029626</v>
      </c>
      <c r="T1813" s="12">
        <v>0.4038396383266814</v>
      </c>
      <c r="U1813" s="12">
        <v>0.60893165111583225</v>
      </c>
      <c r="V1813" s="12">
        <v>300.032917</v>
      </c>
      <c r="W1813" s="12"/>
      <c r="X1813" s="12"/>
      <c r="Y1813" s="12">
        <v>3105.295512751904</v>
      </c>
      <c r="Z1813" s="12">
        <v>3.6928903625795022</v>
      </c>
      <c r="AA1813" s="12"/>
      <c r="AB1813" s="12"/>
    </row>
    <row r="1814" spans="1:28" x14ac:dyDescent="0.3">
      <c r="A1814" s="12" t="s">
        <v>3726</v>
      </c>
      <c r="B1814" s="12" t="s">
        <v>170</v>
      </c>
      <c r="C1814" s="12" t="s">
        <v>430</v>
      </c>
      <c r="D1814" s="12" t="s">
        <v>721</v>
      </c>
      <c r="E1814" s="12" t="s">
        <v>2978</v>
      </c>
      <c r="F1814" s="12" t="s">
        <v>1861</v>
      </c>
      <c r="G1814" s="12" t="s">
        <v>1861</v>
      </c>
      <c r="H1814" s="12" t="b">
        <v>1</v>
      </c>
      <c r="I1814" s="12" t="b">
        <v>0</v>
      </c>
      <c r="J1814" s="12" t="b">
        <v>1</v>
      </c>
      <c r="K1814" s="12" t="b">
        <v>0</v>
      </c>
      <c r="L1814" s="12">
        <v>623.15</v>
      </c>
      <c r="M1814" s="12">
        <v>300.032917</v>
      </c>
      <c r="N1814" s="12">
        <v>3471.4825750997111</v>
      </c>
      <c r="O1814" s="12">
        <v>1793.187018980638</v>
      </c>
      <c r="P1814" s="12">
        <v>0.61198454748520403</v>
      </c>
      <c r="Q1814" s="12">
        <v>0.57400875910275861</v>
      </c>
      <c r="R1814" s="12">
        <v>0.81226749592795966</v>
      </c>
      <c r="S1814" s="12">
        <v>0.60071648593895788</v>
      </c>
      <c r="T1814" s="12">
        <v>0.87509603050724061</v>
      </c>
      <c r="U1814" s="12">
        <v>0.81733546736906859</v>
      </c>
      <c r="V1814" s="12">
        <v>300.032917</v>
      </c>
      <c r="W1814" s="12">
        <v>3.6534683939687</v>
      </c>
      <c r="X1814" s="12">
        <v>48.604000345541053</v>
      </c>
      <c r="Y1814" s="12">
        <v>1678.2955561190729</v>
      </c>
      <c r="Z1814" s="12">
        <v>1.935928901087586</v>
      </c>
      <c r="AA1814" s="12" t="s">
        <v>1268</v>
      </c>
      <c r="AB1814" s="12"/>
    </row>
    <row r="1815" spans="1:28" x14ac:dyDescent="0.3">
      <c r="A1815" s="12" t="s">
        <v>3727</v>
      </c>
      <c r="B1815" s="12" t="s">
        <v>170</v>
      </c>
      <c r="C1815" s="12" t="s">
        <v>430</v>
      </c>
      <c r="D1815" s="12" t="s">
        <v>721</v>
      </c>
      <c r="E1815" s="12" t="s">
        <v>2978</v>
      </c>
      <c r="F1815" s="12" t="s">
        <v>1862</v>
      </c>
      <c r="G1815" s="12" t="s">
        <v>1862</v>
      </c>
      <c r="H1815" s="12" t="b">
        <v>1</v>
      </c>
      <c r="I1815" s="12" t="b">
        <v>0</v>
      </c>
      <c r="J1815" s="12" t="b">
        <v>1</v>
      </c>
      <c r="K1815" s="12" t="b">
        <v>0</v>
      </c>
      <c r="L1815" s="12">
        <v>623.15</v>
      </c>
      <c r="M1815" s="12">
        <v>300.032917</v>
      </c>
      <c r="N1815" s="12">
        <v>3706.4376180252571</v>
      </c>
      <c r="O1815" s="12">
        <v>202.1395101625765</v>
      </c>
      <c r="P1815" s="12">
        <v>0.62835447212159745</v>
      </c>
      <c r="Q1815" s="12">
        <v>0.73951574894787075</v>
      </c>
      <c r="R1815" s="12">
        <v>0.83537323864437107</v>
      </c>
      <c r="S1815" s="12">
        <v>0.50950160203788664</v>
      </c>
      <c r="T1815" s="12">
        <v>0.67469055792649013</v>
      </c>
      <c r="U1815" s="12">
        <v>0.59168679131655788</v>
      </c>
      <c r="V1815" s="12">
        <v>300.032917</v>
      </c>
      <c r="W1815" s="12">
        <v>-2.6900322200219402</v>
      </c>
      <c r="X1815" s="12">
        <v>-16.929205828537189</v>
      </c>
      <c r="Y1815" s="12">
        <v>3504.2981078626799</v>
      </c>
      <c r="Z1815" s="12">
        <v>18.33603739835052</v>
      </c>
      <c r="AA1815" s="12" t="s">
        <v>2571</v>
      </c>
      <c r="AB1815" s="12"/>
    </row>
    <row r="1816" spans="1:28" x14ac:dyDescent="0.3">
      <c r="A1816" s="12" t="s">
        <v>3728</v>
      </c>
      <c r="B1816" s="12" t="s">
        <v>170</v>
      </c>
      <c r="C1816" s="12" t="s">
        <v>430</v>
      </c>
      <c r="D1816" s="12" t="s">
        <v>721</v>
      </c>
      <c r="E1816" s="12" t="s">
        <v>2978</v>
      </c>
      <c r="F1816" s="12" t="s">
        <v>832</v>
      </c>
      <c r="G1816" s="12" t="s">
        <v>832</v>
      </c>
      <c r="H1816" s="12" t="b">
        <v>0</v>
      </c>
      <c r="I1816" s="12" t="b">
        <v>0</v>
      </c>
      <c r="J1816" s="12" t="b">
        <v>0</v>
      </c>
      <c r="K1816" s="12" t="b">
        <v>0</v>
      </c>
      <c r="L1816" s="12">
        <v>623.15</v>
      </c>
      <c r="M1816" s="12">
        <v>300.032917</v>
      </c>
      <c r="N1816" s="12">
        <v>2670.2140366660728</v>
      </c>
      <c r="O1816" s="12">
        <v>597.21508964360532</v>
      </c>
      <c r="P1816" s="12">
        <v>0.59375323779742362</v>
      </c>
      <c r="Q1816" s="12">
        <v>0.53058781778431485</v>
      </c>
      <c r="R1816" s="12">
        <v>0.8877042287632374</v>
      </c>
      <c r="S1816" s="12">
        <v>0.81396453325463458</v>
      </c>
      <c r="T1816" s="12">
        <v>0.74909211373024065</v>
      </c>
      <c r="U1816" s="12">
        <v>0.569164976590536</v>
      </c>
      <c r="V1816" s="12">
        <v>300.032917</v>
      </c>
      <c r="W1816" s="12"/>
      <c r="X1816" s="12"/>
      <c r="Y1816" s="12">
        <v>2072.9989470224682</v>
      </c>
      <c r="Z1816" s="12">
        <v>4.4711094595073826</v>
      </c>
      <c r="AA1816" s="12"/>
      <c r="AB1816" s="12"/>
    </row>
    <row r="1817" spans="1:28" x14ac:dyDescent="0.3">
      <c r="A1817" s="12" t="s">
        <v>3729</v>
      </c>
      <c r="B1817" s="12" t="s">
        <v>170</v>
      </c>
      <c r="C1817" s="12" t="s">
        <v>430</v>
      </c>
      <c r="D1817" s="12" t="s">
        <v>721</v>
      </c>
      <c r="E1817" s="12" t="s">
        <v>2978</v>
      </c>
      <c r="F1817" s="12" t="s">
        <v>832</v>
      </c>
      <c r="G1817" s="12" t="s">
        <v>832</v>
      </c>
      <c r="H1817" s="12" t="b">
        <v>0</v>
      </c>
      <c r="I1817" s="12" t="b">
        <v>0</v>
      </c>
      <c r="J1817" s="12" t="b">
        <v>0</v>
      </c>
      <c r="K1817" s="12" t="b">
        <v>0</v>
      </c>
      <c r="L1817" s="12">
        <v>623.15</v>
      </c>
      <c r="M1817" s="12">
        <v>300.032917</v>
      </c>
      <c r="N1817" s="12">
        <v>4440.0006621728153</v>
      </c>
      <c r="O1817" s="12">
        <v>1682.8471164232919</v>
      </c>
      <c r="P1817" s="12">
        <v>0.6851007586644009</v>
      </c>
      <c r="Q1817" s="12">
        <v>0.87541098937656314</v>
      </c>
      <c r="R1817" s="12">
        <v>0.7201830836743639</v>
      </c>
      <c r="S1817" s="12">
        <v>0.87709620223031803</v>
      </c>
      <c r="T1817" s="12">
        <v>0.91983513829704422</v>
      </c>
      <c r="U1817" s="12">
        <v>0.52234663444046381</v>
      </c>
      <c r="V1817" s="12">
        <v>300.032917</v>
      </c>
      <c r="W1817" s="12"/>
      <c r="X1817" s="12"/>
      <c r="Y1817" s="12">
        <v>2757.1535457495238</v>
      </c>
      <c r="Z1817" s="12">
        <v>2.6383862317864941</v>
      </c>
      <c r="AA1817" s="12"/>
      <c r="AB1817" s="12"/>
    </row>
    <row r="1818" spans="1:28" x14ac:dyDescent="0.3">
      <c r="A1818" s="12" t="s">
        <v>3730</v>
      </c>
      <c r="B1818" s="12" t="s">
        <v>170</v>
      </c>
      <c r="C1818" s="12" t="s">
        <v>430</v>
      </c>
      <c r="D1818" s="12" t="s">
        <v>721</v>
      </c>
      <c r="E1818" s="12" t="s">
        <v>2978</v>
      </c>
      <c r="F1818" s="12" t="s">
        <v>832</v>
      </c>
      <c r="G1818" s="12" t="s">
        <v>832</v>
      </c>
      <c r="H1818" s="12" t="b">
        <v>0</v>
      </c>
      <c r="I1818" s="12" t="b">
        <v>0</v>
      </c>
      <c r="J1818" s="12" t="b">
        <v>0</v>
      </c>
      <c r="K1818" s="12" t="b">
        <v>0</v>
      </c>
      <c r="L1818" s="12">
        <v>623.15</v>
      </c>
      <c r="M1818" s="12">
        <v>300.032917</v>
      </c>
      <c r="N1818" s="12">
        <v>2317.5183035960299</v>
      </c>
      <c r="O1818" s="12">
        <v>1447.740268610238</v>
      </c>
      <c r="P1818" s="12">
        <v>0.75313830897166523</v>
      </c>
      <c r="Q1818" s="12">
        <v>0.43769058960125917</v>
      </c>
      <c r="R1818" s="12">
        <v>0.47695707816015442</v>
      </c>
      <c r="S1818" s="12">
        <v>0.68512010524311884</v>
      </c>
      <c r="T1818" s="12">
        <v>0.74401849259699337</v>
      </c>
      <c r="U1818" s="12">
        <v>0.49680260498674311</v>
      </c>
      <c r="V1818" s="12">
        <v>300.032917</v>
      </c>
      <c r="W1818" s="12"/>
      <c r="X1818" s="12"/>
      <c r="Y1818" s="12">
        <v>869.77803498579192</v>
      </c>
      <c r="Z1818" s="12">
        <v>1.6007832025151429</v>
      </c>
      <c r="AA1818" s="12"/>
      <c r="AB1818" s="12"/>
    </row>
    <row r="1819" spans="1:28" x14ac:dyDescent="0.3">
      <c r="A1819" s="12" t="s">
        <v>3731</v>
      </c>
      <c r="B1819" s="12" t="s">
        <v>170</v>
      </c>
      <c r="C1819" s="12" t="s">
        <v>430</v>
      </c>
      <c r="D1819" s="12" t="s">
        <v>721</v>
      </c>
      <c r="E1819" s="12" t="s">
        <v>2978</v>
      </c>
      <c r="F1819" s="12" t="s">
        <v>1861</v>
      </c>
      <c r="G1819" s="12" t="s">
        <v>1861</v>
      </c>
      <c r="H1819" s="12" t="b">
        <v>1</v>
      </c>
      <c r="I1819" s="12" t="b">
        <v>0</v>
      </c>
      <c r="J1819" s="12" t="b">
        <v>1</v>
      </c>
      <c r="K1819" s="12" t="b">
        <v>0</v>
      </c>
      <c r="L1819" s="12">
        <v>623.15</v>
      </c>
      <c r="M1819" s="12">
        <v>300.032917</v>
      </c>
      <c r="N1819" s="12">
        <v>2044.1956790557761</v>
      </c>
      <c r="O1819" s="12">
        <v>576.26265014812168</v>
      </c>
      <c r="P1819" s="12">
        <v>0.53992335887882126</v>
      </c>
      <c r="Q1819" s="12">
        <v>0.86831872616255779</v>
      </c>
      <c r="R1819" s="12">
        <v>0.78930703590163676</v>
      </c>
      <c r="S1819" s="12">
        <v>0.5241335976184256</v>
      </c>
      <c r="T1819" s="12">
        <v>0.59868846443875823</v>
      </c>
      <c r="U1819" s="12">
        <v>0.7462711617373613</v>
      </c>
      <c r="V1819" s="12">
        <v>300.032917</v>
      </c>
      <c r="W1819" s="12">
        <v>8.5240654217766902</v>
      </c>
      <c r="X1819" s="12">
        <v>100.4017428162248</v>
      </c>
      <c r="Y1819" s="12">
        <v>1467.933028907654</v>
      </c>
      <c r="Z1819" s="12">
        <v>3.547333283755834</v>
      </c>
      <c r="AA1819" s="12" t="s">
        <v>1268</v>
      </c>
      <c r="AB1819" s="12"/>
    </row>
    <row r="1820" spans="1:28" x14ac:dyDescent="0.3">
      <c r="A1820" s="12" t="s">
        <v>3732</v>
      </c>
      <c r="B1820" s="12" t="s">
        <v>170</v>
      </c>
      <c r="C1820" s="12" t="s">
        <v>430</v>
      </c>
      <c r="D1820" s="12" t="s">
        <v>721</v>
      </c>
      <c r="E1820" s="12" t="s">
        <v>2978</v>
      </c>
      <c r="F1820" s="12" t="s">
        <v>832</v>
      </c>
      <c r="G1820" s="12" t="s">
        <v>832</v>
      </c>
      <c r="H1820" s="12" t="b">
        <v>0</v>
      </c>
      <c r="I1820" s="12" t="b">
        <v>0</v>
      </c>
      <c r="J1820" s="12" t="b">
        <v>0</v>
      </c>
      <c r="K1820" s="12" t="b">
        <v>0</v>
      </c>
      <c r="L1820" s="12">
        <v>623.15</v>
      </c>
      <c r="M1820" s="12">
        <v>300.032917</v>
      </c>
      <c r="N1820" s="12">
        <v>2682.8190813152951</v>
      </c>
      <c r="O1820" s="12">
        <v>948.73280083851921</v>
      </c>
      <c r="P1820" s="12">
        <v>0.71627497645727289</v>
      </c>
      <c r="Q1820" s="12">
        <v>0.70906414035101728</v>
      </c>
      <c r="R1820" s="12">
        <v>0.53318345999655015</v>
      </c>
      <c r="S1820" s="12">
        <v>0.66225835501808827</v>
      </c>
      <c r="T1820" s="12">
        <v>0.92384367339090923</v>
      </c>
      <c r="U1820" s="12">
        <v>0.4543223867828895</v>
      </c>
      <c r="V1820" s="12">
        <v>300.032917</v>
      </c>
      <c r="W1820" s="12"/>
      <c r="X1820" s="12"/>
      <c r="Y1820" s="12">
        <v>1734.086280476776</v>
      </c>
      <c r="Z1820" s="12">
        <v>2.82779206004487</v>
      </c>
      <c r="AA1820" s="12"/>
      <c r="AB1820" s="12"/>
    </row>
    <row r="1821" spans="1:28" x14ac:dyDescent="0.3">
      <c r="A1821" s="12" t="s">
        <v>3733</v>
      </c>
      <c r="B1821" s="12" t="s">
        <v>170</v>
      </c>
      <c r="C1821" s="12" t="s">
        <v>430</v>
      </c>
      <c r="D1821" s="12" t="s">
        <v>721</v>
      </c>
      <c r="E1821" s="12" t="s">
        <v>2978</v>
      </c>
      <c r="F1821" s="12" t="s">
        <v>1861</v>
      </c>
      <c r="G1821" s="12" t="s">
        <v>1861</v>
      </c>
      <c r="H1821" s="12" t="b">
        <v>1</v>
      </c>
      <c r="I1821" s="12" t="b">
        <v>0</v>
      </c>
      <c r="J1821" s="12" t="b">
        <v>1</v>
      </c>
      <c r="K1821" s="12" t="b">
        <v>0</v>
      </c>
      <c r="L1821" s="12">
        <v>623.15</v>
      </c>
      <c r="M1821" s="12">
        <v>300.032917</v>
      </c>
      <c r="N1821" s="12">
        <v>2859.1180891237491</v>
      </c>
      <c r="O1821" s="12">
        <v>383.60213310572698</v>
      </c>
      <c r="P1821" s="12">
        <v>0.65641213430479439</v>
      </c>
      <c r="Q1821" s="12">
        <v>0.74446477953163948</v>
      </c>
      <c r="R1821" s="12">
        <v>0.57093093144250828</v>
      </c>
      <c r="S1821" s="12">
        <v>0.64739813462958851</v>
      </c>
      <c r="T1821" s="12">
        <v>0.54802112279013626</v>
      </c>
      <c r="U1821" s="12">
        <v>0.82363055050596623</v>
      </c>
      <c r="V1821" s="12">
        <v>300.032917</v>
      </c>
      <c r="W1821" s="12">
        <v>3.1445121798189102</v>
      </c>
      <c r="X1821" s="12">
        <v>35.059907048552247</v>
      </c>
      <c r="Y1821" s="12">
        <v>2475.5159560180218</v>
      </c>
      <c r="Z1821" s="12">
        <v>7.4533425191765792</v>
      </c>
      <c r="AA1821" s="12" t="s">
        <v>1268</v>
      </c>
      <c r="AB1821" s="12"/>
    </row>
    <row r="1822" spans="1:28" x14ac:dyDescent="0.3">
      <c r="A1822" s="12" t="s">
        <v>3734</v>
      </c>
      <c r="B1822" s="12" t="s">
        <v>170</v>
      </c>
      <c r="C1822" s="12" t="s">
        <v>430</v>
      </c>
      <c r="D1822" s="12" t="s">
        <v>721</v>
      </c>
      <c r="E1822" s="12" t="s">
        <v>2978</v>
      </c>
      <c r="F1822" s="12" t="s">
        <v>32</v>
      </c>
      <c r="G1822" s="12" t="s">
        <v>32</v>
      </c>
      <c r="H1822" s="12" t="b">
        <v>1</v>
      </c>
      <c r="I1822" s="12" t="b">
        <v>0</v>
      </c>
      <c r="J1822" s="12" t="b">
        <v>1</v>
      </c>
      <c r="K1822" s="12" t="b">
        <v>0</v>
      </c>
      <c r="L1822" s="12">
        <v>623.15</v>
      </c>
      <c r="M1822" s="12">
        <v>300.032917</v>
      </c>
      <c r="N1822" s="12">
        <v>2102.1987016533749</v>
      </c>
      <c r="O1822" s="12">
        <v>1591.9647958138869</v>
      </c>
      <c r="P1822" s="12">
        <v>0.57689825552752849</v>
      </c>
      <c r="Q1822" s="12">
        <v>0.4924665129512027</v>
      </c>
      <c r="R1822" s="12">
        <v>0.79438192101990857</v>
      </c>
      <c r="S1822" s="12">
        <v>0.56330983180339145</v>
      </c>
      <c r="T1822" s="12">
        <v>0.60718765198129865</v>
      </c>
      <c r="U1822" s="12">
        <v>0.89605563923873244</v>
      </c>
      <c r="V1822" s="12">
        <v>300.032917</v>
      </c>
      <c r="W1822" s="12">
        <v>1.24897816465116</v>
      </c>
      <c r="X1822" s="12">
        <v>17.042640492778819</v>
      </c>
      <c r="Y1822" s="12">
        <v>510.23390583948782</v>
      </c>
      <c r="Z1822" s="12">
        <v>1.320505771975085</v>
      </c>
      <c r="AA1822" s="12"/>
      <c r="AB1822" s="12"/>
    </row>
    <row r="1823" spans="1:28" x14ac:dyDescent="0.3">
      <c r="A1823" s="12" t="s">
        <v>3735</v>
      </c>
      <c r="B1823" s="12" t="s">
        <v>170</v>
      </c>
      <c r="C1823" s="12" t="s">
        <v>430</v>
      </c>
      <c r="D1823" s="12" t="s">
        <v>721</v>
      </c>
      <c r="E1823" s="12" t="s">
        <v>2978</v>
      </c>
      <c r="F1823" s="12" t="s">
        <v>832</v>
      </c>
      <c r="G1823" s="12" t="s">
        <v>832</v>
      </c>
      <c r="H1823" s="12" t="b">
        <v>0</v>
      </c>
      <c r="I1823" s="12" t="b">
        <v>0</v>
      </c>
      <c r="J1823" s="12" t="b">
        <v>0</v>
      </c>
      <c r="K1823" s="12" t="b">
        <v>0</v>
      </c>
      <c r="L1823" s="12">
        <v>623.15</v>
      </c>
      <c r="M1823" s="12">
        <v>300.032917</v>
      </c>
      <c r="N1823" s="12">
        <v>3979.868505329629</v>
      </c>
      <c r="O1823" s="12">
        <v>278.50025888780038</v>
      </c>
      <c r="P1823" s="12">
        <v>0.61900337748786505</v>
      </c>
      <c r="Q1823" s="12">
        <v>0.75882584655326435</v>
      </c>
      <c r="R1823" s="12">
        <v>0.51183477023124246</v>
      </c>
      <c r="S1823" s="12">
        <v>0.8002977753146655</v>
      </c>
      <c r="T1823" s="12">
        <v>0.48304105937972991</v>
      </c>
      <c r="U1823" s="12">
        <v>0.71674421247467301</v>
      </c>
      <c r="V1823" s="12">
        <v>300.032917</v>
      </c>
      <c r="W1823" s="12"/>
      <c r="X1823" s="12"/>
      <c r="Y1823" s="12">
        <v>3701.3682464418289</v>
      </c>
      <c r="Z1823" s="12">
        <v>14.290358368869599</v>
      </c>
      <c r="AA1823" s="12"/>
      <c r="AB1823" s="12"/>
    </row>
    <row r="1824" spans="1:28" x14ac:dyDescent="0.3">
      <c r="A1824" s="12" t="s">
        <v>3736</v>
      </c>
      <c r="B1824" s="12" t="s">
        <v>170</v>
      </c>
      <c r="C1824" s="12" t="s">
        <v>430</v>
      </c>
      <c r="D1824" s="12" t="s">
        <v>721</v>
      </c>
      <c r="E1824" s="12" t="s">
        <v>2978</v>
      </c>
      <c r="F1824" s="12" t="s">
        <v>1861</v>
      </c>
      <c r="G1824" s="12" t="s">
        <v>1861</v>
      </c>
      <c r="H1824" s="12" t="b">
        <v>1</v>
      </c>
      <c r="I1824" s="12" t="b">
        <v>0</v>
      </c>
      <c r="J1824" s="12" t="b">
        <v>1</v>
      </c>
      <c r="K1824" s="12" t="b">
        <v>0</v>
      </c>
      <c r="L1824" s="12">
        <v>623.15</v>
      </c>
      <c r="M1824" s="12">
        <v>300.032917</v>
      </c>
      <c r="N1824" s="12">
        <v>4538.0031523353919</v>
      </c>
      <c r="O1824" s="12">
        <v>1240.3974833641321</v>
      </c>
      <c r="P1824" s="12">
        <v>0.79198458882436706</v>
      </c>
      <c r="Q1824" s="12">
        <v>0.51673613967962495</v>
      </c>
      <c r="R1824" s="12">
        <v>0.62897307110330203</v>
      </c>
      <c r="S1824" s="12">
        <v>0.57330528449886664</v>
      </c>
      <c r="T1824" s="12">
        <v>0.4172210665927395</v>
      </c>
      <c r="U1824" s="12">
        <v>0.72830553608244797</v>
      </c>
      <c r="V1824" s="12">
        <v>300.032917</v>
      </c>
      <c r="W1824" s="12">
        <v>3.5357350021054899</v>
      </c>
      <c r="X1824" s="12">
        <v>37.6577427817802</v>
      </c>
      <c r="Y1824" s="12">
        <v>3297.60566897126</v>
      </c>
      <c r="Z1824" s="12">
        <v>3.6585072230457039</v>
      </c>
      <c r="AA1824" s="12" t="s">
        <v>1268</v>
      </c>
      <c r="AB1824" s="12"/>
    </row>
    <row r="1825" spans="1:28" x14ac:dyDescent="0.3">
      <c r="A1825" s="12" t="s">
        <v>3737</v>
      </c>
      <c r="B1825" s="12" t="s">
        <v>170</v>
      </c>
      <c r="C1825" s="12" t="s">
        <v>430</v>
      </c>
      <c r="D1825" s="12" t="s">
        <v>721</v>
      </c>
      <c r="E1825" s="12" t="s">
        <v>2978</v>
      </c>
      <c r="F1825" s="12" t="s">
        <v>1861</v>
      </c>
      <c r="G1825" s="12" t="s">
        <v>1861</v>
      </c>
      <c r="H1825" s="12" t="b">
        <v>1</v>
      </c>
      <c r="I1825" s="12" t="b">
        <v>0</v>
      </c>
      <c r="J1825" s="12" t="b">
        <v>1</v>
      </c>
      <c r="K1825" s="12" t="b">
        <v>0</v>
      </c>
      <c r="L1825" s="12">
        <v>623.15</v>
      </c>
      <c r="M1825" s="12">
        <v>300.032917</v>
      </c>
      <c r="N1825" s="12">
        <v>4986.5809584552844</v>
      </c>
      <c r="O1825" s="12">
        <v>1979.5829147989909</v>
      </c>
      <c r="P1825" s="12">
        <v>0.81405160547997713</v>
      </c>
      <c r="Q1825" s="12">
        <v>0.92288531076434521</v>
      </c>
      <c r="R1825" s="12">
        <v>0.48268369300367481</v>
      </c>
      <c r="S1825" s="12">
        <v>0.47075581538793038</v>
      </c>
      <c r="T1825" s="12">
        <v>0.73214989389976937</v>
      </c>
      <c r="U1825" s="12">
        <v>0.53870279993985803</v>
      </c>
      <c r="V1825" s="12">
        <v>300.032917</v>
      </c>
      <c r="W1825" s="12">
        <v>2.7583829570480298</v>
      </c>
      <c r="X1825" s="12">
        <v>20.02671068775652</v>
      </c>
      <c r="Y1825" s="12">
        <v>3006.9980436562942</v>
      </c>
      <c r="Z1825" s="12">
        <v>2.5190058578383052</v>
      </c>
      <c r="AA1825" s="12" t="s">
        <v>1268</v>
      </c>
      <c r="AB1825" s="12"/>
    </row>
    <row r="1826" spans="1:28" x14ac:dyDescent="0.3">
      <c r="A1826" s="12" t="s">
        <v>3738</v>
      </c>
      <c r="B1826" s="12" t="s">
        <v>170</v>
      </c>
      <c r="C1826" s="12" t="s">
        <v>430</v>
      </c>
      <c r="D1826" s="12" t="s">
        <v>721</v>
      </c>
      <c r="E1826" s="12" t="s">
        <v>2978</v>
      </c>
      <c r="F1826" s="12" t="s">
        <v>1861</v>
      </c>
      <c r="G1826" s="12" t="s">
        <v>1861</v>
      </c>
      <c r="H1826" s="12" t="b">
        <v>1</v>
      </c>
      <c r="I1826" s="12" t="b">
        <v>0</v>
      </c>
      <c r="J1826" s="12" t="b">
        <v>1</v>
      </c>
      <c r="K1826" s="12" t="b">
        <v>0</v>
      </c>
      <c r="L1826" s="12">
        <v>623.15</v>
      </c>
      <c r="M1826" s="12">
        <v>300.032917</v>
      </c>
      <c r="N1826" s="12">
        <v>3573.8737340319458</v>
      </c>
      <c r="O1826" s="12">
        <v>1471.5215527779931</v>
      </c>
      <c r="P1826" s="12">
        <v>0.5291990303507591</v>
      </c>
      <c r="Q1826" s="12">
        <v>0.86319155904705958</v>
      </c>
      <c r="R1826" s="12">
        <v>0.84504134476589532</v>
      </c>
      <c r="S1826" s="12">
        <v>0.48396775009707349</v>
      </c>
      <c r="T1826" s="12">
        <v>0.77778832972565159</v>
      </c>
      <c r="U1826" s="12">
        <v>0.81210053036555296</v>
      </c>
      <c r="V1826" s="12">
        <v>300.032917</v>
      </c>
      <c r="W1826" s="12">
        <v>7.0655108291123394</v>
      </c>
      <c r="X1826" s="12">
        <v>78.573220512228986</v>
      </c>
      <c r="Y1826" s="12">
        <v>2102.3521812539529</v>
      </c>
      <c r="Z1826" s="12">
        <v>2.4286927549821171</v>
      </c>
      <c r="AA1826" s="12" t="s">
        <v>1268</v>
      </c>
      <c r="AB1826" s="12"/>
    </row>
    <row r="1827" spans="1:28" x14ac:dyDescent="0.3">
      <c r="A1827" s="12" t="s">
        <v>3739</v>
      </c>
      <c r="B1827" s="12" t="s">
        <v>170</v>
      </c>
      <c r="C1827" s="12" t="s">
        <v>430</v>
      </c>
      <c r="D1827" s="12" t="s">
        <v>721</v>
      </c>
      <c r="E1827" s="12" t="s">
        <v>2978</v>
      </c>
      <c r="F1827" s="12" t="s">
        <v>832</v>
      </c>
      <c r="G1827" s="12" t="s">
        <v>832</v>
      </c>
      <c r="H1827" s="12" t="b">
        <v>0</v>
      </c>
      <c r="I1827" s="12" t="b">
        <v>0</v>
      </c>
      <c r="J1827" s="12" t="b">
        <v>0</v>
      </c>
      <c r="K1827" s="12" t="b">
        <v>0</v>
      </c>
      <c r="L1827" s="12">
        <v>623.15</v>
      </c>
      <c r="M1827" s="12">
        <v>300.032917</v>
      </c>
      <c r="N1827" s="12">
        <v>3855.385770241006</v>
      </c>
      <c r="O1827" s="12">
        <v>1607.4257967410599</v>
      </c>
      <c r="P1827" s="12">
        <v>0.70887812354318869</v>
      </c>
      <c r="Q1827" s="12">
        <v>0.59092685082968721</v>
      </c>
      <c r="R1827" s="12">
        <v>0.94919009678569877</v>
      </c>
      <c r="S1827" s="12">
        <v>0.83075975902281218</v>
      </c>
      <c r="T1827" s="12">
        <v>0.65544261447754659</v>
      </c>
      <c r="U1827" s="12">
        <v>0.43447883977095941</v>
      </c>
      <c r="V1827" s="12">
        <v>300.032917</v>
      </c>
      <c r="W1827" s="12"/>
      <c r="X1827" s="12"/>
      <c r="Y1827" s="12">
        <v>2247.959973499946</v>
      </c>
      <c r="Z1827" s="12">
        <v>2.3984844451653839</v>
      </c>
      <c r="AA1827" s="12"/>
      <c r="AB1827" s="12"/>
    </row>
    <row r="1828" spans="1:28" x14ac:dyDescent="0.3">
      <c r="A1828" s="12" t="s">
        <v>3740</v>
      </c>
      <c r="B1828" s="12" t="s">
        <v>170</v>
      </c>
      <c r="C1828" s="12" t="s">
        <v>430</v>
      </c>
      <c r="D1828" s="12" t="s">
        <v>721</v>
      </c>
      <c r="E1828" s="12" t="s">
        <v>2978</v>
      </c>
      <c r="F1828" s="12" t="s">
        <v>832</v>
      </c>
      <c r="G1828" s="12" t="s">
        <v>832</v>
      </c>
      <c r="H1828" s="12" t="b">
        <v>0</v>
      </c>
      <c r="I1828" s="12" t="b">
        <v>0</v>
      </c>
      <c r="J1828" s="12" t="b">
        <v>0</v>
      </c>
      <c r="K1828" s="12" t="b">
        <v>0</v>
      </c>
      <c r="L1828" s="12">
        <v>623.15</v>
      </c>
      <c r="M1828" s="12">
        <v>300.032917</v>
      </c>
      <c r="N1828" s="12">
        <v>2460.910170068099</v>
      </c>
      <c r="O1828" s="12">
        <v>843.60076443149728</v>
      </c>
      <c r="P1828" s="12">
        <v>0.66449643319987373</v>
      </c>
      <c r="Q1828" s="12">
        <v>0.90740109498725341</v>
      </c>
      <c r="R1828" s="12">
        <v>0.45300099309140479</v>
      </c>
      <c r="S1828" s="12">
        <v>0.93981865654503161</v>
      </c>
      <c r="T1828" s="12">
        <v>0.56979346250523677</v>
      </c>
      <c r="U1828" s="12">
        <v>0.47728072307051189</v>
      </c>
      <c r="V1828" s="12">
        <v>300.032917</v>
      </c>
      <c r="W1828" s="12"/>
      <c r="X1828" s="12"/>
      <c r="Y1828" s="12">
        <v>1617.3094056366019</v>
      </c>
      <c r="Z1828" s="12">
        <v>2.9171502372055191</v>
      </c>
      <c r="AA1828" s="12"/>
      <c r="AB1828" s="12"/>
    </row>
    <row r="1829" spans="1:28" x14ac:dyDescent="0.3">
      <c r="A1829" s="12" t="s">
        <v>3741</v>
      </c>
      <c r="B1829" s="12" t="s">
        <v>170</v>
      </c>
      <c r="C1829" s="12" t="s">
        <v>430</v>
      </c>
      <c r="D1829" s="12" t="s">
        <v>721</v>
      </c>
      <c r="E1829" s="12" t="s">
        <v>2978</v>
      </c>
      <c r="F1829" s="12" t="s">
        <v>1861</v>
      </c>
      <c r="G1829" s="12" t="s">
        <v>1861</v>
      </c>
      <c r="H1829" s="12" t="b">
        <v>1</v>
      </c>
      <c r="I1829" s="12" t="b">
        <v>0</v>
      </c>
      <c r="J1829" s="12" t="b">
        <v>1</v>
      </c>
      <c r="K1829" s="12" t="b">
        <v>0</v>
      </c>
      <c r="L1829" s="12">
        <v>623.15</v>
      </c>
      <c r="M1829" s="12">
        <v>300.032917</v>
      </c>
      <c r="N1829" s="12">
        <v>4484.3217009826258</v>
      </c>
      <c r="O1829" s="12">
        <v>1543.290566990481</v>
      </c>
      <c r="P1829" s="12">
        <v>0.78010700520200582</v>
      </c>
      <c r="Q1829" s="12">
        <v>0.8860437009198241</v>
      </c>
      <c r="R1829" s="12">
        <v>0.82042442278027905</v>
      </c>
      <c r="S1829" s="12">
        <v>0.4241629936737692</v>
      </c>
      <c r="T1829" s="12">
        <v>0.73687992279154613</v>
      </c>
      <c r="U1829" s="12">
        <v>0.41334074790779912</v>
      </c>
      <c r="V1829" s="12">
        <v>300.032917</v>
      </c>
      <c r="W1829" s="12">
        <v>5.4953979076579502</v>
      </c>
      <c r="X1829" s="12">
        <v>32.810737279618138</v>
      </c>
      <c r="Y1829" s="12">
        <v>2941.031133992145</v>
      </c>
      <c r="Z1829" s="12">
        <v>2.905688531309663</v>
      </c>
      <c r="AA1829" s="12" t="s">
        <v>1268</v>
      </c>
      <c r="AB1829" s="12"/>
    </row>
    <row r="1830" spans="1:28" x14ac:dyDescent="0.3">
      <c r="A1830" s="12" t="s">
        <v>3742</v>
      </c>
      <c r="B1830" s="12" t="s">
        <v>170</v>
      </c>
      <c r="C1830" s="12" t="s">
        <v>430</v>
      </c>
      <c r="D1830" s="12" t="s">
        <v>721</v>
      </c>
      <c r="E1830" s="12" t="s">
        <v>2978</v>
      </c>
      <c r="F1830" s="12" t="s">
        <v>32</v>
      </c>
      <c r="G1830" s="12" t="s">
        <v>32</v>
      </c>
      <c r="H1830" s="12" t="b">
        <v>1</v>
      </c>
      <c r="I1830" s="12" t="b">
        <v>0</v>
      </c>
      <c r="J1830" s="12" t="b">
        <v>1</v>
      </c>
      <c r="K1830" s="12" t="b">
        <v>0</v>
      </c>
      <c r="L1830" s="12">
        <v>623.15</v>
      </c>
      <c r="M1830" s="12">
        <v>300.032917</v>
      </c>
      <c r="N1830" s="12">
        <v>4719.6773890534396</v>
      </c>
      <c r="O1830" s="12">
        <v>1879.350696110967</v>
      </c>
      <c r="P1830" s="12">
        <v>0.60153431459442142</v>
      </c>
      <c r="Q1830" s="12">
        <v>0.78266961213127373</v>
      </c>
      <c r="R1830" s="12">
        <v>0.770108913683618</v>
      </c>
      <c r="S1830" s="12">
        <v>0.52058836374206574</v>
      </c>
      <c r="T1830" s="12">
        <v>0.81057488850429305</v>
      </c>
      <c r="U1830" s="12">
        <v>0.91721332477262818</v>
      </c>
      <c r="V1830" s="12">
        <v>300.032917</v>
      </c>
      <c r="W1830" s="12">
        <v>6.3213473461936491</v>
      </c>
      <c r="X1830" s="12">
        <v>75.367615812777586</v>
      </c>
      <c r="Y1830" s="12">
        <v>2840.3266929424731</v>
      </c>
      <c r="Z1830" s="12">
        <v>2.5113340468173928</v>
      </c>
      <c r="AA1830" s="12"/>
      <c r="AB1830" s="12"/>
    </row>
    <row r="1831" spans="1:28" x14ac:dyDescent="0.3">
      <c r="A1831" s="12" t="s">
        <v>3743</v>
      </c>
      <c r="B1831" s="12" t="s">
        <v>170</v>
      </c>
      <c r="C1831" s="12" t="s">
        <v>430</v>
      </c>
      <c r="D1831" s="12" t="s">
        <v>721</v>
      </c>
      <c r="E1831" s="12" t="s">
        <v>2978</v>
      </c>
      <c r="F1831" s="12" t="s">
        <v>3483</v>
      </c>
      <c r="G1831" s="12"/>
      <c r="H1831" s="12" t="b">
        <v>0</v>
      </c>
      <c r="I1831" s="12" t="b">
        <v>0</v>
      </c>
      <c r="J1831" s="12"/>
      <c r="K1831" s="12" t="b">
        <v>1</v>
      </c>
      <c r="L1831" s="12">
        <v>623.15</v>
      </c>
      <c r="M1831" s="12">
        <v>300.032917</v>
      </c>
      <c r="N1831" s="12">
        <v>2000.1133620254129</v>
      </c>
      <c r="O1831" s="12">
        <v>1820.978076553552</v>
      </c>
      <c r="P1831" s="12">
        <v>0.54734468211705523</v>
      </c>
      <c r="Q1831" s="12">
        <v>0.90324114388684695</v>
      </c>
      <c r="R1831" s="12">
        <v>0.8075182387695834</v>
      </c>
      <c r="S1831" s="12">
        <v>0.79554898037602462</v>
      </c>
      <c r="T1831" s="12">
        <v>0.49178964954613641</v>
      </c>
      <c r="U1831" s="12">
        <v>0.77207652130081295</v>
      </c>
      <c r="V1831" s="12"/>
      <c r="W1831" s="12"/>
      <c r="X1831" s="12"/>
      <c r="Y1831" s="12">
        <v>179.13528547186141</v>
      </c>
      <c r="Z1831" s="12">
        <v>1.098373114854243</v>
      </c>
      <c r="AA1831" s="12"/>
      <c r="AB1831" s="12"/>
    </row>
    <row r="1832" spans="1:28" x14ac:dyDescent="0.3">
      <c r="A1832" s="12" t="s">
        <v>3744</v>
      </c>
      <c r="B1832" s="12" t="s">
        <v>170</v>
      </c>
      <c r="C1832" s="12" t="s">
        <v>430</v>
      </c>
      <c r="D1832" s="12" t="s">
        <v>721</v>
      </c>
      <c r="E1832" s="12" t="s">
        <v>2978</v>
      </c>
      <c r="F1832" s="12" t="s">
        <v>1862</v>
      </c>
      <c r="G1832" s="12" t="s">
        <v>1862</v>
      </c>
      <c r="H1832" s="12" t="b">
        <v>1</v>
      </c>
      <c r="I1832" s="12" t="b">
        <v>0</v>
      </c>
      <c r="J1832" s="12" t="b">
        <v>1</v>
      </c>
      <c r="K1832" s="12" t="b">
        <v>0</v>
      </c>
      <c r="L1832" s="12">
        <v>623.15</v>
      </c>
      <c r="M1832" s="12">
        <v>300.032917</v>
      </c>
      <c r="N1832" s="12">
        <v>2841.6571478536471</v>
      </c>
      <c r="O1832" s="12">
        <v>1989.7169217922819</v>
      </c>
      <c r="P1832" s="12">
        <v>0.55647419734051007</v>
      </c>
      <c r="Q1832" s="12">
        <v>0.73805906546561406</v>
      </c>
      <c r="R1832" s="12">
        <v>0.61712570273642897</v>
      </c>
      <c r="S1832" s="12">
        <v>0.43308288860939498</v>
      </c>
      <c r="T1832" s="12">
        <v>0.71618584096149307</v>
      </c>
      <c r="U1832" s="12">
        <v>0.40086773150261801</v>
      </c>
      <c r="V1832" s="12">
        <v>300.032917</v>
      </c>
      <c r="W1832" s="12">
        <v>-0.84323729747739995</v>
      </c>
      <c r="X1832" s="12">
        <v>-5.7557434555935254</v>
      </c>
      <c r="Y1832" s="12">
        <v>851.94022606136468</v>
      </c>
      <c r="Z1832" s="12">
        <v>1.4281715739211589</v>
      </c>
      <c r="AA1832" s="12" t="s">
        <v>2513</v>
      </c>
      <c r="AB1832" s="12"/>
    </row>
    <row r="1833" spans="1:28" x14ac:dyDescent="0.3">
      <c r="A1833" s="12" t="s">
        <v>3745</v>
      </c>
      <c r="B1833" s="12" t="s">
        <v>170</v>
      </c>
      <c r="C1833" s="12" t="s">
        <v>430</v>
      </c>
      <c r="D1833" s="12" t="s">
        <v>721</v>
      </c>
      <c r="E1833" s="12" t="s">
        <v>2978</v>
      </c>
      <c r="F1833" s="12" t="s">
        <v>1861</v>
      </c>
      <c r="G1833" s="12" t="s">
        <v>1861</v>
      </c>
      <c r="H1833" s="12" t="b">
        <v>1</v>
      </c>
      <c r="I1833" s="12" t="b">
        <v>0</v>
      </c>
      <c r="J1833" s="12" t="b">
        <v>0</v>
      </c>
      <c r="K1833" s="12" t="b">
        <v>0</v>
      </c>
      <c r="L1833" s="12">
        <v>623.15</v>
      </c>
      <c r="M1833" s="12">
        <v>300.032917</v>
      </c>
      <c r="N1833" s="12">
        <v>3136.9064640869392</v>
      </c>
      <c r="O1833" s="12">
        <v>1720.241460276859</v>
      </c>
      <c r="P1833" s="12">
        <v>0.73463341131041537</v>
      </c>
      <c r="Q1833" s="12">
        <v>0.60643585430046043</v>
      </c>
      <c r="R1833" s="12">
        <v>0.85308425188477577</v>
      </c>
      <c r="S1833" s="12">
        <v>0.47409889582198539</v>
      </c>
      <c r="T1833" s="12">
        <v>0.63949481796599361</v>
      </c>
      <c r="U1833" s="12">
        <v>0.83325241622519441</v>
      </c>
      <c r="V1833" s="12">
        <v>300.032917</v>
      </c>
      <c r="W1833" s="12">
        <v>3.8295725724906098</v>
      </c>
      <c r="X1833" s="12">
        <v>39.095008260394593</v>
      </c>
      <c r="Y1833" s="12">
        <v>1416.66500381008</v>
      </c>
      <c r="Z1833" s="12">
        <v>1.8235268341818009</v>
      </c>
      <c r="AA1833" s="12" t="s">
        <v>1268</v>
      </c>
      <c r="AB1833" s="12"/>
    </row>
    <row r="1834" spans="1:28" x14ac:dyDescent="0.3">
      <c r="A1834" s="12" t="s">
        <v>3746</v>
      </c>
      <c r="B1834" s="12" t="s">
        <v>170</v>
      </c>
      <c r="C1834" s="12" t="s">
        <v>430</v>
      </c>
      <c r="D1834" s="12" t="s">
        <v>721</v>
      </c>
      <c r="E1834" s="12" t="s">
        <v>2978</v>
      </c>
      <c r="F1834" s="12" t="s">
        <v>1861</v>
      </c>
      <c r="G1834" s="12" t="s">
        <v>1861</v>
      </c>
      <c r="H1834" s="12" t="b">
        <v>1</v>
      </c>
      <c r="I1834" s="12" t="b">
        <v>0</v>
      </c>
      <c r="J1834" s="12" t="b">
        <v>1</v>
      </c>
      <c r="K1834" s="12" t="b">
        <v>0</v>
      </c>
      <c r="L1834" s="12">
        <v>623.15</v>
      </c>
      <c r="M1834" s="12">
        <v>300.032917</v>
      </c>
      <c r="N1834" s="12">
        <v>3625.8740492182528</v>
      </c>
      <c r="O1834" s="12">
        <v>1517.0347020429469</v>
      </c>
      <c r="P1834" s="12">
        <v>0.68723126998231243</v>
      </c>
      <c r="Q1834" s="12">
        <v>0.5502001580134841</v>
      </c>
      <c r="R1834" s="12">
        <v>0.61295742726807378</v>
      </c>
      <c r="S1834" s="12">
        <v>0.51084024581001453</v>
      </c>
      <c r="T1834" s="12">
        <v>0.77060597955860666</v>
      </c>
      <c r="U1834" s="12">
        <v>0.79742787746232346</v>
      </c>
      <c r="V1834" s="12">
        <v>300.032917</v>
      </c>
      <c r="W1834" s="12">
        <v>4.3133879156469401</v>
      </c>
      <c r="X1834" s="12">
        <v>46.859265613843242</v>
      </c>
      <c r="Y1834" s="12">
        <v>2108.8393471753061</v>
      </c>
      <c r="Z1834" s="12">
        <v>2.3901062014833241</v>
      </c>
      <c r="AA1834" s="12" t="s">
        <v>1268</v>
      </c>
      <c r="AB1834" s="12"/>
    </row>
    <row r="1835" spans="1:28" x14ac:dyDescent="0.3">
      <c r="A1835" s="12" t="s">
        <v>3747</v>
      </c>
      <c r="B1835" s="12" t="s">
        <v>170</v>
      </c>
      <c r="C1835" s="12" t="s">
        <v>430</v>
      </c>
      <c r="D1835" s="12" t="s">
        <v>721</v>
      </c>
      <c r="E1835" s="12" t="s">
        <v>2978</v>
      </c>
      <c r="F1835" s="12" t="s">
        <v>1861</v>
      </c>
      <c r="G1835" s="12" t="s">
        <v>1861</v>
      </c>
      <c r="H1835" s="12" t="b">
        <v>1</v>
      </c>
      <c r="I1835" s="12" t="b">
        <v>0</v>
      </c>
      <c r="J1835" s="12" t="b">
        <v>1</v>
      </c>
      <c r="K1835" s="12" t="b">
        <v>0</v>
      </c>
      <c r="L1835" s="12">
        <v>623.15</v>
      </c>
      <c r="M1835" s="12">
        <v>300.032917</v>
      </c>
      <c r="N1835" s="12">
        <v>2944.813164884155</v>
      </c>
      <c r="O1835" s="12">
        <v>524.98762556535814</v>
      </c>
      <c r="P1835" s="12">
        <v>0.57058736309006775</v>
      </c>
      <c r="Q1835" s="12">
        <v>0.63161351401838828</v>
      </c>
      <c r="R1835" s="12">
        <v>0.51914968730947308</v>
      </c>
      <c r="S1835" s="12">
        <v>0.66833408977154396</v>
      </c>
      <c r="T1835" s="12">
        <v>0.5657685368207872</v>
      </c>
      <c r="U1835" s="12">
        <v>0.86511017919873756</v>
      </c>
      <c r="V1835" s="12">
        <v>300.032917</v>
      </c>
      <c r="W1835" s="12">
        <v>8.0177892061554097</v>
      </c>
      <c r="X1835" s="12">
        <v>126.0946611813861</v>
      </c>
      <c r="Y1835" s="12">
        <v>2419.8255393187969</v>
      </c>
      <c r="Z1835" s="12">
        <v>5.6093001462899093</v>
      </c>
      <c r="AA1835" s="12" t="s">
        <v>1268</v>
      </c>
      <c r="AB1835" s="12"/>
    </row>
    <row r="1836" spans="1:28" x14ac:dyDescent="0.3">
      <c r="A1836" s="12" t="s">
        <v>3748</v>
      </c>
      <c r="B1836" s="12" t="s">
        <v>170</v>
      </c>
      <c r="C1836" s="12" t="s">
        <v>430</v>
      </c>
      <c r="D1836" s="12" t="s">
        <v>721</v>
      </c>
      <c r="E1836" s="12" t="s">
        <v>2978</v>
      </c>
      <c r="F1836" s="12" t="s">
        <v>1861</v>
      </c>
      <c r="G1836" s="12" t="s">
        <v>1861</v>
      </c>
      <c r="H1836" s="12" t="b">
        <v>1</v>
      </c>
      <c r="I1836" s="12" t="b">
        <v>0</v>
      </c>
      <c r="J1836" s="12" t="b">
        <v>0</v>
      </c>
      <c r="K1836" s="12" t="b">
        <v>0</v>
      </c>
      <c r="L1836" s="12">
        <v>623.15</v>
      </c>
      <c r="M1836" s="12">
        <v>300.032917</v>
      </c>
      <c r="N1836" s="12">
        <v>2398.19249006572</v>
      </c>
      <c r="O1836" s="12">
        <v>724.92788439780691</v>
      </c>
      <c r="P1836" s="12">
        <v>0.73104751411597324</v>
      </c>
      <c r="Q1836" s="12">
        <v>0.6495292656446916</v>
      </c>
      <c r="R1836" s="12">
        <v>0.61047152793264281</v>
      </c>
      <c r="S1836" s="12">
        <v>0.49454319970576938</v>
      </c>
      <c r="T1836" s="12">
        <v>0.62637888275926412</v>
      </c>
      <c r="U1836" s="12">
        <v>0.71535802075036392</v>
      </c>
      <c r="V1836" s="12">
        <v>300.032917</v>
      </c>
      <c r="W1836" s="12">
        <v>2.7888475989808899</v>
      </c>
      <c r="X1836" s="12">
        <v>26.17809402766218</v>
      </c>
      <c r="Y1836" s="12">
        <v>1673.264605667913</v>
      </c>
      <c r="Z1836" s="12">
        <v>3.308180774502671</v>
      </c>
      <c r="AA1836" s="12" t="s">
        <v>1268</v>
      </c>
      <c r="AB1836" s="12"/>
    </row>
    <row r="1837" spans="1:28" x14ac:dyDescent="0.3">
      <c r="A1837" s="12" t="s">
        <v>3749</v>
      </c>
      <c r="B1837" s="12" t="s">
        <v>170</v>
      </c>
      <c r="C1837" s="12" t="s">
        <v>430</v>
      </c>
      <c r="D1837" s="12" t="s">
        <v>721</v>
      </c>
      <c r="E1837" s="12" t="s">
        <v>2978</v>
      </c>
      <c r="F1837" s="12" t="s">
        <v>832</v>
      </c>
      <c r="G1837" s="12" t="s">
        <v>832</v>
      </c>
      <c r="H1837" s="12" t="b">
        <v>0</v>
      </c>
      <c r="I1837" s="12" t="b">
        <v>0</v>
      </c>
      <c r="J1837" s="12" t="b">
        <v>0</v>
      </c>
      <c r="K1837" s="12" t="b">
        <v>0</v>
      </c>
      <c r="L1837" s="12">
        <v>623.15</v>
      </c>
      <c r="M1837" s="12">
        <v>300.032917</v>
      </c>
      <c r="N1837" s="12">
        <v>3297.3283611920788</v>
      </c>
      <c r="O1837" s="12">
        <v>359.40880579484872</v>
      </c>
      <c r="P1837" s="12">
        <v>0.75607510347534324</v>
      </c>
      <c r="Q1837" s="12">
        <v>0.48189487681767851</v>
      </c>
      <c r="R1837" s="12">
        <v>0.54133412009429516</v>
      </c>
      <c r="S1837" s="12">
        <v>0.7737987262394036</v>
      </c>
      <c r="T1837" s="12">
        <v>0.81936854523136571</v>
      </c>
      <c r="U1837" s="12">
        <v>0.61601373806952331</v>
      </c>
      <c r="V1837" s="12">
        <v>300.032917</v>
      </c>
      <c r="W1837" s="12"/>
      <c r="X1837" s="12"/>
      <c r="Y1837" s="12">
        <v>2937.9195553972299</v>
      </c>
      <c r="Z1837" s="12">
        <v>9.1743115583934838</v>
      </c>
      <c r="AA1837" s="12"/>
      <c r="AB1837" s="12"/>
    </row>
    <row r="1838" spans="1:28" x14ac:dyDescent="0.3">
      <c r="A1838" s="12" t="s">
        <v>3750</v>
      </c>
      <c r="B1838" s="12" t="s">
        <v>170</v>
      </c>
      <c r="C1838" s="12" t="s">
        <v>430</v>
      </c>
      <c r="D1838" s="12" t="s">
        <v>721</v>
      </c>
      <c r="E1838" s="12" t="s">
        <v>2978</v>
      </c>
      <c r="F1838" s="12" t="s">
        <v>1861</v>
      </c>
      <c r="G1838" s="12" t="s">
        <v>1861</v>
      </c>
      <c r="H1838" s="12" t="b">
        <v>1</v>
      </c>
      <c r="I1838" s="12" t="b">
        <v>0</v>
      </c>
      <c r="J1838" s="12" t="b">
        <v>1</v>
      </c>
      <c r="K1838" s="12" t="b">
        <v>0</v>
      </c>
      <c r="L1838" s="12">
        <v>623.15</v>
      </c>
      <c r="M1838" s="12">
        <v>300.032917</v>
      </c>
      <c r="N1838" s="12">
        <v>3376.2539666928842</v>
      </c>
      <c r="O1838" s="12">
        <v>1761.009657813463</v>
      </c>
      <c r="P1838" s="12">
        <v>0.5606829444150494</v>
      </c>
      <c r="Q1838" s="12">
        <v>0.84845783384325757</v>
      </c>
      <c r="R1838" s="12">
        <v>0.89042985430883559</v>
      </c>
      <c r="S1838" s="12">
        <v>0.74534997325553587</v>
      </c>
      <c r="T1838" s="12">
        <v>0.59295266605729235</v>
      </c>
      <c r="U1838" s="12">
        <v>0.78367924622849972</v>
      </c>
      <c r="V1838" s="12">
        <v>300.032917</v>
      </c>
      <c r="W1838" s="12">
        <v>5.1344107376344699</v>
      </c>
      <c r="X1838" s="12">
        <v>84.336422286441163</v>
      </c>
      <c r="Y1838" s="12">
        <v>1615.2443088794209</v>
      </c>
      <c r="Z1838" s="12">
        <v>1.9172262637588089</v>
      </c>
      <c r="AA1838" s="12" t="s">
        <v>1268</v>
      </c>
      <c r="AB1838" s="12"/>
    </row>
    <row r="1839" spans="1:28" x14ac:dyDescent="0.3">
      <c r="A1839" s="12" t="s">
        <v>3751</v>
      </c>
      <c r="B1839" s="12" t="s">
        <v>170</v>
      </c>
      <c r="C1839" s="12" t="s">
        <v>430</v>
      </c>
      <c r="D1839" s="12" t="s">
        <v>721</v>
      </c>
      <c r="E1839" s="12" t="s">
        <v>2978</v>
      </c>
      <c r="F1839" s="12" t="s">
        <v>1861</v>
      </c>
      <c r="G1839" s="12" t="s">
        <v>1861</v>
      </c>
      <c r="H1839" s="12" t="b">
        <v>1</v>
      </c>
      <c r="I1839" s="12" t="b">
        <v>0</v>
      </c>
      <c r="J1839" s="12" t="b">
        <v>1</v>
      </c>
      <c r="K1839" s="12" t="b">
        <v>0</v>
      </c>
      <c r="L1839" s="12">
        <v>623.15</v>
      </c>
      <c r="M1839" s="12">
        <v>300.032917</v>
      </c>
      <c r="N1839" s="12">
        <v>2722.778835331379</v>
      </c>
      <c r="O1839" s="12">
        <v>1645.570825960443</v>
      </c>
      <c r="P1839" s="12">
        <v>0.64802213266582442</v>
      </c>
      <c r="Q1839" s="12">
        <v>0.76680589639002927</v>
      </c>
      <c r="R1839" s="12">
        <v>0.93530667009332435</v>
      </c>
      <c r="S1839" s="12">
        <v>0.61822886114787334</v>
      </c>
      <c r="T1839" s="12">
        <v>0.66116058865180272</v>
      </c>
      <c r="U1839" s="12">
        <v>0.53180981719621701</v>
      </c>
      <c r="V1839" s="12">
        <v>300.032917</v>
      </c>
      <c r="W1839" s="12">
        <v>2.6746620316604099</v>
      </c>
      <c r="X1839" s="12">
        <v>27.086643862766579</v>
      </c>
      <c r="Y1839" s="12">
        <v>1077.208009370936</v>
      </c>
      <c r="Z1839" s="12">
        <v>1.6546105414467469</v>
      </c>
      <c r="AA1839" s="12" t="s">
        <v>1268</v>
      </c>
      <c r="AB1839" s="12"/>
    </row>
    <row r="1840" spans="1:28" x14ac:dyDescent="0.3">
      <c r="A1840" s="12" t="s">
        <v>3752</v>
      </c>
      <c r="B1840" s="12" t="s">
        <v>170</v>
      </c>
      <c r="C1840" s="12" t="s">
        <v>430</v>
      </c>
      <c r="D1840" s="12" t="s">
        <v>721</v>
      </c>
      <c r="E1840" s="12" t="s">
        <v>2978</v>
      </c>
      <c r="F1840" s="12" t="s">
        <v>1861</v>
      </c>
      <c r="G1840" s="12" t="s">
        <v>1861</v>
      </c>
      <c r="H1840" s="12" t="b">
        <v>1</v>
      </c>
      <c r="I1840" s="12" t="b">
        <v>0</v>
      </c>
      <c r="J1840" s="12" t="b">
        <v>1</v>
      </c>
      <c r="K1840" s="12" t="b">
        <v>0</v>
      </c>
      <c r="L1840" s="12">
        <v>623.15</v>
      </c>
      <c r="M1840" s="12">
        <v>300.032917</v>
      </c>
      <c r="N1840" s="12">
        <v>4840.6600453590399</v>
      </c>
      <c r="O1840" s="12">
        <v>1104.2787357679661</v>
      </c>
      <c r="P1840" s="12">
        <v>0.67694679340420105</v>
      </c>
      <c r="Q1840" s="12">
        <v>0.85057233971641033</v>
      </c>
      <c r="R1840" s="12">
        <v>0.70051903960971651</v>
      </c>
      <c r="S1840" s="12">
        <v>0.4887651784264071</v>
      </c>
      <c r="T1840" s="12">
        <v>0.93208972897872522</v>
      </c>
      <c r="U1840" s="12">
        <v>0.76038298188959286</v>
      </c>
      <c r="V1840" s="12">
        <v>300.032917</v>
      </c>
      <c r="W1840" s="12">
        <v>11.844454505046601</v>
      </c>
      <c r="X1840" s="12">
        <v>119.0304621142313</v>
      </c>
      <c r="Y1840" s="12">
        <v>3736.3813095910741</v>
      </c>
      <c r="Z1840" s="12">
        <v>4.3835490882586106</v>
      </c>
      <c r="AA1840" s="12" t="s">
        <v>1268</v>
      </c>
      <c r="AB1840" s="12"/>
    </row>
    <row r="1841" spans="1:28" x14ac:dyDescent="0.3">
      <c r="A1841" s="12" t="s">
        <v>3753</v>
      </c>
      <c r="B1841" s="12" t="s">
        <v>170</v>
      </c>
      <c r="C1841" s="12" t="s">
        <v>430</v>
      </c>
      <c r="D1841" s="12" t="s">
        <v>721</v>
      </c>
      <c r="E1841" s="12" t="s">
        <v>2978</v>
      </c>
      <c r="F1841" s="12" t="s">
        <v>1861</v>
      </c>
      <c r="G1841" s="12" t="s">
        <v>1861</v>
      </c>
      <c r="H1841" s="12" t="b">
        <v>1</v>
      </c>
      <c r="I1841" s="12" t="b">
        <v>0</v>
      </c>
      <c r="J1841" s="12" t="b">
        <v>0</v>
      </c>
      <c r="K1841" s="12" t="b">
        <v>0</v>
      </c>
      <c r="L1841" s="12">
        <v>623.15</v>
      </c>
      <c r="M1841" s="12">
        <v>300.032917</v>
      </c>
      <c r="N1841" s="12">
        <v>2203.3715211215681</v>
      </c>
      <c r="O1841" s="12">
        <v>1311.578702812739</v>
      </c>
      <c r="P1841" s="12">
        <v>0.83521981668541012</v>
      </c>
      <c r="Q1841" s="12">
        <v>0.80943454752025845</v>
      </c>
      <c r="R1841" s="12">
        <v>0.66334175814888585</v>
      </c>
      <c r="S1841" s="12">
        <v>0.61353913416879746</v>
      </c>
      <c r="T1841" s="12">
        <v>0.90439866408809921</v>
      </c>
      <c r="U1841" s="12">
        <v>0.68727389074069545</v>
      </c>
      <c r="V1841" s="12">
        <v>300.032917</v>
      </c>
      <c r="W1841" s="12">
        <v>3.1440735383940299</v>
      </c>
      <c r="X1841" s="12">
        <v>33.69774136727635</v>
      </c>
      <c r="Y1841" s="12">
        <v>891.79281830882928</v>
      </c>
      <c r="Z1841" s="12">
        <v>1.6799384713981249</v>
      </c>
      <c r="AA1841" s="12" t="s">
        <v>1268</v>
      </c>
      <c r="AB1841" s="12"/>
    </row>
    <row r="1842" spans="1:28" x14ac:dyDescent="0.3">
      <c r="A1842" s="12" t="s">
        <v>3754</v>
      </c>
      <c r="B1842" s="12" t="s">
        <v>170</v>
      </c>
      <c r="C1842" s="12" t="s">
        <v>439</v>
      </c>
      <c r="D1842" s="12" t="s">
        <v>724</v>
      </c>
      <c r="E1842" s="12" t="s">
        <v>2978</v>
      </c>
      <c r="F1842" s="12" t="s">
        <v>1862</v>
      </c>
      <c r="G1842" s="12" t="s">
        <v>1862</v>
      </c>
      <c r="H1842" s="12" t="b">
        <v>1</v>
      </c>
      <c r="I1842" s="12" t="b">
        <v>0</v>
      </c>
      <c r="J1842" s="12" t="b">
        <v>1</v>
      </c>
      <c r="K1842" s="12" t="b">
        <v>0</v>
      </c>
      <c r="L1842" s="12">
        <v>581.6667809300933</v>
      </c>
      <c r="M1842" s="12">
        <v>284.83565353782859</v>
      </c>
      <c r="N1842" s="12">
        <v>3000</v>
      </c>
      <c r="O1842" s="12">
        <v>400</v>
      </c>
      <c r="P1842" s="12">
        <v>0.62069936420153582</v>
      </c>
      <c r="Q1842" s="12">
        <v>0.4311243814394104</v>
      </c>
      <c r="R1842" s="12">
        <v>0.64771916287376941</v>
      </c>
      <c r="S1842" s="12">
        <v>0.4852205044575571</v>
      </c>
      <c r="T1842" s="12">
        <v>0.90447321659184443</v>
      </c>
      <c r="U1842" s="12">
        <v>0.51754507062524513</v>
      </c>
      <c r="V1842" s="12">
        <v>284.83565353782859</v>
      </c>
      <c r="W1842" s="12">
        <v>-11.09488217828777</v>
      </c>
      <c r="X1842" s="12">
        <v>-82.885604856054584</v>
      </c>
      <c r="Y1842" s="12">
        <v>2600</v>
      </c>
      <c r="Z1842" s="12">
        <v>7.5</v>
      </c>
      <c r="AA1842" s="12" t="s">
        <v>2513</v>
      </c>
      <c r="AB1842" s="12"/>
    </row>
    <row r="1843" spans="1:28" x14ac:dyDescent="0.3">
      <c r="A1843" s="12" t="s">
        <v>3755</v>
      </c>
      <c r="B1843" s="12" t="s">
        <v>170</v>
      </c>
      <c r="C1843" s="12" t="s">
        <v>439</v>
      </c>
      <c r="D1843" s="12" t="s">
        <v>724</v>
      </c>
      <c r="E1843" s="12" t="s">
        <v>2978</v>
      </c>
      <c r="F1843" s="12" t="s">
        <v>832</v>
      </c>
      <c r="G1843" s="12" t="s">
        <v>832</v>
      </c>
      <c r="H1843" s="12" t="b">
        <v>0</v>
      </c>
      <c r="I1843" s="12" t="b">
        <v>0</v>
      </c>
      <c r="J1843" s="12" t="b">
        <v>0</v>
      </c>
      <c r="K1843" s="12" t="b">
        <v>0</v>
      </c>
      <c r="L1843" s="12">
        <v>497.19890464505391</v>
      </c>
      <c r="M1843" s="12">
        <v>287.26061203321359</v>
      </c>
      <c r="N1843" s="12">
        <v>3000</v>
      </c>
      <c r="O1843" s="12">
        <v>400</v>
      </c>
      <c r="P1843" s="12">
        <v>0.83046565972192266</v>
      </c>
      <c r="Q1843" s="12">
        <v>0.43698260094782471</v>
      </c>
      <c r="R1843" s="12">
        <v>0.76810321843069884</v>
      </c>
      <c r="S1843" s="12">
        <v>0.58986762008753557</v>
      </c>
      <c r="T1843" s="12">
        <v>0.8476375273963781</v>
      </c>
      <c r="U1843" s="12">
        <v>0.46164277754956801</v>
      </c>
      <c r="V1843" s="12">
        <v>287.26061203321359</v>
      </c>
      <c r="W1843" s="12"/>
      <c r="X1843" s="12"/>
      <c r="Y1843" s="12">
        <v>2600</v>
      </c>
      <c r="Z1843" s="12">
        <v>7.5</v>
      </c>
      <c r="AA1843" s="12"/>
      <c r="AB1843" s="12"/>
    </row>
    <row r="1844" spans="1:28" x14ac:dyDescent="0.3">
      <c r="A1844" s="12" t="s">
        <v>3756</v>
      </c>
      <c r="B1844" s="12" t="s">
        <v>170</v>
      </c>
      <c r="C1844" s="12" t="s">
        <v>439</v>
      </c>
      <c r="D1844" s="12" t="s">
        <v>724</v>
      </c>
      <c r="E1844" s="12" t="s">
        <v>2978</v>
      </c>
      <c r="F1844" s="12" t="s">
        <v>832</v>
      </c>
      <c r="G1844" s="12" t="s">
        <v>832</v>
      </c>
      <c r="H1844" s="12" t="b">
        <v>0</v>
      </c>
      <c r="I1844" s="12" t="b">
        <v>0</v>
      </c>
      <c r="J1844" s="12" t="b">
        <v>0</v>
      </c>
      <c r="K1844" s="12" t="b">
        <v>0</v>
      </c>
      <c r="L1844" s="12">
        <v>565.63231634089698</v>
      </c>
      <c r="M1844" s="12">
        <v>278.53885067934129</v>
      </c>
      <c r="N1844" s="12">
        <v>3000</v>
      </c>
      <c r="O1844" s="12">
        <v>400</v>
      </c>
      <c r="P1844" s="12">
        <v>0.70318689692717662</v>
      </c>
      <c r="Q1844" s="12">
        <v>0.71630488339042264</v>
      </c>
      <c r="R1844" s="12">
        <v>0.61658884809356218</v>
      </c>
      <c r="S1844" s="12">
        <v>0.76486003314527307</v>
      </c>
      <c r="T1844" s="12">
        <v>0.81783095023545838</v>
      </c>
      <c r="U1844" s="12">
        <v>0.58271157632968351</v>
      </c>
      <c r="V1844" s="12">
        <v>278.53885067934129</v>
      </c>
      <c r="W1844" s="12"/>
      <c r="X1844" s="12"/>
      <c r="Y1844" s="12">
        <v>2600</v>
      </c>
      <c r="Z1844" s="12">
        <v>7.5</v>
      </c>
      <c r="AA1844" s="12"/>
      <c r="AB1844" s="12"/>
    </row>
    <row r="1845" spans="1:28" x14ac:dyDescent="0.3">
      <c r="A1845" s="12" t="s">
        <v>3757</v>
      </c>
      <c r="B1845" s="12" t="s">
        <v>170</v>
      </c>
      <c r="C1845" s="12" t="s">
        <v>439</v>
      </c>
      <c r="D1845" s="12" t="s">
        <v>724</v>
      </c>
      <c r="E1845" s="12" t="s">
        <v>2978</v>
      </c>
      <c r="F1845" s="12" t="s">
        <v>832</v>
      </c>
      <c r="G1845" s="12" t="s">
        <v>832</v>
      </c>
      <c r="H1845" s="12" t="b">
        <v>0</v>
      </c>
      <c r="I1845" s="12" t="b">
        <v>0</v>
      </c>
      <c r="J1845" s="12" t="b">
        <v>0</v>
      </c>
      <c r="K1845" s="12" t="b">
        <v>0</v>
      </c>
      <c r="L1845" s="12">
        <v>605.22765330639606</v>
      </c>
      <c r="M1845" s="12">
        <v>300.96737150209009</v>
      </c>
      <c r="N1845" s="12">
        <v>3000</v>
      </c>
      <c r="O1845" s="12">
        <v>400</v>
      </c>
      <c r="P1845" s="12">
        <v>0.56531800349648054</v>
      </c>
      <c r="Q1845" s="12">
        <v>0.83849240598358432</v>
      </c>
      <c r="R1845" s="12">
        <v>0.69474945071964245</v>
      </c>
      <c r="S1845" s="12">
        <v>0.86300533572795324</v>
      </c>
      <c r="T1845" s="12">
        <v>0.65686704493402448</v>
      </c>
      <c r="U1845" s="12">
        <v>0.77541054245042607</v>
      </c>
      <c r="V1845" s="12">
        <v>300.96737150209009</v>
      </c>
      <c r="W1845" s="12"/>
      <c r="X1845" s="12"/>
      <c r="Y1845" s="12">
        <v>2600</v>
      </c>
      <c r="Z1845" s="12">
        <v>7.5</v>
      </c>
      <c r="AA1845" s="12"/>
      <c r="AB1845" s="12"/>
    </row>
    <row r="1846" spans="1:28" x14ac:dyDescent="0.3">
      <c r="A1846" s="12" t="s">
        <v>3758</v>
      </c>
      <c r="B1846" s="12" t="s">
        <v>170</v>
      </c>
      <c r="C1846" s="12" t="s">
        <v>439</v>
      </c>
      <c r="D1846" s="12" t="s">
        <v>724</v>
      </c>
      <c r="E1846" s="12" t="s">
        <v>2978</v>
      </c>
      <c r="F1846" s="12" t="s">
        <v>1862</v>
      </c>
      <c r="G1846" s="12" t="s">
        <v>1862</v>
      </c>
      <c r="H1846" s="12" t="b">
        <v>1</v>
      </c>
      <c r="I1846" s="12" t="b">
        <v>0</v>
      </c>
      <c r="J1846" s="12" t="b">
        <v>0</v>
      </c>
      <c r="K1846" s="12" t="b">
        <v>0</v>
      </c>
      <c r="L1846" s="12">
        <v>396.95683267994082</v>
      </c>
      <c r="M1846" s="12">
        <v>294.99023796161669</v>
      </c>
      <c r="N1846" s="12">
        <v>3000</v>
      </c>
      <c r="O1846" s="12">
        <v>400</v>
      </c>
      <c r="P1846" s="12">
        <v>0.6487265564028224</v>
      </c>
      <c r="Q1846" s="12">
        <v>0.41424329288611039</v>
      </c>
      <c r="R1846" s="12">
        <v>0.72342458465104231</v>
      </c>
      <c r="S1846" s="12">
        <v>0.51282599762561087</v>
      </c>
      <c r="T1846" s="12">
        <v>0.52587957621344783</v>
      </c>
      <c r="U1846" s="12">
        <v>0.54529952609590537</v>
      </c>
      <c r="V1846" s="12">
        <v>294.99023796161669</v>
      </c>
      <c r="W1846" s="12">
        <v>-35.968228668899577</v>
      </c>
      <c r="X1846" s="12">
        <v>-67.467739699479296</v>
      </c>
      <c r="Y1846" s="12">
        <v>2600</v>
      </c>
      <c r="Z1846" s="12">
        <v>7.5</v>
      </c>
      <c r="AA1846" s="12" t="s">
        <v>2513</v>
      </c>
      <c r="AB1846" s="12"/>
    </row>
    <row r="1847" spans="1:28" x14ac:dyDescent="0.3">
      <c r="A1847" s="12" t="s">
        <v>3759</v>
      </c>
      <c r="B1847" s="12" t="s">
        <v>170</v>
      </c>
      <c r="C1847" s="12" t="s">
        <v>439</v>
      </c>
      <c r="D1847" s="12" t="s">
        <v>724</v>
      </c>
      <c r="E1847" s="12" t="s">
        <v>2978</v>
      </c>
      <c r="F1847" s="12" t="s">
        <v>1861</v>
      </c>
      <c r="G1847" s="12" t="s">
        <v>1861</v>
      </c>
      <c r="H1847" s="12" t="b">
        <v>1</v>
      </c>
      <c r="I1847" s="12" t="b">
        <v>0</v>
      </c>
      <c r="J1847" s="12" t="b">
        <v>0</v>
      </c>
      <c r="K1847" s="12" t="b">
        <v>0</v>
      </c>
      <c r="L1847" s="12">
        <v>413.42092850499682</v>
      </c>
      <c r="M1847" s="12">
        <v>296.87531551803619</v>
      </c>
      <c r="N1847" s="12">
        <v>3000</v>
      </c>
      <c r="O1847" s="12">
        <v>400</v>
      </c>
      <c r="P1847" s="12">
        <v>0.54671976871802064</v>
      </c>
      <c r="Q1847" s="12">
        <v>0.69307308960877889</v>
      </c>
      <c r="R1847" s="12">
        <v>0.78923009375894493</v>
      </c>
      <c r="S1847" s="12">
        <v>0.83286835824882721</v>
      </c>
      <c r="T1847" s="12">
        <v>0.72621496249706197</v>
      </c>
      <c r="U1847" s="12">
        <v>0.9416846745237536</v>
      </c>
      <c r="V1847" s="12">
        <v>296.87531551803619</v>
      </c>
      <c r="W1847" s="12">
        <v>9.8893155990628703</v>
      </c>
      <c r="X1847" s="12">
        <v>55.450632222979991</v>
      </c>
      <c r="Y1847" s="12">
        <v>2600</v>
      </c>
      <c r="Z1847" s="12">
        <v>7.5</v>
      </c>
      <c r="AA1847" s="12" t="s">
        <v>1268</v>
      </c>
      <c r="AB1847" s="12"/>
    </row>
    <row r="1848" spans="1:28" x14ac:dyDescent="0.3">
      <c r="A1848" s="12" t="s">
        <v>3760</v>
      </c>
      <c r="B1848" s="12" t="s">
        <v>170</v>
      </c>
      <c r="C1848" s="12" t="s">
        <v>439</v>
      </c>
      <c r="D1848" s="12" t="s">
        <v>724</v>
      </c>
      <c r="E1848" s="12" t="s">
        <v>2978</v>
      </c>
      <c r="F1848" s="12" t="s">
        <v>1861</v>
      </c>
      <c r="G1848" s="12" t="s">
        <v>1861</v>
      </c>
      <c r="H1848" s="12" t="b">
        <v>1</v>
      </c>
      <c r="I1848" s="12" t="b">
        <v>0</v>
      </c>
      <c r="J1848" s="12" t="b">
        <v>1</v>
      </c>
      <c r="K1848" s="12" t="b">
        <v>0</v>
      </c>
      <c r="L1848" s="12">
        <v>479.26013938846057</v>
      </c>
      <c r="M1848" s="12">
        <v>299.08260078437002</v>
      </c>
      <c r="N1848" s="12">
        <v>3000</v>
      </c>
      <c r="O1848" s="12">
        <v>400</v>
      </c>
      <c r="P1848" s="12">
        <v>0.56394520594648612</v>
      </c>
      <c r="Q1848" s="12">
        <v>0.94858393495650684</v>
      </c>
      <c r="R1848" s="12">
        <v>0.77434486413633175</v>
      </c>
      <c r="S1848" s="12">
        <v>0.71723691329685224</v>
      </c>
      <c r="T1848" s="12">
        <v>0.85758548007457547</v>
      </c>
      <c r="U1848" s="12">
        <v>0.58432321247586216</v>
      </c>
      <c r="V1848" s="12">
        <v>299.08260078437002</v>
      </c>
      <c r="W1848" s="12">
        <v>12.40127926908302</v>
      </c>
      <c r="X1848" s="12">
        <v>124.52346854755299</v>
      </c>
      <c r="Y1848" s="12">
        <v>2600</v>
      </c>
      <c r="Z1848" s="12">
        <v>7.5</v>
      </c>
      <c r="AA1848" s="12" t="s">
        <v>1981</v>
      </c>
      <c r="AB1848" s="12"/>
    </row>
    <row r="1849" spans="1:28" x14ac:dyDescent="0.3">
      <c r="A1849" s="12" t="s">
        <v>3761</v>
      </c>
      <c r="B1849" s="12" t="s">
        <v>170</v>
      </c>
      <c r="C1849" s="12" t="s">
        <v>439</v>
      </c>
      <c r="D1849" s="12" t="s">
        <v>724</v>
      </c>
      <c r="E1849" s="12" t="s">
        <v>2978</v>
      </c>
      <c r="F1849" s="12" t="s">
        <v>1862</v>
      </c>
      <c r="G1849" s="12" t="s">
        <v>1862</v>
      </c>
      <c r="H1849" s="12" t="b">
        <v>1</v>
      </c>
      <c r="I1849" s="12" t="b">
        <v>0</v>
      </c>
      <c r="J1849" s="12" t="b">
        <v>1</v>
      </c>
      <c r="K1849" s="12" t="b">
        <v>0</v>
      </c>
      <c r="L1849" s="12">
        <v>480.15852434812871</v>
      </c>
      <c r="M1849" s="12">
        <v>299.55360463157012</v>
      </c>
      <c r="N1849" s="12">
        <v>3000</v>
      </c>
      <c r="O1849" s="12">
        <v>400</v>
      </c>
      <c r="P1849" s="12">
        <v>0.71780882090030984</v>
      </c>
      <c r="Q1849" s="12">
        <v>0.59910087935051104</v>
      </c>
      <c r="R1849" s="12">
        <v>0.66287951963646363</v>
      </c>
      <c r="S1849" s="12">
        <v>0.5509157823695161</v>
      </c>
      <c r="T1849" s="12">
        <v>0.918312933519429</v>
      </c>
      <c r="U1849" s="12">
        <v>0.85028305147975514</v>
      </c>
      <c r="V1849" s="12">
        <v>299.55360463157012</v>
      </c>
      <c r="W1849" s="12">
        <v>-6.8023908708006893</v>
      </c>
      <c r="X1849" s="12">
        <v>-44.500676363969603</v>
      </c>
      <c r="Y1849" s="12">
        <v>2600</v>
      </c>
      <c r="Z1849" s="12">
        <v>7.5</v>
      </c>
      <c r="AA1849" s="12" t="s">
        <v>2513</v>
      </c>
      <c r="AB1849" s="12"/>
    </row>
    <row r="1850" spans="1:28" x14ac:dyDescent="0.3">
      <c r="A1850" s="12" t="s">
        <v>3762</v>
      </c>
      <c r="B1850" s="12" t="s">
        <v>170</v>
      </c>
      <c r="C1850" s="12" t="s">
        <v>439</v>
      </c>
      <c r="D1850" s="12" t="s">
        <v>724</v>
      </c>
      <c r="E1850" s="12" t="s">
        <v>2978</v>
      </c>
      <c r="F1850" s="12" t="s">
        <v>832</v>
      </c>
      <c r="G1850" s="12" t="s">
        <v>832</v>
      </c>
      <c r="H1850" s="12" t="b">
        <v>0</v>
      </c>
      <c r="I1850" s="12" t="b">
        <v>0</v>
      </c>
      <c r="J1850" s="12" t="b">
        <v>0</v>
      </c>
      <c r="K1850" s="12" t="b">
        <v>0</v>
      </c>
      <c r="L1850" s="12">
        <v>592.56785175048071</v>
      </c>
      <c r="M1850" s="12">
        <v>297.33256082717088</v>
      </c>
      <c r="N1850" s="12">
        <v>3000</v>
      </c>
      <c r="O1850" s="12">
        <v>400</v>
      </c>
      <c r="P1850" s="12">
        <v>0.66102791909204961</v>
      </c>
      <c r="Q1850" s="12">
        <v>0.8403578332937347</v>
      </c>
      <c r="R1850" s="12">
        <v>0.81805418518350226</v>
      </c>
      <c r="S1850" s="12">
        <v>0.91983614718317319</v>
      </c>
      <c r="T1850" s="12">
        <v>0.92578439595850637</v>
      </c>
      <c r="U1850" s="12">
        <v>0.85433083223018236</v>
      </c>
      <c r="V1850" s="12">
        <v>297.33256082717088</v>
      </c>
      <c r="W1850" s="12"/>
      <c r="X1850" s="12"/>
      <c r="Y1850" s="12">
        <v>2600</v>
      </c>
      <c r="Z1850" s="12">
        <v>7.5</v>
      </c>
      <c r="AA1850" s="12"/>
      <c r="AB1850" s="12"/>
    </row>
    <row r="1851" spans="1:28" x14ac:dyDescent="0.3">
      <c r="A1851" s="12" t="s">
        <v>3763</v>
      </c>
      <c r="B1851" s="12" t="s">
        <v>170</v>
      </c>
      <c r="C1851" s="12" t="s">
        <v>439</v>
      </c>
      <c r="D1851" s="12" t="s">
        <v>724</v>
      </c>
      <c r="E1851" s="12" t="s">
        <v>2978</v>
      </c>
      <c r="F1851" s="12" t="s">
        <v>1861</v>
      </c>
      <c r="G1851" s="12" t="s">
        <v>1861</v>
      </c>
      <c r="H1851" s="12" t="b">
        <v>1</v>
      </c>
      <c r="I1851" s="12" t="b">
        <v>0</v>
      </c>
      <c r="J1851" s="12" t="b">
        <v>1</v>
      </c>
      <c r="K1851" s="12" t="b">
        <v>0</v>
      </c>
      <c r="L1851" s="12">
        <v>545.04147996965071</v>
      </c>
      <c r="M1851" s="12">
        <v>292.84849410871823</v>
      </c>
      <c r="N1851" s="12">
        <v>3000</v>
      </c>
      <c r="O1851" s="12">
        <v>400</v>
      </c>
      <c r="P1851" s="12">
        <v>0.58684940112142903</v>
      </c>
      <c r="Q1851" s="12">
        <v>0.61566898941898152</v>
      </c>
      <c r="R1851" s="12">
        <v>0.51576276711529745</v>
      </c>
      <c r="S1851" s="12">
        <v>0.79645715104770731</v>
      </c>
      <c r="T1851" s="12">
        <v>0.78724265367500945</v>
      </c>
      <c r="U1851" s="12">
        <v>0.89166414141511008</v>
      </c>
      <c r="V1851" s="12">
        <v>292.84849410871823</v>
      </c>
      <c r="W1851" s="12">
        <v>9.3015722035366402</v>
      </c>
      <c r="X1851" s="12">
        <v>162.7650119638825</v>
      </c>
      <c r="Y1851" s="12">
        <v>2600</v>
      </c>
      <c r="Z1851" s="12">
        <v>7.5</v>
      </c>
      <c r="AA1851" s="12" t="s">
        <v>1268</v>
      </c>
      <c r="AB1851" s="12"/>
    </row>
    <row r="1852" spans="1:28" x14ac:dyDescent="0.3">
      <c r="A1852" s="12" t="s">
        <v>3764</v>
      </c>
      <c r="B1852" s="12" t="s">
        <v>170</v>
      </c>
      <c r="C1852" s="12" t="s">
        <v>439</v>
      </c>
      <c r="D1852" s="12" t="s">
        <v>724</v>
      </c>
      <c r="E1852" s="12" t="s">
        <v>2978</v>
      </c>
      <c r="F1852" s="12" t="s">
        <v>1861</v>
      </c>
      <c r="G1852" s="12" t="s">
        <v>1861</v>
      </c>
      <c r="H1852" s="12" t="b">
        <v>1</v>
      </c>
      <c r="I1852" s="12" t="b">
        <v>0</v>
      </c>
      <c r="J1852" s="12" t="b">
        <v>1</v>
      </c>
      <c r="K1852" s="12" t="b">
        <v>0</v>
      </c>
      <c r="L1852" s="12">
        <v>531.40863723418909</v>
      </c>
      <c r="M1852" s="12">
        <v>279.87186741560708</v>
      </c>
      <c r="N1852" s="12">
        <v>3000</v>
      </c>
      <c r="O1852" s="12">
        <v>400</v>
      </c>
      <c r="P1852" s="12">
        <v>0.59622433752561177</v>
      </c>
      <c r="Q1852" s="12">
        <v>0.7589474575901014</v>
      </c>
      <c r="R1852" s="12">
        <v>0.71163149180433316</v>
      </c>
      <c r="S1852" s="12">
        <v>0.84422997559350843</v>
      </c>
      <c r="T1852" s="12">
        <v>0.50065623274953219</v>
      </c>
      <c r="U1852" s="12">
        <v>0.90282205960506279</v>
      </c>
      <c r="V1852" s="12">
        <v>279.87186741560708</v>
      </c>
      <c r="W1852" s="12">
        <v>12.21066434699563</v>
      </c>
      <c r="X1852" s="12">
        <v>233.21598978551651</v>
      </c>
      <c r="Y1852" s="12">
        <v>2600</v>
      </c>
      <c r="Z1852" s="12">
        <v>7.5</v>
      </c>
      <c r="AA1852" s="12" t="s">
        <v>1268</v>
      </c>
      <c r="AB1852" s="12"/>
    </row>
    <row r="1853" spans="1:28" x14ac:dyDescent="0.3">
      <c r="A1853" s="12" t="s">
        <v>3765</v>
      </c>
      <c r="B1853" s="12" t="s">
        <v>170</v>
      </c>
      <c r="C1853" s="12" t="s">
        <v>439</v>
      </c>
      <c r="D1853" s="12" t="s">
        <v>724</v>
      </c>
      <c r="E1853" s="12" t="s">
        <v>2978</v>
      </c>
      <c r="F1853" s="12" t="s">
        <v>1861</v>
      </c>
      <c r="G1853" s="12" t="s">
        <v>1861</v>
      </c>
      <c r="H1853" s="12" t="b">
        <v>1</v>
      </c>
      <c r="I1853" s="12" t="b">
        <v>0</v>
      </c>
      <c r="J1853" s="12" t="b">
        <v>1</v>
      </c>
      <c r="K1853" s="12" t="b">
        <v>0</v>
      </c>
      <c r="L1853" s="12">
        <v>520.06747828813002</v>
      </c>
      <c r="M1853" s="12">
        <v>288.96481214941838</v>
      </c>
      <c r="N1853" s="12">
        <v>3000</v>
      </c>
      <c r="O1853" s="12">
        <v>400</v>
      </c>
      <c r="P1853" s="12">
        <v>0.62296030828493176</v>
      </c>
      <c r="Q1853" s="12">
        <v>0.76510348573025155</v>
      </c>
      <c r="R1853" s="12">
        <v>0.92431085624195441</v>
      </c>
      <c r="S1853" s="12">
        <v>0.75702374586741483</v>
      </c>
      <c r="T1853" s="12">
        <v>0.48514170111689769</v>
      </c>
      <c r="U1853" s="12">
        <v>0.69501754038255226</v>
      </c>
      <c r="V1853" s="12">
        <v>288.96481214941838</v>
      </c>
      <c r="W1853" s="12">
        <v>11.11441998992885</v>
      </c>
      <c r="X1853" s="12">
        <v>147.1007701286043</v>
      </c>
      <c r="Y1853" s="12">
        <v>2600</v>
      </c>
      <c r="Z1853" s="12">
        <v>7.5</v>
      </c>
      <c r="AA1853" s="12" t="s">
        <v>1268</v>
      </c>
      <c r="AB1853" s="12"/>
    </row>
    <row r="1854" spans="1:28" x14ac:dyDescent="0.3">
      <c r="A1854" s="12" t="s">
        <v>3766</v>
      </c>
      <c r="B1854" s="12" t="s">
        <v>170</v>
      </c>
      <c r="C1854" s="12" t="s">
        <v>439</v>
      </c>
      <c r="D1854" s="12" t="s">
        <v>724</v>
      </c>
      <c r="E1854" s="12" t="s">
        <v>2978</v>
      </c>
      <c r="F1854" s="12" t="s">
        <v>1861</v>
      </c>
      <c r="G1854" s="12" t="s">
        <v>1861</v>
      </c>
      <c r="H1854" s="12" t="b">
        <v>1</v>
      </c>
      <c r="I1854" s="12" t="b">
        <v>0</v>
      </c>
      <c r="J1854" s="12" t="b">
        <v>1</v>
      </c>
      <c r="K1854" s="12" t="b">
        <v>0</v>
      </c>
      <c r="L1854" s="12">
        <v>612.16005710929983</v>
      </c>
      <c r="M1854" s="12">
        <v>290.68900694917562</v>
      </c>
      <c r="N1854" s="12">
        <v>3000</v>
      </c>
      <c r="O1854" s="12">
        <v>400</v>
      </c>
      <c r="P1854" s="12">
        <v>0.62614540037292277</v>
      </c>
      <c r="Q1854" s="12">
        <v>0.88471879855910374</v>
      </c>
      <c r="R1854" s="12">
        <v>0.86518816428744294</v>
      </c>
      <c r="S1854" s="12">
        <v>0.46817381123181528</v>
      </c>
      <c r="T1854" s="12">
        <v>0.92818942542299598</v>
      </c>
      <c r="U1854" s="12">
        <v>0.74967041438256343</v>
      </c>
      <c r="V1854" s="12">
        <v>290.68900694917562</v>
      </c>
      <c r="W1854" s="12">
        <v>14.533219437618749</v>
      </c>
      <c r="X1854" s="12">
        <v>144.0378071088067</v>
      </c>
      <c r="Y1854" s="12">
        <v>2600</v>
      </c>
      <c r="Z1854" s="12">
        <v>7.5</v>
      </c>
      <c r="AA1854" s="12" t="s">
        <v>1268</v>
      </c>
      <c r="AB1854" s="12"/>
    </row>
    <row r="1855" spans="1:28" x14ac:dyDescent="0.3">
      <c r="A1855" s="12" t="s">
        <v>3767</v>
      </c>
      <c r="B1855" s="12" t="s">
        <v>170</v>
      </c>
      <c r="C1855" s="12" t="s">
        <v>439</v>
      </c>
      <c r="D1855" s="12" t="s">
        <v>724</v>
      </c>
      <c r="E1855" s="12" t="s">
        <v>2978</v>
      </c>
      <c r="F1855" s="12" t="s">
        <v>1862</v>
      </c>
      <c r="G1855" s="12" t="s">
        <v>1862</v>
      </c>
      <c r="H1855" s="12" t="b">
        <v>1</v>
      </c>
      <c r="I1855" s="12" t="b">
        <v>0</v>
      </c>
      <c r="J1855" s="12" t="b">
        <v>0</v>
      </c>
      <c r="K1855" s="12" t="b">
        <v>0</v>
      </c>
      <c r="L1855" s="12">
        <v>438.1549755980534</v>
      </c>
      <c r="M1855" s="12">
        <v>301.41558175801919</v>
      </c>
      <c r="N1855" s="12">
        <v>3000</v>
      </c>
      <c r="O1855" s="12">
        <v>400</v>
      </c>
      <c r="P1855" s="12">
        <v>0.60528945255084143</v>
      </c>
      <c r="Q1855" s="12">
        <v>0.62459312194876682</v>
      </c>
      <c r="R1855" s="12">
        <v>0.46690720432329158</v>
      </c>
      <c r="S1855" s="12">
        <v>0.55440167194200629</v>
      </c>
      <c r="T1855" s="12">
        <v>0.47564572162507052</v>
      </c>
      <c r="U1855" s="12">
        <v>0.73933118490619076</v>
      </c>
      <c r="V1855" s="12">
        <v>301.41558175801919</v>
      </c>
      <c r="W1855" s="12">
        <v>-11.323736849345501</v>
      </c>
      <c r="X1855" s="12">
        <v>-54.108306632608659</v>
      </c>
      <c r="Y1855" s="12">
        <v>2600</v>
      </c>
      <c r="Z1855" s="12">
        <v>7.5</v>
      </c>
      <c r="AA1855" s="12" t="s">
        <v>2513</v>
      </c>
      <c r="AB1855" s="12"/>
    </row>
    <row r="1856" spans="1:28" x14ac:dyDescent="0.3">
      <c r="A1856" s="12" t="s">
        <v>3768</v>
      </c>
      <c r="B1856" s="12" t="s">
        <v>170</v>
      </c>
      <c r="C1856" s="12" t="s">
        <v>439</v>
      </c>
      <c r="D1856" s="12" t="s">
        <v>724</v>
      </c>
      <c r="E1856" s="12" t="s">
        <v>2978</v>
      </c>
      <c r="F1856" s="12" t="s">
        <v>1861</v>
      </c>
      <c r="G1856" s="12" t="s">
        <v>1861</v>
      </c>
      <c r="H1856" s="12" t="b">
        <v>1</v>
      </c>
      <c r="I1856" s="12" t="b">
        <v>0</v>
      </c>
      <c r="J1856" s="12" t="b">
        <v>1</v>
      </c>
      <c r="K1856" s="12" t="b">
        <v>0</v>
      </c>
      <c r="L1856" s="12">
        <v>473.7371693257702</v>
      </c>
      <c r="M1856" s="12">
        <v>279.19389963717299</v>
      </c>
      <c r="N1856" s="12">
        <v>3000</v>
      </c>
      <c r="O1856" s="12">
        <v>400</v>
      </c>
      <c r="P1856" s="12">
        <v>0.71026279796047398</v>
      </c>
      <c r="Q1856" s="12">
        <v>0.73012979332662309</v>
      </c>
      <c r="R1856" s="12">
        <v>0.59414005709415896</v>
      </c>
      <c r="S1856" s="12">
        <v>0.75155102025987075</v>
      </c>
      <c r="T1856" s="12">
        <v>0.43682643109872321</v>
      </c>
      <c r="U1856" s="12">
        <v>0.64366373015482348</v>
      </c>
      <c r="V1856" s="12">
        <v>279.19389963717299</v>
      </c>
      <c r="W1856" s="12">
        <v>5.3393348703342403</v>
      </c>
      <c r="X1856" s="12">
        <v>57.228508410148891</v>
      </c>
      <c r="Y1856" s="12">
        <v>2600</v>
      </c>
      <c r="Z1856" s="12">
        <v>7.5</v>
      </c>
      <c r="AA1856" s="12" t="s">
        <v>1268</v>
      </c>
      <c r="AB1856" s="12"/>
    </row>
    <row r="1857" spans="1:28" x14ac:dyDescent="0.3">
      <c r="A1857" s="12" t="s">
        <v>3769</v>
      </c>
      <c r="B1857" s="12" t="s">
        <v>170</v>
      </c>
      <c r="C1857" s="12" t="s">
        <v>439</v>
      </c>
      <c r="D1857" s="12" t="s">
        <v>724</v>
      </c>
      <c r="E1857" s="12" t="s">
        <v>2978</v>
      </c>
      <c r="F1857" s="12" t="s">
        <v>1861</v>
      </c>
      <c r="G1857" s="12" t="s">
        <v>1861</v>
      </c>
      <c r="H1857" s="12" t="b">
        <v>1</v>
      </c>
      <c r="I1857" s="12" t="b">
        <v>0</v>
      </c>
      <c r="J1857" s="12" t="b">
        <v>1</v>
      </c>
      <c r="K1857" s="12" t="b">
        <v>0</v>
      </c>
      <c r="L1857" s="12">
        <v>492.02216833928412</v>
      </c>
      <c r="M1857" s="12">
        <v>284.24927321677558</v>
      </c>
      <c r="N1857" s="12">
        <v>3000</v>
      </c>
      <c r="O1857" s="12">
        <v>400</v>
      </c>
      <c r="P1857" s="12">
        <v>0.63427467064941823</v>
      </c>
      <c r="Q1857" s="12">
        <v>0.57237322396945711</v>
      </c>
      <c r="R1857" s="12">
        <v>0.49341121865057441</v>
      </c>
      <c r="S1857" s="12">
        <v>0.64480308607394154</v>
      </c>
      <c r="T1857" s="12">
        <v>0.62641382067825635</v>
      </c>
      <c r="U1857" s="12">
        <v>0.93721507399332837</v>
      </c>
      <c r="V1857" s="12">
        <v>284.24927321677558</v>
      </c>
      <c r="W1857" s="12">
        <v>9.0274266481105805</v>
      </c>
      <c r="X1857" s="12">
        <v>121.4209009639531</v>
      </c>
      <c r="Y1857" s="12">
        <v>2600</v>
      </c>
      <c r="Z1857" s="12">
        <v>7.5</v>
      </c>
      <c r="AA1857" s="12" t="s">
        <v>1268</v>
      </c>
      <c r="AB1857" s="12"/>
    </row>
    <row r="1858" spans="1:28" x14ac:dyDescent="0.3">
      <c r="A1858" s="12" t="s">
        <v>3770</v>
      </c>
      <c r="B1858" s="12" t="s">
        <v>170</v>
      </c>
      <c r="C1858" s="12" t="s">
        <v>439</v>
      </c>
      <c r="D1858" s="12" t="s">
        <v>724</v>
      </c>
      <c r="E1858" s="12" t="s">
        <v>2978</v>
      </c>
      <c r="F1858" s="12" t="s">
        <v>1861</v>
      </c>
      <c r="G1858" s="12" t="s">
        <v>1861</v>
      </c>
      <c r="H1858" s="12" t="b">
        <v>1</v>
      </c>
      <c r="I1858" s="12" t="b">
        <v>0</v>
      </c>
      <c r="J1858" s="12" t="b">
        <v>0</v>
      </c>
      <c r="K1858" s="12" t="b">
        <v>0</v>
      </c>
      <c r="L1858" s="12">
        <v>385.1452257523793</v>
      </c>
      <c r="M1858" s="12">
        <v>291.89008402717292</v>
      </c>
      <c r="N1858" s="12">
        <v>3000</v>
      </c>
      <c r="O1858" s="12">
        <v>400</v>
      </c>
      <c r="P1858" s="12">
        <v>0.658296632405728</v>
      </c>
      <c r="Q1858" s="12">
        <v>0.85747446093985502</v>
      </c>
      <c r="R1858" s="12">
        <v>0.87321600328579563</v>
      </c>
      <c r="S1858" s="12">
        <v>0.90201008972968399</v>
      </c>
      <c r="T1858" s="12">
        <v>0.56475274663337205</v>
      </c>
      <c r="U1858" s="12">
        <v>0.75529828443009328</v>
      </c>
      <c r="V1858" s="12">
        <v>291.89008402717292</v>
      </c>
      <c r="W1858" s="12">
        <v>7.3031748072128293</v>
      </c>
      <c r="X1858" s="12">
        <v>27.622026957999608</v>
      </c>
      <c r="Y1858" s="12">
        <v>2600</v>
      </c>
      <c r="Z1858" s="12">
        <v>7.5</v>
      </c>
      <c r="AA1858" s="12" t="s">
        <v>1268</v>
      </c>
      <c r="AB1858" s="12"/>
    </row>
    <row r="1859" spans="1:28" x14ac:dyDescent="0.3">
      <c r="A1859" s="12" t="s">
        <v>3771</v>
      </c>
      <c r="B1859" s="12" t="s">
        <v>170</v>
      </c>
      <c r="C1859" s="12" t="s">
        <v>439</v>
      </c>
      <c r="D1859" s="12" t="s">
        <v>724</v>
      </c>
      <c r="E1859" s="12" t="s">
        <v>2978</v>
      </c>
      <c r="F1859" s="12" t="s">
        <v>1862</v>
      </c>
      <c r="G1859" s="12" t="s">
        <v>1862</v>
      </c>
      <c r="H1859" s="12" t="b">
        <v>1</v>
      </c>
      <c r="I1859" s="12" t="b">
        <v>0</v>
      </c>
      <c r="J1859" s="12" t="b">
        <v>0</v>
      </c>
      <c r="K1859" s="12" t="b">
        <v>0</v>
      </c>
      <c r="L1859" s="12">
        <v>387.11693445952147</v>
      </c>
      <c r="M1859" s="12">
        <v>288.13753083657372</v>
      </c>
      <c r="N1859" s="12">
        <v>3000</v>
      </c>
      <c r="O1859" s="12">
        <v>400</v>
      </c>
      <c r="P1859" s="12">
        <v>0.69318861514187202</v>
      </c>
      <c r="Q1859" s="12">
        <v>0.40267557347165539</v>
      </c>
      <c r="R1859" s="12">
        <v>0.48502585646470459</v>
      </c>
      <c r="S1859" s="12">
        <v>0.77899657294608837</v>
      </c>
      <c r="T1859" s="12">
        <v>0.57584353758108575</v>
      </c>
      <c r="U1859" s="12">
        <v>0.76294601843647913</v>
      </c>
      <c r="V1859" s="12">
        <v>288.13753083657372</v>
      </c>
      <c r="W1859" s="12">
        <v>-15.32988944279511</v>
      </c>
      <c r="X1859" s="12">
        <v>-56.026058669442193</v>
      </c>
      <c r="Y1859" s="12">
        <v>2600</v>
      </c>
      <c r="Z1859" s="12">
        <v>7.5</v>
      </c>
      <c r="AA1859" s="12" t="s">
        <v>2513</v>
      </c>
      <c r="AB1859" s="12"/>
    </row>
    <row r="1860" spans="1:28" x14ac:dyDescent="0.3">
      <c r="A1860" s="12" t="s">
        <v>3772</v>
      </c>
      <c r="B1860" s="12" t="s">
        <v>170</v>
      </c>
      <c r="C1860" s="12" t="s">
        <v>439</v>
      </c>
      <c r="D1860" s="12" t="s">
        <v>724</v>
      </c>
      <c r="E1860" s="12" t="s">
        <v>2978</v>
      </c>
      <c r="F1860" s="12" t="s">
        <v>1861</v>
      </c>
      <c r="G1860" s="12" t="s">
        <v>1861</v>
      </c>
      <c r="H1860" s="12" t="b">
        <v>1</v>
      </c>
      <c r="I1860" s="12" t="b">
        <v>0</v>
      </c>
      <c r="J1860" s="12" t="b">
        <v>1</v>
      </c>
      <c r="K1860" s="12" t="b">
        <v>0</v>
      </c>
      <c r="L1860" s="12">
        <v>580.47844662147099</v>
      </c>
      <c r="M1860" s="12">
        <v>297.08365993193161</v>
      </c>
      <c r="N1860" s="12">
        <v>3000</v>
      </c>
      <c r="O1860" s="12">
        <v>400</v>
      </c>
      <c r="P1860" s="12">
        <v>0.57300015214688516</v>
      </c>
      <c r="Q1860" s="12">
        <v>0.84909135064982943</v>
      </c>
      <c r="R1860" s="12">
        <v>0.71486125253402943</v>
      </c>
      <c r="S1860" s="12">
        <v>0.49614229268238169</v>
      </c>
      <c r="T1860" s="12">
        <v>0.46133136490816379</v>
      </c>
      <c r="U1860" s="12">
        <v>0.92882756790203758</v>
      </c>
      <c r="V1860" s="12">
        <v>297.08365993193161</v>
      </c>
      <c r="W1860" s="12">
        <v>13.11866415958384</v>
      </c>
      <c r="X1860" s="12">
        <v>150.4926450110074</v>
      </c>
      <c r="Y1860" s="12">
        <v>2600</v>
      </c>
      <c r="Z1860" s="12">
        <v>7.5</v>
      </c>
      <c r="AA1860" s="12" t="s">
        <v>1268</v>
      </c>
      <c r="AB1860" s="12"/>
    </row>
    <row r="1861" spans="1:28" x14ac:dyDescent="0.3">
      <c r="A1861" s="12" t="s">
        <v>3773</v>
      </c>
      <c r="B1861" s="12" t="s">
        <v>170</v>
      </c>
      <c r="C1861" s="12" t="s">
        <v>439</v>
      </c>
      <c r="D1861" s="12" t="s">
        <v>724</v>
      </c>
      <c r="E1861" s="12" t="s">
        <v>2978</v>
      </c>
      <c r="F1861" s="12" t="s">
        <v>1862</v>
      </c>
      <c r="G1861" s="12" t="s">
        <v>1862</v>
      </c>
      <c r="H1861" s="12" t="b">
        <v>1</v>
      </c>
      <c r="I1861" s="12" t="b">
        <v>0</v>
      </c>
      <c r="J1861" s="12" t="b">
        <v>0</v>
      </c>
      <c r="K1861" s="12" t="b">
        <v>0</v>
      </c>
      <c r="L1861" s="12">
        <v>381.6092851157166</v>
      </c>
      <c r="M1861" s="12">
        <v>292.10991601808638</v>
      </c>
      <c r="N1861" s="12">
        <v>3000</v>
      </c>
      <c r="O1861" s="12">
        <v>400</v>
      </c>
      <c r="P1861" s="12">
        <v>0.8280857294522489</v>
      </c>
      <c r="Q1861" s="12">
        <v>0.79047090640570161</v>
      </c>
      <c r="R1861" s="12">
        <v>0.91082371286789976</v>
      </c>
      <c r="S1861" s="12">
        <v>0.5592128879270416</v>
      </c>
      <c r="T1861" s="12">
        <v>0.85895792939487281</v>
      </c>
      <c r="U1861" s="12">
        <v>0.87178429859530771</v>
      </c>
      <c r="V1861" s="12">
        <v>292.10991601808638</v>
      </c>
      <c r="W1861" s="12">
        <v>-53.350387212201213</v>
      </c>
      <c r="X1861" s="12">
        <v>-48.764495778637126</v>
      </c>
      <c r="Y1861" s="12">
        <v>2600</v>
      </c>
      <c r="Z1861" s="12">
        <v>7.5</v>
      </c>
      <c r="AA1861" s="12" t="s">
        <v>2513</v>
      </c>
      <c r="AB1861" s="12"/>
    </row>
    <row r="1862" spans="1:28" x14ac:dyDescent="0.3">
      <c r="A1862" s="12" t="s">
        <v>3774</v>
      </c>
      <c r="B1862" s="12" t="s">
        <v>170</v>
      </c>
      <c r="C1862" s="12" t="s">
        <v>439</v>
      </c>
      <c r="D1862" s="12" t="s">
        <v>724</v>
      </c>
      <c r="E1862" s="12" t="s">
        <v>2978</v>
      </c>
      <c r="F1862" s="12" t="s">
        <v>832</v>
      </c>
      <c r="G1862" s="12" t="s">
        <v>832</v>
      </c>
      <c r="H1862" s="12" t="b">
        <v>0</v>
      </c>
      <c r="I1862" s="12" t="b">
        <v>0</v>
      </c>
      <c r="J1862" s="12" t="b">
        <v>0</v>
      </c>
      <c r="K1862" s="12" t="b">
        <v>0</v>
      </c>
      <c r="L1862" s="12">
        <v>553.44113165670615</v>
      </c>
      <c r="M1862" s="12">
        <v>298.1346786251853</v>
      </c>
      <c r="N1862" s="12">
        <v>3000</v>
      </c>
      <c r="O1862" s="12">
        <v>400</v>
      </c>
      <c r="P1862" s="12">
        <v>0.64346255048124557</v>
      </c>
      <c r="Q1862" s="12">
        <v>0.93092170813233499</v>
      </c>
      <c r="R1862" s="12">
        <v>0.66715977506014768</v>
      </c>
      <c r="S1862" s="12">
        <v>0.92828778753209495</v>
      </c>
      <c r="T1862" s="12">
        <v>0.48171689856887617</v>
      </c>
      <c r="U1862" s="12">
        <v>0.6611472387809112</v>
      </c>
      <c r="V1862" s="12">
        <v>298.1346786251853</v>
      </c>
      <c r="W1862" s="12"/>
      <c r="X1862" s="12"/>
      <c r="Y1862" s="12">
        <v>2600</v>
      </c>
      <c r="Z1862" s="12">
        <v>7.5</v>
      </c>
      <c r="AA1862" s="12"/>
      <c r="AB1862" s="12"/>
    </row>
    <row r="1863" spans="1:28" x14ac:dyDescent="0.3">
      <c r="A1863" s="12" t="s">
        <v>3775</v>
      </c>
      <c r="B1863" s="12" t="s">
        <v>170</v>
      </c>
      <c r="C1863" s="12" t="s">
        <v>439</v>
      </c>
      <c r="D1863" s="12" t="s">
        <v>724</v>
      </c>
      <c r="E1863" s="12" t="s">
        <v>2978</v>
      </c>
      <c r="F1863" s="12" t="s">
        <v>1861</v>
      </c>
      <c r="G1863" s="12" t="s">
        <v>1861</v>
      </c>
      <c r="H1863" s="12" t="b">
        <v>1</v>
      </c>
      <c r="I1863" s="12" t="b">
        <v>0</v>
      </c>
      <c r="J1863" s="12" t="b">
        <v>1</v>
      </c>
      <c r="K1863" s="12" t="b">
        <v>0</v>
      </c>
      <c r="L1863" s="12">
        <v>481.74456532978422</v>
      </c>
      <c r="M1863" s="12">
        <v>296.71704393138913</v>
      </c>
      <c r="N1863" s="12">
        <v>3000</v>
      </c>
      <c r="O1863" s="12">
        <v>400</v>
      </c>
      <c r="P1863" s="12">
        <v>0.51027615025923501</v>
      </c>
      <c r="Q1863" s="12">
        <v>0.93903431036209517</v>
      </c>
      <c r="R1863" s="12">
        <v>0.84119753729104463</v>
      </c>
      <c r="S1863" s="12">
        <v>0.76837974902722161</v>
      </c>
      <c r="T1863" s="12">
        <v>0.74014982303806143</v>
      </c>
      <c r="U1863" s="12">
        <v>0.40992949101159309</v>
      </c>
      <c r="V1863" s="12">
        <v>296.71704393138913</v>
      </c>
      <c r="W1863" s="12">
        <v>10.94440928467221</v>
      </c>
      <c r="X1863" s="12">
        <v>91.078377857021437</v>
      </c>
      <c r="Y1863" s="12">
        <v>2600</v>
      </c>
      <c r="Z1863" s="12">
        <v>7.5</v>
      </c>
      <c r="AA1863" s="12" t="s">
        <v>1981</v>
      </c>
      <c r="AB1863" s="12"/>
    </row>
    <row r="1864" spans="1:28" x14ac:dyDescent="0.3">
      <c r="A1864" s="12" t="s">
        <v>3776</v>
      </c>
      <c r="B1864" s="12" t="s">
        <v>170</v>
      </c>
      <c r="C1864" s="12" t="s">
        <v>439</v>
      </c>
      <c r="D1864" s="12" t="s">
        <v>724</v>
      </c>
      <c r="E1864" s="12" t="s">
        <v>2978</v>
      </c>
      <c r="F1864" s="12" t="s">
        <v>832</v>
      </c>
      <c r="G1864" s="12" t="s">
        <v>832</v>
      </c>
      <c r="H1864" s="12" t="b">
        <v>0</v>
      </c>
      <c r="I1864" s="12" t="b">
        <v>0</v>
      </c>
      <c r="J1864" s="12" t="b">
        <v>0</v>
      </c>
      <c r="K1864" s="12" t="b">
        <v>0</v>
      </c>
      <c r="L1864" s="12">
        <v>597.49145336307856</v>
      </c>
      <c r="M1864" s="12">
        <v>289.86646440748672</v>
      </c>
      <c r="N1864" s="12">
        <v>3000</v>
      </c>
      <c r="O1864" s="12">
        <v>400</v>
      </c>
      <c r="P1864" s="12">
        <v>0.78575116134755696</v>
      </c>
      <c r="Q1864" s="12">
        <v>0.51993503689485876</v>
      </c>
      <c r="R1864" s="12">
        <v>0.73597918968870779</v>
      </c>
      <c r="S1864" s="12">
        <v>0.8621659181681649</v>
      </c>
      <c r="T1864" s="12">
        <v>0.75392574678616087</v>
      </c>
      <c r="U1864" s="12">
        <v>0.47296640818679619</v>
      </c>
      <c r="V1864" s="12">
        <v>289.86646440748672</v>
      </c>
      <c r="W1864" s="12"/>
      <c r="X1864" s="12"/>
      <c r="Y1864" s="12">
        <v>2600</v>
      </c>
      <c r="Z1864" s="12">
        <v>7.5</v>
      </c>
      <c r="AA1864" s="12"/>
      <c r="AB1864" s="12"/>
    </row>
    <row r="1865" spans="1:28" x14ac:dyDescent="0.3">
      <c r="A1865" s="12" t="s">
        <v>3777</v>
      </c>
      <c r="B1865" s="12" t="s">
        <v>170</v>
      </c>
      <c r="C1865" s="12" t="s">
        <v>439</v>
      </c>
      <c r="D1865" s="12" t="s">
        <v>724</v>
      </c>
      <c r="E1865" s="12" t="s">
        <v>2978</v>
      </c>
      <c r="F1865" s="12" t="s">
        <v>1861</v>
      </c>
      <c r="G1865" s="12" t="s">
        <v>1861</v>
      </c>
      <c r="H1865" s="12" t="b">
        <v>1</v>
      </c>
      <c r="I1865" s="12" t="b">
        <v>0</v>
      </c>
      <c r="J1865" s="12" t="b">
        <v>1</v>
      </c>
      <c r="K1865" s="12" t="b">
        <v>0</v>
      </c>
      <c r="L1865" s="12">
        <v>432.95427781061568</v>
      </c>
      <c r="M1865" s="12">
        <v>292.587597440644</v>
      </c>
      <c r="N1865" s="12">
        <v>3000</v>
      </c>
      <c r="O1865" s="12">
        <v>400</v>
      </c>
      <c r="P1865" s="12">
        <v>0.52028350625815523</v>
      </c>
      <c r="Q1865" s="12">
        <v>0.8020399299204084</v>
      </c>
      <c r="R1865" s="12">
        <v>0.59106779729773817</v>
      </c>
      <c r="S1865" s="12">
        <v>0.94755076141770178</v>
      </c>
      <c r="T1865" s="12">
        <v>0.77481739146467277</v>
      </c>
      <c r="U1865" s="12">
        <v>0.57293192879444188</v>
      </c>
      <c r="V1865" s="12">
        <v>292.587597440644</v>
      </c>
      <c r="W1865" s="12">
        <v>6.2881959894796902</v>
      </c>
      <c r="X1865" s="12">
        <v>38.202123241022377</v>
      </c>
      <c r="Y1865" s="12">
        <v>2600</v>
      </c>
      <c r="Z1865" s="12">
        <v>7.5</v>
      </c>
      <c r="AA1865" s="12" t="s">
        <v>1268</v>
      </c>
      <c r="AB1865" s="12"/>
    </row>
    <row r="1866" spans="1:28" x14ac:dyDescent="0.3">
      <c r="A1866" s="12" t="s">
        <v>3778</v>
      </c>
      <c r="B1866" s="12" t="s">
        <v>170</v>
      </c>
      <c r="C1866" s="12" t="s">
        <v>439</v>
      </c>
      <c r="D1866" s="12" t="s">
        <v>724</v>
      </c>
      <c r="E1866" s="12" t="s">
        <v>2978</v>
      </c>
      <c r="F1866" s="12" t="s">
        <v>1861</v>
      </c>
      <c r="G1866" s="12" t="s">
        <v>1861</v>
      </c>
      <c r="H1866" s="12" t="b">
        <v>1</v>
      </c>
      <c r="I1866" s="12" t="b">
        <v>0</v>
      </c>
      <c r="J1866" s="12" t="b">
        <v>1</v>
      </c>
      <c r="K1866" s="12" t="b">
        <v>0</v>
      </c>
      <c r="L1866" s="12">
        <v>435.4917432016901</v>
      </c>
      <c r="M1866" s="12">
        <v>279.33620731387708</v>
      </c>
      <c r="N1866" s="12">
        <v>3000</v>
      </c>
      <c r="O1866" s="12">
        <v>400</v>
      </c>
      <c r="P1866" s="12">
        <v>0.55481359334396851</v>
      </c>
      <c r="Q1866" s="12">
        <v>0.65692261976730171</v>
      </c>
      <c r="R1866" s="12">
        <v>0.55522736362818537</v>
      </c>
      <c r="S1866" s="12">
        <v>0.76090994484466501</v>
      </c>
      <c r="T1866" s="12">
        <v>0.82587243628647877</v>
      </c>
      <c r="U1866" s="12">
        <v>0.64915219213337871</v>
      </c>
      <c r="V1866" s="12">
        <v>279.33620731387708</v>
      </c>
      <c r="W1866" s="12">
        <v>7.2466712620472196</v>
      </c>
      <c r="X1866" s="12">
        <v>49.277173162401169</v>
      </c>
      <c r="Y1866" s="12">
        <v>2600</v>
      </c>
      <c r="Z1866" s="12">
        <v>7.5</v>
      </c>
      <c r="AA1866" s="12" t="s">
        <v>1268</v>
      </c>
      <c r="AB1866" s="12"/>
    </row>
    <row r="1867" spans="1:28" x14ac:dyDescent="0.3">
      <c r="A1867" s="12" t="s">
        <v>3779</v>
      </c>
      <c r="B1867" s="12" t="s">
        <v>170</v>
      </c>
      <c r="C1867" s="12" t="s">
        <v>439</v>
      </c>
      <c r="D1867" s="12" t="s">
        <v>724</v>
      </c>
      <c r="E1867" s="12" t="s">
        <v>2978</v>
      </c>
      <c r="F1867" s="12" t="s">
        <v>1862</v>
      </c>
      <c r="G1867" s="12" t="s">
        <v>1862</v>
      </c>
      <c r="H1867" s="12" t="b">
        <v>1</v>
      </c>
      <c r="I1867" s="12" t="b">
        <v>0</v>
      </c>
      <c r="J1867" s="12" t="b">
        <v>0</v>
      </c>
      <c r="K1867" s="12" t="b">
        <v>0</v>
      </c>
      <c r="L1867" s="12">
        <v>405.48937597249591</v>
      </c>
      <c r="M1867" s="12">
        <v>293.86162703799738</v>
      </c>
      <c r="N1867" s="12">
        <v>3000</v>
      </c>
      <c r="O1867" s="12">
        <v>400</v>
      </c>
      <c r="P1867" s="12">
        <v>0.76244894291175458</v>
      </c>
      <c r="Q1867" s="12">
        <v>0.66242303559536209</v>
      </c>
      <c r="R1867" s="12">
        <v>0.67453144177606861</v>
      </c>
      <c r="S1867" s="12">
        <v>0.78660103730711561</v>
      </c>
      <c r="T1867" s="12">
        <v>0.44319748077779247</v>
      </c>
      <c r="U1867" s="12">
        <v>0.54883784806069025</v>
      </c>
      <c r="V1867" s="12">
        <v>293.86162703799738</v>
      </c>
      <c r="W1867" s="12">
        <v>-71.022063732828016</v>
      </c>
      <c r="X1867" s="12">
        <v>-117.9172022283764</v>
      </c>
      <c r="Y1867" s="12">
        <v>2600</v>
      </c>
      <c r="Z1867" s="12">
        <v>7.5</v>
      </c>
      <c r="AA1867" s="12" t="s">
        <v>2513</v>
      </c>
      <c r="AB1867" s="12"/>
    </row>
    <row r="1868" spans="1:28" x14ac:dyDescent="0.3">
      <c r="A1868" s="12" t="s">
        <v>3780</v>
      </c>
      <c r="B1868" s="12" t="s">
        <v>170</v>
      </c>
      <c r="C1868" s="12" t="s">
        <v>439</v>
      </c>
      <c r="D1868" s="12" t="s">
        <v>724</v>
      </c>
      <c r="E1868" s="12" t="s">
        <v>2978</v>
      </c>
      <c r="F1868" s="12" t="s">
        <v>1862</v>
      </c>
      <c r="G1868" s="12" t="s">
        <v>1862</v>
      </c>
      <c r="H1868" s="12" t="b">
        <v>1</v>
      </c>
      <c r="I1868" s="12" t="b">
        <v>0</v>
      </c>
      <c r="J1868" s="12" t="b">
        <v>1</v>
      </c>
      <c r="K1868" s="12" t="b">
        <v>0</v>
      </c>
      <c r="L1868" s="12">
        <v>542.90149199609311</v>
      </c>
      <c r="M1868" s="12">
        <v>298.272043013744</v>
      </c>
      <c r="N1868" s="12">
        <v>3000</v>
      </c>
      <c r="O1868" s="12">
        <v>400</v>
      </c>
      <c r="P1868" s="12">
        <v>0.54185283786323035</v>
      </c>
      <c r="Q1868" s="12">
        <v>0.61339232185425541</v>
      </c>
      <c r="R1868" s="12">
        <v>0.43618583549990669</v>
      </c>
      <c r="S1868" s="12">
        <v>0.40838439671344101</v>
      </c>
      <c r="T1868" s="12">
        <v>0.72220525407577241</v>
      </c>
      <c r="U1868" s="12">
        <v>0.60631466680317059</v>
      </c>
      <c r="V1868" s="12">
        <v>298.272043013744</v>
      </c>
      <c r="W1868" s="12">
        <v>-4.75193491830822</v>
      </c>
      <c r="X1868" s="12">
        <v>-34.385766588341582</v>
      </c>
      <c r="Y1868" s="12">
        <v>2600</v>
      </c>
      <c r="Z1868" s="12">
        <v>7.5</v>
      </c>
      <c r="AA1868" s="12" t="s">
        <v>2513</v>
      </c>
      <c r="AB1868" s="12"/>
    </row>
    <row r="1869" spans="1:28" x14ac:dyDescent="0.3">
      <c r="A1869" s="12" t="s">
        <v>3781</v>
      </c>
      <c r="B1869" s="12" t="s">
        <v>170</v>
      </c>
      <c r="C1869" s="12" t="s">
        <v>439</v>
      </c>
      <c r="D1869" s="12" t="s">
        <v>724</v>
      </c>
      <c r="E1869" s="12" t="s">
        <v>2978</v>
      </c>
      <c r="F1869" s="12" t="s">
        <v>1862</v>
      </c>
      <c r="G1869" s="12" t="s">
        <v>1862</v>
      </c>
      <c r="H1869" s="12" t="b">
        <v>1</v>
      </c>
      <c r="I1869" s="12" t="b">
        <v>0</v>
      </c>
      <c r="J1869" s="12" t="b">
        <v>1</v>
      </c>
      <c r="K1869" s="12" t="b">
        <v>0</v>
      </c>
      <c r="L1869" s="12">
        <v>486.71119117593929</v>
      </c>
      <c r="M1869" s="12">
        <v>294.23209833728652</v>
      </c>
      <c r="N1869" s="12">
        <v>3000</v>
      </c>
      <c r="O1869" s="12">
        <v>400</v>
      </c>
      <c r="P1869" s="12">
        <v>0.6164214389587741</v>
      </c>
      <c r="Q1869" s="12">
        <v>0.42728519850337959</v>
      </c>
      <c r="R1869" s="12">
        <v>0.81370018611983297</v>
      </c>
      <c r="S1869" s="12">
        <v>0.67408664490523651</v>
      </c>
      <c r="T1869" s="12">
        <v>0.42935734039039081</v>
      </c>
      <c r="U1869" s="12">
        <v>0.40209211182061588</v>
      </c>
      <c r="V1869" s="12">
        <v>294.23209833728652</v>
      </c>
      <c r="W1869" s="12">
        <v>-22.355616617943859</v>
      </c>
      <c r="X1869" s="12">
        <v>-127.1392721962758</v>
      </c>
      <c r="Y1869" s="12">
        <v>2600</v>
      </c>
      <c r="Z1869" s="12">
        <v>7.5</v>
      </c>
      <c r="AA1869" s="12" t="s">
        <v>2513</v>
      </c>
      <c r="AB1869" s="12"/>
    </row>
    <row r="1870" spans="1:28" x14ac:dyDescent="0.3">
      <c r="A1870" s="12" t="s">
        <v>3782</v>
      </c>
      <c r="B1870" s="12" t="s">
        <v>170</v>
      </c>
      <c r="C1870" s="12" t="s">
        <v>439</v>
      </c>
      <c r="D1870" s="12" t="s">
        <v>724</v>
      </c>
      <c r="E1870" s="12" t="s">
        <v>2978</v>
      </c>
      <c r="F1870" s="12" t="s">
        <v>1862</v>
      </c>
      <c r="G1870" s="12" t="s">
        <v>1862</v>
      </c>
      <c r="H1870" s="12" t="b">
        <v>1</v>
      </c>
      <c r="I1870" s="12" t="b">
        <v>0</v>
      </c>
      <c r="J1870" s="12" t="b">
        <v>1</v>
      </c>
      <c r="K1870" s="12" t="b">
        <v>0</v>
      </c>
      <c r="L1870" s="12">
        <v>563.52126352390428</v>
      </c>
      <c r="M1870" s="12">
        <v>294.5058339614647</v>
      </c>
      <c r="N1870" s="12">
        <v>3000</v>
      </c>
      <c r="O1870" s="12">
        <v>400</v>
      </c>
      <c r="P1870" s="12">
        <v>0.63856159714324612</v>
      </c>
      <c r="Q1870" s="12">
        <v>0.50245472200319963</v>
      </c>
      <c r="R1870" s="12">
        <v>0.52898170240521669</v>
      </c>
      <c r="S1870" s="12">
        <v>0.61533604926601881</v>
      </c>
      <c r="T1870" s="12">
        <v>0.47246592595886339</v>
      </c>
      <c r="U1870" s="12">
        <v>0.53680191174620528</v>
      </c>
      <c r="V1870" s="12">
        <v>294.5058339614647</v>
      </c>
      <c r="W1870" s="12">
        <v>-24.766566273973769</v>
      </c>
      <c r="X1870" s="12">
        <v>-174.35441192469241</v>
      </c>
      <c r="Y1870" s="12">
        <v>2600</v>
      </c>
      <c r="Z1870" s="12">
        <v>7.5</v>
      </c>
      <c r="AA1870" s="12" t="s">
        <v>2513</v>
      </c>
      <c r="AB1870" s="12"/>
    </row>
    <row r="1871" spans="1:28" x14ac:dyDescent="0.3">
      <c r="A1871" s="12" t="s">
        <v>3783</v>
      </c>
      <c r="B1871" s="12" t="s">
        <v>170</v>
      </c>
      <c r="C1871" s="12" t="s">
        <v>439</v>
      </c>
      <c r="D1871" s="12" t="s">
        <v>724</v>
      </c>
      <c r="E1871" s="12" t="s">
        <v>2978</v>
      </c>
      <c r="F1871" s="12" t="s">
        <v>1861</v>
      </c>
      <c r="G1871" s="12" t="s">
        <v>1861</v>
      </c>
      <c r="H1871" s="12" t="b">
        <v>1</v>
      </c>
      <c r="I1871" s="12" t="b">
        <v>0</v>
      </c>
      <c r="J1871" s="12" t="b">
        <v>1</v>
      </c>
      <c r="K1871" s="12" t="b">
        <v>0</v>
      </c>
      <c r="L1871" s="12">
        <v>526.02816518554141</v>
      </c>
      <c r="M1871" s="12">
        <v>297.62644150251572</v>
      </c>
      <c r="N1871" s="12">
        <v>3000</v>
      </c>
      <c r="O1871" s="12">
        <v>400</v>
      </c>
      <c r="P1871" s="12">
        <v>0.71364646051864267</v>
      </c>
      <c r="Q1871" s="12">
        <v>0.92652827000523641</v>
      </c>
      <c r="R1871" s="12">
        <v>0.44755128097002861</v>
      </c>
      <c r="S1871" s="12">
        <v>0.63434573991515286</v>
      </c>
      <c r="T1871" s="12">
        <v>0.40542906762172171</v>
      </c>
      <c r="U1871" s="12">
        <v>0.87351021880896629</v>
      </c>
      <c r="V1871" s="12">
        <v>297.62644150251572</v>
      </c>
      <c r="W1871" s="12">
        <v>0.1530125459603599</v>
      </c>
      <c r="X1871" s="12">
        <v>1.291373370668452</v>
      </c>
      <c r="Y1871" s="12">
        <v>2600</v>
      </c>
      <c r="Z1871" s="12">
        <v>7.5</v>
      </c>
      <c r="AA1871" s="12" t="s">
        <v>1981</v>
      </c>
      <c r="AB1871" s="12"/>
    </row>
    <row r="1872" spans="1:28" x14ac:dyDescent="0.3">
      <c r="A1872" s="12" t="s">
        <v>3784</v>
      </c>
      <c r="B1872" s="12" t="s">
        <v>170</v>
      </c>
      <c r="C1872" s="12" t="s">
        <v>439</v>
      </c>
      <c r="D1872" s="12" t="s">
        <v>724</v>
      </c>
      <c r="E1872" s="12" t="s">
        <v>2978</v>
      </c>
      <c r="F1872" s="12" t="s">
        <v>1862</v>
      </c>
      <c r="G1872" s="12" t="s">
        <v>1862</v>
      </c>
      <c r="H1872" s="12" t="b">
        <v>1</v>
      </c>
      <c r="I1872" s="12" t="b">
        <v>0</v>
      </c>
      <c r="J1872" s="12" t="b">
        <v>0</v>
      </c>
      <c r="K1872" s="12" t="b">
        <v>0</v>
      </c>
      <c r="L1872" s="12">
        <v>411.13254868204018</v>
      </c>
      <c r="M1872" s="12">
        <v>283.66343165887162</v>
      </c>
      <c r="N1872" s="12">
        <v>3000</v>
      </c>
      <c r="O1872" s="12">
        <v>400</v>
      </c>
      <c r="P1872" s="12">
        <v>0.78289725701195134</v>
      </c>
      <c r="Q1872" s="12">
        <v>0.60548351858434502</v>
      </c>
      <c r="R1872" s="12">
        <v>0.42027865290108107</v>
      </c>
      <c r="S1872" s="12">
        <v>0.89712956305435021</v>
      </c>
      <c r="T1872" s="12">
        <v>0.70496196397281818</v>
      </c>
      <c r="U1872" s="12">
        <v>0.94739581196719758</v>
      </c>
      <c r="V1872" s="12">
        <v>283.66343165887162</v>
      </c>
      <c r="W1872" s="12">
        <v>-5.26101115746288</v>
      </c>
      <c r="X1872" s="12">
        <v>-37.154115437512438</v>
      </c>
      <c r="Y1872" s="12">
        <v>2600</v>
      </c>
      <c r="Z1872" s="12">
        <v>7.5</v>
      </c>
      <c r="AA1872" s="12" t="s">
        <v>2513</v>
      </c>
      <c r="AB1872" s="12"/>
    </row>
    <row r="1873" spans="1:28" x14ac:dyDescent="0.3">
      <c r="A1873" s="12" t="s">
        <v>3785</v>
      </c>
      <c r="B1873" s="12" t="s">
        <v>170</v>
      </c>
      <c r="C1873" s="12" t="s">
        <v>439</v>
      </c>
      <c r="D1873" s="12" t="s">
        <v>724</v>
      </c>
      <c r="E1873" s="12" t="s">
        <v>2978</v>
      </c>
      <c r="F1873" s="12" t="s">
        <v>832</v>
      </c>
      <c r="G1873" s="12" t="s">
        <v>832</v>
      </c>
      <c r="H1873" s="12" t="b">
        <v>0</v>
      </c>
      <c r="I1873" s="12" t="b">
        <v>0</v>
      </c>
      <c r="J1873" s="12" t="b">
        <v>0</v>
      </c>
      <c r="K1873" s="12" t="b">
        <v>0</v>
      </c>
      <c r="L1873" s="12">
        <v>523.24929485428561</v>
      </c>
      <c r="M1873" s="12">
        <v>299.86537088727391</v>
      </c>
      <c r="N1873" s="12">
        <v>3000</v>
      </c>
      <c r="O1873" s="12">
        <v>400</v>
      </c>
      <c r="P1873" s="12">
        <v>0.77976201105766862</v>
      </c>
      <c r="Q1873" s="12">
        <v>0.80906135368814369</v>
      </c>
      <c r="R1873" s="12">
        <v>0.91905768482566641</v>
      </c>
      <c r="S1873" s="12">
        <v>0.87265921360001664</v>
      </c>
      <c r="T1873" s="12">
        <v>0.60857795726464281</v>
      </c>
      <c r="U1873" s="12">
        <v>0.62333475025048113</v>
      </c>
      <c r="V1873" s="12">
        <v>299.86537088727391</v>
      </c>
      <c r="W1873" s="12"/>
      <c r="X1873" s="12"/>
      <c r="Y1873" s="12">
        <v>2600</v>
      </c>
      <c r="Z1873" s="12">
        <v>7.5</v>
      </c>
      <c r="AA1873" s="12"/>
      <c r="AB1873" s="12"/>
    </row>
    <row r="1874" spans="1:28" x14ac:dyDescent="0.3">
      <c r="A1874" s="12" t="s">
        <v>3786</v>
      </c>
      <c r="B1874" s="12" t="s">
        <v>170</v>
      </c>
      <c r="C1874" s="12" t="s">
        <v>439</v>
      </c>
      <c r="D1874" s="12" t="s">
        <v>724</v>
      </c>
      <c r="E1874" s="12" t="s">
        <v>2978</v>
      </c>
      <c r="F1874" s="12" t="s">
        <v>1862</v>
      </c>
      <c r="G1874" s="12" t="s">
        <v>1862</v>
      </c>
      <c r="H1874" s="12" t="b">
        <v>1</v>
      </c>
      <c r="I1874" s="12" t="b">
        <v>0</v>
      </c>
      <c r="J1874" s="12" t="b">
        <v>1</v>
      </c>
      <c r="K1874" s="12" t="b">
        <v>0</v>
      </c>
      <c r="L1874" s="12">
        <v>523.98198563738583</v>
      </c>
      <c r="M1874" s="12">
        <v>303.07383886462799</v>
      </c>
      <c r="N1874" s="12">
        <v>3000</v>
      </c>
      <c r="O1874" s="12">
        <v>400</v>
      </c>
      <c r="P1874" s="12">
        <v>0.80283037831474724</v>
      </c>
      <c r="Q1874" s="12">
        <v>0.48397326434831212</v>
      </c>
      <c r="R1874" s="12">
        <v>0.51366667839764735</v>
      </c>
      <c r="S1874" s="12">
        <v>0.41527479668484979</v>
      </c>
      <c r="T1874" s="12">
        <v>0.88114029371927005</v>
      </c>
      <c r="U1874" s="12">
        <v>0.898134992690655</v>
      </c>
      <c r="V1874" s="12">
        <v>303.07383886462799</v>
      </c>
      <c r="W1874" s="12">
        <v>-72.149819586085854</v>
      </c>
      <c r="X1874" s="12">
        <v>-243.59211398472169</v>
      </c>
      <c r="Y1874" s="12">
        <v>2600</v>
      </c>
      <c r="Z1874" s="12">
        <v>7.5</v>
      </c>
      <c r="AA1874" s="12" t="s">
        <v>2513</v>
      </c>
      <c r="AB1874" s="12"/>
    </row>
    <row r="1875" spans="1:28" x14ac:dyDescent="0.3">
      <c r="A1875" s="12" t="s">
        <v>3787</v>
      </c>
      <c r="B1875" s="12" t="s">
        <v>170</v>
      </c>
      <c r="C1875" s="12" t="s">
        <v>439</v>
      </c>
      <c r="D1875" s="12" t="s">
        <v>724</v>
      </c>
      <c r="E1875" s="12" t="s">
        <v>2978</v>
      </c>
      <c r="F1875" s="12" t="s">
        <v>832</v>
      </c>
      <c r="G1875" s="12" t="s">
        <v>832</v>
      </c>
      <c r="H1875" s="12" t="b">
        <v>0</v>
      </c>
      <c r="I1875" s="12" t="b">
        <v>0</v>
      </c>
      <c r="J1875" s="12" t="b">
        <v>0</v>
      </c>
      <c r="K1875" s="12" t="b">
        <v>0</v>
      </c>
      <c r="L1875" s="12">
        <v>599.95278401568555</v>
      </c>
      <c r="M1875" s="12">
        <v>282.37300694341633</v>
      </c>
      <c r="N1875" s="12">
        <v>3000</v>
      </c>
      <c r="O1875" s="12">
        <v>400</v>
      </c>
      <c r="P1875" s="12">
        <v>0.5270755204081925</v>
      </c>
      <c r="Q1875" s="12">
        <v>0.56165174828345343</v>
      </c>
      <c r="R1875" s="12">
        <v>0.79947569420689879</v>
      </c>
      <c r="S1875" s="12">
        <v>0.93552077958373403</v>
      </c>
      <c r="T1875" s="12">
        <v>0.91740051926725896</v>
      </c>
      <c r="U1875" s="12">
        <v>0.40842392045292819</v>
      </c>
      <c r="V1875" s="12">
        <v>282.37300694341633</v>
      </c>
      <c r="W1875" s="12"/>
      <c r="X1875" s="12"/>
      <c r="Y1875" s="12">
        <v>2600</v>
      </c>
      <c r="Z1875" s="12">
        <v>7.5</v>
      </c>
      <c r="AA1875" s="12"/>
      <c r="AB1875" s="12"/>
    </row>
    <row r="1876" spans="1:28" x14ac:dyDescent="0.3">
      <c r="A1876" s="12" t="s">
        <v>3788</v>
      </c>
      <c r="B1876" s="12" t="s">
        <v>170</v>
      </c>
      <c r="C1876" s="12" t="s">
        <v>439</v>
      </c>
      <c r="D1876" s="12" t="s">
        <v>724</v>
      </c>
      <c r="E1876" s="12" t="s">
        <v>2978</v>
      </c>
      <c r="F1876" s="12" t="s">
        <v>1861</v>
      </c>
      <c r="G1876" s="12" t="s">
        <v>1861</v>
      </c>
      <c r="H1876" s="12" t="b">
        <v>1</v>
      </c>
      <c r="I1876" s="12" t="b">
        <v>0</v>
      </c>
      <c r="J1876" s="12" t="b">
        <v>1</v>
      </c>
      <c r="K1876" s="12" t="b">
        <v>0</v>
      </c>
      <c r="L1876" s="12">
        <v>465.04661619855068</v>
      </c>
      <c r="M1876" s="12">
        <v>280.4071905012313</v>
      </c>
      <c r="N1876" s="12">
        <v>3000</v>
      </c>
      <c r="O1876" s="12">
        <v>400</v>
      </c>
      <c r="P1876" s="12">
        <v>0.59990812143731809</v>
      </c>
      <c r="Q1876" s="12">
        <v>0.74867802114734028</v>
      </c>
      <c r="R1876" s="12">
        <v>0.78408708851935249</v>
      </c>
      <c r="S1876" s="12">
        <v>0.69725709290445392</v>
      </c>
      <c r="T1876" s="12">
        <v>0.68227989403261968</v>
      </c>
      <c r="U1876" s="12">
        <v>0.66669016552415405</v>
      </c>
      <c r="V1876" s="12">
        <v>280.4071905012313</v>
      </c>
      <c r="W1876" s="12">
        <v>9.7751132092921473</v>
      </c>
      <c r="X1876" s="12">
        <v>111.304877283075</v>
      </c>
      <c r="Y1876" s="12">
        <v>2600</v>
      </c>
      <c r="Z1876" s="12">
        <v>7.5</v>
      </c>
      <c r="AA1876" s="12" t="s">
        <v>1268</v>
      </c>
      <c r="AB1876" s="12"/>
    </row>
    <row r="1877" spans="1:28" x14ac:dyDescent="0.3">
      <c r="A1877" s="12" t="s">
        <v>3789</v>
      </c>
      <c r="B1877" s="12" t="s">
        <v>170</v>
      </c>
      <c r="C1877" s="12" t="s">
        <v>439</v>
      </c>
      <c r="D1877" s="12" t="s">
        <v>724</v>
      </c>
      <c r="E1877" s="12" t="s">
        <v>2978</v>
      </c>
      <c r="F1877" s="12" t="s">
        <v>832</v>
      </c>
      <c r="G1877" s="12" t="s">
        <v>832</v>
      </c>
      <c r="H1877" s="12" t="b">
        <v>0</v>
      </c>
      <c r="I1877" s="12" t="b">
        <v>0</v>
      </c>
      <c r="J1877" s="12" t="b">
        <v>0</v>
      </c>
      <c r="K1877" s="12" t="b">
        <v>0</v>
      </c>
      <c r="L1877" s="12">
        <v>593.77476234538199</v>
      </c>
      <c r="M1877" s="12">
        <v>291.67532413169789</v>
      </c>
      <c r="N1877" s="12">
        <v>3000</v>
      </c>
      <c r="O1877" s="12">
        <v>400</v>
      </c>
      <c r="P1877" s="12">
        <v>0.67295674435636932</v>
      </c>
      <c r="Q1877" s="12">
        <v>0.51168764332554695</v>
      </c>
      <c r="R1877" s="12">
        <v>0.4565068698830595</v>
      </c>
      <c r="S1877" s="12">
        <v>0.65909666460572003</v>
      </c>
      <c r="T1877" s="12">
        <v>0.58753444396171484</v>
      </c>
      <c r="U1877" s="12">
        <v>0.46529717958150629</v>
      </c>
      <c r="V1877" s="12">
        <v>291.67532413169789</v>
      </c>
      <c r="W1877" s="12"/>
      <c r="X1877" s="12"/>
      <c r="Y1877" s="12">
        <v>2600</v>
      </c>
      <c r="Z1877" s="12">
        <v>7.5</v>
      </c>
      <c r="AA1877" s="12"/>
      <c r="AB1877" s="12"/>
    </row>
    <row r="1878" spans="1:28" x14ac:dyDescent="0.3">
      <c r="A1878" s="12" t="s">
        <v>3790</v>
      </c>
      <c r="B1878" s="12" t="s">
        <v>170</v>
      </c>
      <c r="C1878" s="12" t="s">
        <v>439</v>
      </c>
      <c r="D1878" s="12" t="s">
        <v>724</v>
      </c>
      <c r="E1878" s="12" t="s">
        <v>2978</v>
      </c>
      <c r="F1878" s="12" t="s">
        <v>1862</v>
      </c>
      <c r="G1878" s="12" t="s">
        <v>1862</v>
      </c>
      <c r="H1878" s="12" t="b">
        <v>1</v>
      </c>
      <c r="I1878" s="12" t="b">
        <v>0</v>
      </c>
      <c r="J1878" s="12" t="b">
        <v>0</v>
      </c>
      <c r="K1878" s="12" t="b">
        <v>0</v>
      </c>
      <c r="L1878" s="12">
        <v>394.83401234756047</v>
      </c>
      <c r="M1878" s="12">
        <v>286.0970552430602</v>
      </c>
      <c r="N1878" s="12">
        <v>3000</v>
      </c>
      <c r="O1878" s="12">
        <v>400</v>
      </c>
      <c r="P1878" s="12">
        <v>0.83351907138803361</v>
      </c>
      <c r="Q1878" s="12">
        <v>0.74145521968257189</v>
      </c>
      <c r="R1878" s="12">
        <v>0.52696537982887304</v>
      </c>
      <c r="S1878" s="12">
        <v>0.85454247422244034</v>
      </c>
      <c r="T1878" s="12">
        <v>0.88484682305907625</v>
      </c>
      <c r="U1878" s="12">
        <v>0.79291780881995766</v>
      </c>
      <c r="V1878" s="12">
        <v>286.0970552430602</v>
      </c>
      <c r="W1878" s="12">
        <v>-69.838207423560291</v>
      </c>
      <c r="X1878" s="12">
        <v>-139.8590139727917</v>
      </c>
      <c r="Y1878" s="12">
        <v>2600</v>
      </c>
      <c r="Z1878" s="12">
        <v>7.5</v>
      </c>
      <c r="AA1878" s="12" t="s">
        <v>2513</v>
      </c>
      <c r="AB1878" s="12"/>
    </row>
    <row r="1879" spans="1:28" x14ac:dyDescent="0.3">
      <c r="A1879" s="12" t="s">
        <v>3791</v>
      </c>
      <c r="B1879" s="12" t="s">
        <v>170</v>
      </c>
      <c r="C1879" s="12" t="s">
        <v>439</v>
      </c>
      <c r="D1879" s="12" t="s">
        <v>724</v>
      </c>
      <c r="E1879" s="12" t="s">
        <v>2978</v>
      </c>
      <c r="F1879" s="12" t="s">
        <v>1862</v>
      </c>
      <c r="G1879" s="12" t="s">
        <v>1862</v>
      </c>
      <c r="H1879" s="12" t="b">
        <v>1</v>
      </c>
      <c r="I1879" s="12" t="b">
        <v>0</v>
      </c>
      <c r="J1879" s="12" t="b">
        <v>0</v>
      </c>
      <c r="K1879" s="12" t="b">
        <v>0</v>
      </c>
      <c r="L1879" s="12">
        <v>393.43663022883732</v>
      </c>
      <c r="M1879" s="12">
        <v>301.95555467204298</v>
      </c>
      <c r="N1879" s="12">
        <v>3000</v>
      </c>
      <c r="O1879" s="12">
        <v>400</v>
      </c>
      <c r="P1879" s="12">
        <v>0.71986183848113061</v>
      </c>
      <c r="Q1879" s="12">
        <v>0.77856821638048412</v>
      </c>
      <c r="R1879" s="12">
        <v>0.82415587544539815</v>
      </c>
      <c r="S1879" s="12">
        <v>0.45030127697668432</v>
      </c>
      <c r="T1879" s="12">
        <v>0.8974407559516473</v>
      </c>
      <c r="U1879" s="12">
        <v>0.54076830477682536</v>
      </c>
      <c r="V1879" s="12">
        <v>301.95555467204298</v>
      </c>
      <c r="W1879" s="12">
        <v>-94.85572609681482</v>
      </c>
      <c r="X1879" s="12">
        <v>-64.235431177612099</v>
      </c>
      <c r="Y1879" s="12">
        <v>2600</v>
      </c>
      <c r="Z1879" s="12">
        <v>7.5</v>
      </c>
      <c r="AA1879" s="12" t="s">
        <v>2513</v>
      </c>
      <c r="AB1879" s="12"/>
    </row>
    <row r="1880" spans="1:28" x14ac:dyDescent="0.3">
      <c r="A1880" s="12" t="s">
        <v>3792</v>
      </c>
      <c r="B1880" s="12" t="s">
        <v>170</v>
      </c>
      <c r="C1880" s="12" t="s">
        <v>439</v>
      </c>
      <c r="D1880" s="12" t="s">
        <v>724</v>
      </c>
      <c r="E1880" s="12" t="s">
        <v>2978</v>
      </c>
      <c r="F1880" s="12" t="s">
        <v>1861</v>
      </c>
      <c r="G1880" s="12" t="s">
        <v>1861</v>
      </c>
      <c r="H1880" s="12" t="b">
        <v>1</v>
      </c>
      <c r="I1880" s="12" t="b">
        <v>0</v>
      </c>
      <c r="J1880" s="12" t="b">
        <v>0</v>
      </c>
      <c r="K1880" s="12" t="b">
        <v>0</v>
      </c>
      <c r="L1880" s="12">
        <v>399.04622143462939</v>
      </c>
      <c r="M1880" s="12">
        <v>284.99365926591719</v>
      </c>
      <c r="N1880" s="12">
        <v>3000</v>
      </c>
      <c r="O1880" s="12">
        <v>400</v>
      </c>
      <c r="P1880" s="12">
        <v>0.81397849897292429</v>
      </c>
      <c r="Q1880" s="12">
        <v>0.88755098973922952</v>
      </c>
      <c r="R1880" s="12">
        <v>0.94709708067950582</v>
      </c>
      <c r="S1880" s="12">
        <v>0.70482973156885764</v>
      </c>
      <c r="T1880" s="12">
        <v>0.55219450229799882</v>
      </c>
      <c r="U1880" s="12">
        <v>0.78217533477418999</v>
      </c>
      <c r="V1880" s="12">
        <v>284.99365926591719</v>
      </c>
      <c r="W1880" s="12">
        <v>8.7109595976649992</v>
      </c>
      <c r="X1880" s="12">
        <v>31.62068619575393</v>
      </c>
      <c r="Y1880" s="12">
        <v>2600</v>
      </c>
      <c r="Z1880" s="12">
        <v>7.5</v>
      </c>
      <c r="AA1880" s="12" t="s">
        <v>1268</v>
      </c>
      <c r="AB1880" s="12"/>
    </row>
    <row r="1881" spans="1:28" x14ac:dyDescent="0.3">
      <c r="A1881" s="12" t="s">
        <v>3793</v>
      </c>
      <c r="B1881" s="12" t="s">
        <v>170</v>
      </c>
      <c r="C1881" s="12" t="s">
        <v>439</v>
      </c>
      <c r="D1881" s="12" t="s">
        <v>724</v>
      </c>
      <c r="E1881" s="12" t="s">
        <v>2978</v>
      </c>
      <c r="F1881" s="12" t="s">
        <v>1862</v>
      </c>
      <c r="G1881" s="12" t="s">
        <v>1862</v>
      </c>
      <c r="H1881" s="12" t="b">
        <v>1</v>
      </c>
      <c r="I1881" s="12" t="b">
        <v>0</v>
      </c>
      <c r="J1881" s="12" t="b">
        <v>0</v>
      </c>
      <c r="K1881" s="12" t="b">
        <v>0</v>
      </c>
      <c r="L1881" s="12">
        <v>439.75303373080982</v>
      </c>
      <c r="M1881" s="12">
        <v>294.41826958295928</v>
      </c>
      <c r="N1881" s="12">
        <v>3000</v>
      </c>
      <c r="O1881" s="12">
        <v>400</v>
      </c>
      <c r="P1881" s="12">
        <v>0.84022273539180403</v>
      </c>
      <c r="Q1881" s="12">
        <v>0.69749193675606735</v>
      </c>
      <c r="R1881" s="12">
        <v>0.42857942757744227</v>
      </c>
      <c r="S1881" s="12">
        <v>0.47785369164910102</v>
      </c>
      <c r="T1881" s="12">
        <v>0.51433250110560969</v>
      </c>
      <c r="U1881" s="12">
        <v>0.82511392666819772</v>
      </c>
      <c r="V1881" s="12">
        <v>294.41826958295928</v>
      </c>
      <c r="W1881" s="12">
        <v>-143.9299828300187</v>
      </c>
      <c r="X1881" s="12">
        <v>-280.40243502830782</v>
      </c>
      <c r="Y1881" s="12">
        <v>2600</v>
      </c>
      <c r="Z1881" s="12">
        <v>7.5</v>
      </c>
      <c r="AA1881" s="12" t="s">
        <v>2513</v>
      </c>
      <c r="AB1881" s="12"/>
    </row>
    <row r="1882" spans="1:28" x14ac:dyDescent="0.3">
      <c r="A1882" s="12" t="s">
        <v>3794</v>
      </c>
      <c r="B1882" s="12" t="s">
        <v>170</v>
      </c>
      <c r="C1882" s="12" t="s">
        <v>439</v>
      </c>
      <c r="D1882" s="12" t="s">
        <v>724</v>
      </c>
      <c r="E1882" s="12" t="s">
        <v>2978</v>
      </c>
      <c r="F1882" s="12" t="s">
        <v>1861</v>
      </c>
      <c r="G1882" s="12" t="s">
        <v>1861</v>
      </c>
      <c r="H1882" s="12" t="b">
        <v>1</v>
      </c>
      <c r="I1882" s="12" t="b">
        <v>0</v>
      </c>
      <c r="J1882" s="12" t="b">
        <v>0</v>
      </c>
      <c r="K1882" s="12" t="b">
        <v>0</v>
      </c>
      <c r="L1882" s="12">
        <v>391.15834678542791</v>
      </c>
      <c r="M1882" s="12">
        <v>278.96898636425368</v>
      </c>
      <c r="N1882" s="12">
        <v>3000</v>
      </c>
      <c r="O1882" s="12">
        <v>400</v>
      </c>
      <c r="P1882" s="12">
        <v>0.70703950252119163</v>
      </c>
      <c r="Q1882" s="12">
        <v>0.72582101460549175</v>
      </c>
      <c r="R1882" s="12">
        <v>0.44422401945796008</v>
      </c>
      <c r="S1882" s="12">
        <v>0.49876357431774399</v>
      </c>
      <c r="T1882" s="12">
        <v>0.52227975167953045</v>
      </c>
      <c r="U1882" s="12">
        <v>0.92344951664261243</v>
      </c>
      <c r="V1882" s="12">
        <v>278.96898636425368</v>
      </c>
      <c r="W1882" s="12">
        <v>7.0337250837756109</v>
      </c>
      <c r="X1882" s="12">
        <v>30.026948118507761</v>
      </c>
      <c r="Y1882" s="12">
        <v>2600</v>
      </c>
      <c r="Z1882" s="12">
        <v>7.5</v>
      </c>
      <c r="AA1882" s="12" t="s">
        <v>1268</v>
      </c>
      <c r="AB1882" s="12"/>
    </row>
    <row r="1883" spans="1:28" x14ac:dyDescent="0.3">
      <c r="A1883" s="12" t="s">
        <v>3795</v>
      </c>
      <c r="B1883" s="12" t="s">
        <v>170</v>
      </c>
      <c r="C1883" s="12" t="s">
        <v>439</v>
      </c>
      <c r="D1883" s="12" t="s">
        <v>724</v>
      </c>
      <c r="E1883" s="12" t="s">
        <v>2978</v>
      </c>
      <c r="F1883" s="12" t="s">
        <v>1861</v>
      </c>
      <c r="G1883" s="12" t="s">
        <v>1861</v>
      </c>
      <c r="H1883" s="12" t="b">
        <v>1</v>
      </c>
      <c r="I1883" s="12" t="b">
        <v>0</v>
      </c>
      <c r="J1883" s="12" t="b">
        <v>1</v>
      </c>
      <c r="K1883" s="12" t="b">
        <v>0</v>
      </c>
      <c r="L1883" s="12">
        <v>619.49988337114337</v>
      </c>
      <c r="M1883" s="12">
        <v>288.05720633953359</v>
      </c>
      <c r="N1883" s="12">
        <v>3000</v>
      </c>
      <c r="O1883" s="12">
        <v>400</v>
      </c>
      <c r="P1883" s="12">
        <v>0.5355129496544464</v>
      </c>
      <c r="Q1883" s="12">
        <v>0.67789757490886338</v>
      </c>
      <c r="R1883" s="12">
        <v>0.68946665805293605</v>
      </c>
      <c r="S1883" s="12">
        <v>0.63171622220939028</v>
      </c>
      <c r="T1883" s="12">
        <v>0.55841777719097496</v>
      </c>
      <c r="U1883" s="12">
        <v>0.60181460277289056</v>
      </c>
      <c r="V1883" s="12">
        <v>288.05720633953359</v>
      </c>
      <c r="W1883" s="12">
        <v>4.6789365085508701</v>
      </c>
      <c r="X1883" s="12">
        <v>54.405068567293057</v>
      </c>
      <c r="Y1883" s="12">
        <v>2600</v>
      </c>
      <c r="Z1883" s="12">
        <v>7.5</v>
      </c>
      <c r="AA1883" s="12" t="s">
        <v>1268</v>
      </c>
      <c r="AB1883" s="12"/>
    </row>
    <row r="1884" spans="1:28" x14ac:dyDescent="0.3">
      <c r="A1884" s="12" t="s">
        <v>3796</v>
      </c>
      <c r="B1884" s="12" t="s">
        <v>170</v>
      </c>
      <c r="C1884" s="12" t="s">
        <v>439</v>
      </c>
      <c r="D1884" s="12" t="s">
        <v>724</v>
      </c>
      <c r="E1884" s="12" t="s">
        <v>2978</v>
      </c>
      <c r="F1884" s="12" t="s">
        <v>1862</v>
      </c>
      <c r="G1884" s="12" t="s">
        <v>1862</v>
      </c>
      <c r="H1884" s="12" t="b">
        <v>1</v>
      </c>
      <c r="I1884" s="12" t="b">
        <v>0</v>
      </c>
      <c r="J1884" s="12" t="b">
        <v>1</v>
      </c>
      <c r="K1884" s="12" t="b">
        <v>0</v>
      </c>
      <c r="L1884" s="12">
        <v>512.38970393975296</v>
      </c>
      <c r="M1884" s="12">
        <v>281.45072196049398</v>
      </c>
      <c r="N1884" s="12">
        <v>3000</v>
      </c>
      <c r="O1884" s="12">
        <v>400</v>
      </c>
      <c r="P1884" s="12">
        <v>0.50519511187764987</v>
      </c>
      <c r="Q1884" s="12">
        <v>0.43270839390026888</v>
      </c>
      <c r="R1884" s="12">
        <v>0.58534087308972493</v>
      </c>
      <c r="S1884" s="12">
        <v>0.66691194049123093</v>
      </c>
      <c r="T1884" s="12">
        <v>0.93945406048707003</v>
      </c>
      <c r="U1884" s="12">
        <v>0.49705637455372448</v>
      </c>
      <c r="V1884" s="12">
        <v>281.45072196049398</v>
      </c>
      <c r="W1884" s="12">
        <v>-12.78574052308127</v>
      </c>
      <c r="X1884" s="12">
        <v>-109.6887964251551</v>
      </c>
      <c r="Y1884" s="12">
        <v>2600</v>
      </c>
      <c r="Z1884" s="12">
        <v>7.5</v>
      </c>
      <c r="AA1884" s="12" t="s">
        <v>2513</v>
      </c>
      <c r="AB1884" s="12"/>
    </row>
    <row r="1885" spans="1:28" x14ac:dyDescent="0.3">
      <c r="A1885" s="12" t="s">
        <v>3797</v>
      </c>
      <c r="B1885" s="12" t="s">
        <v>170</v>
      </c>
      <c r="C1885" s="12" t="s">
        <v>439</v>
      </c>
      <c r="D1885" s="12" t="s">
        <v>724</v>
      </c>
      <c r="E1885" s="12" t="s">
        <v>2978</v>
      </c>
      <c r="F1885" s="12" t="s">
        <v>1861</v>
      </c>
      <c r="G1885" s="12" t="s">
        <v>1861</v>
      </c>
      <c r="H1885" s="12" t="b">
        <v>1</v>
      </c>
      <c r="I1885" s="12" t="b">
        <v>0</v>
      </c>
      <c r="J1885" s="12" t="b">
        <v>1</v>
      </c>
      <c r="K1885" s="12" t="b">
        <v>0</v>
      </c>
      <c r="L1885" s="12">
        <v>575.46626507455471</v>
      </c>
      <c r="M1885" s="12">
        <v>292.20539147360768</v>
      </c>
      <c r="N1885" s="12">
        <v>3000</v>
      </c>
      <c r="O1885" s="12">
        <v>400</v>
      </c>
      <c r="P1885" s="12">
        <v>0.6710074648973734</v>
      </c>
      <c r="Q1885" s="12">
        <v>0.70194558813539087</v>
      </c>
      <c r="R1885" s="12">
        <v>0.86896099376932168</v>
      </c>
      <c r="S1885" s="12">
        <v>0.6013068264609468</v>
      </c>
      <c r="T1885" s="12">
        <v>0.79876745988583786</v>
      </c>
      <c r="U1885" s="12">
        <v>0.61772041121977805</v>
      </c>
      <c r="V1885" s="12">
        <v>292.20539147360768</v>
      </c>
      <c r="W1885" s="12">
        <v>5.0747645652131599</v>
      </c>
      <c r="X1885" s="12">
        <v>45.125296478324969</v>
      </c>
      <c r="Y1885" s="12">
        <v>2600</v>
      </c>
      <c r="Z1885" s="12">
        <v>7.5</v>
      </c>
      <c r="AA1885" s="12" t="s">
        <v>1268</v>
      </c>
      <c r="AB1885" s="12"/>
    </row>
    <row r="1886" spans="1:28" x14ac:dyDescent="0.3">
      <c r="A1886" s="12" t="s">
        <v>3798</v>
      </c>
      <c r="B1886" s="12" t="s">
        <v>170</v>
      </c>
      <c r="C1886" s="12" t="s">
        <v>439</v>
      </c>
      <c r="D1886" s="12" t="s">
        <v>724</v>
      </c>
      <c r="E1886" s="12" t="s">
        <v>2978</v>
      </c>
      <c r="F1886" s="12" t="s">
        <v>832</v>
      </c>
      <c r="G1886" s="12" t="s">
        <v>832</v>
      </c>
      <c r="H1886" s="12" t="b">
        <v>0</v>
      </c>
      <c r="I1886" s="12" t="b">
        <v>0</v>
      </c>
      <c r="J1886" s="12" t="b">
        <v>0</v>
      </c>
      <c r="K1886" s="12" t="b">
        <v>0</v>
      </c>
      <c r="L1886" s="12">
        <v>518.0648900131556</v>
      </c>
      <c r="M1886" s="12">
        <v>289.1763338139441</v>
      </c>
      <c r="N1886" s="12">
        <v>3000</v>
      </c>
      <c r="O1886" s="12">
        <v>400</v>
      </c>
      <c r="P1886" s="12">
        <v>0.81031266075053676</v>
      </c>
      <c r="Q1886" s="12">
        <v>0.87752308736504725</v>
      </c>
      <c r="R1886" s="12">
        <v>0.86276984612208285</v>
      </c>
      <c r="S1886" s="12">
        <v>0.50168589636741623</v>
      </c>
      <c r="T1886" s="12">
        <v>0.64420303993072614</v>
      </c>
      <c r="U1886" s="12">
        <v>0.45341200600653458</v>
      </c>
      <c r="V1886" s="12">
        <v>289.1763338139441</v>
      </c>
      <c r="W1886" s="12"/>
      <c r="X1886" s="12"/>
      <c r="Y1886" s="12">
        <v>2600</v>
      </c>
      <c r="Z1886" s="12">
        <v>7.5</v>
      </c>
      <c r="AA1886" s="12"/>
      <c r="AB1886" s="12"/>
    </row>
    <row r="1887" spans="1:28" x14ac:dyDescent="0.3">
      <c r="A1887" s="12" t="s">
        <v>3799</v>
      </c>
      <c r="B1887" s="12" t="s">
        <v>170</v>
      </c>
      <c r="C1887" s="12" t="s">
        <v>439</v>
      </c>
      <c r="D1887" s="12" t="s">
        <v>724</v>
      </c>
      <c r="E1887" s="12" t="s">
        <v>2978</v>
      </c>
      <c r="F1887" s="12" t="s">
        <v>832</v>
      </c>
      <c r="G1887" s="12" t="s">
        <v>832</v>
      </c>
      <c r="H1887" s="12" t="b">
        <v>0</v>
      </c>
      <c r="I1887" s="12" t="b">
        <v>0</v>
      </c>
      <c r="J1887" s="12" t="b">
        <v>0</v>
      </c>
      <c r="K1887" s="12" t="b">
        <v>0</v>
      </c>
      <c r="L1887" s="12">
        <v>548.86958920014649</v>
      </c>
      <c r="M1887" s="12">
        <v>291.23648528465151</v>
      </c>
      <c r="N1887" s="12">
        <v>3000</v>
      </c>
      <c r="O1887" s="12">
        <v>400</v>
      </c>
      <c r="P1887" s="12">
        <v>0.84703819005729786</v>
      </c>
      <c r="Q1887" s="12">
        <v>0.71422709133012985</v>
      </c>
      <c r="R1887" s="12">
        <v>0.64601285096329475</v>
      </c>
      <c r="S1887" s="12">
        <v>0.58752003614096582</v>
      </c>
      <c r="T1887" s="12">
        <v>0.8670976811019917</v>
      </c>
      <c r="U1887" s="12">
        <v>0.66543010696364457</v>
      </c>
      <c r="V1887" s="12">
        <v>291.23648528465151</v>
      </c>
      <c r="W1887" s="12"/>
      <c r="X1887" s="12"/>
      <c r="Y1887" s="12">
        <v>2600</v>
      </c>
      <c r="Z1887" s="12">
        <v>7.5</v>
      </c>
      <c r="AA1887" s="12"/>
      <c r="AB1887" s="12"/>
    </row>
    <row r="1888" spans="1:28" x14ac:dyDescent="0.3">
      <c r="A1888" s="12" t="s">
        <v>3800</v>
      </c>
      <c r="B1888" s="12" t="s">
        <v>170</v>
      </c>
      <c r="C1888" s="12" t="s">
        <v>439</v>
      </c>
      <c r="D1888" s="12" t="s">
        <v>724</v>
      </c>
      <c r="E1888" s="12" t="s">
        <v>2978</v>
      </c>
      <c r="F1888" s="12" t="s">
        <v>1862</v>
      </c>
      <c r="G1888" s="12" t="s">
        <v>1862</v>
      </c>
      <c r="H1888" s="12" t="b">
        <v>1</v>
      </c>
      <c r="I1888" s="12" t="b">
        <v>0</v>
      </c>
      <c r="J1888" s="12" t="b">
        <v>0</v>
      </c>
      <c r="K1888" s="12" t="b">
        <v>0</v>
      </c>
      <c r="L1888" s="12">
        <v>495.24745407003508</v>
      </c>
      <c r="M1888" s="12">
        <v>278.58239875932668</v>
      </c>
      <c r="N1888" s="12">
        <v>3000</v>
      </c>
      <c r="O1888" s="12">
        <v>400</v>
      </c>
      <c r="P1888" s="12">
        <v>0.8244583404753234</v>
      </c>
      <c r="Q1888" s="12">
        <v>0.51916167681591219</v>
      </c>
      <c r="R1888" s="12">
        <v>0.60311636818468362</v>
      </c>
      <c r="S1888" s="12">
        <v>0.4365857583703624</v>
      </c>
      <c r="T1888" s="12">
        <v>0.94196167831746025</v>
      </c>
      <c r="U1888" s="12">
        <v>0.75930521867269285</v>
      </c>
      <c r="V1888" s="12">
        <v>278.58239875932668</v>
      </c>
      <c r="W1888" s="12">
        <v>-4.5386825042790298</v>
      </c>
      <c r="X1888" s="12">
        <v>-27.631845210756229</v>
      </c>
      <c r="Y1888" s="12">
        <v>2600</v>
      </c>
      <c r="Z1888" s="12">
        <v>7.5</v>
      </c>
      <c r="AA1888" s="12" t="s">
        <v>2513</v>
      </c>
      <c r="AB1888" s="12"/>
    </row>
    <row r="1889" spans="1:28" x14ac:dyDescent="0.3">
      <c r="A1889" s="12" t="s">
        <v>3801</v>
      </c>
      <c r="B1889" s="12" t="s">
        <v>170</v>
      </c>
      <c r="C1889" s="12" t="s">
        <v>439</v>
      </c>
      <c r="D1889" s="12" t="s">
        <v>724</v>
      </c>
      <c r="E1889" s="12" t="s">
        <v>2978</v>
      </c>
      <c r="F1889" s="12" t="s">
        <v>1862</v>
      </c>
      <c r="G1889" s="12" t="s">
        <v>1862</v>
      </c>
      <c r="H1889" s="12" t="b">
        <v>1</v>
      </c>
      <c r="I1889" s="12" t="b">
        <v>0</v>
      </c>
      <c r="J1889" s="12" t="b">
        <v>0</v>
      </c>
      <c r="K1889" s="12" t="b">
        <v>0</v>
      </c>
      <c r="L1889" s="12">
        <v>420.45743517585282</v>
      </c>
      <c r="M1889" s="12">
        <v>297.86750870477289</v>
      </c>
      <c r="N1889" s="12">
        <v>3000</v>
      </c>
      <c r="O1889" s="12">
        <v>400</v>
      </c>
      <c r="P1889" s="12">
        <v>0.76341111242455428</v>
      </c>
      <c r="Q1889" s="12">
        <v>0.7861563287243245</v>
      </c>
      <c r="R1889" s="12">
        <v>0.85060189280136922</v>
      </c>
      <c r="S1889" s="12">
        <v>0.73899177697138752</v>
      </c>
      <c r="T1889" s="12">
        <v>0.66867004085230586</v>
      </c>
      <c r="U1889" s="12">
        <v>0.44822897937823503</v>
      </c>
      <c r="V1889" s="12">
        <v>297.86750870477289</v>
      </c>
      <c r="W1889" s="12">
        <v>-26.040267246979852</v>
      </c>
      <c r="X1889" s="12">
        <v>-52.757415035429567</v>
      </c>
      <c r="Y1889" s="12">
        <v>2600</v>
      </c>
      <c r="Z1889" s="12">
        <v>7.5</v>
      </c>
      <c r="AA1889" s="12" t="s">
        <v>2513</v>
      </c>
      <c r="AB1889" s="12"/>
    </row>
    <row r="1890" spans="1:28" x14ac:dyDescent="0.3">
      <c r="A1890" s="12" t="s">
        <v>3802</v>
      </c>
      <c r="B1890" s="12" t="s">
        <v>170</v>
      </c>
      <c r="C1890" s="12" t="s">
        <v>439</v>
      </c>
      <c r="D1890" s="12" t="s">
        <v>724</v>
      </c>
      <c r="E1890" s="12" t="s">
        <v>2978</v>
      </c>
      <c r="F1890" s="12" t="s">
        <v>1862</v>
      </c>
      <c r="G1890" s="12" t="s">
        <v>1862</v>
      </c>
      <c r="H1890" s="12" t="b">
        <v>1</v>
      </c>
      <c r="I1890" s="12" t="b">
        <v>0</v>
      </c>
      <c r="J1890" s="12" t="b">
        <v>1</v>
      </c>
      <c r="K1890" s="12" t="b">
        <v>0</v>
      </c>
      <c r="L1890" s="12">
        <v>425.89212479468182</v>
      </c>
      <c r="M1890" s="12">
        <v>293.12737380977791</v>
      </c>
      <c r="N1890" s="12">
        <v>3000</v>
      </c>
      <c r="O1890" s="12">
        <v>400</v>
      </c>
      <c r="P1890" s="12">
        <v>0.72914318567654235</v>
      </c>
      <c r="Q1890" s="12">
        <v>0.55060749048297453</v>
      </c>
      <c r="R1890" s="12">
        <v>0.47978947835172248</v>
      </c>
      <c r="S1890" s="12">
        <v>0.87975294467041454</v>
      </c>
      <c r="T1890" s="12">
        <v>0.88777292315865541</v>
      </c>
      <c r="U1890" s="12">
        <v>0.43481809279942552</v>
      </c>
      <c r="V1890" s="12">
        <v>293.12737380977791</v>
      </c>
      <c r="W1890" s="12">
        <v>-240.64751342282131</v>
      </c>
      <c r="X1890" s="12">
        <v>-279.28008755591748</v>
      </c>
      <c r="Y1890" s="12">
        <v>2600</v>
      </c>
      <c r="Z1890" s="12">
        <v>7.5</v>
      </c>
      <c r="AA1890" s="12" t="s">
        <v>2513</v>
      </c>
      <c r="AB1890" s="12"/>
    </row>
    <row r="1891" spans="1:28" x14ac:dyDescent="0.3">
      <c r="A1891" s="12" t="s">
        <v>3803</v>
      </c>
      <c r="B1891" s="12" t="s">
        <v>170</v>
      </c>
      <c r="C1891" s="12" t="s">
        <v>439</v>
      </c>
      <c r="D1891" s="12" t="s">
        <v>724</v>
      </c>
      <c r="E1891" s="12" t="s">
        <v>2978</v>
      </c>
      <c r="F1891" s="12" t="s">
        <v>1861</v>
      </c>
      <c r="G1891" s="12" t="s">
        <v>1861</v>
      </c>
      <c r="H1891" s="12" t="b">
        <v>1</v>
      </c>
      <c r="I1891" s="12" t="b">
        <v>0</v>
      </c>
      <c r="J1891" s="12" t="b">
        <v>1</v>
      </c>
      <c r="K1891" s="12" t="b">
        <v>0</v>
      </c>
      <c r="L1891" s="12">
        <v>566.44310063500461</v>
      </c>
      <c r="M1891" s="12">
        <v>299.38447915629621</v>
      </c>
      <c r="N1891" s="12">
        <v>3000</v>
      </c>
      <c r="O1891" s="12">
        <v>400</v>
      </c>
      <c r="P1891" s="12">
        <v>0.54640245295365664</v>
      </c>
      <c r="Q1891" s="12">
        <v>0.64361815467319272</v>
      </c>
      <c r="R1891" s="12">
        <v>0.69862898010019281</v>
      </c>
      <c r="S1891" s="12">
        <v>0.74423931876956484</v>
      </c>
      <c r="T1891" s="12">
        <v>0.78211487191983209</v>
      </c>
      <c r="U1891" s="12">
        <v>0.70414469388298639</v>
      </c>
      <c r="V1891" s="12">
        <v>299.38447915629621</v>
      </c>
      <c r="W1891" s="12">
        <v>6.1689694492702003</v>
      </c>
      <c r="X1891" s="12">
        <v>84.136580994557704</v>
      </c>
      <c r="Y1891" s="12">
        <v>2600</v>
      </c>
      <c r="Z1891" s="12">
        <v>7.5</v>
      </c>
      <c r="AA1891" s="12" t="s">
        <v>1268</v>
      </c>
      <c r="AB1891" s="12"/>
    </row>
    <row r="1892" spans="1:28" x14ac:dyDescent="0.3">
      <c r="A1892" s="12" t="s">
        <v>3804</v>
      </c>
      <c r="B1892" s="12" t="s">
        <v>170</v>
      </c>
      <c r="C1892" s="12" t="s">
        <v>439</v>
      </c>
      <c r="D1892" s="12" t="s">
        <v>724</v>
      </c>
      <c r="E1892" s="12" t="s">
        <v>2978</v>
      </c>
      <c r="F1892" s="12" t="s">
        <v>1862</v>
      </c>
      <c r="G1892" s="12" t="s">
        <v>1862</v>
      </c>
      <c r="H1892" s="12" t="b">
        <v>1</v>
      </c>
      <c r="I1892" s="12" t="b">
        <v>0</v>
      </c>
      <c r="J1892" s="12" t="b">
        <v>0</v>
      </c>
      <c r="K1892" s="12" t="b">
        <v>0</v>
      </c>
      <c r="L1892" s="12">
        <v>415.02068474468092</v>
      </c>
      <c r="M1892" s="12">
        <v>299.16623116134781</v>
      </c>
      <c r="N1892" s="12">
        <v>3000</v>
      </c>
      <c r="O1892" s="12">
        <v>400</v>
      </c>
      <c r="P1892" s="12">
        <v>0.76671977759614962</v>
      </c>
      <c r="Q1892" s="12">
        <v>0.59674769275381134</v>
      </c>
      <c r="R1892" s="12">
        <v>0.62059096702097238</v>
      </c>
      <c r="S1892" s="12">
        <v>0.91704601338163205</v>
      </c>
      <c r="T1892" s="12">
        <v>0.7682985091447635</v>
      </c>
      <c r="U1892" s="12">
        <v>0.67755626332963437</v>
      </c>
      <c r="V1892" s="12">
        <v>299.16623116134781</v>
      </c>
      <c r="W1892" s="12">
        <v>-68.803614932562112</v>
      </c>
      <c r="X1892" s="12">
        <v>-153.97403736717709</v>
      </c>
      <c r="Y1892" s="12">
        <v>2600</v>
      </c>
      <c r="Z1892" s="12">
        <v>7.5</v>
      </c>
      <c r="AA1892" s="12" t="s">
        <v>2513</v>
      </c>
      <c r="AB1892" s="12"/>
    </row>
    <row r="1893" spans="1:28" x14ac:dyDescent="0.3">
      <c r="A1893" s="12" t="s">
        <v>3805</v>
      </c>
      <c r="B1893" s="12" t="s">
        <v>170</v>
      </c>
      <c r="C1893" s="12" t="s">
        <v>439</v>
      </c>
      <c r="D1893" s="12" t="s">
        <v>724</v>
      </c>
      <c r="E1893" s="12" t="s">
        <v>2978</v>
      </c>
      <c r="F1893" s="12" t="s">
        <v>832</v>
      </c>
      <c r="G1893" s="12" t="s">
        <v>832</v>
      </c>
      <c r="H1893" s="12" t="b">
        <v>0</v>
      </c>
      <c r="I1893" s="12" t="b">
        <v>0</v>
      </c>
      <c r="J1893" s="12" t="b">
        <v>0</v>
      </c>
      <c r="K1893" s="12" t="b">
        <v>0</v>
      </c>
      <c r="L1893" s="12">
        <v>554.81087254867703</v>
      </c>
      <c r="M1893" s="12">
        <v>300.68008902509712</v>
      </c>
      <c r="N1893" s="12">
        <v>3000</v>
      </c>
      <c r="O1893" s="12">
        <v>400</v>
      </c>
      <c r="P1893" s="12">
        <v>0.75246550741634488</v>
      </c>
      <c r="Q1893" s="12">
        <v>0.79861187742596573</v>
      </c>
      <c r="R1893" s="12">
        <v>0.63674460532010024</v>
      </c>
      <c r="S1893" s="12">
        <v>0.88233818680140286</v>
      </c>
      <c r="T1893" s="12">
        <v>0.53325070232057548</v>
      </c>
      <c r="U1893" s="12">
        <v>0.73633202657326402</v>
      </c>
      <c r="V1893" s="12">
        <v>300.68008902509712</v>
      </c>
      <c r="W1893" s="12"/>
      <c r="X1893" s="12"/>
      <c r="Y1893" s="12">
        <v>2600</v>
      </c>
      <c r="Z1893" s="12">
        <v>7.5</v>
      </c>
      <c r="AA1893" s="12"/>
      <c r="AB1893" s="12"/>
    </row>
    <row r="1894" spans="1:28" x14ac:dyDescent="0.3">
      <c r="A1894" s="12" t="s">
        <v>3806</v>
      </c>
      <c r="B1894" s="12" t="s">
        <v>170</v>
      </c>
      <c r="C1894" s="12" t="s">
        <v>439</v>
      </c>
      <c r="D1894" s="12" t="s">
        <v>724</v>
      </c>
      <c r="E1894" s="12" t="s">
        <v>2978</v>
      </c>
      <c r="F1894" s="12" t="s">
        <v>1861</v>
      </c>
      <c r="G1894" s="12" t="s">
        <v>1861</v>
      </c>
      <c r="H1894" s="12" t="b">
        <v>1</v>
      </c>
      <c r="I1894" s="12" t="b">
        <v>0</v>
      </c>
      <c r="J1894" s="12" t="b">
        <v>1</v>
      </c>
      <c r="K1894" s="12" t="b">
        <v>0</v>
      </c>
      <c r="L1894" s="12">
        <v>621.7738417497867</v>
      </c>
      <c r="M1894" s="12">
        <v>290.43615233340518</v>
      </c>
      <c r="N1894" s="12">
        <v>3000</v>
      </c>
      <c r="O1894" s="12">
        <v>400</v>
      </c>
      <c r="P1894" s="12">
        <v>0.61373771982853553</v>
      </c>
      <c r="Q1894" s="12">
        <v>0.58348840425493298</v>
      </c>
      <c r="R1894" s="12">
        <v>0.84487356048870788</v>
      </c>
      <c r="S1894" s="12">
        <v>0.72143817637355401</v>
      </c>
      <c r="T1894" s="12">
        <v>0.93266566947865559</v>
      </c>
      <c r="U1894" s="12">
        <v>0.63069014026925174</v>
      </c>
      <c r="V1894" s="12">
        <v>290.43615233340518</v>
      </c>
      <c r="W1894" s="12">
        <v>4.44758821751849</v>
      </c>
      <c r="X1894" s="12">
        <v>57.018273149985902</v>
      </c>
      <c r="Y1894" s="12">
        <v>2600</v>
      </c>
      <c r="Z1894" s="12">
        <v>7.5</v>
      </c>
      <c r="AA1894" s="12" t="s">
        <v>1268</v>
      </c>
      <c r="AB1894" s="12"/>
    </row>
    <row r="1895" spans="1:28" x14ac:dyDescent="0.3">
      <c r="A1895" s="12" t="s">
        <v>3807</v>
      </c>
      <c r="B1895" s="12" t="s">
        <v>170</v>
      </c>
      <c r="C1895" s="12" t="s">
        <v>439</v>
      </c>
      <c r="D1895" s="12" t="s">
        <v>724</v>
      </c>
      <c r="E1895" s="12" t="s">
        <v>2978</v>
      </c>
      <c r="F1895" s="12" t="s">
        <v>1861</v>
      </c>
      <c r="G1895" s="12" t="s">
        <v>1861</v>
      </c>
      <c r="H1895" s="12" t="b">
        <v>1</v>
      </c>
      <c r="I1895" s="12" t="b">
        <v>0</v>
      </c>
      <c r="J1895" s="12" t="b">
        <v>1</v>
      </c>
      <c r="K1895" s="12" t="b">
        <v>0</v>
      </c>
      <c r="L1895" s="12">
        <v>502.21927353802408</v>
      </c>
      <c r="M1895" s="12">
        <v>289.65553779277462</v>
      </c>
      <c r="N1895" s="12">
        <v>3000</v>
      </c>
      <c r="O1895" s="12">
        <v>400</v>
      </c>
      <c r="P1895" s="12">
        <v>0.50632857667985032</v>
      </c>
      <c r="Q1895" s="12">
        <v>0.87047217468661409</v>
      </c>
      <c r="R1895" s="12">
        <v>0.68289460382610678</v>
      </c>
      <c r="S1895" s="12">
        <v>0.81416705952772706</v>
      </c>
      <c r="T1895" s="12">
        <v>0.79775257269177902</v>
      </c>
      <c r="U1895" s="12">
        <v>0.42680631687175441</v>
      </c>
      <c r="V1895" s="12">
        <v>289.65553779277462</v>
      </c>
      <c r="W1895" s="12">
        <v>3.9536795241720699</v>
      </c>
      <c r="X1895" s="12">
        <v>34.515091864914211</v>
      </c>
      <c r="Y1895" s="12">
        <v>2600</v>
      </c>
      <c r="Z1895" s="12">
        <v>7.5</v>
      </c>
      <c r="AA1895" s="12" t="s">
        <v>1981</v>
      </c>
      <c r="AB1895" s="12"/>
    </row>
    <row r="1896" spans="1:28" x14ac:dyDescent="0.3">
      <c r="A1896" s="12" t="s">
        <v>3808</v>
      </c>
      <c r="B1896" s="12" t="s">
        <v>170</v>
      </c>
      <c r="C1896" s="12" t="s">
        <v>439</v>
      </c>
      <c r="D1896" s="12" t="s">
        <v>724</v>
      </c>
      <c r="E1896" s="12" t="s">
        <v>2978</v>
      </c>
      <c r="F1896" s="12" t="s">
        <v>1862</v>
      </c>
      <c r="G1896" s="12" t="s">
        <v>1862</v>
      </c>
      <c r="H1896" s="12" t="b">
        <v>1</v>
      </c>
      <c r="I1896" s="12" t="b">
        <v>0</v>
      </c>
      <c r="J1896" s="12" t="b">
        <v>1</v>
      </c>
      <c r="K1896" s="12" t="b">
        <v>0</v>
      </c>
      <c r="L1896" s="12">
        <v>489.41416794950169</v>
      </c>
      <c r="M1896" s="12">
        <v>280.96549186897562</v>
      </c>
      <c r="N1896" s="12">
        <v>3000</v>
      </c>
      <c r="O1896" s="12">
        <v>400</v>
      </c>
      <c r="P1896" s="12">
        <v>0.59085289460873647</v>
      </c>
      <c r="Q1896" s="12">
        <v>0.41182859379791448</v>
      </c>
      <c r="R1896" s="12">
        <v>0.56536600571679196</v>
      </c>
      <c r="S1896" s="12">
        <v>0.488193597343202</v>
      </c>
      <c r="T1896" s="12">
        <v>0.56991135571026708</v>
      </c>
      <c r="U1896" s="12">
        <v>0.55234614292460338</v>
      </c>
      <c r="V1896" s="12">
        <v>280.96549186897562</v>
      </c>
      <c r="W1896" s="12">
        <v>-9.9921683705127489</v>
      </c>
      <c r="X1896" s="12">
        <v>-73.258276646210476</v>
      </c>
      <c r="Y1896" s="12">
        <v>2600</v>
      </c>
      <c r="Z1896" s="12">
        <v>7.5</v>
      </c>
      <c r="AA1896" s="12" t="s">
        <v>2513</v>
      </c>
      <c r="AB1896" s="12"/>
    </row>
    <row r="1897" spans="1:28" x14ac:dyDescent="0.3">
      <c r="A1897" s="12" t="s">
        <v>3809</v>
      </c>
      <c r="B1897" s="12" t="s">
        <v>170</v>
      </c>
      <c r="C1897" s="12" t="s">
        <v>439</v>
      </c>
      <c r="D1897" s="12" t="s">
        <v>724</v>
      </c>
      <c r="E1897" s="12" t="s">
        <v>2978</v>
      </c>
      <c r="F1897" s="12" t="s">
        <v>1862</v>
      </c>
      <c r="G1897" s="12" t="s">
        <v>1862</v>
      </c>
      <c r="H1897" s="12" t="b">
        <v>1</v>
      </c>
      <c r="I1897" s="12" t="b">
        <v>0</v>
      </c>
      <c r="J1897" s="12" t="b">
        <v>1</v>
      </c>
      <c r="K1897" s="12" t="b">
        <v>0</v>
      </c>
      <c r="L1897" s="12">
        <v>510.8444477059914</v>
      </c>
      <c r="M1897" s="12">
        <v>281.13374287680682</v>
      </c>
      <c r="N1897" s="12">
        <v>3000</v>
      </c>
      <c r="O1897" s="12">
        <v>400</v>
      </c>
      <c r="P1897" s="12">
        <v>0.73139701664439749</v>
      </c>
      <c r="Q1897" s="12">
        <v>0.86538534878793127</v>
      </c>
      <c r="R1897" s="12">
        <v>0.45276914053719991</v>
      </c>
      <c r="S1897" s="12">
        <v>0.4693326132912527</v>
      </c>
      <c r="T1897" s="12">
        <v>0.61413973934622812</v>
      </c>
      <c r="U1897" s="12">
        <v>0.51041135046882602</v>
      </c>
      <c r="V1897" s="12">
        <v>281.13374287680682</v>
      </c>
      <c r="W1897" s="12">
        <v>-6.0546567047832101</v>
      </c>
      <c r="X1897" s="12">
        <v>-37.302297837789183</v>
      </c>
      <c r="Y1897" s="12">
        <v>2600</v>
      </c>
      <c r="Z1897" s="12">
        <v>7.5</v>
      </c>
      <c r="AA1897" s="12" t="s">
        <v>2513</v>
      </c>
      <c r="AB1897" s="12"/>
    </row>
    <row r="1898" spans="1:28" x14ac:dyDescent="0.3">
      <c r="A1898" s="12" t="s">
        <v>3810</v>
      </c>
      <c r="B1898" s="12" t="s">
        <v>170</v>
      </c>
      <c r="C1898" s="12" t="s">
        <v>439</v>
      </c>
      <c r="D1898" s="12" t="s">
        <v>724</v>
      </c>
      <c r="E1898" s="12" t="s">
        <v>2978</v>
      </c>
      <c r="F1898" s="12" t="s">
        <v>832</v>
      </c>
      <c r="G1898" s="12" t="s">
        <v>832</v>
      </c>
      <c r="H1898" s="12" t="b">
        <v>0</v>
      </c>
      <c r="I1898" s="12" t="b">
        <v>0</v>
      </c>
      <c r="J1898" s="12" t="b">
        <v>0</v>
      </c>
      <c r="K1898" s="12" t="b">
        <v>0</v>
      </c>
      <c r="L1898" s="12">
        <v>531.98714895608066</v>
      </c>
      <c r="M1898" s="12">
        <v>302.12414150123851</v>
      </c>
      <c r="N1898" s="12">
        <v>3000</v>
      </c>
      <c r="O1898" s="12">
        <v>400</v>
      </c>
      <c r="P1898" s="12">
        <v>0.60233470320388782</v>
      </c>
      <c r="Q1898" s="12">
        <v>0.46324290592209599</v>
      </c>
      <c r="R1898" s="12">
        <v>0.40103312504976441</v>
      </c>
      <c r="S1898" s="12">
        <v>0.58036313576683496</v>
      </c>
      <c r="T1898" s="12">
        <v>0.6620544294297005</v>
      </c>
      <c r="U1898" s="12">
        <v>0.4594105827690198</v>
      </c>
      <c r="V1898" s="12">
        <v>302.12414150123851</v>
      </c>
      <c r="W1898" s="12"/>
      <c r="X1898" s="12"/>
      <c r="Y1898" s="12">
        <v>2600</v>
      </c>
      <c r="Z1898" s="12">
        <v>7.5</v>
      </c>
      <c r="AA1898" s="12"/>
      <c r="AB1898" s="12"/>
    </row>
    <row r="1899" spans="1:28" x14ac:dyDescent="0.3">
      <c r="A1899" s="12" t="s">
        <v>3811</v>
      </c>
      <c r="B1899" s="12" t="s">
        <v>170</v>
      </c>
      <c r="C1899" s="12" t="s">
        <v>439</v>
      </c>
      <c r="D1899" s="12" t="s">
        <v>724</v>
      </c>
      <c r="E1899" s="12" t="s">
        <v>2978</v>
      </c>
      <c r="F1899" s="12" t="s">
        <v>1861</v>
      </c>
      <c r="G1899" s="12" t="s">
        <v>1861</v>
      </c>
      <c r="H1899" s="12" t="b">
        <v>1</v>
      </c>
      <c r="I1899" s="12" t="b">
        <v>0</v>
      </c>
      <c r="J1899" s="12" t="b">
        <v>1</v>
      </c>
      <c r="K1899" s="12" t="b">
        <v>0</v>
      </c>
      <c r="L1899" s="12">
        <v>541.36811716596605</v>
      </c>
      <c r="M1899" s="12">
        <v>281.55834079876797</v>
      </c>
      <c r="N1899" s="12">
        <v>3000</v>
      </c>
      <c r="O1899" s="12">
        <v>400</v>
      </c>
      <c r="P1899" s="12">
        <v>0.57280179600700065</v>
      </c>
      <c r="Q1899" s="12">
        <v>0.58200650453397318</v>
      </c>
      <c r="R1899" s="12">
        <v>0.88792724257862277</v>
      </c>
      <c r="S1899" s="12">
        <v>0.81801613750428759</v>
      </c>
      <c r="T1899" s="12">
        <v>0.59940995989146839</v>
      </c>
      <c r="U1899" s="12">
        <v>0.80693242516553754</v>
      </c>
      <c r="V1899" s="12">
        <v>281.55834079876797</v>
      </c>
      <c r="W1899" s="12">
        <v>8.7394972315055206</v>
      </c>
      <c r="X1899" s="12">
        <v>149.71130959749291</v>
      </c>
      <c r="Y1899" s="12">
        <v>2600</v>
      </c>
      <c r="Z1899" s="12">
        <v>7.5</v>
      </c>
      <c r="AA1899" s="12" t="s">
        <v>1268</v>
      </c>
      <c r="AB1899" s="12"/>
    </row>
    <row r="1900" spans="1:28" x14ac:dyDescent="0.3">
      <c r="A1900" s="12" t="s">
        <v>3812</v>
      </c>
      <c r="B1900" s="12" t="s">
        <v>170</v>
      </c>
      <c r="C1900" s="12" t="s">
        <v>439</v>
      </c>
      <c r="D1900" s="12" t="s">
        <v>724</v>
      </c>
      <c r="E1900" s="12" t="s">
        <v>2978</v>
      </c>
      <c r="F1900" s="12" t="s">
        <v>1861</v>
      </c>
      <c r="G1900" s="12" t="s">
        <v>1861</v>
      </c>
      <c r="H1900" s="12" t="b">
        <v>1</v>
      </c>
      <c r="I1900" s="12" t="b">
        <v>0</v>
      </c>
      <c r="J1900" s="12" t="b">
        <v>1</v>
      </c>
      <c r="K1900" s="12" t="b">
        <v>0</v>
      </c>
      <c r="L1900" s="12">
        <v>466.57956014236407</v>
      </c>
      <c r="M1900" s="12">
        <v>287.10490011410798</v>
      </c>
      <c r="N1900" s="12">
        <v>3000</v>
      </c>
      <c r="O1900" s="12">
        <v>400</v>
      </c>
      <c r="P1900" s="12">
        <v>0.58430098632756966</v>
      </c>
      <c r="Q1900" s="12">
        <v>0.83210453055343203</v>
      </c>
      <c r="R1900" s="12">
        <v>0.58167724565539958</v>
      </c>
      <c r="S1900" s="12">
        <v>0.61722601727842241</v>
      </c>
      <c r="T1900" s="12">
        <v>0.56765210694166535</v>
      </c>
      <c r="U1900" s="12">
        <v>0.52454936733219226</v>
      </c>
      <c r="V1900" s="12">
        <v>287.10490011410798</v>
      </c>
      <c r="W1900" s="12">
        <v>2.73819251890867</v>
      </c>
      <c r="X1900" s="12">
        <v>22.48349737126097</v>
      </c>
      <c r="Y1900" s="12">
        <v>2600</v>
      </c>
      <c r="Z1900" s="12">
        <v>7.5</v>
      </c>
      <c r="AA1900" s="12" t="s">
        <v>1268</v>
      </c>
      <c r="AB1900" s="12"/>
    </row>
    <row r="1901" spans="1:28" x14ac:dyDescent="0.3">
      <c r="A1901" s="12" t="s">
        <v>3813</v>
      </c>
      <c r="B1901" s="12" t="s">
        <v>170</v>
      </c>
      <c r="C1901" s="12" t="s">
        <v>439</v>
      </c>
      <c r="D1901" s="12" t="s">
        <v>724</v>
      </c>
      <c r="E1901" s="12" t="s">
        <v>2978</v>
      </c>
      <c r="F1901" s="12" t="s">
        <v>1862</v>
      </c>
      <c r="G1901" s="12" t="s">
        <v>1862</v>
      </c>
      <c r="H1901" s="12" t="b">
        <v>1</v>
      </c>
      <c r="I1901" s="12" t="b">
        <v>0</v>
      </c>
      <c r="J1901" s="12" t="b">
        <v>1</v>
      </c>
      <c r="K1901" s="12" t="b">
        <v>0</v>
      </c>
      <c r="L1901" s="12">
        <v>503.83652268951488</v>
      </c>
      <c r="M1901" s="12">
        <v>297.50312897873812</v>
      </c>
      <c r="N1901" s="12">
        <v>3000</v>
      </c>
      <c r="O1901" s="12">
        <v>400</v>
      </c>
      <c r="P1901" s="12">
        <v>0.69793070738171026</v>
      </c>
      <c r="Q1901" s="12">
        <v>0.56952464222256305</v>
      </c>
      <c r="R1901" s="12">
        <v>0.70515985934153869</v>
      </c>
      <c r="S1901" s="12">
        <v>0.44429083701918509</v>
      </c>
      <c r="T1901" s="12">
        <v>0.65100436533051242</v>
      </c>
      <c r="U1901" s="12">
        <v>0.68246076345038942</v>
      </c>
      <c r="V1901" s="12">
        <v>297.50312897873812</v>
      </c>
      <c r="W1901" s="12">
        <v>-11.827738478190341</v>
      </c>
      <c r="X1901" s="12">
        <v>-64.501785661820804</v>
      </c>
      <c r="Y1901" s="12">
        <v>2600</v>
      </c>
      <c r="Z1901" s="12">
        <v>7.5</v>
      </c>
      <c r="AA1901" s="12" t="s">
        <v>2513</v>
      </c>
      <c r="AB1901" s="12"/>
    </row>
    <row r="1902" spans="1:28" x14ac:dyDescent="0.3">
      <c r="A1902" s="12" t="s">
        <v>3814</v>
      </c>
      <c r="B1902" s="12" t="s">
        <v>170</v>
      </c>
      <c r="C1902" s="12" t="s">
        <v>439</v>
      </c>
      <c r="D1902" s="12" t="s">
        <v>724</v>
      </c>
      <c r="E1902" s="12" t="s">
        <v>2978</v>
      </c>
      <c r="F1902" s="12" t="s">
        <v>832</v>
      </c>
      <c r="G1902" s="12" t="s">
        <v>832</v>
      </c>
      <c r="H1902" s="12" t="b">
        <v>0</v>
      </c>
      <c r="I1902" s="12" t="b">
        <v>0</v>
      </c>
      <c r="J1902" s="12" t="b">
        <v>0</v>
      </c>
      <c r="K1902" s="12" t="b">
        <v>0</v>
      </c>
      <c r="L1902" s="12">
        <v>618.85711179238001</v>
      </c>
      <c r="M1902" s="12">
        <v>301.52749798519062</v>
      </c>
      <c r="N1902" s="12">
        <v>3000</v>
      </c>
      <c r="O1902" s="12">
        <v>400</v>
      </c>
      <c r="P1902" s="12">
        <v>0.52237502425346172</v>
      </c>
      <c r="Q1902" s="12">
        <v>0.9106228940341492</v>
      </c>
      <c r="R1902" s="12">
        <v>0.47343805178579351</v>
      </c>
      <c r="S1902" s="12">
        <v>0.77212156252976061</v>
      </c>
      <c r="T1902" s="12">
        <v>0.87471735985946186</v>
      </c>
      <c r="U1902" s="12">
        <v>0.598200270088872</v>
      </c>
      <c r="V1902" s="12">
        <v>301.52749798519062</v>
      </c>
      <c r="W1902" s="12"/>
      <c r="X1902" s="12"/>
      <c r="Y1902" s="12">
        <v>2600</v>
      </c>
      <c r="Z1902" s="12">
        <v>7.5</v>
      </c>
      <c r="AA1902" s="12"/>
      <c r="AB1902" s="12"/>
    </row>
    <row r="1903" spans="1:28" x14ac:dyDescent="0.3">
      <c r="A1903" s="12" t="s">
        <v>3815</v>
      </c>
      <c r="B1903" s="12" t="s">
        <v>170</v>
      </c>
      <c r="C1903" s="12" t="s">
        <v>439</v>
      </c>
      <c r="D1903" s="12" t="s">
        <v>724</v>
      </c>
      <c r="E1903" s="12" t="s">
        <v>2978</v>
      </c>
      <c r="F1903" s="12" t="s">
        <v>1861</v>
      </c>
      <c r="G1903" s="12" t="s">
        <v>1861</v>
      </c>
      <c r="H1903" s="12" t="b">
        <v>1</v>
      </c>
      <c r="I1903" s="12" t="b">
        <v>0</v>
      </c>
      <c r="J1903" s="12" t="b">
        <v>1</v>
      </c>
      <c r="K1903" s="12" t="b">
        <v>0</v>
      </c>
      <c r="L1903" s="12">
        <v>516.51537253024503</v>
      </c>
      <c r="M1903" s="12">
        <v>281.93788467671862</v>
      </c>
      <c r="N1903" s="12">
        <v>3000</v>
      </c>
      <c r="O1903" s="12">
        <v>400</v>
      </c>
      <c r="P1903" s="12">
        <v>0.69019364122122484</v>
      </c>
      <c r="Q1903" s="12">
        <v>0.4580259411662696</v>
      </c>
      <c r="R1903" s="12">
        <v>0.94282947593175404</v>
      </c>
      <c r="S1903" s="12">
        <v>0.56570784442654976</v>
      </c>
      <c r="T1903" s="12">
        <v>0.74820716378004137</v>
      </c>
      <c r="U1903" s="12">
        <v>0.91961968927136062</v>
      </c>
      <c r="V1903" s="12">
        <v>281.93788467671862</v>
      </c>
      <c r="W1903" s="12">
        <v>7.8053772803568098</v>
      </c>
      <c r="X1903" s="12">
        <v>90.720741431511286</v>
      </c>
      <c r="Y1903" s="12">
        <v>2600</v>
      </c>
      <c r="Z1903" s="12">
        <v>7.5</v>
      </c>
      <c r="AA1903" s="12" t="s">
        <v>1268</v>
      </c>
      <c r="AB1903" s="12"/>
    </row>
    <row r="1904" spans="1:28" x14ac:dyDescent="0.3">
      <c r="A1904" s="12" t="s">
        <v>3816</v>
      </c>
      <c r="B1904" s="12" t="s">
        <v>170</v>
      </c>
      <c r="C1904" s="12" t="s">
        <v>439</v>
      </c>
      <c r="D1904" s="12" t="s">
        <v>724</v>
      </c>
      <c r="E1904" s="12" t="s">
        <v>2978</v>
      </c>
      <c r="F1904" s="12" t="s">
        <v>1862</v>
      </c>
      <c r="G1904" s="12" t="s">
        <v>1862</v>
      </c>
      <c r="H1904" s="12" t="b">
        <v>1</v>
      </c>
      <c r="I1904" s="12" t="b">
        <v>0</v>
      </c>
      <c r="J1904" s="12" t="b">
        <v>1</v>
      </c>
      <c r="K1904" s="12" t="b">
        <v>0</v>
      </c>
      <c r="L1904" s="12">
        <v>603.54562119817967</v>
      </c>
      <c r="M1904" s="12">
        <v>303.47908172359928</v>
      </c>
      <c r="N1904" s="12">
        <v>3000</v>
      </c>
      <c r="O1904" s="12">
        <v>400</v>
      </c>
      <c r="P1904" s="12">
        <v>0.50084274026185438</v>
      </c>
      <c r="Q1904" s="12">
        <v>0.54479081211017688</v>
      </c>
      <c r="R1904" s="12">
        <v>0.51973397827841161</v>
      </c>
      <c r="S1904" s="12">
        <v>0.70237310782379381</v>
      </c>
      <c r="T1904" s="12">
        <v>0.90998975816841166</v>
      </c>
      <c r="U1904" s="12">
        <v>0.49450864651510518</v>
      </c>
      <c r="V1904" s="12">
        <v>303.47908172359928</v>
      </c>
      <c r="W1904" s="12">
        <v>-16.000173802827469</v>
      </c>
      <c r="X1904" s="12">
        <v>-143.19167117407551</v>
      </c>
      <c r="Y1904" s="12">
        <v>2600</v>
      </c>
      <c r="Z1904" s="12">
        <v>7.5</v>
      </c>
      <c r="AA1904" s="12" t="s">
        <v>2513</v>
      </c>
      <c r="AB1904" s="12"/>
    </row>
    <row r="1905" spans="1:28" x14ac:dyDescent="0.3">
      <c r="A1905" s="12" t="s">
        <v>3817</v>
      </c>
      <c r="B1905" s="12" t="s">
        <v>170</v>
      </c>
      <c r="C1905" s="12" t="s">
        <v>439</v>
      </c>
      <c r="D1905" s="12" t="s">
        <v>724</v>
      </c>
      <c r="E1905" s="12" t="s">
        <v>2978</v>
      </c>
      <c r="F1905" s="12" t="s">
        <v>1861</v>
      </c>
      <c r="G1905" s="12" t="s">
        <v>1861</v>
      </c>
      <c r="H1905" s="12" t="b">
        <v>1</v>
      </c>
      <c r="I1905" s="12" t="b">
        <v>0</v>
      </c>
      <c r="J1905" s="12" t="b">
        <v>1</v>
      </c>
      <c r="K1905" s="12" t="b">
        <v>0</v>
      </c>
      <c r="L1905" s="12">
        <v>607.84431513036827</v>
      </c>
      <c r="M1905" s="12">
        <v>291.35801290796059</v>
      </c>
      <c r="N1905" s="12">
        <v>3000</v>
      </c>
      <c r="O1905" s="12">
        <v>400</v>
      </c>
      <c r="P1905" s="12">
        <v>0.66912732605369207</v>
      </c>
      <c r="Q1905" s="12">
        <v>0.62391985934670002</v>
      </c>
      <c r="R1905" s="12">
        <v>0.8850011315525339</v>
      </c>
      <c r="S1905" s="12">
        <v>0.66538517815359954</v>
      </c>
      <c r="T1905" s="12">
        <v>0.83486273143807843</v>
      </c>
      <c r="U1905" s="12">
        <v>0.55686886847518613</v>
      </c>
      <c r="V1905" s="12">
        <v>291.35801290796059</v>
      </c>
      <c r="W1905" s="12">
        <v>1.0978134181439501</v>
      </c>
      <c r="X1905" s="12">
        <v>10.10330583906986</v>
      </c>
      <c r="Y1905" s="12">
        <v>2600</v>
      </c>
      <c r="Z1905" s="12">
        <v>7.5</v>
      </c>
      <c r="AA1905" s="12" t="s">
        <v>1268</v>
      </c>
      <c r="AB1905" s="12"/>
    </row>
    <row r="1906" spans="1:28" x14ac:dyDescent="0.3">
      <c r="A1906" s="12" t="s">
        <v>3818</v>
      </c>
      <c r="B1906" s="12" t="s">
        <v>170</v>
      </c>
      <c r="C1906" s="12" t="s">
        <v>439</v>
      </c>
      <c r="D1906" s="12" t="s">
        <v>724</v>
      </c>
      <c r="E1906" s="12" t="s">
        <v>2978</v>
      </c>
      <c r="F1906" s="12" t="s">
        <v>1861</v>
      </c>
      <c r="G1906" s="12" t="s">
        <v>1861</v>
      </c>
      <c r="H1906" s="12" t="b">
        <v>1</v>
      </c>
      <c r="I1906" s="12" t="b">
        <v>0</v>
      </c>
      <c r="J1906" s="12" t="b">
        <v>0</v>
      </c>
      <c r="K1906" s="12" t="b">
        <v>0</v>
      </c>
      <c r="L1906" s="12">
        <v>404.25537762404372</v>
      </c>
      <c r="M1906" s="12">
        <v>285.37478565314342</v>
      </c>
      <c r="N1906" s="12">
        <v>3000</v>
      </c>
      <c r="O1906" s="12">
        <v>400</v>
      </c>
      <c r="P1906" s="12">
        <v>0.66601729319683844</v>
      </c>
      <c r="Q1906" s="12">
        <v>0.53108938047934995</v>
      </c>
      <c r="R1906" s="12">
        <v>0.93868499621531898</v>
      </c>
      <c r="S1906" s="12">
        <v>0.82264254905305356</v>
      </c>
      <c r="T1906" s="12">
        <v>0.59514358069033046</v>
      </c>
      <c r="U1906" s="12">
        <v>0.84208240100270437</v>
      </c>
      <c r="V1906" s="12">
        <v>285.37478565314342</v>
      </c>
      <c r="W1906" s="12">
        <v>8.0016841692218996</v>
      </c>
      <c r="X1906" s="12">
        <v>56.19853173975163</v>
      </c>
      <c r="Y1906" s="12">
        <v>2600</v>
      </c>
      <c r="Z1906" s="12">
        <v>7.5</v>
      </c>
      <c r="AA1906" s="12" t="s">
        <v>1268</v>
      </c>
      <c r="AB1906" s="12"/>
    </row>
    <row r="1907" spans="1:28" x14ac:dyDescent="0.3">
      <c r="A1907" s="12" t="s">
        <v>3819</v>
      </c>
      <c r="B1907" s="12" t="s">
        <v>170</v>
      </c>
      <c r="C1907" s="12" t="s">
        <v>439</v>
      </c>
      <c r="D1907" s="12" t="s">
        <v>724</v>
      </c>
      <c r="E1907" s="12" t="s">
        <v>2978</v>
      </c>
      <c r="F1907" s="12" t="s">
        <v>1861</v>
      </c>
      <c r="G1907" s="12" t="s">
        <v>1861</v>
      </c>
      <c r="H1907" s="12" t="b">
        <v>1</v>
      </c>
      <c r="I1907" s="12" t="b">
        <v>0</v>
      </c>
      <c r="J1907" s="12" t="b">
        <v>1</v>
      </c>
      <c r="K1907" s="12" t="b">
        <v>0</v>
      </c>
      <c r="L1907" s="12">
        <v>507.71743931533831</v>
      </c>
      <c r="M1907" s="12">
        <v>302.83157150668018</v>
      </c>
      <c r="N1907" s="12">
        <v>3000</v>
      </c>
      <c r="O1907" s="12">
        <v>400</v>
      </c>
      <c r="P1907" s="12">
        <v>0.69833919493513674</v>
      </c>
      <c r="Q1907" s="12">
        <v>0.77465469037658141</v>
      </c>
      <c r="R1907" s="12">
        <v>0.83370663541085888</v>
      </c>
      <c r="S1907" s="12">
        <v>0.82651657093438413</v>
      </c>
      <c r="T1907" s="12">
        <v>0.50702235469074552</v>
      </c>
      <c r="U1907" s="12">
        <v>0.78569680136205911</v>
      </c>
      <c r="V1907" s="12">
        <v>302.83157150668018</v>
      </c>
      <c r="W1907" s="12">
        <v>7.0505016029237604</v>
      </c>
      <c r="X1907" s="12">
        <v>70.483698588393509</v>
      </c>
      <c r="Y1907" s="12">
        <v>2600</v>
      </c>
      <c r="Z1907" s="12">
        <v>7.5</v>
      </c>
      <c r="AA1907" s="12" t="s">
        <v>1268</v>
      </c>
      <c r="AB1907" s="12"/>
    </row>
    <row r="1908" spans="1:28" x14ac:dyDescent="0.3">
      <c r="A1908" s="12" t="s">
        <v>3820</v>
      </c>
      <c r="B1908" s="12" t="s">
        <v>170</v>
      </c>
      <c r="C1908" s="12" t="s">
        <v>439</v>
      </c>
      <c r="D1908" s="12" t="s">
        <v>724</v>
      </c>
      <c r="E1908" s="12" t="s">
        <v>2978</v>
      </c>
      <c r="F1908" s="12" t="s">
        <v>1862</v>
      </c>
      <c r="G1908" s="12" t="s">
        <v>1862</v>
      </c>
      <c r="H1908" s="12" t="b">
        <v>1</v>
      </c>
      <c r="I1908" s="12" t="b">
        <v>0</v>
      </c>
      <c r="J1908" s="12" t="b">
        <v>0</v>
      </c>
      <c r="K1908" s="12" t="b">
        <v>0</v>
      </c>
      <c r="L1908" s="12">
        <v>408.79278112425942</v>
      </c>
      <c r="M1908" s="12">
        <v>283.02068140098191</v>
      </c>
      <c r="N1908" s="12">
        <v>3000</v>
      </c>
      <c r="O1908" s="12">
        <v>400</v>
      </c>
      <c r="P1908" s="12">
        <v>0.74145424207032018</v>
      </c>
      <c r="Q1908" s="12">
        <v>0.482338426961823</v>
      </c>
      <c r="R1908" s="12">
        <v>0.75943590717682952</v>
      </c>
      <c r="S1908" s="12">
        <v>0.91187761819291135</v>
      </c>
      <c r="T1908" s="12">
        <v>0.71276706603915896</v>
      </c>
      <c r="U1908" s="12">
        <v>0.56878803310063497</v>
      </c>
      <c r="V1908" s="12">
        <v>283.02068140098191</v>
      </c>
      <c r="W1908" s="12">
        <v>-8.7857623955780699</v>
      </c>
      <c r="X1908" s="12">
        <v>-44.235602043152738</v>
      </c>
      <c r="Y1908" s="12">
        <v>2600</v>
      </c>
      <c r="Z1908" s="12">
        <v>7.5</v>
      </c>
      <c r="AA1908" s="12" t="s">
        <v>2513</v>
      </c>
      <c r="AB1908" s="12"/>
    </row>
    <row r="1909" spans="1:28" x14ac:dyDescent="0.3">
      <c r="A1909" s="12" t="s">
        <v>3821</v>
      </c>
      <c r="B1909" s="12" t="s">
        <v>170</v>
      </c>
      <c r="C1909" s="12" t="s">
        <v>439</v>
      </c>
      <c r="D1909" s="12" t="s">
        <v>724</v>
      </c>
      <c r="E1909" s="12" t="s">
        <v>2978</v>
      </c>
      <c r="F1909" s="12" t="s">
        <v>1861</v>
      </c>
      <c r="G1909" s="12" t="s">
        <v>1861</v>
      </c>
      <c r="H1909" s="12" t="b">
        <v>1</v>
      </c>
      <c r="I1909" s="12" t="b">
        <v>0</v>
      </c>
      <c r="J1909" s="12" t="b">
        <v>1</v>
      </c>
      <c r="K1909" s="12" t="b">
        <v>0</v>
      </c>
      <c r="L1909" s="12">
        <v>451.64778430061011</v>
      </c>
      <c r="M1909" s="12">
        <v>282.53806788611922</v>
      </c>
      <c r="N1909" s="12">
        <v>3000</v>
      </c>
      <c r="O1909" s="12">
        <v>400</v>
      </c>
      <c r="P1909" s="12">
        <v>0.75778270249165236</v>
      </c>
      <c r="Q1909" s="12">
        <v>0.87562555822483923</v>
      </c>
      <c r="R1909" s="12">
        <v>0.80871559483027622</v>
      </c>
      <c r="S1909" s="12">
        <v>0.71355705477316778</v>
      </c>
      <c r="T1909" s="12">
        <v>0.58266925145353321</v>
      </c>
      <c r="U1909" s="12">
        <v>0.91755540214984321</v>
      </c>
      <c r="V1909" s="12">
        <v>282.53806788611922</v>
      </c>
      <c r="W1909" s="12">
        <v>15.174046642172261</v>
      </c>
      <c r="X1909" s="12">
        <v>175.3747594200093</v>
      </c>
      <c r="Y1909" s="12">
        <v>2600</v>
      </c>
      <c r="Z1909" s="12">
        <v>7.5</v>
      </c>
      <c r="AA1909" s="12" t="s">
        <v>1268</v>
      </c>
      <c r="AB1909" s="12"/>
    </row>
    <row r="1910" spans="1:28" x14ac:dyDescent="0.3">
      <c r="A1910" s="12" t="s">
        <v>3822</v>
      </c>
      <c r="B1910" s="12" t="s">
        <v>170</v>
      </c>
      <c r="C1910" s="12" t="s">
        <v>439</v>
      </c>
      <c r="D1910" s="12" t="s">
        <v>724</v>
      </c>
      <c r="E1910" s="12" t="s">
        <v>2978</v>
      </c>
      <c r="F1910" s="12" t="s">
        <v>1861</v>
      </c>
      <c r="G1910" s="12" t="s">
        <v>1861</v>
      </c>
      <c r="H1910" s="12" t="b">
        <v>1</v>
      </c>
      <c r="I1910" s="12" t="b">
        <v>0</v>
      </c>
      <c r="J1910" s="12" t="b">
        <v>1</v>
      </c>
      <c r="K1910" s="12" t="b">
        <v>0</v>
      </c>
      <c r="L1910" s="12">
        <v>461.60229667701572</v>
      </c>
      <c r="M1910" s="12">
        <v>295.52521591955161</v>
      </c>
      <c r="N1910" s="12">
        <v>3000</v>
      </c>
      <c r="O1910" s="12">
        <v>400</v>
      </c>
      <c r="P1910" s="12">
        <v>0.55000348182844938</v>
      </c>
      <c r="Q1910" s="12">
        <v>0.93536989965065898</v>
      </c>
      <c r="R1910" s="12">
        <v>0.74506910379196278</v>
      </c>
      <c r="S1910" s="12">
        <v>0.67667120578871898</v>
      </c>
      <c r="T1910" s="12">
        <v>0.54956289187225671</v>
      </c>
      <c r="U1910" s="12">
        <v>0.48459481867409782</v>
      </c>
      <c r="V1910" s="12">
        <v>295.52521591955161</v>
      </c>
      <c r="W1910" s="12">
        <v>9.4003671033908471</v>
      </c>
      <c r="X1910" s="12">
        <v>71.217920102547367</v>
      </c>
      <c r="Y1910" s="12">
        <v>2600</v>
      </c>
      <c r="Z1910" s="12">
        <v>7.5</v>
      </c>
      <c r="AA1910" s="12" t="s">
        <v>1981</v>
      </c>
      <c r="AB1910" s="12"/>
    </row>
    <row r="1911" spans="1:28" x14ac:dyDescent="0.3">
      <c r="A1911" s="12" t="s">
        <v>3823</v>
      </c>
      <c r="B1911" s="12" t="s">
        <v>170</v>
      </c>
      <c r="C1911" s="12" t="s">
        <v>439</v>
      </c>
      <c r="D1911" s="12" t="s">
        <v>724</v>
      </c>
      <c r="E1911" s="12" t="s">
        <v>2978</v>
      </c>
      <c r="F1911" s="12" t="s">
        <v>1861</v>
      </c>
      <c r="G1911" s="12" t="s">
        <v>1861</v>
      </c>
      <c r="H1911" s="12" t="b">
        <v>1</v>
      </c>
      <c r="I1911" s="12" t="b">
        <v>0</v>
      </c>
      <c r="J1911" s="12" t="b">
        <v>0</v>
      </c>
      <c r="K1911" s="12" t="b">
        <v>0</v>
      </c>
      <c r="L1911" s="12">
        <v>550.59100860337048</v>
      </c>
      <c r="M1911" s="12">
        <v>280.19298825153021</v>
      </c>
      <c r="N1911" s="12">
        <v>3000</v>
      </c>
      <c r="O1911" s="12">
        <v>400</v>
      </c>
      <c r="P1911" s="12">
        <v>0.81888783463980919</v>
      </c>
      <c r="Q1911" s="12">
        <v>0.50588469542559855</v>
      </c>
      <c r="R1911" s="12">
        <v>0.9068081350090692</v>
      </c>
      <c r="S1911" s="12">
        <v>0.54414807439743085</v>
      </c>
      <c r="T1911" s="12">
        <v>0.69392123029974884</v>
      </c>
      <c r="U1911" s="12">
        <v>0.91024202082384642</v>
      </c>
      <c r="V1911" s="12">
        <v>280.19298825153021</v>
      </c>
      <c r="W1911" s="12">
        <v>4.6805310520233698</v>
      </c>
      <c r="X1911" s="12">
        <v>41.472365206270183</v>
      </c>
      <c r="Y1911" s="12">
        <v>2600</v>
      </c>
      <c r="Z1911" s="12">
        <v>7.5</v>
      </c>
      <c r="AA1911" s="12" t="s">
        <v>1268</v>
      </c>
      <c r="AB1911" s="12"/>
    </row>
    <row r="1912" spans="1:28" x14ac:dyDescent="0.3">
      <c r="A1912" s="12" t="s">
        <v>3824</v>
      </c>
      <c r="B1912" s="12" t="s">
        <v>170</v>
      </c>
      <c r="C1912" s="12" t="s">
        <v>439</v>
      </c>
      <c r="D1912" s="12" t="s">
        <v>724</v>
      </c>
      <c r="E1912" s="12" t="s">
        <v>2978</v>
      </c>
      <c r="F1912" s="12" t="s">
        <v>1861</v>
      </c>
      <c r="G1912" s="12" t="s">
        <v>1861</v>
      </c>
      <c r="H1912" s="12" t="b">
        <v>1</v>
      </c>
      <c r="I1912" s="12" t="b">
        <v>0</v>
      </c>
      <c r="J1912" s="12" t="b">
        <v>0</v>
      </c>
      <c r="K1912" s="12" t="b">
        <v>0</v>
      </c>
      <c r="L1912" s="12">
        <v>455.52707300844918</v>
      </c>
      <c r="M1912" s="12">
        <v>296.08729786898698</v>
      </c>
      <c r="N1912" s="12">
        <v>3000</v>
      </c>
      <c r="O1912" s="12">
        <v>400</v>
      </c>
      <c r="P1912" s="12">
        <v>0.57771127221448138</v>
      </c>
      <c r="Q1912" s="12">
        <v>0.68701571159473462</v>
      </c>
      <c r="R1912" s="12">
        <v>0.75506914430181737</v>
      </c>
      <c r="S1912" s="12">
        <v>0.41859067177029358</v>
      </c>
      <c r="T1912" s="12">
        <v>0.41469472097550869</v>
      </c>
      <c r="U1912" s="12">
        <v>0.9351120758519712</v>
      </c>
      <c r="V1912" s="12">
        <v>296.08729786898698</v>
      </c>
      <c r="W1912" s="12">
        <v>9.04618108440458</v>
      </c>
      <c r="X1912" s="12">
        <v>63.560088544743252</v>
      </c>
      <c r="Y1912" s="12">
        <v>2600</v>
      </c>
      <c r="Z1912" s="12">
        <v>7.5</v>
      </c>
      <c r="AA1912" s="12" t="s">
        <v>1268</v>
      </c>
      <c r="AB1912" s="12"/>
    </row>
    <row r="1913" spans="1:28" x14ac:dyDescent="0.3">
      <c r="A1913" s="12" t="s">
        <v>3825</v>
      </c>
      <c r="B1913" s="12" t="s">
        <v>170</v>
      </c>
      <c r="C1913" s="12" t="s">
        <v>439</v>
      </c>
      <c r="D1913" s="12" t="s">
        <v>724</v>
      </c>
      <c r="E1913" s="12" t="s">
        <v>2978</v>
      </c>
      <c r="F1913" s="12" t="s">
        <v>1861</v>
      </c>
      <c r="G1913" s="12" t="s">
        <v>1861</v>
      </c>
      <c r="H1913" s="12" t="b">
        <v>1</v>
      </c>
      <c r="I1913" s="12" t="b">
        <v>0</v>
      </c>
      <c r="J1913" s="12" t="b">
        <v>1</v>
      </c>
      <c r="K1913" s="12" t="b">
        <v>0</v>
      </c>
      <c r="L1913" s="12">
        <v>460.4262103026266</v>
      </c>
      <c r="M1913" s="12">
        <v>279.80383957112662</v>
      </c>
      <c r="N1913" s="12">
        <v>3000</v>
      </c>
      <c r="O1913" s="12">
        <v>400</v>
      </c>
      <c r="P1913" s="12">
        <v>0.65366879032247815</v>
      </c>
      <c r="Q1913" s="12">
        <v>0.7681221728026375</v>
      </c>
      <c r="R1913" s="12">
        <v>0.60661670159998526</v>
      </c>
      <c r="S1913" s="12">
        <v>0.88893463653040827</v>
      </c>
      <c r="T1913" s="12">
        <v>0.53979237645231626</v>
      </c>
      <c r="U1913" s="12">
        <v>0.79724725151310505</v>
      </c>
      <c r="V1913" s="12">
        <v>279.80383957112662</v>
      </c>
      <c r="W1913" s="12">
        <v>11.362502123160869</v>
      </c>
      <c r="X1913" s="12">
        <v>178.4413067336734</v>
      </c>
      <c r="Y1913" s="12">
        <v>2600</v>
      </c>
      <c r="Z1913" s="12">
        <v>7.5</v>
      </c>
      <c r="AA1913" s="12" t="s">
        <v>1268</v>
      </c>
      <c r="AB1913" s="12"/>
    </row>
    <row r="1914" spans="1:28" x14ac:dyDescent="0.3">
      <c r="A1914" s="12" t="s">
        <v>3826</v>
      </c>
      <c r="B1914" s="12" t="s">
        <v>170</v>
      </c>
      <c r="C1914" s="12" t="s">
        <v>439</v>
      </c>
      <c r="D1914" s="12" t="s">
        <v>724</v>
      </c>
      <c r="E1914" s="12" t="s">
        <v>2978</v>
      </c>
      <c r="F1914" s="12" t="s">
        <v>1861</v>
      </c>
      <c r="G1914" s="12" t="s">
        <v>1861</v>
      </c>
      <c r="H1914" s="12" t="b">
        <v>1</v>
      </c>
      <c r="I1914" s="12" t="b">
        <v>0</v>
      </c>
      <c r="J1914" s="12" t="b">
        <v>0</v>
      </c>
      <c r="K1914" s="12" t="b">
        <v>0</v>
      </c>
      <c r="L1914" s="12">
        <v>448.82503694376612</v>
      </c>
      <c r="M1914" s="12">
        <v>293.21705146810268</v>
      </c>
      <c r="N1914" s="12">
        <v>3000</v>
      </c>
      <c r="O1914" s="12">
        <v>400</v>
      </c>
      <c r="P1914" s="12">
        <v>0.55562745753183951</v>
      </c>
      <c r="Q1914" s="12">
        <v>0.4482632857411632</v>
      </c>
      <c r="R1914" s="12">
        <v>0.89802966991919675</v>
      </c>
      <c r="S1914" s="12">
        <v>0.50642909826561611</v>
      </c>
      <c r="T1914" s="12">
        <v>0.89489998878323229</v>
      </c>
      <c r="U1914" s="12">
        <v>0.70180621063578519</v>
      </c>
      <c r="V1914" s="12">
        <v>293.21705146810268</v>
      </c>
      <c r="W1914" s="12">
        <v>5.6375335685068899</v>
      </c>
      <c r="X1914" s="12">
        <v>34.468417327513919</v>
      </c>
      <c r="Y1914" s="12">
        <v>2600</v>
      </c>
      <c r="Z1914" s="12">
        <v>7.5</v>
      </c>
      <c r="AA1914" s="12" t="s">
        <v>1268</v>
      </c>
      <c r="AB1914" s="12"/>
    </row>
    <row r="1915" spans="1:28" x14ac:dyDescent="0.3">
      <c r="A1915" s="12" t="s">
        <v>3827</v>
      </c>
      <c r="B1915" s="12" t="s">
        <v>170</v>
      </c>
      <c r="C1915" s="12" t="s">
        <v>439</v>
      </c>
      <c r="D1915" s="12" t="s">
        <v>724</v>
      </c>
      <c r="E1915" s="12" t="s">
        <v>2978</v>
      </c>
      <c r="F1915" s="12" t="s">
        <v>832</v>
      </c>
      <c r="G1915" s="12" t="s">
        <v>832</v>
      </c>
      <c r="H1915" s="12" t="b">
        <v>0</v>
      </c>
      <c r="I1915" s="12" t="b">
        <v>0</v>
      </c>
      <c r="J1915" s="12" t="b">
        <v>0</v>
      </c>
      <c r="K1915" s="12" t="b">
        <v>0</v>
      </c>
      <c r="L1915" s="12">
        <v>573.96772965513355</v>
      </c>
      <c r="M1915" s="12">
        <v>287.54941732190957</v>
      </c>
      <c r="N1915" s="12">
        <v>3000</v>
      </c>
      <c r="O1915" s="12">
        <v>400</v>
      </c>
      <c r="P1915" s="12">
        <v>0.84731540281172935</v>
      </c>
      <c r="Q1915" s="12">
        <v>0.70824709925233198</v>
      </c>
      <c r="R1915" s="12">
        <v>0.43844612027857238</v>
      </c>
      <c r="S1915" s="12">
        <v>0.63964405326932972</v>
      </c>
      <c r="T1915" s="12">
        <v>0.82699040897209808</v>
      </c>
      <c r="U1915" s="12">
        <v>0.4177815647847824</v>
      </c>
      <c r="V1915" s="12">
        <v>287.54941732190957</v>
      </c>
      <c r="W1915" s="12"/>
      <c r="X1915" s="12"/>
      <c r="Y1915" s="12">
        <v>2600</v>
      </c>
      <c r="Z1915" s="12">
        <v>7.5</v>
      </c>
      <c r="AA1915" s="12"/>
      <c r="AB1915" s="12"/>
    </row>
    <row r="1916" spans="1:28" x14ac:dyDescent="0.3">
      <c r="A1916" s="12" t="s">
        <v>3828</v>
      </c>
      <c r="B1916" s="12" t="s">
        <v>170</v>
      </c>
      <c r="C1916" s="12" t="s">
        <v>439</v>
      </c>
      <c r="D1916" s="12" t="s">
        <v>724</v>
      </c>
      <c r="E1916" s="12" t="s">
        <v>2978</v>
      </c>
      <c r="F1916" s="12" t="s">
        <v>1862</v>
      </c>
      <c r="G1916" s="12" t="s">
        <v>1862</v>
      </c>
      <c r="H1916" s="12" t="b">
        <v>1</v>
      </c>
      <c r="I1916" s="12" t="b">
        <v>0</v>
      </c>
      <c r="J1916" s="12" t="b">
        <v>1</v>
      </c>
      <c r="K1916" s="12" t="b">
        <v>0</v>
      </c>
      <c r="L1916" s="12">
        <v>446.00155831467731</v>
      </c>
      <c r="M1916" s="12">
        <v>301.73910008058817</v>
      </c>
      <c r="N1916" s="12">
        <v>3000</v>
      </c>
      <c r="O1916" s="12">
        <v>400</v>
      </c>
      <c r="P1916" s="12">
        <v>0.67672397783718652</v>
      </c>
      <c r="Q1916" s="12">
        <v>0.55941028041469387</v>
      </c>
      <c r="R1916" s="12">
        <v>0.42566991281457278</v>
      </c>
      <c r="S1916" s="12">
        <v>0.52724204263717045</v>
      </c>
      <c r="T1916" s="12">
        <v>0.49481036751467877</v>
      </c>
      <c r="U1916" s="12">
        <v>0.43814407672426409</v>
      </c>
      <c r="V1916" s="12">
        <v>301.73910008058817</v>
      </c>
      <c r="W1916" s="12">
        <v>-264.46153439668967</v>
      </c>
      <c r="X1916" s="12">
        <v>-348.771300177277</v>
      </c>
      <c r="Y1916" s="12">
        <v>2600</v>
      </c>
      <c r="Z1916" s="12">
        <v>7.5</v>
      </c>
      <c r="AA1916" s="12" t="s">
        <v>2513</v>
      </c>
      <c r="AB1916" s="12"/>
    </row>
    <row r="1917" spans="1:28" x14ac:dyDescent="0.3">
      <c r="A1917" s="12" t="s">
        <v>3829</v>
      </c>
      <c r="B1917" s="12" t="s">
        <v>170</v>
      </c>
      <c r="C1917" s="12" t="s">
        <v>439</v>
      </c>
      <c r="D1917" s="12" t="s">
        <v>724</v>
      </c>
      <c r="E1917" s="12" t="s">
        <v>2978</v>
      </c>
      <c r="F1917" s="12" t="s">
        <v>1861</v>
      </c>
      <c r="G1917" s="12" t="s">
        <v>1861</v>
      </c>
      <c r="H1917" s="12" t="b">
        <v>1</v>
      </c>
      <c r="I1917" s="12" t="b">
        <v>0</v>
      </c>
      <c r="J1917" s="12" t="b">
        <v>1</v>
      </c>
      <c r="K1917" s="12" t="b">
        <v>0</v>
      </c>
      <c r="L1917" s="12">
        <v>616.85286317373436</v>
      </c>
      <c r="M1917" s="12">
        <v>280.69208430083808</v>
      </c>
      <c r="N1917" s="12">
        <v>3000</v>
      </c>
      <c r="O1917" s="12">
        <v>400</v>
      </c>
      <c r="P1917" s="12">
        <v>0.52574446344160852</v>
      </c>
      <c r="Q1917" s="12">
        <v>0.72405449316170489</v>
      </c>
      <c r="R1917" s="12">
        <v>0.53617776236827841</v>
      </c>
      <c r="S1917" s="12">
        <v>0.68243086530255859</v>
      </c>
      <c r="T1917" s="12">
        <v>0.94660198385652117</v>
      </c>
      <c r="U1917" s="12">
        <v>0.71322396242592545</v>
      </c>
      <c r="V1917" s="12">
        <v>280.69208430083808</v>
      </c>
      <c r="W1917" s="12">
        <v>8.0373434833590096</v>
      </c>
      <c r="X1917" s="12">
        <v>115.31909562047321</v>
      </c>
      <c r="Y1917" s="12">
        <v>2600</v>
      </c>
      <c r="Z1917" s="12">
        <v>7.5</v>
      </c>
      <c r="AA1917" s="12" t="s">
        <v>1268</v>
      </c>
      <c r="AB1917" s="12"/>
    </row>
    <row r="1918" spans="1:28" x14ac:dyDescent="0.3">
      <c r="A1918" s="12" t="s">
        <v>3830</v>
      </c>
      <c r="B1918" s="12" t="s">
        <v>170</v>
      </c>
      <c r="C1918" s="12" t="s">
        <v>439</v>
      </c>
      <c r="D1918" s="12" t="s">
        <v>724</v>
      </c>
      <c r="E1918" s="12" t="s">
        <v>2978</v>
      </c>
      <c r="F1918" s="12" t="s">
        <v>1861</v>
      </c>
      <c r="G1918" s="12" t="s">
        <v>1861</v>
      </c>
      <c r="H1918" s="12" t="b">
        <v>1</v>
      </c>
      <c r="I1918" s="12" t="b">
        <v>0</v>
      </c>
      <c r="J1918" s="12" t="b">
        <v>1</v>
      </c>
      <c r="K1918" s="12" t="b">
        <v>0</v>
      </c>
      <c r="L1918" s="12">
        <v>588.24921431409507</v>
      </c>
      <c r="M1918" s="12">
        <v>285.93020232023059</v>
      </c>
      <c r="N1918" s="12">
        <v>3000</v>
      </c>
      <c r="O1918" s="12">
        <v>400</v>
      </c>
      <c r="P1918" s="12">
        <v>0.51700136879026615</v>
      </c>
      <c r="Q1918" s="12">
        <v>0.82750502282423888</v>
      </c>
      <c r="R1918" s="12">
        <v>0.4095762389591851</v>
      </c>
      <c r="S1918" s="12">
        <v>0.84845647569793403</v>
      </c>
      <c r="T1918" s="12">
        <v>0.85216942533839668</v>
      </c>
      <c r="U1918" s="12">
        <v>0.81813182560715214</v>
      </c>
      <c r="V1918" s="12">
        <v>285.93020232023059</v>
      </c>
      <c r="W1918" s="12">
        <v>11.54094047699871</v>
      </c>
      <c r="X1918" s="12">
        <v>219.95449787768561</v>
      </c>
      <c r="Y1918" s="12">
        <v>2600</v>
      </c>
      <c r="Z1918" s="12">
        <v>7.5</v>
      </c>
      <c r="AA1918" s="12" t="s">
        <v>1268</v>
      </c>
      <c r="AB1918" s="12"/>
    </row>
    <row r="1919" spans="1:28" x14ac:dyDescent="0.3">
      <c r="A1919" s="12" t="s">
        <v>3831</v>
      </c>
      <c r="B1919" s="12" t="s">
        <v>170</v>
      </c>
      <c r="C1919" s="12" t="s">
        <v>439</v>
      </c>
      <c r="D1919" s="12" t="s">
        <v>724</v>
      </c>
      <c r="E1919" s="12" t="s">
        <v>2978</v>
      </c>
      <c r="F1919" s="12" t="s">
        <v>1861</v>
      </c>
      <c r="G1919" s="12" t="s">
        <v>1861</v>
      </c>
      <c r="H1919" s="12" t="b">
        <v>1</v>
      </c>
      <c r="I1919" s="12" t="b">
        <v>0</v>
      </c>
      <c r="J1919" s="12" t="b">
        <v>1</v>
      </c>
      <c r="K1919" s="12" t="b">
        <v>0</v>
      </c>
      <c r="L1919" s="12">
        <v>536.71622129793479</v>
      </c>
      <c r="M1919" s="12">
        <v>295.12523532955328</v>
      </c>
      <c r="N1919" s="12">
        <v>3000</v>
      </c>
      <c r="O1919" s="12">
        <v>400</v>
      </c>
      <c r="P1919" s="12">
        <v>0.61728733693420779</v>
      </c>
      <c r="Q1919" s="12">
        <v>0.45306104963163429</v>
      </c>
      <c r="R1919" s="12">
        <v>0.64239671843607549</v>
      </c>
      <c r="S1919" s="12">
        <v>0.64995469564741937</v>
      </c>
      <c r="T1919" s="12">
        <v>0.48991614946518841</v>
      </c>
      <c r="U1919" s="12">
        <v>0.77863360210470001</v>
      </c>
      <c r="V1919" s="12">
        <v>295.12523532955328</v>
      </c>
      <c r="W1919" s="12">
        <v>0.80884617597599007</v>
      </c>
      <c r="X1919" s="12">
        <v>9.3373384572026037</v>
      </c>
      <c r="Y1919" s="12">
        <v>2600</v>
      </c>
      <c r="Z1919" s="12">
        <v>7.5</v>
      </c>
      <c r="AA1919" s="12" t="s">
        <v>1268</v>
      </c>
      <c r="AB1919" s="12"/>
    </row>
    <row r="1920" spans="1:28" x14ac:dyDescent="0.3">
      <c r="A1920" s="12" t="s">
        <v>3832</v>
      </c>
      <c r="B1920" s="12" t="s">
        <v>170</v>
      </c>
      <c r="C1920" s="12" t="s">
        <v>439</v>
      </c>
      <c r="D1920" s="12" t="s">
        <v>724</v>
      </c>
      <c r="E1920" s="12" t="s">
        <v>2978</v>
      </c>
      <c r="F1920" s="12" t="s">
        <v>832</v>
      </c>
      <c r="G1920" s="12" t="s">
        <v>832</v>
      </c>
      <c r="H1920" s="12" t="b">
        <v>0</v>
      </c>
      <c r="I1920" s="12" t="b">
        <v>0</v>
      </c>
      <c r="J1920" s="12" t="b">
        <v>0</v>
      </c>
      <c r="K1920" s="12" t="b">
        <v>0</v>
      </c>
      <c r="L1920" s="12">
        <v>546.28619767822738</v>
      </c>
      <c r="M1920" s="12">
        <v>288.74324640276711</v>
      </c>
      <c r="N1920" s="12">
        <v>3000</v>
      </c>
      <c r="O1920" s="12">
        <v>400</v>
      </c>
      <c r="P1920" s="12">
        <v>0.53122961637732824</v>
      </c>
      <c r="Q1920" s="12">
        <v>0.85900904601327233</v>
      </c>
      <c r="R1920" s="12">
        <v>0.65794126929808683</v>
      </c>
      <c r="S1920" s="12">
        <v>0.92321479954292363</v>
      </c>
      <c r="T1920" s="12">
        <v>0.43504805196442808</v>
      </c>
      <c r="U1920" s="12">
        <v>0.68910670126558293</v>
      </c>
      <c r="V1920" s="12">
        <v>288.74324640276711</v>
      </c>
      <c r="W1920" s="12"/>
      <c r="X1920" s="12"/>
      <c r="Y1920" s="12">
        <v>2600</v>
      </c>
      <c r="Z1920" s="12">
        <v>7.5</v>
      </c>
      <c r="AA1920" s="12"/>
      <c r="AB1920" s="12"/>
    </row>
    <row r="1921" spans="1:28" x14ac:dyDescent="0.3">
      <c r="A1921" s="12" t="s">
        <v>3833</v>
      </c>
      <c r="B1921" s="12" t="s">
        <v>170</v>
      </c>
      <c r="C1921" s="12" t="s">
        <v>439</v>
      </c>
      <c r="D1921" s="12" t="s">
        <v>724</v>
      </c>
      <c r="E1921" s="12" t="s">
        <v>2978</v>
      </c>
      <c r="F1921" s="12" t="s">
        <v>1862</v>
      </c>
      <c r="G1921" s="12" t="s">
        <v>1862</v>
      </c>
      <c r="H1921" s="12" t="b">
        <v>1</v>
      </c>
      <c r="I1921" s="12" t="b">
        <v>0</v>
      </c>
      <c r="J1921" s="12" t="b">
        <v>1</v>
      </c>
      <c r="K1921" s="12" t="b">
        <v>0</v>
      </c>
      <c r="L1921" s="12">
        <v>614.60725298957937</v>
      </c>
      <c r="M1921" s="12">
        <v>290.41092327428532</v>
      </c>
      <c r="N1921" s="12">
        <v>3000</v>
      </c>
      <c r="O1921" s="12">
        <v>400</v>
      </c>
      <c r="P1921" s="12">
        <v>0.74725892163653573</v>
      </c>
      <c r="Q1921" s="12">
        <v>0.57783119339666111</v>
      </c>
      <c r="R1921" s="12">
        <v>0.49973813667591921</v>
      </c>
      <c r="S1921" s="12">
        <v>0.45441222694309391</v>
      </c>
      <c r="T1921" s="12">
        <v>0.75285932690128332</v>
      </c>
      <c r="U1921" s="12">
        <v>0.81622021408755363</v>
      </c>
      <c r="V1921" s="12">
        <v>290.41092327428532</v>
      </c>
      <c r="W1921" s="12">
        <v>-13.35937612822395</v>
      </c>
      <c r="X1921" s="12">
        <v>-92.553099364806286</v>
      </c>
      <c r="Y1921" s="12">
        <v>2600</v>
      </c>
      <c r="Z1921" s="12">
        <v>7.5</v>
      </c>
      <c r="AA1921" s="12" t="s">
        <v>2513</v>
      </c>
      <c r="AB1921" s="12"/>
    </row>
    <row r="1922" spans="1:28" x14ac:dyDescent="0.3">
      <c r="A1922" s="12" t="s">
        <v>3834</v>
      </c>
      <c r="B1922" s="12" t="s">
        <v>170</v>
      </c>
      <c r="C1922" s="12" t="s">
        <v>439</v>
      </c>
      <c r="D1922" s="12" t="s">
        <v>724</v>
      </c>
      <c r="E1922" s="12" t="s">
        <v>2978</v>
      </c>
      <c r="F1922" s="12" t="s">
        <v>1861</v>
      </c>
      <c r="G1922" s="12" t="s">
        <v>1861</v>
      </c>
      <c r="H1922" s="12" t="b">
        <v>1</v>
      </c>
      <c r="I1922" s="12" t="b">
        <v>0</v>
      </c>
      <c r="J1922" s="12" t="b">
        <v>0</v>
      </c>
      <c r="K1922" s="12" t="b">
        <v>0</v>
      </c>
      <c r="L1922" s="12">
        <v>534.0815165655772</v>
      </c>
      <c r="M1922" s="12">
        <v>284.69107412807239</v>
      </c>
      <c r="N1922" s="12">
        <v>3000</v>
      </c>
      <c r="O1922" s="12">
        <v>400</v>
      </c>
      <c r="P1922" s="12">
        <v>0.72307400465155336</v>
      </c>
      <c r="Q1922" s="12">
        <v>0.7362059681802976</v>
      </c>
      <c r="R1922" s="12">
        <v>0.91401155407000623</v>
      </c>
      <c r="S1922" s="12">
        <v>0.47796776836262528</v>
      </c>
      <c r="T1922" s="12">
        <v>0.41059272680862757</v>
      </c>
      <c r="U1922" s="12">
        <v>0.72944795210936575</v>
      </c>
      <c r="V1922" s="12">
        <v>284.69107412807239</v>
      </c>
      <c r="W1922" s="12">
        <v>9.6611794406912512</v>
      </c>
      <c r="X1922" s="12">
        <v>79.240439676056212</v>
      </c>
      <c r="Y1922" s="12">
        <v>2600</v>
      </c>
      <c r="Z1922" s="12">
        <v>7.5</v>
      </c>
      <c r="AA1922" s="12" t="s">
        <v>1268</v>
      </c>
      <c r="AB1922" s="12"/>
    </row>
    <row r="1923" spans="1:28" x14ac:dyDescent="0.3">
      <c r="A1923" s="12" t="s">
        <v>3835</v>
      </c>
      <c r="B1923" s="12" t="s">
        <v>170</v>
      </c>
      <c r="C1923" s="12" t="s">
        <v>439</v>
      </c>
      <c r="D1923" s="12" t="s">
        <v>724</v>
      </c>
      <c r="E1923" s="12" t="s">
        <v>2978</v>
      </c>
      <c r="F1923" s="12" t="s">
        <v>1861</v>
      </c>
      <c r="G1923" s="12" t="s">
        <v>1861</v>
      </c>
      <c r="H1923" s="12" t="b">
        <v>1</v>
      </c>
      <c r="I1923" s="12" t="b">
        <v>0</v>
      </c>
      <c r="J1923" s="12" t="b">
        <v>1</v>
      </c>
      <c r="K1923" s="12" t="b">
        <v>0</v>
      </c>
      <c r="L1923" s="12">
        <v>559.72628479505659</v>
      </c>
      <c r="M1923" s="12">
        <v>283.9114073758596</v>
      </c>
      <c r="N1923" s="12">
        <v>3000</v>
      </c>
      <c r="O1923" s="12">
        <v>400</v>
      </c>
      <c r="P1923" s="12">
        <v>0.68326533007453949</v>
      </c>
      <c r="Q1923" s="12">
        <v>0.64173597441094288</v>
      </c>
      <c r="R1923" s="12">
        <v>0.63140850254343772</v>
      </c>
      <c r="S1923" s="12">
        <v>0.59644015790742633</v>
      </c>
      <c r="T1923" s="12">
        <v>0.8415536631290722</v>
      </c>
      <c r="U1923" s="12">
        <v>0.7089066144148638</v>
      </c>
      <c r="V1923" s="12">
        <v>283.9114073758596</v>
      </c>
      <c r="W1923" s="12">
        <v>6.5127967678766092</v>
      </c>
      <c r="X1923" s="12">
        <v>71.225972045158528</v>
      </c>
      <c r="Y1923" s="12">
        <v>2600</v>
      </c>
      <c r="Z1923" s="12">
        <v>7.5</v>
      </c>
      <c r="AA1923" s="12" t="s">
        <v>1268</v>
      </c>
      <c r="AB1923" s="12"/>
    </row>
    <row r="1924" spans="1:28" x14ac:dyDescent="0.3">
      <c r="A1924" s="12" t="s">
        <v>3836</v>
      </c>
      <c r="B1924" s="12" t="s">
        <v>170</v>
      </c>
      <c r="C1924" s="12" t="s">
        <v>439</v>
      </c>
      <c r="D1924" s="12" t="s">
        <v>724</v>
      </c>
      <c r="E1924" s="12" t="s">
        <v>2978</v>
      </c>
      <c r="F1924" s="12" t="s">
        <v>832</v>
      </c>
      <c r="G1924" s="12" t="s">
        <v>832</v>
      </c>
      <c r="H1924" s="12" t="b">
        <v>0</v>
      </c>
      <c r="I1924" s="12" t="b">
        <v>0</v>
      </c>
      <c r="J1924" s="12" t="b">
        <v>0</v>
      </c>
      <c r="K1924" s="12" t="b">
        <v>0</v>
      </c>
      <c r="L1924" s="12">
        <v>417.55521469908621</v>
      </c>
      <c r="M1924" s="12">
        <v>298.74079768129508</v>
      </c>
      <c r="N1924" s="12">
        <v>3000</v>
      </c>
      <c r="O1924" s="12">
        <v>400</v>
      </c>
      <c r="P1924" s="12">
        <v>0.73721678895579934</v>
      </c>
      <c r="Q1924" s="12">
        <v>0.4438036657316855</v>
      </c>
      <c r="R1924" s="12">
        <v>0.49058530816119061</v>
      </c>
      <c r="S1924" s="12">
        <v>0.52884794618681019</v>
      </c>
      <c r="T1924" s="12">
        <v>0.58862680672240886</v>
      </c>
      <c r="U1924" s="12">
        <v>0.42970132821990298</v>
      </c>
      <c r="V1924" s="12">
        <v>298.74079768129508</v>
      </c>
      <c r="W1924" s="12"/>
      <c r="X1924" s="12"/>
      <c r="Y1924" s="12">
        <v>2600</v>
      </c>
      <c r="Z1924" s="12">
        <v>7.5</v>
      </c>
      <c r="AA1924" s="12"/>
      <c r="AB1924" s="12"/>
    </row>
    <row r="1925" spans="1:28" x14ac:dyDescent="0.3">
      <c r="A1925" s="12" t="s">
        <v>3837</v>
      </c>
      <c r="B1925" s="12" t="s">
        <v>170</v>
      </c>
      <c r="C1925" s="12" t="s">
        <v>439</v>
      </c>
      <c r="D1925" s="12" t="s">
        <v>724</v>
      </c>
      <c r="E1925" s="12" t="s">
        <v>2978</v>
      </c>
      <c r="F1925" s="12" t="s">
        <v>1861</v>
      </c>
      <c r="G1925" s="12" t="s">
        <v>1861</v>
      </c>
      <c r="H1925" s="12" t="b">
        <v>1</v>
      </c>
      <c r="I1925" s="12" t="b">
        <v>0</v>
      </c>
      <c r="J1925" s="12" t="b">
        <v>1</v>
      </c>
      <c r="K1925" s="12" t="b">
        <v>0</v>
      </c>
      <c r="L1925" s="12">
        <v>490.29665978829178</v>
      </c>
      <c r="M1925" s="12">
        <v>287.71041786050978</v>
      </c>
      <c r="N1925" s="12">
        <v>3000</v>
      </c>
      <c r="O1925" s="12">
        <v>400</v>
      </c>
      <c r="P1925" s="12">
        <v>0.68811154390764706</v>
      </c>
      <c r="Q1925" s="12">
        <v>0.82584189173987399</v>
      </c>
      <c r="R1925" s="12">
        <v>0.85504115412381976</v>
      </c>
      <c r="S1925" s="12">
        <v>0.46246652563234042</v>
      </c>
      <c r="T1925" s="12">
        <v>0.53197073565037822</v>
      </c>
      <c r="U1925" s="12">
        <v>0.482092233996396</v>
      </c>
      <c r="V1925" s="12">
        <v>287.71041786050978</v>
      </c>
      <c r="W1925" s="12">
        <v>5.8754091763553804</v>
      </c>
      <c r="X1925" s="12">
        <v>34.148945574465387</v>
      </c>
      <c r="Y1925" s="12">
        <v>2600</v>
      </c>
      <c r="Z1925" s="12">
        <v>7.5</v>
      </c>
      <c r="AA1925" s="12" t="s">
        <v>1268</v>
      </c>
      <c r="AB1925" s="12"/>
    </row>
    <row r="1926" spans="1:28" x14ac:dyDescent="0.3">
      <c r="A1926" s="12" t="s">
        <v>3838</v>
      </c>
      <c r="B1926" s="12" t="s">
        <v>170</v>
      </c>
      <c r="C1926" s="12" t="s">
        <v>439</v>
      </c>
      <c r="D1926" s="12" t="s">
        <v>724</v>
      </c>
      <c r="E1926" s="12" t="s">
        <v>2978</v>
      </c>
      <c r="F1926" s="12" t="s">
        <v>1862</v>
      </c>
      <c r="G1926" s="12" t="s">
        <v>1862</v>
      </c>
      <c r="H1926" s="12" t="b">
        <v>1</v>
      </c>
      <c r="I1926" s="12" t="b">
        <v>0</v>
      </c>
      <c r="J1926" s="12" t="b">
        <v>0</v>
      </c>
      <c r="K1926" s="12" t="b">
        <v>0</v>
      </c>
      <c r="L1926" s="12">
        <v>382.34577497964148</v>
      </c>
      <c r="M1926" s="12">
        <v>301.17432869960493</v>
      </c>
      <c r="N1926" s="12">
        <v>3000</v>
      </c>
      <c r="O1926" s="12">
        <v>400</v>
      </c>
      <c r="P1926" s="12">
        <v>0.65060233282285573</v>
      </c>
      <c r="Q1926" s="12">
        <v>0.50011320951671101</v>
      </c>
      <c r="R1926" s="12">
        <v>0.68524423543966984</v>
      </c>
      <c r="S1926" s="12">
        <v>0.53745225917183392</v>
      </c>
      <c r="T1926" s="12">
        <v>0.41935907791731108</v>
      </c>
      <c r="U1926" s="12">
        <v>0.44358473841368617</v>
      </c>
      <c r="V1926" s="12">
        <v>301.17432869960493</v>
      </c>
      <c r="W1926" s="12">
        <v>-399.19999856229578</v>
      </c>
      <c r="X1926" s="12">
        <v>-101.3020839369271</v>
      </c>
      <c r="Y1926" s="12">
        <v>2600</v>
      </c>
      <c r="Z1926" s="12">
        <v>7.5</v>
      </c>
      <c r="AA1926" s="12" t="s">
        <v>2513</v>
      </c>
      <c r="AB1926" s="12"/>
    </row>
    <row r="1927" spans="1:28" x14ac:dyDescent="0.3">
      <c r="A1927" s="12" t="s">
        <v>3839</v>
      </c>
      <c r="B1927" s="12" t="s">
        <v>170</v>
      </c>
      <c r="C1927" s="12" t="s">
        <v>439</v>
      </c>
      <c r="D1927" s="12" t="s">
        <v>724</v>
      </c>
      <c r="E1927" s="12" t="s">
        <v>2978</v>
      </c>
      <c r="F1927" s="12" t="s">
        <v>1861</v>
      </c>
      <c r="G1927" s="12" t="s">
        <v>1861</v>
      </c>
      <c r="H1927" s="12" t="b">
        <v>1</v>
      </c>
      <c r="I1927" s="12" t="b">
        <v>0</v>
      </c>
      <c r="J1927" s="12" t="b">
        <v>1</v>
      </c>
      <c r="K1927" s="12" t="b">
        <v>0</v>
      </c>
      <c r="L1927" s="12">
        <v>458.05889656030593</v>
      </c>
      <c r="M1927" s="12">
        <v>285.70903821382097</v>
      </c>
      <c r="N1927" s="12">
        <v>3000</v>
      </c>
      <c r="O1927" s="12">
        <v>400</v>
      </c>
      <c r="P1927" s="12">
        <v>0.6574687939591497</v>
      </c>
      <c r="Q1927" s="12">
        <v>0.70699346525563855</v>
      </c>
      <c r="R1927" s="12">
        <v>0.40632083311380401</v>
      </c>
      <c r="S1927" s="12">
        <v>0.78150539502580152</v>
      </c>
      <c r="T1927" s="12">
        <v>0.63768006220999496</v>
      </c>
      <c r="U1927" s="12">
        <v>0.8815891332302126</v>
      </c>
      <c r="V1927" s="12">
        <v>285.70903821382097</v>
      </c>
      <c r="W1927" s="12">
        <v>10.788023243451571</v>
      </c>
      <c r="X1927" s="12">
        <v>158.97883984246161</v>
      </c>
      <c r="Y1927" s="12">
        <v>2600</v>
      </c>
      <c r="Z1927" s="12">
        <v>7.5</v>
      </c>
      <c r="AA1927" s="12" t="s">
        <v>1268</v>
      </c>
      <c r="AB1927" s="12"/>
    </row>
    <row r="1928" spans="1:28" x14ac:dyDescent="0.3">
      <c r="A1928" s="12" t="s">
        <v>3840</v>
      </c>
      <c r="B1928" s="12" t="s">
        <v>170</v>
      </c>
      <c r="C1928" s="12" t="s">
        <v>439</v>
      </c>
      <c r="D1928" s="12" t="s">
        <v>724</v>
      </c>
      <c r="E1928" s="12" t="s">
        <v>2978</v>
      </c>
      <c r="F1928" s="12" t="s">
        <v>832</v>
      </c>
      <c r="G1928" s="12" t="s">
        <v>832</v>
      </c>
      <c r="H1928" s="12" t="b">
        <v>0</v>
      </c>
      <c r="I1928" s="12" t="b">
        <v>0</v>
      </c>
      <c r="J1928" s="12" t="b">
        <v>0</v>
      </c>
      <c r="K1928" s="12" t="b">
        <v>0</v>
      </c>
      <c r="L1928" s="12">
        <v>601.04909419520959</v>
      </c>
      <c r="M1928" s="12">
        <v>300.00350989164667</v>
      </c>
      <c r="N1928" s="12">
        <v>3000</v>
      </c>
      <c r="O1928" s="12">
        <v>400</v>
      </c>
      <c r="P1928" s="12">
        <v>0.60907026512657958</v>
      </c>
      <c r="Q1928" s="12">
        <v>0.91870412512031918</v>
      </c>
      <c r="R1928" s="12">
        <v>0.79839440879179868</v>
      </c>
      <c r="S1928" s="12">
        <v>0.87091787151206601</v>
      </c>
      <c r="T1928" s="12">
        <v>0.76281624379109836</v>
      </c>
      <c r="U1928" s="12">
        <v>0.52252972938513564</v>
      </c>
      <c r="V1928" s="12">
        <v>300.00350989164667</v>
      </c>
      <c r="W1928" s="12"/>
      <c r="X1928" s="12"/>
      <c r="Y1928" s="12">
        <v>2600</v>
      </c>
      <c r="Z1928" s="12">
        <v>7.5</v>
      </c>
      <c r="AA1928" s="12"/>
      <c r="AB1928" s="12"/>
    </row>
    <row r="1929" spans="1:28" x14ac:dyDescent="0.3">
      <c r="A1929" s="12" t="s">
        <v>3841</v>
      </c>
      <c r="B1929" s="12" t="s">
        <v>170</v>
      </c>
      <c r="C1929" s="12" t="s">
        <v>439</v>
      </c>
      <c r="D1929" s="12" t="s">
        <v>724</v>
      </c>
      <c r="E1929" s="12" t="s">
        <v>2978</v>
      </c>
      <c r="F1929" s="12" t="s">
        <v>832</v>
      </c>
      <c r="G1929" s="12" t="s">
        <v>832</v>
      </c>
      <c r="H1929" s="12" t="b">
        <v>0</v>
      </c>
      <c r="I1929" s="12" t="b">
        <v>0</v>
      </c>
      <c r="J1929" s="12" t="b">
        <v>0</v>
      </c>
      <c r="K1929" s="12" t="b">
        <v>0</v>
      </c>
      <c r="L1929" s="12">
        <v>429.92521065109088</v>
      </c>
      <c r="M1929" s="12">
        <v>288.46156623276579</v>
      </c>
      <c r="N1929" s="12">
        <v>3000</v>
      </c>
      <c r="O1929" s="12">
        <v>400</v>
      </c>
      <c r="P1929" s="12">
        <v>0.79682038104753961</v>
      </c>
      <c r="Q1929" s="12">
        <v>0.81345450540594599</v>
      </c>
      <c r="R1929" s="12">
        <v>0.76282410186689908</v>
      </c>
      <c r="S1929" s="12">
        <v>0.56047143663349608</v>
      </c>
      <c r="T1929" s="12">
        <v>0.71039447966461244</v>
      </c>
      <c r="U1929" s="12">
        <v>0.56223025885627176</v>
      </c>
      <c r="V1929" s="12">
        <v>288.46156623276579</v>
      </c>
      <c r="W1929" s="12"/>
      <c r="X1929" s="12"/>
      <c r="Y1929" s="12">
        <v>2600</v>
      </c>
      <c r="Z1929" s="12">
        <v>7.5</v>
      </c>
      <c r="AA1929" s="12"/>
      <c r="AB1929" s="12"/>
    </row>
    <row r="1930" spans="1:28" x14ac:dyDescent="0.3">
      <c r="A1930" s="12" t="s">
        <v>3842</v>
      </c>
      <c r="B1930" s="12" t="s">
        <v>170</v>
      </c>
      <c r="C1930" s="12" t="s">
        <v>439</v>
      </c>
      <c r="D1930" s="12" t="s">
        <v>724</v>
      </c>
      <c r="E1930" s="12" t="s">
        <v>2978</v>
      </c>
      <c r="F1930" s="12" t="s">
        <v>1861</v>
      </c>
      <c r="G1930" s="12" t="s">
        <v>1861</v>
      </c>
      <c r="H1930" s="12" t="b">
        <v>1</v>
      </c>
      <c r="I1930" s="12" t="b">
        <v>0</v>
      </c>
      <c r="J1930" s="12" t="b">
        <v>1</v>
      </c>
      <c r="K1930" s="12" t="b">
        <v>0</v>
      </c>
      <c r="L1930" s="12">
        <v>572.10966690996554</v>
      </c>
      <c r="M1930" s="12">
        <v>300.38179667561781</v>
      </c>
      <c r="N1930" s="12">
        <v>3000</v>
      </c>
      <c r="O1930" s="12">
        <v>400</v>
      </c>
      <c r="P1930" s="12">
        <v>0.68506311609969539</v>
      </c>
      <c r="Q1930" s="12">
        <v>0.90039452883711368</v>
      </c>
      <c r="R1930" s="12">
        <v>0.82958772520774848</v>
      </c>
      <c r="S1930" s="12">
        <v>0.45575152116910977</v>
      </c>
      <c r="T1930" s="12">
        <v>0.6394804216883192</v>
      </c>
      <c r="U1930" s="12">
        <v>0.62474334655536179</v>
      </c>
      <c r="V1930" s="12">
        <v>300.38179667561781</v>
      </c>
      <c r="W1930" s="12">
        <v>8.0686202584173685</v>
      </c>
      <c r="X1930" s="12">
        <v>50.218629524947033</v>
      </c>
      <c r="Y1930" s="12">
        <v>2600</v>
      </c>
      <c r="Z1930" s="12">
        <v>7.5</v>
      </c>
      <c r="AA1930" s="12" t="s">
        <v>1268</v>
      </c>
      <c r="AB1930" s="12"/>
    </row>
    <row r="1931" spans="1:28" x14ac:dyDescent="0.3">
      <c r="A1931" s="12" t="s">
        <v>3843</v>
      </c>
      <c r="B1931" s="12" t="s">
        <v>170</v>
      </c>
      <c r="C1931" s="12" t="s">
        <v>439</v>
      </c>
      <c r="D1931" s="12" t="s">
        <v>724</v>
      </c>
      <c r="E1931" s="12" t="s">
        <v>2978</v>
      </c>
      <c r="F1931" s="12" t="s">
        <v>1862</v>
      </c>
      <c r="G1931" s="12" t="s">
        <v>1862</v>
      </c>
      <c r="H1931" s="12" t="b">
        <v>1</v>
      </c>
      <c r="I1931" s="12" t="b">
        <v>0</v>
      </c>
      <c r="J1931" s="12" t="b">
        <v>1</v>
      </c>
      <c r="K1931" s="12" t="b">
        <v>0</v>
      </c>
      <c r="L1931" s="12">
        <v>561.0248394093602</v>
      </c>
      <c r="M1931" s="12">
        <v>286.32002046761608</v>
      </c>
      <c r="N1931" s="12">
        <v>3000</v>
      </c>
      <c r="O1931" s="12">
        <v>400</v>
      </c>
      <c r="P1931" s="12">
        <v>0.70773028296476859</v>
      </c>
      <c r="Q1931" s="12">
        <v>0.90813129225817679</v>
      </c>
      <c r="R1931" s="12">
        <v>0.55697578804407744</v>
      </c>
      <c r="S1931" s="12">
        <v>0.51623080033223501</v>
      </c>
      <c r="T1931" s="12">
        <v>0.87194832814871415</v>
      </c>
      <c r="U1931" s="12">
        <v>0.50261756468801588</v>
      </c>
      <c r="V1931" s="12">
        <v>286.32002046761608</v>
      </c>
      <c r="W1931" s="12">
        <v>-3.6691377704654302</v>
      </c>
      <c r="X1931" s="12">
        <v>-23.194349500062</v>
      </c>
      <c r="Y1931" s="12">
        <v>2600</v>
      </c>
      <c r="Z1931" s="12">
        <v>7.5</v>
      </c>
      <c r="AA1931" s="12" t="s">
        <v>2571</v>
      </c>
      <c r="AB1931" s="12"/>
    </row>
    <row r="1932" spans="1:28" x14ac:dyDescent="0.3">
      <c r="A1932" s="12" t="s">
        <v>3844</v>
      </c>
      <c r="B1932" s="12" t="s">
        <v>170</v>
      </c>
      <c r="C1932" s="12" t="s">
        <v>439</v>
      </c>
      <c r="D1932" s="12" t="s">
        <v>724</v>
      </c>
      <c r="E1932" s="12" t="s">
        <v>2978</v>
      </c>
      <c r="F1932" s="12" t="s">
        <v>1862</v>
      </c>
      <c r="G1932" s="12" t="s">
        <v>1862</v>
      </c>
      <c r="H1932" s="12" t="b">
        <v>1</v>
      </c>
      <c r="I1932" s="12" t="b">
        <v>0</v>
      </c>
      <c r="J1932" s="12" t="b">
        <v>0</v>
      </c>
      <c r="K1932" s="12" t="b">
        <v>0</v>
      </c>
      <c r="L1932" s="12">
        <v>388.99481467179089</v>
      </c>
      <c r="M1932" s="12">
        <v>283.64802717952841</v>
      </c>
      <c r="N1932" s="12">
        <v>3000</v>
      </c>
      <c r="O1932" s="12">
        <v>400</v>
      </c>
      <c r="P1932" s="12">
        <v>0.74791713574754926</v>
      </c>
      <c r="Q1932" s="12">
        <v>0.47524016161821248</v>
      </c>
      <c r="R1932" s="12">
        <v>0.50684269556104367</v>
      </c>
      <c r="S1932" s="12">
        <v>0.54099243415469467</v>
      </c>
      <c r="T1932" s="12">
        <v>0.40227834130164991</v>
      </c>
      <c r="U1932" s="12">
        <v>0.90794805867511796</v>
      </c>
      <c r="V1932" s="12">
        <v>283.64802717952841</v>
      </c>
      <c r="W1932" s="12">
        <v>-6.5095618840812097</v>
      </c>
      <c r="X1932" s="12">
        <v>-25.579744608460981</v>
      </c>
      <c r="Y1932" s="12">
        <v>2600</v>
      </c>
      <c r="Z1932" s="12">
        <v>7.5</v>
      </c>
      <c r="AA1932" s="12" t="s">
        <v>2513</v>
      </c>
      <c r="AB1932" s="12"/>
    </row>
    <row r="1933" spans="1:28" x14ac:dyDescent="0.3">
      <c r="A1933" s="12" t="s">
        <v>3845</v>
      </c>
      <c r="B1933" s="12" t="s">
        <v>170</v>
      </c>
      <c r="C1933" s="12" t="s">
        <v>439</v>
      </c>
      <c r="D1933" s="12" t="s">
        <v>724</v>
      </c>
      <c r="E1933" s="12" t="s">
        <v>2978</v>
      </c>
      <c r="F1933" s="12" t="s">
        <v>1861</v>
      </c>
      <c r="G1933" s="12" t="s">
        <v>1861</v>
      </c>
      <c r="H1933" s="12" t="b">
        <v>1</v>
      </c>
      <c r="I1933" s="12" t="b">
        <v>0</v>
      </c>
      <c r="J1933" s="12" t="b">
        <v>1</v>
      </c>
      <c r="K1933" s="12" t="b">
        <v>0</v>
      </c>
      <c r="L1933" s="12">
        <v>505.72674089419331</v>
      </c>
      <c r="M1933" s="12">
        <v>302.5852538189709</v>
      </c>
      <c r="N1933" s="12">
        <v>3000</v>
      </c>
      <c r="O1933" s="12">
        <v>400</v>
      </c>
      <c r="P1933" s="12">
        <v>0.64224646525905271</v>
      </c>
      <c r="Q1933" s="12">
        <v>0.74413354448287006</v>
      </c>
      <c r="R1933" s="12">
        <v>0.80606622678461237</v>
      </c>
      <c r="S1933" s="12">
        <v>0.69164518483024029</v>
      </c>
      <c r="T1933" s="12">
        <v>0.51515168433982228</v>
      </c>
      <c r="U1933" s="12">
        <v>0.72040182151991616</v>
      </c>
      <c r="V1933" s="12">
        <v>302.5852538189709</v>
      </c>
      <c r="W1933" s="12">
        <v>5.79155697361844</v>
      </c>
      <c r="X1933" s="12">
        <v>54.278499466701852</v>
      </c>
      <c r="Y1933" s="12">
        <v>2600</v>
      </c>
      <c r="Z1933" s="12">
        <v>7.5</v>
      </c>
      <c r="AA1933" s="12" t="s">
        <v>1268</v>
      </c>
      <c r="AB1933" s="12"/>
    </row>
    <row r="1934" spans="1:28" x14ac:dyDescent="0.3">
      <c r="A1934" s="12" t="s">
        <v>3846</v>
      </c>
      <c r="B1934" s="12" t="s">
        <v>170</v>
      </c>
      <c r="C1934" s="12" t="s">
        <v>439</v>
      </c>
      <c r="D1934" s="12" t="s">
        <v>724</v>
      </c>
      <c r="E1934" s="12" t="s">
        <v>2978</v>
      </c>
      <c r="F1934" s="12" t="s">
        <v>1861</v>
      </c>
      <c r="G1934" s="12" t="s">
        <v>1861</v>
      </c>
      <c r="H1934" s="12" t="b">
        <v>1</v>
      </c>
      <c r="I1934" s="12" t="b">
        <v>0</v>
      </c>
      <c r="J1934" s="12" t="b">
        <v>1</v>
      </c>
      <c r="K1934" s="12" t="b">
        <v>0</v>
      </c>
      <c r="L1934" s="12">
        <v>609.66623554292119</v>
      </c>
      <c r="M1934" s="12">
        <v>283.26187257527982</v>
      </c>
      <c r="N1934" s="12">
        <v>3000</v>
      </c>
      <c r="O1934" s="12">
        <v>400</v>
      </c>
      <c r="P1934" s="12">
        <v>0.59831592118823596</v>
      </c>
      <c r="Q1934" s="12">
        <v>0.8940571793427261</v>
      </c>
      <c r="R1934" s="12">
        <v>0.8778336240736988</v>
      </c>
      <c r="S1934" s="12">
        <v>0.52206187552313565</v>
      </c>
      <c r="T1934" s="12">
        <v>0.71871835456989186</v>
      </c>
      <c r="U1934" s="12">
        <v>0.5305130062838842</v>
      </c>
      <c r="V1934" s="12">
        <v>283.26187257527982</v>
      </c>
      <c r="W1934" s="12">
        <v>12.17711385412913</v>
      </c>
      <c r="X1934" s="12">
        <v>112.92010770312071</v>
      </c>
      <c r="Y1934" s="12">
        <v>2600</v>
      </c>
      <c r="Z1934" s="12">
        <v>7.5</v>
      </c>
      <c r="AA1934" s="12" t="s">
        <v>1981</v>
      </c>
      <c r="AB1934" s="12"/>
    </row>
    <row r="1935" spans="1:28" x14ac:dyDescent="0.3">
      <c r="A1935" s="12" t="s">
        <v>3847</v>
      </c>
      <c r="B1935" s="12" t="s">
        <v>170</v>
      </c>
      <c r="C1935" s="12" t="s">
        <v>439</v>
      </c>
      <c r="D1935" s="12" t="s">
        <v>724</v>
      </c>
      <c r="E1935" s="12" t="s">
        <v>2978</v>
      </c>
      <c r="F1935" s="12" t="s">
        <v>1862</v>
      </c>
      <c r="G1935" s="12" t="s">
        <v>1862</v>
      </c>
      <c r="H1935" s="12" t="b">
        <v>1</v>
      </c>
      <c r="I1935" s="12" t="b">
        <v>0</v>
      </c>
      <c r="J1935" s="12" t="b">
        <v>1</v>
      </c>
      <c r="K1935" s="12" t="b">
        <v>0</v>
      </c>
      <c r="L1935" s="12">
        <v>426.704005403172</v>
      </c>
      <c r="M1935" s="12">
        <v>288.71214509662639</v>
      </c>
      <c r="N1935" s="12">
        <v>3000</v>
      </c>
      <c r="O1935" s="12">
        <v>400</v>
      </c>
      <c r="P1935" s="12">
        <v>0.76838947483699183</v>
      </c>
      <c r="Q1935" s="12">
        <v>0.59208260156884107</v>
      </c>
      <c r="R1935" s="12">
        <v>0.79342803959651387</v>
      </c>
      <c r="S1935" s="12">
        <v>0.90780897462476762</v>
      </c>
      <c r="T1935" s="12">
        <v>0.44772543243467328</v>
      </c>
      <c r="U1935" s="12">
        <v>0.61526047954980156</v>
      </c>
      <c r="V1935" s="12">
        <v>288.71214509662639</v>
      </c>
      <c r="W1935" s="12">
        <v>-11.99197057492845</v>
      </c>
      <c r="X1935" s="12">
        <v>-60.213827884102237</v>
      </c>
      <c r="Y1935" s="12">
        <v>2600</v>
      </c>
      <c r="Z1935" s="12">
        <v>7.5</v>
      </c>
      <c r="AA1935" s="12" t="s">
        <v>2513</v>
      </c>
      <c r="AB1935" s="12"/>
    </row>
    <row r="1936" spans="1:28" x14ac:dyDescent="0.3">
      <c r="A1936" s="12" t="s">
        <v>3848</v>
      </c>
      <c r="B1936" s="12" t="s">
        <v>170</v>
      </c>
      <c r="C1936" s="12" t="s">
        <v>439</v>
      </c>
      <c r="D1936" s="12" t="s">
        <v>724</v>
      </c>
      <c r="E1936" s="12" t="s">
        <v>2978</v>
      </c>
      <c r="F1936" s="12" t="s">
        <v>1863</v>
      </c>
      <c r="G1936" s="12" t="s">
        <v>832</v>
      </c>
      <c r="H1936" s="12" t="b">
        <v>0</v>
      </c>
      <c r="I1936" s="12" t="b">
        <v>0</v>
      </c>
      <c r="J1936" s="12" t="b">
        <v>1</v>
      </c>
      <c r="K1936" s="12" t="b">
        <v>0</v>
      </c>
      <c r="L1936" s="12">
        <v>569.31732118404807</v>
      </c>
      <c r="M1936" s="12">
        <v>290.09607325095641</v>
      </c>
      <c r="N1936" s="12">
        <v>3000</v>
      </c>
      <c r="O1936" s="12">
        <v>400</v>
      </c>
      <c r="P1936" s="12">
        <v>0.80349739156606304</v>
      </c>
      <c r="Q1936" s="12">
        <v>0.49146070887213161</v>
      </c>
      <c r="R1936" s="12">
        <v>0.72749991895324717</v>
      </c>
      <c r="S1936" s="12">
        <v>0.73035465307760228</v>
      </c>
      <c r="T1936" s="12">
        <v>0.80911202390102743</v>
      </c>
      <c r="U1936" s="12">
        <v>0.84590690872202257</v>
      </c>
      <c r="V1936" s="12">
        <v>290.09607325095641</v>
      </c>
      <c r="W1936" s="12">
        <v>-5.5893253379288099</v>
      </c>
      <c r="X1936" s="12">
        <v>-47.091549904482321</v>
      </c>
      <c r="Y1936" s="12">
        <v>2600</v>
      </c>
      <c r="Z1936" s="12">
        <v>7.5</v>
      </c>
      <c r="AA1936" s="12" t="s">
        <v>3322</v>
      </c>
      <c r="AB1936" s="12"/>
    </row>
    <row r="1937" spans="1:28" x14ac:dyDescent="0.3">
      <c r="A1937" s="12" t="s">
        <v>3849</v>
      </c>
      <c r="B1937" s="12" t="s">
        <v>170</v>
      </c>
      <c r="C1937" s="12" t="s">
        <v>439</v>
      </c>
      <c r="D1937" s="12" t="s">
        <v>724</v>
      </c>
      <c r="E1937" s="12" t="s">
        <v>2978</v>
      </c>
      <c r="F1937" s="12" t="s">
        <v>1861</v>
      </c>
      <c r="G1937" s="12" t="s">
        <v>1861</v>
      </c>
      <c r="H1937" s="12" t="b">
        <v>1</v>
      </c>
      <c r="I1937" s="12" t="b">
        <v>0</v>
      </c>
      <c r="J1937" s="12" t="b">
        <v>1</v>
      </c>
      <c r="K1937" s="12" t="b">
        <v>0</v>
      </c>
      <c r="L1937" s="12">
        <v>529.08078960558726</v>
      </c>
      <c r="M1937" s="12">
        <v>286.99718358176011</v>
      </c>
      <c r="N1937" s="12">
        <v>3000</v>
      </c>
      <c r="O1937" s="12">
        <v>400</v>
      </c>
      <c r="P1937" s="12">
        <v>0.58967506219590382</v>
      </c>
      <c r="Q1937" s="12">
        <v>0.60931608870718446</v>
      </c>
      <c r="R1937" s="12">
        <v>0.50201245638678627</v>
      </c>
      <c r="S1937" s="12">
        <v>0.42744230586062348</v>
      </c>
      <c r="T1937" s="12">
        <v>0.50337992623200811</v>
      </c>
      <c r="U1937" s="12">
        <v>0.65480178030100777</v>
      </c>
      <c r="V1937" s="12">
        <v>286.99718358176011</v>
      </c>
      <c r="W1937" s="12">
        <v>1.7591150858937601</v>
      </c>
      <c r="X1937" s="12">
        <v>14.10149060576143</v>
      </c>
      <c r="Y1937" s="12">
        <v>2600</v>
      </c>
      <c r="Z1937" s="12">
        <v>7.5</v>
      </c>
      <c r="AA1937" s="12" t="s">
        <v>1268</v>
      </c>
      <c r="AB1937" s="12"/>
    </row>
    <row r="1938" spans="1:28" x14ac:dyDescent="0.3">
      <c r="A1938" s="12" t="s">
        <v>3850</v>
      </c>
      <c r="B1938" s="12" t="s">
        <v>170</v>
      </c>
      <c r="C1938" s="12" t="s">
        <v>439</v>
      </c>
      <c r="D1938" s="12" t="s">
        <v>724</v>
      </c>
      <c r="E1938" s="12" t="s">
        <v>2978</v>
      </c>
      <c r="F1938" s="12" t="s">
        <v>1861</v>
      </c>
      <c r="G1938" s="12" t="s">
        <v>1861</v>
      </c>
      <c r="H1938" s="12" t="b">
        <v>1</v>
      </c>
      <c r="I1938" s="12" t="b">
        <v>0</v>
      </c>
      <c r="J1938" s="12" t="b">
        <v>1</v>
      </c>
      <c r="K1938" s="12" t="b">
        <v>0</v>
      </c>
      <c r="L1938" s="12">
        <v>582.67834635602037</v>
      </c>
      <c r="M1938" s="12">
        <v>292.47444342702772</v>
      </c>
      <c r="N1938" s="12">
        <v>3000</v>
      </c>
      <c r="O1938" s="12">
        <v>400</v>
      </c>
      <c r="P1938" s="12">
        <v>0.51212602309062272</v>
      </c>
      <c r="Q1938" s="12">
        <v>0.91450354045828719</v>
      </c>
      <c r="R1938" s="12">
        <v>0.60045557378743342</v>
      </c>
      <c r="S1938" s="12">
        <v>0.70795392081598441</v>
      </c>
      <c r="T1938" s="12">
        <v>0.65400654898348454</v>
      </c>
      <c r="U1938" s="12">
        <v>0.86205520156008819</v>
      </c>
      <c r="V1938" s="12">
        <v>292.47444342702772</v>
      </c>
      <c r="W1938" s="12">
        <v>14.38877543045756</v>
      </c>
      <c r="X1938" s="12">
        <v>238.25937543903069</v>
      </c>
      <c r="Y1938" s="12">
        <v>2600</v>
      </c>
      <c r="Z1938" s="12">
        <v>7.5</v>
      </c>
      <c r="AA1938" s="12" t="s">
        <v>1981</v>
      </c>
      <c r="AB1938" s="12"/>
    </row>
    <row r="1939" spans="1:28" x14ac:dyDescent="0.3">
      <c r="A1939" s="12" t="s">
        <v>3851</v>
      </c>
      <c r="B1939" s="12" t="s">
        <v>170</v>
      </c>
      <c r="C1939" s="12" t="s">
        <v>439</v>
      </c>
      <c r="D1939" s="12" t="s">
        <v>724</v>
      </c>
      <c r="E1939" s="12" t="s">
        <v>2978</v>
      </c>
      <c r="F1939" s="12" t="s">
        <v>1861</v>
      </c>
      <c r="G1939" s="12" t="s">
        <v>1861</v>
      </c>
      <c r="H1939" s="12" t="b">
        <v>1</v>
      </c>
      <c r="I1939" s="12" t="b">
        <v>0</v>
      </c>
      <c r="J1939" s="12" t="b">
        <v>1</v>
      </c>
      <c r="K1939" s="12" t="b">
        <v>0</v>
      </c>
      <c r="L1939" s="12">
        <v>468.32922473909559</v>
      </c>
      <c r="M1939" s="12">
        <v>289.54432360224689</v>
      </c>
      <c r="N1939" s="12">
        <v>3000</v>
      </c>
      <c r="O1939" s="12">
        <v>400</v>
      </c>
      <c r="P1939" s="12">
        <v>0.63257483294843575</v>
      </c>
      <c r="Q1939" s="12">
        <v>0.66757298947548649</v>
      </c>
      <c r="R1939" s="12">
        <v>0.93198014580249322</v>
      </c>
      <c r="S1939" s="12">
        <v>0.74329961807443334</v>
      </c>
      <c r="T1939" s="12">
        <v>0.45693687240203867</v>
      </c>
      <c r="U1939" s="12">
        <v>0.79908825988313392</v>
      </c>
      <c r="V1939" s="12">
        <v>289.54432360224689</v>
      </c>
      <c r="W1939" s="12">
        <v>10.13310053628267</v>
      </c>
      <c r="X1939" s="12">
        <v>135.32218510720591</v>
      </c>
      <c r="Y1939" s="12">
        <v>2600</v>
      </c>
      <c r="Z1939" s="12">
        <v>7.5</v>
      </c>
      <c r="AA1939" s="12" t="s">
        <v>1268</v>
      </c>
      <c r="AB1939" s="12"/>
    </row>
    <row r="1940" spans="1:28" x14ac:dyDescent="0.3">
      <c r="A1940" s="12" t="s">
        <v>3852</v>
      </c>
      <c r="B1940" s="12" t="s">
        <v>170</v>
      </c>
      <c r="C1940" s="12" t="s">
        <v>439</v>
      </c>
      <c r="D1940" s="12" t="s">
        <v>724</v>
      </c>
      <c r="E1940" s="12" t="s">
        <v>2978</v>
      </c>
      <c r="F1940" s="12" t="s">
        <v>1862</v>
      </c>
      <c r="G1940" s="12" t="s">
        <v>1862</v>
      </c>
      <c r="H1940" s="12" t="b">
        <v>1</v>
      </c>
      <c r="I1940" s="12" t="b">
        <v>0</v>
      </c>
      <c r="J1940" s="12" t="b">
        <v>0</v>
      </c>
      <c r="K1940" s="12" t="b">
        <v>0</v>
      </c>
      <c r="L1940" s="12">
        <v>423.2946973235567</v>
      </c>
      <c r="M1940" s="12">
        <v>300.21305885432639</v>
      </c>
      <c r="N1940" s="12">
        <v>3000</v>
      </c>
      <c r="O1940" s="12">
        <v>400</v>
      </c>
      <c r="P1940" s="12">
        <v>0.78621189325234142</v>
      </c>
      <c r="Q1940" s="12">
        <v>0.63237651680470386</v>
      </c>
      <c r="R1940" s="12">
        <v>0.56326584495244392</v>
      </c>
      <c r="S1940" s="12">
        <v>0.57107380787936568</v>
      </c>
      <c r="T1940" s="12">
        <v>0.4543642474674115</v>
      </c>
      <c r="U1940" s="12">
        <v>0.57431402739415438</v>
      </c>
      <c r="V1940" s="12">
        <v>300.21305885432639</v>
      </c>
      <c r="W1940" s="12">
        <v>-200.3356077684727</v>
      </c>
      <c r="X1940" s="12">
        <v>-222.2317204157377</v>
      </c>
      <c r="Y1940" s="12">
        <v>2600</v>
      </c>
      <c r="Z1940" s="12">
        <v>7.5</v>
      </c>
      <c r="AA1940" s="12" t="s">
        <v>2513</v>
      </c>
      <c r="AB1940" s="12"/>
    </row>
    <row r="1941" spans="1:28" x14ac:dyDescent="0.3">
      <c r="A1941" s="12" t="s">
        <v>3853</v>
      </c>
      <c r="B1941" s="12" t="s">
        <v>170</v>
      </c>
      <c r="C1941" s="12" t="s">
        <v>439</v>
      </c>
      <c r="D1941" s="12" t="s">
        <v>724</v>
      </c>
      <c r="E1941" s="12" t="s">
        <v>2978</v>
      </c>
      <c r="F1941" s="12" t="s">
        <v>1862</v>
      </c>
      <c r="G1941" s="12" t="s">
        <v>1862</v>
      </c>
      <c r="H1941" s="12" t="b">
        <v>1</v>
      </c>
      <c r="I1941" s="12" t="b">
        <v>0</v>
      </c>
      <c r="J1941" s="12" t="b">
        <v>1</v>
      </c>
      <c r="K1941" s="12" t="b">
        <v>0</v>
      </c>
      <c r="L1941" s="12">
        <v>441.40671225527342</v>
      </c>
      <c r="M1941" s="12">
        <v>280.56039531909721</v>
      </c>
      <c r="N1941" s="12">
        <v>3000</v>
      </c>
      <c r="O1941" s="12">
        <v>400</v>
      </c>
      <c r="P1941" s="12">
        <v>0.79078127593495817</v>
      </c>
      <c r="Q1941" s="12">
        <v>0.49527464307083019</v>
      </c>
      <c r="R1941" s="12">
        <v>0.57252413467289875</v>
      </c>
      <c r="S1941" s="12">
        <v>0.85006621873899857</v>
      </c>
      <c r="T1941" s="12">
        <v>0.68896479255959653</v>
      </c>
      <c r="U1941" s="12">
        <v>0.50606105369560772</v>
      </c>
      <c r="V1941" s="12">
        <v>280.56039531909721</v>
      </c>
      <c r="W1941" s="12">
        <v>-34.822619750131373</v>
      </c>
      <c r="X1941" s="12">
        <v>-187.70339857925759</v>
      </c>
      <c r="Y1941" s="12">
        <v>2600</v>
      </c>
      <c r="Z1941" s="12">
        <v>7.5</v>
      </c>
      <c r="AA1941" s="12" t="s">
        <v>2513</v>
      </c>
      <c r="AB1941" s="12"/>
    </row>
    <row r="1942" spans="1:28" x14ac:dyDescent="0.3">
      <c r="A1942" s="12" t="s">
        <v>3854</v>
      </c>
      <c r="B1942" s="12" t="s">
        <v>170</v>
      </c>
      <c r="C1942" s="12" t="s">
        <v>439</v>
      </c>
      <c r="D1942" s="12" t="s">
        <v>724</v>
      </c>
      <c r="E1942" s="12" t="s">
        <v>2978</v>
      </c>
      <c r="F1942" s="12" t="s">
        <v>1862</v>
      </c>
      <c r="G1942" s="12" t="s">
        <v>1862</v>
      </c>
      <c r="H1942" s="12" t="b">
        <v>1</v>
      </c>
      <c r="I1942" s="12" t="b">
        <v>0</v>
      </c>
      <c r="J1942" s="12" t="b">
        <v>0</v>
      </c>
      <c r="K1942" s="12" t="b">
        <v>0</v>
      </c>
      <c r="L1942" s="12">
        <v>401.15735585519099</v>
      </c>
      <c r="M1942" s="12">
        <v>286.6377310766257</v>
      </c>
      <c r="N1942" s="12">
        <v>3000</v>
      </c>
      <c r="O1942" s="12">
        <v>400</v>
      </c>
      <c r="P1942" s="12">
        <v>0.77694291706138285</v>
      </c>
      <c r="Q1942" s="12">
        <v>0.46616606987434461</v>
      </c>
      <c r="R1942" s="12">
        <v>0.54090895010009654</v>
      </c>
      <c r="S1942" s="12">
        <v>0.9418549027805484</v>
      </c>
      <c r="T1942" s="12">
        <v>0.62080481416355726</v>
      </c>
      <c r="U1942" s="12">
        <v>0.83992646976094032</v>
      </c>
      <c r="V1942" s="12">
        <v>286.6377310766257</v>
      </c>
      <c r="W1942" s="12">
        <v>-24.26652967559998</v>
      </c>
      <c r="X1942" s="12">
        <v>-108.0193737978552</v>
      </c>
      <c r="Y1942" s="12">
        <v>2600</v>
      </c>
      <c r="Z1942" s="12">
        <v>7.5</v>
      </c>
      <c r="AA1942" s="12" t="s">
        <v>2513</v>
      </c>
      <c r="AB1942" s="12"/>
    </row>
    <row r="1943" spans="1:28" x14ac:dyDescent="0.3">
      <c r="A1943" s="12" t="s">
        <v>3855</v>
      </c>
      <c r="B1943" s="12" t="s">
        <v>170</v>
      </c>
      <c r="C1943" s="12" t="s">
        <v>439</v>
      </c>
      <c r="D1943" s="12" t="s">
        <v>724</v>
      </c>
      <c r="E1943" s="12" t="s">
        <v>2978</v>
      </c>
      <c r="F1943" s="12" t="s">
        <v>1861</v>
      </c>
      <c r="G1943" s="12" t="s">
        <v>1861</v>
      </c>
      <c r="H1943" s="12" t="b">
        <v>1</v>
      </c>
      <c r="I1943" s="12" t="b">
        <v>0</v>
      </c>
      <c r="J1943" s="12" t="b">
        <v>1</v>
      </c>
      <c r="K1943" s="12" t="b">
        <v>0</v>
      </c>
      <c r="L1943" s="12">
        <v>578.2386804758994</v>
      </c>
      <c r="M1943" s="12">
        <v>302.46726063908523</v>
      </c>
      <c r="N1943" s="12">
        <v>3000</v>
      </c>
      <c r="O1943" s="12">
        <v>400</v>
      </c>
      <c r="P1943" s="12">
        <v>0.54017900498812443</v>
      </c>
      <c r="Q1943" s="12">
        <v>0.4730385366443105</v>
      </c>
      <c r="R1943" s="12">
        <v>0.62867471122603813</v>
      </c>
      <c r="S1943" s="12">
        <v>0.79291338975899084</v>
      </c>
      <c r="T1943" s="12">
        <v>0.67325028925420227</v>
      </c>
      <c r="U1943" s="12">
        <v>0.83148102804778068</v>
      </c>
      <c r="V1943" s="12">
        <v>302.46726063908523</v>
      </c>
      <c r="W1943" s="12">
        <v>4.5344391924368201</v>
      </c>
      <c r="X1943" s="12">
        <v>74.609169586407148</v>
      </c>
      <c r="Y1943" s="12">
        <v>2600</v>
      </c>
      <c r="Z1943" s="12">
        <v>7.5</v>
      </c>
      <c r="AA1943" s="12" t="s">
        <v>1268</v>
      </c>
      <c r="AB1943" s="12"/>
    </row>
    <row r="1944" spans="1:28" x14ac:dyDescent="0.3">
      <c r="A1944" s="12" t="s">
        <v>3856</v>
      </c>
      <c r="B1944" s="12" t="s">
        <v>170</v>
      </c>
      <c r="C1944" s="12" t="s">
        <v>439</v>
      </c>
      <c r="D1944" s="12" t="s">
        <v>724</v>
      </c>
      <c r="E1944" s="12" t="s">
        <v>2978</v>
      </c>
      <c r="F1944" s="12" t="s">
        <v>1861</v>
      </c>
      <c r="G1944" s="12" t="s">
        <v>1861</v>
      </c>
      <c r="H1944" s="12" t="b">
        <v>1</v>
      </c>
      <c r="I1944" s="12" t="b">
        <v>0</v>
      </c>
      <c r="J1944" s="12" t="b">
        <v>0</v>
      </c>
      <c r="K1944" s="12" t="b">
        <v>0</v>
      </c>
      <c r="L1944" s="12">
        <v>450.66451020521242</v>
      </c>
      <c r="M1944" s="12">
        <v>282.68166144294821</v>
      </c>
      <c r="N1944" s="12">
        <v>3000</v>
      </c>
      <c r="O1944" s="12">
        <v>400</v>
      </c>
      <c r="P1944" s="12">
        <v>0.77223966767653451</v>
      </c>
      <c r="Q1944" s="12">
        <v>0.85216488631889975</v>
      </c>
      <c r="R1944" s="12">
        <v>0.75162166264373109</v>
      </c>
      <c r="S1944" s="12">
        <v>0.43900186410769371</v>
      </c>
      <c r="T1944" s="12">
        <v>0.54406792839659612</v>
      </c>
      <c r="U1944" s="12">
        <v>0.63410556742878532</v>
      </c>
      <c r="V1944" s="12">
        <v>282.68166144294821</v>
      </c>
      <c r="W1944" s="12">
        <v>6.4016526881477107</v>
      </c>
      <c r="X1944" s="12">
        <v>34.599960735672198</v>
      </c>
      <c r="Y1944" s="12">
        <v>2600</v>
      </c>
      <c r="Z1944" s="12">
        <v>7.5</v>
      </c>
      <c r="AA1944" s="12" t="s">
        <v>1268</v>
      </c>
      <c r="AB1944" s="12"/>
    </row>
    <row r="1945" spans="1:28" x14ac:dyDescent="0.3">
      <c r="A1945" s="12" t="s">
        <v>3857</v>
      </c>
      <c r="B1945" s="12" t="s">
        <v>170</v>
      </c>
      <c r="C1945" s="12" t="s">
        <v>439</v>
      </c>
      <c r="D1945" s="12" t="s">
        <v>724</v>
      </c>
      <c r="E1945" s="12" t="s">
        <v>2978</v>
      </c>
      <c r="F1945" s="12" t="s">
        <v>1862</v>
      </c>
      <c r="G1945" s="12" t="s">
        <v>1862</v>
      </c>
      <c r="H1945" s="12" t="b">
        <v>1</v>
      </c>
      <c r="I1945" s="12" t="b">
        <v>0</v>
      </c>
      <c r="J1945" s="12" t="b">
        <v>0</v>
      </c>
      <c r="K1945" s="12" t="b">
        <v>0</v>
      </c>
      <c r="L1945" s="12">
        <v>453.62923912111012</v>
      </c>
      <c r="M1945" s="12">
        <v>284.48579981753818</v>
      </c>
      <c r="N1945" s="12">
        <v>3000</v>
      </c>
      <c r="O1945" s="12">
        <v>400</v>
      </c>
      <c r="P1945" s="12">
        <v>0.80016488948043196</v>
      </c>
      <c r="Q1945" s="12">
        <v>0.64755250929269081</v>
      </c>
      <c r="R1945" s="12">
        <v>0.4640356438575482</v>
      </c>
      <c r="S1945" s="12">
        <v>0.62284450941836211</v>
      </c>
      <c r="T1945" s="12">
        <v>0.81409476916476242</v>
      </c>
      <c r="U1945" s="12">
        <v>0.80899675904554424</v>
      </c>
      <c r="V1945" s="12">
        <v>284.48579981753818</v>
      </c>
      <c r="W1945" s="12">
        <v>-16.8980999209519</v>
      </c>
      <c r="X1945" s="12">
        <v>-103.5764159100999</v>
      </c>
      <c r="Y1945" s="12">
        <v>2600</v>
      </c>
      <c r="Z1945" s="12">
        <v>7.5</v>
      </c>
      <c r="AA1945" s="12" t="s">
        <v>2513</v>
      </c>
      <c r="AB1945" s="12"/>
    </row>
    <row r="1946" spans="1:28" x14ac:dyDescent="0.3">
      <c r="A1946" s="12" t="s">
        <v>3858</v>
      </c>
      <c r="B1946" s="12" t="s">
        <v>170</v>
      </c>
      <c r="C1946" s="12" t="s">
        <v>439</v>
      </c>
      <c r="D1946" s="12" t="s">
        <v>724</v>
      </c>
      <c r="E1946" s="12" t="s">
        <v>2978</v>
      </c>
      <c r="F1946" s="12" t="s">
        <v>1861</v>
      </c>
      <c r="G1946" s="12" t="s">
        <v>1861</v>
      </c>
      <c r="H1946" s="12" t="b">
        <v>1</v>
      </c>
      <c r="I1946" s="12" t="b">
        <v>0</v>
      </c>
      <c r="J1946" s="12" t="b">
        <v>1</v>
      </c>
      <c r="K1946" s="12" t="b">
        <v>0</v>
      </c>
      <c r="L1946" s="12">
        <v>471.6864310558455</v>
      </c>
      <c r="M1946" s="12">
        <v>285.31547090209739</v>
      </c>
      <c r="N1946" s="12">
        <v>3000</v>
      </c>
      <c r="O1946" s="12">
        <v>400</v>
      </c>
      <c r="P1946" s="12">
        <v>0.73464219231860128</v>
      </c>
      <c r="Q1946" s="12">
        <v>0.89670952974426321</v>
      </c>
      <c r="R1946" s="12">
        <v>0.71817662551707584</v>
      </c>
      <c r="S1946" s="12">
        <v>0.80857609972541833</v>
      </c>
      <c r="T1946" s="12">
        <v>0.77967845191908114</v>
      </c>
      <c r="U1946" s="12">
        <v>0.63956127217065928</v>
      </c>
      <c r="V1946" s="12">
        <v>285.31547090209739</v>
      </c>
      <c r="W1946" s="12">
        <v>9.4463490783878807</v>
      </c>
      <c r="X1946" s="12">
        <v>88.221527310949</v>
      </c>
      <c r="Y1946" s="12">
        <v>2600</v>
      </c>
      <c r="Z1946" s="12">
        <v>7.5</v>
      </c>
      <c r="AA1946" s="12" t="s">
        <v>1268</v>
      </c>
      <c r="AB1946" s="12"/>
    </row>
    <row r="1947" spans="1:28" x14ac:dyDescent="0.3">
      <c r="A1947" s="12" t="s">
        <v>3859</v>
      </c>
      <c r="B1947" s="12" t="s">
        <v>170</v>
      </c>
      <c r="C1947" s="12" t="s">
        <v>439</v>
      </c>
      <c r="D1947" s="12" t="s">
        <v>724</v>
      </c>
      <c r="E1947" s="12" t="s">
        <v>2978</v>
      </c>
      <c r="F1947" s="12" t="s">
        <v>832</v>
      </c>
      <c r="G1947" s="12" t="s">
        <v>832</v>
      </c>
      <c r="H1947" s="12" t="b">
        <v>0</v>
      </c>
      <c r="I1947" s="12" t="b">
        <v>0</v>
      </c>
      <c r="J1947" s="12" t="b">
        <v>0</v>
      </c>
      <c r="K1947" s="12" t="b">
        <v>0</v>
      </c>
      <c r="L1947" s="12">
        <v>557.19890213596727</v>
      </c>
      <c r="M1947" s="12">
        <v>295.75002176736871</v>
      </c>
      <c r="N1947" s="12">
        <v>3000</v>
      </c>
      <c r="O1947" s="12">
        <v>400</v>
      </c>
      <c r="P1947" s="12">
        <v>0.83708714836608478</v>
      </c>
      <c r="Q1947" s="12">
        <v>0.52472627507484559</v>
      </c>
      <c r="R1947" s="12">
        <v>0.57505206401938902</v>
      </c>
      <c r="S1947" s="12">
        <v>0.60240813953664052</v>
      </c>
      <c r="T1947" s="12">
        <v>0.69951529097711651</v>
      </c>
      <c r="U1947" s="12">
        <v>0.72263233019562212</v>
      </c>
      <c r="V1947" s="12">
        <v>295.75002176736871</v>
      </c>
      <c r="W1947" s="12"/>
      <c r="X1947" s="12"/>
      <c r="Y1947" s="12">
        <v>2600</v>
      </c>
      <c r="Z1947" s="12">
        <v>7.5</v>
      </c>
      <c r="AA1947" s="12"/>
      <c r="AB1947" s="12"/>
    </row>
    <row r="1948" spans="1:28" x14ac:dyDescent="0.3">
      <c r="A1948" s="12" t="s">
        <v>3860</v>
      </c>
      <c r="B1948" s="12" t="s">
        <v>170</v>
      </c>
      <c r="C1948" s="12" t="s">
        <v>439</v>
      </c>
      <c r="D1948" s="12" t="s">
        <v>724</v>
      </c>
      <c r="E1948" s="12" t="s">
        <v>2978</v>
      </c>
      <c r="F1948" s="12" t="s">
        <v>1861</v>
      </c>
      <c r="G1948" s="12" t="s">
        <v>1861</v>
      </c>
      <c r="H1948" s="12" t="b">
        <v>1</v>
      </c>
      <c r="I1948" s="12" t="b">
        <v>0</v>
      </c>
      <c r="J1948" s="12" t="b">
        <v>1</v>
      </c>
      <c r="K1948" s="12" t="b">
        <v>0</v>
      </c>
      <c r="L1948" s="12">
        <v>538.48762033133971</v>
      </c>
      <c r="M1948" s="12">
        <v>282.82358549520268</v>
      </c>
      <c r="N1948" s="12">
        <v>3000</v>
      </c>
      <c r="O1948" s="12">
        <v>400</v>
      </c>
      <c r="P1948" s="12">
        <v>0.6297012180869952</v>
      </c>
      <c r="Q1948" s="12">
        <v>0.53760824204002755</v>
      </c>
      <c r="R1948" s="12">
        <v>0.73111216730304429</v>
      </c>
      <c r="S1948" s="12">
        <v>0.57874652013010719</v>
      </c>
      <c r="T1948" s="12">
        <v>0.63059034496097266</v>
      </c>
      <c r="U1948" s="12">
        <v>0.8661478979222853</v>
      </c>
      <c r="V1948" s="12">
        <v>282.82358549520268</v>
      </c>
      <c r="W1948" s="12">
        <v>8.4932874790748301</v>
      </c>
      <c r="X1948" s="12">
        <v>105.1029908522131</v>
      </c>
      <c r="Y1948" s="12">
        <v>2600</v>
      </c>
      <c r="Z1948" s="12">
        <v>7.5</v>
      </c>
      <c r="AA1948" s="12" t="s">
        <v>1268</v>
      </c>
      <c r="AB1948" s="12"/>
    </row>
    <row r="1949" spans="1:28" x14ac:dyDescent="0.3">
      <c r="A1949" s="12" t="s">
        <v>3861</v>
      </c>
      <c r="B1949" s="12" t="s">
        <v>170</v>
      </c>
      <c r="C1949" s="12" t="s">
        <v>439</v>
      </c>
      <c r="D1949" s="12" t="s">
        <v>724</v>
      </c>
      <c r="E1949" s="12" t="s">
        <v>2978</v>
      </c>
      <c r="F1949" s="12" t="s">
        <v>1861</v>
      </c>
      <c r="G1949" s="12" t="s">
        <v>1861</v>
      </c>
      <c r="H1949" s="12" t="b">
        <v>1</v>
      </c>
      <c r="I1949" s="12" t="b">
        <v>0</v>
      </c>
      <c r="J1949" s="12" t="b">
        <v>1</v>
      </c>
      <c r="K1949" s="12" t="b">
        <v>0</v>
      </c>
      <c r="L1949" s="12">
        <v>443.68001648511188</v>
      </c>
      <c r="M1949" s="12">
        <v>295.48728378303957</v>
      </c>
      <c r="N1949" s="12">
        <v>3000</v>
      </c>
      <c r="O1949" s="12">
        <v>400</v>
      </c>
      <c r="P1949" s="12">
        <v>0.53451225670163893</v>
      </c>
      <c r="Q1949" s="12">
        <v>0.67331791769412219</v>
      </c>
      <c r="R1949" s="12">
        <v>0.4702207646028807</v>
      </c>
      <c r="S1949" s="12">
        <v>0.93647678226108999</v>
      </c>
      <c r="T1949" s="12">
        <v>0.83828077327513584</v>
      </c>
      <c r="U1949" s="12">
        <v>0.67222635270133657</v>
      </c>
      <c r="V1949" s="12">
        <v>295.48728378303957</v>
      </c>
      <c r="W1949" s="12">
        <v>4.1537526215966203</v>
      </c>
      <c r="X1949" s="12">
        <v>34.519878575137668</v>
      </c>
      <c r="Y1949" s="12">
        <v>2600</v>
      </c>
      <c r="Z1949" s="12">
        <v>7.5</v>
      </c>
      <c r="AA1949" s="12" t="s">
        <v>1268</v>
      </c>
      <c r="AB1949" s="12"/>
    </row>
    <row r="1950" spans="1:28" x14ac:dyDescent="0.3">
      <c r="A1950" s="12" t="s">
        <v>3862</v>
      </c>
      <c r="B1950" s="12" t="s">
        <v>170</v>
      </c>
      <c r="C1950" s="12" t="s">
        <v>439</v>
      </c>
      <c r="D1950" s="12" t="s">
        <v>724</v>
      </c>
      <c r="E1950" s="12" t="s">
        <v>2978</v>
      </c>
      <c r="F1950" s="12" t="s">
        <v>1862</v>
      </c>
      <c r="G1950" s="12" t="s">
        <v>1862</v>
      </c>
      <c r="H1950" s="12" t="b">
        <v>1</v>
      </c>
      <c r="I1950" s="12" t="b">
        <v>0</v>
      </c>
      <c r="J1950" s="12" t="b">
        <v>1</v>
      </c>
      <c r="K1950" s="12" t="b">
        <v>0</v>
      </c>
      <c r="L1950" s="12">
        <v>432.51320802326921</v>
      </c>
      <c r="M1950" s="12">
        <v>290.98363728258619</v>
      </c>
      <c r="N1950" s="12">
        <v>3000</v>
      </c>
      <c r="O1950" s="12">
        <v>400</v>
      </c>
      <c r="P1950" s="12">
        <v>0.84167161685928416</v>
      </c>
      <c r="Q1950" s="12">
        <v>0.53607023257693354</v>
      </c>
      <c r="R1950" s="12">
        <v>0.89042236979709477</v>
      </c>
      <c r="S1950" s="12">
        <v>0.89490851608566513</v>
      </c>
      <c r="T1950" s="12">
        <v>0.90389449440196457</v>
      </c>
      <c r="U1950" s="12">
        <v>0.49081465316681699</v>
      </c>
      <c r="V1950" s="12">
        <v>290.98363728258619</v>
      </c>
      <c r="W1950" s="12">
        <v>-48.856555100958488</v>
      </c>
      <c r="X1950" s="12">
        <v>-131.54078283432551</v>
      </c>
      <c r="Y1950" s="12">
        <v>2600</v>
      </c>
      <c r="Z1950" s="12">
        <v>7.5</v>
      </c>
      <c r="AA1950" s="12" t="s">
        <v>2513</v>
      </c>
      <c r="AB1950" s="12"/>
    </row>
    <row r="1951" spans="1:28" x14ac:dyDescent="0.3">
      <c r="A1951" s="12" t="s">
        <v>3863</v>
      </c>
      <c r="B1951" s="12" t="s">
        <v>170</v>
      </c>
      <c r="C1951" s="12" t="s">
        <v>439</v>
      </c>
      <c r="D1951" s="12" t="s">
        <v>724</v>
      </c>
      <c r="E1951" s="12" t="s">
        <v>2978</v>
      </c>
      <c r="F1951" s="12" t="s">
        <v>832</v>
      </c>
      <c r="G1951" s="12" t="s">
        <v>832</v>
      </c>
      <c r="H1951" s="12" t="b">
        <v>0</v>
      </c>
      <c r="I1951" s="12" t="b">
        <v>0</v>
      </c>
      <c r="J1951" s="12" t="b">
        <v>0</v>
      </c>
      <c r="K1951" s="12" t="b">
        <v>0</v>
      </c>
      <c r="L1951" s="12">
        <v>470.21055509050223</v>
      </c>
      <c r="M1951" s="12">
        <v>298.65212417617442</v>
      </c>
      <c r="N1951" s="12">
        <v>3000</v>
      </c>
      <c r="O1951" s="12">
        <v>400</v>
      </c>
      <c r="P1951" s="12">
        <v>0.80913765372678881</v>
      </c>
      <c r="Q1951" s="12">
        <v>0.55242274318629403</v>
      </c>
      <c r="R1951" s="12">
        <v>0.93036193565279079</v>
      </c>
      <c r="S1951" s="12">
        <v>0.61067621451257981</v>
      </c>
      <c r="T1951" s="12">
        <v>0.4676690734619155</v>
      </c>
      <c r="U1951" s="12">
        <v>0.58853185866297542</v>
      </c>
      <c r="V1951" s="12">
        <v>298.65212417617442</v>
      </c>
      <c r="W1951" s="12"/>
      <c r="X1951" s="12"/>
      <c r="Y1951" s="12">
        <v>2600</v>
      </c>
      <c r="Z1951" s="12">
        <v>7.5</v>
      </c>
      <c r="AA1951" s="12"/>
      <c r="AB1951" s="12"/>
    </row>
    <row r="1952" spans="1:28" x14ac:dyDescent="0.3">
      <c r="A1952" s="12" t="s">
        <v>3864</v>
      </c>
      <c r="B1952" s="12" t="s">
        <v>170</v>
      </c>
      <c r="C1952" s="12" t="s">
        <v>439</v>
      </c>
      <c r="D1952" s="12" t="s">
        <v>724</v>
      </c>
      <c r="E1952" s="12" t="s">
        <v>2978</v>
      </c>
      <c r="F1952" s="12" t="s">
        <v>1861</v>
      </c>
      <c r="G1952" s="12" t="s">
        <v>1861</v>
      </c>
      <c r="H1952" s="12" t="b">
        <v>1</v>
      </c>
      <c r="I1952" s="12" t="b">
        <v>0</v>
      </c>
      <c r="J1952" s="12" t="b">
        <v>1</v>
      </c>
      <c r="K1952" s="12" t="b">
        <v>0</v>
      </c>
      <c r="L1952" s="12">
        <v>499.60190482529839</v>
      </c>
      <c r="M1952" s="12">
        <v>279.54168580363472</v>
      </c>
      <c r="N1952" s="12">
        <v>3000</v>
      </c>
      <c r="O1952" s="12">
        <v>400</v>
      </c>
      <c r="P1952" s="12">
        <v>0.74357497892246027</v>
      </c>
      <c r="Q1952" s="12">
        <v>0.82086878734285218</v>
      </c>
      <c r="R1952" s="12">
        <v>0.5450748254852591</v>
      </c>
      <c r="S1952" s="12">
        <v>0.80636410755241494</v>
      </c>
      <c r="T1952" s="12">
        <v>0.68698510990046369</v>
      </c>
      <c r="U1952" s="12">
        <v>0.82748534500520488</v>
      </c>
      <c r="V1952" s="12">
        <v>279.54168580363472</v>
      </c>
      <c r="W1952" s="12">
        <v>13.348948581653101</v>
      </c>
      <c r="X1952" s="12">
        <v>197.29232603360501</v>
      </c>
      <c r="Y1952" s="12">
        <v>2600</v>
      </c>
      <c r="Z1952" s="12">
        <v>7.5</v>
      </c>
      <c r="AA1952" s="12" t="s">
        <v>1268</v>
      </c>
      <c r="AB1952" s="12"/>
    </row>
    <row r="1953" spans="1:28" x14ac:dyDescent="0.3">
      <c r="A1953" s="12" t="s">
        <v>3865</v>
      </c>
      <c r="B1953" s="12" t="s">
        <v>170</v>
      </c>
      <c r="C1953" s="12" t="s">
        <v>439</v>
      </c>
      <c r="D1953" s="12" t="s">
        <v>724</v>
      </c>
      <c r="E1953" s="12" t="s">
        <v>2978</v>
      </c>
      <c r="F1953" s="12" t="s">
        <v>1863</v>
      </c>
      <c r="G1953" s="12" t="s">
        <v>832</v>
      </c>
      <c r="H1953" s="12" t="b">
        <v>0</v>
      </c>
      <c r="I1953" s="12" t="b">
        <v>0</v>
      </c>
      <c r="J1953" s="12" t="b">
        <v>1</v>
      </c>
      <c r="K1953" s="12" t="b">
        <v>0</v>
      </c>
      <c r="L1953" s="12">
        <v>585.21365528485887</v>
      </c>
      <c r="M1953" s="12">
        <v>293.63159055809649</v>
      </c>
      <c r="N1953" s="12">
        <v>3000</v>
      </c>
      <c r="O1953" s="12">
        <v>400</v>
      </c>
      <c r="P1953" s="12">
        <v>0.82360195731640473</v>
      </c>
      <c r="Q1953" s="12">
        <v>0.75547659787548227</v>
      </c>
      <c r="R1953" s="12">
        <v>0.65246060999039535</v>
      </c>
      <c r="S1953" s="12">
        <v>0.62850913427645283</v>
      </c>
      <c r="T1953" s="12">
        <v>0.75784241408299213</v>
      </c>
      <c r="U1953" s="12">
        <v>0.8789817569559063</v>
      </c>
      <c r="V1953" s="12">
        <v>293.63159055809649</v>
      </c>
      <c r="W1953" s="12">
        <v>-4.0165397457273802</v>
      </c>
      <c r="X1953" s="12">
        <v>-27.378504039676049</v>
      </c>
      <c r="Y1953" s="12">
        <v>2600</v>
      </c>
      <c r="Z1953" s="12">
        <v>7.5</v>
      </c>
      <c r="AA1953" s="12" t="s">
        <v>3322</v>
      </c>
      <c r="AB1953" s="12"/>
    </row>
    <row r="1954" spans="1:28" x14ac:dyDescent="0.3">
      <c r="A1954" s="12" t="s">
        <v>3866</v>
      </c>
      <c r="B1954" s="12" t="s">
        <v>170</v>
      </c>
      <c r="C1954" s="12" t="s">
        <v>439</v>
      </c>
      <c r="D1954" s="12" t="s">
        <v>724</v>
      </c>
      <c r="E1954" s="12" t="s">
        <v>2978</v>
      </c>
      <c r="F1954" s="12" t="s">
        <v>1862</v>
      </c>
      <c r="G1954" s="12" t="s">
        <v>1862</v>
      </c>
      <c r="H1954" s="12" t="b">
        <v>1</v>
      </c>
      <c r="I1954" s="12" t="b">
        <v>0</v>
      </c>
      <c r="J1954" s="12" t="b">
        <v>0</v>
      </c>
      <c r="K1954" s="12" t="b">
        <v>0</v>
      </c>
      <c r="L1954" s="12">
        <v>420.75872882161099</v>
      </c>
      <c r="M1954" s="12">
        <v>294.8596478944462</v>
      </c>
      <c r="N1954" s="12">
        <v>3000</v>
      </c>
      <c r="O1954" s="12">
        <v>400</v>
      </c>
      <c r="P1954" s="12">
        <v>0.81597457936398032</v>
      </c>
      <c r="Q1954" s="12">
        <v>0.94255622551868279</v>
      </c>
      <c r="R1954" s="12">
        <v>0.54687033778320604</v>
      </c>
      <c r="S1954" s="12">
        <v>0.68827905680644097</v>
      </c>
      <c r="T1954" s="12">
        <v>0.80387867710024485</v>
      </c>
      <c r="U1954" s="12">
        <v>0.68572438774181743</v>
      </c>
      <c r="V1954" s="12">
        <v>294.8596478944462</v>
      </c>
      <c r="W1954" s="12">
        <v>-54.14707989474136</v>
      </c>
      <c r="X1954" s="12">
        <v>-115.0330133310606</v>
      </c>
      <c r="Y1954" s="12">
        <v>2600</v>
      </c>
      <c r="Z1954" s="12">
        <v>7.5</v>
      </c>
      <c r="AA1954" s="12" t="s">
        <v>2513</v>
      </c>
      <c r="AB1954" s="12"/>
    </row>
    <row r="1955" spans="1:28" x14ac:dyDescent="0.3">
      <c r="A1955" s="12" t="s">
        <v>3867</v>
      </c>
      <c r="B1955" s="12" t="s">
        <v>170</v>
      </c>
      <c r="C1955" s="12" t="s">
        <v>439</v>
      </c>
      <c r="D1955" s="12" t="s">
        <v>724</v>
      </c>
      <c r="E1955" s="12" t="s">
        <v>2978</v>
      </c>
      <c r="F1955" s="12" t="s">
        <v>832</v>
      </c>
      <c r="G1955" s="12" t="s">
        <v>832</v>
      </c>
      <c r="H1955" s="12" t="b">
        <v>0</v>
      </c>
      <c r="I1955" s="12" t="b">
        <v>0</v>
      </c>
      <c r="J1955" s="12" t="b">
        <v>0</v>
      </c>
      <c r="K1955" s="12" t="b">
        <v>0</v>
      </c>
      <c r="L1955" s="12">
        <v>596.04316243164203</v>
      </c>
      <c r="M1955" s="12">
        <v>286.57015618620812</v>
      </c>
      <c r="N1955" s="12">
        <v>3000</v>
      </c>
      <c r="O1955" s="12">
        <v>400</v>
      </c>
      <c r="P1955" s="12">
        <v>0.58117508114257099</v>
      </c>
      <c r="Q1955" s="12">
        <v>0.41848948504951999</v>
      </c>
      <c r="R1955" s="12">
        <v>0.74291264167891391</v>
      </c>
      <c r="S1955" s="12">
        <v>0.8391448705881186</v>
      </c>
      <c r="T1955" s="12">
        <v>0.73255740845886563</v>
      </c>
      <c r="U1955" s="12">
        <v>0.7479482534664148</v>
      </c>
      <c r="V1955" s="12">
        <v>286.57015618620812</v>
      </c>
      <c r="W1955" s="12"/>
      <c r="X1955" s="12"/>
      <c r="Y1955" s="12">
        <v>2600</v>
      </c>
      <c r="Z1955" s="12">
        <v>7.5</v>
      </c>
      <c r="AA1955" s="12"/>
      <c r="AB1955" s="12"/>
    </row>
    <row r="1956" spans="1:28" x14ac:dyDescent="0.3">
      <c r="A1956" s="12" t="s">
        <v>3868</v>
      </c>
      <c r="B1956" s="12" t="s">
        <v>170</v>
      </c>
      <c r="C1956" s="12" t="s">
        <v>439</v>
      </c>
      <c r="D1956" s="12" t="s">
        <v>724</v>
      </c>
      <c r="E1956" s="12" t="s">
        <v>2978</v>
      </c>
      <c r="F1956" s="12" t="s">
        <v>1862</v>
      </c>
      <c r="G1956" s="12" t="s">
        <v>1862</v>
      </c>
      <c r="H1956" s="12" t="b">
        <v>1</v>
      </c>
      <c r="I1956" s="12" t="b">
        <v>0</v>
      </c>
      <c r="J1956" s="12" t="b">
        <v>1</v>
      </c>
      <c r="K1956" s="12" t="b">
        <v>0</v>
      </c>
      <c r="L1956" s="12">
        <v>498.13356719065638</v>
      </c>
      <c r="M1956" s="12">
        <v>293.39473207025429</v>
      </c>
      <c r="N1956" s="12">
        <v>3000</v>
      </c>
      <c r="O1956" s="12">
        <v>400</v>
      </c>
      <c r="P1956" s="12">
        <v>0.55941724452175279</v>
      </c>
      <c r="Q1956" s="12">
        <v>0.40703449695295768</v>
      </c>
      <c r="R1956" s="12">
        <v>0.78008768448031951</v>
      </c>
      <c r="S1956" s="12">
        <v>0.40216808095063122</v>
      </c>
      <c r="T1956" s="12">
        <v>0.6058928208565425</v>
      </c>
      <c r="U1956" s="12">
        <v>0.42169567253341661</v>
      </c>
      <c r="V1956" s="12">
        <v>293.39473207025429</v>
      </c>
      <c r="W1956" s="12">
        <v>-15.7882929301706</v>
      </c>
      <c r="X1956" s="12">
        <v>-83.906061173981541</v>
      </c>
      <c r="Y1956" s="12">
        <v>2600</v>
      </c>
      <c r="Z1956" s="12">
        <v>7.5</v>
      </c>
      <c r="AA1956" s="12" t="s">
        <v>2513</v>
      </c>
      <c r="AB1956" s="12"/>
    </row>
    <row r="1957" spans="1:28" x14ac:dyDescent="0.3">
      <c r="A1957" s="12" t="s">
        <v>3869</v>
      </c>
      <c r="B1957" s="12" t="s">
        <v>170</v>
      </c>
      <c r="C1957" s="12" t="s">
        <v>439</v>
      </c>
      <c r="D1957" s="12" t="s">
        <v>724</v>
      </c>
      <c r="E1957" s="12" t="s">
        <v>2978</v>
      </c>
      <c r="F1957" s="12" t="s">
        <v>1861</v>
      </c>
      <c r="G1957" s="12" t="s">
        <v>1861</v>
      </c>
      <c r="H1957" s="12" t="b">
        <v>1</v>
      </c>
      <c r="I1957" s="12" t="b">
        <v>0</v>
      </c>
      <c r="J1957" s="12" t="b">
        <v>1</v>
      </c>
      <c r="K1957" s="12" t="b">
        <v>0</v>
      </c>
      <c r="L1957" s="12">
        <v>589.46987491276684</v>
      </c>
      <c r="M1957" s="12">
        <v>296.54668595877979</v>
      </c>
      <c r="N1957" s="12">
        <v>3000</v>
      </c>
      <c r="O1957" s="12">
        <v>400</v>
      </c>
      <c r="P1957" s="12">
        <v>0.56751348212434216</v>
      </c>
      <c r="Q1957" s="12">
        <v>0.63654245672718568</v>
      </c>
      <c r="R1957" s="12">
        <v>0.8371673574729388</v>
      </c>
      <c r="S1957" s="12">
        <v>0.4282760875138969</v>
      </c>
      <c r="T1957" s="12">
        <v>0.4245403483389002</v>
      </c>
      <c r="U1957" s="12">
        <v>0.7678992029010272</v>
      </c>
      <c r="V1957" s="12">
        <v>296.54668595877979</v>
      </c>
      <c r="W1957" s="12">
        <v>8.4281874002587802</v>
      </c>
      <c r="X1957" s="12">
        <v>79.53155631557533</v>
      </c>
      <c r="Y1957" s="12">
        <v>2600</v>
      </c>
      <c r="Z1957" s="12">
        <v>7.5</v>
      </c>
      <c r="AA1957" s="12" t="s">
        <v>1268</v>
      </c>
      <c r="AB1957" s="12"/>
    </row>
    <row r="1958" spans="1:28" x14ac:dyDescent="0.3">
      <c r="A1958" s="12" t="s">
        <v>3870</v>
      </c>
      <c r="B1958" s="12" t="s">
        <v>170</v>
      </c>
      <c r="C1958" s="12" t="s">
        <v>439</v>
      </c>
      <c r="D1958" s="12" t="s">
        <v>724</v>
      </c>
      <c r="E1958" s="12" t="s">
        <v>2978</v>
      </c>
      <c r="F1958" s="12" t="s">
        <v>1861</v>
      </c>
      <c r="G1958" s="12" t="s">
        <v>1861</v>
      </c>
      <c r="H1958" s="12" t="b">
        <v>1</v>
      </c>
      <c r="I1958" s="12" t="b">
        <v>0</v>
      </c>
      <c r="J1958" s="12" t="b">
        <v>0</v>
      </c>
      <c r="K1958" s="12" t="b">
        <v>0</v>
      </c>
      <c r="L1958" s="12">
        <v>407.55318811460552</v>
      </c>
      <c r="M1958" s="12">
        <v>278.26247909729989</v>
      </c>
      <c r="N1958" s="12">
        <v>3000</v>
      </c>
      <c r="O1958" s="12">
        <v>400</v>
      </c>
      <c r="P1958" s="12">
        <v>0.79319583396971671</v>
      </c>
      <c r="Q1958" s="12">
        <v>0.78050498833159931</v>
      </c>
      <c r="R1958" s="12">
        <v>0.67750673848463827</v>
      </c>
      <c r="S1958" s="12">
        <v>0.72973490799551399</v>
      </c>
      <c r="T1958" s="12">
        <v>0.79078582476752701</v>
      </c>
      <c r="U1958" s="12">
        <v>0.89029001631679794</v>
      </c>
      <c r="V1958" s="12">
        <v>278.26247909729989</v>
      </c>
      <c r="W1958" s="12">
        <v>13.694920572129311</v>
      </c>
      <c r="X1958" s="12">
        <v>115.5861682010424</v>
      </c>
      <c r="Y1958" s="12">
        <v>2600</v>
      </c>
      <c r="Z1958" s="12">
        <v>7.5</v>
      </c>
      <c r="AA1958" s="12" t="s">
        <v>1268</v>
      </c>
      <c r="AB1958" s="12"/>
    </row>
    <row r="1959" spans="1:28" x14ac:dyDescent="0.3">
      <c r="A1959" s="12" t="s">
        <v>3871</v>
      </c>
      <c r="B1959" s="12" t="s">
        <v>170</v>
      </c>
      <c r="C1959" s="12" t="s">
        <v>439</v>
      </c>
      <c r="D1959" s="12" t="s">
        <v>724</v>
      </c>
      <c r="E1959" s="12" t="s">
        <v>2978</v>
      </c>
      <c r="F1959" s="12" t="s">
        <v>1861</v>
      </c>
      <c r="G1959" s="12" t="s">
        <v>1861</v>
      </c>
      <c r="H1959" s="12" t="b">
        <v>1</v>
      </c>
      <c r="I1959" s="12" t="b">
        <v>0</v>
      </c>
      <c r="J1959" s="12" t="b">
        <v>0</v>
      </c>
      <c r="K1959" s="12" t="b">
        <v>0</v>
      </c>
      <c r="L1959" s="12">
        <v>483.55051319640239</v>
      </c>
      <c r="M1959" s="12">
        <v>282.00441741711262</v>
      </c>
      <c r="N1959" s="12">
        <v>3000</v>
      </c>
      <c r="O1959" s="12">
        <v>400</v>
      </c>
      <c r="P1959" s="12">
        <v>0.67898653898917338</v>
      </c>
      <c r="Q1959" s="12">
        <v>0.68076434563715704</v>
      </c>
      <c r="R1959" s="12">
        <v>0.61259971962670579</v>
      </c>
      <c r="S1959" s="12">
        <v>0.41236937278140318</v>
      </c>
      <c r="T1959" s="12">
        <v>0.67637410813572929</v>
      </c>
      <c r="U1959" s="12">
        <v>0.59531416973377493</v>
      </c>
      <c r="V1959" s="12">
        <v>282.00441741711262</v>
      </c>
      <c r="W1959" s="12">
        <v>3.2216941932844798</v>
      </c>
      <c r="X1959" s="12">
        <v>21.482526900629299</v>
      </c>
      <c r="Y1959" s="12">
        <v>2600</v>
      </c>
      <c r="Z1959" s="12">
        <v>7.5</v>
      </c>
      <c r="AA1959" s="12" t="s">
        <v>1268</v>
      </c>
      <c r="AB1959" s="12"/>
    </row>
    <row r="1960" spans="1:28" x14ac:dyDescent="0.3">
      <c r="A1960" s="12" t="s">
        <v>3872</v>
      </c>
      <c r="B1960" s="12" t="s">
        <v>170</v>
      </c>
      <c r="C1960" s="12" t="s">
        <v>439</v>
      </c>
      <c r="D1960" s="12" t="s">
        <v>724</v>
      </c>
      <c r="E1960" s="12" t="s">
        <v>2978</v>
      </c>
      <c r="F1960" s="12" t="s">
        <v>1861</v>
      </c>
      <c r="G1960" s="12" t="s">
        <v>1861</v>
      </c>
      <c r="H1960" s="12" t="b">
        <v>1</v>
      </c>
      <c r="I1960" s="12" t="b">
        <v>0</v>
      </c>
      <c r="J1960" s="12" t="b">
        <v>1</v>
      </c>
      <c r="K1960" s="12" t="b">
        <v>0</v>
      </c>
      <c r="L1960" s="12">
        <v>513.73839219943375</v>
      </c>
      <c r="M1960" s="12">
        <v>296.23918888501299</v>
      </c>
      <c r="N1960" s="12">
        <v>3000</v>
      </c>
      <c r="O1960" s="12">
        <v>400</v>
      </c>
      <c r="P1960" s="12">
        <v>0.72515056215852769</v>
      </c>
      <c r="Q1960" s="12">
        <v>0.65323854884573695</v>
      </c>
      <c r="R1960" s="12">
        <v>0.89997453186145204</v>
      </c>
      <c r="S1960" s="12">
        <v>0.65647913482575526</v>
      </c>
      <c r="T1960" s="12">
        <v>0.61982977360466518</v>
      </c>
      <c r="U1960" s="12">
        <v>0.73188226018078528</v>
      </c>
      <c r="V1960" s="12">
        <v>296.23918888501299</v>
      </c>
      <c r="W1960" s="12">
        <v>2.3620649620967402</v>
      </c>
      <c r="X1960" s="12">
        <v>18.679373494949289</v>
      </c>
      <c r="Y1960" s="12">
        <v>2600</v>
      </c>
      <c r="Z1960" s="12">
        <v>7.5</v>
      </c>
      <c r="AA1960" s="12" t="s">
        <v>1268</v>
      </c>
      <c r="AB1960" s="12"/>
    </row>
    <row r="1961" spans="1:28" x14ac:dyDescent="0.3">
      <c r="A1961" s="12" t="s">
        <v>3873</v>
      </c>
      <c r="B1961" s="12" t="s">
        <v>170</v>
      </c>
      <c r="C1961" s="12" t="s">
        <v>448</v>
      </c>
      <c r="D1961" s="12" t="s">
        <v>728</v>
      </c>
      <c r="E1961" s="12" t="s">
        <v>2978</v>
      </c>
      <c r="F1961" s="12" t="s">
        <v>1862</v>
      </c>
      <c r="G1961" s="12" t="s">
        <v>1862</v>
      </c>
      <c r="H1961" s="12" t="b">
        <v>1</v>
      </c>
      <c r="I1961" s="12" t="b">
        <v>0</v>
      </c>
      <c r="J1961" s="12" t="b">
        <v>0</v>
      </c>
      <c r="K1961" s="12" t="b">
        <v>0</v>
      </c>
      <c r="L1961" s="12">
        <v>405.82572243121899</v>
      </c>
      <c r="M1961" s="12">
        <v>300.032917</v>
      </c>
      <c r="N1961" s="12">
        <v>3000</v>
      </c>
      <c r="O1961" s="12">
        <v>400</v>
      </c>
      <c r="P1961" s="12">
        <v>0.58651115483454608</v>
      </c>
      <c r="Q1961" s="12">
        <v>0.47124596435370009</v>
      </c>
      <c r="R1961" s="12">
        <v>0.61835832675021285</v>
      </c>
      <c r="S1961" s="12">
        <v>0.8427195404490937</v>
      </c>
      <c r="T1961" s="12">
        <v>0.43203205044007531</v>
      </c>
      <c r="U1961" s="12">
        <v>0.4432245237636992</v>
      </c>
      <c r="V1961" s="12">
        <v>300.032917</v>
      </c>
      <c r="W1961" s="12">
        <v>-42.987169244078082</v>
      </c>
      <c r="X1961" s="12">
        <v>-86.762057528927642</v>
      </c>
      <c r="Y1961" s="12">
        <v>2600</v>
      </c>
      <c r="Z1961" s="12">
        <v>7.5</v>
      </c>
      <c r="AA1961" s="12" t="s">
        <v>2513</v>
      </c>
      <c r="AB1961" s="12"/>
    </row>
    <row r="1962" spans="1:28" x14ac:dyDescent="0.3">
      <c r="A1962" s="12" t="s">
        <v>3874</v>
      </c>
      <c r="B1962" s="12" t="s">
        <v>170</v>
      </c>
      <c r="C1962" s="12" t="s">
        <v>448</v>
      </c>
      <c r="D1962" s="12" t="s">
        <v>728</v>
      </c>
      <c r="E1962" s="12" t="s">
        <v>2978</v>
      </c>
      <c r="F1962" s="12" t="s">
        <v>1861</v>
      </c>
      <c r="G1962" s="12" t="s">
        <v>1861</v>
      </c>
      <c r="H1962" s="12" t="b">
        <v>1</v>
      </c>
      <c r="I1962" s="12" t="b">
        <v>0</v>
      </c>
      <c r="J1962" s="12" t="b">
        <v>1</v>
      </c>
      <c r="K1962" s="12" t="b">
        <v>0</v>
      </c>
      <c r="L1962" s="12">
        <v>518.457465398208</v>
      </c>
      <c r="M1962" s="12">
        <v>300.032917</v>
      </c>
      <c r="N1962" s="12">
        <v>3000</v>
      </c>
      <c r="O1962" s="12">
        <v>400</v>
      </c>
      <c r="P1962" s="12">
        <v>0.65563335577155413</v>
      </c>
      <c r="Q1962" s="12">
        <v>0.76135215037131054</v>
      </c>
      <c r="R1962" s="12">
        <v>0.86584494993727579</v>
      </c>
      <c r="S1962" s="12">
        <v>0.78502323491839565</v>
      </c>
      <c r="T1962" s="12">
        <v>0.77067976773957247</v>
      </c>
      <c r="U1962" s="12">
        <v>0.7990911381897311</v>
      </c>
      <c r="V1962" s="12">
        <v>300.032917</v>
      </c>
      <c r="W1962" s="12">
        <v>9.3029654621260303</v>
      </c>
      <c r="X1962" s="12">
        <v>109.0508751126582</v>
      </c>
      <c r="Y1962" s="12">
        <v>2600</v>
      </c>
      <c r="Z1962" s="12">
        <v>7.5</v>
      </c>
      <c r="AA1962" s="12" t="s">
        <v>1268</v>
      </c>
      <c r="AB1962" s="12"/>
    </row>
    <row r="1963" spans="1:28" x14ac:dyDescent="0.3">
      <c r="A1963" s="12" t="s">
        <v>3875</v>
      </c>
      <c r="B1963" s="12" t="s">
        <v>170</v>
      </c>
      <c r="C1963" s="12" t="s">
        <v>448</v>
      </c>
      <c r="D1963" s="12" t="s">
        <v>728</v>
      </c>
      <c r="E1963" s="12" t="s">
        <v>2978</v>
      </c>
      <c r="F1963" s="12" t="s">
        <v>1862</v>
      </c>
      <c r="G1963" s="12" t="s">
        <v>1862</v>
      </c>
      <c r="H1963" s="12" t="b">
        <v>1</v>
      </c>
      <c r="I1963" s="12" t="b">
        <v>0</v>
      </c>
      <c r="J1963" s="12" t="b">
        <v>1</v>
      </c>
      <c r="K1963" s="12" t="b">
        <v>0</v>
      </c>
      <c r="L1963" s="12">
        <v>572.75272974187601</v>
      </c>
      <c r="M1963" s="12">
        <v>300.032917</v>
      </c>
      <c r="N1963" s="12">
        <v>3000</v>
      </c>
      <c r="O1963" s="12">
        <v>400</v>
      </c>
      <c r="P1963" s="12">
        <v>0.81782692774062915</v>
      </c>
      <c r="Q1963" s="12">
        <v>0.66111430288978756</v>
      </c>
      <c r="R1963" s="12">
        <v>0.80199804099806749</v>
      </c>
      <c r="S1963" s="12">
        <v>0.4516189104844705</v>
      </c>
      <c r="T1963" s="12">
        <v>0.67911005298620719</v>
      </c>
      <c r="U1963" s="12">
        <v>0.91630368859689204</v>
      </c>
      <c r="V1963" s="12">
        <v>300.032917</v>
      </c>
      <c r="W1963" s="12">
        <v>-10.121682542386701</v>
      </c>
      <c r="X1963" s="12">
        <v>-49.193015207358542</v>
      </c>
      <c r="Y1963" s="12">
        <v>2600</v>
      </c>
      <c r="Z1963" s="12">
        <v>7.5</v>
      </c>
      <c r="AA1963" s="12" t="s">
        <v>2513</v>
      </c>
      <c r="AB1963" s="12"/>
    </row>
    <row r="1964" spans="1:28" x14ac:dyDescent="0.3">
      <c r="A1964" s="12" t="s">
        <v>3876</v>
      </c>
      <c r="B1964" s="12" t="s">
        <v>170</v>
      </c>
      <c r="C1964" s="12" t="s">
        <v>448</v>
      </c>
      <c r="D1964" s="12" t="s">
        <v>728</v>
      </c>
      <c r="E1964" s="12" t="s">
        <v>2978</v>
      </c>
      <c r="F1964" s="12" t="s">
        <v>1862</v>
      </c>
      <c r="G1964" s="12" t="s">
        <v>1862</v>
      </c>
      <c r="H1964" s="12" t="b">
        <v>1</v>
      </c>
      <c r="I1964" s="12" t="b">
        <v>0</v>
      </c>
      <c r="J1964" s="12" t="b">
        <v>1</v>
      </c>
      <c r="K1964" s="12" t="b">
        <v>0</v>
      </c>
      <c r="L1964" s="12">
        <v>475.28121849647238</v>
      </c>
      <c r="M1964" s="12">
        <v>300.032917</v>
      </c>
      <c r="N1964" s="12">
        <v>3000</v>
      </c>
      <c r="O1964" s="12">
        <v>400</v>
      </c>
      <c r="P1964" s="12">
        <v>0.69046301186466918</v>
      </c>
      <c r="Q1964" s="12">
        <v>0.58219206257697442</v>
      </c>
      <c r="R1964" s="12">
        <v>0.62796551568984649</v>
      </c>
      <c r="S1964" s="12">
        <v>0.72558761352579038</v>
      </c>
      <c r="T1964" s="12">
        <v>0.51040264816985514</v>
      </c>
      <c r="U1964" s="12">
        <v>0.73815251839393858</v>
      </c>
      <c r="V1964" s="12">
        <v>300.032917</v>
      </c>
      <c r="W1964" s="12">
        <v>-8.5568533266927496</v>
      </c>
      <c r="X1964" s="12">
        <v>-67.595529052685833</v>
      </c>
      <c r="Y1964" s="12">
        <v>2600</v>
      </c>
      <c r="Z1964" s="12">
        <v>7.5</v>
      </c>
      <c r="AA1964" s="12" t="s">
        <v>2513</v>
      </c>
      <c r="AB1964" s="12"/>
    </row>
    <row r="1965" spans="1:28" x14ac:dyDescent="0.3">
      <c r="A1965" s="12" t="s">
        <v>3877</v>
      </c>
      <c r="B1965" s="12" t="s">
        <v>170</v>
      </c>
      <c r="C1965" s="12" t="s">
        <v>448</v>
      </c>
      <c r="D1965" s="12" t="s">
        <v>728</v>
      </c>
      <c r="E1965" s="12" t="s">
        <v>2978</v>
      </c>
      <c r="F1965" s="12" t="s">
        <v>832</v>
      </c>
      <c r="G1965" s="12" t="s">
        <v>832</v>
      </c>
      <c r="H1965" s="12" t="b">
        <v>0</v>
      </c>
      <c r="I1965" s="12" t="b">
        <v>0</v>
      </c>
      <c r="J1965" s="12" t="b">
        <v>0</v>
      </c>
      <c r="K1965" s="12" t="b">
        <v>0</v>
      </c>
      <c r="L1965" s="12">
        <v>543.29523370687764</v>
      </c>
      <c r="M1965" s="12">
        <v>300.032917</v>
      </c>
      <c r="N1965" s="12">
        <v>3000</v>
      </c>
      <c r="O1965" s="12">
        <v>400</v>
      </c>
      <c r="P1965" s="12">
        <v>0.8418107283277434</v>
      </c>
      <c r="Q1965" s="12">
        <v>0.49276673298719798</v>
      </c>
      <c r="R1965" s="12">
        <v>0.48528287942617843</v>
      </c>
      <c r="S1965" s="12">
        <v>0.57670893975245829</v>
      </c>
      <c r="T1965" s="12">
        <v>0.80358104182245582</v>
      </c>
      <c r="U1965" s="12">
        <v>0.84694732219896507</v>
      </c>
      <c r="V1965" s="12">
        <v>300.032917</v>
      </c>
      <c r="W1965" s="12"/>
      <c r="X1965" s="12"/>
      <c r="Y1965" s="12">
        <v>2600</v>
      </c>
      <c r="Z1965" s="12">
        <v>7.5</v>
      </c>
      <c r="AA1965" s="12"/>
      <c r="AB1965" s="12"/>
    </row>
    <row r="1966" spans="1:28" x14ac:dyDescent="0.3">
      <c r="A1966" s="12" t="s">
        <v>3878</v>
      </c>
      <c r="B1966" s="12" t="s">
        <v>170</v>
      </c>
      <c r="C1966" s="12" t="s">
        <v>448</v>
      </c>
      <c r="D1966" s="12" t="s">
        <v>728</v>
      </c>
      <c r="E1966" s="12" t="s">
        <v>2978</v>
      </c>
      <c r="F1966" s="12" t="s">
        <v>1861</v>
      </c>
      <c r="G1966" s="12" t="s">
        <v>1861</v>
      </c>
      <c r="H1966" s="12" t="b">
        <v>1</v>
      </c>
      <c r="I1966" s="12" t="b">
        <v>0</v>
      </c>
      <c r="J1966" s="12" t="b">
        <v>1</v>
      </c>
      <c r="K1966" s="12" t="b">
        <v>0</v>
      </c>
      <c r="L1966" s="12">
        <v>507.09485430448223</v>
      </c>
      <c r="M1966" s="12">
        <v>300.032917</v>
      </c>
      <c r="N1966" s="12">
        <v>3000</v>
      </c>
      <c r="O1966" s="12">
        <v>400</v>
      </c>
      <c r="P1966" s="12">
        <v>0.73796925063046637</v>
      </c>
      <c r="Q1966" s="12">
        <v>0.93181013436876603</v>
      </c>
      <c r="R1966" s="12">
        <v>0.91039504507846125</v>
      </c>
      <c r="S1966" s="12">
        <v>0.69800335834105043</v>
      </c>
      <c r="T1966" s="12">
        <v>0.5027405943218124</v>
      </c>
      <c r="U1966" s="12">
        <v>0.6699698035893451</v>
      </c>
      <c r="V1966" s="12">
        <v>300.032917</v>
      </c>
      <c r="W1966" s="12">
        <v>12.14238993160939</v>
      </c>
      <c r="X1966" s="12">
        <v>86.087302725756331</v>
      </c>
      <c r="Y1966" s="12">
        <v>2600</v>
      </c>
      <c r="Z1966" s="12">
        <v>7.5</v>
      </c>
      <c r="AA1966" s="12" t="s">
        <v>1981</v>
      </c>
      <c r="AB1966" s="12"/>
    </row>
    <row r="1967" spans="1:28" x14ac:dyDescent="0.3">
      <c r="A1967" s="12" t="s">
        <v>3879</v>
      </c>
      <c r="B1967" s="12" t="s">
        <v>170</v>
      </c>
      <c r="C1967" s="12" t="s">
        <v>448</v>
      </c>
      <c r="D1967" s="12" t="s">
        <v>728</v>
      </c>
      <c r="E1967" s="12" t="s">
        <v>2978</v>
      </c>
      <c r="F1967" s="12" t="s">
        <v>1863</v>
      </c>
      <c r="G1967" s="12" t="s">
        <v>832</v>
      </c>
      <c r="H1967" s="12" t="b">
        <v>0</v>
      </c>
      <c r="I1967" s="12" t="b">
        <v>0</v>
      </c>
      <c r="J1967" s="12" t="b">
        <v>1</v>
      </c>
      <c r="K1967" s="12" t="b">
        <v>0</v>
      </c>
      <c r="L1967" s="12">
        <v>512.45782474410726</v>
      </c>
      <c r="M1967" s="12">
        <v>300.032917</v>
      </c>
      <c r="N1967" s="12">
        <v>3000</v>
      </c>
      <c r="O1967" s="12">
        <v>400</v>
      </c>
      <c r="P1967" s="12">
        <v>0.59429004705693544</v>
      </c>
      <c r="Q1967" s="12">
        <v>0.41611337881632088</v>
      </c>
      <c r="R1967" s="12">
        <v>0.6084509275637171</v>
      </c>
      <c r="S1967" s="12">
        <v>0.91369881176362444</v>
      </c>
      <c r="T1967" s="12">
        <v>0.52456065543454011</v>
      </c>
      <c r="U1967" s="12">
        <v>0.74959244914843115</v>
      </c>
      <c r="V1967" s="12">
        <v>300.032917</v>
      </c>
      <c r="W1967" s="12">
        <v>-2.8029825361511702</v>
      </c>
      <c r="X1967" s="12">
        <v>-36.546265556861869</v>
      </c>
      <c r="Y1967" s="12">
        <v>2600</v>
      </c>
      <c r="Z1967" s="12">
        <v>7.5</v>
      </c>
      <c r="AA1967" s="12" t="s">
        <v>3322</v>
      </c>
      <c r="AB1967" s="12"/>
    </row>
    <row r="1968" spans="1:28" x14ac:dyDescent="0.3">
      <c r="A1968" s="12" t="s">
        <v>3880</v>
      </c>
      <c r="B1968" s="12" t="s">
        <v>170</v>
      </c>
      <c r="C1968" s="12" t="s">
        <v>448</v>
      </c>
      <c r="D1968" s="12" t="s">
        <v>728</v>
      </c>
      <c r="E1968" s="12" t="s">
        <v>2978</v>
      </c>
      <c r="F1968" s="12" t="s">
        <v>1861</v>
      </c>
      <c r="G1968" s="12" t="s">
        <v>1861</v>
      </c>
      <c r="H1968" s="12" t="b">
        <v>1</v>
      </c>
      <c r="I1968" s="12" t="b">
        <v>0</v>
      </c>
      <c r="J1968" s="12" t="b">
        <v>1</v>
      </c>
      <c r="K1968" s="12" t="b">
        <v>0</v>
      </c>
      <c r="L1968" s="12">
        <v>590.46188992077271</v>
      </c>
      <c r="M1968" s="12">
        <v>300.032917</v>
      </c>
      <c r="N1968" s="12">
        <v>3000</v>
      </c>
      <c r="O1968" s="12">
        <v>400</v>
      </c>
      <c r="P1968" s="12">
        <v>0.52639807054318355</v>
      </c>
      <c r="Q1968" s="12">
        <v>0.46746904559020591</v>
      </c>
      <c r="R1968" s="12">
        <v>0.81788753301221129</v>
      </c>
      <c r="S1968" s="12">
        <v>0.75110396360219656</v>
      </c>
      <c r="T1968" s="12">
        <v>0.46670923314675339</v>
      </c>
      <c r="U1968" s="12">
        <v>0.77695326138124154</v>
      </c>
      <c r="V1968" s="12">
        <v>300.032917</v>
      </c>
      <c r="W1968" s="12">
        <v>5.1896362940867302</v>
      </c>
      <c r="X1968" s="12">
        <v>82.264963376827382</v>
      </c>
      <c r="Y1968" s="12">
        <v>2600</v>
      </c>
      <c r="Z1968" s="12">
        <v>7.5</v>
      </c>
      <c r="AA1968" s="12" t="s">
        <v>1268</v>
      </c>
      <c r="AB1968" s="12"/>
    </row>
    <row r="1969" spans="1:28" x14ac:dyDescent="0.3">
      <c r="A1969" s="12" t="s">
        <v>3881</v>
      </c>
      <c r="B1969" s="12" t="s">
        <v>170</v>
      </c>
      <c r="C1969" s="12" t="s">
        <v>448</v>
      </c>
      <c r="D1969" s="12" t="s">
        <v>728</v>
      </c>
      <c r="E1969" s="12" t="s">
        <v>2978</v>
      </c>
      <c r="F1969" s="12" t="s">
        <v>1862</v>
      </c>
      <c r="G1969" s="12" t="s">
        <v>1862</v>
      </c>
      <c r="H1969" s="12" t="b">
        <v>1</v>
      </c>
      <c r="I1969" s="12" t="b">
        <v>0</v>
      </c>
      <c r="J1969" s="12" t="b">
        <v>1</v>
      </c>
      <c r="K1969" s="12" t="b">
        <v>0</v>
      </c>
      <c r="L1969" s="12">
        <v>568.24473711013059</v>
      </c>
      <c r="M1969" s="12">
        <v>300.032917</v>
      </c>
      <c r="N1969" s="12">
        <v>3000</v>
      </c>
      <c r="O1969" s="12">
        <v>400</v>
      </c>
      <c r="P1969" s="12">
        <v>0.79323949891569767</v>
      </c>
      <c r="Q1969" s="12">
        <v>0.5489582732686098</v>
      </c>
      <c r="R1969" s="12">
        <v>0.9087417107705692</v>
      </c>
      <c r="S1969" s="12">
        <v>0.49380068127324778</v>
      </c>
      <c r="T1969" s="12">
        <v>0.65542964095607059</v>
      </c>
      <c r="U1969" s="12">
        <v>0.94685105384449797</v>
      </c>
      <c r="V1969" s="12">
        <v>300.032917</v>
      </c>
      <c r="W1969" s="12">
        <v>-5.4458643140477108</v>
      </c>
      <c r="X1969" s="12">
        <v>-32.990114680932123</v>
      </c>
      <c r="Y1969" s="12">
        <v>2600</v>
      </c>
      <c r="Z1969" s="12">
        <v>7.5</v>
      </c>
      <c r="AA1969" s="12" t="s">
        <v>2513</v>
      </c>
      <c r="AB1969" s="12"/>
    </row>
    <row r="1970" spans="1:28" x14ac:dyDescent="0.3">
      <c r="A1970" s="12" t="s">
        <v>3882</v>
      </c>
      <c r="B1970" s="12" t="s">
        <v>170</v>
      </c>
      <c r="C1970" s="12" t="s">
        <v>448</v>
      </c>
      <c r="D1970" s="12" t="s">
        <v>728</v>
      </c>
      <c r="E1970" s="12" t="s">
        <v>2978</v>
      </c>
      <c r="F1970" s="12" t="s">
        <v>1862</v>
      </c>
      <c r="G1970" s="12" t="s">
        <v>1862</v>
      </c>
      <c r="H1970" s="12" t="b">
        <v>1</v>
      </c>
      <c r="I1970" s="12" t="b">
        <v>0</v>
      </c>
      <c r="J1970" s="12" t="b">
        <v>1</v>
      </c>
      <c r="K1970" s="12" t="b">
        <v>0</v>
      </c>
      <c r="L1970" s="12">
        <v>491.4082682154102</v>
      </c>
      <c r="M1970" s="12">
        <v>300.032917</v>
      </c>
      <c r="N1970" s="12">
        <v>3000</v>
      </c>
      <c r="O1970" s="12">
        <v>400</v>
      </c>
      <c r="P1970" s="12">
        <v>0.65959866172021409</v>
      </c>
      <c r="Q1970" s="12">
        <v>0.61776171700124349</v>
      </c>
      <c r="R1970" s="12">
        <v>0.65398418740809938</v>
      </c>
      <c r="S1970" s="12">
        <v>0.4769752007547694</v>
      </c>
      <c r="T1970" s="12">
        <v>0.45857510500106458</v>
      </c>
      <c r="U1970" s="12">
        <v>0.53237204585097397</v>
      </c>
      <c r="V1970" s="12">
        <v>300.032917</v>
      </c>
      <c r="W1970" s="12">
        <v>-20.694007052734019</v>
      </c>
      <c r="X1970" s="12">
        <v>-101.2537546614108</v>
      </c>
      <c r="Y1970" s="12">
        <v>2600</v>
      </c>
      <c r="Z1970" s="12">
        <v>7.5</v>
      </c>
      <c r="AA1970" s="12" t="s">
        <v>2513</v>
      </c>
      <c r="AB1970" s="12"/>
    </row>
    <row r="1971" spans="1:28" x14ac:dyDescent="0.3">
      <c r="A1971" s="12" t="s">
        <v>3883</v>
      </c>
      <c r="B1971" s="12" t="s">
        <v>170</v>
      </c>
      <c r="C1971" s="12" t="s">
        <v>448</v>
      </c>
      <c r="D1971" s="12" t="s">
        <v>728</v>
      </c>
      <c r="E1971" s="12" t="s">
        <v>2978</v>
      </c>
      <c r="F1971" s="12" t="s">
        <v>1862</v>
      </c>
      <c r="G1971" s="12" t="s">
        <v>1862</v>
      </c>
      <c r="H1971" s="12" t="b">
        <v>1</v>
      </c>
      <c r="I1971" s="12" t="b">
        <v>0</v>
      </c>
      <c r="J1971" s="12" t="b">
        <v>1</v>
      </c>
      <c r="K1971" s="12" t="b">
        <v>0</v>
      </c>
      <c r="L1971" s="12">
        <v>609.10638082513947</v>
      </c>
      <c r="M1971" s="12">
        <v>300.032917</v>
      </c>
      <c r="N1971" s="12">
        <v>3000</v>
      </c>
      <c r="O1971" s="12">
        <v>400</v>
      </c>
      <c r="P1971" s="12">
        <v>0.61169806900184076</v>
      </c>
      <c r="Q1971" s="12">
        <v>0.76418874276032944</v>
      </c>
      <c r="R1971" s="12">
        <v>0.43781097571695388</v>
      </c>
      <c r="S1971" s="12">
        <v>0.53895176918575627</v>
      </c>
      <c r="T1971" s="12">
        <v>0.83580007621927233</v>
      </c>
      <c r="U1971" s="12">
        <v>0.4975210361061862</v>
      </c>
      <c r="V1971" s="12">
        <v>300.032917</v>
      </c>
      <c r="W1971" s="12">
        <v>-30.109081333368671</v>
      </c>
      <c r="X1971" s="12">
        <v>-180.36896175290681</v>
      </c>
      <c r="Y1971" s="12">
        <v>2600</v>
      </c>
      <c r="Z1971" s="12">
        <v>7.5</v>
      </c>
      <c r="AA1971" s="12" t="s">
        <v>2513</v>
      </c>
      <c r="AB1971" s="12"/>
    </row>
    <row r="1972" spans="1:28" x14ac:dyDescent="0.3">
      <c r="A1972" s="12" t="s">
        <v>3884</v>
      </c>
      <c r="B1972" s="12" t="s">
        <v>170</v>
      </c>
      <c r="C1972" s="12" t="s">
        <v>448</v>
      </c>
      <c r="D1972" s="12" t="s">
        <v>728</v>
      </c>
      <c r="E1972" s="12" t="s">
        <v>2978</v>
      </c>
      <c r="F1972" s="12" t="s">
        <v>1862</v>
      </c>
      <c r="G1972" s="12" t="s">
        <v>1862</v>
      </c>
      <c r="H1972" s="12" t="b">
        <v>1</v>
      </c>
      <c r="I1972" s="12" t="b">
        <v>0</v>
      </c>
      <c r="J1972" s="12" t="b">
        <v>1</v>
      </c>
      <c r="K1972" s="12" t="b">
        <v>0</v>
      </c>
      <c r="L1972" s="12">
        <v>532.67510810646581</v>
      </c>
      <c r="M1972" s="12">
        <v>300.032917</v>
      </c>
      <c r="N1972" s="12">
        <v>3000</v>
      </c>
      <c r="O1972" s="12">
        <v>400</v>
      </c>
      <c r="P1972" s="12">
        <v>0.61472451075386092</v>
      </c>
      <c r="Q1972" s="12">
        <v>0.44720700809601599</v>
      </c>
      <c r="R1972" s="12">
        <v>0.40639957915497138</v>
      </c>
      <c r="S1972" s="12">
        <v>0.69375166522546872</v>
      </c>
      <c r="T1972" s="12">
        <v>0.41960713581995629</v>
      </c>
      <c r="U1972" s="12">
        <v>0.86100346702334418</v>
      </c>
      <c r="V1972" s="12">
        <v>300.032917</v>
      </c>
      <c r="W1972" s="12">
        <v>-4.0017189384692298</v>
      </c>
      <c r="X1972" s="12">
        <v>-47.825967358975817</v>
      </c>
      <c r="Y1972" s="12">
        <v>2600</v>
      </c>
      <c r="Z1972" s="12">
        <v>7.5</v>
      </c>
      <c r="AA1972" s="12" t="s">
        <v>2513</v>
      </c>
      <c r="AB1972" s="12"/>
    </row>
    <row r="1973" spans="1:28" x14ac:dyDescent="0.3">
      <c r="A1973" s="12" t="s">
        <v>3885</v>
      </c>
      <c r="B1973" s="12" t="s">
        <v>170</v>
      </c>
      <c r="C1973" s="12" t="s">
        <v>448</v>
      </c>
      <c r="D1973" s="12" t="s">
        <v>728</v>
      </c>
      <c r="E1973" s="12" t="s">
        <v>2978</v>
      </c>
      <c r="F1973" s="12" t="s">
        <v>1861</v>
      </c>
      <c r="G1973" s="12" t="s">
        <v>1861</v>
      </c>
      <c r="H1973" s="12" t="b">
        <v>1</v>
      </c>
      <c r="I1973" s="12" t="b">
        <v>0</v>
      </c>
      <c r="J1973" s="12" t="b">
        <v>1</v>
      </c>
      <c r="K1973" s="12" t="b">
        <v>0</v>
      </c>
      <c r="L1973" s="12">
        <v>551.00908429314654</v>
      </c>
      <c r="M1973" s="12">
        <v>300.032917</v>
      </c>
      <c r="N1973" s="12">
        <v>3000</v>
      </c>
      <c r="O1973" s="12">
        <v>400</v>
      </c>
      <c r="P1973" s="12">
        <v>0.63900201783947641</v>
      </c>
      <c r="Q1973" s="12">
        <v>0.64066945846672496</v>
      </c>
      <c r="R1973" s="12">
        <v>0.81391270476321365</v>
      </c>
      <c r="S1973" s="12">
        <v>0.81163075090410874</v>
      </c>
      <c r="T1973" s="12">
        <v>0.74286616072079825</v>
      </c>
      <c r="U1973" s="12">
        <v>0.78760998277328598</v>
      </c>
      <c r="V1973" s="12">
        <v>300.032917</v>
      </c>
      <c r="W1973" s="12">
        <v>5.7874104107641502</v>
      </c>
      <c r="X1973" s="12">
        <v>74.818182119140005</v>
      </c>
      <c r="Y1973" s="12">
        <v>2600</v>
      </c>
      <c r="Z1973" s="12">
        <v>7.5</v>
      </c>
      <c r="AA1973" s="12" t="s">
        <v>1268</v>
      </c>
      <c r="AB1973" s="12"/>
    </row>
    <row r="1974" spans="1:28" x14ac:dyDescent="0.3">
      <c r="A1974" s="12" t="s">
        <v>3886</v>
      </c>
      <c r="B1974" s="12" t="s">
        <v>170</v>
      </c>
      <c r="C1974" s="12" t="s">
        <v>448</v>
      </c>
      <c r="D1974" s="12" t="s">
        <v>728</v>
      </c>
      <c r="E1974" s="12" t="s">
        <v>2978</v>
      </c>
      <c r="F1974" s="12" t="s">
        <v>1862</v>
      </c>
      <c r="G1974" s="12" t="s">
        <v>1862</v>
      </c>
      <c r="H1974" s="12" t="b">
        <v>1</v>
      </c>
      <c r="I1974" s="12" t="b">
        <v>0</v>
      </c>
      <c r="J1974" s="12" t="b">
        <v>0</v>
      </c>
      <c r="K1974" s="12" t="b">
        <v>0</v>
      </c>
      <c r="L1974" s="12">
        <v>412.94615419908803</v>
      </c>
      <c r="M1974" s="12">
        <v>300.032917</v>
      </c>
      <c r="N1974" s="12">
        <v>3000</v>
      </c>
      <c r="O1974" s="12">
        <v>400</v>
      </c>
      <c r="P1974" s="12">
        <v>0.72677988336340416</v>
      </c>
      <c r="Q1974" s="12">
        <v>0.4086064574119308</v>
      </c>
      <c r="R1974" s="12">
        <v>0.87814784583278294</v>
      </c>
      <c r="S1974" s="12">
        <v>0.79659838612330458</v>
      </c>
      <c r="T1974" s="12">
        <v>0.41188159401356861</v>
      </c>
      <c r="U1974" s="12">
        <v>0.63310956218371772</v>
      </c>
      <c r="V1974" s="12">
        <v>300.032917</v>
      </c>
      <c r="W1974" s="12">
        <v>-39.770310422593333</v>
      </c>
      <c r="X1974" s="12">
        <v>-102.4858765127163</v>
      </c>
      <c r="Y1974" s="12">
        <v>2600</v>
      </c>
      <c r="Z1974" s="12">
        <v>7.5</v>
      </c>
      <c r="AA1974" s="12" t="s">
        <v>2513</v>
      </c>
      <c r="AB1974" s="12"/>
    </row>
    <row r="1975" spans="1:28" x14ac:dyDescent="0.3">
      <c r="A1975" s="12" t="s">
        <v>3887</v>
      </c>
      <c r="B1975" s="12" t="s">
        <v>170</v>
      </c>
      <c r="C1975" s="12" t="s">
        <v>448</v>
      </c>
      <c r="D1975" s="12" t="s">
        <v>728</v>
      </c>
      <c r="E1975" s="12" t="s">
        <v>2978</v>
      </c>
      <c r="F1975" s="12" t="s">
        <v>1862</v>
      </c>
      <c r="G1975" s="12" t="s">
        <v>1862</v>
      </c>
      <c r="H1975" s="12" t="b">
        <v>1</v>
      </c>
      <c r="I1975" s="12" t="b">
        <v>0</v>
      </c>
      <c r="J1975" s="12" t="b">
        <v>0</v>
      </c>
      <c r="K1975" s="12" t="b">
        <v>0</v>
      </c>
      <c r="L1975" s="12">
        <v>390.60563403731862</v>
      </c>
      <c r="M1975" s="12">
        <v>300.032917</v>
      </c>
      <c r="N1975" s="12">
        <v>3000</v>
      </c>
      <c r="O1975" s="12">
        <v>400</v>
      </c>
      <c r="P1975" s="12">
        <v>0.63594384184923869</v>
      </c>
      <c r="Q1975" s="12">
        <v>0.56910258661506874</v>
      </c>
      <c r="R1975" s="12">
        <v>0.50685731245285792</v>
      </c>
      <c r="S1975" s="12">
        <v>0.44697827172908949</v>
      </c>
      <c r="T1975" s="12">
        <v>0.43820910083239301</v>
      </c>
      <c r="U1975" s="12">
        <v>0.64108221852415648</v>
      </c>
      <c r="V1975" s="12">
        <v>300.032917</v>
      </c>
      <c r="W1975" s="12">
        <v>-91.198227150367401</v>
      </c>
      <c r="X1975" s="12">
        <v>-97.877398407078317</v>
      </c>
      <c r="Y1975" s="12">
        <v>2600</v>
      </c>
      <c r="Z1975" s="12">
        <v>7.5</v>
      </c>
      <c r="AA1975" s="12" t="s">
        <v>2513</v>
      </c>
      <c r="AB1975" s="12"/>
    </row>
    <row r="1976" spans="1:28" x14ac:dyDescent="0.3">
      <c r="A1976" s="12" t="s">
        <v>3888</v>
      </c>
      <c r="B1976" s="12" t="s">
        <v>170</v>
      </c>
      <c r="C1976" s="12" t="s">
        <v>448</v>
      </c>
      <c r="D1976" s="12" t="s">
        <v>728</v>
      </c>
      <c r="E1976" s="12" t="s">
        <v>2978</v>
      </c>
      <c r="F1976" s="12" t="s">
        <v>1861</v>
      </c>
      <c r="G1976" s="12" t="s">
        <v>1861</v>
      </c>
      <c r="H1976" s="12" t="b">
        <v>1</v>
      </c>
      <c r="I1976" s="12" t="b">
        <v>0</v>
      </c>
      <c r="J1976" s="12" t="b">
        <v>1</v>
      </c>
      <c r="K1976" s="12" t="b">
        <v>0</v>
      </c>
      <c r="L1976" s="12">
        <v>553.80820390528072</v>
      </c>
      <c r="M1976" s="12">
        <v>300.032917</v>
      </c>
      <c r="N1976" s="12">
        <v>3000</v>
      </c>
      <c r="O1976" s="12">
        <v>400</v>
      </c>
      <c r="P1976" s="12">
        <v>0.54470043267073587</v>
      </c>
      <c r="Q1976" s="12">
        <v>0.58904902803313564</v>
      </c>
      <c r="R1976" s="12">
        <v>0.94501323197160603</v>
      </c>
      <c r="S1976" s="12">
        <v>0.4228429427927286</v>
      </c>
      <c r="T1976" s="12">
        <v>0.69108331458525107</v>
      </c>
      <c r="U1976" s="12">
        <v>0.4792143232393099</v>
      </c>
      <c r="V1976" s="12">
        <v>300.032917</v>
      </c>
      <c r="W1976" s="12">
        <v>0.75488205661574004</v>
      </c>
      <c r="X1976" s="12">
        <v>5.0378763870326679</v>
      </c>
      <c r="Y1976" s="12">
        <v>2600</v>
      </c>
      <c r="Z1976" s="12">
        <v>7.5</v>
      </c>
      <c r="AA1976" s="12" t="s">
        <v>1268</v>
      </c>
      <c r="AB1976" s="12"/>
    </row>
    <row r="1977" spans="1:28" x14ac:dyDescent="0.3">
      <c r="A1977" s="12" t="s">
        <v>3889</v>
      </c>
      <c r="B1977" s="12" t="s">
        <v>170</v>
      </c>
      <c r="C1977" s="12" t="s">
        <v>448</v>
      </c>
      <c r="D1977" s="12" t="s">
        <v>728</v>
      </c>
      <c r="E1977" s="12" t="s">
        <v>2978</v>
      </c>
      <c r="F1977" s="12" t="s">
        <v>832</v>
      </c>
      <c r="G1977" s="12" t="s">
        <v>832</v>
      </c>
      <c r="H1977" s="12" t="b">
        <v>0</v>
      </c>
      <c r="I1977" s="12" t="b">
        <v>0</v>
      </c>
      <c r="J1977" s="12" t="b">
        <v>0</v>
      </c>
      <c r="K1977" s="12" t="b">
        <v>0</v>
      </c>
      <c r="L1977" s="12">
        <v>600.78403148276834</v>
      </c>
      <c r="M1977" s="12">
        <v>300.032917</v>
      </c>
      <c r="N1977" s="12">
        <v>3000</v>
      </c>
      <c r="O1977" s="12">
        <v>400</v>
      </c>
      <c r="P1977" s="12">
        <v>0.55440172352314743</v>
      </c>
      <c r="Q1977" s="12">
        <v>0.42152420541161068</v>
      </c>
      <c r="R1977" s="12">
        <v>0.58738136181639211</v>
      </c>
      <c r="S1977" s="12">
        <v>0.86644847903112554</v>
      </c>
      <c r="T1977" s="12">
        <v>0.59763296825759937</v>
      </c>
      <c r="U1977" s="12">
        <v>0.70282155892970177</v>
      </c>
      <c r="V1977" s="12">
        <v>300.032917</v>
      </c>
      <c r="W1977" s="12"/>
      <c r="X1977" s="12"/>
      <c r="Y1977" s="12">
        <v>2600</v>
      </c>
      <c r="Z1977" s="12">
        <v>7.5</v>
      </c>
      <c r="AA1977" s="12"/>
      <c r="AB1977" s="12"/>
    </row>
    <row r="1978" spans="1:28" x14ac:dyDescent="0.3">
      <c r="A1978" s="12" t="s">
        <v>3890</v>
      </c>
      <c r="B1978" s="12" t="s">
        <v>170</v>
      </c>
      <c r="C1978" s="12" t="s">
        <v>448</v>
      </c>
      <c r="D1978" s="12" t="s">
        <v>728</v>
      </c>
      <c r="E1978" s="12" t="s">
        <v>2978</v>
      </c>
      <c r="F1978" s="12" t="s">
        <v>832</v>
      </c>
      <c r="G1978" s="12" t="s">
        <v>832</v>
      </c>
      <c r="H1978" s="12" t="b">
        <v>0</v>
      </c>
      <c r="I1978" s="12" t="b">
        <v>0</v>
      </c>
      <c r="J1978" s="12" t="b">
        <v>0</v>
      </c>
      <c r="K1978" s="12" t="b">
        <v>0</v>
      </c>
      <c r="L1978" s="12">
        <v>556.57310435850991</v>
      </c>
      <c r="M1978" s="12">
        <v>300.032917</v>
      </c>
      <c r="N1978" s="12">
        <v>3000</v>
      </c>
      <c r="O1978" s="12">
        <v>400</v>
      </c>
      <c r="P1978" s="12">
        <v>0.77860920115714538</v>
      </c>
      <c r="Q1978" s="12">
        <v>0.85419231148249752</v>
      </c>
      <c r="R1978" s="12">
        <v>0.76123659284212475</v>
      </c>
      <c r="S1978" s="12">
        <v>0.9248847044199332</v>
      </c>
      <c r="T1978" s="12">
        <v>0.911992332795586</v>
      </c>
      <c r="U1978" s="12">
        <v>0.5847588182307909</v>
      </c>
      <c r="V1978" s="12">
        <v>300.032917</v>
      </c>
      <c r="W1978" s="12"/>
      <c r="X1978" s="12"/>
      <c r="Y1978" s="12">
        <v>2600</v>
      </c>
      <c r="Z1978" s="12">
        <v>7.5</v>
      </c>
      <c r="AA1978" s="12"/>
      <c r="AB1978" s="12"/>
    </row>
    <row r="1979" spans="1:28" x14ac:dyDescent="0.3">
      <c r="A1979" s="12" t="s">
        <v>3891</v>
      </c>
      <c r="B1979" s="12" t="s">
        <v>170</v>
      </c>
      <c r="C1979" s="12" t="s">
        <v>448</v>
      </c>
      <c r="D1979" s="12" t="s">
        <v>728</v>
      </c>
      <c r="E1979" s="12" t="s">
        <v>2978</v>
      </c>
      <c r="F1979" s="12" t="s">
        <v>1862</v>
      </c>
      <c r="G1979" s="12" t="s">
        <v>1862</v>
      </c>
      <c r="H1979" s="12" t="b">
        <v>1</v>
      </c>
      <c r="I1979" s="12" t="b">
        <v>0</v>
      </c>
      <c r="J1979" s="12" t="b">
        <v>0</v>
      </c>
      <c r="K1979" s="12" t="b">
        <v>0</v>
      </c>
      <c r="L1979" s="12">
        <v>425.00564053262377</v>
      </c>
      <c r="M1979" s="12">
        <v>300.032917</v>
      </c>
      <c r="N1979" s="12">
        <v>3000</v>
      </c>
      <c r="O1979" s="12">
        <v>400</v>
      </c>
      <c r="P1979" s="12">
        <v>0.8122892861893598</v>
      </c>
      <c r="Q1979" s="12">
        <v>0.81576965892474507</v>
      </c>
      <c r="R1979" s="12">
        <v>0.77123482213212358</v>
      </c>
      <c r="S1979" s="12">
        <v>0.68141776774998686</v>
      </c>
      <c r="T1979" s="12">
        <v>0.91348875754320402</v>
      </c>
      <c r="U1979" s="12">
        <v>0.76741785449911193</v>
      </c>
      <c r="V1979" s="12">
        <v>300.032917</v>
      </c>
      <c r="W1979" s="12">
        <v>-14.67267600697272</v>
      </c>
      <c r="X1979" s="12">
        <v>-44.902755166884532</v>
      </c>
      <c r="Y1979" s="12">
        <v>2600</v>
      </c>
      <c r="Z1979" s="12">
        <v>7.5</v>
      </c>
      <c r="AA1979" s="12" t="s">
        <v>2513</v>
      </c>
      <c r="AB1979" s="12"/>
    </row>
    <row r="1980" spans="1:28" x14ac:dyDescent="0.3">
      <c r="A1980" s="12" t="s">
        <v>3892</v>
      </c>
      <c r="B1980" s="12" t="s">
        <v>170</v>
      </c>
      <c r="C1980" s="12" t="s">
        <v>448</v>
      </c>
      <c r="D1980" s="12" t="s">
        <v>728</v>
      </c>
      <c r="E1980" s="12" t="s">
        <v>2978</v>
      </c>
      <c r="F1980" s="12" t="s">
        <v>832</v>
      </c>
      <c r="G1980" s="12" t="s">
        <v>832</v>
      </c>
      <c r="H1980" s="12" t="b">
        <v>0</v>
      </c>
      <c r="I1980" s="12" t="b">
        <v>0</v>
      </c>
      <c r="J1980" s="12" t="b">
        <v>0</v>
      </c>
      <c r="K1980" s="12" t="b">
        <v>0</v>
      </c>
      <c r="L1980" s="12">
        <v>594.17324603531767</v>
      </c>
      <c r="M1980" s="12">
        <v>300.032917</v>
      </c>
      <c r="N1980" s="12">
        <v>3000</v>
      </c>
      <c r="O1980" s="12">
        <v>400</v>
      </c>
      <c r="P1980" s="12">
        <v>0.720992218261994</v>
      </c>
      <c r="Q1980" s="12">
        <v>0.67881634149424497</v>
      </c>
      <c r="R1980" s="12">
        <v>0.53882402007566432</v>
      </c>
      <c r="S1980" s="12">
        <v>0.65024145830607138</v>
      </c>
      <c r="T1980" s="12">
        <v>0.90409713405355396</v>
      </c>
      <c r="U1980" s="12">
        <v>0.54714041658184298</v>
      </c>
      <c r="V1980" s="12">
        <v>300.032917</v>
      </c>
      <c r="W1980" s="12"/>
      <c r="X1980" s="12"/>
      <c r="Y1980" s="12">
        <v>2600</v>
      </c>
      <c r="Z1980" s="12">
        <v>7.5</v>
      </c>
      <c r="AA1980" s="12"/>
      <c r="AB1980" s="12"/>
    </row>
    <row r="1981" spans="1:28" x14ac:dyDescent="0.3">
      <c r="A1981" s="12" t="s">
        <v>3893</v>
      </c>
      <c r="B1981" s="12" t="s">
        <v>170</v>
      </c>
      <c r="C1981" s="12" t="s">
        <v>448</v>
      </c>
      <c r="D1981" s="12" t="s">
        <v>728</v>
      </c>
      <c r="E1981" s="12" t="s">
        <v>2978</v>
      </c>
      <c r="F1981" s="12" t="s">
        <v>832</v>
      </c>
      <c r="G1981" s="12" t="s">
        <v>832</v>
      </c>
      <c r="H1981" s="12" t="b">
        <v>0</v>
      </c>
      <c r="I1981" s="12" t="b">
        <v>0</v>
      </c>
      <c r="J1981" s="12" t="b">
        <v>0</v>
      </c>
      <c r="K1981" s="12" t="b">
        <v>0</v>
      </c>
      <c r="L1981" s="12">
        <v>537.16135826369202</v>
      </c>
      <c r="M1981" s="12">
        <v>300.032917</v>
      </c>
      <c r="N1981" s="12">
        <v>3000</v>
      </c>
      <c r="O1981" s="12">
        <v>400</v>
      </c>
      <c r="P1981" s="12">
        <v>0.74247004451377629</v>
      </c>
      <c r="Q1981" s="12">
        <v>0.83879170054034091</v>
      </c>
      <c r="R1981" s="12">
        <v>0.73777748634106521</v>
      </c>
      <c r="S1981" s="12">
        <v>0.86217764246080009</v>
      </c>
      <c r="T1981" s="12">
        <v>0.7243817567209222</v>
      </c>
      <c r="U1981" s="12">
        <v>0.4954552647771493</v>
      </c>
      <c r="V1981" s="12">
        <v>300.032917</v>
      </c>
      <c r="W1981" s="12"/>
      <c r="X1981" s="12"/>
      <c r="Y1981" s="12">
        <v>2600</v>
      </c>
      <c r="Z1981" s="12">
        <v>7.5</v>
      </c>
      <c r="AA1981" s="12"/>
      <c r="AB1981" s="12"/>
    </row>
    <row r="1982" spans="1:28" x14ac:dyDescent="0.3">
      <c r="A1982" s="12" t="s">
        <v>3894</v>
      </c>
      <c r="B1982" s="12" t="s">
        <v>170</v>
      </c>
      <c r="C1982" s="12" t="s">
        <v>448</v>
      </c>
      <c r="D1982" s="12" t="s">
        <v>728</v>
      </c>
      <c r="E1982" s="12" t="s">
        <v>2978</v>
      </c>
      <c r="F1982" s="12" t="s">
        <v>1863</v>
      </c>
      <c r="G1982" s="12" t="s">
        <v>832</v>
      </c>
      <c r="H1982" s="12" t="b">
        <v>0</v>
      </c>
      <c r="I1982" s="12" t="b">
        <v>0</v>
      </c>
      <c r="J1982" s="12" t="b">
        <v>1</v>
      </c>
      <c r="K1982" s="12" t="b">
        <v>0</v>
      </c>
      <c r="L1982" s="12">
        <v>439.63264632872182</v>
      </c>
      <c r="M1982" s="12">
        <v>300.032917</v>
      </c>
      <c r="N1982" s="12">
        <v>3000</v>
      </c>
      <c r="O1982" s="12">
        <v>400</v>
      </c>
      <c r="P1982" s="12">
        <v>0.83954564628285366</v>
      </c>
      <c r="Q1982" s="12">
        <v>0.81913171890254688</v>
      </c>
      <c r="R1982" s="12">
        <v>0.60452570103140657</v>
      </c>
      <c r="S1982" s="12">
        <v>0.90358942759067462</v>
      </c>
      <c r="T1982" s="12">
        <v>0.58890263196156711</v>
      </c>
      <c r="U1982" s="12">
        <v>0.6537626443852611</v>
      </c>
      <c r="V1982" s="12">
        <v>300.032917</v>
      </c>
      <c r="W1982" s="12">
        <v>-57.082048780140518</v>
      </c>
      <c r="X1982" s="12">
        <v>-147.59123374235369</v>
      </c>
      <c r="Y1982" s="12">
        <v>2600</v>
      </c>
      <c r="Z1982" s="12">
        <v>7.5</v>
      </c>
      <c r="AA1982" s="12" t="s">
        <v>3322</v>
      </c>
      <c r="AB1982" s="12"/>
    </row>
    <row r="1983" spans="1:28" x14ac:dyDescent="0.3">
      <c r="A1983" s="12" t="s">
        <v>3895</v>
      </c>
      <c r="B1983" s="12" t="s">
        <v>170</v>
      </c>
      <c r="C1983" s="12" t="s">
        <v>448</v>
      </c>
      <c r="D1983" s="12" t="s">
        <v>728</v>
      </c>
      <c r="E1983" s="12" t="s">
        <v>2978</v>
      </c>
      <c r="F1983" s="12" t="s">
        <v>1862</v>
      </c>
      <c r="G1983" s="12" t="s">
        <v>1862</v>
      </c>
      <c r="H1983" s="12" t="b">
        <v>1</v>
      </c>
      <c r="I1983" s="12" t="b">
        <v>0</v>
      </c>
      <c r="J1983" s="12" t="b">
        <v>0</v>
      </c>
      <c r="K1983" s="12" t="b">
        <v>0</v>
      </c>
      <c r="L1983" s="12">
        <v>399.9921037351105</v>
      </c>
      <c r="M1983" s="12">
        <v>300.032917</v>
      </c>
      <c r="N1983" s="12">
        <v>3000</v>
      </c>
      <c r="O1983" s="12">
        <v>400</v>
      </c>
      <c r="P1983" s="12">
        <v>0.66696224799050585</v>
      </c>
      <c r="Q1983" s="12">
        <v>0.4617267703033866</v>
      </c>
      <c r="R1983" s="12">
        <v>0.80885177089692739</v>
      </c>
      <c r="S1983" s="12">
        <v>0.94066365495789439</v>
      </c>
      <c r="T1983" s="12">
        <v>0.43336626005312529</v>
      </c>
      <c r="U1983" s="12">
        <v>0.83779662549058886</v>
      </c>
      <c r="V1983" s="12">
        <v>300.032917</v>
      </c>
      <c r="W1983" s="12">
        <v>-11.752709004187359</v>
      </c>
      <c r="X1983" s="12">
        <v>-43.324663905933122</v>
      </c>
      <c r="Y1983" s="12">
        <v>2600</v>
      </c>
      <c r="Z1983" s="12">
        <v>7.5</v>
      </c>
      <c r="AA1983" s="12" t="s">
        <v>2513</v>
      </c>
      <c r="AB1983" s="12"/>
    </row>
    <row r="1984" spans="1:28" x14ac:dyDescent="0.3">
      <c r="A1984" s="12" t="s">
        <v>3896</v>
      </c>
      <c r="B1984" s="12" t="s">
        <v>170</v>
      </c>
      <c r="C1984" s="12" t="s">
        <v>448</v>
      </c>
      <c r="D1984" s="12" t="s">
        <v>728</v>
      </c>
      <c r="E1984" s="12" t="s">
        <v>2978</v>
      </c>
      <c r="F1984" s="12" t="s">
        <v>1861</v>
      </c>
      <c r="G1984" s="12" t="s">
        <v>1861</v>
      </c>
      <c r="H1984" s="12" t="b">
        <v>1</v>
      </c>
      <c r="I1984" s="12" t="b">
        <v>0</v>
      </c>
      <c r="J1984" s="12" t="b">
        <v>1</v>
      </c>
      <c r="K1984" s="12" t="b">
        <v>0</v>
      </c>
      <c r="L1984" s="12">
        <v>443.5165061523125</v>
      </c>
      <c r="M1984" s="12">
        <v>300.032917</v>
      </c>
      <c r="N1984" s="12">
        <v>3000</v>
      </c>
      <c r="O1984" s="12">
        <v>400</v>
      </c>
      <c r="P1984" s="12">
        <v>0.65365344751174825</v>
      </c>
      <c r="Q1984" s="12">
        <v>0.8329548806634326</v>
      </c>
      <c r="R1984" s="12">
        <v>0.68088433060309206</v>
      </c>
      <c r="S1984" s="12">
        <v>0.66999925177404251</v>
      </c>
      <c r="T1984" s="12">
        <v>0.57281827927095419</v>
      </c>
      <c r="U1984" s="12">
        <v>0.85534089985208606</v>
      </c>
      <c r="V1984" s="12">
        <v>300.032917</v>
      </c>
      <c r="W1984" s="12">
        <v>7.1844404258588499</v>
      </c>
      <c r="X1984" s="12">
        <v>51.540434258731523</v>
      </c>
      <c r="Y1984" s="12">
        <v>2600</v>
      </c>
      <c r="Z1984" s="12">
        <v>7.5</v>
      </c>
      <c r="AA1984" s="12" t="s">
        <v>1268</v>
      </c>
      <c r="AB1984" s="12"/>
    </row>
    <row r="1985" spans="1:28" x14ac:dyDescent="0.3">
      <c r="A1985" s="12" t="s">
        <v>3897</v>
      </c>
      <c r="B1985" s="12" t="s">
        <v>170</v>
      </c>
      <c r="C1985" s="12" t="s">
        <v>448</v>
      </c>
      <c r="D1985" s="12" t="s">
        <v>728</v>
      </c>
      <c r="E1985" s="12" t="s">
        <v>2978</v>
      </c>
      <c r="F1985" s="12" t="s">
        <v>1862</v>
      </c>
      <c r="G1985" s="12" t="s">
        <v>1862</v>
      </c>
      <c r="H1985" s="12" t="b">
        <v>1</v>
      </c>
      <c r="I1985" s="12" t="b">
        <v>0</v>
      </c>
      <c r="J1985" s="12" t="b">
        <v>1</v>
      </c>
      <c r="K1985" s="12" t="b">
        <v>0</v>
      </c>
      <c r="L1985" s="12">
        <v>511.65306483909569</v>
      </c>
      <c r="M1985" s="12">
        <v>300.032917</v>
      </c>
      <c r="N1985" s="12">
        <v>3000</v>
      </c>
      <c r="O1985" s="12">
        <v>400</v>
      </c>
      <c r="P1985" s="12">
        <v>0.54232930227896936</v>
      </c>
      <c r="Q1985" s="12">
        <v>0.57061956947911885</v>
      </c>
      <c r="R1985" s="12">
        <v>0.73045268252579132</v>
      </c>
      <c r="S1985" s="12">
        <v>0.61837776994623006</v>
      </c>
      <c r="T1985" s="12">
        <v>0.76153277710243783</v>
      </c>
      <c r="U1985" s="12">
        <v>0.47598752074927458</v>
      </c>
      <c r="V1985" s="12">
        <v>300.032917</v>
      </c>
      <c r="W1985" s="12">
        <v>-6.04997499648693</v>
      </c>
      <c r="X1985" s="12">
        <v>-46.409886232700529</v>
      </c>
      <c r="Y1985" s="12">
        <v>2600</v>
      </c>
      <c r="Z1985" s="12">
        <v>7.5</v>
      </c>
      <c r="AA1985" s="12" t="s">
        <v>2513</v>
      </c>
      <c r="AB1985" s="12"/>
    </row>
    <row r="1986" spans="1:28" x14ac:dyDescent="0.3">
      <c r="A1986" s="12" t="s">
        <v>3898</v>
      </c>
      <c r="B1986" s="12" t="s">
        <v>170</v>
      </c>
      <c r="C1986" s="12" t="s">
        <v>448</v>
      </c>
      <c r="D1986" s="12" t="s">
        <v>728</v>
      </c>
      <c r="E1986" s="12" t="s">
        <v>2978</v>
      </c>
      <c r="F1986" s="12" t="s">
        <v>1861</v>
      </c>
      <c r="G1986" s="12" t="s">
        <v>1861</v>
      </c>
      <c r="H1986" s="12" t="b">
        <v>1</v>
      </c>
      <c r="I1986" s="12" t="b">
        <v>0</v>
      </c>
      <c r="J1986" s="12" t="b">
        <v>1</v>
      </c>
      <c r="K1986" s="12" t="b">
        <v>0</v>
      </c>
      <c r="L1986" s="12">
        <v>474.97579015001787</v>
      </c>
      <c r="M1986" s="12">
        <v>300.032917</v>
      </c>
      <c r="N1986" s="12">
        <v>3000</v>
      </c>
      <c r="O1986" s="12">
        <v>400</v>
      </c>
      <c r="P1986" s="12">
        <v>0.52993425880614276</v>
      </c>
      <c r="Q1986" s="12">
        <v>0.50823193890053175</v>
      </c>
      <c r="R1986" s="12">
        <v>0.85873162189904773</v>
      </c>
      <c r="S1986" s="12">
        <v>0.4280287693744812</v>
      </c>
      <c r="T1986" s="12">
        <v>0.54329035701123018</v>
      </c>
      <c r="U1986" s="12">
        <v>0.68837594708791972</v>
      </c>
      <c r="V1986" s="12">
        <v>300.032917</v>
      </c>
      <c r="W1986" s="12">
        <v>4.7963889987778296</v>
      </c>
      <c r="X1986" s="12">
        <v>37.932847510919942</v>
      </c>
      <c r="Y1986" s="12">
        <v>2600</v>
      </c>
      <c r="Z1986" s="12">
        <v>7.5</v>
      </c>
      <c r="AA1986" s="12" t="s">
        <v>1268</v>
      </c>
      <c r="AB1986" s="12"/>
    </row>
    <row r="1987" spans="1:28" x14ac:dyDescent="0.3">
      <c r="A1987" s="12" t="s">
        <v>3899</v>
      </c>
      <c r="B1987" s="12" t="s">
        <v>170</v>
      </c>
      <c r="C1987" s="12" t="s">
        <v>448</v>
      </c>
      <c r="D1987" s="12" t="s">
        <v>728</v>
      </c>
      <c r="E1987" s="12" t="s">
        <v>2978</v>
      </c>
      <c r="F1987" s="12" t="s">
        <v>832</v>
      </c>
      <c r="G1987" s="12" t="s">
        <v>832</v>
      </c>
      <c r="H1987" s="12" t="b">
        <v>0</v>
      </c>
      <c r="I1987" s="12" t="b">
        <v>0</v>
      </c>
      <c r="J1987" s="12" t="b">
        <v>0</v>
      </c>
      <c r="K1987" s="12" t="b">
        <v>0</v>
      </c>
      <c r="L1987" s="12">
        <v>606.71878499640513</v>
      </c>
      <c r="M1987" s="12">
        <v>300.032917</v>
      </c>
      <c r="N1987" s="12">
        <v>3000</v>
      </c>
      <c r="O1987" s="12">
        <v>400</v>
      </c>
      <c r="P1987" s="12">
        <v>0.67464817155970014</v>
      </c>
      <c r="Q1987" s="12">
        <v>0.67043208237706886</v>
      </c>
      <c r="R1987" s="12">
        <v>0.79398856869663492</v>
      </c>
      <c r="S1987" s="12">
        <v>0.83441564880443175</v>
      </c>
      <c r="T1987" s="12">
        <v>0.74467821073846829</v>
      </c>
      <c r="U1987" s="12">
        <v>0.68031856351677233</v>
      </c>
      <c r="V1987" s="12">
        <v>300.032917</v>
      </c>
      <c r="W1987" s="12"/>
      <c r="X1987" s="12"/>
      <c r="Y1987" s="12">
        <v>2600</v>
      </c>
      <c r="Z1987" s="12">
        <v>7.5</v>
      </c>
      <c r="AA1987" s="12"/>
      <c r="AB1987" s="12"/>
    </row>
    <row r="1988" spans="1:28" x14ac:dyDescent="0.3">
      <c r="A1988" s="12" t="s">
        <v>3900</v>
      </c>
      <c r="B1988" s="12" t="s">
        <v>170</v>
      </c>
      <c r="C1988" s="12" t="s">
        <v>448</v>
      </c>
      <c r="D1988" s="12" t="s">
        <v>728</v>
      </c>
      <c r="E1988" s="12" t="s">
        <v>2978</v>
      </c>
      <c r="F1988" s="12" t="s">
        <v>1862</v>
      </c>
      <c r="G1988" s="12" t="s">
        <v>1862</v>
      </c>
      <c r="H1988" s="12" t="b">
        <v>1</v>
      </c>
      <c r="I1988" s="12" t="b">
        <v>0</v>
      </c>
      <c r="J1988" s="12" t="b">
        <v>0</v>
      </c>
      <c r="K1988" s="12" t="b">
        <v>0</v>
      </c>
      <c r="L1988" s="12">
        <v>408.91862767774683</v>
      </c>
      <c r="M1988" s="12">
        <v>300.032917</v>
      </c>
      <c r="N1988" s="12">
        <v>3000</v>
      </c>
      <c r="O1988" s="12">
        <v>400</v>
      </c>
      <c r="P1988" s="12">
        <v>0.84668273573527708</v>
      </c>
      <c r="Q1988" s="12">
        <v>0.62501163258907988</v>
      </c>
      <c r="R1988" s="12">
        <v>0.61419801966692456</v>
      </c>
      <c r="S1988" s="12">
        <v>0.8691276706472848</v>
      </c>
      <c r="T1988" s="12">
        <v>0.85670469786160308</v>
      </c>
      <c r="U1988" s="12">
        <v>0.64406926104012108</v>
      </c>
      <c r="V1988" s="12">
        <v>300.032917</v>
      </c>
      <c r="W1988" s="12">
        <v>-806.64813153209138</v>
      </c>
      <c r="X1988" s="12">
        <v>-224.9880631897685</v>
      </c>
      <c r="Y1988" s="12">
        <v>2600</v>
      </c>
      <c r="Z1988" s="12">
        <v>7.5</v>
      </c>
      <c r="AA1988" s="12" t="s">
        <v>2513</v>
      </c>
      <c r="AB1988" s="12"/>
    </row>
    <row r="1989" spans="1:28" x14ac:dyDescent="0.3">
      <c r="A1989" s="12" t="s">
        <v>3901</v>
      </c>
      <c r="B1989" s="12" t="s">
        <v>170</v>
      </c>
      <c r="C1989" s="12" t="s">
        <v>448</v>
      </c>
      <c r="D1989" s="12" t="s">
        <v>728</v>
      </c>
      <c r="E1989" s="12" t="s">
        <v>2978</v>
      </c>
      <c r="F1989" s="12" t="s">
        <v>1863</v>
      </c>
      <c r="G1989" s="12" t="s">
        <v>832</v>
      </c>
      <c r="H1989" s="12" t="b">
        <v>0</v>
      </c>
      <c r="I1989" s="12" t="b">
        <v>0</v>
      </c>
      <c r="J1989" s="12" t="b">
        <v>1</v>
      </c>
      <c r="K1989" s="12" t="b">
        <v>0</v>
      </c>
      <c r="L1989" s="12">
        <v>500.51430313310141</v>
      </c>
      <c r="M1989" s="12">
        <v>300.032917</v>
      </c>
      <c r="N1989" s="12">
        <v>3000</v>
      </c>
      <c r="O1989" s="12">
        <v>400</v>
      </c>
      <c r="P1989" s="12">
        <v>0.50600844488981356</v>
      </c>
      <c r="Q1989" s="12">
        <v>0.91621153010126355</v>
      </c>
      <c r="R1989" s="12">
        <v>0.92564014207032896</v>
      </c>
      <c r="S1989" s="12">
        <v>0.94888352362954198</v>
      </c>
      <c r="T1989" s="12">
        <v>0.78827908660193002</v>
      </c>
      <c r="U1989" s="12">
        <v>0.61160711350013386</v>
      </c>
      <c r="V1989" s="12">
        <v>300.032917</v>
      </c>
      <c r="W1989" s="12">
        <v>17.161809163537711</v>
      </c>
      <c r="X1989" s="12">
        <v>229.75897987030609</v>
      </c>
      <c r="Y1989" s="12">
        <v>2600</v>
      </c>
      <c r="Z1989" s="12">
        <v>7.5</v>
      </c>
      <c r="AA1989" s="12" t="s">
        <v>1934</v>
      </c>
      <c r="AB1989" s="12"/>
    </row>
    <row r="1990" spans="1:28" x14ac:dyDescent="0.3">
      <c r="A1990" s="12" t="s">
        <v>3902</v>
      </c>
      <c r="B1990" s="12" t="s">
        <v>170</v>
      </c>
      <c r="C1990" s="12" t="s">
        <v>448</v>
      </c>
      <c r="D1990" s="12" t="s">
        <v>728</v>
      </c>
      <c r="E1990" s="12" t="s">
        <v>2978</v>
      </c>
      <c r="F1990" s="12" t="s">
        <v>1862</v>
      </c>
      <c r="G1990" s="12" t="s">
        <v>1862</v>
      </c>
      <c r="H1990" s="12" t="b">
        <v>1</v>
      </c>
      <c r="I1990" s="12" t="b">
        <v>0</v>
      </c>
      <c r="J1990" s="12" t="b">
        <v>0</v>
      </c>
      <c r="K1990" s="12" t="b">
        <v>0</v>
      </c>
      <c r="L1990" s="12">
        <v>388.44108627587519</v>
      </c>
      <c r="M1990" s="12">
        <v>300.032917</v>
      </c>
      <c r="N1990" s="12">
        <v>3000</v>
      </c>
      <c r="O1990" s="12">
        <v>400</v>
      </c>
      <c r="P1990" s="12">
        <v>0.65114922626772564</v>
      </c>
      <c r="Q1990" s="12">
        <v>0.94769086916238399</v>
      </c>
      <c r="R1990" s="12">
        <v>0.56106306936189931</v>
      </c>
      <c r="S1990" s="12">
        <v>0.58860531606035893</v>
      </c>
      <c r="T1990" s="12">
        <v>0.49601370374711662</v>
      </c>
      <c r="U1990" s="12">
        <v>0.41212510727489621</v>
      </c>
      <c r="V1990" s="12">
        <v>300.032917</v>
      </c>
      <c r="W1990" s="12">
        <v>-178.70222604430069</v>
      </c>
      <c r="X1990" s="12">
        <v>-88.160196732464982</v>
      </c>
      <c r="Y1990" s="12">
        <v>2600</v>
      </c>
      <c r="Z1990" s="12">
        <v>7.5</v>
      </c>
      <c r="AA1990" s="12" t="s">
        <v>2513</v>
      </c>
      <c r="AB1990" s="12"/>
    </row>
    <row r="1991" spans="1:28" x14ac:dyDescent="0.3">
      <c r="A1991" s="12" t="s">
        <v>3903</v>
      </c>
      <c r="B1991" s="12" t="s">
        <v>170</v>
      </c>
      <c r="C1991" s="12" t="s">
        <v>439</v>
      </c>
      <c r="D1991" s="12" t="s">
        <v>724</v>
      </c>
      <c r="E1991" s="12" t="s">
        <v>2978</v>
      </c>
      <c r="F1991" s="12" t="s">
        <v>832</v>
      </c>
      <c r="G1991" s="12" t="s">
        <v>832</v>
      </c>
      <c r="H1991" s="12" t="b">
        <v>0</v>
      </c>
      <c r="I1991" s="12" t="b">
        <v>0</v>
      </c>
      <c r="J1991" s="12" t="b">
        <v>0</v>
      </c>
      <c r="K1991" s="12" t="b">
        <v>0</v>
      </c>
      <c r="L1991" s="12">
        <v>475.6980483654508</v>
      </c>
      <c r="M1991" s="12">
        <v>303.32272432543363</v>
      </c>
      <c r="N1991" s="12">
        <v>3000</v>
      </c>
      <c r="O1991" s="12">
        <v>400</v>
      </c>
      <c r="P1991" s="12">
        <v>0.75408342887960855</v>
      </c>
      <c r="Q1991" s="12">
        <v>0.80456915291048892</v>
      </c>
      <c r="R1991" s="12">
        <v>0.41641145982722522</v>
      </c>
      <c r="S1991" s="12">
        <v>0.80255595965664506</v>
      </c>
      <c r="T1991" s="12">
        <v>0.73603864175257105</v>
      </c>
      <c r="U1991" s="12">
        <v>0.47548535110790402</v>
      </c>
      <c r="V1991" s="12">
        <v>303.32272432543363</v>
      </c>
      <c r="W1991" s="12"/>
      <c r="X1991" s="12"/>
      <c r="Y1991" s="12">
        <v>2600</v>
      </c>
      <c r="Z1991" s="12">
        <v>7.5</v>
      </c>
      <c r="AA1991" s="12"/>
      <c r="AB1991" s="12"/>
    </row>
    <row r="1992" spans="1:28" x14ac:dyDescent="0.3">
      <c r="A1992" s="12" t="s">
        <v>3904</v>
      </c>
      <c r="B1992" s="12" t="s">
        <v>170</v>
      </c>
      <c r="C1992" s="12" t="s">
        <v>448</v>
      </c>
      <c r="D1992" s="12" t="s">
        <v>728</v>
      </c>
      <c r="E1992" s="12" t="s">
        <v>2978</v>
      </c>
      <c r="F1992" s="12" t="s">
        <v>1861</v>
      </c>
      <c r="G1992" s="12" t="s">
        <v>1861</v>
      </c>
      <c r="H1992" s="12" t="b">
        <v>1</v>
      </c>
      <c r="I1992" s="12" t="b">
        <v>0</v>
      </c>
      <c r="J1992" s="12" t="b">
        <v>1</v>
      </c>
      <c r="K1992" s="12" t="b">
        <v>0</v>
      </c>
      <c r="L1992" s="12">
        <v>455.43375306717979</v>
      </c>
      <c r="M1992" s="12">
        <v>300.032917</v>
      </c>
      <c r="N1992" s="12">
        <v>3000</v>
      </c>
      <c r="O1992" s="12">
        <v>400</v>
      </c>
      <c r="P1992" s="12">
        <v>0.59824961095272911</v>
      </c>
      <c r="Q1992" s="12">
        <v>0.44185007938512549</v>
      </c>
      <c r="R1992" s="12">
        <v>0.67522444613893873</v>
      </c>
      <c r="S1992" s="12">
        <v>0.66219844211161427</v>
      </c>
      <c r="T1992" s="12">
        <v>0.86486835966433362</v>
      </c>
      <c r="U1992" s="12">
        <v>0.89837922174821383</v>
      </c>
      <c r="V1992" s="12">
        <v>300.032917</v>
      </c>
      <c r="W1992" s="12">
        <v>3.5058606401015902</v>
      </c>
      <c r="X1992" s="12">
        <v>33.941549667777039</v>
      </c>
      <c r="Y1992" s="12">
        <v>2600</v>
      </c>
      <c r="Z1992" s="12">
        <v>7.5</v>
      </c>
      <c r="AA1992" s="12" t="s">
        <v>1268</v>
      </c>
      <c r="AB1992" s="12"/>
    </row>
    <row r="1993" spans="1:28" x14ac:dyDescent="0.3">
      <c r="A1993" s="12" t="s">
        <v>3905</v>
      </c>
      <c r="B1993" s="12" t="s">
        <v>170</v>
      </c>
      <c r="C1993" s="12" t="s">
        <v>448</v>
      </c>
      <c r="D1993" s="12" t="s">
        <v>728</v>
      </c>
      <c r="E1993" s="12" t="s">
        <v>2978</v>
      </c>
      <c r="F1993" s="12" t="s">
        <v>1861</v>
      </c>
      <c r="G1993" s="12" t="s">
        <v>1861</v>
      </c>
      <c r="H1993" s="12" t="b">
        <v>1</v>
      </c>
      <c r="I1993" s="12" t="b">
        <v>0</v>
      </c>
      <c r="J1993" s="12" t="b">
        <v>1</v>
      </c>
      <c r="K1993" s="12" t="b">
        <v>0</v>
      </c>
      <c r="L1993" s="12">
        <v>469.93266254693663</v>
      </c>
      <c r="M1993" s="12">
        <v>300.032917</v>
      </c>
      <c r="N1993" s="12">
        <v>3000</v>
      </c>
      <c r="O1993" s="12">
        <v>400</v>
      </c>
      <c r="P1993" s="12">
        <v>0.58840729337959485</v>
      </c>
      <c r="Q1993" s="12">
        <v>0.78849411852247053</v>
      </c>
      <c r="R1993" s="12">
        <v>0.89333416164866852</v>
      </c>
      <c r="S1993" s="12">
        <v>0.63978460422833594</v>
      </c>
      <c r="T1993" s="12">
        <v>0.53606837997137724</v>
      </c>
      <c r="U1993" s="12">
        <v>0.75788147214477286</v>
      </c>
      <c r="V1993" s="12">
        <v>300.032917</v>
      </c>
      <c r="W1993" s="12">
        <v>10.78882309038106</v>
      </c>
      <c r="X1993" s="12">
        <v>112.64308846187841</v>
      </c>
      <c r="Y1993" s="12">
        <v>2600</v>
      </c>
      <c r="Z1993" s="12">
        <v>7.5</v>
      </c>
      <c r="AA1993" s="12" t="s">
        <v>1268</v>
      </c>
      <c r="AB1993" s="12"/>
    </row>
    <row r="1994" spans="1:28" x14ac:dyDescent="0.3">
      <c r="A1994" s="12" t="s">
        <v>3906</v>
      </c>
      <c r="B1994" s="12" t="s">
        <v>170</v>
      </c>
      <c r="C1994" s="12" t="s">
        <v>448</v>
      </c>
      <c r="D1994" s="12" t="s">
        <v>728</v>
      </c>
      <c r="E1994" s="12" t="s">
        <v>2978</v>
      </c>
      <c r="F1994" s="12" t="s">
        <v>1861</v>
      </c>
      <c r="G1994" s="12" t="s">
        <v>1861</v>
      </c>
      <c r="H1994" s="12" t="b">
        <v>1</v>
      </c>
      <c r="I1994" s="12" t="b">
        <v>0</v>
      </c>
      <c r="J1994" s="12" t="b">
        <v>1</v>
      </c>
      <c r="K1994" s="12" t="b">
        <v>0</v>
      </c>
      <c r="L1994" s="12">
        <v>461.50440625822051</v>
      </c>
      <c r="M1994" s="12">
        <v>300.032917</v>
      </c>
      <c r="N1994" s="12">
        <v>3000</v>
      </c>
      <c r="O1994" s="12">
        <v>400</v>
      </c>
      <c r="P1994" s="12">
        <v>0.5660666384587838</v>
      </c>
      <c r="Q1994" s="12">
        <v>0.60960568075094923</v>
      </c>
      <c r="R1994" s="12">
        <v>0.52457852392969295</v>
      </c>
      <c r="S1994" s="12">
        <v>0.5621775726240521</v>
      </c>
      <c r="T1994" s="12">
        <v>0.4021592121223348</v>
      </c>
      <c r="U1994" s="12">
        <v>0.78051477879563469</v>
      </c>
      <c r="V1994" s="12">
        <v>300.032917</v>
      </c>
      <c r="W1994" s="12">
        <v>3.7003310426100402</v>
      </c>
      <c r="X1994" s="12">
        <v>32.969021628820506</v>
      </c>
      <c r="Y1994" s="12">
        <v>2600</v>
      </c>
      <c r="Z1994" s="12">
        <v>7.5</v>
      </c>
      <c r="AA1994" s="12" t="s">
        <v>1268</v>
      </c>
      <c r="AB1994" s="12"/>
    </row>
    <row r="1995" spans="1:28" x14ac:dyDescent="0.3">
      <c r="A1995" s="12" t="s">
        <v>3907</v>
      </c>
      <c r="B1995" s="12" t="s">
        <v>170</v>
      </c>
      <c r="C1995" s="12" t="s">
        <v>448</v>
      </c>
      <c r="D1995" s="12" t="s">
        <v>728</v>
      </c>
      <c r="E1995" s="12" t="s">
        <v>2978</v>
      </c>
      <c r="F1995" s="12" t="s">
        <v>1862</v>
      </c>
      <c r="G1995" s="12" t="s">
        <v>1862</v>
      </c>
      <c r="H1995" s="12" t="b">
        <v>1</v>
      </c>
      <c r="I1995" s="12" t="b">
        <v>0</v>
      </c>
      <c r="J1995" s="12" t="b">
        <v>0</v>
      </c>
      <c r="K1995" s="12" t="b">
        <v>0</v>
      </c>
      <c r="L1995" s="12">
        <v>386.85322392000222</v>
      </c>
      <c r="M1995" s="12">
        <v>300.032917</v>
      </c>
      <c r="N1995" s="12">
        <v>3000</v>
      </c>
      <c r="O1995" s="12">
        <v>400</v>
      </c>
      <c r="P1995" s="12">
        <v>0.73970026077887552</v>
      </c>
      <c r="Q1995" s="12">
        <v>0.90747942799122283</v>
      </c>
      <c r="R1995" s="12">
        <v>0.93462533730381936</v>
      </c>
      <c r="S1995" s="12">
        <v>0.76071860120529444</v>
      </c>
      <c r="T1995" s="12">
        <v>0.89903088572536438</v>
      </c>
      <c r="U1995" s="12">
        <v>0.7022080786761189</v>
      </c>
      <c r="V1995" s="12">
        <v>300.032917</v>
      </c>
      <c r="W1995" s="12">
        <v>-15.454307103331789</v>
      </c>
      <c r="X1995" s="12">
        <v>-18.332865875837371</v>
      </c>
      <c r="Y1995" s="12">
        <v>2600</v>
      </c>
      <c r="Z1995" s="12">
        <v>7.5</v>
      </c>
      <c r="AA1995" s="12" t="s">
        <v>2513</v>
      </c>
      <c r="AB1995" s="12"/>
    </row>
    <row r="1996" spans="1:28" x14ac:dyDescent="0.3">
      <c r="A1996" s="12" t="s">
        <v>3908</v>
      </c>
      <c r="B1996" s="12" t="s">
        <v>170</v>
      </c>
      <c r="C1996" s="12" t="s">
        <v>448</v>
      </c>
      <c r="D1996" s="12" t="s">
        <v>728</v>
      </c>
      <c r="E1996" s="12" t="s">
        <v>2978</v>
      </c>
      <c r="F1996" s="12" t="s">
        <v>1861</v>
      </c>
      <c r="G1996" s="12" t="s">
        <v>1861</v>
      </c>
      <c r="H1996" s="12" t="b">
        <v>1</v>
      </c>
      <c r="I1996" s="12" t="b">
        <v>0</v>
      </c>
      <c r="J1996" s="12" t="b">
        <v>1</v>
      </c>
      <c r="K1996" s="12" t="b">
        <v>0</v>
      </c>
      <c r="L1996" s="12">
        <v>560.18792329992357</v>
      </c>
      <c r="M1996" s="12">
        <v>300.032917</v>
      </c>
      <c r="N1996" s="12">
        <v>3000</v>
      </c>
      <c r="O1996" s="12">
        <v>400</v>
      </c>
      <c r="P1996" s="12">
        <v>0.60174763610673809</v>
      </c>
      <c r="Q1996" s="12">
        <v>0.83070891666779212</v>
      </c>
      <c r="R1996" s="12">
        <v>0.91611503652203219</v>
      </c>
      <c r="S1996" s="12">
        <v>0.50703939262279996</v>
      </c>
      <c r="T1996" s="12">
        <v>0.66692628569256751</v>
      </c>
      <c r="U1996" s="12">
        <v>0.76517248970850116</v>
      </c>
      <c r="V1996" s="12">
        <v>300.032917</v>
      </c>
      <c r="W1996" s="12">
        <v>11.88371993264062</v>
      </c>
      <c r="X1996" s="12">
        <v>111.5910603741757</v>
      </c>
      <c r="Y1996" s="12">
        <v>2600</v>
      </c>
      <c r="Z1996" s="12">
        <v>7.5</v>
      </c>
      <c r="AA1996" s="12" t="s">
        <v>1268</v>
      </c>
      <c r="AB1996" s="12"/>
    </row>
    <row r="1997" spans="1:28" x14ac:dyDescent="0.3">
      <c r="A1997" s="12" t="s">
        <v>3909</v>
      </c>
      <c r="B1997" s="12" t="s">
        <v>170</v>
      </c>
      <c r="C1997" s="12" t="s">
        <v>448</v>
      </c>
      <c r="D1997" s="12" t="s">
        <v>728</v>
      </c>
      <c r="E1997" s="12" t="s">
        <v>2978</v>
      </c>
      <c r="F1997" s="12" t="s">
        <v>1862</v>
      </c>
      <c r="G1997" s="12" t="s">
        <v>1862</v>
      </c>
      <c r="H1997" s="12" t="b">
        <v>1</v>
      </c>
      <c r="I1997" s="12" t="b">
        <v>0</v>
      </c>
      <c r="J1997" s="12" t="b">
        <v>1</v>
      </c>
      <c r="K1997" s="12" t="b">
        <v>0</v>
      </c>
      <c r="L1997" s="12">
        <v>447.96339849884851</v>
      </c>
      <c r="M1997" s="12">
        <v>300.032917</v>
      </c>
      <c r="N1997" s="12">
        <v>3000</v>
      </c>
      <c r="O1997" s="12">
        <v>400</v>
      </c>
      <c r="P1997" s="12">
        <v>0.62584611610063012</v>
      </c>
      <c r="Q1997" s="12">
        <v>0.65088948024305082</v>
      </c>
      <c r="R1997" s="12">
        <v>0.69238826406124243</v>
      </c>
      <c r="S1997" s="12">
        <v>0.84914610531196277</v>
      </c>
      <c r="T1997" s="12">
        <v>0.92194429310355641</v>
      </c>
      <c r="U1997" s="12">
        <v>0.58149540872489947</v>
      </c>
      <c r="V1997" s="12">
        <v>300.032917</v>
      </c>
      <c r="W1997" s="12">
        <v>-5.5026799090453498</v>
      </c>
      <c r="X1997" s="12">
        <v>-35.356870838220999</v>
      </c>
      <c r="Y1997" s="12">
        <v>2600</v>
      </c>
      <c r="Z1997" s="12">
        <v>7.5</v>
      </c>
      <c r="AA1997" s="12" t="s">
        <v>2513</v>
      </c>
      <c r="AB1997" s="12"/>
    </row>
    <row r="1998" spans="1:28" x14ac:dyDescent="0.3">
      <c r="A1998" s="12" t="s">
        <v>3910</v>
      </c>
      <c r="B1998" s="12" t="s">
        <v>170</v>
      </c>
      <c r="C1998" s="12" t="s">
        <v>448</v>
      </c>
      <c r="D1998" s="12" t="s">
        <v>728</v>
      </c>
      <c r="E1998" s="12" t="s">
        <v>2978</v>
      </c>
      <c r="F1998" s="12" t="s">
        <v>1862</v>
      </c>
      <c r="G1998" s="12" t="s">
        <v>1862</v>
      </c>
      <c r="H1998" s="12" t="b">
        <v>1</v>
      </c>
      <c r="I1998" s="12" t="b">
        <v>0</v>
      </c>
      <c r="J1998" s="12" t="b">
        <v>0</v>
      </c>
      <c r="K1998" s="12" t="b">
        <v>0</v>
      </c>
      <c r="L1998" s="12">
        <v>437.25725306514931</v>
      </c>
      <c r="M1998" s="12">
        <v>300.032917</v>
      </c>
      <c r="N1998" s="12">
        <v>3000</v>
      </c>
      <c r="O1998" s="12">
        <v>400</v>
      </c>
      <c r="P1998" s="12">
        <v>0.58049524251523787</v>
      </c>
      <c r="Q1998" s="12">
        <v>0.52747556000676776</v>
      </c>
      <c r="R1998" s="12">
        <v>0.44341519197913642</v>
      </c>
      <c r="S1998" s="12">
        <v>0.61404325172918062</v>
      </c>
      <c r="T1998" s="12">
        <v>0.77933304979079754</v>
      </c>
      <c r="U1998" s="12">
        <v>0.72629607144166686</v>
      </c>
      <c r="V1998" s="12">
        <v>300.032917</v>
      </c>
      <c r="W1998" s="12">
        <v>-6.6651436075849304</v>
      </c>
      <c r="X1998" s="12">
        <v>-35.365469925975923</v>
      </c>
      <c r="Y1998" s="12">
        <v>2600</v>
      </c>
      <c r="Z1998" s="12">
        <v>7.5</v>
      </c>
      <c r="AA1998" s="12" t="s">
        <v>2513</v>
      </c>
      <c r="AB1998" s="12"/>
    </row>
    <row r="1999" spans="1:28" x14ac:dyDescent="0.3">
      <c r="A1999" s="12" t="s">
        <v>3911</v>
      </c>
      <c r="B1999" s="12" t="s">
        <v>170</v>
      </c>
      <c r="C1999" s="12" t="s">
        <v>448</v>
      </c>
      <c r="D1999" s="12" t="s">
        <v>728</v>
      </c>
      <c r="E1999" s="12" t="s">
        <v>2978</v>
      </c>
      <c r="F1999" s="12" t="s">
        <v>1863</v>
      </c>
      <c r="G1999" s="12" t="s">
        <v>832</v>
      </c>
      <c r="H1999" s="12" t="b">
        <v>0</v>
      </c>
      <c r="I1999" s="12" t="b">
        <v>0</v>
      </c>
      <c r="J1999" s="12" t="b">
        <v>1</v>
      </c>
      <c r="K1999" s="12" t="b">
        <v>0</v>
      </c>
      <c r="L1999" s="12">
        <v>486.35540685896638</v>
      </c>
      <c r="M1999" s="12">
        <v>300.032917</v>
      </c>
      <c r="N1999" s="12">
        <v>3000</v>
      </c>
      <c r="O1999" s="12">
        <v>400</v>
      </c>
      <c r="P1999" s="12">
        <v>0.83508385409119756</v>
      </c>
      <c r="Q1999" s="12">
        <v>0.88670683477870227</v>
      </c>
      <c r="R1999" s="12">
        <v>0.46209017712354999</v>
      </c>
      <c r="S1999" s="12">
        <v>0.75621616896737565</v>
      </c>
      <c r="T1999" s="12">
        <v>0.84427604729530625</v>
      </c>
      <c r="U1999" s="12">
        <v>0.825126637493099</v>
      </c>
      <c r="V1999" s="12">
        <v>300.032917</v>
      </c>
      <c r="W1999" s="12">
        <v>-46.579266460137077</v>
      </c>
      <c r="X1999" s="12">
        <v>-130.78899643781739</v>
      </c>
      <c r="Y1999" s="12">
        <v>2600</v>
      </c>
      <c r="Z1999" s="12">
        <v>7.5</v>
      </c>
      <c r="AA1999" s="12" t="s">
        <v>3912</v>
      </c>
      <c r="AB1999" s="12"/>
    </row>
    <row r="2000" spans="1:28" x14ac:dyDescent="0.3">
      <c r="A2000" s="12" t="s">
        <v>3913</v>
      </c>
      <c r="B2000" s="12" t="s">
        <v>170</v>
      </c>
      <c r="C2000" s="12" t="s">
        <v>448</v>
      </c>
      <c r="D2000" s="12" t="s">
        <v>728</v>
      </c>
      <c r="E2000" s="12" t="s">
        <v>2978</v>
      </c>
      <c r="F2000" s="12" t="s">
        <v>1861</v>
      </c>
      <c r="G2000" s="12" t="s">
        <v>1861</v>
      </c>
      <c r="H2000" s="12" t="b">
        <v>1</v>
      </c>
      <c r="I2000" s="12" t="b">
        <v>0</v>
      </c>
      <c r="J2000" s="12" t="b">
        <v>1</v>
      </c>
      <c r="K2000" s="12" t="b">
        <v>0</v>
      </c>
      <c r="L2000" s="12">
        <v>622.40103948422188</v>
      </c>
      <c r="M2000" s="12">
        <v>300.032917</v>
      </c>
      <c r="N2000" s="12">
        <v>3000</v>
      </c>
      <c r="O2000" s="12">
        <v>400</v>
      </c>
      <c r="P2000" s="12">
        <v>0.64191502600409389</v>
      </c>
      <c r="Q2000" s="12">
        <v>0.64404806309580842</v>
      </c>
      <c r="R2000" s="12">
        <v>0.64680796198264723</v>
      </c>
      <c r="S2000" s="12">
        <v>0.62038503333368777</v>
      </c>
      <c r="T2000" s="12">
        <v>0.90658849095822125</v>
      </c>
      <c r="U2000" s="12">
        <v>0.93029141139126725</v>
      </c>
      <c r="V2000" s="12">
        <v>300.032917</v>
      </c>
      <c r="W2000" s="12">
        <v>6.5266003119188492</v>
      </c>
      <c r="X2000" s="12">
        <v>81.011052728023486</v>
      </c>
      <c r="Y2000" s="12">
        <v>2600</v>
      </c>
      <c r="Z2000" s="12">
        <v>7.5</v>
      </c>
      <c r="AA2000" s="12" t="s">
        <v>1268</v>
      </c>
      <c r="AB2000" s="12"/>
    </row>
    <row r="2001" spans="1:28" x14ac:dyDescent="0.3">
      <c r="A2001" s="12" t="s">
        <v>3914</v>
      </c>
      <c r="B2001" s="12" t="s">
        <v>170</v>
      </c>
      <c r="C2001" s="12" t="s">
        <v>448</v>
      </c>
      <c r="D2001" s="12" t="s">
        <v>728</v>
      </c>
      <c r="E2001" s="12" t="s">
        <v>2978</v>
      </c>
      <c r="F2001" s="12" t="s">
        <v>1862</v>
      </c>
      <c r="G2001" s="12" t="s">
        <v>1862</v>
      </c>
      <c r="H2001" s="12" t="b">
        <v>1</v>
      </c>
      <c r="I2001" s="12" t="b">
        <v>0</v>
      </c>
      <c r="J2001" s="12" t="b">
        <v>0</v>
      </c>
      <c r="K2001" s="12" t="b">
        <v>0</v>
      </c>
      <c r="L2001" s="12">
        <v>400.66316037582772</v>
      </c>
      <c r="M2001" s="12">
        <v>300.032917</v>
      </c>
      <c r="N2001" s="12">
        <v>3000</v>
      </c>
      <c r="O2001" s="12">
        <v>400</v>
      </c>
      <c r="P2001" s="12">
        <v>0.73018012047729863</v>
      </c>
      <c r="Q2001" s="12">
        <v>0.75239626159760387</v>
      </c>
      <c r="R2001" s="12">
        <v>0.49317886024937879</v>
      </c>
      <c r="S2001" s="12">
        <v>0.58728387301033336</v>
      </c>
      <c r="T2001" s="12">
        <v>0.51646960417287224</v>
      </c>
      <c r="U2001" s="12">
        <v>0.74612732560698003</v>
      </c>
      <c r="V2001" s="12">
        <v>300.032917</v>
      </c>
      <c r="W2001" s="12">
        <v>-141.22474113445821</v>
      </c>
      <c r="X2001" s="12">
        <v>-154.25705268524879</v>
      </c>
      <c r="Y2001" s="12">
        <v>2600</v>
      </c>
      <c r="Z2001" s="12">
        <v>7.5</v>
      </c>
      <c r="AA2001" s="12" t="s">
        <v>2513</v>
      </c>
      <c r="AB2001" s="12"/>
    </row>
    <row r="2002" spans="1:28" x14ac:dyDescent="0.3">
      <c r="A2002" s="12" t="s">
        <v>3915</v>
      </c>
      <c r="B2002" s="12" t="s">
        <v>170</v>
      </c>
      <c r="C2002" s="12" t="s">
        <v>448</v>
      </c>
      <c r="D2002" s="12" t="s">
        <v>728</v>
      </c>
      <c r="E2002" s="12" t="s">
        <v>2978</v>
      </c>
      <c r="F2002" s="12" t="s">
        <v>832</v>
      </c>
      <c r="G2002" s="12" t="s">
        <v>832</v>
      </c>
      <c r="H2002" s="12" t="b">
        <v>0</v>
      </c>
      <c r="I2002" s="12" t="b">
        <v>0</v>
      </c>
      <c r="J2002" s="12" t="b">
        <v>0</v>
      </c>
      <c r="K2002" s="12" t="b">
        <v>0</v>
      </c>
      <c r="L2002" s="12">
        <v>580.5216256422342</v>
      </c>
      <c r="M2002" s="12">
        <v>300.032917</v>
      </c>
      <c r="N2002" s="12">
        <v>3000</v>
      </c>
      <c r="O2002" s="12">
        <v>400</v>
      </c>
      <c r="P2002" s="12">
        <v>0.78586637375092916</v>
      </c>
      <c r="Q2002" s="12">
        <v>0.4795092294247324</v>
      </c>
      <c r="R2002" s="12">
        <v>0.47145487889244259</v>
      </c>
      <c r="S2002" s="12">
        <v>0.56770705604762839</v>
      </c>
      <c r="T2002" s="12">
        <v>0.87884138103036702</v>
      </c>
      <c r="U2002" s="12">
        <v>0.5936550177608475</v>
      </c>
      <c r="V2002" s="12">
        <v>300.032917</v>
      </c>
      <c r="W2002" s="12"/>
      <c r="X2002" s="12"/>
      <c r="Y2002" s="12">
        <v>2600</v>
      </c>
      <c r="Z2002" s="12">
        <v>7.5</v>
      </c>
      <c r="AA2002" s="12"/>
      <c r="AB2002" s="12"/>
    </row>
    <row r="2003" spans="1:28" x14ac:dyDescent="0.3">
      <c r="A2003" s="12" t="s">
        <v>3916</v>
      </c>
      <c r="B2003" s="12" t="s">
        <v>170</v>
      </c>
      <c r="C2003" s="12" t="s">
        <v>448</v>
      </c>
      <c r="D2003" s="12" t="s">
        <v>728</v>
      </c>
      <c r="E2003" s="12" t="s">
        <v>2978</v>
      </c>
      <c r="F2003" s="12" t="s">
        <v>832</v>
      </c>
      <c r="G2003" s="12" t="s">
        <v>832</v>
      </c>
      <c r="H2003" s="12" t="b">
        <v>0</v>
      </c>
      <c r="I2003" s="12" t="b">
        <v>0</v>
      </c>
      <c r="J2003" s="12" t="b">
        <v>0</v>
      </c>
      <c r="K2003" s="12" t="b">
        <v>0</v>
      </c>
      <c r="L2003" s="12">
        <v>603.55879562576399</v>
      </c>
      <c r="M2003" s="12">
        <v>300.032917</v>
      </c>
      <c r="N2003" s="12">
        <v>3000</v>
      </c>
      <c r="O2003" s="12">
        <v>400</v>
      </c>
      <c r="P2003" s="12">
        <v>0.70725191270963805</v>
      </c>
      <c r="Q2003" s="12">
        <v>0.73933345627995384</v>
      </c>
      <c r="R2003" s="12">
        <v>0.72331570574874293</v>
      </c>
      <c r="S2003" s="12">
        <v>0.7413185376609448</v>
      </c>
      <c r="T2003" s="12">
        <v>0.92590833705287379</v>
      </c>
      <c r="U2003" s="12">
        <v>0.62027178914072623</v>
      </c>
      <c r="V2003" s="12">
        <v>300.032917</v>
      </c>
      <c r="W2003" s="12"/>
      <c r="X2003" s="12"/>
      <c r="Y2003" s="12">
        <v>2600</v>
      </c>
      <c r="Z2003" s="12">
        <v>7.5</v>
      </c>
      <c r="AA2003" s="12"/>
      <c r="AB2003" s="12"/>
    </row>
    <row r="2004" spans="1:28" x14ac:dyDescent="0.3">
      <c r="A2004" s="12" t="s">
        <v>3917</v>
      </c>
      <c r="B2004" s="12" t="s">
        <v>170</v>
      </c>
      <c r="C2004" s="12" t="s">
        <v>448</v>
      </c>
      <c r="D2004" s="12" t="s">
        <v>728</v>
      </c>
      <c r="E2004" s="12" t="s">
        <v>2978</v>
      </c>
      <c r="F2004" s="12" t="s">
        <v>1862</v>
      </c>
      <c r="G2004" s="12" t="s">
        <v>1862</v>
      </c>
      <c r="H2004" s="12" t="b">
        <v>1</v>
      </c>
      <c r="I2004" s="12" t="b">
        <v>0</v>
      </c>
      <c r="J2004" s="12" t="b">
        <v>1</v>
      </c>
      <c r="K2004" s="12" t="b">
        <v>0</v>
      </c>
      <c r="L2004" s="12">
        <v>504.2386608542011</v>
      </c>
      <c r="M2004" s="12">
        <v>300.032917</v>
      </c>
      <c r="N2004" s="12">
        <v>3000</v>
      </c>
      <c r="O2004" s="12">
        <v>400</v>
      </c>
      <c r="P2004" s="12">
        <v>0.78358183714889407</v>
      </c>
      <c r="Q2004" s="12">
        <v>0.71442109741689253</v>
      </c>
      <c r="R2004" s="12">
        <v>0.52908881878488812</v>
      </c>
      <c r="S2004" s="12">
        <v>0.42468321918876978</v>
      </c>
      <c r="T2004" s="12">
        <v>0.62545948910749982</v>
      </c>
      <c r="U2004" s="12">
        <v>0.57105983275683736</v>
      </c>
      <c r="V2004" s="12">
        <v>300.032917</v>
      </c>
      <c r="W2004" s="12">
        <v>-96.727404507100601</v>
      </c>
      <c r="X2004" s="12">
        <v>-224.71170085560439</v>
      </c>
      <c r="Y2004" s="12">
        <v>2600</v>
      </c>
      <c r="Z2004" s="12">
        <v>7.5</v>
      </c>
      <c r="AA2004" s="12" t="s">
        <v>2513</v>
      </c>
      <c r="AB2004" s="12"/>
    </row>
    <row r="2005" spans="1:28" x14ac:dyDescent="0.3">
      <c r="A2005" s="12" t="s">
        <v>3918</v>
      </c>
      <c r="B2005" s="12" t="s">
        <v>170</v>
      </c>
      <c r="C2005" s="12" t="s">
        <v>448</v>
      </c>
      <c r="D2005" s="12" t="s">
        <v>728</v>
      </c>
      <c r="E2005" s="12" t="s">
        <v>2978</v>
      </c>
      <c r="F2005" s="12" t="s">
        <v>832</v>
      </c>
      <c r="G2005" s="12" t="s">
        <v>832</v>
      </c>
      <c r="H2005" s="12" t="b">
        <v>0</v>
      </c>
      <c r="I2005" s="12" t="b">
        <v>0</v>
      </c>
      <c r="J2005" s="12" t="b">
        <v>0</v>
      </c>
      <c r="K2005" s="12" t="b">
        <v>0</v>
      </c>
      <c r="L2005" s="12">
        <v>598.28449969767144</v>
      </c>
      <c r="M2005" s="12">
        <v>300.032917</v>
      </c>
      <c r="N2005" s="12">
        <v>3000</v>
      </c>
      <c r="O2005" s="12">
        <v>400</v>
      </c>
      <c r="P2005" s="12">
        <v>0.6473094900047327</v>
      </c>
      <c r="Q2005" s="12">
        <v>0.84773624062479158</v>
      </c>
      <c r="R2005" s="12">
        <v>0.68809441926964099</v>
      </c>
      <c r="S2005" s="12">
        <v>0.93086181457552519</v>
      </c>
      <c r="T2005" s="12">
        <v>0.54723182660287628</v>
      </c>
      <c r="U2005" s="12">
        <v>0.59773298291857191</v>
      </c>
      <c r="V2005" s="12">
        <v>300.032917</v>
      </c>
      <c r="W2005" s="12"/>
      <c r="X2005" s="12"/>
      <c r="Y2005" s="12">
        <v>2600</v>
      </c>
      <c r="Z2005" s="12">
        <v>7.5</v>
      </c>
      <c r="AA2005" s="12"/>
      <c r="AB2005" s="12"/>
    </row>
    <row r="2006" spans="1:28" x14ac:dyDescent="0.3">
      <c r="A2006" s="12" t="s">
        <v>3919</v>
      </c>
      <c r="B2006" s="12" t="s">
        <v>170</v>
      </c>
      <c r="C2006" s="12" t="s">
        <v>448</v>
      </c>
      <c r="D2006" s="12" t="s">
        <v>728</v>
      </c>
      <c r="E2006" s="12" t="s">
        <v>2978</v>
      </c>
      <c r="F2006" s="12" t="s">
        <v>1862</v>
      </c>
      <c r="G2006" s="12" t="s">
        <v>1862</v>
      </c>
      <c r="H2006" s="12" t="b">
        <v>1</v>
      </c>
      <c r="I2006" s="12" t="b">
        <v>0</v>
      </c>
      <c r="J2006" s="12" t="b">
        <v>1</v>
      </c>
      <c r="K2006" s="12" t="b">
        <v>0</v>
      </c>
      <c r="L2006" s="12">
        <v>522.4346026969514</v>
      </c>
      <c r="M2006" s="12">
        <v>300.032917</v>
      </c>
      <c r="N2006" s="12">
        <v>3000</v>
      </c>
      <c r="O2006" s="12">
        <v>400</v>
      </c>
      <c r="P2006" s="12">
        <v>0.77500315068683967</v>
      </c>
      <c r="Q2006" s="12">
        <v>0.77273140768703019</v>
      </c>
      <c r="R2006" s="12">
        <v>0.71302507005815485</v>
      </c>
      <c r="S2006" s="12">
        <v>0.44365947526549659</v>
      </c>
      <c r="T2006" s="12">
        <v>0.64357269767600211</v>
      </c>
      <c r="U2006" s="12">
        <v>0.88637744703511456</v>
      </c>
      <c r="V2006" s="12">
        <v>300.032917</v>
      </c>
      <c r="W2006" s="12">
        <v>-5.7617657684754899</v>
      </c>
      <c r="X2006" s="12">
        <v>-28.216400967564649</v>
      </c>
      <c r="Y2006" s="12">
        <v>2600</v>
      </c>
      <c r="Z2006" s="12">
        <v>7.5</v>
      </c>
      <c r="AA2006" s="12" t="s">
        <v>2513</v>
      </c>
      <c r="AB2006" s="12"/>
    </row>
    <row r="2007" spans="1:28" x14ac:dyDescent="0.3">
      <c r="A2007" s="12" t="s">
        <v>3920</v>
      </c>
      <c r="B2007" s="12" t="s">
        <v>170</v>
      </c>
      <c r="C2007" s="12" t="s">
        <v>448</v>
      </c>
      <c r="D2007" s="12" t="s">
        <v>728</v>
      </c>
      <c r="E2007" s="12" t="s">
        <v>2978</v>
      </c>
      <c r="F2007" s="12" t="s">
        <v>1862</v>
      </c>
      <c r="G2007" s="12" t="s">
        <v>1862</v>
      </c>
      <c r="H2007" s="12" t="b">
        <v>1</v>
      </c>
      <c r="I2007" s="12" t="b">
        <v>0</v>
      </c>
      <c r="J2007" s="12" t="b">
        <v>1</v>
      </c>
      <c r="K2007" s="12" t="b">
        <v>0</v>
      </c>
      <c r="L2007" s="12">
        <v>612.84750579547926</v>
      </c>
      <c r="M2007" s="12">
        <v>300.032917</v>
      </c>
      <c r="N2007" s="12">
        <v>3000</v>
      </c>
      <c r="O2007" s="12">
        <v>400</v>
      </c>
      <c r="P2007" s="12">
        <v>0.72273191232291734</v>
      </c>
      <c r="Q2007" s="12">
        <v>0.43184727143088258</v>
      </c>
      <c r="R2007" s="12">
        <v>0.70256268940076838</v>
      </c>
      <c r="S2007" s="12">
        <v>0.51113520848242322</v>
      </c>
      <c r="T2007" s="12">
        <v>0.65994937900813022</v>
      </c>
      <c r="U2007" s="12">
        <v>0.79285971515751774</v>
      </c>
      <c r="V2007" s="12">
        <v>300.032917</v>
      </c>
      <c r="W2007" s="12">
        <v>-13.57054174256446</v>
      </c>
      <c r="X2007" s="12">
        <v>-98.710333103881354</v>
      </c>
      <c r="Y2007" s="12">
        <v>2600</v>
      </c>
      <c r="Z2007" s="12">
        <v>7.5</v>
      </c>
      <c r="AA2007" s="12" t="s">
        <v>2513</v>
      </c>
      <c r="AB2007" s="12"/>
    </row>
    <row r="2008" spans="1:28" x14ac:dyDescent="0.3">
      <c r="A2008" s="12" t="s">
        <v>3921</v>
      </c>
      <c r="B2008" s="12" t="s">
        <v>170</v>
      </c>
      <c r="C2008" s="12" t="s">
        <v>448</v>
      </c>
      <c r="D2008" s="12" t="s">
        <v>728</v>
      </c>
      <c r="E2008" s="12" t="s">
        <v>2978</v>
      </c>
      <c r="F2008" s="12" t="s">
        <v>1861</v>
      </c>
      <c r="G2008" s="12" t="s">
        <v>1861</v>
      </c>
      <c r="H2008" s="12" t="b">
        <v>1</v>
      </c>
      <c r="I2008" s="12" t="b">
        <v>0</v>
      </c>
      <c r="J2008" s="12" t="b">
        <v>1</v>
      </c>
      <c r="K2008" s="12" t="b">
        <v>0</v>
      </c>
      <c r="L2008" s="12">
        <v>457.22165774429737</v>
      </c>
      <c r="M2008" s="12">
        <v>300.032917</v>
      </c>
      <c r="N2008" s="12">
        <v>3000</v>
      </c>
      <c r="O2008" s="12">
        <v>400</v>
      </c>
      <c r="P2008" s="12">
        <v>0.51712614583759731</v>
      </c>
      <c r="Q2008" s="12">
        <v>0.59795957659908783</v>
      </c>
      <c r="R2008" s="12">
        <v>0.74187648311943055</v>
      </c>
      <c r="S2008" s="12">
        <v>0.64526083500298248</v>
      </c>
      <c r="T2008" s="12">
        <v>0.92740750743067502</v>
      </c>
      <c r="U2008" s="12">
        <v>0.55900273468302286</v>
      </c>
      <c r="V2008" s="12">
        <v>300.032917</v>
      </c>
      <c r="W2008" s="12">
        <v>2.12138377333399</v>
      </c>
      <c r="X2008" s="12">
        <v>14.37979530040354</v>
      </c>
      <c r="Y2008" s="12">
        <v>2600</v>
      </c>
      <c r="Z2008" s="12">
        <v>7.5</v>
      </c>
      <c r="AA2008" s="12" t="s">
        <v>1268</v>
      </c>
      <c r="AB2008" s="12"/>
    </row>
    <row r="2009" spans="1:28" x14ac:dyDescent="0.3">
      <c r="A2009" s="12" t="s">
        <v>3922</v>
      </c>
      <c r="B2009" s="12" t="s">
        <v>170</v>
      </c>
      <c r="C2009" s="12" t="s">
        <v>448</v>
      </c>
      <c r="D2009" s="12" t="s">
        <v>728</v>
      </c>
      <c r="E2009" s="12" t="s">
        <v>2978</v>
      </c>
      <c r="F2009" s="12" t="s">
        <v>1861</v>
      </c>
      <c r="G2009" s="12" t="s">
        <v>1861</v>
      </c>
      <c r="H2009" s="12" t="b">
        <v>1</v>
      </c>
      <c r="I2009" s="12" t="b">
        <v>0</v>
      </c>
      <c r="J2009" s="12" t="b">
        <v>1</v>
      </c>
      <c r="K2009" s="12" t="b">
        <v>0</v>
      </c>
      <c r="L2009" s="12">
        <v>446.66109907770158</v>
      </c>
      <c r="M2009" s="12">
        <v>300.032917</v>
      </c>
      <c r="N2009" s="12">
        <v>3000</v>
      </c>
      <c r="O2009" s="12">
        <v>400</v>
      </c>
      <c r="P2009" s="12">
        <v>0.71788815309833365</v>
      </c>
      <c r="Q2009" s="12">
        <v>0.79040556016695462</v>
      </c>
      <c r="R2009" s="12">
        <v>0.66749310527199701</v>
      </c>
      <c r="S2009" s="12">
        <v>0.65526789745790182</v>
      </c>
      <c r="T2009" s="12">
        <v>0.50727994379026764</v>
      </c>
      <c r="U2009" s="12">
        <v>0.90518191535637804</v>
      </c>
      <c r="V2009" s="12">
        <v>300.032917</v>
      </c>
      <c r="W2009" s="12">
        <v>2.7953585576609501</v>
      </c>
      <c r="X2009" s="12">
        <v>20.359675941205161</v>
      </c>
      <c r="Y2009" s="12">
        <v>2600</v>
      </c>
      <c r="Z2009" s="12">
        <v>7.5</v>
      </c>
      <c r="AA2009" s="12" t="s">
        <v>1268</v>
      </c>
      <c r="AB2009" s="12"/>
    </row>
    <row r="2010" spans="1:28" x14ac:dyDescent="0.3">
      <c r="A2010" s="12" t="s">
        <v>3923</v>
      </c>
      <c r="B2010" s="12" t="s">
        <v>170</v>
      </c>
      <c r="C2010" s="12" t="s">
        <v>448</v>
      </c>
      <c r="D2010" s="12" t="s">
        <v>728</v>
      </c>
      <c r="E2010" s="12" t="s">
        <v>2978</v>
      </c>
      <c r="F2010" s="12" t="s">
        <v>1861</v>
      </c>
      <c r="G2010" s="12" t="s">
        <v>1861</v>
      </c>
      <c r="H2010" s="12" t="b">
        <v>1</v>
      </c>
      <c r="I2010" s="12" t="b">
        <v>0</v>
      </c>
      <c r="J2010" s="12" t="b">
        <v>0</v>
      </c>
      <c r="K2010" s="12" t="b">
        <v>0</v>
      </c>
      <c r="L2010" s="12">
        <v>407.84617584397159</v>
      </c>
      <c r="M2010" s="12">
        <v>300.032917</v>
      </c>
      <c r="N2010" s="12">
        <v>3000</v>
      </c>
      <c r="O2010" s="12">
        <v>400</v>
      </c>
      <c r="P2010" s="12">
        <v>0.56779030111230411</v>
      </c>
      <c r="Q2010" s="12">
        <v>0.73729342988828506</v>
      </c>
      <c r="R2010" s="12">
        <v>0.63799598301947325</v>
      </c>
      <c r="S2010" s="12">
        <v>0.90524418333317536</v>
      </c>
      <c r="T2010" s="12">
        <v>0.46103822661781851</v>
      </c>
      <c r="U2010" s="12">
        <v>0.88049207187001577</v>
      </c>
      <c r="V2010" s="12">
        <v>300.032917</v>
      </c>
      <c r="W2010" s="12">
        <v>8.1461386479501208</v>
      </c>
      <c r="X2010" s="12">
        <v>45.273452437340232</v>
      </c>
      <c r="Y2010" s="12">
        <v>2600</v>
      </c>
      <c r="Z2010" s="12">
        <v>7.5</v>
      </c>
      <c r="AA2010" s="12" t="s">
        <v>1268</v>
      </c>
      <c r="AB2010" s="12"/>
    </row>
    <row r="2011" spans="1:28" x14ac:dyDescent="0.3">
      <c r="A2011" s="12" t="s">
        <v>3924</v>
      </c>
      <c r="B2011" s="12" t="s">
        <v>170</v>
      </c>
      <c r="C2011" s="12" t="s">
        <v>448</v>
      </c>
      <c r="D2011" s="12" t="s">
        <v>728</v>
      </c>
      <c r="E2011" s="12" t="s">
        <v>2978</v>
      </c>
      <c r="F2011" s="12" t="s">
        <v>1862</v>
      </c>
      <c r="G2011" s="12" t="s">
        <v>1862</v>
      </c>
      <c r="H2011" s="12" t="b">
        <v>1</v>
      </c>
      <c r="I2011" s="12" t="b">
        <v>0</v>
      </c>
      <c r="J2011" s="12" t="b">
        <v>1</v>
      </c>
      <c r="K2011" s="12" t="b">
        <v>0</v>
      </c>
      <c r="L2011" s="12">
        <v>460.41299915954812</v>
      </c>
      <c r="M2011" s="12">
        <v>300.032917</v>
      </c>
      <c r="N2011" s="12">
        <v>3000</v>
      </c>
      <c r="O2011" s="12">
        <v>400</v>
      </c>
      <c r="P2011" s="12">
        <v>0.80374957193040264</v>
      </c>
      <c r="Q2011" s="12">
        <v>0.86463153044276231</v>
      </c>
      <c r="R2011" s="12">
        <v>0.50174763226712293</v>
      </c>
      <c r="S2011" s="12">
        <v>0.82371427995308455</v>
      </c>
      <c r="T2011" s="12">
        <v>0.87199760287032091</v>
      </c>
      <c r="U2011" s="12">
        <v>0.71449659994219283</v>
      </c>
      <c r="V2011" s="12">
        <v>300.032917</v>
      </c>
      <c r="W2011" s="12">
        <v>-41.110442954543643</v>
      </c>
      <c r="X2011" s="12">
        <v>-159.00838485816271</v>
      </c>
      <c r="Y2011" s="12">
        <v>2600</v>
      </c>
      <c r="Z2011" s="12">
        <v>7.5</v>
      </c>
      <c r="AA2011" s="12" t="s">
        <v>2513</v>
      </c>
      <c r="AB2011" s="12"/>
    </row>
    <row r="2012" spans="1:28" x14ac:dyDescent="0.3">
      <c r="A2012" s="12" t="s">
        <v>3925</v>
      </c>
      <c r="B2012" s="12" t="s">
        <v>170</v>
      </c>
      <c r="C2012" s="12" t="s">
        <v>448</v>
      </c>
      <c r="D2012" s="12" t="s">
        <v>728</v>
      </c>
      <c r="E2012" s="12" t="s">
        <v>2978</v>
      </c>
      <c r="F2012" s="12" t="s">
        <v>1862</v>
      </c>
      <c r="G2012" s="12" t="s">
        <v>1862</v>
      </c>
      <c r="H2012" s="12" t="b">
        <v>1</v>
      </c>
      <c r="I2012" s="12" t="b">
        <v>0</v>
      </c>
      <c r="J2012" s="12" t="b">
        <v>0</v>
      </c>
      <c r="K2012" s="12" t="b">
        <v>0</v>
      </c>
      <c r="L2012" s="12">
        <v>421.66968407926049</v>
      </c>
      <c r="M2012" s="12">
        <v>300.032917</v>
      </c>
      <c r="N2012" s="12">
        <v>3000</v>
      </c>
      <c r="O2012" s="12">
        <v>400</v>
      </c>
      <c r="P2012" s="12">
        <v>0.63043297661475772</v>
      </c>
      <c r="Q2012" s="12">
        <v>0.66463254796003202</v>
      </c>
      <c r="R2012" s="12">
        <v>0.59214349197212246</v>
      </c>
      <c r="S2012" s="12">
        <v>0.83033624366036574</v>
      </c>
      <c r="T2012" s="12">
        <v>0.84781829304904066</v>
      </c>
      <c r="U2012" s="12">
        <v>0.6628464970628869</v>
      </c>
      <c r="V2012" s="12">
        <v>300.032917</v>
      </c>
      <c r="W2012" s="12">
        <v>-10.740896861637379</v>
      </c>
      <c r="X2012" s="12">
        <v>-44.35708275105155</v>
      </c>
      <c r="Y2012" s="12">
        <v>2600</v>
      </c>
      <c r="Z2012" s="12">
        <v>7.5</v>
      </c>
      <c r="AA2012" s="12" t="s">
        <v>2513</v>
      </c>
      <c r="AB2012" s="12"/>
    </row>
    <row r="2013" spans="1:28" x14ac:dyDescent="0.3">
      <c r="A2013" s="12" t="s">
        <v>3926</v>
      </c>
      <c r="B2013" s="12" t="s">
        <v>170</v>
      </c>
      <c r="C2013" s="12" t="s">
        <v>448</v>
      </c>
      <c r="D2013" s="12" t="s">
        <v>728</v>
      </c>
      <c r="E2013" s="12" t="s">
        <v>2978</v>
      </c>
      <c r="F2013" s="12" t="s">
        <v>832</v>
      </c>
      <c r="G2013" s="12" t="s">
        <v>832</v>
      </c>
      <c r="H2013" s="12" t="b">
        <v>0</v>
      </c>
      <c r="I2013" s="12" t="b">
        <v>0</v>
      </c>
      <c r="J2013" s="12" t="b">
        <v>0</v>
      </c>
      <c r="K2013" s="12" t="b">
        <v>0</v>
      </c>
      <c r="L2013" s="12">
        <v>619.53162227354744</v>
      </c>
      <c r="M2013" s="12">
        <v>300.032917</v>
      </c>
      <c r="N2013" s="12">
        <v>3000</v>
      </c>
      <c r="O2013" s="12">
        <v>400</v>
      </c>
      <c r="P2013" s="12">
        <v>0.84931577333408281</v>
      </c>
      <c r="Q2013" s="12">
        <v>0.92490372164986723</v>
      </c>
      <c r="R2013" s="12">
        <v>0.57207480751565876</v>
      </c>
      <c r="S2013" s="12">
        <v>0.63531470393311229</v>
      </c>
      <c r="T2013" s="12">
        <v>0.75365802563353068</v>
      </c>
      <c r="U2013" s="12">
        <v>0.55238671654709381</v>
      </c>
      <c r="V2013" s="12">
        <v>300.032917</v>
      </c>
      <c r="W2013" s="12"/>
      <c r="X2013" s="12"/>
      <c r="Y2013" s="12">
        <v>2600</v>
      </c>
      <c r="Z2013" s="12">
        <v>7.5</v>
      </c>
      <c r="AA2013" s="12"/>
      <c r="AB2013" s="12"/>
    </row>
    <row r="2014" spans="1:28" x14ac:dyDescent="0.3">
      <c r="A2014" s="12" t="s">
        <v>3927</v>
      </c>
      <c r="B2014" s="12" t="s">
        <v>170</v>
      </c>
      <c r="C2014" s="12" t="s">
        <v>448</v>
      </c>
      <c r="D2014" s="12" t="s">
        <v>728</v>
      </c>
      <c r="E2014" s="12" t="s">
        <v>2978</v>
      </c>
      <c r="F2014" s="12" t="s">
        <v>1862</v>
      </c>
      <c r="G2014" s="12" t="s">
        <v>1862</v>
      </c>
      <c r="H2014" s="12" t="b">
        <v>1</v>
      </c>
      <c r="I2014" s="12" t="b">
        <v>0</v>
      </c>
      <c r="J2014" s="12" t="b">
        <v>1</v>
      </c>
      <c r="K2014" s="12" t="b">
        <v>0</v>
      </c>
      <c r="L2014" s="12">
        <v>613.96059935417043</v>
      </c>
      <c r="M2014" s="12">
        <v>300.032917</v>
      </c>
      <c r="N2014" s="12">
        <v>3000</v>
      </c>
      <c r="O2014" s="12">
        <v>400</v>
      </c>
      <c r="P2014" s="12">
        <v>0.62115555015666457</v>
      </c>
      <c r="Q2014" s="12">
        <v>0.70391570125879399</v>
      </c>
      <c r="R2014" s="12">
        <v>0.65807098429058841</v>
      </c>
      <c r="S2014" s="12">
        <v>0.48150493802285549</v>
      </c>
      <c r="T2014" s="12">
        <v>0.8930288234752819</v>
      </c>
      <c r="U2014" s="12">
        <v>0.46852195759733128</v>
      </c>
      <c r="V2014" s="12">
        <v>300.032917</v>
      </c>
      <c r="W2014" s="12">
        <v>-12.68325980305997</v>
      </c>
      <c r="X2014" s="12">
        <v>-75.768896126101026</v>
      </c>
      <c r="Y2014" s="12">
        <v>2600</v>
      </c>
      <c r="Z2014" s="12">
        <v>7.5</v>
      </c>
      <c r="AA2014" s="12" t="s">
        <v>2513</v>
      </c>
      <c r="AB2014" s="12"/>
    </row>
    <row r="2015" spans="1:28" x14ac:dyDescent="0.3">
      <c r="A2015" s="12" t="s">
        <v>3928</v>
      </c>
      <c r="B2015" s="12" t="s">
        <v>170</v>
      </c>
      <c r="C2015" s="12" t="s">
        <v>448</v>
      </c>
      <c r="D2015" s="12" t="s">
        <v>728</v>
      </c>
      <c r="E2015" s="12" t="s">
        <v>2978</v>
      </c>
      <c r="F2015" s="12" t="s">
        <v>832</v>
      </c>
      <c r="G2015" s="12" t="s">
        <v>832</v>
      </c>
      <c r="H2015" s="12" t="b">
        <v>0</v>
      </c>
      <c r="I2015" s="12" t="b">
        <v>0</v>
      </c>
      <c r="J2015" s="12" t="b">
        <v>0</v>
      </c>
      <c r="K2015" s="12" t="b">
        <v>0</v>
      </c>
      <c r="L2015" s="12">
        <v>468.41371532842049</v>
      </c>
      <c r="M2015" s="12">
        <v>300.032917</v>
      </c>
      <c r="N2015" s="12">
        <v>3000</v>
      </c>
      <c r="O2015" s="12">
        <v>400</v>
      </c>
      <c r="P2015" s="12">
        <v>0.80014165886112232</v>
      </c>
      <c r="Q2015" s="12">
        <v>0.69825048371092735</v>
      </c>
      <c r="R2015" s="12">
        <v>0.4144836470419439</v>
      </c>
      <c r="S2015" s="12">
        <v>0.5324441172302381</v>
      </c>
      <c r="T2015" s="12">
        <v>0.7905210455559829</v>
      </c>
      <c r="U2015" s="12">
        <v>0.56720755151602154</v>
      </c>
      <c r="V2015" s="12">
        <v>300.032917</v>
      </c>
      <c r="W2015" s="12"/>
      <c r="X2015" s="12"/>
      <c r="Y2015" s="12">
        <v>2600</v>
      </c>
      <c r="Z2015" s="12">
        <v>7.5</v>
      </c>
      <c r="AA2015" s="12"/>
      <c r="AB2015" s="12"/>
    </row>
    <row r="2016" spans="1:28" x14ac:dyDescent="0.3">
      <c r="A2016" s="12" t="s">
        <v>3929</v>
      </c>
      <c r="B2016" s="12" t="s">
        <v>170</v>
      </c>
      <c r="C2016" s="12" t="s">
        <v>448</v>
      </c>
      <c r="D2016" s="12" t="s">
        <v>728</v>
      </c>
      <c r="E2016" s="12" t="s">
        <v>2978</v>
      </c>
      <c r="F2016" s="12" t="s">
        <v>1862</v>
      </c>
      <c r="G2016" s="12" t="s">
        <v>1862</v>
      </c>
      <c r="H2016" s="12" t="b">
        <v>1</v>
      </c>
      <c r="I2016" s="12" t="b">
        <v>0</v>
      </c>
      <c r="J2016" s="12" t="b">
        <v>1</v>
      </c>
      <c r="K2016" s="12" t="b">
        <v>0</v>
      </c>
      <c r="L2016" s="12">
        <v>592.09766944740738</v>
      </c>
      <c r="M2016" s="12">
        <v>300.032917</v>
      </c>
      <c r="N2016" s="12">
        <v>3000</v>
      </c>
      <c r="O2016" s="12">
        <v>400</v>
      </c>
      <c r="P2016" s="12">
        <v>0.66939218053061689</v>
      </c>
      <c r="Q2016" s="12">
        <v>0.78273821454061421</v>
      </c>
      <c r="R2016" s="12">
        <v>0.43038366409834788</v>
      </c>
      <c r="S2016" s="12">
        <v>0.62492801692250954</v>
      </c>
      <c r="T2016" s="12">
        <v>0.71574739765037343</v>
      </c>
      <c r="U2016" s="12">
        <v>0.80419935845544954</v>
      </c>
      <c r="V2016" s="12">
        <v>300.032917</v>
      </c>
      <c r="W2016" s="12">
        <v>-4.3286253413094498</v>
      </c>
      <c r="X2016" s="12">
        <v>-40.822320899475471</v>
      </c>
      <c r="Y2016" s="12">
        <v>2600</v>
      </c>
      <c r="Z2016" s="12">
        <v>7.5</v>
      </c>
      <c r="AA2016" s="12" t="s">
        <v>2513</v>
      </c>
      <c r="AB2016" s="12"/>
    </row>
    <row r="2017" spans="1:28" x14ac:dyDescent="0.3">
      <c r="A2017" s="12" t="s">
        <v>3930</v>
      </c>
      <c r="B2017" s="12" t="s">
        <v>170</v>
      </c>
      <c r="C2017" s="12" t="s">
        <v>448</v>
      </c>
      <c r="D2017" s="12" t="s">
        <v>728</v>
      </c>
      <c r="E2017" s="12" t="s">
        <v>2978</v>
      </c>
      <c r="F2017" s="12" t="s">
        <v>1861</v>
      </c>
      <c r="G2017" s="12" t="s">
        <v>1861</v>
      </c>
      <c r="H2017" s="12" t="b">
        <v>1</v>
      </c>
      <c r="I2017" s="12" t="b">
        <v>0</v>
      </c>
      <c r="J2017" s="12" t="b">
        <v>1</v>
      </c>
      <c r="K2017" s="12" t="b">
        <v>0</v>
      </c>
      <c r="L2017" s="12">
        <v>472.9886584414233</v>
      </c>
      <c r="M2017" s="12">
        <v>300.032917</v>
      </c>
      <c r="N2017" s="12">
        <v>3000</v>
      </c>
      <c r="O2017" s="12">
        <v>400</v>
      </c>
      <c r="P2017" s="12">
        <v>0.68181146399540538</v>
      </c>
      <c r="Q2017" s="12">
        <v>0.87380773760424213</v>
      </c>
      <c r="R2017" s="12">
        <v>0.93036526096709882</v>
      </c>
      <c r="S2017" s="12">
        <v>0.53301500698819837</v>
      </c>
      <c r="T2017" s="12">
        <v>0.85179831472971146</v>
      </c>
      <c r="U2017" s="12">
        <v>0.63745228355136807</v>
      </c>
      <c r="V2017" s="12">
        <v>300.032917</v>
      </c>
      <c r="W2017" s="12">
        <v>10.276897725295621</v>
      </c>
      <c r="X2017" s="12">
        <v>63.573603740045257</v>
      </c>
      <c r="Y2017" s="12">
        <v>2600</v>
      </c>
      <c r="Z2017" s="12">
        <v>7.5</v>
      </c>
      <c r="AA2017" s="12" t="s">
        <v>1268</v>
      </c>
      <c r="AB2017" s="12"/>
    </row>
    <row r="2018" spans="1:28" x14ac:dyDescent="0.3">
      <c r="A2018" s="12" t="s">
        <v>3931</v>
      </c>
      <c r="B2018" s="12" t="s">
        <v>170</v>
      </c>
      <c r="C2018" s="12" t="s">
        <v>448</v>
      </c>
      <c r="D2018" s="12" t="s">
        <v>728</v>
      </c>
      <c r="E2018" s="12" t="s">
        <v>2978</v>
      </c>
      <c r="F2018" s="12" t="s">
        <v>832</v>
      </c>
      <c r="G2018" s="12" t="s">
        <v>832</v>
      </c>
      <c r="H2018" s="12" t="b">
        <v>0</v>
      </c>
      <c r="I2018" s="12" t="b">
        <v>0</v>
      </c>
      <c r="J2018" s="12" t="b">
        <v>0</v>
      </c>
      <c r="K2018" s="12" t="b">
        <v>0</v>
      </c>
      <c r="L2018" s="12">
        <v>615.5396472523812</v>
      </c>
      <c r="M2018" s="12">
        <v>300.032917</v>
      </c>
      <c r="N2018" s="12">
        <v>3000</v>
      </c>
      <c r="O2018" s="12">
        <v>400</v>
      </c>
      <c r="P2018" s="12">
        <v>0.81036994424271103</v>
      </c>
      <c r="Q2018" s="12">
        <v>0.72404746405134246</v>
      </c>
      <c r="R2018" s="12">
        <v>0.69576868514269807</v>
      </c>
      <c r="S2018" s="12">
        <v>0.71174031614648048</v>
      </c>
      <c r="T2018" s="12">
        <v>0.40545383008733649</v>
      </c>
      <c r="U2018" s="12">
        <v>0.8294856231527955</v>
      </c>
      <c r="V2018" s="12">
        <v>300.032917</v>
      </c>
      <c r="W2018" s="12"/>
      <c r="X2018" s="12"/>
      <c r="Y2018" s="12">
        <v>2600</v>
      </c>
      <c r="Z2018" s="12">
        <v>7.5</v>
      </c>
      <c r="AA2018" s="12"/>
      <c r="AB2018" s="12"/>
    </row>
    <row r="2019" spans="1:28" x14ac:dyDescent="0.3">
      <c r="A2019" s="12" t="s">
        <v>3932</v>
      </c>
      <c r="B2019" s="12" t="s">
        <v>170</v>
      </c>
      <c r="C2019" s="12" t="s">
        <v>448</v>
      </c>
      <c r="D2019" s="12" t="s">
        <v>728</v>
      </c>
      <c r="E2019" s="12" t="s">
        <v>2978</v>
      </c>
      <c r="F2019" s="12" t="s">
        <v>1862</v>
      </c>
      <c r="G2019" s="12" t="s">
        <v>1862</v>
      </c>
      <c r="H2019" s="12" t="b">
        <v>1</v>
      </c>
      <c r="I2019" s="12" t="b">
        <v>0</v>
      </c>
      <c r="J2019" s="12" t="b">
        <v>1</v>
      </c>
      <c r="K2019" s="12" t="b">
        <v>0</v>
      </c>
      <c r="L2019" s="12">
        <v>442.21304913984881</v>
      </c>
      <c r="M2019" s="12">
        <v>300.032917</v>
      </c>
      <c r="N2019" s="12">
        <v>3000</v>
      </c>
      <c r="O2019" s="12">
        <v>400</v>
      </c>
      <c r="P2019" s="12">
        <v>0.83600470589479259</v>
      </c>
      <c r="Q2019" s="12">
        <v>0.82504255994615594</v>
      </c>
      <c r="R2019" s="12">
        <v>0.7191857863761707</v>
      </c>
      <c r="S2019" s="12">
        <v>0.8845727988923936</v>
      </c>
      <c r="T2019" s="12">
        <v>0.47402938941610462</v>
      </c>
      <c r="U2019" s="12">
        <v>0.69383847158688483</v>
      </c>
      <c r="V2019" s="12">
        <v>300.032917</v>
      </c>
      <c r="W2019" s="12">
        <v>-18.521503217414089</v>
      </c>
      <c r="X2019" s="12">
        <v>-68.297877448447423</v>
      </c>
      <c r="Y2019" s="12">
        <v>2600</v>
      </c>
      <c r="Z2019" s="12">
        <v>7.5</v>
      </c>
      <c r="AA2019" s="12" t="s">
        <v>2513</v>
      </c>
      <c r="AB2019" s="12"/>
    </row>
    <row r="2020" spans="1:28" x14ac:dyDescent="0.3">
      <c r="A2020" s="12" t="s">
        <v>3933</v>
      </c>
      <c r="B2020" s="12" t="s">
        <v>170</v>
      </c>
      <c r="C2020" s="12" t="s">
        <v>448</v>
      </c>
      <c r="D2020" s="12" t="s">
        <v>728</v>
      </c>
      <c r="E2020" s="12" t="s">
        <v>2978</v>
      </c>
      <c r="F2020" s="12" t="s">
        <v>1862</v>
      </c>
      <c r="G2020" s="12" t="s">
        <v>1862</v>
      </c>
      <c r="H2020" s="12" t="b">
        <v>1</v>
      </c>
      <c r="I2020" s="12" t="b">
        <v>0</v>
      </c>
      <c r="J2020" s="12" t="b">
        <v>1</v>
      </c>
      <c r="K2020" s="12" t="b">
        <v>0</v>
      </c>
      <c r="L2020" s="12">
        <v>429.7796200077704</v>
      </c>
      <c r="M2020" s="12">
        <v>300.032917</v>
      </c>
      <c r="N2020" s="12">
        <v>3000</v>
      </c>
      <c r="O2020" s="12">
        <v>400</v>
      </c>
      <c r="P2020" s="12">
        <v>0.70240822124519342</v>
      </c>
      <c r="Q2020" s="12">
        <v>0.90199545301058204</v>
      </c>
      <c r="R2020" s="12">
        <v>0.41162104226639662</v>
      </c>
      <c r="S2020" s="12">
        <v>0.89538453734713253</v>
      </c>
      <c r="T2020" s="12">
        <v>0.80951308176813219</v>
      </c>
      <c r="U2020" s="12">
        <v>0.56081198539652644</v>
      </c>
      <c r="V2020" s="12">
        <v>300.032917</v>
      </c>
      <c r="W2020" s="12">
        <v>-80.771619011587561</v>
      </c>
      <c r="X2020" s="12">
        <v>-190.46695821558271</v>
      </c>
      <c r="Y2020" s="12">
        <v>2600</v>
      </c>
      <c r="Z2020" s="12">
        <v>7.5</v>
      </c>
      <c r="AA2020" s="12" t="s">
        <v>2513</v>
      </c>
      <c r="AB2020" s="12"/>
    </row>
    <row r="2021" spans="1:28" x14ac:dyDescent="0.3">
      <c r="A2021" s="12" t="s">
        <v>3934</v>
      </c>
      <c r="B2021" s="12" t="s">
        <v>170</v>
      </c>
      <c r="C2021" s="12" t="s">
        <v>448</v>
      </c>
      <c r="D2021" s="12" t="s">
        <v>728</v>
      </c>
      <c r="E2021" s="12" t="s">
        <v>2978</v>
      </c>
      <c r="F2021" s="12" t="s">
        <v>832</v>
      </c>
      <c r="G2021" s="12" t="s">
        <v>832</v>
      </c>
      <c r="H2021" s="12" t="b">
        <v>0</v>
      </c>
      <c r="I2021" s="12" t="b">
        <v>0</v>
      </c>
      <c r="J2021" s="12" t="b">
        <v>0</v>
      </c>
      <c r="K2021" s="12" t="b">
        <v>0</v>
      </c>
      <c r="L2021" s="12">
        <v>566.3083206757484</v>
      </c>
      <c r="M2021" s="12">
        <v>300.032917</v>
      </c>
      <c r="N2021" s="12">
        <v>3000</v>
      </c>
      <c r="O2021" s="12">
        <v>400</v>
      </c>
      <c r="P2021" s="12">
        <v>0.69960696326475091</v>
      </c>
      <c r="Q2021" s="12">
        <v>0.76853143644955069</v>
      </c>
      <c r="R2021" s="12">
        <v>0.8450617546800101</v>
      </c>
      <c r="S2021" s="12">
        <v>0.90882106832893239</v>
      </c>
      <c r="T2021" s="12">
        <v>0.58069455048782737</v>
      </c>
      <c r="U2021" s="12">
        <v>0.50455499088949729</v>
      </c>
      <c r="V2021" s="12">
        <v>300.032917</v>
      </c>
      <c r="W2021" s="12"/>
      <c r="X2021" s="12"/>
      <c r="Y2021" s="12">
        <v>2600</v>
      </c>
      <c r="Z2021" s="12">
        <v>7.5</v>
      </c>
      <c r="AA2021" s="12"/>
      <c r="AB2021" s="12"/>
    </row>
    <row r="2022" spans="1:28" x14ac:dyDescent="0.3">
      <c r="A2022" s="12" t="s">
        <v>3935</v>
      </c>
      <c r="B2022" s="12" t="s">
        <v>170</v>
      </c>
      <c r="C2022" s="12" t="s">
        <v>448</v>
      </c>
      <c r="D2022" s="12" t="s">
        <v>728</v>
      </c>
      <c r="E2022" s="12" t="s">
        <v>2978</v>
      </c>
      <c r="F2022" s="12" t="s">
        <v>832</v>
      </c>
      <c r="G2022" s="12" t="s">
        <v>832</v>
      </c>
      <c r="H2022" s="12" t="b">
        <v>0</v>
      </c>
      <c r="I2022" s="12" t="b">
        <v>0</v>
      </c>
      <c r="J2022" s="12" t="b">
        <v>0</v>
      </c>
      <c r="K2022" s="12" t="b">
        <v>0</v>
      </c>
      <c r="L2022" s="12">
        <v>515.14893502381824</v>
      </c>
      <c r="M2022" s="12">
        <v>300.032917</v>
      </c>
      <c r="N2022" s="12">
        <v>3000</v>
      </c>
      <c r="O2022" s="12">
        <v>400</v>
      </c>
      <c r="P2022" s="12">
        <v>0.8022618525749885</v>
      </c>
      <c r="Q2022" s="12">
        <v>0.59572027242737935</v>
      </c>
      <c r="R2022" s="12">
        <v>0.66397120793841902</v>
      </c>
      <c r="S2022" s="12">
        <v>0.87841757041882362</v>
      </c>
      <c r="T2022" s="12">
        <v>0.63247145896618617</v>
      </c>
      <c r="U2022" s="12">
        <v>0.88133679265341958</v>
      </c>
      <c r="V2022" s="12">
        <v>300.032917</v>
      </c>
      <c r="W2022" s="12"/>
      <c r="X2022" s="12"/>
      <c r="Y2022" s="12">
        <v>2600</v>
      </c>
      <c r="Z2022" s="12">
        <v>7.5</v>
      </c>
      <c r="AA2022" s="12"/>
      <c r="AB2022" s="12"/>
    </row>
    <row r="2023" spans="1:28" x14ac:dyDescent="0.3">
      <c r="A2023" s="12" t="s">
        <v>3936</v>
      </c>
      <c r="B2023" s="12" t="s">
        <v>170</v>
      </c>
      <c r="C2023" s="12" t="s">
        <v>448</v>
      </c>
      <c r="D2023" s="12" t="s">
        <v>728</v>
      </c>
      <c r="E2023" s="12" t="s">
        <v>2978</v>
      </c>
      <c r="F2023" s="12" t="s">
        <v>1862</v>
      </c>
      <c r="G2023" s="12" t="s">
        <v>1862</v>
      </c>
      <c r="H2023" s="12" t="b">
        <v>1</v>
      </c>
      <c r="I2023" s="12" t="b">
        <v>0</v>
      </c>
      <c r="J2023" s="12" t="b">
        <v>1</v>
      </c>
      <c r="K2023" s="12" t="b">
        <v>0</v>
      </c>
      <c r="L2023" s="12">
        <v>494.3066263771658</v>
      </c>
      <c r="M2023" s="12">
        <v>300.032917</v>
      </c>
      <c r="N2023" s="12">
        <v>3000</v>
      </c>
      <c r="O2023" s="12">
        <v>400</v>
      </c>
      <c r="P2023" s="12">
        <v>0.77264115994106408</v>
      </c>
      <c r="Q2023" s="12">
        <v>0.54228163061633483</v>
      </c>
      <c r="R2023" s="12">
        <v>0.82466256915117997</v>
      </c>
      <c r="S2023" s="12">
        <v>0.55101797804199493</v>
      </c>
      <c r="T2023" s="12">
        <v>0.69383241864236811</v>
      </c>
      <c r="U2023" s="12">
        <v>0.753288797747387</v>
      </c>
      <c r="V2023" s="12">
        <v>300.032917</v>
      </c>
      <c r="W2023" s="12">
        <v>-15.328345870731869</v>
      </c>
      <c r="X2023" s="12">
        <v>-77.609924395323475</v>
      </c>
      <c r="Y2023" s="12">
        <v>2600</v>
      </c>
      <c r="Z2023" s="12">
        <v>7.5</v>
      </c>
      <c r="AA2023" s="12" t="s">
        <v>2513</v>
      </c>
      <c r="AB2023" s="12"/>
    </row>
    <row r="2024" spans="1:28" x14ac:dyDescent="0.3">
      <c r="A2024" s="12" t="s">
        <v>3937</v>
      </c>
      <c r="B2024" s="12" t="s">
        <v>170</v>
      </c>
      <c r="C2024" s="12" t="s">
        <v>448</v>
      </c>
      <c r="D2024" s="12" t="s">
        <v>728</v>
      </c>
      <c r="E2024" s="12" t="s">
        <v>2978</v>
      </c>
      <c r="F2024" s="12" t="s">
        <v>1862</v>
      </c>
      <c r="G2024" s="12" t="s">
        <v>1862</v>
      </c>
      <c r="H2024" s="12" t="b">
        <v>1</v>
      </c>
      <c r="I2024" s="12" t="b">
        <v>0</v>
      </c>
      <c r="J2024" s="12" t="b">
        <v>1</v>
      </c>
      <c r="K2024" s="12" t="b">
        <v>0</v>
      </c>
      <c r="L2024" s="12">
        <v>492.33751570517512</v>
      </c>
      <c r="M2024" s="12">
        <v>300.032917</v>
      </c>
      <c r="N2024" s="12">
        <v>3000</v>
      </c>
      <c r="O2024" s="12">
        <v>400</v>
      </c>
      <c r="P2024" s="12">
        <v>0.59199102715394358</v>
      </c>
      <c r="Q2024" s="12">
        <v>0.6963279907132629</v>
      </c>
      <c r="R2024" s="12">
        <v>0.7102427390462478</v>
      </c>
      <c r="S2024" s="12">
        <v>0.516075632363171</v>
      </c>
      <c r="T2024" s="12">
        <v>0.76522774880604016</v>
      </c>
      <c r="U2024" s="12">
        <v>0.54156191461618464</v>
      </c>
      <c r="V2024" s="12">
        <v>300.032917</v>
      </c>
      <c r="W2024" s="12">
        <v>-1.7896399722499601</v>
      </c>
      <c r="X2024" s="12">
        <v>-12.03003581418284</v>
      </c>
      <c r="Y2024" s="12">
        <v>2600</v>
      </c>
      <c r="Z2024" s="12">
        <v>7.5</v>
      </c>
      <c r="AA2024" s="12" t="s">
        <v>2513</v>
      </c>
      <c r="AB2024" s="12"/>
    </row>
    <row r="2025" spans="1:28" x14ac:dyDescent="0.3">
      <c r="A2025" s="12" t="s">
        <v>3938</v>
      </c>
      <c r="B2025" s="12" t="s">
        <v>170</v>
      </c>
      <c r="C2025" s="12" t="s">
        <v>448</v>
      </c>
      <c r="D2025" s="12" t="s">
        <v>728</v>
      </c>
      <c r="E2025" s="12" t="s">
        <v>2978</v>
      </c>
      <c r="F2025" s="12" t="s">
        <v>832</v>
      </c>
      <c r="G2025" s="12" t="s">
        <v>832</v>
      </c>
      <c r="H2025" s="12" t="b">
        <v>0</v>
      </c>
      <c r="I2025" s="12" t="b">
        <v>0</v>
      </c>
      <c r="J2025" s="12" t="b">
        <v>0</v>
      </c>
      <c r="K2025" s="12" t="b">
        <v>0</v>
      </c>
      <c r="L2025" s="12">
        <v>540.43375788941773</v>
      </c>
      <c r="M2025" s="12">
        <v>300.032917</v>
      </c>
      <c r="N2025" s="12">
        <v>3000</v>
      </c>
      <c r="O2025" s="12">
        <v>400</v>
      </c>
      <c r="P2025" s="12">
        <v>0.75471473181098703</v>
      </c>
      <c r="Q2025" s="12">
        <v>0.80788323224614178</v>
      </c>
      <c r="R2025" s="12">
        <v>0.94548381024764083</v>
      </c>
      <c r="S2025" s="12">
        <v>0.81588459938181535</v>
      </c>
      <c r="T2025" s="12">
        <v>0.48986246910094161</v>
      </c>
      <c r="U2025" s="12">
        <v>0.6086988494967287</v>
      </c>
      <c r="V2025" s="12">
        <v>300.032917</v>
      </c>
      <c r="W2025" s="12"/>
      <c r="X2025" s="12"/>
      <c r="Y2025" s="12">
        <v>2600</v>
      </c>
      <c r="Z2025" s="12">
        <v>7.5</v>
      </c>
      <c r="AA2025" s="12"/>
      <c r="AB2025" s="12"/>
    </row>
    <row r="2026" spans="1:28" x14ac:dyDescent="0.3">
      <c r="A2026" s="12" t="s">
        <v>3939</v>
      </c>
      <c r="B2026" s="12" t="s">
        <v>170</v>
      </c>
      <c r="C2026" s="12" t="s">
        <v>448</v>
      </c>
      <c r="D2026" s="12" t="s">
        <v>728</v>
      </c>
      <c r="E2026" s="12" t="s">
        <v>2978</v>
      </c>
      <c r="F2026" s="12" t="s">
        <v>1862</v>
      </c>
      <c r="G2026" s="12" t="s">
        <v>1862</v>
      </c>
      <c r="H2026" s="12" t="b">
        <v>1</v>
      </c>
      <c r="I2026" s="12" t="b">
        <v>0</v>
      </c>
      <c r="J2026" s="12" t="b">
        <v>0</v>
      </c>
      <c r="K2026" s="12" t="b">
        <v>0</v>
      </c>
      <c r="L2026" s="12">
        <v>380.23379705491311</v>
      </c>
      <c r="M2026" s="12">
        <v>300.032917</v>
      </c>
      <c r="N2026" s="12">
        <v>3000</v>
      </c>
      <c r="O2026" s="12">
        <v>400</v>
      </c>
      <c r="P2026" s="12">
        <v>0.60358352499557</v>
      </c>
      <c r="Q2026" s="12">
        <v>0.6545085320968721</v>
      </c>
      <c r="R2026" s="12">
        <v>0.86917027088141541</v>
      </c>
      <c r="S2026" s="12">
        <v>0.73301126439563746</v>
      </c>
      <c r="T2026" s="12">
        <v>0.44876701110106809</v>
      </c>
      <c r="U2026" s="12">
        <v>0.70969172530444968</v>
      </c>
      <c r="V2026" s="12">
        <v>300.032917</v>
      </c>
      <c r="W2026" s="12">
        <v>-12.327483768183381</v>
      </c>
      <c r="X2026" s="12">
        <v>-20.185272038440178</v>
      </c>
      <c r="Y2026" s="12">
        <v>2600</v>
      </c>
      <c r="Z2026" s="12">
        <v>7.5</v>
      </c>
      <c r="AA2026" s="12" t="s">
        <v>2513</v>
      </c>
      <c r="AB2026" s="12"/>
    </row>
    <row r="2027" spans="1:28" x14ac:dyDescent="0.3">
      <c r="A2027" s="12" t="s">
        <v>3940</v>
      </c>
      <c r="B2027" s="12" t="s">
        <v>170</v>
      </c>
      <c r="C2027" s="12" t="s">
        <v>448</v>
      </c>
      <c r="D2027" s="12" t="s">
        <v>728</v>
      </c>
      <c r="E2027" s="12" t="s">
        <v>2978</v>
      </c>
      <c r="F2027" s="12" t="s">
        <v>1862</v>
      </c>
      <c r="G2027" s="12" t="s">
        <v>1862</v>
      </c>
      <c r="H2027" s="12" t="b">
        <v>1</v>
      </c>
      <c r="I2027" s="12" t="b">
        <v>0</v>
      </c>
      <c r="J2027" s="12" t="b">
        <v>0</v>
      </c>
      <c r="K2027" s="12" t="b">
        <v>0</v>
      </c>
      <c r="L2027" s="12">
        <v>420.10428772022982</v>
      </c>
      <c r="M2027" s="12">
        <v>300.032917</v>
      </c>
      <c r="N2027" s="12">
        <v>3000</v>
      </c>
      <c r="O2027" s="12">
        <v>400</v>
      </c>
      <c r="P2027" s="12">
        <v>0.66570315366114252</v>
      </c>
      <c r="Q2027" s="12">
        <v>0.44075401039176798</v>
      </c>
      <c r="R2027" s="12">
        <v>0.62049778191350202</v>
      </c>
      <c r="S2027" s="12">
        <v>0.92170412226192355</v>
      </c>
      <c r="T2027" s="12">
        <v>0.72056109678673397</v>
      </c>
      <c r="U2027" s="12">
        <v>0.48342561553461638</v>
      </c>
      <c r="V2027" s="12">
        <v>300.032917</v>
      </c>
      <c r="W2027" s="12">
        <v>-77.441674991845673</v>
      </c>
      <c r="X2027" s="12">
        <v>-162.11250761573319</v>
      </c>
      <c r="Y2027" s="12">
        <v>2600</v>
      </c>
      <c r="Z2027" s="12">
        <v>7.5</v>
      </c>
      <c r="AA2027" s="12" t="s">
        <v>2513</v>
      </c>
      <c r="AB2027" s="12"/>
    </row>
    <row r="2028" spans="1:28" x14ac:dyDescent="0.3">
      <c r="A2028" s="12" t="s">
        <v>3941</v>
      </c>
      <c r="B2028" s="12" t="s">
        <v>170</v>
      </c>
      <c r="C2028" s="12" t="s">
        <v>448</v>
      </c>
      <c r="D2028" s="12" t="s">
        <v>728</v>
      </c>
      <c r="E2028" s="12" t="s">
        <v>2978</v>
      </c>
      <c r="F2028" s="12" t="s">
        <v>832</v>
      </c>
      <c r="G2028" s="12" t="s">
        <v>832</v>
      </c>
      <c r="H2028" s="12" t="b">
        <v>0</v>
      </c>
      <c r="I2028" s="12" t="b">
        <v>0</v>
      </c>
      <c r="J2028" s="12" t="b">
        <v>0</v>
      </c>
      <c r="K2028" s="12" t="b">
        <v>0</v>
      </c>
      <c r="L2028" s="12">
        <v>547.08163262208984</v>
      </c>
      <c r="M2028" s="12">
        <v>300.032917</v>
      </c>
      <c r="N2028" s="12">
        <v>3000</v>
      </c>
      <c r="O2028" s="12">
        <v>400</v>
      </c>
      <c r="P2028" s="12">
        <v>0.75754808763655668</v>
      </c>
      <c r="Q2028" s="12">
        <v>0.48762796312139117</v>
      </c>
      <c r="R2028" s="12">
        <v>0.54699292173843872</v>
      </c>
      <c r="S2028" s="12">
        <v>0.5223922685998752</v>
      </c>
      <c r="T2028" s="12">
        <v>0.93420638808471657</v>
      </c>
      <c r="U2028" s="12">
        <v>0.41400221482838262</v>
      </c>
      <c r="V2028" s="12">
        <v>300.032917</v>
      </c>
      <c r="W2028" s="12"/>
      <c r="X2028" s="12"/>
      <c r="Y2028" s="12">
        <v>2600</v>
      </c>
      <c r="Z2028" s="12">
        <v>7.5</v>
      </c>
      <c r="AA2028" s="12"/>
      <c r="AB2028" s="12"/>
    </row>
    <row r="2029" spans="1:28" x14ac:dyDescent="0.3">
      <c r="A2029" s="12" t="s">
        <v>3942</v>
      </c>
      <c r="B2029" s="12" t="s">
        <v>170</v>
      </c>
      <c r="C2029" s="12" t="s">
        <v>448</v>
      </c>
      <c r="D2029" s="12" t="s">
        <v>728</v>
      </c>
      <c r="E2029" s="12" t="s">
        <v>2978</v>
      </c>
      <c r="F2029" s="12" t="s">
        <v>1862</v>
      </c>
      <c r="G2029" s="12" t="s">
        <v>1862</v>
      </c>
      <c r="H2029" s="12" t="b">
        <v>1</v>
      </c>
      <c r="I2029" s="12" t="b">
        <v>0</v>
      </c>
      <c r="J2029" s="12" t="b">
        <v>1</v>
      </c>
      <c r="K2029" s="12" t="b">
        <v>0</v>
      </c>
      <c r="L2029" s="12">
        <v>485.28162173820061</v>
      </c>
      <c r="M2029" s="12">
        <v>300.032917</v>
      </c>
      <c r="N2029" s="12">
        <v>3000</v>
      </c>
      <c r="O2029" s="12">
        <v>400</v>
      </c>
      <c r="P2029" s="12">
        <v>0.74944589298266606</v>
      </c>
      <c r="Q2029" s="12">
        <v>0.40006015791232941</v>
      </c>
      <c r="R2029" s="12">
        <v>0.8492845620485896</v>
      </c>
      <c r="S2029" s="12">
        <v>0.76361051547426417</v>
      </c>
      <c r="T2029" s="12">
        <v>0.71088691087020706</v>
      </c>
      <c r="U2029" s="12">
        <v>0.60421733995681493</v>
      </c>
      <c r="V2029" s="12">
        <v>300.032917</v>
      </c>
      <c r="W2029" s="12">
        <v>-25.877933393995551</v>
      </c>
      <c r="X2029" s="12">
        <v>-140.30554247633029</v>
      </c>
      <c r="Y2029" s="12">
        <v>2600</v>
      </c>
      <c r="Z2029" s="12">
        <v>7.5</v>
      </c>
      <c r="AA2029" s="12" t="s">
        <v>2513</v>
      </c>
      <c r="AB2029" s="12"/>
    </row>
    <row r="2030" spans="1:28" x14ac:dyDescent="0.3">
      <c r="A2030" s="12" t="s">
        <v>3943</v>
      </c>
      <c r="B2030" s="12" t="s">
        <v>170</v>
      </c>
      <c r="C2030" s="12" t="s">
        <v>448</v>
      </c>
      <c r="D2030" s="12" t="s">
        <v>728</v>
      </c>
      <c r="E2030" s="12" t="s">
        <v>2978</v>
      </c>
      <c r="F2030" s="12" t="s">
        <v>1862</v>
      </c>
      <c r="G2030" s="12" t="s">
        <v>1862</v>
      </c>
      <c r="H2030" s="12" t="b">
        <v>1</v>
      </c>
      <c r="I2030" s="12" t="b">
        <v>0</v>
      </c>
      <c r="J2030" s="12" t="b">
        <v>0</v>
      </c>
      <c r="K2030" s="12" t="b">
        <v>0</v>
      </c>
      <c r="L2030" s="12">
        <v>415.63354957701051</v>
      </c>
      <c r="M2030" s="12">
        <v>300.032917</v>
      </c>
      <c r="N2030" s="12">
        <v>3000</v>
      </c>
      <c r="O2030" s="12">
        <v>400</v>
      </c>
      <c r="P2030" s="12">
        <v>0.78177856995806938</v>
      </c>
      <c r="Q2030" s="12">
        <v>0.73122969520976477</v>
      </c>
      <c r="R2030" s="12">
        <v>0.64049214226532003</v>
      </c>
      <c r="S2030" s="12">
        <v>0.48863926009022229</v>
      </c>
      <c r="T2030" s="12">
        <v>0.60442267148157769</v>
      </c>
      <c r="U2030" s="12">
        <v>0.90991285672105116</v>
      </c>
      <c r="V2030" s="12">
        <v>300.032917</v>
      </c>
      <c r="W2030" s="12">
        <v>-50.617336970965432</v>
      </c>
      <c r="X2030" s="12">
        <v>-102.9954852439228</v>
      </c>
      <c r="Y2030" s="12">
        <v>2600</v>
      </c>
      <c r="Z2030" s="12">
        <v>7.5</v>
      </c>
      <c r="AA2030" s="12" t="s">
        <v>2513</v>
      </c>
      <c r="AB2030" s="12"/>
    </row>
    <row r="2031" spans="1:28" x14ac:dyDescent="0.3">
      <c r="A2031" s="12" t="s">
        <v>3944</v>
      </c>
      <c r="B2031" s="12" t="s">
        <v>170</v>
      </c>
      <c r="C2031" s="12" t="s">
        <v>448</v>
      </c>
      <c r="D2031" s="12" t="s">
        <v>728</v>
      </c>
      <c r="E2031" s="12" t="s">
        <v>2978</v>
      </c>
      <c r="F2031" s="12" t="s">
        <v>1862</v>
      </c>
      <c r="G2031" s="12" t="s">
        <v>1862</v>
      </c>
      <c r="H2031" s="12" t="b">
        <v>1</v>
      </c>
      <c r="I2031" s="12" t="b">
        <v>0</v>
      </c>
      <c r="J2031" s="12" t="b">
        <v>1</v>
      </c>
      <c r="K2031" s="12" t="b">
        <v>0</v>
      </c>
      <c r="L2031" s="12">
        <v>535.18989469237886</v>
      </c>
      <c r="M2031" s="12">
        <v>300.032917</v>
      </c>
      <c r="N2031" s="12">
        <v>3000</v>
      </c>
      <c r="O2031" s="12">
        <v>400</v>
      </c>
      <c r="P2031" s="12">
        <v>0.70554479056381825</v>
      </c>
      <c r="Q2031" s="12">
        <v>0.69129760552583952</v>
      </c>
      <c r="R2031" s="12">
        <v>0.51159104318345761</v>
      </c>
      <c r="S2031" s="12">
        <v>0.45804823657061539</v>
      </c>
      <c r="T2031" s="12">
        <v>0.41638002554076797</v>
      </c>
      <c r="U2031" s="12">
        <v>0.5353311010793006</v>
      </c>
      <c r="V2031" s="12">
        <v>300.032917</v>
      </c>
      <c r="W2031" s="12">
        <v>-51.215397704462482</v>
      </c>
      <c r="X2031" s="12">
        <v>-196.29584046041529</v>
      </c>
      <c r="Y2031" s="12">
        <v>2600</v>
      </c>
      <c r="Z2031" s="12">
        <v>7.5</v>
      </c>
      <c r="AA2031" s="12" t="s">
        <v>2513</v>
      </c>
      <c r="AB2031" s="12"/>
    </row>
    <row r="2032" spans="1:28" x14ac:dyDescent="0.3">
      <c r="A2032" s="12" t="s">
        <v>3945</v>
      </c>
      <c r="B2032" s="12" t="s">
        <v>170</v>
      </c>
      <c r="C2032" s="12" t="s">
        <v>448</v>
      </c>
      <c r="D2032" s="12" t="s">
        <v>728</v>
      </c>
      <c r="E2032" s="12" t="s">
        <v>2978</v>
      </c>
      <c r="F2032" s="12" t="s">
        <v>832</v>
      </c>
      <c r="G2032" s="12" t="s">
        <v>832</v>
      </c>
      <c r="H2032" s="12" t="b">
        <v>0</v>
      </c>
      <c r="I2032" s="12" t="b">
        <v>0</v>
      </c>
      <c r="J2032" s="12" t="b">
        <v>0</v>
      </c>
      <c r="K2032" s="12" t="b">
        <v>0</v>
      </c>
      <c r="L2032" s="12">
        <v>432.51787924004702</v>
      </c>
      <c r="M2032" s="12">
        <v>300.032917</v>
      </c>
      <c r="N2032" s="12">
        <v>3000</v>
      </c>
      <c r="O2032" s="12">
        <v>400</v>
      </c>
      <c r="P2032" s="12">
        <v>0.78900355373942377</v>
      </c>
      <c r="Q2032" s="12">
        <v>0.51669892590209754</v>
      </c>
      <c r="R2032" s="12">
        <v>0.8760759521460304</v>
      </c>
      <c r="S2032" s="12">
        <v>0.71954456641757236</v>
      </c>
      <c r="T2032" s="12">
        <v>0.63699823501428665</v>
      </c>
      <c r="U2032" s="12">
        <v>0.4563326169588417</v>
      </c>
      <c r="V2032" s="12">
        <v>300.032917</v>
      </c>
      <c r="W2032" s="12"/>
      <c r="X2032" s="12"/>
      <c r="Y2032" s="12">
        <v>2600</v>
      </c>
      <c r="Z2032" s="12">
        <v>7.5</v>
      </c>
      <c r="AA2032" s="12"/>
      <c r="AB2032" s="12"/>
    </row>
    <row r="2033" spans="1:28" x14ac:dyDescent="0.3">
      <c r="A2033" s="12" t="s">
        <v>3946</v>
      </c>
      <c r="B2033" s="12" t="s">
        <v>170</v>
      </c>
      <c r="C2033" s="12" t="s">
        <v>448</v>
      </c>
      <c r="D2033" s="12" t="s">
        <v>728</v>
      </c>
      <c r="E2033" s="12" t="s">
        <v>2978</v>
      </c>
      <c r="F2033" s="12" t="s">
        <v>1862</v>
      </c>
      <c r="G2033" s="12" t="s">
        <v>1862</v>
      </c>
      <c r="H2033" s="12" t="b">
        <v>1</v>
      </c>
      <c r="I2033" s="12" t="b">
        <v>0</v>
      </c>
      <c r="J2033" s="12" t="b">
        <v>1</v>
      </c>
      <c r="K2033" s="12" t="b">
        <v>0</v>
      </c>
      <c r="L2033" s="12">
        <v>453.31810477144052</v>
      </c>
      <c r="M2033" s="12">
        <v>300.032917</v>
      </c>
      <c r="N2033" s="12">
        <v>3000</v>
      </c>
      <c r="O2033" s="12">
        <v>400</v>
      </c>
      <c r="P2033" s="12">
        <v>0.60854931858793693</v>
      </c>
      <c r="Q2033" s="12">
        <v>0.79596450812072916</v>
      </c>
      <c r="R2033" s="12">
        <v>0.67411881752993108</v>
      </c>
      <c r="S2033" s="12">
        <v>0.85016427551194651</v>
      </c>
      <c r="T2033" s="12">
        <v>0.7376607227991403</v>
      </c>
      <c r="U2033" s="12">
        <v>0.51751077349826058</v>
      </c>
      <c r="V2033" s="12">
        <v>300.032917</v>
      </c>
      <c r="W2033" s="12">
        <v>-1.6313529301719001</v>
      </c>
      <c r="X2033" s="12">
        <v>-10.772258071251629</v>
      </c>
      <c r="Y2033" s="12">
        <v>2600</v>
      </c>
      <c r="Z2033" s="12">
        <v>7.5</v>
      </c>
      <c r="AA2033" s="12" t="s">
        <v>2513</v>
      </c>
      <c r="AB2033" s="12"/>
    </row>
    <row r="2034" spans="1:28" x14ac:dyDescent="0.3">
      <c r="A2034" s="12" t="s">
        <v>3947</v>
      </c>
      <c r="B2034" s="12" t="s">
        <v>170</v>
      </c>
      <c r="C2034" s="12" t="s">
        <v>448</v>
      </c>
      <c r="D2034" s="12" t="s">
        <v>728</v>
      </c>
      <c r="E2034" s="12" t="s">
        <v>2978</v>
      </c>
      <c r="F2034" s="12" t="s">
        <v>832</v>
      </c>
      <c r="G2034" s="12" t="s">
        <v>832</v>
      </c>
      <c r="H2034" s="12" t="b">
        <v>0</v>
      </c>
      <c r="I2034" s="12" t="b">
        <v>0</v>
      </c>
      <c r="J2034" s="12" t="b">
        <v>0</v>
      </c>
      <c r="K2034" s="12" t="b">
        <v>0</v>
      </c>
      <c r="L2034" s="12">
        <v>509.04920409439808</v>
      </c>
      <c r="M2034" s="12">
        <v>300.032917</v>
      </c>
      <c r="N2034" s="12">
        <v>3000</v>
      </c>
      <c r="O2034" s="12">
        <v>400</v>
      </c>
      <c r="P2034" s="12">
        <v>0.82185572016002251</v>
      </c>
      <c r="Q2034" s="12">
        <v>0.58547744327429574</v>
      </c>
      <c r="R2034" s="12">
        <v>0.91972038181269122</v>
      </c>
      <c r="S2034" s="12">
        <v>0.65666856730044887</v>
      </c>
      <c r="T2034" s="12">
        <v>0.9485961496306804</v>
      </c>
      <c r="U2034" s="12">
        <v>0.46153706286268131</v>
      </c>
      <c r="V2034" s="12">
        <v>300.032917</v>
      </c>
      <c r="W2034" s="12"/>
      <c r="X2034" s="12"/>
      <c r="Y2034" s="12">
        <v>2600</v>
      </c>
      <c r="Z2034" s="12">
        <v>7.5</v>
      </c>
      <c r="AA2034" s="12"/>
      <c r="AB2034" s="12"/>
    </row>
    <row r="2035" spans="1:28" x14ac:dyDescent="0.3">
      <c r="A2035" s="12" t="s">
        <v>3948</v>
      </c>
      <c r="B2035" s="12" t="s">
        <v>170</v>
      </c>
      <c r="C2035" s="12" t="s">
        <v>448</v>
      </c>
      <c r="D2035" s="12" t="s">
        <v>728</v>
      </c>
      <c r="E2035" s="12" t="s">
        <v>2978</v>
      </c>
      <c r="F2035" s="12" t="s">
        <v>1861</v>
      </c>
      <c r="G2035" s="12" t="s">
        <v>1861</v>
      </c>
      <c r="H2035" s="12" t="b">
        <v>1</v>
      </c>
      <c r="I2035" s="12" t="b">
        <v>0</v>
      </c>
      <c r="J2035" s="12" t="b">
        <v>1</v>
      </c>
      <c r="K2035" s="12" t="b">
        <v>0</v>
      </c>
      <c r="L2035" s="12">
        <v>562.61069417123349</v>
      </c>
      <c r="M2035" s="12">
        <v>300.032917</v>
      </c>
      <c r="N2035" s="12">
        <v>3000</v>
      </c>
      <c r="O2035" s="12">
        <v>400</v>
      </c>
      <c r="P2035" s="12">
        <v>0.55858689382844395</v>
      </c>
      <c r="Q2035" s="12">
        <v>0.86088295841166773</v>
      </c>
      <c r="R2035" s="12">
        <v>0.69817329367544856</v>
      </c>
      <c r="S2035" s="12">
        <v>0.80546037368678047</v>
      </c>
      <c r="T2035" s="12">
        <v>0.52268404274707581</v>
      </c>
      <c r="U2035" s="12">
        <v>0.93763003734165717</v>
      </c>
      <c r="V2035" s="12">
        <v>300.032917</v>
      </c>
      <c r="W2035" s="12">
        <v>13.77385839237712</v>
      </c>
      <c r="X2035" s="12">
        <v>253.2818871441672</v>
      </c>
      <c r="Y2035" s="12">
        <v>2600</v>
      </c>
      <c r="Z2035" s="12">
        <v>7.5</v>
      </c>
      <c r="AA2035" s="12" t="s">
        <v>1981</v>
      </c>
      <c r="AB2035" s="12"/>
    </row>
    <row r="2036" spans="1:28" x14ac:dyDescent="0.3">
      <c r="A2036" s="12" t="s">
        <v>3949</v>
      </c>
      <c r="B2036" s="12" t="s">
        <v>170</v>
      </c>
      <c r="C2036" s="12" t="s">
        <v>448</v>
      </c>
      <c r="D2036" s="12" t="s">
        <v>728</v>
      </c>
      <c r="E2036" s="12" t="s">
        <v>2978</v>
      </c>
      <c r="F2036" s="12" t="s">
        <v>1862</v>
      </c>
      <c r="G2036" s="12" t="s">
        <v>1862</v>
      </c>
      <c r="H2036" s="12" t="b">
        <v>1</v>
      </c>
      <c r="I2036" s="12" t="b">
        <v>0</v>
      </c>
      <c r="J2036" s="12" t="b">
        <v>1</v>
      </c>
      <c r="K2036" s="12" t="b">
        <v>0</v>
      </c>
      <c r="L2036" s="12">
        <v>435.93044297262088</v>
      </c>
      <c r="M2036" s="12">
        <v>300.032917</v>
      </c>
      <c r="N2036" s="12">
        <v>3000</v>
      </c>
      <c r="O2036" s="12">
        <v>400</v>
      </c>
      <c r="P2036" s="12">
        <v>0.66069205414275711</v>
      </c>
      <c r="Q2036" s="12">
        <v>0.60594836238498551</v>
      </c>
      <c r="R2036" s="12">
        <v>0.46521351311767611</v>
      </c>
      <c r="S2036" s="12">
        <v>0.82063212564256671</v>
      </c>
      <c r="T2036" s="12">
        <v>0.61338143985565119</v>
      </c>
      <c r="U2036" s="12">
        <v>0.67891560635696624</v>
      </c>
      <c r="V2036" s="12">
        <v>300.032917</v>
      </c>
      <c r="W2036" s="12">
        <v>-28.140155310936422</v>
      </c>
      <c r="X2036" s="12">
        <v>-135.11570980522791</v>
      </c>
      <c r="Y2036" s="12">
        <v>2600</v>
      </c>
      <c r="Z2036" s="12">
        <v>7.5</v>
      </c>
      <c r="AA2036" s="12" t="s">
        <v>2513</v>
      </c>
      <c r="AB2036" s="12"/>
    </row>
    <row r="2037" spans="1:28" x14ac:dyDescent="0.3">
      <c r="A2037" s="12" t="s">
        <v>3950</v>
      </c>
      <c r="B2037" s="12" t="s">
        <v>170</v>
      </c>
      <c r="C2037" s="12" t="s">
        <v>448</v>
      </c>
      <c r="D2037" s="12" t="s">
        <v>728</v>
      </c>
      <c r="E2037" s="12" t="s">
        <v>2978</v>
      </c>
      <c r="F2037" s="12" t="s">
        <v>1861</v>
      </c>
      <c r="G2037" s="12" t="s">
        <v>1861</v>
      </c>
      <c r="H2037" s="12" t="b">
        <v>1</v>
      </c>
      <c r="I2037" s="12" t="b">
        <v>0</v>
      </c>
      <c r="J2037" s="12" t="b">
        <v>0</v>
      </c>
      <c r="K2037" s="12" t="b">
        <v>0</v>
      </c>
      <c r="L2037" s="12">
        <v>452.67255589245582</v>
      </c>
      <c r="M2037" s="12">
        <v>300.032917</v>
      </c>
      <c r="N2037" s="12">
        <v>3000</v>
      </c>
      <c r="O2037" s="12">
        <v>400</v>
      </c>
      <c r="P2037" s="12">
        <v>0.58281149104380059</v>
      </c>
      <c r="Q2037" s="12">
        <v>0.50256444201952677</v>
      </c>
      <c r="R2037" s="12">
        <v>0.43369748255754009</v>
      </c>
      <c r="S2037" s="12">
        <v>0.47233736233696311</v>
      </c>
      <c r="T2037" s="12">
        <v>0.50061404082510719</v>
      </c>
      <c r="U2037" s="12">
        <v>0.94089478178502717</v>
      </c>
      <c r="V2037" s="12">
        <v>300.032917</v>
      </c>
      <c r="W2037" s="12">
        <v>3.1398541028253901</v>
      </c>
      <c r="X2037" s="12">
        <v>21.80206608317361</v>
      </c>
      <c r="Y2037" s="12">
        <v>2600</v>
      </c>
      <c r="Z2037" s="12">
        <v>7.5</v>
      </c>
      <c r="AA2037" s="12" t="s">
        <v>1268</v>
      </c>
      <c r="AB2037" s="12"/>
    </row>
    <row r="2038" spans="1:28" x14ac:dyDescent="0.3">
      <c r="A2038" s="12" t="s">
        <v>3951</v>
      </c>
      <c r="B2038" s="12" t="s">
        <v>170</v>
      </c>
      <c r="C2038" s="12" t="s">
        <v>448</v>
      </c>
      <c r="D2038" s="12" t="s">
        <v>728</v>
      </c>
      <c r="E2038" s="12" t="s">
        <v>2978</v>
      </c>
      <c r="F2038" s="12" t="s">
        <v>1862</v>
      </c>
      <c r="G2038" s="12" t="s">
        <v>1862</v>
      </c>
      <c r="H2038" s="12" t="b">
        <v>1</v>
      </c>
      <c r="I2038" s="12" t="b">
        <v>0</v>
      </c>
      <c r="J2038" s="12" t="b">
        <v>0</v>
      </c>
      <c r="K2038" s="12" t="b">
        <v>0</v>
      </c>
      <c r="L2038" s="12">
        <v>416.48545800380788</v>
      </c>
      <c r="M2038" s="12">
        <v>300.032917</v>
      </c>
      <c r="N2038" s="12">
        <v>3000</v>
      </c>
      <c r="O2038" s="12">
        <v>400</v>
      </c>
      <c r="P2038" s="12">
        <v>0.60749645252751039</v>
      </c>
      <c r="Q2038" s="12">
        <v>0.55661478932598385</v>
      </c>
      <c r="R2038" s="12">
        <v>0.51647991697141638</v>
      </c>
      <c r="S2038" s="12">
        <v>0.60172284935843123</v>
      </c>
      <c r="T2038" s="12">
        <v>0.60966937133279764</v>
      </c>
      <c r="U2038" s="12">
        <v>0.77500972501549614</v>
      </c>
      <c r="V2038" s="12">
        <v>300.032917</v>
      </c>
      <c r="W2038" s="12">
        <v>-10.08422327243637</v>
      </c>
      <c r="X2038" s="12">
        <v>-37.968588681379742</v>
      </c>
      <c r="Y2038" s="12">
        <v>2600</v>
      </c>
      <c r="Z2038" s="12">
        <v>7.5</v>
      </c>
      <c r="AA2038" s="12" t="s">
        <v>2513</v>
      </c>
      <c r="AB2038" s="12"/>
    </row>
    <row r="2039" spans="1:28" x14ac:dyDescent="0.3">
      <c r="A2039" s="12" t="s">
        <v>3952</v>
      </c>
      <c r="B2039" s="12" t="s">
        <v>170</v>
      </c>
      <c r="C2039" s="12" t="s">
        <v>448</v>
      </c>
      <c r="D2039" s="12" t="s">
        <v>728</v>
      </c>
      <c r="E2039" s="12" t="s">
        <v>2978</v>
      </c>
      <c r="F2039" s="12" t="s">
        <v>1862</v>
      </c>
      <c r="G2039" s="12" t="s">
        <v>1862</v>
      </c>
      <c r="H2039" s="12" t="b">
        <v>1</v>
      </c>
      <c r="I2039" s="12" t="b">
        <v>0</v>
      </c>
      <c r="J2039" s="12" t="b">
        <v>1</v>
      </c>
      <c r="K2039" s="12" t="b">
        <v>0</v>
      </c>
      <c r="L2039" s="12">
        <v>562.01258442987682</v>
      </c>
      <c r="M2039" s="12">
        <v>300.032917</v>
      </c>
      <c r="N2039" s="12">
        <v>3000</v>
      </c>
      <c r="O2039" s="12">
        <v>400</v>
      </c>
      <c r="P2039" s="12">
        <v>0.76736416714886158</v>
      </c>
      <c r="Q2039" s="12">
        <v>0.94466030130731216</v>
      </c>
      <c r="R2039" s="12">
        <v>0.52016230646882611</v>
      </c>
      <c r="S2039" s="12">
        <v>0.43429178040998428</v>
      </c>
      <c r="T2039" s="12">
        <v>0.45302695099478529</v>
      </c>
      <c r="U2039" s="12">
        <v>0.85337468819259843</v>
      </c>
      <c r="V2039" s="12">
        <v>300.032917</v>
      </c>
      <c r="W2039" s="12">
        <v>-11.29749947639896</v>
      </c>
      <c r="X2039" s="12">
        <v>-55.745283568540863</v>
      </c>
      <c r="Y2039" s="12">
        <v>2600</v>
      </c>
      <c r="Z2039" s="12">
        <v>7.5</v>
      </c>
      <c r="AA2039" s="12" t="s">
        <v>2571</v>
      </c>
      <c r="AB2039" s="12"/>
    </row>
    <row r="2040" spans="1:28" x14ac:dyDescent="0.3">
      <c r="A2040" s="12" t="s">
        <v>3953</v>
      </c>
      <c r="B2040" s="12" t="s">
        <v>170</v>
      </c>
      <c r="C2040" s="12" t="s">
        <v>448</v>
      </c>
      <c r="D2040" s="12" t="s">
        <v>728</v>
      </c>
      <c r="E2040" s="12" t="s">
        <v>2978</v>
      </c>
      <c r="F2040" s="12" t="s">
        <v>1862</v>
      </c>
      <c r="G2040" s="12" t="s">
        <v>1862</v>
      </c>
      <c r="H2040" s="12" t="b">
        <v>1</v>
      </c>
      <c r="I2040" s="12" t="b">
        <v>0</v>
      </c>
      <c r="J2040" s="12" t="b">
        <v>0</v>
      </c>
      <c r="K2040" s="12" t="b">
        <v>0</v>
      </c>
      <c r="L2040" s="12">
        <v>382.64794445173771</v>
      </c>
      <c r="M2040" s="12">
        <v>300.032917</v>
      </c>
      <c r="N2040" s="12">
        <v>3000</v>
      </c>
      <c r="O2040" s="12">
        <v>400</v>
      </c>
      <c r="P2040" s="12">
        <v>0.55659909918657002</v>
      </c>
      <c r="Q2040" s="12">
        <v>0.72801445282370914</v>
      </c>
      <c r="R2040" s="12">
        <v>0.44899440380014533</v>
      </c>
      <c r="S2040" s="12">
        <v>0.60851174215393355</v>
      </c>
      <c r="T2040" s="12">
        <v>0.82717891089500406</v>
      </c>
      <c r="U2040" s="12">
        <v>0.71742789971300014</v>
      </c>
      <c r="V2040" s="12">
        <v>300.032917</v>
      </c>
      <c r="W2040" s="12">
        <v>-9.8422362378811492</v>
      </c>
      <c r="X2040" s="12">
        <v>-10.0322232250738</v>
      </c>
      <c r="Y2040" s="12">
        <v>2600</v>
      </c>
      <c r="Z2040" s="12">
        <v>7.5</v>
      </c>
      <c r="AA2040" s="12" t="s">
        <v>2513</v>
      </c>
      <c r="AB2040" s="12"/>
    </row>
    <row r="2041" spans="1:28" x14ac:dyDescent="0.3">
      <c r="A2041" s="12" t="s">
        <v>3954</v>
      </c>
      <c r="B2041" s="12" t="s">
        <v>170</v>
      </c>
      <c r="C2041" s="12" t="s">
        <v>448</v>
      </c>
      <c r="D2041" s="12" t="s">
        <v>728</v>
      </c>
      <c r="E2041" s="12" t="s">
        <v>2978</v>
      </c>
      <c r="F2041" s="12" t="s">
        <v>832</v>
      </c>
      <c r="G2041" s="12" t="s">
        <v>832</v>
      </c>
      <c r="H2041" s="12" t="b">
        <v>0</v>
      </c>
      <c r="I2041" s="12" t="b">
        <v>0</v>
      </c>
      <c r="J2041" s="12" t="b">
        <v>0</v>
      </c>
      <c r="K2041" s="12" t="b">
        <v>0</v>
      </c>
      <c r="L2041" s="12">
        <v>489.28806415754462</v>
      </c>
      <c r="M2041" s="12">
        <v>300.032917</v>
      </c>
      <c r="N2041" s="12">
        <v>3000</v>
      </c>
      <c r="O2041" s="12">
        <v>400</v>
      </c>
      <c r="P2041" s="12">
        <v>0.73144094649813185</v>
      </c>
      <c r="Q2041" s="12">
        <v>0.88399523099157706</v>
      </c>
      <c r="R2041" s="12">
        <v>0.50062588723266466</v>
      </c>
      <c r="S2041" s="12">
        <v>0.59795678769777227</v>
      </c>
      <c r="T2041" s="12">
        <v>0.67310805191197787</v>
      </c>
      <c r="U2041" s="12">
        <v>0.4470695728281453</v>
      </c>
      <c r="V2041" s="12">
        <v>300.032917</v>
      </c>
      <c r="W2041" s="12"/>
      <c r="X2041" s="12"/>
      <c r="Y2041" s="12">
        <v>2600</v>
      </c>
      <c r="Z2041" s="12">
        <v>7.5</v>
      </c>
      <c r="AA2041" s="12"/>
      <c r="AB2041" s="12"/>
    </row>
    <row r="2042" spans="1:28" x14ac:dyDescent="0.3">
      <c r="A2042" s="12" t="s">
        <v>3955</v>
      </c>
      <c r="B2042" s="12" t="s">
        <v>170</v>
      </c>
      <c r="C2042" s="12" t="s">
        <v>448</v>
      </c>
      <c r="D2042" s="12" t="s">
        <v>728</v>
      </c>
      <c r="E2042" s="12" t="s">
        <v>2978</v>
      </c>
      <c r="F2042" s="12" t="s">
        <v>1862</v>
      </c>
      <c r="G2042" s="12" t="s">
        <v>1862</v>
      </c>
      <c r="H2042" s="12" t="b">
        <v>1</v>
      </c>
      <c r="I2042" s="12" t="b">
        <v>0</v>
      </c>
      <c r="J2042" s="12" t="b">
        <v>1</v>
      </c>
      <c r="K2042" s="12" t="b">
        <v>0</v>
      </c>
      <c r="L2042" s="12">
        <v>495.97069586319861</v>
      </c>
      <c r="M2042" s="12">
        <v>300.032917</v>
      </c>
      <c r="N2042" s="12">
        <v>3000</v>
      </c>
      <c r="O2042" s="12">
        <v>400</v>
      </c>
      <c r="P2042" s="12">
        <v>0.82874942102979765</v>
      </c>
      <c r="Q2042" s="12">
        <v>0.43601103799035412</v>
      </c>
      <c r="R2042" s="12">
        <v>0.82812426000794415</v>
      </c>
      <c r="S2042" s="12">
        <v>0.45994249068304083</v>
      </c>
      <c r="T2042" s="12">
        <v>0.52857184671057111</v>
      </c>
      <c r="U2042" s="12">
        <v>0.74170309221121655</v>
      </c>
      <c r="V2042" s="12">
        <v>300.032917</v>
      </c>
      <c r="W2042" s="12">
        <v>-48.136895219907188</v>
      </c>
      <c r="X2042" s="12">
        <v>-151.2316377499329</v>
      </c>
      <c r="Y2042" s="12">
        <v>2600</v>
      </c>
      <c r="Z2042" s="12">
        <v>7.5</v>
      </c>
      <c r="AA2042" s="12" t="s">
        <v>2513</v>
      </c>
      <c r="AB2042" s="12"/>
    </row>
    <row r="2043" spans="1:28" x14ac:dyDescent="0.3">
      <c r="A2043" s="12" t="s">
        <v>3956</v>
      </c>
      <c r="B2043" s="12" t="s">
        <v>170</v>
      </c>
      <c r="C2043" s="12" t="s">
        <v>448</v>
      </c>
      <c r="D2043" s="12" t="s">
        <v>728</v>
      </c>
      <c r="E2043" s="12" t="s">
        <v>2978</v>
      </c>
      <c r="F2043" s="12" t="s">
        <v>1863</v>
      </c>
      <c r="G2043" s="12" t="s">
        <v>832</v>
      </c>
      <c r="H2043" s="12" t="b">
        <v>0</v>
      </c>
      <c r="I2043" s="12" t="b">
        <v>0</v>
      </c>
      <c r="J2043" s="12" t="b">
        <v>1</v>
      </c>
      <c r="K2043" s="12" t="b">
        <v>0</v>
      </c>
      <c r="L2043" s="12">
        <v>571.95577240864225</v>
      </c>
      <c r="M2043" s="12">
        <v>300.032917</v>
      </c>
      <c r="N2043" s="12">
        <v>3000</v>
      </c>
      <c r="O2043" s="12">
        <v>400</v>
      </c>
      <c r="P2043" s="12">
        <v>0.82964019971463165</v>
      </c>
      <c r="Q2043" s="12">
        <v>0.90890631244612075</v>
      </c>
      <c r="R2043" s="12">
        <v>0.88417890418185086</v>
      </c>
      <c r="S2043" s="12">
        <v>0.63287618566010695</v>
      </c>
      <c r="T2043" s="12">
        <v>0.55274820000673675</v>
      </c>
      <c r="U2043" s="12">
        <v>0.835300370975252</v>
      </c>
      <c r="V2043" s="12">
        <v>300.032917</v>
      </c>
      <c r="W2043" s="12">
        <v>17.537511302733581</v>
      </c>
      <c r="X2043" s="12">
        <v>103.8931073298338</v>
      </c>
      <c r="Y2043" s="12">
        <v>2600</v>
      </c>
      <c r="Z2043" s="12">
        <v>7.5</v>
      </c>
      <c r="AA2043" s="12" t="s">
        <v>1934</v>
      </c>
      <c r="AB2043" s="12"/>
    </row>
    <row r="2044" spans="1:28" x14ac:dyDescent="0.3">
      <c r="A2044" s="12" t="s">
        <v>3957</v>
      </c>
      <c r="B2044" s="12" t="s">
        <v>170</v>
      </c>
      <c r="C2044" s="12" t="s">
        <v>448</v>
      </c>
      <c r="D2044" s="12" t="s">
        <v>728</v>
      </c>
      <c r="E2044" s="12" t="s">
        <v>2978</v>
      </c>
      <c r="F2044" s="12" t="s">
        <v>1862</v>
      </c>
      <c r="G2044" s="12" t="s">
        <v>1862</v>
      </c>
      <c r="H2044" s="12" t="b">
        <v>1</v>
      </c>
      <c r="I2044" s="12" t="b">
        <v>0</v>
      </c>
      <c r="J2044" s="12" t="b">
        <v>1</v>
      </c>
      <c r="K2044" s="12" t="b">
        <v>0</v>
      </c>
      <c r="L2044" s="12">
        <v>466.22481999362498</v>
      </c>
      <c r="M2044" s="12">
        <v>300.032917</v>
      </c>
      <c r="N2044" s="12">
        <v>3000</v>
      </c>
      <c r="O2044" s="12">
        <v>400</v>
      </c>
      <c r="P2044" s="12">
        <v>0.63220345439637282</v>
      </c>
      <c r="Q2044" s="12">
        <v>0.57495422352906889</v>
      </c>
      <c r="R2044" s="12">
        <v>0.76625175966073089</v>
      </c>
      <c r="S2044" s="12">
        <v>0.40015633749437918</v>
      </c>
      <c r="T2044" s="12">
        <v>0.66450510113794081</v>
      </c>
      <c r="U2044" s="12">
        <v>0.4515971396370731</v>
      </c>
      <c r="V2044" s="12">
        <v>300.032917</v>
      </c>
      <c r="W2044" s="12">
        <v>-20.069125484337121</v>
      </c>
      <c r="X2044" s="12">
        <v>-82.27332977204739</v>
      </c>
      <c r="Y2044" s="12">
        <v>2600</v>
      </c>
      <c r="Z2044" s="12">
        <v>7.5</v>
      </c>
      <c r="AA2044" s="12" t="s">
        <v>2513</v>
      </c>
      <c r="AB2044" s="12"/>
    </row>
    <row r="2045" spans="1:28" x14ac:dyDescent="0.3">
      <c r="A2045" s="12" t="s">
        <v>3958</v>
      </c>
      <c r="B2045" s="12" t="s">
        <v>170</v>
      </c>
      <c r="C2045" s="12" t="s">
        <v>448</v>
      </c>
      <c r="D2045" s="12" t="s">
        <v>728</v>
      </c>
      <c r="E2045" s="12" t="s">
        <v>2978</v>
      </c>
      <c r="F2045" s="12" t="s">
        <v>1861</v>
      </c>
      <c r="G2045" s="12" t="s">
        <v>1861</v>
      </c>
      <c r="H2045" s="12" t="b">
        <v>1</v>
      </c>
      <c r="I2045" s="12" t="b">
        <v>0</v>
      </c>
      <c r="J2045" s="12" t="b">
        <v>1</v>
      </c>
      <c r="K2045" s="12" t="b">
        <v>0</v>
      </c>
      <c r="L2045" s="12">
        <v>524.44701181421476</v>
      </c>
      <c r="M2045" s="12">
        <v>300.032917</v>
      </c>
      <c r="N2045" s="12">
        <v>3000</v>
      </c>
      <c r="O2045" s="12">
        <v>400</v>
      </c>
      <c r="P2045" s="12">
        <v>0.69803960155390843</v>
      </c>
      <c r="Q2045" s="12">
        <v>0.87078727372538678</v>
      </c>
      <c r="R2045" s="12">
        <v>0.59592975227859823</v>
      </c>
      <c r="S2045" s="12">
        <v>0.7671646730976972</v>
      </c>
      <c r="T2045" s="12">
        <v>0.77560289068470412</v>
      </c>
      <c r="U2045" s="12">
        <v>0.89962069960817215</v>
      </c>
      <c r="V2045" s="12">
        <v>300.032917</v>
      </c>
      <c r="W2045" s="12">
        <v>7.6873539717061998</v>
      </c>
      <c r="X2045" s="12">
        <v>84.221855238496062</v>
      </c>
      <c r="Y2045" s="12">
        <v>2600</v>
      </c>
      <c r="Z2045" s="12">
        <v>7.5</v>
      </c>
      <c r="AA2045" s="12" t="s">
        <v>1268</v>
      </c>
      <c r="AB2045" s="12"/>
    </row>
    <row r="2046" spans="1:28" x14ac:dyDescent="0.3">
      <c r="A2046" s="12" t="s">
        <v>3959</v>
      </c>
      <c r="B2046" s="12" t="s">
        <v>170</v>
      </c>
      <c r="C2046" s="12" t="s">
        <v>448</v>
      </c>
      <c r="D2046" s="12" t="s">
        <v>728</v>
      </c>
      <c r="E2046" s="12" t="s">
        <v>2978</v>
      </c>
      <c r="F2046" s="12" t="s">
        <v>832</v>
      </c>
      <c r="G2046" s="12" t="s">
        <v>832</v>
      </c>
      <c r="H2046" s="12" t="b">
        <v>0</v>
      </c>
      <c r="I2046" s="12" t="b">
        <v>0</v>
      </c>
      <c r="J2046" s="12" t="b">
        <v>0</v>
      </c>
      <c r="K2046" s="12" t="b">
        <v>0</v>
      </c>
      <c r="L2046" s="12">
        <v>586.09273894960961</v>
      </c>
      <c r="M2046" s="12">
        <v>300.032917</v>
      </c>
      <c r="N2046" s="12">
        <v>3000</v>
      </c>
      <c r="O2046" s="12">
        <v>400</v>
      </c>
      <c r="P2046" s="12">
        <v>0.55227162905136007</v>
      </c>
      <c r="Q2046" s="12">
        <v>0.77874804196289171</v>
      </c>
      <c r="R2046" s="12">
        <v>0.77489841815642113</v>
      </c>
      <c r="S2046" s="12">
        <v>0.8925577329015586</v>
      </c>
      <c r="T2046" s="12">
        <v>0.68098811434848172</v>
      </c>
      <c r="U2046" s="12">
        <v>0.86905173954599801</v>
      </c>
      <c r="V2046" s="12">
        <v>300.032917</v>
      </c>
      <c r="W2046" s="12"/>
      <c r="X2046" s="12"/>
      <c r="Y2046" s="12">
        <v>2600</v>
      </c>
      <c r="Z2046" s="12">
        <v>7.5</v>
      </c>
      <c r="AA2046" s="12"/>
      <c r="AB2046" s="12"/>
    </row>
    <row r="2047" spans="1:28" x14ac:dyDescent="0.3">
      <c r="A2047" s="12" t="s">
        <v>3960</v>
      </c>
      <c r="B2047" s="12" t="s">
        <v>170</v>
      </c>
      <c r="C2047" s="12" t="s">
        <v>448</v>
      </c>
      <c r="D2047" s="12" t="s">
        <v>728</v>
      </c>
      <c r="E2047" s="12" t="s">
        <v>2978</v>
      </c>
      <c r="F2047" s="12" t="s">
        <v>832</v>
      </c>
      <c r="G2047" s="12" t="s">
        <v>832</v>
      </c>
      <c r="H2047" s="12" t="b">
        <v>0</v>
      </c>
      <c r="I2047" s="12" t="b">
        <v>0</v>
      </c>
      <c r="J2047" s="12" t="b">
        <v>0</v>
      </c>
      <c r="K2047" s="12" t="b">
        <v>0</v>
      </c>
      <c r="L2047" s="12">
        <v>384.39268332823377</v>
      </c>
      <c r="M2047" s="12">
        <v>300.032917</v>
      </c>
      <c r="N2047" s="12">
        <v>3000</v>
      </c>
      <c r="O2047" s="12">
        <v>400</v>
      </c>
      <c r="P2047" s="12">
        <v>0.80894176462188883</v>
      </c>
      <c r="Q2047" s="12">
        <v>0.53677081441996044</v>
      </c>
      <c r="R2047" s="12">
        <v>0.74454590636293749</v>
      </c>
      <c r="S2047" s="12">
        <v>0.8372510111421223</v>
      </c>
      <c r="T2047" s="12">
        <v>0.9411898848690764</v>
      </c>
      <c r="U2047" s="12">
        <v>0.50899798754615988</v>
      </c>
      <c r="V2047" s="12">
        <v>300.032917</v>
      </c>
      <c r="W2047" s="12"/>
      <c r="X2047" s="12"/>
      <c r="Y2047" s="12">
        <v>2600</v>
      </c>
      <c r="Z2047" s="12">
        <v>7.5</v>
      </c>
      <c r="AA2047" s="12"/>
      <c r="AB2047" s="12"/>
    </row>
    <row r="2048" spans="1:28" x14ac:dyDescent="0.3">
      <c r="A2048" s="12" t="s">
        <v>3961</v>
      </c>
      <c r="B2048" s="12" t="s">
        <v>170</v>
      </c>
      <c r="C2048" s="12" t="s">
        <v>448</v>
      </c>
      <c r="D2048" s="12" t="s">
        <v>728</v>
      </c>
      <c r="E2048" s="12" t="s">
        <v>2978</v>
      </c>
      <c r="F2048" s="12" t="s">
        <v>1862</v>
      </c>
      <c r="G2048" s="12" t="s">
        <v>1862</v>
      </c>
      <c r="H2048" s="12" t="b">
        <v>1</v>
      </c>
      <c r="I2048" s="12" t="b">
        <v>0</v>
      </c>
      <c r="J2048" s="12" t="b">
        <v>1</v>
      </c>
      <c r="K2048" s="12" t="b">
        <v>0</v>
      </c>
      <c r="L2048" s="12">
        <v>554.84501806762455</v>
      </c>
      <c r="M2048" s="12">
        <v>300.032917</v>
      </c>
      <c r="N2048" s="12">
        <v>3000</v>
      </c>
      <c r="O2048" s="12">
        <v>400</v>
      </c>
      <c r="P2048" s="12">
        <v>0.57013189780327778</v>
      </c>
      <c r="Q2048" s="12">
        <v>0.7462178564230697</v>
      </c>
      <c r="R2048" s="12">
        <v>0.47754478936762479</v>
      </c>
      <c r="S2048" s="12">
        <v>0.4849314278820277</v>
      </c>
      <c r="T2048" s="12">
        <v>0.5581226016507761</v>
      </c>
      <c r="U2048" s="12">
        <v>0.51185362710489146</v>
      </c>
      <c r="V2048" s="12">
        <v>300.032917</v>
      </c>
      <c r="W2048" s="12">
        <v>-14.273046194967289</v>
      </c>
      <c r="X2048" s="12">
        <v>-93.066123456773738</v>
      </c>
      <c r="Y2048" s="12">
        <v>2600</v>
      </c>
      <c r="Z2048" s="12">
        <v>7.5</v>
      </c>
      <c r="AA2048" s="12" t="s">
        <v>2513</v>
      </c>
      <c r="AB2048" s="12"/>
    </row>
    <row r="2049" spans="1:28" x14ac:dyDescent="0.3">
      <c r="A2049" s="12" t="s">
        <v>3962</v>
      </c>
      <c r="B2049" s="12" t="s">
        <v>170</v>
      </c>
      <c r="C2049" s="12" t="s">
        <v>448</v>
      </c>
      <c r="D2049" s="12" t="s">
        <v>728</v>
      </c>
      <c r="E2049" s="12" t="s">
        <v>2978</v>
      </c>
      <c r="F2049" s="12" t="s">
        <v>1862</v>
      </c>
      <c r="G2049" s="12" t="s">
        <v>1862</v>
      </c>
      <c r="H2049" s="12" t="b">
        <v>1</v>
      </c>
      <c r="I2049" s="12" t="b">
        <v>0</v>
      </c>
      <c r="J2049" s="12" t="b">
        <v>1</v>
      </c>
      <c r="K2049" s="12" t="b">
        <v>0</v>
      </c>
      <c r="L2049" s="12">
        <v>520.34088345665066</v>
      </c>
      <c r="M2049" s="12">
        <v>300.032917</v>
      </c>
      <c r="N2049" s="12">
        <v>3000</v>
      </c>
      <c r="O2049" s="12">
        <v>400</v>
      </c>
      <c r="P2049" s="12">
        <v>0.67861997200838753</v>
      </c>
      <c r="Q2049" s="12">
        <v>0.4989247963050486</v>
      </c>
      <c r="R2049" s="12">
        <v>0.85431096733631551</v>
      </c>
      <c r="S2049" s="12">
        <v>0.54446961497019575</v>
      </c>
      <c r="T2049" s="12">
        <v>0.70166453875420554</v>
      </c>
      <c r="U2049" s="12">
        <v>0.81759814980377077</v>
      </c>
      <c r="V2049" s="12">
        <v>300.032917</v>
      </c>
      <c r="W2049" s="12">
        <v>-1.09594121655416</v>
      </c>
      <c r="X2049" s="12">
        <v>-8.7256867791444677</v>
      </c>
      <c r="Y2049" s="12">
        <v>2600</v>
      </c>
      <c r="Z2049" s="12">
        <v>7.5</v>
      </c>
      <c r="AA2049" s="12" t="s">
        <v>2513</v>
      </c>
      <c r="AB2049" s="12"/>
    </row>
    <row r="2050" spans="1:28" x14ac:dyDescent="0.3">
      <c r="A2050" s="12" t="s">
        <v>3963</v>
      </c>
      <c r="B2050" s="12" t="s">
        <v>170</v>
      </c>
      <c r="C2050" s="12" t="s">
        <v>448</v>
      </c>
      <c r="D2050" s="12" t="s">
        <v>728</v>
      </c>
      <c r="E2050" s="12" t="s">
        <v>2978</v>
      </c>
      <c r="F2050" s="12" t="s">
        <v>832</v>
      </c>
      <c r="G2050" s="12" t="s">
        <v>832</v>
      </c>
      <c r="H2050" s="12" t="b">
        <v>0</v>
      </c>
      <c r="I2050" s="12" t="b">
        <v>0</v>
      </c>
      <c r="J2050" s="12" t="b">
        <v>0</v>
      </c>
      <c r="K2050" s="12" t="b">
        <v>0</v>
      </c>
      <c r="L2050" s="12">
        <v>464.57063408720609</v>
      </c>
      <c r="M2050" s="12">
        <v>300.032917</v>
      </c>
      <c r="N2050" s="12">
        <v>3000</v>
      </c>
      <c r="O2050" s="12">
        <v>400</v>
      </c>
      <c r="P2050" s="12">
        <v>0.74587351350764353</v>
      </c>
      <c r="Q2050" s="12">
        <v>0.85234418222996489</v>
      </c>
      <c r="R2050" s="12">
        <v>0.77921809237852124</v>
      </c>
      <c r="S2050" s="12">
        <v>0.52741462256029004</v>
      </c>
      <c r="T2050" s="12">
        <v>0.7306164339591954</v>
      </c>
      <c r="U2050" s="12">
        <v>0.4213182007378839</v>
      </c>
      <c r="V2050" s="12">
        <v>300.032917</v>
      </c>
      <c r="W2050" s="12"/>
      <c r="X2050" s="12"/>
      <c r="Y2050" s="12">
        <v>2600</v>
      </c>
      <c r="Z2050" s="12">
        <v>7.5</v>
      </c>
      <c r="AA2050" s="12"/>
      <c r="AB2050" s="12"/>
    </row>
    <row r="2051" spans="1:28" x14ac:dyDescent="0.3">
      <c r="A2051" s="12" t="s">
        <v>3964</v>
      </c>
      <c r="B2051" s="12" t="s">
        <v>170</v>
      </c>
      <c r="C2051" s="12" t="s">
        <v>448</v>
      </c>
      <c r="D2051" s="12" t="s">
        <v>728</v>
      </c>
      <c r="E2051" s="12" t="s">
        <v>2978</v>
      </c>
      <c r="F2051" s="12" t="s">
        <v>1862</v>
      </c>
      <c r="G2051" s="12" t="s">
        <v>1862</v>
      </c>
      <c r="H2051" s="12" t="b">
        <v>1</v>
      </c>
      <c r="I2051" s="12" t="b">
        <v>0</v>
      </c>
      <c r="J2051" s="12" t="b">
        <v>1</v>
      </c>
      <c r="K2051" s="12" t="b">
        <v>0</v>
      </c>
      <c r="L2051" s="12">
        <v>581.89650593158467</v>
      </c>
      <c r="M2051" s="12">
        <v>300.032917</v>
      </c>
      <c r="N2051" s="12">
        <v>3000</v>
      </c>
      <c r="O2051" s="12">
        <v>400</v>
      </c>
      <c r="P2051" s="12">
        <v>0.68434088991053943</v>
      </c>
      <c r="Q2051" s="12">
        <v>0.47746416179224271</v>
      </c>
      <c r="R2051" s="12">
        <v>0.8336501004949477</v>
      </c>
      <c r="S2051" s="12">
        <v>0.70947106717801622</v>
      </c>
      <c r="T2051" s="12">
        <v>0.82152584845249477</v>
      </c>
      <c r="U2051" s="12">
        <v>0.81268075765061565</v>
      </c>
      <c r="V2051" s="12">
        <v>300.032917</v>
      </c>
      <c r="W2051" s="12">
        <v>-0.64552139358679994</v>
      </c>
      <c r="X2051" s="12">
        <v>-7.0269368744473297</v>
      </c>
      <c r="Y2051" s="12">
        <v>2600</v>
      </c>
      <c r="Z2051" s="12">
        <v>7.5</v>
      </c>
      <c r="AA2051" s="12" t="s">
        <v>2513</v>
      </c>
      <c r="AB2051" s="12"/>
    </row>
    <row r="2052" spans="1:28" x14ac:dyDescent="0.3">
      <c r="A2052" s="12" t="s">
        <v>3965</v>
      </c>
      <c r="B2052" s="12" t="s">
        <v>170</v>
      </c>
      <c r="C2052" s="12" t="s">
        <v>448</v>
      </c>
      <c r="D2052" s="12" t="s">
        <v>728</v>
      </c>
      <c r="E2052" s="12" t="s">
        <v>2978</v>
      </c>
      <c r="F2052" s="12" t="s">
        <v>832</v>
      </c>
      <c r="G2052" s="12" t="s">
        <v>832</v>
      </c>
      <c r="H2052" s="12" t="b">
        <v>0</v>
      </c>
      <c r="I2052" s="12" t="b">
        <v>0</v>
      </c>
      <c r="J2052" s="12" t="b">
        <v>0</v>
      </c>
      <c r="K2052" s="12" t="b">
        <v>0</v>
      </c>
      <c r="L2052" s="12">
        <v>602.11234344341483</v>
      </c>
      <c r="M2052" s="12">
        <v>300.032917</v>
      </c>
      <c r="N2052" s="12">
        <v>3000</v>
      </c>
      <c r="O2052" s="12">
        <v>400</v>
      </c>
      <c r="P2052" s="12">
        <v>0.75198267728038137</v>
      </c>
      <c r="Q2052" s="12">
        <v>0.8445758913884025</v>
      </c>
      <c r="R2052" s="12">
        <v>0.53747513978666328</v>
      </c>
      <c r="S2052" s="12">
        <v>0.9317687007402532</v>
      </c>
      <c r="T2052" s="12">
        <v>0.8218651059649138</v>
      </c>
      <c r="U2052" s="12">
        <v>0.52007986721560939</v>
      </c>
      <c r="V2052" s="12">
        <v>300.032917</v>
      </c>
      <c r="W2052" s="12"/>
      <c r="X2052" s="12"/>
      <c r="Y2052" s="12">
        <v>2600</v>
      </c>
      <c r="Z2052" s="12">
        <v>7.5</v>
      </c>
      <c r="AA2052" s="12"/>
      <c r="AB2052" s="12"/>
    </row>
    <row r="2053" spans="1:28" x14ac:dyDescent="0.3">
      <c r="A2053" s="12" t="s">
        <v>3966</v>
      </c>
      <c r="B2053" s="12" t="s">
        <v>170</v>
      </c>
      <c r="C2053" s="12" t="s">
        <v>448</v>
      </c>
      <c r="D2053" s="12" t="s">
        <v>728</v>
      </c>
      <c r="E2053" s="12" t="s">
        <v>2978</v>
      </c>
      <c r="F2053" s="12" t="s">
        <v>832</v>
      </c>
      <c r="G2053" s="12" t="s">
        <v>832</v>
      </c>
      <c r="H2053" s="12" t="b">
        <v>0</v>
      </c>
      <c r="I2053" s="12" t="b">
        <v>0</v>
      </c>
      <c r="J2053" s="12" t="b">
        <v>0</v>
      </c>
      <c r="K2053" s="12" t="b">
        <v>0</v>
      </c>
      <c r="L2053" s="12">
        <v>568.55614935087704</v>
      </c>
      <c r="M2053" s="12">
        <v>300.032917</v>
      </c>
      <c r="N2053" s="12">
        <v>3000</v>
      </c>
      <c r="O2053" s="12">
        <v>400</v>
      </c>
      <c r="P2053" s="12">
        <v>0.68890318247978777</v>
      </c>
      <c r="Q2053" s="12">
        <v>0.53119059535556301</v>
      </c>
      <c r="R2053" s="12">
        <v>0.54352618197316871</v>
      </c>
      <c r="S2053" s="12">
        <v>0.69180705972341738</v>
      </c>
      <c r="T2053" s="12">
        <v>0.53839015876036034</v>
      </c>
      <c r="U2053" s="12">
        <v>0.61603135397168163</v>
      </c>
      <c r="V2053" s="12">
        <v>300.032917</v>
      </c>
      <c r="W2053" s="12"/>
      <c r="X2053" s="12"/>
      <c r="Y2053" s="12">
        <v>2600</v>
      </c>
      <c r="Z2053" s="12">
        <v>7.5</v>
      </c>
      <c r="AA2053" s="12"/>
      <c r="AB2053" s="12"/>
    </row>
    <row r="2054" spans="1:28" x14ac:dyDescent="0.3">
      <c r="A2054" s="12" t="s">
        <v>3967</v>
      </c>
      <c r="B2054" s="12" t="s">
        <v>170</v>
      </c>
      <c r="C2054" s="12" t="s">
        <v>448</v>
      </c>
      <c r="D2054" s="12" t="s">
        <v>728</v>
      </c>
      <c r="E2054" s="12" t="s">
        <v>2978</v>
      </c>
      <c r="F2054" s="12" t="s">
        <v>1862</v>
      </c>
      <c r="G2054" s="12" t="s">
        <v>1862</v>
      </c>
      <c r="H2054" s="12" t="b">
        <v>1</v>
      </c>
      <c r="I2054" s="12" t="b">
        <v>0</v>
      </c>
      <c r="J2054" s="12" t="b">
        <v>1</v>
      </c>
      <c r="K2054" s="12" t="b">
        <v>0</v>
      </c>
      <c r="L2054" s="12">
        <v>450.17171109409128</v>
      </c>
      <c r="M2054" s="12">
        <v>300.032917</v>
      </c>
      <c r="N2054" s="12">
        <v>3000</v>
      </c>
      <c r="O2054" s="12">
        <v>400</v>
      </c>
      <c r="P2054" s="12">
        <v>0.7119811496815095</v>
      </c>
      <c r="Q2054" s="12">
        <v>0.89218699721090333</v>
      </c>
      <c r="R2054" s="12">
        <v>0.4558440673950237</v>
      </c>
      <c r="S2054" s="12">
        <v>0.7219892655254081</v>
      </c>
      <c r="T2054" s="12">
        <v>0.48450475001359911</v>
      </c>
      <c r="U2054" s="12">
        <v>0.66099168235668082</v>
      </c>
      <c r="V2054" s="12">
        <v>300.032917</v>
      </c>
      <c r="W2054" s="12">
        <v>-21.567780138986588</v>
      </c>
      <c r="X2054" s="12">
        <v>-117.0615126972712</v>
      </c>
      <c r="Y2054" s="12">
        <v>2600</v>
      </c>
      <c r="Z2054" s="12">
        <v>7.5</v>
      </c>
      <c r="AA2054" s="12" t="s">
        <v>2513</v>
      </c>
      <c r="AB2054" s="12"/>
    </row>
    <row r="2055" spans="1:28" x14ac:dyDescent="0.3">
      <c r="A2055" s="12" t="s">
        <v>3968</v>
      </c>
      <c r="B2055" s="12" t="s">
        <v>170</v>
      </c>
      <c r="C2055" s="12" t="s">
        <v>448</v>
      </c>
      <c r="D2055" s="12" t="s">
        <v>728</v>
      </c>
      <c r="E2055" s="12" t="s">
        <v>2978</v>
      </c>
      <c r="F2055" s="12" t="s">
        <v>1861</v>
      </c>
      <c r="G2055" s="12" t="s">
        <v>1861</v>
      </c>
      <c r="H2055" s="12" t="b">
        <v>1</v>
      </c>
      <c r="I2055" s="12" t="b">
        <v>0</v>
      </c>
      <c r="J2055" s="12" t="b">
        <v>1</v>
      </c>
      <c r="K2055" s="12" t="b">
        <v>0</v>
      </c>
      <c r="L2055" s="12">
        <v>516.59468822510667</v>
      </c>
      <c r="M2055" s="12">
        <v>300.032917</v>
      </c>
      <c r="N2055" s="12">
        <v>3000</v>
      </c>
      <c r="O2055" s="12">
        <v>400</v>
      </c>
      <c r="P2055" s="12">
        <v>0.5051627818746256</v>
      </c>
      <c r="Q2055" s="12">
        <v>0.63828853248386075</v>
      </c>
      <c r="R2055" s="12">
        <v>0.55588723277135188</v>
      </c>
      <c r="S2055" s="12">
        <v>0.8738933726765421</v>
      </c>
      <c r="T2055" s="12">
        <v>0.70539544379678021</v>
      </c>
      <c r="U2055" s="12">
        <v>0.92093864196845876</v>
      </c>
      <c r="V2055" s="12">
        <v>300.032917</v>
      </c>
      <c r="W2055" s="12">
        <v>9.8000451214537101</v>
      </c>
      <c r="X2055" s="12">
        <v>192.89251044005971</v>
      </c>
      <c r="Y2055" s="12">
        <v>2600</v>
      </c>
      <c r="Z2055" s="12">
        <v>7.5</v>
      </c>
      <c r="AA2055" s="12" t="s">
        <v>1268</v>
      </c>
      <c r="AB2055" s="12"/>
    </row>
    <row r="2056" spans="1:28" x14ac:dyDescent="0.3">
      <c r="A2056" s="12" t="s">
        <v>3969</v>
      </c>
      <c r="B2056" s="12" t="s">
        <v>170</v>
      </c>
      <c r="C2056" s="12" t="s">
        <v>448</v>
      </c>
      <c r="D2056" s="12" t="s">
        <v>728</v>
      </c>
      <c r="E2056" s="12" t="s">
        <v>2978</v>
      </c>
      <c r="F2056" s="12" t="s">
        <v>1862</v>
      </c>
      <c r="G2056" s="12" t="s">
        <v>1862</v>
      </c>
      <c r="H2056" s="12" t="b">
        <v>1</v>
      </c>
      <c r="I2056" s="12" t="b">
        <v>0</v>
      </c>
      <c r="J2056" s="12" t="b">
        <v>1</v>
      </c>
      <c r="K2056" s="12" t="b">
        <v>0</v>
      </c>
      <c r="L2056" s="12">
        <v>544.31570802291026</v>
      </c>
      <c r="M2056" s="12">
        <v>300.032917</v>
      </c>
      <c r="N2056" s="12">
        <v>3000</v>
      </c>
      <c r="O2056" s="12">
        <v>400</v>
      </c>
      <c r="P2056" s="12">
        <v>0.76350974576423036</v>
      </c>
      <c r="Q2056" s="12">
        <v>0.5237076513650174</v>
      </c>
      <c r="R2056" s="12">
        <v>0.9386261688848474</v>
      </c>
      <c r="S2056" s="12">
        <v>0.40555755243322289</v>
      </c>
      <c r="T2056" s="12">
        <v>0.56213442695657845</v>
      </c>
      <c r="U2056" s="12">
        <v>0.73435955516526596</v>
      </c>
      <c r="V2056" s="12">
        <v>300.032917</v>
      </c>
      <c r="W2056" s="12">
        <v>-12.70530549565775</v>
      </c>
      <c r="X2056" s="12">
        <v>-58.245053922767852</v>
      </c>
      <c r="Y2056" s="12">
        <v>2600</v>
      </c>
      <c r="Z2056" s="12">
        <v>7.5</v>
      </c>
      <c r="AA2056" s="12" t="s">
        <v>2513</v>
      </c>
      <c r="AB2056" s="12"/>
    </row>
    <row r="2057" spans="1:28" x14ac:dyDescent="0.3">
      <c r="A2057" s="12" t="s">
        <v>3970</v>
      </c>
      <c r="B2057" s="12" t="s">
        <v>170</v>
      </c>
      <c r="C2057" s="12" t="s">
        <v>448</v>
      </c>
      <c r="D2057" s="12" t="s">
        <v>728</v>
      </c>
      <c r="E2057" s="12" t="s">
        <v>2978</v>
      </c>
      <c r="F2057" s="12" t="s">
        <v>1861</v>
      </c>
      <c r="G2057" s="12" t="s">
        <v>1861</v>
      </c>
      <c r="H2057" s="12" t="b">
        <v>1</v>
      </c>
      <c r="I2057" s="12" t="b">
        <v>0</v>
      </c>
      <c r="J2057" s="12" t="b">
        <v>0</v>
      </c>
      <c r="K2057" s="12" t="b">
        <v>0</v>
      </c>
      <c r="L2057" s="12">
        <v>423.9356102567582</v>
      </c>
      <c r="M2057" s="12">
        <v>300.032917</v>
      </c>
      <c r="N2057" s="12">
        <v>3000</v>
      </c>
      <c r="O2057" s="12">
        <v>400</v>
      </c>
      <c r="P2057" s="12">
        <v>0.51078497408459045</v>
      </c>
      <c r="Q2057" s="12">
        <v>0.53887447755677731</v>
      </c>
      <c r="R2057" s="12">
        <v>0.57690765882698436</v>
      </c>
      <c r="S2057" s="12">
        <v>0.57252167107472729</v>
      </c>
      <c r="T2057" s="12">
        <v>0.72797385529564052</v>
      </c>
      <c r="U2057" s="12">
        <v>0.67273042484333367</v>
      </c>
      <c r="V2057" s="12">
        <v>300.032917</v>
      </c>
      <c r="W2057" s="12">
        <v>4.0186742001931206</v>
      </c>
      <c r="X2057" s="12">
        <v>15.12505430295958</v>
      </c>
      <c r="Y2057" s="12">
        <v>2600</v>
      </c>
      <c r="Z2057" s="12">
        <v>7.5</v>
      </c>
      <c r="AA2057" s="12" t="s">
        <v>1268</v>
      </c>
      <c r="AB2057" s="12"/>
    </row>
    <row r="2058" spans="1:28" x14ac:dyDescent="0.3">
      <c r="A2058" s="12" t="s">
        <v>3971</v>
      </c>
      <c r="B2058" s="12" t="s">
        <v>170</v>
      </c>
      <c r="C2058" s="12" t="s">
        <v>448</v>
      </c>
      <c r="D2058" s="12" t="s">
        <v>728</v>
      </c>
      <c r="E2058" s="12" t="s">
        <v>2978</v>
      </c>
      <c r="F2058" s="12" t="s">
        <v>1861</v>
      </c>
      <c r="G2058" s="12" t="s">
        <v>1861</v>
      </c>
      <c r="H2058" s="12" t="b">
        <v>1</v>
      </c>
      <c r="I2058" s="12" t="b">
        <v>0</v>
      </c>
      <c r="J2058" s="12" t="b">
        <v>1</v>
      </c>
      <c r="K2058" s="12" t="b">
        <v>0</v>
      </c>
      <c r="L2058" s="12">
        <v>587.85848894731032</v>
      </c>
      <c r="M2058" s="12">
        <v>300.032917</v>
      </c>
      <c r="N2058" s="12">
        <v>3000</v>
      </c>
      <c r="O2058" s="12">
        <v>400</v>
      </c>
      <c r="P2058" s="12">
        <v>0.53519163068686737</v>
      </c>
      <c r="Q2058" s="12">
        <v>0.80943426360129855</v>
      </c>
      <c r="R2058" s="12">
        <v>0.75140034584445115</v>
      </c>
      <c r="S2058" s="12">
        <v>0.46437026060940728</v>
      </c>
      <c r="T2058" s="12">
        <v>0.86233620133064104</v>
      </c>
      <c r="U2058" s="12">
        <v>0.64946528457025599</v>
      </c>
      <c r="V2058" s="12">
        <v>300.032917</v>
      </c>
      <c r="W2058" s="12">
        <v>10.218303648720701</v>
      </c>
      <c r="X2058" s="12">
        <v>93.989387823433447</v>
      </c>
      <c r="Y2058" s="12">
        <v>2600</v>
      </c>
      <c r="Z2058" s="12">
        <v>7.5</v>
      </c>
      <c r="AA2058" s="12" t="s">
        <v>1268</v>
      </c>
      <c r="AB2058" s="12"/>
    </row>
    <row r="2059" spans="1:28" x14ac:dyDescent="0.3">
      <c r="A2059" s="12" t="s">
        <v>3972</v>
      </c>
      <c r="B2059" s="12" t="s">
        <v>170</v>
      </c>
      <c r="C2059" s="12" t="s">
        <v>448</v>
      </c>
      <c r="D2059" s="12" t="s">
        <v>728</v>
      </c>
      <c r="E2059" s="12" t="s">
        <v>2978</v>
      </c>
      <c r="F2059" s="12" t="s">
        <v>1861</v>
      </c>
      <c r="G2059" s="12" t="s">
        <v>1861</v>
      </c>
      <c r="H2059" s="12" t="b">
        <v>1</v>
      </c>
      <c r="I2059" s="12" t="b">
        <v>0</v>
      </c>
      <c r="J2059" s="12" t="b">
        <v>1</v>
      </c>
      <c r="K2059" s="12" t="b">
        <v>0</v>
      </c>
      <c r="L2059" s="12">
        <v>584.27327726778697</v>
      </c>
      <c r="M2059" s="12">
        <v>300.032917</v>
      </c>
      <c r="N2059" s="12">
        <v>3000</v>
      </c>
      <c r="O2059" s="12">
        <v>400</v>
      </c>
      <c r="P2059" s="12">
        <v>0.57858931028801752</v>
      </c>
      <c r="Q2059" s="12">
        <v>0.62320001292492333</v>
      </c>
      <c r="R2059" s="12">
        <v>0.89974300489363856</v>
      </c>
      <c r="S2059" s="12">
        <v>0.70547059045142824</v>
      </c>
      <c r="T2059" s="12">
        <v>0.58740644734951208</v>
      </c>
      <c r="U2059" s="12">
        <v>0.59038970249287148</v>
      </c>
      <c r="V2059" s="12">
        <v>300.032917</v>
      </c>
      <c r="W2059" s="12">
        <v>3.8316484508117399</v>
      </c>
      <c r="X2059" s="12">
        <v>41.119853985516897</v>
      </c>
      <c r="Y2059" s="12">
        <v>2600</v>
      </c>
      <c r="Z2059" s="12">
        <v>7.5</v>
      </c>
      <c r="AA2059" s="12" t="s">
        <v>1268</v>
      </c>
      <c r="AB2059" s="12"/>
    </row>
    <row r="2060" spans="1:28" x14ac:dyDescent="0.3">
      <c r="A2060" s="12" t="s">
        <v>3973</v>
      </c>
      <c r="B2060" s="12" t="s">
        <v>170</v>
      </c>
      <c r="C2060" s="12" t="s">
        <v>448</v>
      </c>
      <c r="D2060" s="12" t="s">
        <v>728</v>
      </c>
      <c r="E2060" s="12" t="s">
        <v>2978</v>
      </c>
      <c r="F2060" s="12" t="s">
        <v>1862</v>
      </c>
      <c r="G2060" s="12" t="s">
        <v>1862</v>
      </c>
      <c r="H2060" s="12" t="b">
        <v>1</v>
      </c>
      <c r="I2060" s="12" t="b">
        <v>0</v>
      </c>
      <c r="J2060" s="12" t="b">
        <v>1</v>
      </c>
      <c r="K2060" s="12" t="b">
        <v>0</v>
      </c>
      <c r="L2060" s="12">
        <v>577.43546769458089</v>
      </c>
      <c r="M2060" s="12">
        <v>300.032917</v>
      </c>
      <c r="N2060" s="12">
        <v>3000</v>
      </c>
      <c r="O2060" s="12">
        <v>400</v>
      </c>
      <c r="P2060" s="12">
        <v>0.51996600445087515</v>
      </c>
      <c r="Q2060" s="12">
        <v>0.41047558448664828</v>
      </c>
      <c r="R2060" s="12">
        <v>0.78448801972647442</v>
      </c>
      <c r="S2060" s="12">
        <v>0.59656131649004851</v>
      </c>
      <c r="T2060" s="12">
        <v>0.61755419665495048</v>
      </c>
      <c r="U2060" s="12">
        <v>0.62587483312296832</v>
      </c>
      <c r="V2060" s="12">
        <v>300.032917</v>
      </c>
      <c r="W2060" s="12">
        <v>-0.79910298807215996</v>
      </c>
      <c r="X2060" s="12">
        <v>-8.5641386376822624</v>
      </c>
      <c r="Y2060" s="12">
        <v>2600</v>
      </c>
      <c r="Z2060" s="12">
        <v>7.5</v>
      </c>
      <c r="AA2060" s="12" t="s">
        <v>2513</v>
      </c>
      <c r="AB2060" s="12"/>
    </row>
    <row r="2061" spans="1:28" x14ac:dyDescent="0.3">
      <c r="A2061" s="12" t="s">
        <v>3974</v>
      </c>
      <c r="B2061" s="12" t="s">
        <v>170</v>
      </c>
      <c r="C2061" s="12" t="s">
        <v>448</v>
      </c>
      <c r="D2061" s="12" t="s">
        <v>728</v>
      </c>
      <c r="E2061" s="12" t="s">
        <v>2978</v>
      </c>
      <c r="F2061" s="12" t="s">
        <v>1862</v>
      </c>
      <c r="G2061" s="12" t="s">
        <v>1862</v>
      </c>
      <c r="H2061" s="12" t="b">
        <v>1</v>
      </c>
      <c r="I2061" s="12" t="b">
        <v>0</v>
      </c>
      <c r="J2061" s="12" t="b">
        <v>1</v>
      </c>
      <c r="K2061" s="12" t="b">
        <v>0</v>
      </c>
      <c r="L2061" s="12">
        <v>530.09768766858747</v>
      </c>
      <c r="M2061" s="12">
        <v>300.032917</v>
      </c>
      <c r="N2061" s="12">
        <v>3000</v>
      </c>
      <c r="O2061" s="12">
        <v>400</v>
      </c>
      <c r="P2061" s="12">
        <v>0.82052574460529271</v>
      </c>
      <c r="Q2061" s="12">
        <v>0.45747736867644162</v>
      </c>
      <c r="R2061" s="12">
        <v>0.64965674904559378</v>
      </c>
      <c r="S2061" s="12">
        <v>0.58253702987108003</v>
      </c>
      <c r="T2061" s="12">
        <v>0.56577823477154265</v>
      </c>
      <c r="U2061" s="12">
        <v>0.81130521261627941</v>
      </c>
      <c r="V2061" s="12">
        <v>300.032917</v>
      </c>
      <c r="W2061" s="12">
        <v>-43.493209734561567</v>
      </c>
      <c r="X2061" s="12">
        <v>-193.61829321802171</v>
      </c>
      <c r="Y2061" s="12">
        <v>2600</v>
      </c>
      <c r="Z2061" s="12">
        <v>7.5</v>
      </c>
      <c r="AA2061" s="12" t="s">
        <v>2513</v>
      </c>
      <c r="AB2061" s="12"/>
    </row>
    <row r="2062" spans="1:28" x14ac:dyDescent="0.3">
      <c r="A2062" s="12" t="s">
        <v>3975</v>
      </c>
      <c r="B2062" s="12" t="s">
        <v>170</v>
      </c>
      <c r="C2062" s="12" t="s">
        <v>448</v>
      </c>
      <c r="D2062" s="12" t="s">
        <v>728</v>
      </c>
      <c r="E2062" s="12" t="s">
        <v>2978</v>
      </c>
      <c r="F2062" s="12" t="s">
        <v>1862</v>
      </c>
      <c r="G2062" s="12" t="s">
        <v>1862</v>
      </c>
      <c r="H2062" s="12" t="b">
        <v>1</v>
      </c>
      <c r="I2062" s="12" t="b">
        <v>0</v>
      </c>
      <c r="J2062" s="12" t="b">
        <v>0</v>
      </c>
      <c r="K2062" s="12" t="b">
        <v>0</v>
      </c>
      <c r="L2062" s="12">
        <v>433.53039065993329</v>
      </c>
      <c r="M2062" s="12">
        <v>300.032917</v>
      </c>
      <c r="N2062" s="12">
        <v>3000</v>
      </c>
      <c r="O2062" s="12">
        <v>400</v>
      </c>
      <c r="P2062" s="12">
        <v>0.62349235225631017</v>
      </c>
      <c r="Q2062" s="12">
        <v>0.56364861508609843</v>
      </c>
      <c r="R2062" s="12">
        <v>0.4901374485016563</v>
      </c>
      <c r="S2062" s="12">
        <v>0.55796169645999871</v>
      </c>
      <c r="T2062" s="12">
        <v>0.5964786605163348</v>
      </c>
      <c r="U2062" s="12">
        <v>0.86542566599091253</v>
      </c>
      <c r="V2062" s="12">
        <v>300.032917</v>
      </c>
      <c r="W2062" s="12">
        <v>-6.2688765643706708</v>
      </c>
      <c r="X2062" s="12">
        <v>-31.87086937823166</v>
      </c>
      <c r="Y2062" s="12">
        <v>2600</v>
      </c>
      <c r="Z2062" s="12">
        <v>7.5</v>
      </c>
      <c r="AA2062" s="12" t="s">
        <v>2513</v>
      </c>
      <c r="AB2062" s="12"/>
    </row>
    <row r="2063" spans="1:28" x14ac:dyDescent="0.3">
      <c r="A2063" s="12" t="s">
        <v>3976</v>
      </c>
      <c r="B2063" s="12" t="s">
        <v>170</v>
      </c>
      <c r="C2063" s="12" t="s">
        <v>448</v>
      </c>
      <c r="D2063" s="12" t="s">
        <v>728</v>
      </c>
      <c r="E2063" s="12" t="s">
        <v>2978</v>
      </c>
      <c r="F2063" s="12" t="s">
        <v>832</v>
      </c>
      <c r="G2063" s="12" t="s">
        <v>832</v>
      </c>
      <c r="H2063" s="12" t="b">
        <v>0</v>
      </c>
      <c r="I2063" s="12" t="b">
        <v>0</v>
      </c>
      <c r="J2063" s="12" t="b">
        <v>0</v>
      </c>
      <c r="K2063" s="12" t="b">
        <v>0</v>
      </c>
      <c r="L2063" s="12">
        <v>607.02673914744014</v>
      </c>
      <c r="M2063" s="12">
        <v>300.032917</v>
      </c>
      <c r="N2063" s="12">
        <v>3000</v>
      </c>
      <c r="O2063" s="12">
        <v>400</v>
      </c>
      <c r="P2063" s="12">
        <v>0.76917997479283773</v>
      </c>
      <c r="Q2063" s="12">
        <v>0.61314884294245353</v>
      </c>
      <c r="R2063" s="12">
        <v>0.40360243702078491</v>
      </c>
      <c r="S2063" s="12">
        <v>0.74392117932824187</v>
      </c>
      <c r="T2063" s="12">
        <v>0.93680233575443883</v>
      </c>
      <c r="U2063" s="12">
        <v>0.54414905945761882</v>
      </c>
      <c r="V2063" s="12">
        <v>300.032917</v>
      </c>
      <c r="W2063" s="12"/>
      <c r="X2063" s="12"/>
      <c r="Y2063" s="12">
        <v>2600</v>
      </c>
      <c r="Z2063" s="12">
        <v>7.5</v>
      </c>
      <c r="AA2063" s="12"/>
      <c r="AB2063" s="12"/>
    </row>
    <row r="2064" spans="1:28" x14ac:dyDescent="0.3">
      <c r="A2064" s="12" t="s">
        <v>3977</v>
      </c>
      <c r="B2064" s="12" t="s">
        <v>170</v>
      </c>
      <c r="C2064" s="12" t="s">
        <v>448</v>
      </c>
      <c r="D2064" s="12" t="s">
        <v>728</v>
      </c>
      <c r="E2064" s="12" t="s">
        <v>2978</v>
      </c>
      <c r="F2064" s="12" t="s">
        <v>1861</v>
      </c>
      <c r="G2064" s="12" t="s">
        <v>1861</v>
      </c>
      <c r="H2064" s="12" t="b">
        <v>1</v>
      </c>
      <c r="I2064" s="12" t="b">
        <v>0</v>
      </c>
      <c r="J2064" s="12" t="b">
        <v>0</v>
      </c>
      <c r="K2064" s="12" t="b">
        <v>0</v>
      </c>
      <c r="L2064" s="12">
        <v>398.18507032709613</v>
      </c>
      <c r="M2064" s="12">
        <v>300.032917</v>
      </c>
      <c r="N2064" s="12">
        <v>3000</v>
      </c>
      <c r="O2064" s="12">
        <v>400</v>
      </c>
      <c r="P2064" s="12">
        <v>0.52388618315229663</v>
      </c>
      <c r="Q2064" s="12">
        <v>0.91906853315359005</v>
      </c>
      <c r="R2064" s="12">
        <v>0.72605182178278049</v>
      </c>
      <c r="S2064" s="12">
        <v>0.78317937715853403</v>
      </c>
      <c r="T2064" s="12">
        <v>0.80256540447930091</v>
      </c>
      <c r="U2064" s="12">
        <v>0.84037595665846576</v>
      </c>
      <c r="V2064" s="12">
        <v>300.032917</v>
      </c>
      <c r="W2064" s="12">
        <v>11.128684899077459</v>
      </c>
      <c r="X2064" s="12">
        <v>30.205366984592061</v>
      </c>
      <c r="Y2064" s="12">
        <v>2600</v>
      </c>
      <c r="Z2064" s="12">
        <v>7.5</v>
      </c>
      <c r="AA2064" s="12" t="s">
        <v>1268</v>
      </c>
      <c r="AB2064" s="12"/>
    </row>
    <row r="2065" spans="1:28" x14ac:dyDescent="0.3">
      <c r="A2065" s="12" t="s">
        <v>3978</v>
      </c>
      <c r="B2065" s="12" t="s">
        <v>170</v>
      </c>
      <c r="C2065" s="12" t="s">
        <v>448</v>
      </c>
      <c r="D2065" s="12" t="s">
        <v>728</v>
      </c>
      <c r="E2065" s="12" t="s">
        <v>2978</v>
      </c>
      <c r="F2065" s="12" t="s">
        <v>1861</v>
      </c>
      <c r="G2065" s="12" t="s">
        <v>1861</v>
      </c>
      <c r="H2065" s="12" t="b">
        <v>1</v>
      </c>
      <c r="I2065" s="12" t="b">
        <v>0</v>
      </c>
      <c r="J2065" s="12" t="b">
        <v>0</v>
      </c>
      <c r="K2065" s="12" t="b">
        <v>0</v>
      </c>
      <c r="L2065" s="12">
        <v>412.10892515567701</v>
      </c>
      <c r="M2065" s="12">
        <v>300.032917</v>
      </c>
      <c r="N2065" s="12">
        <v>3000</v>
      </c>
      <c r="O2065" s="12">
        <v>400</v>
      </c>
      <c r="P2065" s="12">
        <v>0.56331590913070384</v>
      </c>
      <c r="Q2065" s="12">
        <v>0.88073829478634713</v>
      </c>
      <c r="R2065" s="12">
        <v>0.78508362162388112</v>
      </c>
      <c r="S2065" s="12">
        <v>0.68831253774422274</v>
      </c>
      <c r="T2065" s="12">
        <v>0.57466819556508941</v>
      </c>
      <c r="U2065" s="12">
        <v>0.79740759180049292</v>
      </c>
      <c r="V2065" s="12">
        <v>300.032917</v>
      </c>
      <c r="W2065" s="12">
        <v>10.430276571703359</v>
      </c>
      <c r="X2065" s="12">
        <v>45.634287462573539</v>
      </c>
      <c r="Y2065" s="12">
        <v>2600</v>
      </c>
      <c r="Z2065" s="12">
        <v>7.5</v>
      </c>
      <c r="AA2065" s="12" t="s">
        <v>1268</v>
      </c>
      <c r="AB2065" s="12"/>
    </row>
    <row r="2066" spans="1:28" x14ac:dyDescent="0.3">
      <c r="A2066" s="12" t="s">
        <v>3979</v>
      </c>
      <c r="B2066" s="12" t="s">
        <v>170</v>
      </c>
      <c r="C2066" s="12" t="s">
        <v>448</v>
      </c>
      <c r="D2066" s="12" t="s">
        <v>728</v>
      </c>
      <c r="E2066" s="12" t="s">
        <v>2978</v>
      </c>
      <c r="F2066" s="12" t="s">
        <v>1861</v>
      </c>
      <c r="G2066" s="12" t="s">
        <v>1861</v>
      </c>
      <c r="H2066" s="12" t="b">
        <v>1</v>
      </c>
      <c r="I2066" s="12" t="b">
        <v>0</v>
      </c>
      <c r="J2066" s="12" t="b">
        <v>1</v>
      </c>
      <c r="K2066" s="12" t="b">
        <v>0</v>
      </c>
      <c r="L2066" s="12">
        <v>574.73264511376965</v>
      </c>
      <c r="M2066" s="12">
        <v>300.032917</v>
      </c>
      <c r="N2066" s="12">
        <v>3000</v>
      </c>
      <c r="O2066" s="12">
        <v>400</v>
      </c>
      <c r="P2066" s="12">
        <v>0.52080470542183155</v>
      </c>
      <c r="Q2066" s="12">
        <v>0.7532286083481653</v>
      </c>
      <c r="R2066" s="12">
        <v>0.569248508220914</v>
      </c>
      <c r="S2066" s="12">
        <v>0.44123552060386301</v>
      </c>
      <c r="T2066" s="12">
        <v>0.65003874600679512</v>
      </c>
      <c r="U2066" s="12">
        <v>0.72369984060241355</v>
      </c>
      <c r="V2066" s="12">
        <v>300.032917</v>
      </c>
      <c r="W2066" s="12">
        <v>8.8817246220134489</v>
      </c>
      <c r="X2066" s="12">
        <v>82.980142812037485</v>
      </c>
      <c r="Y2066" s="12">
        <v>2600</v>
      </c>
      <c r="Z2066" s="12">
        <v>7.5</v>
      </c>
      <c r="AA2066" s="12" t="s">
        <v>1268</v>
      </c>
      <c r="AB2066" s="12"/>
    </row>
    <row r="2067" spans="1:28" x14ac:dyDescent="0.3">
      <c r="A2067" s="12" t="s">
        <v>3980</v>
      </c>
      <c r="B2067" s="12" t="s">
        <v>170</v>
      </c>
      <c r="C2067" s="12" t="s">
        <v>448</v>
      </c>
      <c r="D2067" s="12" t="s">
        <v>728</v>
      </c>
      <c r="E2067" s="12" t="s">
        <v>2978</v>
      </c>
      <c r="F2067" s="12" t="s">
        <v>832</v>
      </c>
      <c r="G2067" s="12" t="s">
        <v>832</v>
      </c>
      <c r="H2067" s="12" t="b">
        <v>0</v>
      </c>
      <c r="I2067" s="12" t="b">
        <v>0</v>
      </c>
      <c r="J2067" s="12" t="b">
        <v>0</v>
      </c>
      <c r="K2067" s="12" t="b">
        <v>0</v>
      </c>
      <c r="L2067" s="12">
        <v>538.64106045800781</v>
      </c>
      <c r="M2067" s="12">
        <v>300.032917</v>
      </c>
      <c r="N2067" s="12">
        <v>3000</v>
      </c>
      <c r="O2067" s="12">
        <v>400</v>
      </c>
      <c r="P2067" s="12">
        <v>0.76035207146368533</v>
      </c>
      <c r="Q2067" s="12">
        <v>0.68278521279171489</v>
      </c>
      <c r="R2067" s="12">
        <v>0.45076447118465618</v>
      </c>
      <c r="S2067" s="12">
        <v>0.94429037452828002</v>
      </c>
      <c r="T2067" s="12">
        <v>0.68739571620752848</v>
      </c>
      <c r="U2067" s="12">
        <v>0.40727205925182519</v>
      </c>
      <c r="V2067" s="12">
        <v>300.032917</v>
      </c>
      <c r="W2067" s="12"/>
      <c r="X2067" s="12"/>
      <c r="Y2067" s="12">
        <v>2600</v>
      </c>
      <c r="Z2067" s="12">
        <v>7.5</v>
      </c>
      <c r="AA2067" s="12"/>
      <c r="AB2067" s="12"/>
    </row>
    <row r="2068" spans="1:28" x14ac:dyDescent="0.3">
      <c r="A2068" s="12" t="s">
        <v>3981</v>
      </c>
      <c r="B2068" s="12" t="s">
        <v>170</v>
      </c>
      <c r="C2068" s="12" t="s">
        <v>448</v>
      </c>
      <c r="D2068" s="12" t="s">
        <v>728</v>
      </c>
      <c r="E2068" s="12" t="s">
        <v>2978</v>
      </c>
      <c r="F2068" s="12" t="s">
        <v>1862</v>
      </c>
      <c r="G2068" s="12" t="s">
        <v>1862</v>
      </c>
      <c r="H2068" s="12" t="b">
        <v>1</v>
      </c>
      <c r="I2068" s="12" t="b">
        <v>0</v>
      </c>
      <c r="J2068" s="12" t="b">
        <v>0</v>
      </c>
      <c r="K2068" s="12" t="b">
        <v>0</v>
      </c>
      <c r="L2068" s="12">
        <v>393.39180815852097</v>
      </c>
      <c r="M2068" s="12">
        <v>300.032917</v>
      </c>
      <c r="N2068" s="12">
        <v>3000</v>
      </c>
      <c r="O2068" s="12">
        <v>400</v>
      </c>
      <c r="P2068" s="12">
        <v>0.69386442556692418</v>
      </c>
      <c r="Q2068" s="12">
        <v>0.5120895591942336</v>
      </c>
      <c r="R2068" s="12">
        <v>0.89621928506752235</v>
      </c>
      <c r="S2068" s="12">
        <v>0.77548429823237386</v>
      </c>
      <c r="T2068" s="12">
        <v>0.48206020464418342</v>
      </c>
      <c r="U2068" s="12">
        <v>0.87329369833544657</v>
      </c>
      <c r="V2068" s="12">
        <v>300.032917</v>
      </c>
      <c r="W2068" s="12">
        <v>-18.424062034267571</v>
      </c>
      <c r="X2068" s="12">
        <v>-46.183360205992159</v>
      </c>
      <c r="Y2068" s="12">
        <v>2600</v>
      </c>
      <c r="Z2068" s="12">
        <v>7.5</v>
      </c>
      <c r="AA2068" s="12" t="s">
        <v>2513</v>
      </c>
      <c r="AB2068" s="12"/>
    </row>
    <row r="2069" spans="1:28" x14ac:dyDescent="0.3">
      <c r="A2069" s="12" t="s">
        <v>3982</v>
      </c>
      <c r="B2069" s="12" t="s">
        <v>170</v>
      </c>
      <c r="C2069" s="12" t="s">
        <v>448</v>
      </c>
      <c r="D2069" s="12" t="s">
        <v>728</v>
      </c>
      <c r="E2069" s="12" t="s">
        <v>2978</v>
      </c>
      <c r="F2069" s="12" t="s">
        <v>1863</v>
      </c>
      <c r="G2069" s="12" t="s">
        <v>832</v>
      </c>
      <c r="H2069" s="12" t="b">
        <v>0</v>
      </c>
      <c r="I2069" s="12" t="b">
        <v>0</v>
      </c>
      <c r="J2069" s="12" t="b">
        <v>1</v>
      </c>
      <c r="K2069" s="12" t="b">
        <v>0</v>
      </c>
      <c r="L2069" s="12">
        <v>526.0791871154097</v>
      </c>
      <c r="M2069" s="12">
        <v>300.032917</v>
      </c>
      <c r="N2069" s="12">
        <v>3000</v>
      </c>
      <c r="O2069" s="12">
        <v>400</v>
      </c>
      <c r="P2069" s="12">
        <v>0.64456120493343561</v>
      </c>
      <c r="Q2069" s="12">
        <v>0.62934773487612217</v>
      </c>
      <c r="R2069" s="12">
        <v>0.83815420357993975</v>
      </c>
      <c r="S2069" s="12">
        <v>0.88830651501414404</v>
      </c>
      <c r="T2069" s="12">
        <v>0.75135077271153261</v>
      </c>
      <c r="U2069" s="12">
        <v>0.89383999635793687</v>
      </c>
      <c r="V2069" s="12">
        <v>300.032917</v>
      </c>
      <c r="W2069" s="12">
        <v>7.7583206475682998</v>
      </c>
      <c r="X2069" s="12">
        <v>117.9054429021166</v>
      </c>
      <c r="Y2069" s="12">
        <v>2600</v>
      </c>
      <c r="Z2069" s="12">
        <v>7.5</v>
      </c>
      <c r="AA2069" s="12" t="s">
        <v>3442</v>
      </c>
      <c r="AB2069" s="12"/>
    </row>
    <row r="2070" spans="1:28" x14ac:dyDescent="0.3">
      <c r="A2070" s="12" t="s">
        <v>3983</v>
      </c>
      <c r="B2070" s="12" t="s">
        <v>170</v>
      </c>
      <c r="C2070" s="12" t="s">
        <v>448</v>
      </c>
      <c r="D2070" s="12" t="s">
        <v>728</v>
      </c>
      <c r="E2070" s="12" t="s">
        <v>2978</v>
      </c>
      <c r="F2070" s="12" t="s">
        <v>1862</v>
      </c>
      <c r="G2070" s="12" t="s">
        <v>1862</v>
      </c>
      <c r="H2070" s="12" t="b">
        <v>1</v>
      </c>
      <c r="I2070" s="12" t="b">
        <v>0</v>
      </c>
      <c r="J2070" s="12" t="b">
        <v>1</v>
      </c>
      <c r="K2070" s="12" t="b">
        <v>0</v>
      </c>
      <c r="L2070" s="12">
        <v>479.63862677562588</v>
      </c>
      <c r="M2070" s="12">
        <v>300.032917</v>
      </c>
      <c r="N2070" s="12">
        <v>3000</v>
      </c>
      <c r="O2070" s="12">
        <v>400</v>
      </c>
      <c r="P2070" s="12">
        <v>0.61843221783854441</v>
      </c>
      <c r="Q2070" s="12">
        <v>0.70783425549083234</v>
      </c>
      <c r="R2070" s="12">
        <v>0.63292834834302314</v>
      </c>
      <c r="S2070" s="12">
        <v>0.67404572985976663</v>
      </c>
      <c r="T2070" s="12">
        <v>0.83340524631197921</v>
      </c>
      <c r="U2070" s="12">
        <v>0.42767838522408802</v>
      </c>
      <c r="V2070" s="12">
        <v>300.032917</v>
      </c>
      <c r="W2070" s="12">
        <v>-19.887701886033639</v>
      </c>
      <c r="X2070" s="12">
        <v>-104.7736083829567</v>
      </c>
      <c r="Y2070" s="12">
        <v>2600</v>
      </c>
      <c r="Z2070" s="12">
        <v>7.5</v>
      </c>
      <c r="AA2070" s="12" t="s">
        <v>2513</v>
      </c>
      <c r="AB2070" s="12"/>
    </row>
    <row r="2071" spans="1:28" x14ac:dyDescent="0.3">
      <c r="A2071" s="12" t="s">
        <v>3984</v>
      </c>
      <c r="B2071" s="12" t="s">
        <v>170</v>
      </c>
      <c r="C2071" s="12" t="s">
        <v>448</v>
      </c>
      <c r="D2071" s="12" t="s">
        <v>728</v>
      </c>
      <c r="E2071" s="12" t="s">
        <v>2978</v>
      </c>
      <c r="F2071" s="12" t="s">
        <v>1862</v>
      </c>
      <c r="G2071" s="12" t="s">
        <v>1862</v>
      </c>
      <c r="H2071" s="12" t="b">
        <v>1</v>
      </c>
      <c r="I2071" s="12" t="b">
        <v>0</v>
      </c>
      <c r="J2071" s="12" t="b">
        <v>1</v>
      </c>
      <c r="K2071" s="12" t="b">
        <v>0</v>
      </c>
      <c r="L2071" s="12">
        <v>481.83361332595581</v>
      </c>
      <c r="M2071" s="12">
        <v>300.032917</v>
      </c>
      <c r="N2071" s="12">
        <v>3000</v>
      </c>
      <c r="O2071" s="12">
        <v>400</v>
      </c>
      <c r="P2071" s="12">
        <v>0.50023468124262538</v>
      </c>
      <c r="Q2071" s="12">
        <v>0.4505074774487236</v>
      </c>
      <c r="R2071" s="12">
        <v>0.59970937605262697</v>
      </c>
      <c r="S2071" s="12">
        <v>0.73730394473474392</v>
      </c>
      <c r="T2071" s="12">
        <v>0.88684308988193505</v>
      </c>
      <c r="U2071" s="12">
        <v>0.57625387850409648</v>
      </c>
      <c r="V2071" s="12">
        <v>300.032917</v>
      </c>
      <c r="W2071" s="12">
        <v>-6.1867003416737694</v>
      </c>
      <c r="X2071" s="12">
        <v>-61.820812332807861</v>
      </c>
      <c r="Y2071" s="12">
        <v>2600</v>
      </c>
      <c r="Z2071" s="12">
        <v>7.5</v>
      </c>
      <c r="AA2071" s="12" t="s">
        <v>2513</v>
      </c>
      <c r="AB2071" s="12"/>
    </row>
    <row r="2072" spans="1:28" x14ac:dyDescent="0.3">
      <c r="A2072" s="12" t="s">
        <v>3985</v>
      </c>
      <c r="B2072" s="12" t="s">
        <v>170</v>
      </c>
      <c r="C2072" s="12" t="s">
        <v>448</v>
      </c>
      <c r="D2072" s="12" t="s">
        <v>728</v>
      </c>
      <c r="E2072" s="12" t="s">
        <v>2978</v>
      </c>
      <c r="F2072" s="12" t="s">
        <v>1861</v>
      </c>
      <c r="G2072" s="12" t="s">
        <v>1861</v>
      </c>
      <c r="H2072" s="12" t="b">
        <v>1</v>
      </c>
      <c r="I2072" s="12" t="b">
        <v>0</v>
      </c>
      <c r="J2072" s="12" t="b">
        <v>0</v>
      </c>
      <c r="K2072" s="12" t="b">
        <v>0</v>
      </c>
      <c r="L2072" s="12">
        <v>427.8966608009917</v>
      </c>
      <c r="M2072" s="12">
        <v>300.032917</v>
      </c>
      <c r="N2072" s="12">
        <v>3000</v>
      </c>
      <c r="O2072" s="12">
        <v>400</v>
      </c>
      <c r="P2072" s="12">
        <v>0.82464377075489259</v>
      </c>
      <c r="Q2072" s="12">
        <v>0.93671336515885439</v>
      </c>
      <c r="R2072" s="12">
        <v>0.840002132955602</v>
      </c>
      <c r="S2072" s="12">
        <v>0.50160103717021809</v>
      </c>
      <c r="T2072" s="12">
        <v>0.7974644794851975</v>
      </c>
      <c r="U2072" s="12">
        <v>0.93593893062949296</v>
      </c>
      <c r="V2072" s="12">
        <v>300.032917</v>
      </c>
      <c r="W2072" s="12">
        <v>3.02195593447022</v>
      </c>
      <c r="X2072" s="12">
        <v>9.2406169185316855</v>
      </c>
      <c r="Y2072" s="12">
        <v>2600</v>
      </c>
      <c r="Z2072" s="12">
        <v>7.5</v>
      </c>
      <c r="AA2072" s="12" t="s">
        <v>1268</v>
      </c>
      <c r="AB2072" s="12"/>
    </row>
    <row r="2073" spans="1:28" x14ac:dyDescent="0.3">
      <c r="A2073" s="12" t="s">
        <v>3986</v>
      </c>
      <c r="B2073" s="12" t="s">
        <v>170</v>
      </c>
      <c r="C2073" s="12" t="s">
        <v>448</v>
      </c>
      <c r="D2073" s="12" t="s">
        <v>728</v>
      </c>
      <c r="E2073" s="12" t="s">
        <v>2978</v>
      </c>
      <c r="F2073" s="12" t="s">
        <v>1861</v>
      </c>
      <c r="G2073" s="12" t="s">
        <v>1861</v>
      </c>
      <c r="H2073" s="12" t="b">
        <v>1</v>
      </c>
      <c r="I2073" s="12" t="b">
        <v>0</v>
      </c>
      <c r="J2073" s="12" t="b">
        <v>1</v>
      </c>
      <c r="K2073" s="12" t="b">
        <v>0</v>
      </c>
      <c r="L2073" s="12">
        <v>528.12532835010757</v>
      </c>
      <c r="M2073" s="12">
        <v>300.032917</v>
      </c>
      <c r="N2073" s="12">
        <v>3000</v>
      </c>
      <c r="O2073" s="12">
        <v>400</v>
      </c>
      <c r="P2073" s="12">
        <v>0.53315341197357713</v>
      </c>
      <c r="Q2073" s="12">
        <v>0.71673177872866334</v>
      </c>
      <c r="R2073" s="12">
        <v>0.75316833131966321</v>
      </c>
      <c r="S2073" s="12">
        <v>0.55232851297499208</v>
      </c>
      <c r="T2073" s="12">
        <v>0.44127799296675752</v>
      </c>
      <c r="U2073" s="12">
        <v>0.92517725236218185</v>
      </c>
      <c r="V2073" s="12">
        <v>300.032917</v>
      </c>
      <c r="W2073" s="12">
        <v>10.711461087053859</v>
      </c>
      <c r="X2073" s="12">
        <v>132.92927816439311</v>
      </c>
      <c r="Y2073" s="12">
        <v>2600</v>
      </c>
      <c r="Z2073" s="12">
        <v>7.5</v>
      </c>
      <c r="AA2073" s="12" t="s">
        <v>1268</v>
      </c>
      <c r="AB2073" s="12"/>
    </row>
    <row r="2074" spans="1:28" x14ac:dyDescent="0.3">
      <c r="A2074" s="12" t="s">
        <v>3987</v>
      </c>
      <c r="B2074" s="12" t="s">
        <v>170</v>
      </c>
      <c r="C2074" s="12" t="s">
        <v>448</v>
      </c>
      <c r="D2074" s="12" t="s">
        <v>728</v>
      </c>
      <c r="E2074" s="12" t="s">
        <v>2978</v>
      </c>
      <c r="F2074" s="12" t="s">
        <v>832</v>
      </c>
      <c r="G2074" s="12" t="s">
        <v>832</v>
      </c>
      <c r="H2074" s="12" t="b">
        <v>0</v>
      </c>
      <c r="I2074" s="12" t="b">
        <v>0</v>
      </c>
      <c r="J2074" s="12" t="b">
        <v>0</v>
      </c>
      <c r="K2074" s="12" t="b">
        <v>0</v>
      </c>
      <c r="L2074" s="12">
        <v>549.55919489674284</v>
      </c>
      <c r="M2074" s="12">
        <v>300.032917</v>
      </c>
      <c r="N2074" s="12">
        <v>3000</v>
      </c>
      <c r="O2074" s="12">
        <v>400</v>
      </c>
      <c r="P2074" s="12">
        <v>0.67679498488863543</v>
      </c>
      <c r="Q2074" s="12">
        <v>0.55553821819268823</v>
      </c>
      <c r="R2074" s="12">
        <v>0.47908853596435907</v>
      </c>
      <c r="S2074" s="12">
        <v>0.79324438077899861</v>
      </c>
      <c r="T2074" s="12">
        <v>0.46906121960171693</v>
      </c>
      <c r="U2074" s="12">
        <v>0.48993468513572802</v>
      </c>
      <c r="V2074" s="12">
        <v>300.032917</v>
      </c>
      <c r="W2074" s="12"/>
      <c r="X2074" s="12"/>
      <c r="Y2074" s="12">
        <v>2600</v>
      </c>
      <c r="Z2074" s="12">
        <v>7.5</v>
      </c>
      <c r="AA2074" s="12"/>
      <c r="AB2074" s="12"/>
    </row>
    <row r="2075" spans="1:28" x14ac:dyDescent="0.3">
      <c r="A2075" s="12" t="s">
        <v>3988</v>
      </c>
      <c r="B2075" s="12" t="s">
        <v>170</v>
      </c>
      <c r="C2075" s="12" t="s">
        <v>448</v>
      </c>
      <c r="D2075" s="12" t="s">
        <v>728</v>
      </c>
      <c r="E2075" s="12" t="s">
        <v>2978</v>
      </c>
      <c r="F2075" s="12" t="s">
        <v>1861</v>
      </c>
      <c r="G2075" s="12" t="s">
        <v>1861</v>
      </c>
      <c r="H2075" s="12" t="b">
        <v>1</v>
      </c>
      <c r="I2075" s="12" t="b">
        <v>0</v>
      </c>
      <c r="J2075" s="12" t="b">
        <v>1</v>
      </c>
      <c r="K2075" s="12" t="b">
        <v>0</v>
      </c>
      <c r="L2075" s="12">
        <v>501.58385757203382</v>
      </c>
      <c r="M2075" s="12">
        <v>300.032917</v>
      </c>
      <c r="N2075" s="12">
        <v>3000</v>
      </c>
      <c r="O2075" s="12">
        <v>400</v>
      </c>
      <c r="P2075" s="12">
        <v>0.73379949105084497</v>
      </c>
      <c r="Q2075" s="12">
        <v>0.92875624759720599</v>
      </c>
      <c r="R2075" s="12">
        <v>0.88841160018005993</v>
      </c>
      <c r="S2075" s="12">
        <v>0.41202084301507991</v>
      </c>
      <c r="T2075" s="12">
        <v>0.81380402733241441</v>
      </c>
      <c r="U2075" s="12">
        <v>0.52701412394157487</v>
      </c>
      <c r="V2075" s="12">
        <v>300.032917</v>
      </c>
      <c r="W2075" s="12">
        <v>6.8716706691761704</v>
      </c>
      <c r="X2075" s="12">
        <v>27.39479899546296</v>
      </c>
      <c r="Y2075" s="12">
        <v>2600</v>
      </c>
      <c r="Z2075" s="12">
        <v>7.5</v>
      </c>
      <c r="AA2075" s="12" t="s">
        <v>1268</v>
      </c>
      <c r="AB2075" s="12"/>
    </row>
    <row r="2076" spans="1:28" x14ac:dyDescent="0.3">
      <c r="A2076" s="12" t="s">
        <v>3989</v>
      </c>
      <c r="B2076" s="12" t="s">
        <v>170</v>
      </c>
      <c r="C2076" s="12" t="s">
        <v>448</v>
      </c>
      <c r="D2076" s="12" t="s">
        <v>728</v>
      </c>
      <c r="E2076" s="12" t="s">
        <v>2978</v>
      </c>
      <c r="F2076" s="12" t="s">
        <v>832</v>
      </c>
      <c r="G2076" s="12" t="s">
        <v>832</v>
      </c>
      <c r="H2076" s="12" t="b">
        <v>0</v>
      </c>
      <c r="I2076" s="12" t="b">
        <v>0</v>
      </c>
      <c r="J2076" s="12" t="b">
        <v>0</v>
      </c>
      <c r="K2076" s="12" t="b">
        <v>0</v>
      </c>
      <c r="L2076" s="12">
        <v>594.88441375083153</v>
      </c>
      <c r="M2076" s="12">
        <v>300.032917</v>
      </c>
      <c r="N2076" s="12">
        <v>3000</v>
      </c>
      <c r="O2076" s="12">
        <v>400</v>
      </c>
      <c r="P2076" s="12">
        <v>0.57501458842904363</v>
      </c>
      <c r="Q2076" s="12">
        <v>0.80077768164127394</v>
      </c>
      <c r="R2076" s="12">
        <v>0.57959179480739631</v>
      </c>
      <c r="S2076" s="12">
        <v>0.8545070254865198</v>
      </c>
      <c r="T2076" s="12">
        <v>0.88393482554973946</v>
      </c>
      <c r="U2076" s="12">
        <v>0.43779243193753209</v>
      </c>
      <c r="V2076" s="12">
        <v>300.032917</v>
      </c>
      <c r="W2076" s="12"/>
      <c r="X2076" s="12"/>
      <c r="Y2076" s="12">
        <v>2600</v>
      </c>
      <c r="Z2076" s="12">
        <v>7.5</v>
      </c>
      <c r="AA2076" s="12"/>
      <c r="AB2076" s="12"/>
    </row>
    <row r="2077" spans="1:28" x14ac:dyDescent="0.3">
      <c r="A2077" s="12" t="s">
        <v>3990</v>
      </c>
      <c r="B2077" s="12" t="s">
        <v>170</v>
      </c>
      <c r="C2077" s="12" t="s">
        <v>448</v>
      </c>
      <c r="D2077" s="12" t="s">
        <v>728</v>
      </c>
      <c r="E2077" s="12" t="s">
        <v>2978</v>
      </c>
      <c r="F2077" s="12" t="s">
        <v>1862</v>
      </c>
      <c r="G2077" s="12" t="s">
        <v>1862</v>
      </c>
      <c r="H2077" s="12" t="b">
        <v>1</v>
      </c>
      <c r="I2077" s="12" t="b">
        <v>0</v>
      </c>
      <c r="J2077" s="12" t="b">
        <v>1</v>
      </c>
      <c r="K2077" s="12" t="b">
        <v>0</v>
      </c>
      <c r="L2077" s="12">
        <v>477.4454846923756</v>
      </c>
      <c r="M2077" s="12">
        <v>300.032917</v>
      </c>
      <c r="N2077" s="12">
        <v>3000</v>
      </c>
      <c r="O2077" s="12">
        <v>400</v>
      </c>
      <c r="P2077" s="12">
        <v>0.51225258880407365</v>
      </c>
      <c r="Q2077" s="12">
        <v>0.48472547221435142</v>
      </c>
      <c r="R2077" s="12">
        <v>0.79545626449188767</v>
      </c>
      <c r="S2077" s="12">
        <v>0.49653449640621461</v>
      </c>
      <c r="T2077" s="12">
        <v>0.64160827123074859</v>
      </c>
      <c r="U2077" s="12">
        <v>0.46915658835237689</v>
      </c>
      <c r="V2077" s="12">
        <v>300.032917</v>
      </c>
      <c r="W2077" s="12">
        <v>-6.4497454246879302</v>
      </c>
      <c r="X2077" s="12">
        <v>-42.947760549449633</v>
      </c>
      <c r="Y2077" s="12">
        <v>2600</v>
      </c>
      <c r="Z2077" s="12">
        <v>7.5</v>
      </c>
      <c r="AA2077" s="12" t="s">
        <v>2513</v>
      </c>
      <c r="AB2077" s="12"/>
    </row>
    <row r="2078" spans="1:28" x14ac:dyDescent="0.3">
      <c r="A2078" s="12" t="s">
        <v>3991</v>
      </c>
      <c r="B2078" s="12" t="s">
        <v>170</v>
      </c>
      <c r="C2078" s="12" t="s">
        <v>448</v>
      </c>
      <c r="D2078" s="12" t="s">
        <v>728</v>
      </c>
      <c r="E2078" s="12" t="s">
        <v>2978</v>
      </c>
      <c r="F2078" s="12" t="s">
        <v>1862</v>
      </c>
      <c r="G2078" s="12" t="s">
        <v>1862</v>
      </c>
      <c r="H2078" s="12" t="b">
        <v>1</v>
      </c>
      <c r="I2078" s="12" t="b">
        <v>0</v>
      </c>
      <c r="J2078" s="12" t="b">
        <v>0</v>
      </c>
      <c r="K2078" s="12" t="b">
        <v>0</v>
      </c>
      <c r="L2078" s="12">
        <v>402.75811047216803</v>
      </c>
      <c r="M2078" s="12">
        <v>300.032917</v>
      </c>
      <c r="N2078" s="12">
        <v>3000</v>
      </c>
      <c r="O2078" s="12">
        <v>400</v>
      </c>
      <c r="P2078" s="12">
        <v>0.54860337149408944</v>
      </c>
      <c r="Q2078" s="12">
        <v>0.66589388260280313</v>
      </c>
      <c r="R2078" s="12">
        <v>0.42566958379029479</v>
      </c>
      <c r="S2078" s="12">
        <v>0.67875948334927272</v>
      </c>
      <c r="T2078" s="12">
        <v>0.78287918673273482</v>
      </c>
      <c r="U2078" s="12">
        <v>0.43348972102199518</v>
      </c>
      <c r="V2078" s="12">
        <v>300.032917</v>
      </c>
      <c r="W2078" s="12">
        <v>-37.412737476530793</v>
      </c>
      <c r="X2078" s="12">
        <v>-68.090874840610795</v>
      </c>
      <c r="Y2078" s="12">
        <v>2600</v>
      </c>
      <c r="Z2078" s="12">
        <v>7.5</v>
      </c>
      <c r="AA2078" s="12" t="s">
        <v>2513</v>
      </c>
      <c r="AB2078" s="12"/>
    </row>
    <row r="2079" spans="1:28" x14ac:dyDescent="0.3">
      <c r="A2079" s="12" t="s">
        <v>3992</v>
      </c>
      <c r="B2079" s="12" t="s">
        <v>170</v>
      </c>
      <c r="C2079" s="12" t="s">
        <v>448</v>
      </c>
      <c r="D2079" s="12" t="s">
        <v>728</v>
      </c>
      <c r="E2079" s="12" t="s">
        <v>2978</v>
      </c>
      <c r="F2079" s="12" t="s">
        <v>1862</v>
      </c>
      <c r="G2079" s="12" t="s">
        <v>1862</v>
      </c>
      <c r="H2079" s="12" t="b">
        <v>1</v>
      </c>
      <c r="I2079" s="12" t="b">
        <v>0</v>
      </c>
      <c r="J2079" s="12" t="b">
        <v>0</v>
      </c>
      <c r="K2079" s="12" t="b">
        <v>0</v>
      </c>
      <c r="L2079" s="12">
        <v>395.13315270932378</v>
      </c>
      <c r="M2079" s="12">
        <v>300.032917</v>
      </c>
      <c r="N2079" s="12">
        <v>3000</v>
      </c>
      <c r="O2079" s="12">
        <v>400</v>
      </c>
      <c r="P2079" s="12">
        <v>0.5396409652587254</v>
      </c>
      <c r="Q2079" s="12">
        <v>0.42392633336775981</v>
      </c>
      <c r="R2079" s="12">
        <v>0.80379814568936692</v>
      </c>
      <c r="S2079" s="12">
        <v>0.4154989956145369</v>
      </c>
      <c r="T2079" s="12">
        <v>0.42297721299939278</v>
      </c>
      <c r="U2079" s="12">
        <v>0.68946607741634192</v>
      </c>
      <c r="V2079" s="12">
        <v>300.032917</v>
      </c>
      <c r="W2079" s="12">
        <v>-3.58672415573613</v>
      </c>
      <c r="X2079" s="12">
        <v>-6.4983300133307216</v>
      </c>
      <c r="Y2079" s="12">
        <v>2600</v>
      </c>
      <c r="Z2079" s="12">
        <v>7.5</v>
      </c>
      <c r="AA2079" s="12" t="s">
        <v>2513</v>
      </c>
      <c r="AB2079" s="12"/>
    </row>
    <row r="2080" spans="1:28" x14ac:dyDescent="0.3">
      <c r="A2080" s="12" t="s">
        <v>3993</v>
      </c>
      <c r="B2080" s="12" t="s">
        <v>170</v>
      </c>
      <c r="C2080" s="12" t="s">
        <v>456</v>
      </c>
      <c r="D2080" s="12" t="s">
        <v>731</v>
      </c>
      <c r="E2080" s="12" t="s">
        <v>2978</v>
      </c>
      <c r="F2080" s="12" t="s">
        <v>832</v>
      </c>
      <c r="G2080" s="12" t="s">
        <v>832</v>
      </c>
      <c r="H2080" s="12" t="b">
        <v>0</v>
      </c>
      <c r="I2080" s="12" t="b">
        <v>0</v>
      </c>
      <c r="J2080" s="12" t="b">
        <v>0</v>
      </c>
      <c r="K2080" s="12" t="b">
        <v>0</v>
      </c>
      <c r="L2080" s="12">
        <v>623.15</v>
      </c>
      <c r="M2080" s="12">
        <v>300.032917</v>
      </c>
      <c r="N2080" s="12">
        <v>3000</v>
      </c>
      <c r="O2080" s="12">
        <v>277.73249598963008</v>
      </c>
      <c r="P2080" s="12">
        <v>0.83342711013974169</v>
      </c>
      <c r="Q2080" s="12">
        <v>0.42454590668087211</v>
      </c>
      <c r="R2080" s="12">
        <v>0.43640622289791808</v>
      </c>
      <c r="S2080" s="12">
        <v>0.5527604375851557</v>
      </c>
      <c r="T2080" s="12">
        <v>0.6480582858946049</v>
      </c>
      <c r="U2080" s="12">
        <v>0.71271309812907202</v>
      </c>
      <c r="V2080" s="12">
        <v>300.032917</v>
      </c>
      <c r="W2080" s="12"/>
      <c r="X2080" s="12"/>
      <c r="Y2080" s="12">
        <v>2722.26750401037</v>
      </c>
      <c r="Z2080" s="12">
        <v>10.80176084296601</v>
      </c>
      <c r="AA2080" s="12"/>
      <c r="AB2080" s="12"/>
    </row>
    <row r="2081" spans="1:28" x14ac:dyDescent="0.3">
      <c r="A2081" s="12" t="s">
        <v>3994</v>
      </c>
      <c r="B2081" s="12" t="s">
        <v>170</v>
      </c>
      <c r="C2081" s="12" t="s">
        <v>456</v>
      </c>
      <c r="D2081" s="12" t="s">
        <v>731</v>
      </c>
      <c r="E2081" s="12" t="s">
        <v>2978</v>
      </c>
      <c r="F2081" s="12" t="s">
        <v>832</v>
      </c>
      <c r="G2081" s="12" t="s">
        <v>832</v>
      </c>
      <c r="H2081" s="12" t="b">
        <v>0</v>
      </c>
      <c r="I2081" s="12" t="b">
        <v>0</v>
      </c>
      <c r="J2081" s="12" t="b">
        <v>0</v>
      </c>
      <c r="K2081" s="12" t="b">
        <v>0</v>
      </c>
      <c r="L2081" s="12">
        <v>623.15</v>
      </c>
      <c r="M2081" s="12">
        <v>300.032917</v>
      </c>
      <c r="N2081" s="12">
        <v>3000</v>
      </c>
      <c r="O2081" s="12">
        <v>658.48729043467495</v>
      </c>
      <c r="P2081" s="12">
        <v>0.78081462524155221</v>
      </c>
      <c r="Q2081" s="12">
        <v>0.78199201726205647</v>
      </c>
      <c r="R2081" s="12">
        <v>0.77681271863370771</v>
      </c>
      <c r="S2081" s="12">
        <v>0.71503585188008012</v>
      </c>
      <c r="T2081" s="12">
        <v>0.71530831033423148</v>
      </c>
      <c r="U2081" s="12">
        <v>0.58922238646056135</v>
      </c>
      <c r="V2081" s="12">
        <v>300.032917</v>
      </c>
      <c r="W2081" s="12"/>
      <c r="X2081" s="12"/>
      <c r="Y2081" s="12">
        <v>2341.5127095653252</v>
      </c>
      <c r="Z2081" s="12">
        <v>4.555896588405929</v>
      </c>
      <c r="AA2081" s="12"/>
      <c r="AB2081" s="12"/>
    </row>
    <row r="2082" spans="1:28" x14ac:dyDescent="0.3">
      <c r="A2082" s="12" t="s">
        <v>3995</v>
      </c>
      <c r="B2082" s="12" t="s">
        <v>170</v>
      </c>
      <c r="C2082" s="12" t="s">
        <v>456</v>
      </c>
      <c r="D2082" s="12" t="s">
        <v>731</v>
      </c>
      <c r="E2082" s="12" t="s">
        <v>2978</v>
      </c>
      <c r="F2082" s="12" t="s">
        <v>832</v>
      </c>
      <c r="G2082" s="12" t="s">
        <v>832</v>
      </c>
      <c r="H2082" s="12" t="b">
        <v>0</v>
      </c>
      <c r="I2082" s="12" t="b">
        <v>0</v>
      </c>
      <c r="J2082" s="12" t="b">
        <v>0</v>
      </c>
      <c r="K2082" s="12" t="b">
        <v>0</v>
      </c>
      <c r="L2082" s="12">
        <v>623.15</v>
      </c>
      <c r="M2082" s="12">
        <v>300.032917</v>
      </c>
      <c r="N2082" s="12">
        <v>3000</v>
      </c>
      <c r="O2082" s="12">
        <v>1689.3700736307101</v>
      </c>
      <c r="P2082" s="12">
        <v>0.79931333513456071</v>
      </c>
      <c r="Q2082" s="12">
        <v>0.67656818345044989</v>
      </c>
      <c r="R2082" s="12">
        <v>0.60089182855188705</v>
      </c>
      <c r="S2082" s="12">
        <v>0.91805949737351755</v>
      </c>
      <c r="T2082" s="12">
        <v>0.52099322795042124</v>
      </c>
      <c r="U2082" s="12">
        <v>0.79601892808560182</v>
      </c>
      <c r="V2082" s="12">
        <v>300.032917</v>
      </c>
      <c r="W2082" s="12"/>
      <c r="X2082" s="12"/>
      <c r="Y2082" s="12">
        <v>1310.6299263692899</v>
      </c>
      <c r="Z2082" s="12">
        <v>1.775809839908286</v>
      </c>
      <c r="AA2082" s="12"/>
      <c r="AB2082" s="12"/>
    </row>
    <row r="2083" spans="1:28" x14ac:dyDescent="0.3">
      <c r="A2083" s="12" t="s">
        <v>3996</v>
      </c>
      <c r="B2083" s="12" t="s">
        <v>170</v>
      </c>
      <c r="C2083" s="12" t="s">
        <v>456</v>
      </c>
      <c r="D2083" s="12" t="s">
        <v>731</v>
      </c>
      <c r="E2083" s="12" t="s">
        <v>2978</v>
      </c>
      <c r="F2083" s="12" t="s">
        <v>1862</v>
      </c>
      <c r="G2083" s="12" t="s">
        <v>1862</v>
      </c>
      <c r="H2083" s="12" t="b">
        <v>1</v>
      </c>
      <c r="I2083" s="12" t="b">
        <v>0</v>
      </c>
      <c r="J2083" s="12" t="b">
        <v>1</v>
      </c>
      <c r="K2083" s="12" t="b">
        <v>0</v>
      </c>
      <c r="L2083" s="12">
        <v>623.15</v>
      </c>
      <c r="M2083" s="12">
        <v>300.032917</v>
      </c>
      <c r="N2083" s="12">
        <v>3000</v>
      </c>
      <c r="O2083" s="12">
        <v>1603.6227697890411</v>
      </c>
      <c r="P2083" s="12">
        <v>0.72451586307410309</v>
      </c>
      <c r="Q2083" s="12">
        <v>0.92103059076853155</v>
      </c>
      <c r="R2083" s="12">
        <v>0.40584018008781031</v>
      </c>
      <c r="S2083" s="12">
        <v>0.49880908796835949</v>
      </c>
      <c r="T2083" s="12">
        <v>0.78442172664008103</v>
      </c>
      <c r="U2083" s="12">
        <v>0.53778705150712758</v>
      </c>
      <c r="V2083" s="12">
        <v>300.032917</v>
      </c>
      <c r="W2083" s="12">
        <v>-1.0761847572471599</v>
      </c>
      <c r="X2083" s="12">
        <v>-8.6615848916573555</v>
      </c>
      <c r="Y2083" s="12">
        <v>1396.3772302109589</v>
      </c>
      <c r="Z2083" s="12">
        <v>1.8707641575796869</v>
      </c>
      <c r="AA2083" s="12" t="s">
        <v>2513</v>
      </c>
      <c r="AB2083" s="12"/>
    </row>
    <row r="2084" spans="1:28" x14ac:dyDescent="0.3">
      <c r="A2084" s="12" t="s">
        <v>3997</v>
      </c>
      <c r="B2084" s="12" t="s">
        <v>170</v>
      </c>
      <c r="C2084" s="12" t="s">
        <v>456</v>
      </c>
      <c r="D2084" s="12" t="s">
        <v>731</v>
      </c>
      <c r="E2084" s="12" t="s">
        <v>2978</v>
      </c>
      <c r="F2084" s="12" t="s">
        <v>832</v>
      </c>
      <c r="G2084" s="12" t="s">
        <v>832</v>
      </c>
      <c r="H2084" s="12" t="b">
        <v>0</v>
      </c>
      <c r="I2084" s="12" t="b">
        <v>0</v>
      </c>
      <c r="J2084" s="12" t="b">
        <v>0</v>
      </c>
      <c r="K2084" s="12" t="b">
        <v>0</v>
      </c>
      <c r="L2084" s="12">
        <v>623.15</v>
      </c>
      <c r="M2084" s="12">
        <v>300.032917</v>
      </c>
      <c r="N2084" s="12">
        <v>3000</v>
      </c>
      <c r="O2084" s="12">
        <v>1644.8681932368729</v>
      </c>
      <c r="P2084" s="12">
        <v>0.77958950991192122</v>
      </c>
      <c r="Q2084" s="12">
        <v>0.92284407475165042</v>
      </c>
      <c r="R2084" s="12">
        <v>0.82112816684726675</v>
      </c>
      <c r="S2084" s="12">
        <v>0.75987146874644185</v>
      </c>
      <c r="T2084" s="12">
        <v>0.88379450908909329</v>
      </c>
      <c r="U2084" s="12">
        <v>0.51477516278954882</v>
      </c>
      <c r="V2084" s="12">
        <v>300.032917</v>
      </c>
      <c r="W2084" s="12"/>
      <c r="X2084" s="12"/>
      <c r="Y2084" s="12">
        <v>1355.1318067631271</v>
      </c>
      <c r="Z2084" s="12">
        <v>1.8238543442781361</v>
      </c>
      <c r="AA2084" s="12"/>
      <c r="AB2084" s="12"/>
    </row>
    <row r="2085" spans="1:28" x14ac:dyDescent="0.3">
      <c r="A2085" s="12" t="s">
        <v>3998</v>
      </c>
      <c r="B2085" s="12" t="s">
        <v>170</v>
      </c>
      <c r="C2085" s="12" t="s">
        <v>448</v>
      </c>
      <c r="D2085" s="12" t="s">
        <v>728</v>
      </c>
      <c r="E2085" s="12" t="s">
        <v>2978</v>
      </c>
      <c r="F2085" s="12" t="s">
        <v>832</v>
      </c>
      <c r="G2085" s="12" t="s">
        <v>832</v>
      </c>
      <c r="H2085" s="12" t="b">
        <v>0</v>
      </c>
      <c r="I2085" s="12" t="b">
        <v>0</v>
      </c>
      <c r="J2085" s="12" t="b">
        <v>0</v>
      </c>
      <c r="K2085" s="12" t="b">
        <v>0</v>
      </c>
      <c r="L2085" s="12">
        <v>617.23369632799665</v>
      </c>
      <c r="M2085" s="12">
        <v>300.032917</v>
      </c>
      <c r="N2085" s="12">
        <v>3000</v>
      </c>
      <c r="O2085" s="12">
        <v>400</v>
      </c>
      <c r="P2085" s="12">
        <v>0.79523267736071612</v>
      </c>
      <c r="Q2085" s="12">
        <v>0.89860404203474475</v>
      </c>
      <c r="R2085" s="12">
        <v>0.5541591917063452</v>
      </c>
      <c r="S2085" s="12">
        <v>0.80304840898551189</v>
      </c>
      <c r="T2085" s="12">
        <v>0.62032736430694735</v>
      </c>
      <c r="U2085" s="12">
        <v>0.4231226004293428</v>
      </c>
      <c r="V2085" s="12">
        <v>300.032917</v>
      </c>
      <c r="W2085" s="12"/>
      <c r="X2085" s="12"/>
      <c r="Y2085" s="12">
        <v>2600</v>
      </c>
      <c r="Z2085" s="12">
        <v>7.5</v>
      </c>
      <c r="AA2085" s="12"/>
      <c r="AB2085" s="12"/>
    </row>
    <row r="2086" spans="1:28" x14ac:dyDescent="0.3">
      <c r="A2086" s="12" t="s">
        <v>3999</v>
      </c>
      <c r="B2086" s="12" t="s">
        <v>170</v>
      </c>
      <c r="C2086" s="12" t="s">
        <v>456</v>
      </c>
      <c r="D2086" s="12" t="s">
        <v>731</v>
      </c>
      <c r="E2086" s="12" t="s">
        <v>2978</v>
      </c>
      <c r="F2086" s="12" t="s">
        <v>832</v>
      </c>
      <c r="G2086" s="12" t="s">
        <v>832</v>
      </c>
      <c r="H2086" s="12" t="b">
        <v>0</v>
      </c>
      <c r="I2086" s="12" t="b">
        <v>0</v>
      </c>
      <c r="J2086" s="12" t="b">
        <v>0</v>
      </c>
      <c r="K2086" s="12" t="b">
        <v>0</v>
      </c>
      <c r="L2086" s="12">
        <v>623.15</v>
      </c>
      <c r="M2086" s="12">
        <v>300.032917</v>
      </c>
      <c r="N2086" s="12">
        <v>3000</v>
      </c>
      <c r="O2086" s="12">
        <v>311.9501833670746</v>
      </c>
      <c r="P2086" s="12">
        <v>0.60189273011043265</v>
      </c>
      <c r="Q2086" s="12">
        <v>0.59480794421836858</v>
      </c>
      <c r="R2086" s="12">
        <v>0.59422149467741892</v>
      </c>
      <c r="S2086" s="12">
        <v>0.68511226551065618</v>
      </c>
      <c r="T2086" s="12">
        <v>0.92206065292950756</v>
      </c>
      <c r="U2086" s="12">
        <v>0.59433769008205828</v>
      </c>
      <c r="V2086" s="12">
        <v>300.032917</v>
      </c>
      <c r="W2086" s="12"/>
      <c r="X2086" s="12"/>
      <c r="Y2086" s="12">
        <v>2688.0498166329248</v>
      </c>
      <c r="Z2086" s="12">
        <v>9.6169201364753576</v>
      </c>
      <c r="AA2086" s="12"/>
      <c r="AB2086" s="12"/>
    </row>
    <row r="2087" spans="1:28" x14ac:dyDescent="0.3">
      <c r="A2087" s="12" t="s">
        <v>4000</v>
      </c>
      <c r="B2087" s="12" t="s">
        <v>170</v>
      </c>
      <c r="C2087" s="12" t="s">
        <v>456</v>
      </c>
      <c r="D2087" s="12" t="s">
        <v>731</v>
      </c>
      <c r="E2087" s="12" t="s">
        <v>2978</v>
      </c>
      <c r="F2087" s="12" t="s">
        <v>1861</v>
      </c>
      <c r="G2087" s="12" t="s">
        <v>1861</v>
      </c>
      <c r="H2087" s="12" t="b">
        <v>1</v>
      </c>
      <c r="I2087" s="12" t="b">
        <v>0</v>
      </c>
      <c r="J2087" s="12" t="b">
        <v>0</v>
      </c>
      <c r="K2087" s="12" t="b">
        <v>0</v>
      </c>
      <c r="L2087" s="12">
        <v>623.15</v>
      </c>
      <c r="M2087" s="12">
        <v>300.032917</v>
      </c>
      <c r="N2087" s="12">
        <v>3000</v>
      </c>
      <c r="O2087" s="12">
        <v>717.49765607468464</v>
      </c>
      <c r="P2087" s="12">
        <v>0.70744907017138159</v>
      </c>
      <c r="Q2087" s="12">
        <v>0.77980996494376187</v>
      </c>
      <c r="R2087" s="12">
        <v>0.7470849694726065</v>
      </c>
      <c r="S2087" s="12">
        <v>0.49023540496573931</v>
      </c>
      <c r="T2087" s="12">
        <v>0.67555665075683402</v>
      </c>
      <c r="U2087" s="12">
        <v>0.93438647633354421</v>
      </c>
      <c r="V2087" s="12">
        <v>300.032917</v>
      </c>
      <c r="W2087" s="12">
        <v>10.339781139671651</v>
      </c>
      <c r="X2087" s="12">
        <v>115.7001312324382</v>
      </c>
      <c r="Y2087" s="12">
        <v>2282.502343925315</v>
      </c>
      <c r="Z2087" s="12">
        <v>4.1811983281067731</v>
      </c>
      <c r="AA2087" s="12" t="s">
        <v>1268</v>
      </c>
      <c r="AB2087" s="12"/>
    </row>
    <row r="2088" spans="1:28" x14ac:dyDescent="0.3">
      <c r="A2088" s="12" t="s">
        <v>4001</v>
      </c>
      <c r="B2088" s="12" t="s">
        <v>170</v>
      </c>
      <c r="C2088" s="12" t="s">
        <v>456</v>
      </c>
      <c r="D2088" s="12" t="s">
        <v>731</v>
      </c>
      <c r="E2088" s="12" t="s">
        <v>2978</v>
      </c>
      <c r="F2088" s="12" t="s">
        <v>1861</v>
      </c>
      <c r="G2088" s="12" t="s">
        <v>1861</v>
      </c>
      <c r="H2088" s="12" t="b">
        <v>1</v>
      </c>
      <c r="I2088" s="12" t="b">
        <v>0</v>
      </c>
      <c r="J2088" s="12" t="b">
        <v>1</v>
      </c>
      <c r="K2088" s="12" t="b">
        <v>0</v>
      </c>
      <c r="L2088" s="12">
        <v>623.15</v>
      </c>
      <c r="M2088" s="12">
        <v>300.032917</v>
      </c>
      <c r="N2088" s="12">
        <v>3000</v>
      </c>
      <c r="O2088" s="12">
        <v>1985.5685830750249</v>
      </c>
      <c r="P2088" s="12">
        <v>0.66748528230148152</v>
      </c>
      <c r="Q2088" s="12">
        <v>0.4743474509657058</v>
      </c>
      <c r="R2088" s="12">
        <v>0.8552952880093545</v>
      </c>
      <c r="S2088" s="12">
        <v>0.6317868821974737</v>
      </c>
      <c r="T2088" s="12">
        <v>0.69114748517834501</v>
      </c>
      <c r="U2088" s="12">
        <v>0.71678167823107175</v>
      </c>
      <c r="V2088" s="12">
        <v>300.032917</v>
      </c>
      <c r="W2088" s="12">
        <v>1.2999549847521199</v>
      </c>
      <c r="X2088" s="12">
        <v>16.32677203002255</v>
      </c>
      <c r="Y2088" s="12">
        <v>1014.431416924975</v>
      </c>
      <c r="Z2088" s="12">
        <v>1.5109022300070529</v>
      </c>
      <c r="AA2088" s="12" t="s">
        <v>1268</v>
      </c>
      <c r="AB2088" s="12"/>
    </row>
    <row r="2089" spans="1:28" x14ac:dyDescent="0.3">
      <c r="A2089" s="12" t="s">
        <v>4002</v>
      </c>
      <c r="B2089" s="12" t="s">
        <v>170</v>
      </c>
      <c r="C2089" s="12" t="s">
        <v>456</v>
      </c>
      <c r="D2089" s="12" t="s">
        <v>731</v>
      </c>
      <c r="E2089" s="12" t="s">
        <v>2978</v>
      </c>
      <c r="F2089" s="12" t="s">
        <v>1861</v>
      </c>
      <c r="G2089" s="12" t="s">
        <v>1861</v>
      </c>
      <c r="H2089" s="12" t="b">
        <v>1</v>
      </c>
      <c r="I2089" s="12" t="b">
        <v>0</v>
      </c>
      <c r="J2089" s="12" t="b">
        <v>1</v>
      </c>
      <c r="K2089" s="12" t="b">
        <v>0</v>
      </c>
      <c r="L2089" s="12">
        <v>623.15</v>
      </c>
      <c r="M2089" s="12">
        <v>300.032917</v>
      </c>
      <c r="N2089" s="12">
        <v>3000</v>
      </c>
      <c r="O2089" s="12">
        <v>1294.9319706275751</v>
      </c>
      <c r="P2089" s="12">
        <v>0.59833794342131263</v>
      </c>
      <c r="Q2089" s="12">
        <v>0.49310534590552502</v>
      </c>
      <c r="R2089" s="12">
        <v>0.78159157757238462</v>
      </c>
      <c r="S2089" s="12">
        <v>0.64464497729915982</v>
      </c>
      <c r="T2089" s="12">
        <v>0.92804299202214036</v>
      </c>
      <c r="U2089" s="12">
        <v>0.75440121965992335</v>
      </c>
      <c r="V2089" s="12">
        <v>300.032917</v>
      </c>
      <c r="W2089" s="12">
        <v>2.8617134898181802</v>
      </c>
      <c r="X2089" s="12">
        <v>38.944405275306408</v>
      </c>
      <c r="Y2089" s="12">
        <v>1705.0680293724249</v>
      </c>
      <c r="Z2089" s="12">
        <v>2.3167240195221082</v>
      </c>
      <c r="AA2089" s="12" t="s">
        <v>1268</v>
      </c>
      <c r="AB2089" s="12"/>
    </row>
    <row r="2090" spans="1:28" x14ac:dyDescent="0.3">
      <c r="A2090" s="12" t="s">
        <v>4003</v>
      </c>
      <c r="B2090" s="12" t="s">
        <v>170</v>
      </c>
      <c r="C2090" s="12" t="s">
        <v>456</v>
      </c>
      <c r="D2090" s="12" t="s">
        <v>731</v>
      </c>
      <c r="E2090" s="12" t="s">
        <v>2978</v>
      </c>
      <c r="F2090" s="12" t="s">
        <v>1861</v>
      </c>
      <c r="G2090" s="12" t="s">
        <v>1861</v>
      </c>
      <c r="H2090" s="12" t="b">
        <v>1</v>
      </c>
      <c r="I2090" s="12" t="b">
        <v>0</v>
      </c>
      <c r="J2090" s="12" t="b">
        <v>1</v>
      </c>
      <c r="K2090" s="12" t="b">
        <v>0</v>
      </c>
      <c r="L2090" s="12">
        <v>623.15</v>
      </c>
      <c r="M2090" s="12">
        <v>300.032917</v>
      </c>
      <c r="N2090" s="12">
        <v>3000</v>
      </c>
      <c r="O2090" s="12">
        <v>1389.4417941046049</v>
      </c>
      <c r="P2090" s="12">
        <v>0.69590442031010069</v>
      </c>
      <c r="Q2090" s="12">
        <v>0.80666499762478749</v>
      </c>
      <c r="R2090" s="12">
        <v>0.73449451447183212</v>
      </c>
      <c r="S2090" s="12">
        <v>0.67578412742734839</v>
      </c>
      <c r="T2090" s="12">
        <v>0.6535175221413434</v>
      </c>
      <c r="U2090" s="12">
        <v>0.82719552384926864</v>
      </c>
      <c r="V2090" s="12">
        <v>300.032917</v>
      </c>
      <c r="W2090" s="12">
        <v>5.87407414706278</v>
      </c>
      <c r="X2090" s="12">
        <v>85.581488722565837</v>
      </c>
      <c r="Y2090" s="12">
        <v>1610.5582058953951</v>
      </c>
      <c r="Z2090" s="12">
        <v>2.1591404639827201</v>
      </c>
      <c r="AA2090" s="12" t="s">
        <v>1268</v>
      </c>
      <c r="AB2090" s="12"/>
    </row>
    <row r="2091" spans="1:28" x14ac:dyDescent="0.3">
      <c r="A2091" s="12" t="s">
        <v>4004</v>
      </c>
      <c r="B2091" s="12" t="s">
        <v>170</v>
      </c>
      <c r="C2091" s="12" t="s">
        <v>456</v>
      </c>
      <c r="D2091" s="12" t="s">
        <v>731</v>
      </c>
      <c r="E2091" s="12" t="s">
        <v>2978</v>
      </c>
      <c r="F2091" s="12" t="s">
        <v>1861</v>
      </c>
      <c r="G2091" s="12" t="s">
        <v>1861</v>
      </c>
      <c r="H2091" s="12" t="b">
        <v>1</v>
      </c>
      <c r="I2091" s="12" t="b">
        <v>0</v>
      </c>
      <c r="J2091" s="12" t="b">
        <v>1</v>
      </c>
      <c r="K2091" s="12" t="b">
        <v>0</v>
      </c>
      <c r="L2091" s="12">
        <v>623.15</v>
      </c>
      <c r="M2091" s="12">
        <v>300.032917</v>
      </c>
      <c r="N2091" s="12">
        <v>3000</v>
      </c>
      <c r="O2091" s="12">
        <v>634.73010691149636</v>
      </c>
      <c r="P2091" s="12">
        <v>0.53808781431731612</v>
      </c>
      <c r="Q2091" s="12">
        <v>0.9280605296438692</v>
      </c>
      <c r="R2091" s="12">
        <v>0.90521580841960758</v>
      </c>
      <c r="S2091" s="12">
        <v>0.79810584334489687</v>
      </c>
      <c r="T2091" s="12">
        <v>0.82988667747032951</v>
      </c>
      <c r="U2091" s="12">
        <v>0.76127502381275614</v>
      </c>
      <c r="V2091" s="12">
        <v>300.032917</v>
      </c>
      <c r="W2091" s="12">
        <v>12.007803611056159</v>
      </c>
      <c r="X2091" s="12">
        <v>207.62513873313091</v>
      </c>
      <c r="Y2091" s="12">
        <v>2365.269893088504</v>
      </c>
      <c r="Z2091" s="12">
        <v>4.7264183112371336</v>
      </c>
      <c r="AA2091" s="12" t="s">
        <v>1268</v>
      </c>
      <c r="AB2091" s="12"/>
    </row>
    <row r="2092" spans="1:28" x14ac:dyDescent="0.3">
      <c r="A2092" s="12" t="s">
        <v>4005</v>
      </c>
      <c r="B2092" s="12" t="s">
        <v>170</v>
      </c>
      <c r="C2092" s="12" t="s">
        <v>456</v>
      </c>
      <c r="D2092" s="12" t="s">
        <v>731</v>
      </c>
      <c r="E2092" s="12" t="s">
        <v>2978</v>
      </c>
      <c r="F2092" s="12" t="s">
        <v>832</v>
      </c>
      <c r="G2092" s="12" t="s">
        <v>832</v>
      </c>
      <c r="H2092" s="12" t="b">
        <v>0</v>
      </c>
      <c r="I2092" s="12" t="b">
        <v>0</v>
      </c>
      <c r="J2092" s="12" t="b">
        <v>0</v>
      </c>
      <c r="K2092" s="12" t="b">
        <v>0</v>
      </c>
      <c r="L2092" s="12">
        <v>623.15</v>
      </c>
      <c r="M2092" s="12">
        <v>300.032917</v>
      </c>
      <c r="N2092" s="12">
        <v>3000</v>
      </c>
      <c r="O2092" s="12">
        <v>1735.891137527924</v>
      </c>
      <c r="P2092" s="12">
        <v>0.80294672081252572</v>
      </c>
      <c r="Q2092" s="12">
        <v>0.59825277687119793</v>
      </c>
      <c r="R2092" s="12">
        <v>0.45559019158581088</v>
      </c>
      <c r="S2092" s="12">
        <v>0.83435851955869267</v>
      </c>
      <c r="T2092" s="12">
        <v>0.85669082645477446</v>
      </c>
      <c r="U2092" s="12">
        <v>0.67684633566362162</v>
      </c>
      <c r="V2092" s="12">
        <v>300.032917</v>
      </c>
      <c r="W2092" s="12"/>
      <c r="X2092" s="12"/>
      <c r="Y2092" s="12">
        <v>1264.108862472076</v>
      </c>
      <c r="Z2092" s="12">
        <v>1.7282189736116109</v>
      </c>
      <c r="AA2092" s="12"/>
      <c r="AB2092" s="12"/>
    </row>
    <row r="2093" spans="1:28" x14ac:dyDescent="0.3">
      <c r="A2093" s="12" t="s">
        <v>4006</v>
      </c>
      <c r="B2093" s="12" t="s">
        <v>170</v>
      </c>
      <c r="C2093" s="12" t="s">
        <v>456</v>
      </c>
      <c r="D2093" s="12" t="s">
        <v>731</v>
      </c>
      <c r="E2093" s="12" t="s">
        <v>2978</v>
      </c>
      <c r="F2093" s="12" t="s">
        <v>832</v>
      </c>
      <c r="G2093" s="12" t="s">
        <v>832</v>
      </c>
      <c r="H2093" s="12" t="b">
        <v>0</v>
      </c>
      <c r="I2093" s="12" t="b">
        <v>0</v>
      </c>
      <c r="J2093" s="12" t="b">
        <v>0</v>
      </c>
      <c r="K2093" s="12" t="b">
        <v>0</v>
      </c>
      <c r="L2093" s="12">
        <v>623.15</v>
      </c>
      <c r="M2093" s="12">
        <v>300.032917</v>
      </c>
      <c r="N2093" s="12">
        <v>3000</v>
      </c>
      <c r="O2093" s="12">
        <v>1138.3181276292539</v>
      </c>
      <c r="P2093" s="12">
        <v>0.64561818976637475</v>
      </c>
      <c r="Q2093" s="12">
        <v>0.84111710976583431</v>
      </c>
      <c r="R2093" s="12">
        <v>0.58140044325399542</v>
      </c>
      <c r="S2093" s="12">
        <v>0.78573329707931472</v>
      </c>
      <c r="T2093" s="12">
        <v>0.49376539623043431</v>
      </c>
      <c r="U2093" s="12">
        <v>0.6815823851800844</v>
      </c>
      <c r="V2093" s="12">
        <v>300.032917</v>
      </c>
      <c r="W2093" s="12"/>
      <c r="X2093" s="12"/>
      <c r="Y2093" s="12">
        <v>1861.6818723707461</v>
      </c>
      <c r="Z2093" s="12">
        <v>2.6354671222253341</v>
      </c>
      <c r="AA2093" s="12"/>
      <c r="AB2093" s="12"/>
    </row>
    <row r="2094" spans="1:28" x14ac:dyDescent="0.3">
      <c r="A2094" s="12" t="s">
        <v>4007</v>
      </c>
      <c r="B2094" s="12" t="s">
        <v>170</v>
      </c>
      <c r="C2094" s="12" t="s">
        <v>456</v>
      </c>
      <c r="D2094" s="12" t="s">
        <v>731</v>
      </c>
      <c r="E2094" s="12" t="s">
        <v>2978</v>
      </c>
      <c r="F2094" s="12" t="s">
        <v>1862</v>
      </c>
      <c r="G2094" s="12" t="s">
        <v>1862</v>
      </c>
      <c r="H2094" s="12" t="b">
        <v>1</v>
      </c>
      <c r="I2094" s="12" t="b">
        <v>0</v>
      </c>
      <c r="J2094" s="12" t="b">
        <v>1</v>
      </c>
      <c r="K2094" s="12" t="b">
        <v>0</v>
      </c>
      <c r="L2094" s="12">
        <v>623.15</v>
      </c>
      <c r="M2094" s="12">
        <v>300.032917</v>
      </c>
      <c r="N2094" s="12">
        <v>3000</v>
      </c>
      <c r="O2094" s="12">
        <v>437.28537169327842</v>
      </c>
      <c r="P2094" s="12">
        <v>0.72988515941546839</v>
      </c>
      <c r="Q2094" s="12">
        <v>0.59244341854991445</v>
      </c>
      <c r="R2094" s="12">
        <v>0.66925115858988293</v>
      </c>
      <c r="S2094" s="12">
        <v>0.51929417605899419</v>
      </c>
      <c r="T2094" s="12">
        <v>0.67437565563686153</v>
      </c>
      <c r="U2094" s="12">
        <v>0.64112197903151558</v>
      </c>
      <c r="V2094" s="12">
        <v>300.032917</v>
      </c>
      <c r="W2094" s="12">
        <v>-15.64826240641829</v>
      </c>
      <c r="X2094" s="12">
        <v>-99.235371104530799</v>
      </c>
      <c r="Y2094" s="12">
        <v>2562.7146283067209</v>
      </c>
      <c r="Z2094" s="12">
        <v>6.8605084784410897</v>
      </c>
      <c r="AA2094" s="12" t="s">
        <v>2513</v>
      </c>
      <c r="AB2094" s="12"/>
    </row>
    <row r="2095" spans="1:28" x14ac:dyDescent="0.3">
      <c r="A2095" s="12" t="s">
        <v>4008</v>
      </c>
      <c r="B2095" s="12" t="s">
        <v>170</v>
      </c>
      <c r="C2095" s="12" t="s">
        <v>456</v>
      </c>
      <c r="D2095" s="12" t="s">
        <v>731</v>
      </c>
      <c r="E2095" s="12" t="s">
        <v>2978</v>
      </c>
      <c r="F2095" s="12" t="s">
        <v>832</v>
      </c>
      <c r="G2095" s="12" t="s">
        <v>832</v>
      </c>
      <c r="H2095" s="12" t="b">
        <v>0</v>
      </c>
      <c r="I2095" s="12" t="b">
        <v>0</v>
      </c>
      <c r="J2095" s="12" t="b">
        <v>0</v>
      </c>
      <c r="K2095" s="12" t="b">
        <v>0</v>
      </c>
      <c r="L2095" s="12">
        <v>623.15</v>
      </c>
      <c r="M2095" s="12">
        <v>300.032917</v>
      </c>
      <c r="N2095" s="12">
        <v>3000</v>
      </c>
      <c r="O2095" s="12">
        <v>1660.614434685504</v>
      </c>
      <c r="P2095" s="12">
        <v>0.82422042469470569</v>
      </c>
      <c r="Q2095" s="12">
        <v>0.91493719552951802</v>
      </c>
      <c r="R2095" s="12">
        <v>0.49421260037604042</v>
      </c>
      <c r="S2095" s="12">
        <v>0.54806878139483595</v>
      </c>
      <c r="T2095" s="12">
        <v>0.40640701896140857</v>
      </c>
      <c r="U2095" s="12">
        <v>0.90533338135778663</v>
      </c>
      <c r="V2095" s="12">
        <v>300.032917</v>
      </c>
      <c r="W2095" s="12"/>
      <c r="X2095" s="12"/>
      <c r="Y2095" s="12">
        <v>1339.385565314496</v>
      </c>
      <c r="Z2095" s="12">
        <v>1.8065602329707291</v>
      </c>
      <c r="AA2095" s="12"/>
      <c r="AB2095" s="12"/>
    </row>
    <row r="2096" spans="1:28" x14ac:dyDescent="0.3">
      <c r="A2096" s="12" t="s">
        <v>4009</v>
      </c>
      <c r="B2096" s="12" t="s">
        <v>170</v>
      </c>
      <c r="C2096" s="12" t="s">
        <v>456</v>
      </c>
      <c r="D2096" s="12" t="s">
        <v>731</v>
      </c>
      <c r="E2096" s="12" t="s">
        <v>2978</v>
      </c>
      <c r="F2096" s="12" t="s">
        <v>832</v>
      </c>
      <c r="G2096" s="12" t="s">
        <v>832</v>
      </c>
      <c r="H2096" s="12" t="b">
        <v>0</v>
      </c>
      <c r="I2096" s="12" t="b">
        <v>0</v>
      </c>
      <c r="J2096" s="12" t="b">
        <v>0</v>
      </c>
      <c r="K2096" s="12" t="b">
        <v>0</v>
      </c>
      <c r="L2096" s="12">
        <v>623.15</v>
      </c>
      <c r="M2096" s="12">
        <v>300.032917</v>
      </c>
      <c r="N2096" s="12">
        <v>3000</v>
      </c>
      <c r="O2096" s="12">
        <v>1705.63498112856</v>
      </c>
      <c r="P2096" s="12">
        <v>0.75407331106703301</v>
      </c>
      <c r="Q2096" s="12">
        <v>0.82471355960843495</v>
      </c>
      <c r="R2096" s="12">
        <v>0.57254929968083923</v>
      </c>
      <c r="S2096" s="12">
        <v>0.84348581848019133</v>
      </c>
      <c r="T2096" s="12">
        <v>0.40094185550849959</v>
      </c>
      <c r="U2096" s="12">
        <v>0.6638963361030692</v>
      </c>
      <c r="V2096" s="12">
        <v>300.032917</v>
      </c>
      <c r="W2096" s="12"/>
      <c r="X2096" s="12"/>
      <c r="Y2096" s="12">
        <v>1294.36501887144</v>
      </c>
      <c r="Z2096" s="12">
        <v>1.75887574609604</v>
      </c>
      <c r="AA2096" s="12"/>
      <c r="AB2096" s="12"/>
    </row>
    <row r="2097" spans="1:28" x14ac:dyDescent="0.3">
      <c r="A2097" s="12" t="s">
        <v>4010</v>
      </c>
      <c r="B2097" s="12" t="s">
        <v>170</v>
      </c>
      <c r="C2097" s="12" t="s">
        <v>456</v>
      </c>
      <c r="D2097" s="12" t="s">
        <v>731</v>
      </c>
      <c r="E2097" s="12" t="s">
        <v>2978</v>
      </c>
      <c r="F2097" s="12" t="s">
        <v>1862</v>
      </c>
      <c r="G2097" s="12" t="s">
        <v>1862</v>
      </c>
      <c r="H2097" s="12" t="b">
        <v>1</v>
      </c>
      <c r="I2097" s="12" t="b">
        <v>0</v>
      </c>
      <c r="J2097" s="12" t="b">
        <v>1</v>
      </c>
      <c r="K2097" s="12" t="b">
        <v>0</v>
      </c>
      <c r="L2097" s="12">
        <v>623.15</v>
      </c>
      <c r="M2097" s="12">
        <v>300.032917</v>
      </c>
      <c r="N2097" s="12">
        <v>3000</v>
      </c>
      <c r="O2097" s="12">
        <v>1870.145025266477</v>
      </c>
      <c r="P2097" s="12">
        <v>0.59082193380124393</v>
      </c>
      <c r="Q2097" s="12">
        <v>0.7722423689384923</v>
      </c>
      <c r="R2097" s="12">
        <v>0.57709704244608728</v>
      </c>
      <c r="S2097" s="12">
        <v>0.42602730013044759</v>
      </c>
      <c r="T2097" s="12">
        <v>0.70036517379228569</v>
      </c>
      <c r="U2097" s="12">
        <v>0.4454416846726108</v>
      </c>
      <c r="V2097" s="12">
        <v>300.032917</v>
      </c>
      <c r="W2097" s="12">
        <v>-0.53668918973809998</v>
      </c>
      <c r="X2097" s="12">
        <v>-3.7892831169717458</v>
      </c>
      <c r="Y2097" s="12">
        <v>1129.854974733523</v>
      </c>
      <c r="Z2097" s="12">
        <v>1.6041536669449099</v>
      </c>
      <c r="AA2097" s="12" t="s">
        <v>2513</v>
      </c>
      <c r="AB2097" s="12"/>
    </row>
    <row r="2098" spans="1:28" x14ac:dyDescent="0.3">
      <c r="A2098" s="12" t="s">
        <v>4011</v>
      </c>
      <c r="B2098" s="12" t="s">
        <v>170</v>
      </c>
      <c r="C2098" s="12" t="s">
        <v>456</v>
      </c>
      <c r="D2098" s="12" t="s">
        <v>731</v>
      </c>
      <c r="E2098" s="12" t="s">
        <v>2978</v>
      </c>
      <c r="F2098" s="12" t="s">
        <v>832</v>
      </c>
      <c r="G2098" s="12" t="s">
        <v>832</v>
      </c>
      <c r="H2098" s="12" t="b">
        <v>0</v>
      </c>
      <c r="I2098" s="12" t="b">
        <v>0</v>
      </c>
      <c r="J2098" s="12" t="b">
        <v>0</v>
      </c>
      <c r="K2098" s="12" t="b">
        <v>0</v>
      </c>
      <c r="L2098" s="12">
        <v>623.15</v>
      </c>
      <c r="M2098" s="12">
        <v>300.032917</v>
      </c>
      <c r="N2098" s="12">
        <v>3000</v>
      </c>
      <c r="O2098" s="12">
        <v>1465.4850472286871</v>
      </c>
      <c r="P2098" s="12">
        <v>0.61331140159843112</v>
      </c>
      <c r="Q2098" s="12">
        <v>0.54812764776047584</v>
      </c>
      <c r="R2098" s="12">
        <v>0.90899017679011518</v>
      </c>
      <c r="S2098" s="12">
        <v>0.83933103772234408</v>
      </c>
      <c r="T2098" s="12">
        <v>0.77081599606674711</v>
      </c>
      <c r="U2098" s="12">
        <v>0.40487014317576497</v>
      </c>
      <c r="V2098" s="12">
        <v>300.032917</v>
      </c>
      <c r="W2098" s="12"/>
      <c r="X2098" s="12"/>
      <c r="Y2098" s="12">
        <v>1534.5149527713129</v>
      </c>
      <c r="Z2098" s="12">
        <v>2.0471037938416119</v>
      </c>
      <c r="AA2098" s="12"/>
      <c r="AB2098" s="12"/>
    </row>
    <row r="2099" spans="1:28" x14ac:dyDescent="0.3">
      <c r="A2099" s="12" t="s">
        <v>4012</v>
      </c>
      <c r="B2099" s="12" t="s">
        <v>170</v>
      </c>
      <c r="C2099" s="12" t="s">
        <v>456</v>
      </c>
      <c r="D2099" s="12" t="s">
        <v>731</v>
      </c>
      <c r="E2099" s="12" t="s">
        <v>2978</v>
      </c>
      <c r="F2099" s="12" t="s">
        <v>832</v>
      </c>
      <c r="G2099" s="12" t="s">
        <v>832</v>
      </c>
      <c r="H2099" s="12" t="b">
        <v>0</v>
      </c>
      <c r="I2099" s="12" t="b">
        <v>0</v>
      </c>
      <c r="J2099" s="12" t="b">
        <v>0</v>
      </c>
      <c r="K2099" s="12" t="b">
        <v>0</v>
      </c>
      <c r="L2099" s="12">
        <v>623.15</v>
      </c>
      <c r="M2099" s="12">
        <v>300.032917</v>
      </c>
      <c r="N2099" s="12">
        <v>3000</v>
      </c>
      <c r="O2099" s="12">
        <v>1977.7845400767901</v>
      </c>
      <c r="P2099" s="12">
        <v>0.54181172467028194</v>
      </c>
      <c r="Q2099" s="12">
        <v>0.50596515401516651</v>
      </c>
      <c r="R2099" s="12">
        <v>0.90154689000813437</v>
      </c>
      <c r="S2099" s="12">
        <v>0.87005639781605459</v>
      </c>
      <c r="T2099" s="12">
        <v>0.89767574339745126</v>
      </c>
      <c r="U2099" s="12">
        <v>0.69559195243212701</v>
      </c>
      <c r="V2099" s="12">
        <v>300.032917</v>
      </c>
      <c r="W2099" s="12"/>
      <c r="X2099" s="12"/>
      <c r="Y2099" s="12">
        <v>1022.21545992321</v>
      </c>
      <c r="Z2099" s="12">
        <v>1.516848746266124</v>
      </c>
      <c r="AA2099" s="12"/>
      <c r="AB2099" s="12"/>
    </row>
    <row r="2100" spans="1:28" x14ac:dyDescent="0.3">
      <c r="A2100" s="12" t="s">
        <v>4013</v>
      </c>
      <c r="B2100" s="12" t="s">
        <v>170</v>
      </c>
      <c r="C2100" s="12" t="s">
        <v>456</v>
      </c>
      <c r="D2100" s="12" t="s">
        <v>731</v>
      </c>
      <c r="E2100" s="12" t="s">
        <v>2978</v>
      </c>
      <c r="F2100" s="12" t="s">
        <v>832</v>
      </c>
      <c r="G2100" s="12" t="s">
        <v>832</v>
      </c>
      <c r="H2100" s="12" t="b">
        <v>0</v>
      </c>
      <c r="I2100" s="12" t="b">
        <v>0</v>
      </c>
      <c r="J2100" s="12" t="b">
        <v>0</v>
      </c>
      <c r="K2100" s="12" t="b">
        <v>0</v>
      </c>
      <c r="L2100" s="12">
        <v>623.15</v>
      </c>
      <c r="M2100" s="12">
        <v>300.032917</v>
      </c>
      <c r="N2100" s="12">
        <v>3000</v>
      </c>
      <c r="O2100" s="12">
        <v>1838.875486340434</v>
      </c>
      <c r="P2100" s="12">
        <v>0.67616765454052241</v>
      </c>
      <c r="Q2100" s="12">
        <v>0.67206479130488672</v>
      </c>
      <c r="R2100" s="12">
        <v>0.75586202318325524</v>
      </c>
      <c r="S2100" s="12">
        <v>0.85782292073603972</v>
      </c>
      <c r="T2100" s="12">
        <v>0.87824253095754989</v>
      </c>
      <c r="U2100" s="12">
        <v>0.53633776051470294</v>
      </c>
      <c r="V2100" s="12">
        <v>300.032917</v>
      </c>
      <c r="W2100" s="12"/>
      <c r="X2100" s="12"/>
      <c r="Y2100" s="12">
        <v>1161.124513659566</v>
      </c>
      <c r="Z2100" s="12">
        <v>1.631431830096518</v>
      </c>
      <c r="AA2100" s="12"/>
      <c r="AB2100" s="12"/>
    </row>
    <row r="2101" spans="1:28" x14ac:dyDescent="0.3">
      <c r="A2101" s="12" t="s">
        <v>4014</v>
      </c>
      <c r="B2101" s="12" t="s">
        <v>170</v>
      </c>
      <c r="C2101" s="12" t="s">
        <v>456</v>
      </c>
      <c r="D2101" s="12" t="s">
        <v>731</v>
      </c>
      <c r="E2101" s="12" t="s">
        <v>2978</v>
      </c>
      <c r="F2101" s="12" t="s">
        <v>1861</v>
      </c>
      <c r="G2101" s="12" t="s">
        <v>1861</v>
      </c>
      <c r="H2101" s="12" t="b">
        <v>1</v>
      </c>
      <c r="I2101" s="12" t="b">
        <v>0</v>
      </c>
      <c r="J2101" s="12" t="b">
        <v>1</v>
      </c>
      <c r="K2101" s="12" t="b">
        <v>0</v>
      </c>
      <c r="L2101" s="12">
        <v>623.15</v>
      </c>
      <c r="M2101" s="12">
        <v>300.032917</v>
      </c>
      <c r="N2101" s="12">
        <v>3000</v>
      </c>
      <c r="O2101" s="12">
        <v>613.73547788105714</v>
      </c>
      <c r="P2101" s="12">
        <v>0.70625141138347003</v>
      </c>
      <c r="Q2101" s="12">
        <v>0.61059288289916558</v>
      </c>
      <c r="R2101" s="12">
        <v>0.92306968902394415</v>
      </c>
      <c r="S2101" s="12">
        <v>0.51662897943900277</v>
      </c>
      <c r="T2101" s="12">
        <v>0.82579410031092282</v>
      </c>
      <c r="U2101" s="12">
        <v>0.72128226784294469</v>
      </c>
      <c r="V2101" s="12">
        <v>300.032917</v>
      </c>
      <c r="W2101" s="12">
        <v>4.87895767118368</v>
      </c>
      <c r="X2101" s="12">
        <v>45.132567414744273</v>
      </c>
      <c r="Y2101" s="12">
        <v>2386.2645221189432</v>
      </c>
      <c r="Z2101" s="12">
        <v>4.8880993654751768</v>
      </c>
      <c r="AA2101" s="12" t="s">
        <v>1268</v>
      </c>
      <c r="AB2101" s="12"/>
    </row>
    <row r="2102" spans="1:28" x14ac:dyDescent="0.3">
      <c r="A2102" s="12" t="s">
        <v>4015</v>
      </c>
      <c r="B2102" s="12" t="s">
        <v>170</v>
      </c>
      <c r="C2102" s="12" t="s">
        <v>456</v>
      </c>
      <c r="D2102" s="12" t="s">
        <v>731</v>
      </c>
      <c r="E2102" s="12" t="s">
        <v>2978</v>
      </c>
      <c r="F2102" s="12" t="s">
        <v>832</v>
      </c>
      <c r="G2102" s="12" t="s">
        <v>832</v>
      </c>
      <c r="H2102" s="12" t="b">
        <v>0</v>
      </c>
      <c r="I2102" s="12" t="b">
        <v>0</v>
      </c>
      <c r="J2102" s="12" t="b">
        <v>0</v>
      </c>
      <c r="K2102" s="12" t="b">
        <v>0</v>
      </c>
      <c r="L2102" s="12">
        <v>623.15</v>
      </c>
      <c r="M2102" s="12">
        <v>300.032917</v>
      </c>
      <c r="N2102" s="12">
        <v>3000</v>
      </c>
      <c r="O2102" s="12">
        <v>393.84924973180711</v>
      </c>
      <c r="P2102" s="12">
        <v>0.6531644423108921</v>
      </c>
      <c r="Q2102" s="12">
        <v>0.52287424528323134</v>
      </c>
      <c r="R2102" s="12">
        <v>0.86670467349744751</v>
      </c>
      <c r="S2102" s="12">
        <v>0.88704181671497806</v>
      </c>
      <c r="T2102" s="12">
        <v>0.62280227075166095</v>
      </c>
      <c r="U2102" s="12">
        <v>0.45804996859175628</v>
      </c>
      <c r="V2102" s="12">
        <v>300.032917</v>
      </c>
      <c r="W2102" s="12"/>
      <c r="X2102" s="12"/>
      <c r="Y2102" s="12">
        <v>2606.150750268193</v>
      </c>
      <c r="Z2102" s="12">
        <v>7.6171276244473223</v>
      </c>
      <c r="AA2102" s="12"/>
      <c r="AB2102" s="12"/>
    </row>
    <row r="2103" spans="1:28" x14ac:dyDescent="0.3">
      <c r="A2103" s="12" t="s">
        <v>4016</v>
      </c>
      <c r="B2103" s="12" t="s">
        <v>170</v>
      </c>
      <c r="C2103" s="12" t="s">
        <v>456</v>
      </c>
      <c r="D2103" s="12" t="s">
        <v>731</v>
      </c>
      <c r="E2103" s="12" t="s">
        <v>2978</v>
      </c>
      <c r="F2103" s="12" t="s">
        <v>832</v>
      </c>
      <c r="G2103" s="12" t="s">
        <v>832</v>
      </c>
      <c r="H2103" s="12" t="b">
        <v>0</v>
      </c>
      <c r="I2103" s="12" t="b">
        <v>0</v>
      </c>
      <c r="J2103" s="12" t="b">
        <v>0</v>
      </c>
      <c r="K2103" s="12" t="b">
        <v>0</v>
      </c>
      <c r="L2103" s="12">
        <v>623.15</v>
      </c>
      <c r="M2103" s="12">
        <v>300.032917</v>
      </c>
      <c r="N2103" s="12">
        <v>3000</v>
      </c>
      <c r="O2103" s="12">
        <v>784.40588109479859</v>
      </c>
      <c r="P2103" s="12">
        <v>0.79526251811667048</v>
      </c>
      <c r="Q2103" s="12">
        <v>0.74856574519146668</v>
      </c>
      <c r="R2103" s="12">
        <v>0.70085300018193886</v>
      </c>
      <c r="S2103" s="12">
        <v>0.93853048180622878</v>
      </c>
      <c r="T2103" s="12">
        <v>0.83823853375848578</v>
      </c>
      <c r="U2103" s="12">
        <v>0.86070363655247606</v>
      </c>
      <c r="V2103" s="12">
        <v>300.032917</v>
      </c>
      <c r="W2103" s="12"/>
      <c r="X2103" s="12"/>
      <c r="Y2103" s="12">
        <v>2215.594118905201</v>
      </c>
      <c r="Z2103" s="12">
        <v>3.8245506214370639</v>
      </c>
      <c r="AA2103" s="12"/>
      <c r="AB2103" s="12"/>
    </row>
    <row r="2104" spans="1:28" x14ac:dyDescent="0.3">
      <c r="A2104" s="12" t="s">
        <v>4017</v>
      </c>
      <c r="B2104" s="12" t="s">
        <v>170</v>
      </c>
      <c r="C2104" s="12" t="s">
        <v>456</v>
      </c>
      <c r="D2104" s="12" t="s">
        <v>731</v>
      </c>
      <c r="E2104" s="12" t="s">
        <v>2978</v>
      </c>
      <c r="F2104" s="12" t="s">
        <v>1861</v>
      </c>
      <c r="G2104" s="12" t="s">
        <v>1861</v>
      </c>
      <c r="H2104" s="12" t="b">
        <v>1</v>
      </c>
      <c r="I2104" s="12" t="b">
        <v>0</v>
      </c>
      <c r="J2104" s="12" t="b">
        <v>1</v>
      </c>
      <c r="K2104" s="12" t="b">
        <v>0</v>
      </c>
      <c r="L2104" s="12">
        <v>623.15</v>
      </c>
      <c r="M2104" s="12">
        <v>300.032917</v>
      </c>
      <c r="N2104" s="12">
        <v>3000</v>
      </c>
      <c r="O2104" s="12">
        <v>857.4331502762775</v>
      </c>
      <c r="P2104" s="12">
        <v>0.66530636198378601</v>
      </c>
      <c r="Q2104" s="12">
        <v>0.71550186860297282</v>
      </c>
      <c r="R2104" s="12">
        <v>0.89505828550812794</v>
      </c>
      <c r="S2104" s="12">
        <v>0.77378867915104554</v>
      </c>
      <c r="T2104" s="12">
        <v>0.86821100660066086</v>
      </c>
      <c r="U2104" s="12">
        <v>0.80749543582732519</v>
      </c>
      <c r="V2104" s="12">
        <v>300.032917</v>
      </c>
      <c r="W2104" s="12">
        <v>7.5551690572477899</v>
      </c>
      <c r="X2104" s="12">
        <v>124.4675281346185</v>
      </c>
      <c r="Y2104" s="12">
        <v>2142.566849723722</v>
      </c>
      <c r="Z2104" s="12">
        <v>3.4988150376893592</v>
      </c>
      <c r="AA2104" s="12" t="s">
        <v>1268</v>
      </c>
      <c r="AB2104" s="12"/>
    </row>
    <row r="2105" spans="1:28" x14ac:dyDescent="0.3">
      <c r="A2105" s="12" t="s">
        <v>4018</v>
      </c>
      <c r="B2105" s="12" t="s">
        <v>170</v>
      </c>
      <c r="C2105" s="12" t="s">
        <v>456</v>
      </c>
      <c r="D2105" s="12" t="s">
        <v>731</v>
      </c>
      <c r="E2105" s="12" t="s">
        <v>2978</v>
      </c>
      <c r="F2105" s="12" t="s">
        <v>1861</v>
      </c>
      <c r="G2105" s="12" t="s">
        <v>1861</v>
      </c>
      <c r="H2105" s="12" t="b">
        <v>1</v>
      </c>
      <c r="I2105" s="12" t="b">
        <v>0</v>
      </c>
      <c r="J2105" s="12" t="b">
        <v>1</v>
      </c>
      <c r="K2105" s="12" t="b">
        <v>0</v>
      </c>
      <c r="L2105" s="12">
        <v>623.15</v>
      </c>
      <c r="M2105" s="12">
        <v>300.032917</v>
      </c>
      <c r="N2105" s="12">
        <v>3000</v>
      </c>
      <c r="O2105" s="12">
        <v>534.62023011747669</v>
      </c>
      <c r="P2105" s="12">
        <v>0.54945094533079752</v>
      </c>
      <c r="Q2105" s="12">
        <v>0.54245158070760058</v>
      </c>
      <c r="R2105" s="12">
        <v>0.41636922812006683</v>
      </c>
      <c r="S2105" s="12">
        <v>0.4292915223539957</v>
      </c>
      <c r="T2105" s="12">
        <v>0.44553483069805588</v>
      </c>
      <c r="U2105" s="12">
        <v>0.87601334763846572</v>
      </c>
      <c r="V2105" s="12">
        <v>300.032917</v>
      </c>
      <c r="W2105" s="12">
        <v>6.3263354754171397</v>
      </c>
      <c r="X2105" s="12">
        <v>65.844502998676347</v>
      </c>
      <c r="Y2105" s="12">
        <v>2465.3797698825242</v>
      </c>
      <c r="Z2105" s="12">
        <v>5.6114599317365608</v>
      </c>
      <c r="AA2105" s="12" t="s">
        <v>1268</v>
      </c>
      <c r="AB2105" s="12"/>
    </row>
    <row r="2106" spans="1:28" x14ac:dyDescent="0.3">
      <c r="A2106" s="12" t="s">
        <v>4019</v>
      </c>
      <c r="B2106" s="12" t="s">
        <v>170</v>
      </c>
      <c r="C2106" s="12" t="s">
        <v>456</v>
      </c>
      <c r="D2106" s="12" t="s">
        <v>731</v>
      </c>
      <c r="E2106" s="12" t="s">
        <v>2978</v>
      </c>
      <c r="F2106" s="12" t="s">
        <v>832</v>
      </c>
      <c r="G2106" s="12" t="s">
        <v>832</v>
      </c>
      <c r="H2106" s="12" t="b">
        <v>0</v>
      </c>
      <c r="I2106" s="12" t="b">
        <v>0</v>
      </c>
      <c r="J2106" s="12" t="b">
        <v>0</v>
      </c>
      <c r="K2106" s="12" t="b">
        <v>0</v>
      </c>
      <c r="L2106" s="12">
        <v>623.15</v>
      </c>
      <c r="M2106" s="12">
        <v>300.032917</v>
      </c>
      <c r="N2106" s="12">
        <v>3000</v>
      </c>
      <c r="O2106" s="12">
        <v>1148.958789217814</v>
      </c>
      <c r="P2106" s="12">
        <v>0.76000065222236701</v>
      </c>
      <c r="Q2106" s="12">
        <v>0.79897013162774755</v>
      </c>
      <c r="R2106" s="12">
        <v>0.85194978518309705</v>
      </c>
      <c r="S2106" s="12">
        <v>0.81760753820465615</v>
      </c>
      <c r="T2106" s="12">
        <v>0.63876120548263449</v>
      </c>
      <c r="U2106" s="12">
        <v>0.877963936309893</v>
      </c>
      <c r="V2106" s="12">
        <v>300.032917</v>
      </c>
      <c r="W2106" s="12"/>
      <c r="X2106" s="12"/>
      <c r="Y2106" s="12">
        <v>1851.041210782186</v>
      </c>
      <c r="Z2106" s="12">
        <v>2.6110597074089439</v>
      </c>
      <c r="AA2106" s="12"/>
      <c r="AB2106" s="12"/>
    </row>
    <row r="2107" spans="1:28" x14ac:dyDescent="0.3">
      <c r="A2107" s="12" t="s">
        <v>4020</v>
      </c>
      <c r="B2107" s="12" t="s">
        <v>170</v>
      </c>
      <c r="C2107" s="12" t="s">
        <v>456</v>
      </c>
      <c r="D2107" s="12" t="s">
        <v>731</v>
      </c>
      <c r="E2107" s="12" t="s">
        <v>2978</v>
      </c>
      <c r="F2107" s="12" t="s">
        <v>32</v>
      </c>
      <c r="G2107" s="12" t="s">
        <v>32</v>
      </c>
      <c r="H2107" s="12" t="b">
        <v>1</v>
      </c>
      <c r="I2107" s="12" t="b">
        <v>0</v>
      </c>
      <c r="J2107" s="12" t="b">
        <v>1</v>
      </c>
      <c r="K2107" s="12" t="b">
        <v>0</v>
      </c>
      <c r="L2107" s="12">
        <v>623.15</v>
      </c>
      <c r="M2107" s="12">
        <v>300.032917</v>
      </c>
      <c r="N2107" s="12">
        <v>3000</v>
      </c>
      <c r="O2107" s="12">
        <v>1912.454775916088</v>
      </c>
      <c r="P2107" s="12">
        <v>0.57014862897281027</v>
      </c>
      <c r="Q2107" s="12">
        <v>0.83365544690312787</v>
      </c>
      <c r="R2107" s="12">
        <v>0.50984266751264107</v>
      </c>
      <c r="S2107" s="12">
        <v>0.6104842105459497</v>
      </c>
      <c r="T2107" s="12">
        <v>0.50931256782942369</v>
      </c>
      <c r="U2107" s="12">
        <v>0.91126600214618603</v>
      </c>
      <c r="V2107" s="12">
        <v>300.032917</v>
      </c>
      <c r="W2107" s="12">
        <v>3.2550341021259701</v>
      </c>
      <c r="X2107" s="12">
        <v>48.442528694221437</v>
      </c>
      <c r="Y2107" s="12">
        <v>1087.545224083912</v>
      </c>
      <c r="Z2107" s="12">
        <v>1.56866454453176</v>
      </c>
      <c r="AA2107" s="12"/>
      <c r="AB2107" s="12"/>
    </row>
    <row r="2108" spans="1:28" x14ac:dyDescent="0.3">
      <c r="A2108" s="12" t="s">
        <v>4021</v>
      </c>
      <c r="B2108" s="12" t="s">
        <v>170</v>
      </c>
      <c r="C2108" s="12" t="s">
        <v>456</v>
      </c>
      <c r="D2108" s="12" t="s">
        <v>731</v>
      </c>
      <c r="E2108" s="12" t="s">
        <v>2978</v>
      </c>
      <c r="F2108" s="12" t="s">
        <v>832</v>
      </c>
      <c r="G2108" s="12" t="s">
        <v>832</v>
      </c>
      <c r="H2108" s="12" t="b">
        <v>0</v>
      </c>
      <c r="I2108" s="12" t="b">
        <v>0</v>
      </c>
      <c r="J2108" s="12" t="b">
        <v>0</v>
      </c>
      <c r="K2108" s="12" t="b">
        <v>0</v>
      </c>
      <c r="L2108" s="12">
        <v>623.15</v>
      </c>
      <c r="M2108" s="12">
        <v>300.032917</v>
      </c>
      <c r="N2108" s="12">
        <v>3000</v>
      </c>
      <c r="O2108" s="12">
        <v>940.52621610099743</v>
      </c>
      <c r="P2108" s="12">
        <v>0.84058475947863731</v>
      </c>
      <c r="Q2108" s="12">
        <v>0.5686280488306179</v>
      </c>
      <c r="R2108" s="12">
        <v>0.80415917430375572</v>
      </c>
      <c r="S2108" s="12">
        <v>0.79318261529094158</v>
      </c>
      <c r="T2108" s="12">
        <v>0.71049332697085987</v>
      </c>
      <c r="U2108" s="12">
        <v>0.41600966386290389</v>
      </c>
      <c r="V2108" s="12">
        <v>300.032917</v>
      </c>
      <c r="W2108" s="12"/>
      <c r="X2108" s="12"/>
      <c r="Y2108" s="12">
        <v>2059.4737838990031</v>
      </c>
      <c r="Z2108" s="12">
        <v>3.1897037516260451</v>
      </c>
      <c r="AA2108" s="12"/>
      <c r="AB2108" s="12"/>
    </row>
    <row r="2109" spans="1:28" x14ac:dyDescent="0.3">
      <c r="A2109" s="12" t="s">
        <v>4022</v>
      </c>
      <c r="B2109" s="12" t="s">
        <v>170</v>
      </c>
      <c r="C2109" s="12" t="s">
        <v>456</v>
      </c>
      <c r="D2109" s="12" t="s">
        <v>731</v>
      </c>
      <c r="E2109" s="12" t="s">
        <v>2978</v>
      </c>
      <c r="F2109" s="12" t="s">
        <v>1862</v>
      </c>
      <c r="G2109" s="12" t="s">
        <v>1862</v>
      </c>
      <c r="H2109" s="12" t="b">
        <v>1</v>
      </c>
      <c r="I2109" s="12" t="b">
        <v>0</v>
      </c>
      <c r="J2109" s="12" t="b">
        <v>1</v>
      </c>
      <c r="K2109" s="12" t="b">
        <v>0</v>
      </c>
      <c r="L2109" s="12">
        <v>623.15</v>
      </c>
      <c r="M2109" s="12">
        <v>300.032917</v>
      </c>
      <c r="N2109" s="12">
        <v>3000</v>
      </c>
      <c r="O2109" s="12">
        <v>1855.9109619085441</v>
      </c>
      <c r="P2109" s="12">
        <v>0.51304542732066238</v>
      </c>
      <c r="Q2109" s="12">
        <v>0.4784261955457656</v>
      </c>
      <c r="R2109" s="12">
        <v>0.44693281330218998</v>
      </c>
      <c r="S2109" s="12">
        <v>0.67177905415378758</v>
      </c>
      <c r="T2109" s="12">
        <v>0.75905287664177656</v>
      </c>
      <c r="U2109" s="12">
        <v>0.54709544846651537</v>
      </c>
      <c r="V2109" s="12">
        <v>300.032917</v>
      </c>
      <c r="W2109" s="12">
        <v>-2.4872251664572702</v>
      </c>
      <c r="X2109" s="12">
        <v>-28.127115868530321</v>
      </c>
      <c r="Y2109" s="12">
        <v>1144.0890380914559</v>
      </c>
      <c r="Z2109" s="12">
        <v>1.6164568568068161</v>
      </c>
      <c r="AA2109" s="12" t="s">
        <v>2513</v>
      </c>
      <c r="AB2109" s="12"/>
    </row>
    <row r="2110" spans="1:28" x14ac:dyDescent="0.3">
      <c r="A2110" s="12" t="s">
        <v>4023</v>
      </c>
      <c r="B2110" s="12" t="s">
        <v>170</v>
      </c>
      <c r="C2110" s="12" t="s">
        <v>456</v>
      </c>
      <c r="D2110" s="12" t="s">
        <v>731</v>
      </c>
      <c r="E2110" s="12" t="s">
        <v>2978</v>
      </c>
      <c r="F2110" s="12" t="s">
        <v>832</v>
      </c>
      <c r="G2110" s="12" t="s">
        <v>832</v>
      </c>
      <c r="H2110" s="12" t="b">
        <v>0</v>
      </c>
      <c r="I2110" s="12" t="b">
        <v>0</v>
      </c>
      <c r="J2110" s="12" t="b">
        <v>0</v>
      </c>
      <c r="K2110" s="12" t="b">
        <v>0</v>
      </c>
      <c r="L2110" s="12">
        <v>623.15</v>
      </c>
      <c r="M2110" s="12">
        <v>300.032917</v>
      </c>
      <c r="N2110" s="12">
        <v>3000</v>
      </c>
      <c r="O2110" s="12">
        <v>697.41511069086664</v>
      </c>
      <c r="P2110" s="12">
        <v>0.81829187739818132</v>
      </c>
      <c r="Q2110" s="12">
        <v>0.87684142242952989</v>
      </c>
      <c r="R2110" s="12">
        <v>0.4206265457254067</v>
      </c>
      <c r="S2110" s="12">
        <v>0.9412724776170992</v>
      </c>
      <c r="T2110" s="12">
        <v>0.42462289346912269</v>
      </c>
      <c r="U2110" s="12">
        <v>0.47699530719953509</v>
      </c>
      <c r="V2110" s="12">
        <v>300.032917</v>
      </c>
      <c r="W2110" s="12"/>
      <c r="X2110" s="12"/>
      <c r="Y2110" s="12">
        <v>2302.5848893091329</v>
      </c>
      <c r="Z2110" s="12">
        <v>4.3015987953403663</v>
      </c>
      <c r="AA2110" s="12"/>
      <c r="AB2110" s="12"/>
    </row>
    <row r="2111" spans="1:28" x14ac:dyDescent="0.3">
      <c r="A2111" s="12" t="s">
        <v>4024</v>
      </c>
      <c r="B2111" s="12" t="s">
        <v>170</v>
      </c>
      <c r="C2111" s="12" t="s">
        <v>456</v>
      </c>
      <c r="D2111" s="12" t="s">
        <v>731</v>
      </c>
      <c r="E2111" s="12" t="s">
        <v>2978</v>
      </c>
      <c r="F2111" s="12" t="s">
        <v>832</v>
      </c>
      <c r="G2111" s="12" t="s">
        <v>832</v>
      </c>
      <c r="H2111" s="12" t="b">
        <v>0</v>
      </c>
      <c r="I2111" s="12" t="b">
        <v>0</v>
      </c>
      <c r="J2111" s="12" t="b">
        <v>0</v>
      </c>
      <c r="K2111" s="12" t="b">
        <v>0</v>
      </c>
      <c r="L2111" s="12">
        <v>623.15</v>
      </c>
      <c r="M2111" s="12">
        <v>300.032917</v>
      </c>
      <c r="N2111" s="12">
        <v>3000</v>
      </c>
      <c r="O2111" s="12">
        <v>1542.557353209985</v>
      </c>
      <c r="P2111" s="12">
        <v>0.55954695484709605</v>
      </c>
      <c r="Q2111" s="12">
        <v>0.88902749147696447</v>
      </c>
      <c r="R2111" s="12">
        <v>0.6493108598804691</v>
      </c>
      <c r="S2111" s="12">
        <v>0.81189042372648079</v>
      </c>
      <c r="T2111" s="12">
        <v>0.70326318968361612</v>
      </c>
      <c r="U2111" s="12">
        <v>0.75120537632674345</v>
      </c>
      <c r="V2111" s="12">
        <v>300.032917</v>
      </c>
      <c r="W2111" s="12"/>
      <c r="X2111" s="12"/>
      <c r="Y2111" s="12">
        <v>1457.442646790015</v>
      </c>
      <c r="Z2111" s="12">
        <v>1.9448223391870321</v>
      </c>
      <c r="AA2111" s="12"/>
      <c r="AB2111" s="12"/>
    </row>
    <row r="2112" spans="1:28" x14ac:dyDescent="0.3">
      <c r="A2112" s="12" t="s">
        <v>4025</v>
      </c>
      <c r="B2112" s="12" t="s">
        <v>170</v>
      </c>
      <c r="C2112" s="12" t="s">
        <v>456</v>
      </c>
      <c r="D2112" s="12" t="s">
        <v>731</v>
      </c>
      <c r="E2112" s="12" t="s">
        <v>2978</v>
      </c>
      <c r="F2112" s="12" t="s">
        <v>1862</v>
      </c>
      <c r="G2112" s="12" t="s">
        <v>1862</v>
      </c>
      <c r="H2112" s="12" t="b">
        <v>1</v>
      </c>
      <c r="I2112" s="12" t="b">
        <v>0</v>
      </c>
      <c r="J2112" s="12" t="b">
        <v>1</v>
      </c>
      <c r="K2112" s="12" t="b">
        <v>0</v>
      </c>
      <c r="L2112" s="12">
        <v>623.15</v>
      </c>
      <c r="M2112" s="12">
        <v>300.032917</v>
      </c>
      <c r="N2112" s="12">
        <v>3000</v>
      </c>
      <c r="O2112" s="12">
        <v>1516.723891032618</v>
      </c>
      <c r="P2112" s="12">
        <v>0.62618869730516158</v>
      </c>
      <c r="Q2112" s="12">
        <v>0.54166800770499635</v>
      </c>
      <c r="R2112" s="12">
        <v>0.42958716871100128</v>
      </c>
      <c r="S2112" s="12">
        <v>0.58246301526189703</v>
      </c>
      <c r="T2112" s="12">
        <v>0.68748595446217176</v>
      </c>
      <c r="U2112" s="12">
        <v>0.66916282684939721</v>
      </c>
      <c r="V2112" s="12">
        <v>300.032917</v>
      </c>
      <c r="W2112" s="12">
        <v>-0.37407117175449001</v>
      </c>
      <c r="X2112" s="12">
        <v>-4.1995232384020582</v>
      </c>
      <c r="Y2112" s="12">
        <v>1483.276108967382</v>
      </c>
      <c r="Z2112" s="12">
        <v>1.9779473493738771</v>
      </c>
      <c r="AA2112" s="12" t="s">
        <v>2513</v>
      </c>
      <c r="AB2112" s="12"/>
    </row>
    <row r="2113" spans="1:28" x14ac:dyDescent="0.3">
      <c r="A2113" s="12" t="s">
        <v>4026</v>
      </c>
      <c r="B2113" s="12" t="s">
        <v>170</v>
      </c>
      <c r="C2113" s="12" t="s">
        <v>456</v>
      </c>
      <c r="D2113" s="12" t="s">
        <v>731</v>
      </c>
      <c r="E2113" s="12" t="s">
        <v>2978</v>
      </c>
      <c r="F2113" s="12" t="s">
        <v>1862</v>
      </c>
      <c r="G2113" s="12" t="s">
        <v>1862</v>
      </c>
      <c r="H2113" s="12" t="b">
        <v>1</v>
      </c>
      <c r="I2113" s="12" t="b">
        <v>0</v>
      </c>
      <c r="J2113" s="12" t="b">
        <v>1</v>
      </c>
      <c r="K2113" s="12" t="b">
        <v>0</v>
      </c>
      <c r="L2113" s="12">
        <v>623.15</v>
      </c>
      <c r="M2113" s="12">
        <v>300.032917</v>
      </c>
      <c r="N2113" s="12">
        <v>3000</v>
      </c>
      <c r="O2113" s="12">
        <v>743.84906965584776</v>
      </c>
      <c r="P2113" s="12">
        <v>0.72073907874265819</v>
      </c>
      <c r="Q2113" s="12">
        <v>0.4228167637137723</v>
      </c>
      <c r="R2113" s="12">
        <v>0.60600292665600719</v>
      </c>
      <c r="S2113" s="12">
        <v>0.44183390972351988</v>
      </c>
      <c r="T2113" s="12">
        <v>0.83299769447442906</v>
      </c>
      <c r="U2113" s="12">
        <v>0.55347845447719479</v>
      </c>
      <c r="V2113" s="12">
        <v>300.032917</v>
      </c>
      <c r="W2113" s="12">
        <v>-8.4267092362037097</v>
      </c>
      <c r="X2113" s="12">
        <v>-60.778533300944638</v>
      </c>
      <c r="Y2113" s="12">
        <v>2256.1509303441521</v>
      </c>
      <c r="Z2113" s="12">
        <v>4.0330762279342398</v>
      </c>
      <c r="AA2113" s="12" t="s">
        <v>2513</v>
      </c>
      <c r="AB2113" s="12"/>
    </row>
    <row r="2114" spans="1:28" x14ac:dyDescent="0.3">
      <c r="A2114" s="12" t="s">
        <v>4027</v>
      </c>
      <c r="B2114" s="12" t="s">
        <v>170</v>
      </c>
      <c r="C2114" s="12" t="s">
        <v>456</v>
      </c>
      <c r="D2114" s="12" t="s">
        <v>731</v>
      </c>
      <c r="E2114" s="12" t="s">
        <v>2978</v>
      </c>
      <c r="F2114" s="12" t="s">
        <v>832</v>
      </c>
      <c r="G2114" s="12" t="s">
        <v>832</v>
      </c>
      <c r="H2114" s="12" t="b">
        <v>0</v>
      </c>
      <c r="I2114" s="12" t="b">
        <v>0</v>
      </c>
      <c r="J2114" s="12" t="b">
        <v>0</v>
      </c>
      <c r="K2114" s="12" t="b">
        <v>0</v>
      </c>
      <c r="L2114" s="12">
        <v>623.15</v>
      </c>
      <c r="M2114" s="12">
        <v>300.032917</v>
      </c>
      <c r="N2114" s="12">
        <v>3000</v>
      </c>
      <c r="O2114" s="12">
        <v>1532.097235550491</v>
      </c>
      <c r="P2114" s="12">
        <v>0.50226077958240245</v>
      </c>
      <c r="Q2114" s="12">
        <v>0.71707597534360545</v>
      </c>
      <c r="R2114" s="12">
        <v>0.52581097487467376</v>
      </c>
      <c r="S2114" s="12">
        <v>0.71124620270032679</v>
      </c>
      <c r="T2114" s="12">
        <v>0.7624688718809951</v>
      </c>
      <c r="U2114" s="12">
        <v>0.4619141583589686</v>
      </c>
      <c r="V2114" s="12">
        <v>300.032917</v>
      </c>
      <c r="W2114" s="12"/>
      <c r="X2114" s="12"/>
      <c r="Y2114" s="12">
        <v>1467.902764449509</v>
      </c>
      <c r="Z2114" s="12">
        <v>1.9581002630829001</v>
      </c>
      <c r="AA2114" s="12"/>
      <c r="AB2114" s="12"/>
    </row>
    <row r="2115" spans="1:28" x14ac:dyDescent="0.3">
      <c r="A2115" s="12" t="s">
        <v>4028</v>
      </c>
      <c r="B2115" s="12" t="s">
        <v>170</v>
      </c>
      <c r="C2115" s="12" t="s">
        <v>456</v>
      </c>
      <c r="D2115" s="12" t="s">
        <v>731</v>
      </c>
      <c r="E2115" s="12" t="s">
        <v>2978</v>
      </c>
      <c r="F2115" s="12" t="s">
        <v>832</v>
      </c>
      <c r="G2115" s="12" t="s">
        <v>832</v>
      </c>
      <c r="H2115" s="12" t="b">
        <v>0</v>
      </c>
      <c r="I2115" s="12" t="b">
        <v>0</v>
      </c>
      <c r="J2115" s="12" t="b">
        <v>0</v>
      </c>
      <c r="K2115" s="12" t="b">
        <v>0</v>
      </c>
      <c r="L2115" s="12">
        <v>623.15</v>
      </c>
      <c r="M2115" s="12">
        <v>300.032917</v>
      </c>
      <c r="N2115" s="12">
        <v>3000</v>
      </c>
      <c r="O2115" s="12">
        <v>926.48801974819139</v>
      </c>
      <c r="P2115" s="12">
        <v>0.64680685769367996</v>
      </c>
      <c r="Q2115" s="12">
        <v>0.4325659880022738</v>
      </c>
      <c r="R2115" s="12">
        <v>0.89032173300331741</v>
      </c>
      <c r="S2115" s="12">
        <v>0.78288663496125044</v>
      </c>
      <c r="T2115" s="12">
        <v>0.43443442514116842</v>
      </c>
      <c r="U2115" s="12">
        <v>0.58762382177201755</v>
      </c>
      <c r="V2115" s="12">
        <v>300.032917</v>
      </c>
      <c r="W2115" s="12"/>
      <c r="X2115" s="12"/>
      <c r="Y2115" s="12">
        <v>2073.5119802518079</v>
      </c>
      <c r="Z2115" s="12">
        <v>3.2380343145887251</v>
      </c>
      <c r="AA2115" s="12"/>
      <c r="AB2115" s="12"/>
    </row>
    <row r="2116" spans="1:28" x14ac:dyDescent="0.3">
      <c r="A2116" s="12" t="s">
        <v>4029</v>
      </c>
      <c r="B2116" s="12" t="s">
        <v>170</v>
      </c>
      <c r="C2116" s="12" t="s">
        <v>456</v>
      </c>
      <c r="D2116" s="12" t="s">
        <v>731</v>
      </c>
      <c r="E2116" s="12" t="s">
        <v>2978</v>
      </c>
      <c r="F2116" s="12" t="s">
        <v>1862</v>
      </c>
      <c r="G2116" s="12" t="s">
        <v>1862</v>
      </c>
      <c r="H2116" s="12" t="b">
        <v>1</v>
      </c>
      <c r="I2116" s="12" t="b">
        <v>0</v>
      </c>
      <c r="J2116" s="12" t="b">
        <v>1</v>
      </c>
      <c r="K2116" s="12" t="b">
        <v>0</v>
      </c>
      <c r="L2116" s="12">
        <v>623.15</v>
      </c>
      <c r="M2116" s="12">
        <v>300.032917</v>
      </c>
      <c r="N2116" s="12">
        <v>3000</v>
      </c>
      <c r="O2116" s="12">
        <v>248.95915732771991</v>
      </c>
      <c r="P2116" s="12">
        <v>0.59458349481043826</v>
      </c>
      <c r="Q2116" s="12">
        <v>0.6409010399078503</v>
      </c>
      <c r="R2116" s="12">
        <v>0.58748469163477701</v>
      </c>
      <c r="S2116" s="12">
        <v>0.4095972704842587</v>
      </c>
      <c r="T2116" s="12">
        <v>0.56467016275472948</v>
      </c>
      <c r="U2116" s="12">
        <v>0.42403648981719561</v>
      </c>
      <c r="V2116" s="12">
        <v>300.032917</v>
      </c>
      <c r="W2116" s="12">
        <v>-62.114228855970772</v>
      </c>
      <c r="X2116" s="12">
        <v>-232.5240853818369</v>
      </c>
      <c r="Y2116" s="12">
        <v>2751.0408426722802</v>
      </c>
      <c r="Z2116" s="12">
        <v>12.050169321753129</v>
      </c>
      <c r="AA2116" s="12" t="s">
        <v>2513</v>
      </c>
      <c r="AB2116" s="12"/>
    </row>
    <row r="2117" spans="1:28" x14ac:dyDescent="0.3">
      <c r="A2117" s="12" t="s">
        <v>4030</v>
      </c>
      <c r="B2117" s="12" t="s">
        <v>170</v>
      </c>
      <c r="C2117" s="12" t="s">
        <v>456</v>
      </c>
      <c r="D2117" s="12" t="s">
        <v>731</v>
      </c>
      <c r="E2117" s="12" t="s">
        <v>2978</v>
      </c>
      <c r="F2117" s="12" t="s">
        <v>832</v>
      </c>
      <c r="G2117" s="12" t="s">
        <v>832</v>
      </c>
      <c r="H2117" s="12" t="b">
        <v>0</v>
      </c>
      <c r="I2117" s="12" t="b">
        <v>0</v>
      </c>
      <c r="J2117" s="12" t="b">
        <v>0</v>
      </c>
      <c r="K2117" s="12" t="b">
        <v>0</v>
      </c>
      <c r="L2117" s="12">
        <v>623.15</v>
      </c>
      <c r="M2117" s="12">
        <v>300.032917</v>
      </c>
      <c r="N2117" s="12">
        <v>3000</v>
      </c>
      <c r="O2117" s="12">
        <v>1244.77913727849</v>
      </c>
      <c r="P2117" s="12">
        <v>0.67108146578724082</v>
      </c>
      <c r="Q2117" s="12">
        <v>0.76439610380315659</v>
      </c>
      <c r="R2117" s="12">
        <v>0.61319635432816344</v>
      </c>
      <c r="S2117" s="12">
        <v>0.6951773026456074</v>
      </c>
      <c r="T2117" s="12">
        <v>0.49974503945758419</v>
      </c>
      <c r="U2117" s="12">
        <v>0.55615808685541124</v>
      </c>
      <c r="V2117" s="12">
        <v>300.032917</v>
      </c>
      <c r="W2117" s="12"/>
      <c r="X2117" s="12"/>
      <c r="Y2117" s="12">
        <v>1755.22086272151</v>
      </c>
      <c r="Z2117" s="12">
        <v>2.4100660994038021</v>
      </c>
      <c r="AA2117" s="12"/>
      <c r="AB2117" s="12"/>
    </row>
    <row r="2118" spans="1:28" x14ac:dyDescent="0.3">
      <c r="A2118" s="12" t="s">
        <v>4031</v>
      </c>
      <c r="B2118" s="12" t="s">
        <v>170</v>
      </c>
      <c r="C2118" s="12" t="s">
        <v>456</v>
      </c>
      <c r="D2118" s="12" t="s">
        <v>731</v>
      </c>
      <c r="E2118" s="12" t="s">
        <v>2978</v>
      </c>
      <c r="F2118" s="12" t="s">
        <v>1862</v>
      </c>
      <c r="G2118" s="12" t="s">
        <v>1862</v>
      </c>
      <c r="H2118" s="12" t="b">
        <v>1</v>
      </c>
      <c r="I2118" s="12" t="b">
        <v>0</v>
      </c>
      <c r="J2118" s="12" t="b">
        <v>1</v>
      </c>
      <c r="K2118" s="12" t="b">
        <v>0</v>
      </c>
      <c r="L2118" s="12">
        <v>623.15</v>
      </c>
      <c r="M2118" s="12">
        <v>300.032917</v>
      </c>
      <c r="N2118" s="12">
        <v>3000</v>
      </c>
      <c r="O2118" s="12">
        <v>761.77879072772521</v>
      </c>
      <c r="P2118" s="12">
        <v>0.52680184983860634</v>
      </c>
      <c r="Q2118" s="12">
        <v>0.74694187460118555</v>
      </c>
      <c r="R2118" s="12">
        <v>0.56717447223169448</v>
      </c>
      <c r="S2118" s="12">
        <v>0.50855304805350721</v>
      </c>
      <c r="T2118" s="12">
        <v>0.87302994765987518</v>
      </c>
      <c r="U2118" s="12">
        <v>0.49877153066909757</v>
      </c>
      <c r="V2118" s="12">
        <v>300.032917</v>
      </c>
      <c r="W2118" s="12">
        <v>-0.80926359575461992</v>
      </c>
      <c r="X2118" s="12">
        <v>-6.848136568177722</v>
      </c>
      <c r="Y2118" s="12">
        <v>2238.2212092722748</v>
      </c>
      <c r="Z2118" s="12">
        <v>3.9381511227611208</v>
      </c>
      <c r="AA2118" s="12" t="s">
        <v>2513</v>
      </c>
      <c r="AB2118" s="12"/>
    </row>
    <row r="2119" spans="1:28" x14ac:dyDescent="0.3">
      <c r="A2119" s="12" t="s">
        <v>4032</v>
      </c>
      <c r="B2119" s="12" t="s">
        <v>170</v>
      </c>
      <c r="C2119" s="12" t="s">
        <v>456</v>
      </c>
      <c r="D2119" s="12" t="s">
        <v>731</v>
      </c>
      <c r="E2119" s="12" t="s">
        <v>2978</v>
      </c>
      <c r="F2119" s="12" t="s">
        <v>1863</v>
      </c>
      <c r="G2119" s="12" t="s">
        <v>832</v>
      </c>
      <c r="H2119" s="12" t="b">
        <v>0</v>
      </c>
      <c r="I2119" s="12" t="b">
        <v>0</v>
      </c>
      <c r="J2119" s="12" t="b">
        <v>1</v>
      </c>
      <c r="K2119" s="12" t="b">
        <v>0</v>
      </c>
      <c r="L2119" s="12">
        <v>623.15</v>
      </c>
      <c r="M2119" s="12">
        <v>300.032917</v>
      </c>
      <c r="N2119" s="12">
        <v>3000</v>
      </c>
      <c r="O2119" s="12">
        <v>1443.808752355641</v>
      </c>
      <c r="P2119" s="12">
        <v>0.71797430889596192</v>
      </c>
      <c r="Q2119" s="12">
        <v>0.89481214869778747</v>
      </c>
      <c r="R2119" s="12">
        <v>0.51513008664814475</v>
      </c>
      <c r="S2119" s="12">
        <v>0.80665433628757321</v>
      </c>
      <c r="T2119" s="12">
        <v>0.42780523087776579</v>
      </c>
      <c r="U2119" s="12">
        <v>0.94674988287610684</v>
      </c>
      <c r="V2119" s="12">
        <v>300.032917</v>
      </c>
      <c r="W2119" s="12">
        <v>6.7025116561747007</v>
      </c>
      <c r="X2119" s="12">
        <v>127.8137920441183</v>
      </c>
      <c r="Y2119" s="12">
        <v>1556.191247644359</v>
      </c>
      <c r="Z2119" s="12">
        <v>2.077837521836158</v>
      </c>
      <c r="AA2119" s="12" t="s">
        <v>4033</v>
      </c>
      <c r="AB2119" s="12"/>
    </row>
    <row r="2120" spans="1:28" x14ac:dyDescent="0.3">
      <c r="A2120" s="12" t="s">
        <v>4034</v>
      </c>
      <c r="B2120" s="12" t="s">
        <v>170</v>
      </c>
      <c r="C2120" s="12" t="s">
        <v>448</v>
      </c>
      <c r="D2120" s="12" t="s">
        <v>728</v>
      </c>
      <c r="E2120" s="12" t="s">
        <v>2978</v>
      </c>
      <c r="F2120" s="12" t="s">
        <v>832</v>
      </c>
      <c r="G2120" s="12" t="s">
        <v>832</v>
      </c>
      <c r="H2120" s="12" t="b">
        <v>0</v>
      </c>
      <c r="I2120" s="12" t="b">
        <v>0</v>
      </c>
      <c r="J2120" s="12" t="b">
        <v>0</v>
      </c>
      <c r="K2120" s="12" t="b">
        <v>0</v>
      </c>
      <c r="L2120" s="12">
        <v>499.19737627595367</v>
      </c>
      <c r="M2120" s="12">
        <v>300.032917</v>
      </c>
      <c r="N2120" s="12">
        <v>3000</v>
      </c>
      <c r="O2120" s="12">
        <v>400</v>
      </c>
      <c r="P2120" s="12">
        <v>0.71551325492532469</v>
      </c>
      <c r="Q2120" s="12">
        <v>0.68522860095905158</v>
      </c>
      <c r="R2120" s="12">
        <v>0.41999187174647912</v>
      </c>
      <c r="S2120" s="12">
        <v>0.7759136752124256</v>
      </c>
      <c r="T2120" s="12">
        <v>0.87613866004184704</v>
      </c>
      <c r="U2120" s="12">
        <v>0.40423657507285521</v>
      </c>
      <c r="V2120" s="12">
        <v>300.032917</v>
      </c>
      <c r="W2120" s="12"/>
      <c r="X2120" s="12"/>
      <c r="Y2120" s="12">
        <v>2600</v>
      </c>
      <c r="Z2120" s="12">
        <v>7.5</v>
      </c>
      <c r="AA2120" s="12"/>
      <c r="AB2120" s="12"/>
    </row>
    <row r="2121" spans="1:28" x14ac:dyDescent="0.3">
      <c r="A2121" s="12" t="s">
        <v>4035</v>
      </c>
      <c r="B2121" s="12" t="s">
        <v>170</v>
      </c>
      <c r="C2121" s="12" t="s">
        <v>456</v>
      </c>
      <c r="D2121" s="12" t="s">
        <v>731</v>
      </c>
      <c r="E2121" s="12" t="s">
        <v>2978</v>
      </c>
      <c r="F2121" s="12" t="s">
        <v>1861</v>
      </c>
      <c r="G2121" s="12" t="s">
        <v>1861</v>
      </c>
      <c r="H2121" s="12" t="b">
        <v>1</v>
      </c>
      <c r="I2121" s="12" t="b">
        <v>0</v>
      </c>
      <c r="J2121" s="12" t="b">
        <v>1</v>
      </c>
      <c r="K2121" s="12" t="b">
        <v>0</v>
      </c>
      <c r="L2121" s="12">
        <v>623.15</v>
      </c>
      <c r="M2121" s="12">
        <v>300.032917</v>
      </c>
      <c r="N2121" s="12">
        <v>3000</v>
      </c>
      <c r="O2121" s="12">
        <v>550.60355430147877</v>
      </c>
      <c r="P2121" s="12">
        <v>0.61531975399832317</v>
      </c>
      <c r="Q2121" s="12">
        <v>0.72428791648765345</v>
      </c>
      <c r="R2121" s="12">
        <v>0.63702538069101622</v>
      </c>
      <c r="S2121" s="12">
        <v>0.62889924774126571</v>
      </c>
      <c r="T2121" s="12">
        <v>0.74257983640562286</v>
      </c>
      <c r="U2121" s="12">
        <v>0.59839906966200795</v>
      </c>
      <c r="V2121" s="12">
        <v>300.032917</v>
      </c>
      <c r="W2121" s="12">
        <v>3.1428597541704302</v>
      </c>
      <c r="X2121" s="12">
        <v>33.928006942001701</v>
      </c>
      <c r="Y2121" s="12">
        <v>2449.3964456985209</v>
      </c>
      <c r="Z2121" s="12">
        <v>5.4485663533464459</v>
      </c>
      <c r="AA2121" s="12" t="s">
        <v>1268</v>
      </c>
      <c r="AB2121" s="12"/>
    </row>
    <row r="2122" spans="1:28" x14ac:dyDescent="0.3">
      <c r="A2122" s="12" t="s">
        <v>4036</v>
      </c>
      <c r="B2122" s="12" t="s">
        <v>170</v>
      </c>
      <c r="C2122" s="12" t="s">
        <v>456</v>
      </c>
      <c r="D2122" s="12" t="s">
        <v>731</v>
      </c>
      <c r="E2122" s="12" t="s">
        <v>2978</v>
      </c>
      <c r="F2122" s="12" t="s">
        <v>1861</v>
      </c>
      <c r="G2122" s="12" t="s">
        <v>1861</v>
      </c>
      <c r="H2122" s="12" t="b">
        <v>1</v>
      </c>
      <c r="I2122" s="12" t="b">
        <v>0</v>
      </c>
      <c r="J2122" s="12" t="b">
        <v>0</v>
      </c>
      <c r="K2122" s="12" t="b">
        <v>0</v>
      </c>
      <c r="L2122" s="12">
        <v>623.15</v>
      </c>
      <c r="M2122" s="12">
        <v>300.032917</v>
      </c>
      <c r="N2122" s="12">
        <v>3000</v>
      </c>
      <c r="O2122" s="12">
        <v>1265.4304229482609</v>
      </c>
      <c r="P2122" s="12">
        <v>0.8164712982669472</v>
      </c>
      <c r="Q2122" s="12">
        <v>0.61640911076998206</v>
      </c>
      <c r="R2122" s="12">
        <v>0.72585726885836332</v>
      </c>
      <c r="S2122" s="12">
        <v>0.41391777228578253</v>
      </c>
      <c r="T2122" s="12">
        <v>0.88945545419987504</v>
      </c>
      <c r="U2122" s="12">
        <v>0.61149406875677181</v>
      </c>
      <c r="V2122" s="12">
        <v>300.032917</v>
      </c>
      <c r="W2122" s="12">
        <v>2.4320884166752998</v>
      </c>
      <c r="X2122" s="12">
        <v>17.61144570019944</v>
      </c>
      <c r="Y2122" s="12">
        <v>1734.5695770517391</v>
      </c>
      <c r="Z2122" s="12">
        <v>2.3707348468914282</v>
      </c>
      <c r="AA2122" s="12" t="s">
        <v>1268</v>
      </c>
      <c r="AB2122" s="12"/>
    </row>
    <row r="2123" spans="1:28" x14ac:dyDescent="0.3">
      <c r="A2123" s="12" t="s">
        <v>4037</v>
      </c>
      <c r="B2123" s="12" t="s">
        <v>170</v>
      </c>
      <c r="C2123" s="12" t="s">
        <v>456</v>
      </c>
      <c r="D2123" s="12" t="s">
        <v>731</v>
      </c>
      <c r="E2123" s="12" t="s">
        <v>2978</v>
      </c>
      <c r="F2123" s="12" t="s">
        <v>1863</v>
      </c>
      <c r="G2123" s="12" t="s">
        <v>832</v>
      </c>
      <c r="H2123" s="12" t="b">
        <v>0</v>
      </c>
      <c r="I2123" s="12" t="b">
        <v>0</v>
      </c>
      <c r="J2123" s="12" t="b">
        <v>1</v>
      </c>
      <c r="K2123" s="12" t="b">
        <v>0</v>
      </c>
      <c r="L2123" s="12">
        <v>623.15</v>
      </c>
      <c r="M2123" s="12">
        <v>300.032917</v>
      </c>
      <c r="N2123" s="12">
        <v>3000</v>
      </c>
      <c r="O2123" s="12">
        <v>1721.464243854768</v>
      </c>
      <c r="P2123" s="12">
        <v>0.58097422057185621</v>
      </c>
      <c r="Q2123" s="12">
        <v>0.50080901626237406</v>
      </c>
      <c r="R2123" s="12">
        <v>0.54720815805073042</v>
      </c>
      <c r="S2123" s="12">
        <v>0.82850629589595304</v>
      </c>
      <c r="T2123" s="12">
        <v>0.5834488361334198</v>
      </c>
      <c r="U2123" s="12">
        <v>0.9201760843858946</v>
      </c>
      <c r="V2123" s="12">
        <v>300.032917</v>
      </c>
      <c r="W2123" s="12">
        <v>2.5180221527615099</v>
      </c>
      <c r="X2123" s="12">
        <v>51.63531584599653</v>
      </c>
      <c r="Y2123" s="12">
        <v>1278.535756145232</v>
      </c>
      <c r="Z2123" s="12">
        <v>1.742702475935419</v>
      </c>
      <c r="AA2123" s="12" t="s">
        <v>4033</v>
      </c>
      <c r="AB2123" s="12"/>
    </row>
    <row r="2124" spans="1:28" x14ac:dyDescent="0.3">
      <c r="A2124" s="12" t="s">
        <v>4038</v>
      </c>
      <c r="B2124" s="12" t="s">
        <v>170</v>
      </c>
      <c r="C2124" s="12" t="s">
        <v>456</v>
      </c>
      <c r="D2124" s="12" t="s">
        <v>731</v>
      </c>
      <c r="E2124" s="12" t="s">
        <v>2978</v>
      </c>
      <c r="F2124" s="12" t="s">
        <v>832</v>
      </c>
      <c r="G2124" s="12" t="s">
        <v>832</v>
      </c>
      <c r="H2124" s="12" t="b">
        <v>0</v>
      </c>
      <c r="I2124" s="12" t="b">
        <v>0</v>
      </c>
      <c r="J2124" s="12" t="b">
        <v>0</v>
      </c>
      <c r="K2124" s="12" t="b">
        <v>0</v>
      </c>
      <c r="L2124" s="12">
        <v>623.15</v>
      </c>
      <c r="M2124" s="12">
        <v>300.032917</v>
      </c>
      <c r="N2124" s="12">
        <v>3000</v>
      </c>
      <c r="O2124" s="12">
        <v>242.23288705667659</v>
      </c>
      <c r="P2124" s="12">
        <v>0.78721242607280284</v>
      </c>
      <c r="Q2124" s="12">
        <v>0.76043179907590319</v>
      </c>
      <c r="R2124" s="12">
        <v>0.68488090986221117</v>
      </c>
      <c r="S2124" s="12">
        <v>0.5407991289478562</v>
      </c>
      <c r="T2124" s="12">
        <v>0.50190969736071633</v>
      </c>
      <c r="U2124" s="12">
        <v>0.89684367447440316</v>
      </c>
      <c r="V2124" s="12">
        <v>300.032917</v>
      </c>
      <c r="W2124" s="12"/>
      <c r="X2124" s="12"/>
      <c r="Y2124" s="12">
        <v>2757.7671129433238</v>
      </c>
      <c r="Z2124" s="12">
        <v>12.38477580997527</v>
      </c>
      <c r="AA2124" s="12"/>
      <c r="AB2124" s="12"/>
    </row>
    <row r="2125" spans="1:28" x14ac:dyDescent="0.3">
      <c r="A2125" s="12" t="s">
        <v>4039</v>
      </c>
      <c r="B2125" s="12" t="s">
        <v>170</v>
      </c>
      <c r="C2125" s="12" t="s">
        <v>456</v>
      </c>
      <c r="D2125" s="12" t="s">
        <v>731</v>
      </c>
      <c r="E2125" s="12" t="s">
        <v>2978</v>
      </c>
      <c r="F2125" s="12" t="s">
        <v>32</v>
      </c>
      <c r="G2125" s="12" t="s">
        <v>32</v>
      </c>
      <c r="H2125" s="12" t="b">
        <v>1</v>
      </c>
      <c r="I2125" s="12" t="b">
        <v>0</v>
      </c>
      <c r="J2125" s="12" t="b">
        <v>1</v>
      </c>
      <c r="K2125" s="12" t="b">
        <v>0</v>
      </c>
      <c r="L2125" s="12">
        <v>623.15</v>
      </c>
      <c r="M2125" s="12">
        <v>300.032917</v>
      </c>
      <c r="N2125" s="12">
        <v>3000</v>
      </c>
      <c r="O2125" s="12">
        <v>1932.6666732727331</v>
      </c>
      <c r="P2125" s="12">
        <v>0.62145524900639881</v>
      </c>
      <c r="Q2125" s="12">
        <v>0.44614662532621868</v>
      </c>
      <c r="R2125" s="12">
        <v>0.66398217060844189</v>
      </c>
      <c r="S2125" s="12">
        <v>0.58931327976778003</v>
      </c>
      <c r="T2125" s="12">
        <v>0.69605303715864597</v>
      </c>
      <c r="U2125" s="12">
        <v>0.8831553622210655</v>
      </c>
      <c r="V2125" s="12">
        <v>300.032917</v>
      </c>
      <c r="W2125" s="12">
        <v>1.7987647105254601</v>
      </c>
      <c r="X2125" s="12">
        <v>24.610559670055071</v>
      </c>
      <c r="Y2125" s="12">
        <v>1067.3333267272669</v>
      </c>
      <c r="Z2125" s="12">
        <v>1.55225939448724</v>
      </c>
      <c r="AA2125" s="12"/>
      <c r="AB2125" s="12"/>
    </row>
    <row r="2126" spans="1:28" x14ac:dyDescent="0.3">
      <c r="A2126" s="12" t="s">
        <v>4040</v>
      </c>
      <c r="B2126" s="12" t="s">
        <v>170</v>
      </c>
      <c r="C2126" s="12" t="s">
        <v>456</v>
      </c>
      <c r="D2126" s="12" t="s">
        <v>731</v>
      </c>
      <c r="E2126" s="12" t="s">
        <v>2978</v>
      </c>
      <c r="F2126" s="12" t="s">
        <v>1861</v>
      </c>
      <c r="G2126" s="12" t="s">
        <v>1861</v>
      </c>
      <c r="H2126" s="12" t="b">
        <v>1</v>
      </c>
      <c r="I2126" s="12" t="b">
        <v>0</v>
      </c>
      <c r="J2126" s="12" t="b">
        <v>1</v>
      </c>
      <c r="K2126" s="12" t="b">
        <v>0</v>
      </c>
      <c r="L2126" s="12">
        <v>623.15</v>
      </c>
      <c r="M2126" s="12">
        <v>300.032917</v>
      </c>
      <c r="N2126" s="12">
        <v>3000</v>
      </c>
      <c r="O2126" s="12">
        <v>916.06004469776997</v>
      </c>
      <c r="P2126" s="12">
        <v>0.74062595070103499</v>
      </c>
      <c r="Q2126" s="12">
        <v>0.45301981721600271</v>
      </c>
      <c r="R2126" s="12">
        <v>0.46882288169523739</v>
      </c>
      <c r="S2126" s="12">
        <v>0.76296355570644625</v>
      </c>
      <c r="T2126" s="12">
        <v>0.61893813301038214</v>
      </c>
      <c r="U2126" s="12">
        <v>0.9231181896863504</v>
      </c>
      <c r="V2126" s="12">
        <v>300.032917</v>
      </c>
      <c r="W2126" s="12">
        <v>4.5739481326006297</v>
      </c>
      <c r="X2126" s="12">
        <v>78.854619116687402</v>
      </c>
      <c r="Y2126" s="12">
        <v>2083.9399553022299</v>
      </c>
      <c r="Z2126" s="12">
        <v>3.2748944977616299</v>
      </c>
      <c r="AA2126" s="12" t="s">
        <v>1268</v>
      </c>
      <c r="AB2126" s="12"/>
    </row>
    <row r="2127" spans="1:28" x14ac:dyDescent="0.3">
      <c r="A2127" s="12" t="s">
        <v>4041</v>
      </c>
      <c r="B2127" s="12" t="s">
        <v>170</v>
      </c>
      <c r="C2127" s="12" t="s">
        <v>456</v>
      </c>
      <c r="D2127" s="12" t="s">
        <v>731</v>
      </c>
      <c r="E2127" s="12" t="s">
        <v>2978</v>
      </c>
      <c r="F2127" s="12" t="s">
        <v>1861</v>
      </c>
      <c r="G2127" s="12" t="s">
        <v>1861</v>
      </c>
      <c r="H2127" s="12" t="b">
        <v>1</v>
      </c>
      <c r="I2127" s="12" t="b">
        <v>0</v>
      </c>
      <c r="J2127" s="12" t="b">
        <v>1</v>
      </c>
      <c r="K2127" s="12" t="b">
        <v>0</v>
      </c>
      <c r="L2127" s="12">
        <v>623.15</v>
      </c>
      <c r="M2127" s="12">
        <v>300.032917</v>
      </c>
      <c r="N2127" s="12">
        <v>3000</v>
      </c>
      <c r="O2127" s="12">
        <v>640.69837807788326</v>
      </c>
      <c r="P2127" s="12">
        <v>0.58470035172169965</v>
      </c>
      <c r="Q2127" s="12">
        <v>0.66061381115747042</v>
      </c>
      <c r="R2127" s="12">
        <v>0.48592261066679387</v>
      </c>
      <c r="S2127" s="12">
        <v>0.5307777968761197</v>
      </c>
      <c r="T2127" s="12">
        <v>0.73289194495101784</v>
      </c>
      <c r="U2127" s="12">
        <v>0.94217101761968358</v>
      </c>
      <c r="V2127" s="12">
        <v>300.032917</v>
      </c>
      <c r="W2127" s="12">
        <v>8.3869512050254098</v>
      </c>
      <c r="X2127" s="12">
        <v>107.2760663139331</v>
      </c>
      <c r="Y2127" s="12">
        <v>2359.3016219221172</v>
      </c>
      <c r="Z2127" s="12">
        <v>4.682390501752324</v>
      </c>
      <c r="AA2127" s="12" t="s">
        <v>1268</v>
      </c>
      <c r="AB2127" s="12"/>
    </row>
    <row r="2128" spans="1:28" x14ac:dyDescent="0.3">
      <c r="A2128" s="12" t="s">
        <v>4042</v>
      </c>
      <c r="B2128" s="12" t="s">
        <v>170</v>
      </c>
      <c r="C2128" s="12" t="s">
        <v>456</v>
      </c>
      <c r="D2128" s="12" t="s">
        <v>731</v>
      </c>
      <c r="E2128" s="12" t="s">
        <v>2978</v>
      </c>
      <c r="F2128" s="12" t="s">
        <v>1861</v>
      </c>
      <c r="G2128" s="12" t="s">
        <v>1861</v>
      </c>
      <c r="H2128" s="12" t="b">
        <v>1</v>
      </c>
      <c r="I2128" s="12" t="b">
        <v>0</v>
      </c>
      <c r="J2128" s="12" t="b">
        <v>0</v>
      </c>
      <c r="K2128" s="12" t="b">
        <v>0</v>
      </c>
      <c r="L2128" s="12">
        <v>623.15</v>
      </c>
      <c r="M2128" s="12">
        <v>300.032917</v>
      </c>
      <c r="N2128" s="12">
        <v>3000</v>
      </c>
      <c r="O2128" s="12">
        <v>1632.870834697738</v>
      </c>
      <c r="P2128" s="12">
        <v>0.81434107163125402</v>
      </c>
      <c r="Q2128" s="12">
        <v>0.8205964175682513</v>
      </c>
      <c r="R2128" s="12">
        <v>0.49100518974526852</v>
      </c>
      <c r="S2128" s="12">
        <v>0.45235183482036601</v>
      </c>
      <c r="T2128" s="12">
        <v>0.7535822660600322</v>
      </c>
      <c r="U2128" s="12">
        <v>0.81697351064988388</v>
      </c>
      <c r="V2128" s="12">
        <v>300.032917</v>
      </c>
      <c r="W2128" s="12">
        <v>5.2874190540662704</v>
      </c>
      <c r="X2128" s="12">
        <v>48.813845998305098</v>
      </c>
      <c r="Y2128" s="12">
        <v>1367.129165302262</v>
      </c>
      <c r="Z2128" s="12">
        <v>1.837254935449522</v>
      </c>
      <c r="AA2128" s="12" t="s">
        <v>1268</v>
      </c>
      <c r="AB2128" s="12"/>
    </row>
    <row r="2129" spans="1:28" x14ac:dyDescent="0.3">
      <c r="A2129" s="12" t="s">
        <v>4043</v>
      </c>
      <c r="B2129" s="12" t="s">
        <v>170</v>
      </c>
      <c r="C2129" s="12" t="s">
        <v>456</v>
      </c>
      <c r="D2129" s="12" t="s">
        <v>731</v>
      </c>
      <c r="E2129" s="12" t="s">
        <v>2978</v>
      </c>
      <c r="F2129" s="12" t="s">
        <v>1862</v>
      </c>
      <c r="G2129" s="12" t="s">
        <v>1862</v>
      </c>
      <c r="H2129" s="12" t="b">
        <v>1</v>
      </c>
      <c r="I2129" s="12" t="b">
        <v>0</v>
      </c>
      <c r="J2129" s="12" t="b">
        <v>1</v>
      </c>
      <c r="K2129" s="12" t="b">
        <v>0</v>
      </c>
      <c r="L2129" s="12">
        <v>623.15</v>
      </c>
      <c r="M2129" s="12">
        <v>300.032917</v>
      </c>
      <c r="N2129" s="12">
        <v>3000</v>
      </c>
      <c r="O2129" s="12">
        <v>326.76899043148308</v>
      </c>
      <c r="P2129" s="12">
        <v>0.69074576491882667</v>
      </c>
      <c r="Q2129" s="12">
        <v>0.85995200332256194</v>
      </c>
      <c r="R2129" s="12">
        <v>0.46695724472699018</v>
      </c>
      <c r="S2129" s="12">
        <v>0.56534283363295712</v>
      </c>
      <c r="T2129" s="12">
        <v>0.78732244949152319</v>
      </c>
      <c r="U2129" s="12">
        <v>0.70833023265288431</v>
      </c>
      <c r="V2129" s="12">
        <v>300.032917</v>
      </c>
      <c r="W2129" s="12">
        <v>-15.662927571721729</v>
      </c>
      <c r="X2129" s="12">
        <v>-107.2434162403941</v>
      </c>
      <c r="Y2129" s="12">
        <v>2673.231009568517</v>
      </c>
      <c r="Z2129" s="12">
        <v>9.1807977128999916</v>
      </c>
      <c r="AA2129" s="12" t="s">
        <v>2571</v>
      </c>
      <c r="AB2129" s="12"/>
    </row>
    <row r="2130" spans="1:28" x14ac:dyDescent="0.3">
      <c r="A2130" s="12" t="s">
        <v>4044</v>
      </c>
      <c r="B2130" s="12" t="s">
        <v>170</v>
      </c>
      <c r="C2130" s="12" t="s">
        <v>456</v>
      </c>
      <c r="D2130" s="12" t="s">
        <v>731</v>
      </c>
      <c r="E2130" s="12" t="s">
        <v>2978</v>
      </c>
      <c r="F2130" s="12" t="s">
        <v>1861</v>
      </c>
      <c r="G2130" s="12" t="s">
        <v>1861</v>
      </c>
      <c r="H2130" s="12" t="b">
        <v>1</v>
      </c>
      <c r="I2130" s="12" t="b">
        <v>0</v>
      </c>
      <c r="J2130" s="12" t="b">
        <v>1</v>
      </c>
      <c r="K2130" s="12" t="b">
        <v>0</v>
      </c>
      <c r="L2130" s="12">
        <v>623.15</v>
      </c>
      <c r="M2130" s="12">
        <v>300.032917</v>
      </c>
      <c r="N2130" s="12">
        <v>3000</v>
      </c>
      <c r="O2130" s="12">
        <v>1371.6732234206081</v>
      </c>
      <c r="P2130" s="12">
        <v>0.60257171626829886</v>
      </c>
      <c r="Q2130" s="12">
        <v>0.42887738587892571</v>
      </c>
      <c r="R2130" s="12">
        <v>0.86166434599265906</v>
      </c>
      <c r="S2130" s="12">
        <v>0.48139214775309458</v>
      </c>
      <c r="T2130" s="12">
        <v>0.93454482090225044</v>
      </c>
      <c r="U2130" s="12">
        <v>0.82366285941044426</v>
      </c>
      <c r="V2130" s="12">
        <v>300.032917</v>
      </c>
      <c r="W2130" s="12">
        <v>3.1773879303725998</v>
      </c>
      <c r="X2130" s="12">
        <v>34.306921129983436</v>
      </c>
      <c r="Y2130" s="12">
        <v>1628.3267765793919</v>
      </c>
      <c r="Z2130" s="12">
        <v>2.18710983693241</v>
      </c>
      <c r="AA2130" s="12" t="s">
        <v>1268</v>
      </c>
      <c r="AB2130" s="12"/>
    </row>
    <row r="2131" spans="1:28" x14ac:dyDescent="0.3">
      <c r="A2131" s="12" t="s">
        <v>4045</v>
      </c>
      <c r="B2131" s="12" t="s">
        <v>170</v>
      </c>
      <c r="C2131" s="12" t="s">
        <v>456</v>
      </c>
      <c r="D2131" s="12" t="s">
        <v>731</v>
      </c>
      <c r="E2131" s="12" t="s">
        <v>2978</v>
      </c>
      <c r="F2131" s="12" t="s">
        <v>1861</v>
      </c>
      <c r="G2131" s="12" t="s">
        <v>1861</v>
      </c>
      <c r="H2131" s="12" t="b">
        <v>1</v>
      </c>
      <c r="I2131" s="12" t="b">
        <v>0</v>
      </c>
      <c r="J2131" s="12" t="b">
        <v>1</v>
      </c>
      <c r="K2131" s="12" t="b">
        <v>0</v>
      </c>
      <c r="L2131" s="12">
        <v>623.15</v>
      </c>
      <c r="M2131" s="12">
        <v>300.032917</v>
      </c>
      <c r="N2131" s="12">
        <v>3000</v>
      </c>
      <c r="O2131" s="12">
        <v>1453.2527675756271</v>
      </c>
      <c r="P2131" s="12">
        <v>0.62531654123406266</v>
      </c>
      <c r="Q2131" s="12">
        <v>0.90973040611179601</v>
      </c>
      <c r="R2131" s="12">
        <v>0.70406502255857206</v>
      </c>
      <c r="S2131" s="12">
        <v>0.55998619771992919</v>
      </c>
      <c r="T2131" s="12">
        <v>0.94522276171775921</v>
      </c>
      <c r="U2131" s="12">
        <v>0.52727481200395476</v>
      </c>
      <c r="V2131" s="12">
        <v>300.032917</v>
      </c>
      <c r="W2131" s="12">
        <v>3.9639809276089299</v>
      </c>
      <c r="X2131" s="12">
        <v>37.203226182220277</v>
      </c>
      <c r="Y2131" s="12">
        <v>1546.7472324243729</v>
      </c>
      <c r="Z2131" s="12">
        <v>2.0643346201946118</v>
      </c>
      <c r="AA2131" s="12" t="s">
        <v>1268</v>
      </c>
      <c r="AB2131" s="12"/>
    </row>
    <row r="2132" spans="1:28" x14ac:dyDescent="0.3">
      <c r="A2132" s="12" t="s">
        <v>4046</v>
      </c>
      <c r="B2132" s="12" t="s">
        <v>170</v>
      </c>
      <c r="C2132" s="12" t="s">
        <v>456</v>
      </c>
      <c r="D2132" s="12" t="s">
        <v>731</v>
      </c>
      <c r="E2132" s="12" t="s">
        <v>2978</v>
      </c>
      <c r="F2132" s="12" t="s">
        <v>32</v>
      </c>
      <c r="G2132" s="12" t="s">
        <v>32</v>
      </c>
      <c r="H2132" s="12" t="b">
        <v>1</v>
      </c>
      <c r="I2132" s="12" t="b">
        <v>0</v>
      </c>
      <c r="J2132" s="12" t="b">
        <v>1</v>
      </c>
      <c r="K2132" s="12" t="b">
        <v>0</v>
      </c>
      <c r="L2132" s="12">
        <v>623.15</v>
      </c>
      <c r="M2132" s="12">
        <v>300.032917</v>
      </c>
      <c r="N2132" s="12">
        <v>3000</v>
      </c>
      <c r="O2132" s="12">
        <v>1564.5774499356071</v>
      </c>
      <c r="P2132" s="12">
        <v>0.52171967635703898</v>
      </c>
      <c r="Q2132" s="12">
        <v>0.5123417698728765</v>
      </c>
      <c r="R2132" s="12">
        <v>0.88388007922922607</v>
      </c>
      <c r="S2132" s="12">
        <v>0.40708278494729622</v>
      </c>
      <c r="T2132" s="12">
        <v>0.92441769528732398</v>
      </c>
      <c r="U2132" s="12">
        <v>0.90290523296437319</v>
      </c>
      <c r="V2132" s="12">
        <v>300.032917</v>
      </c>
      <c r="W2132" s="12">
        <v>2.91726153128542</v>
      </c>
      <c r="X2132" s="12">
        <v>28.000226473874189</v>
      </c>
      <c r="Y2132" s="12">
        <v>1435.4225500643929</v>
      </c>
      <c r="Z2132" s="12">
        <v>1.917450619094293</v>
      </c>
      <c r="AA2132" s="12"/>
      <c r="AB2132" s="12"/>
    </row>
    <row r="2133" spans="1:28" x14ac:dyDescent="0.3">
      <c r="A2133" s="12" t="s">
        <v>4047</v>
      </c>
      <c r="B2133" s="12" t="s">
        <v>170</v>
      </c>
      <c r="C2133" s="12" t="s">
        <v>456</v>
      </c>
      <c r="D2133" s="12" t="s">
        <v>731</v>
      </c>
      <c r="E2133" s="12" t="s">
        <v>2978</v>
      </c>
      <c r="F2133" s="12" t="s">
        <v>832</v>
      </c>
      <c r="G2133" s="12" t="s">
        <v>832</v>
      </c>
      <c r="H2133" s="12" t="b">
        <v>0</v>
      </c>
      <c r="I2133" s="12" t="b">
        <v>0</v>
      </c>
      <c r="J2133" s="12" t="b">
        <v>0</v>
      </c>
      <c r="K2133" s="12" t="b">
        <v>0</v>
      </c>
      <c r="L2133" s="12">
        <v>623.15</v>
      </c>
      <c r="M2133" s="12">
        <v>300.032917</v>
      </c>
      <c r="N2133" s="12">
        <v>3000</v>
      </c>
      <c r="O2133" s="12">
        <v>1354.960781701227</v>
      </c>
      <c r="P2133" s="12">
        <v>0.75681390019218675</v>
      </c>
      <c r="Q2133" s="12">
        <v>0.78735516322664778</v>
      </c>
      <c r="R2133" s="12">
        <v>0.71653260194852331</v>
      </c>
      <c r="S2133" s="12">
        <v>0.44678802679172891</v>
      </c>
      <c r="T2133" s="12">
        <v>0.80824092181304275</v>
      </c>
      <c r="U2133" s="12">
        <v>0.4700136276289168</v>
      </c>
      <c r="V2133" s="12">
        <v>300.032917</v>
      </c>
      <c r="W2133" s="12"/>
      <c r="X2133" s="12"/>
      <c r="Y2133" s="12">
        <v>1645.039218298773</v>
      </c>
      <c r="Z2133" s="12">
        <v>2.214086223391158</v>
      </c>
      <c r="AA2133" s="12"/>
      <c r="AB2133" s="12"/>
    </row>
    <row r="2134" spans="1:28" x14ac:dyDescent="0.3">
      <c r="A2134" s="12" t="s">
        <v>4048</v>
      </c>
      <c r="B2134" s="12" t="s">
        <v>170</v>
      </c>
      <c r="C2134" s="12" t="s">
        <v>456</v>
      </c>
      <c r="D2134" s="12" t="s">
        <v>731</v>
      </c>
      <c r="E2134" s="12" t="s">
        <v>2978</v>
      </c>
      <c r="F2134" s="12" t="s">
        <v>1861</v>
      </c>
      <c r="G2134" s="12" t="s">
        <v>1861</v>
      </c>
      <c r="H2134" s="12" t="b">
        <v>1</v>
      </c>
      <c r="I2134" s="12" t="b">
        <v>0</v>
      </c>
      <c r="J2134" s="12" t="b">
        <v>1</v>
      </c>
      <c r="K2134" s="12" t="b">
        <v>0</v>
      </c>
      <c r="L2134" s="12">
        <v>623.15</v>
      </c>
      <c r="M2134" s="12">
        <v>300.032917</v>
      </c>
      <c r="N2134" s="12">
        <v>3000</v>
      </c>
      <c r="O2134" s="12">
        <v>1401.1040022163429</v>
      </c>
      <c r="P2134" s="12">
        <v>0.51118226779122011</v>
      </c>
      <c r="Q2134" s="12">
        <v>0.5744780886248817</v>
      </c>
      <c r="R2134" s="12">
        <v>0.92718302266605279</v>
      </c>
      <c r="S2134" s="12">
        <v>0.59265272523409929</v>
      </c>
      <c r="T2134" s="12">
        <v>0.853138076166986</v>
      </c>
      <c r="U2134" s="12">
        <v>0.61709597547835993</v>
      </c>
      <c r="V2134" s="12">
        <v>300.032917</v>
      </c>
      <c r="W2134" s="12">
        <v>2.7493161907547798</v>
      </c>
      <c r="X2134" s="12">
        <v>31.74137032625941</v>
      </c>
      <c r="Y2134" s="12">
        <v>1598.8959977836571</v>
      </c>
      <c r="Z2134" s="12">
        <v>2.1411686750265759</v>
      </c>
      <c r="AA2134" s="12" t="s">
        <v>1268</v>
      </c>
      <c r="AB2134" s="12"/>
    </row>
    <row r="2135" spans="1:28" x14ac:dyDescent="0.3">
      <c r="A2135" s="12" t="s">
        <v>4049</v>
      </c>
      <c r="B2135" s="12" t="s">
        <v>170</v>
      </c>
      <c r="C2135" s="12" t="s">
        <v>456</v>
      </c>
      <c r="D2135" s="12" t="s">
        <v>731</v>
      </c>
      <c r="E2135" s="12" t="s">
        <v>2978</v>
      </c>
      <c r="F2135" s="12" t="s">
        <v>832</v>
      </c>
      <c r="G2135" s="12" t="s">
        <v>832</v>
      </c>
      <c r="H2135" s="12" t="b">
        <v>0</v>
      </c>
      <c r="I2135" s="12" t="b">
        <v>0</v>
      </c>
      <c r="J2135" s="12" t="b">
        <v>0</v>
      </c>
      <c r="K2135" s="12" t="b">
        <v>0</v>
      </c>
      <c r="L2135" s="12">
        <v>623.15</v>
      </c>
      <c r="M2135" s="12">
        <v>300.032917</v>
      </c>
      <c r="N2135" s="12">
        <v>3000</v>
      </c>
      <c r="O2135" s="12">
        <v>984.78206921214917</v>
      </c>
      <c r="P2135" s="12">
        <v>0.82802266354813114</v>
      </c>
      <c r="Q2135" s="12">
        <v>0.70729189359154621</v>
      </c>
      <c r="R2135" s="12">
        <v>0.56130871058066723</v>
      </c>
      <c r="S2135" s="12">
        <v>0.90558427443830203</v>
      </c>
      <c r="T2135" s="12">
        <v>0.94659716236768643</v>
      </c>
      <c r="U2135" s="12">
        <v>0.6023092041453213</v>
      </c>
      <c r="V2135" s="12">
        <v>300.032917</v>
      </c>
      <c r="W2135" s="12"/>
      <c r="X2135" s="12"/>
      <c r="Y2135" s="12">
        <v>2015.2179307878509</v>
      </c>
      <c r="Z2135" s="12">
        <v>3.0463592847502561</v>
      </c>
      <c r="AA2135" s="12"/>
      <c r="AB2135" s="12"/>
    </row>
    <row r="2136" spans="1:28" x14ac:dyDescent="0.3">
      <c r="A2136" s="12" t="s">
        <v>4050</v>
      </c>
      <c r="B2136" s="12" t="s">
        <v>170</v>
      </c>
      <c r="C2136" s="12" t="s">
        <v>456</v>
      </c>
      <c r="D2136" s="12" t="s">
        <v>731</v>
      </c>
      <c r="E2136" s="12" t="s">
        <v>2978</v>
      </c>
      <c r="F2136" s="12" t="s">
        <v>1861</v>
      </c>
      <c r="G2136" s="12" t="s">
        <v>1861</v>
      </c>
      <c r="H2136" s="12" t="b">
        <v>1</v>
      </c>
      <c r="I2136" s="12" t="b">
        <v>0</v>
      </c>
      <c r="J2136" s="12" t="b">
        <v>0</v>
      </c>
      <c r="K2136" s="12" t="b">
        <v>0</v>
      </c>
      <c r="L2136" s="12">
        <v>623.15</v>
      </c>
      <c r="M2136" s="12">
        <v>300.032917</v>
      </c>
      <c r="N2136" s="12">
        <v>3000</v>
      </c>
      <c r="O2136" s="12">
        <v>1363.683993216255</v>
      </c>
      <c r="P2136" s="12">
        <v>0.71009774279764859</v>
      </c>
      <c r="Q2136" s="12">
        <v>0.89539944725762677</v>
      </c>
      <c r="R2136" s="12">
        <v>0.45046369188258001</v>
      </c>
      <c r="S2136" s="12">
        <v>0.45598001691215978</v>
      </c>
      <c r="T2136" s="12">
        <v>0.74743886137128013</v>
      </c>
      <c r="U2136" s="12">
        <v>0.82094276269239819</v>
      </c>
      <c r="V2136" s="12">
        <v>300.032917</v>
      </c>
      <c r="W2136" s="12">
        <v>6.9216668138934896</v>
      </c>
      <c r="X2136" s="12">
        <v>68.306230960875453</v>
      </c>
      <c r="Y2136" s="12">
        <v>1636.316006783745</v>
      </c>
      <c r="Z2136" s="12">
        <v>2.1999231602949929</v>
      </c>
      <c r="AA2136" s="12" t="s">
        <v>1268</v>
      </c>
      <c r="AB2136" s="12"/>
    </row>
    <row r="2137" spans="1:28" x14ac:dyDescent="0.3">
      <c r="A2137" s="12" t="s">
        <v>4051</v>
      </c>
      <c r="B2137" s="12" t="s">
        <v>170</v>
      </c>
      <c r="C2137" s="12" t="s">
        <v>456</v>
      </c>
      <c r="D2137" s="12" t="s">
        <v>731</v>
      </c>
      <c r="E2137" s="12" t="s">
        <v>2978</v>
      </c>
      <c r="F2137" s="12" t="s">
        <v>1861</v>
      </c>
      <c r="G2137" s="12" t="s">
        <v>1861</v>
      </c>
      <c r="H2137" s="12" t="b">
        <v>1</v>
      </c>
      <c r="I2137" s="12" t="b">
        <v>0</v>
      </c>
      <c r="J2137" s="12" t="b">
        <v>1</v>
      </c>
      <c r="K2137" s="12" t="b">
        <v>0</v>
      </c>
      <c r="L2137" s="12">
        <v>623.15</v>
      </c>
      <c r="M2137" s="12">
        <v>300.032917</v>
      </c>
      <c r="N2137" s="12">
        <v>3000</v>
      </c>
      <c r="O2137" s="12">
        <v>1219.800534846232</v>
      </c>
      <c r="P2137" s="12">
        <v>0.80402974879328859</v>
      </c>
      <c r="Q2137" s="12">
        <v>0.58454525855518313</v>
      </c>
      <c r="R2137" s="12">
        <v>0.69600906662367223</v>
      </c>
      <c r="S2137" s="12">
        <v>0.6897565421322206</v>
      </c>
      <c r="T2137" s="12">
        <v>0.62516848127181268</v>
      </c>
      <c r="U2137" s="12">
        <v>0.74821735696522218</v>
      </c>
      <c r="V2137" s="12">
        <v>300.032917</v>
      </c>
      <c r="W2137" s="12">
        <v>3.4167053255697102</v>
      </c>
      <c r="X2137" s="12">
        <v>43.581338148858009</v>
      </c>
      <c r="Y2137" s="12">
        <v>1780.199465153768</v>
      </c>
      <c r="Z2137" s="12">
        <v>2.459418498597544</v>
      </c>
      <c r="AA2137" s="12" t="s">
        <v>1268</v>
      </c>
      <c r="AB2137" s="12"/>
    </row>
    <row r="2138" spans="1:28" x14ac:dyDescent="0.3">
      <c r="A2138" s="12" t="s">
        <v>4052</v>
      </c>
      <c r="B2138" s="12" t="s">
        <v>170</v>
      </c>
      <c r="C2138" s="12" t="s">
        <v>456</v>
      </c>
      <c r="D2138" s="12" t="s">
        <v>731</v>
      </c>
      <c r="E2138" s="12" t="s">
        <v>2978</v>
      </c>
      <c r="F2138" s="12" t="s">
        <v>1861</v>
      </c>
      <c r="G2138" s="12" t="s">
        <v>1861</v>
      </c>
      <c r="H2138" s="12" t="b">
        <v>1</v>
      </c>
      <c r="I2138" s="12" t="b">
        <v>0</v>
      </c>
      <c r="J2138" s="12" t="b">
        <v>1</v>
      </c>
      <c r="K2138" s="12" t="b">
        <v>0</v>
      </c>
      <c r="L2138" s="12">
        <v>623.15</v>
      </c>
      <c r="M2138" s="12">
        <v>300.032917</v>
      </c>
      <c r="N2138" s="12">
        <v>3000</v>
      </c>
      <c r="O2138" s="12">
        <v>1038.5780192705261</v>
      </c>
      <c r="P2138" s="12">
        <v>0.65100512197262561</v>
      </c>
      <c r="Q2138" s="12">
        <v>0.5338701111491132</v>
      </c>
      <c r="R2138" s="12">
        <v>0.84184924481633983</v>
      </c>
      <c r="S2138" s="12">
        <v>0.64951328132649377</v>
      </c>
      <c r="T2138" s="12">
        <v>0.84883418458806226</v>
      </c>
      <c r="U2138" s="12">
        <v>0.8456750820788137</v>
      </c>
      <c r="V2138" s="12">
        <v>300.032917</v>
      </c>
      <c r="W2138" s="12">
        <v>4.99248177010712</v>
      </c>
      <c r="X2138" s="12">
        <v>72.205227413174882</v>
      </c>
      <c r="Y2138" s="12">
        <v>1961.4219807294739</v>
      </c>
      <c r="Z2138" s="12">
        <v>2.888564888083355</v>
      </c>
      <c r="AA2138" s="12" t="s">
        <v>1268</v>
      </c>
      <c r="AB2138" s="12"/>
    </row>
    <row r="2139" spans="1:28" x14ac:dyDescent="0.3">
      <c r="A2139" s="12" t="s">
        <v>4053</v>
      </c>
      <c r="B2139" s="12" t="s">
        <v>170</v>
      </c>
      <c r="C2139" s="12" t="s">
        <v>456</v>
      </c>
      <c r="D2139" s="12" t="s">
        <v>731</v>
      </c>
      <c r="E2139" s="12" t="s">
        <v>2978</v>
      </c>
      <c r="F2139" s="12" t="s">
        <v>1861</v>
      </c>
      <c r="G2139" s="12" t="s">
        <v>1861</v>
      </c>
      <c r="H2139" s="12" t="b">
        <v>1</v>
      </c>
      <c r="I2139" s="12" t="b">
        <v>0</v>
      </c>
      <c r="J2139" s="12" t="b">
        <v>1</v>
      </c>
      <c r="K2139" s="12" t="b">
        <v>0</v>
      </c>
      <c r="L2139" s="12">
        <v>623.15</v>
      </c>
      <c r="M2139" s="12">
        <v>300.032917</v>
      </c>
      <c r="N2139" s="12">
        <v>3000</v>
      </c>
      <c r="O2139" s="12">
        <v>304.45500055856502</v>
      </c>
      <c r="P2139" s="12">
        <v>0.53214547404164236</v>
      </c>
      <c r="Q2139" s="12">
        <v>0.6019671347722052</v>
      </c>
      <c r="R2139" s="12">
        <v>0.83189633899799498</v>
      </c>
      <c r="S2139" s="12">
        <v>0.63574106056277691</v>
      </c>
      <c r="T2139" s="12">
        <v>0.77800067120704575</v>
      </c>
      <c r="U2139" s="12">
        <v>0.85827096264035108</v>
      </c>
      <c r="V2139" s="12">
        <v>300.032917</v>
      </c>
      <c r="W2139" s="12">
        <v>8.90154092720487</v>
      </c>
      <c r="X2139" s="12">
        <v>125.3441879005171</v>
      </c>
      <c r="Y2139" s="12">
        <v>2695.5449994414348</v>
      </c>
      <c r="Z2139" s="12">
        <v>9.8536729385166399</v>
      </c>
      <c r="AA2139" s="12" t="s">
        <v>1268</v>
      </c>
      <c r="AB2139" s="12"/>
    </row>
    <row r="2140" spans="1:28" x14ac:dyDescent="0.3">
      <c r="A2140" s="12" t="s">
        <v>4054</v>
      </c>
      <c r="B2140" s="12" t="s">
        <v>170</v>
      </c>
      <c r="C2140" s="12" t="s">
        <v>456</v>
      </c>
      <c r="D2140" s="12" t="s">
        <v>731</v>
      </c>
      <c r="E2140" s="12" t="s">
        <v>2978</v>
      </c>
      <c r="F2140" s="12" t="s">
        <v>832</v>
      </c>
      <c r="G2140" s="12" t="s">
        <v>832</v>
      </c>
      <c r="H2140" s="12" t="b">
        <v>0</v>
      </c>
      <c r="I2140" s="12" t="b">
        <v>0</v>
      </c>
      <c r="J2140" s="12" t="b">
        <v>0</v>
      </c>
      <c r="K2140" s="12" t="b">
        <v>0</v>
      </c>
      <c r="L2140" s="12">
        <v>623.15</v>
      </c>
      <c r="M2140" s="12">
        <v>300.032917</v>
      </c>
      <c r="N2140" s="12">
        <v>3000</v>
      </c>
      <c r="O2140" s="12">
        <v>379.95876982266623</v>
      </c>
      <c r="P2140" s="12">
        <v>0.78390776854018029</v>
      </c>
      <c r="Q2140" s="12">
        <v>0.86297092838189104</v>
      </c>
      <c r="R2140" s="12">
        <v>0.67738957653839249</v>
      </c>
      <c r="S2140" s="12">
        <v>0.59938075310540317</v>
      </c>
      <c r="T2140" s="12">
        <v>0.66854516642389439</v>
      </c>
      <c r="U2140" s="12">
        <v>0.65166694370819356</v>
      </c>
      <c r="V2140" s="12">
        <v>300.032917</v>
      </c>
      <c r="W2140" s="12"/>
      <c r="X2140" s="12"/>
      <c r="Y2140" s="12">
        <v>2620.041230177334</v>
      </c>
      <c r="Z2140" s="12">
        <v>7.8955935176865513</v>
      </c>
      <c r="AA2140" s="12"/>
      <c r="AB2140" s="12"/>
    </row>
    <row r="2141" spans="1:28" x14ac:dyDescent="0.3">
      <c r="A2141" s="12" t="s">
        <v>4055</v>
      </c>
      <c r="B2141" s="12" t="s">
        <v>170</v>
      </c>
      <c r="C2141" s="12" t="s">
        <v>456</v>
      </c>
      <c r="D2141" s="12" t="s">
        <v>731</v>
      </c>
      <c r="E2141" s="12" t="s">
        <v>2978</v>
      </c>
      <c r="F2141" s="12" t="s">
        <v>1861</v>
      </c>
      <c r="G2141" s="12" t="s">
        <v>1861</v>
      </c>
      <c r="H2141" s="12" t="b">
        <v>1</v>
      </c>
      <c r="I2141" s="12" t="b">
        <v>0</v>
      </c>
      <c r="J2141" s="12" t="b">
        <v>1</v>
      </c>
      <c r="K2141" s="12" t="b">
        <v>0</v>
      </c>
      <c r="L2141" s="12">
        <v>623.15</v>
      </c>
      <c r="M2141" s="12">
        <v>300.032917</v>
      </c>
      <c r="N2141" s="12">
        <v>3000</v>
      </c>
      <c r="O2141" s="12">
        <v>403.1456792546187</v>
      </c>
      <c r="P2141" s="12">
        <v>0.60578176259434779</v>
      </c>
      <c r="Q2141" s="12">
        <v>0.79293511554095697</v>
      </c>
      <c r="R2141" s="12">
        <v>0.61722059885302338</v>
      </c>
      <c r="S2141" s="12">
        <v>0.58391663917638914</v>
      </c>
      <c r="T2141" s="12">
        <v>0.79718150485676165</v>
      </c>
      <c r="U2141" s="12">
        <v>0.63513435960080877</v>
      </c>
      <c r="V2141" s="12">
        <v>300.032917</v>
      </c>
      <c r="W2141" s="12">
        <v>2.9537938276426199</v>
      </c>
      <c r="X2141" s="12">
        <v>28.179995990762819</v>
      </c>
      <c r="Y2141" s="12">
        <v>2596.8543207453808</v>
      </c>
      <c r="Z2141" s="12">
        <v>7.4414787367850233</v>
      </c>
      <c r="AA2141" s="12" t="s">
        <v>1268</v>
      </c>
      <c r="AB2141" s="12"/>
    </row>
    <row r="2142" spans="1:28" x14ac:dyDescent="0.3">
      <c r="A2142" s="12" t="s">
        <v>4056</v>
      </c>
      <c r="B2142" s="12" t="s">
        <v>170</v>
      </c>
      <c r="C2142" s="12" t="s">
        <v>456</v>
      </c>
      <c r="D2142" s="12" t="s">
        <v>731</v>
      </c>
      <c r="E2142" s="12" t="s">
        <v>2978</v>
      </c>
      <c r="F2142" s="12" t="s">
        <v>832</v>
      </c>
      <c r="G2142" s="12" t="s">
        <v>832</v>
      </c>
      <c r="H2142" s="12" t="b">
        <v>0</v>
      </c>
      <c r="I2142" s="12" t="b">
        <v>0</v>
      </c>
      <c r="J2142" s="12" t="b">
        <v>0</v>
      </c>
      <c r="K2142" s="12" t="b">
        <v>0</v>
      </c>
      <c r="L2142" s="12">
        <v>623.15</v>
      </c>
      <c r="M2142" s="12">
        <v>300.032917</v>
      </c>
      <c r="N2142" s="12">
        <v>3000</v>
      </c>
      <c r="O2142" s="12">
        <v>1880.028816148849</v>
      </c>
      <c r="P2142" s="12">
        <v>0.72574937759465119</v>
      </c>
      <c r="Q2142" s="12">
        <v>0.64918836682929892</v>
      </c>
      <c r="R2142" s="12">
        <v>0.55797500192524996</v>
      </c>
      <c r="S2142" s="12">
        <v>0.84675465361875957</v>
      </c>
      <c r="T2142" s="12">
        <v>0.57519650094183672</v>
      </c>
      <c r="U2142" s="12">
        <v>0.88731056866668134</v>
      </c>
      <c r="V2142" s="12">
        <v>300.032917</v>
      </c>
      <c r="W2142" s="12"/>
      <c r="X2142" s="12"/>
      <c r="Y2142" s="12">
        <v>1119.971183851151</v>
      </c>
      <c r="Z2142" s="12">
        <v>1.595720222068383</v>
      </c>
      <c r="AA2142" s="12"/>
      <c r="AB2142" s="12"/>
    </row>
    <row r="2143" spans="1:28" x14ac:dyDescent="0.3">
      <c r="A2143" s="12" t="s">
        <v>4057</v>
      </c>
      <c r="B2143" s="12" t="s">
        <v>170</v>
      </c>
      <c r="C2143" s="12" t="s">
        <v>456</v>
      </c>
      <c r="D2143" s="12" t="s">
        <v>731</v>
      </c>
      <c r="E2143" s="12" t="s">
        <v>2978</v>
      </c>
      <c r="F2143" s="12" t="s">
        <v>832</v>
      </c>
      <c r="G2143" s="12" t="s">
        <v>832</v>
      </c>
      <c r="H2143" s="12" t="b">
        <v>0</v>
      </c>
      <c r="I2143" s="12" t="b">
        <v>0</v>
      </c>
      <c r="J2143" s="12" t="b">
        <v>0</v>
      </c>
      <c r="K2143" s="12" t="b">
        <v>0</v>
      </c>
      <c r="L2143" s="12">
        <v>623.15</v>
      </c>
      <c r="M2143" s="12">
        <v>300.032917</v>
      </c>
      <c r="N2143" s="12">
        <v>3000</v>
      </c>
      <c r="O2143" s="12">
        <v>410.23803467196541</v>
      </c>
      <c r="P2143" s="12">
        <v>0.53036744144899028</v>
      </c>
      <c r="Q2143" s="12">
        <v>0.63666803282839235</v>
      </c>
      <c r="R2143" s="12">
        <v>0.87023824513244374</v>
      </c>
      <c r="S2143" s="12">
        <v>0.92456884312141419</v>
      </c>
      <c r="T2143" s="12">
        <v>0.63667044286232832</v>
      </c>
      <c r="U2143" s="12">
        <v>0.7293983739184251</v>
      </c>
      <c r="V2143" s="12">
        <v>300.032917</v>
      </c>
      <c r="W2143" s="12"/>
      <c r="X2143" s="12"/>
      <c r="Y2143" s="12">
        <v>2589.761965328034</v>
      </c>
      <c r="Z2143" s="12">
        <v>7.3128275451077096</v>
      </c>
      <c r="AA2143" s="12"/>
      <c r="AB2143" s="12"/>
    </row>
    <row r="2144" spans="1:28" x14ac:dyDescent="0.3">
      <c r="A2144" s="12" t="s">
        <v>4058</v>
      </c>
      <c r="B2144" s="12" t="s">
        <v>170</v>
      </c>
      <c r="C2144" s="12" t="s">
        <v>456</v>
      </c>
      <c r="D2144" s="12" t="s">
        <v>731</v>
      </c>
      <c r="E2144" s="12" t="s">
        <v>2978</v>
      </c>
      <c r="F2144" s="12" t="s">
        <v>832</v>
      </c>
      <c r="G2144" s="12" t="s">
        <v>832</v>
      </c>
      <c r="H2144" s="12" t="b">
        <v>0</v>
      </c>
      <c r="I2144" s="12" t="b">
        <v>0</v>
      </c>
      <c r="J2144" s="12" t="b">
        <v>0</v>
      </c>
      <c r="K2144" s="12" t="b">
        <v>0</v>
      </c>
      <c r="L2144" s="12">
        <v>623.15</v>
      </c>
      <c r="M2144" s="12">
        <v>300.032917</v>
      </c>
      <c r="N2144" s="12">
        <v>3000</v>
      </c>
      <c r="O2144" s="12">
        <v>868.60651219772456</v>
      </c>
      <c r="P2144" s="12">
        <v>0.5691225270379997</v>
      </c>
      <c r="Q2144" s="12">
        <v>0.94578128168886177</v>
      </c>
      <c r="R2144" s="12">
        <v>0.79694709693247612</v>
      </c>
      <c r="S2144" s="12">
        <v>0.89514463629768137</v>
      </c>
      <c r="T2144" s="12">
        <v>0.52635515240475417</v>
      </c>
      <c r="U2144" s="12">
        <v>0.9168757271130078</v>
      </c>
      <c r="V2144" s="12">
        <v>300.032917</v>
      </c>
      <c r="W2144" s="12"/>
      <c r="X2144" s="12"/>
      <c r="Y2144" s="12">
        <v>2131.393487802276</v>
      </c>
      <c r="Z2144" s="12">
        <v>3.4538078610641332</v>
      </c>
      <c r="AA2144" s="12"/>
      <c r="AB2144" s="12"/>
    </row>
    <row r="2145" spans="1:28" x14ac:dyDescent="0.3">
      <c r="A2145" s="12" t="s">
        <v>4059</v>
      </c>
      <c r="B2145" s="12" t="s">
        <v>170</v>
      </c>
      <c r="C2145" s="12" t="s">
        <v>456</v>
      </c>
      <c r="D2145" s="12" t="s">
        <v>731</v>
      </c>
      <c r="E2145" s="12" t="s">
        <v>2978</v>
      </c>
      <c r="F2145" s="12" t="s">
        <v>1862</v>
      </c>
      <c r="G2145" s="12" t="s">
        <v>1862</v>
      </c>
      <c r="H2145" s="12" t="b">
        <v>1</v>
      </c>
      <c r="I2145" s="12" t="b">
        <v>0</v>
      </c>
      <c r="J2145" s="12" t="b">
        <v>1</v>
      </c>
      <c r="K2145" s="12" t="b">
        <v>0</v>
      </c>
      <c r="L2145" s="12">
        <v>623.15</v>
      </c>
      <c r="M2145" s="12">
        <v>300.032917</v>
      </c>
      <c r="N2145" s="12">
        <v>3000</v>
      </c>
      <c r="O2145" s="12">
        <v>1336.5946334101279</v>
      </c>
      <c r="P2145" s="12">
        <v>0.51570317577898384</v>
      </c>
      <c r="Q2145" s="12">
        <v>0.68265662913447711</v>
      </c>
      <c r="R2145" s="12">
        <v>0.68222441395048805</v>
      </c>
      <c r="S2145" s="12">
        <v>0.48571495356392658</v>
      </c>
      <c r="T2145" s="12">
        <v>0.60715771840811983</v>
      </c>
      <c r="U2145" s="12">
        <v>0.4221538271303219</v>
      </c>
      <c r="V2145" s="12">
        <v>300.032917</v>
      </c>
      <c r="W2145" s="12">
        <v>-1.08979739075062</v>
      </c>
      <c r="X2145" s="12">
        <v>-8.2682901814469147</v>
      </c>
      <c r="Y2145" s="12">
        <v>1663.4053665898721</v>
      </c>
      <c r="Z2145" s="12">
        <v>2.2445099845612382</v>
      </c>
      <c r="AA2145" s="12" t="s">
        <v>2513</v>
      </c>
      <c r="AB2145" s="12"/>
    </row>
    <row r="2146" spans="1:28" x14ac:dyDescent="0.3">
      <c r="A2146" s="12" t="s">
        <v>4060</v>
      </c>
      <c r="B2146" s="12" t="s">
        <v>170</v>
      </c>
      <c r="C2146" s="12" t="s">
        <v>456</v>
      </c>
      <c r="D2146" s="12" t="s">
        <v>731</v>
      </c>
      <c r="E2146" s="12" t="s">
        <v>2978</v>
      </c>
      <c r="F2146" s="12" t="s">
        <v>1862</v>
      </c>
      <c r="G2146" s="12" t="s">
        <v>1862</v>
      </c>
      <c r="H2146" s="12" t="b">
        <v>1</v>
      </c>
      <c r="I2146" s="12" t="b">
        <v>0</v>
      </c>
      <c r="J2146" s="12" t="b">
        <v>1</v>
      </c>
      <c r="K2146" s="12" t="b">
        <v>0</v>
      </c>
      <c r="L2146" s="12">
        <v>623.15</v>
      </c>
      <c r="M2146" s="12">
        <v>300.032917</v>
      </c>
      <c r="N2146" s="12">
        <v>3000</v>
      </c>
      <c r="O2146" s="12">
        <v>1200.7035918734091</v>
      </c>
      <c r="P2146" s="12">
        <v>0.76824894437186653</v>
      </c>
      <c r="Q2146" s="12">
        <v>0.46616513979659868</v>
      </c>
      <c r="R2146" s="12">
        <v>0.46214723892164911</v>
      </c>
      <c r="S2146" s="12">
        <v>0.45986255814748872</v>
      </c>
      <c r="T2146" s="12">
        <v>0.58833574388606436</v>
      </c>
      <c r="U2146" s="12">
        <v>0.50400913292754468</v>
      </c>
      <c r="V2146" s="12">
        <v>300.032917</v>
      </c>
      <c r="W2146" s="12">
        <v>-12.21279670111355</v>
      </c>
      <c r="X2146" s="12">
        <v>-82.264672136566361</v>
      </c>
      <c r="Y2146" s="12">
        <v>1799.2964081265909</v>
      </c>
      <c r="Z2146" s="12">
        <v>2.4985350425405342</v>
      </c>
      <c r="AA2146" s="12" t="s">
        <v>2513</v>
      </c>
      <c r="AB2146" s="12"/>
    </row>
    <row r="2147" spans="1:28" x14ac:dyDescent="0.3">
      <c r="A2147" s="12" t="s">
        <v>4061</v>
      </c>
      <c r="B2147" s="12" t="s">
        <v>170</v>
      </c>
      <c r="C2147" s="12" t="s">
        <v>456</v>
      </c>
      <c r="D2147" s="12" t="s">
        <v>731</v>
      </c>
      <c r="E2147" s="12" t="s">
        <v>2978</v>
      </c>
      <c r="F2147" s="12" t="s">
        <v>832</v>
      </c>
      <c r="G2147" s="12" t="s">
        <v>832</v>
      </c>
      <c r="H2147" s="12" t="b">
        <v>0</v>
      </c>
      <c r="I2147" s="12" t="b">
        <v>0</v>
      </c>
      <c r="J2147" s="12" t="b">
        <v>0</v>
      </c>
      <c r="K2147" s="12" t="b">
        <v>0</v>
      </c>
      <c r="L2147" s="12">
        <v>623.15</v>
      </c>
      <c r="M2147" s="12">
        <v>300.032917</v>
      </c>
      <c r="N2147" s="12">
        <v>3000</v>
      </c>
      <c r="O2147" s="12">
        <v>215.74974485984791</v>
      </c>
      <c r="P2147" s="12">
        <v>0.63144614691366807</v>
      </c>
      <c r="Q2147" s="12">
        <v>0.76782898891365869</v>
      </c>
      <c r="R2147" s="12">
        <v>0.74934150224471074</v>
      </c>
      <c r="S2147" s="12">
        <v>0.73729867643749547</v>
      </c>
      <c r="T2147" s="12">
        <v>0.72552358188220256</v>
      </c>
      <c r="U2147" s="12">
        <v>0.4944151872418549</v>
      </c>
      <c r="V2147" s="12">
        <v>300.032917</v>
      </c>
      <c r="W2147" s="12"/>
      <c r="X2147" s="12"/>
      <c r="Y2147" s="12">
        <v>2784.2502551401521</v>
      </c>
      <c r="Z2147" s="12">
        <v>13.904999062449949</v>
      </c>
      <c r="AA2147" s="12"/>
      <c r="AB2147" s="12"/>
    </row>
    <row r="2148" spans="1:28" x14ac:dyDescent="0.3">
      <c r="A2148" s="12" t="s">
        <v>4062</v>
      </c>
      <c r="B2148" s="12" t="s">
        <v>170</v>
      </c>
      <c r="C2148" s="12" t="s">
        <v>456</v>
      </c>
      <c r="D2148" s="12" t="s">
        <v>731</v>
      </c>
      <c r="E2148" s="12" t="s">
        <v>2978</v>
      </c>
      <c r="F2148" s="12" t="s">
        <v>832</v>
      </c>
      <c r="G2148" s="12" t="s">
        <v>832</v>
      </c>
      <c r="H2148" s="12" t="b">
        <v>0</v>
      </c>
      <c r="I2148" s="12" t="b">
        <v>0</v>
      </c>
      <c r="J2148" s="12" t="b">
        <v>0</v>
      </c>
      <c r="K2148" s="12" t="b">
        <v>0</v>
      </c>
      <c r="L2148" s="12">
        <v>623.15</v>
      </c>
      <c r="M2148" s="12">
        <v>300.032917</v>
      </c>
      <c r="N2148" s="12">
        <v>3000</v>
      </c>
      <c r="O2148" s="12">
        <v>597.14312857495156</v>
      </c>
      <c r="P2148" s="12">
        <v>0.73592689572323877</v>
      </c>
      <c r="Q2148" s="12">
        <v>0.48434448723440859</v>
      </c>
      <c r="R2148" s="12">
        <v>0.80296576180528878</v>
      </c>
      <c r="S2148" s="12">
        <v>0.72883611052426511</v>
      </c>
      <c r="T2148" s="12">
        <v>0.56612222988041561</v>
      </c>
      <c r="U2148" s="12">
        <v>0.62865829976968302</v>
      </c>
      <c r="V2148" s="12">
        <v>300.032917</v>
      </c>
      <c r="W2148" s="12"/>
      <c r="X2148" s="12"/>
      <c r="Y2148" s="12">
        <v>2402.8568714250491</v>
      </c>
      <c r="Z2148" s="12">
        <v>5.0239211613459087</v>
      </c>
      <c r="AA2148" s="12"/>
      <c r="AB2148" s="12"/>
    </row>
    <row r="2149" spans="1:28" x14ac:dyDescent="0.3">
      <c r="A2149" s="12" t="s">
        <v>4063</v>
      </c>
      <c r="B2149" s="12" t="s">
        <v>170</v>
      </c>
      <c r="C2149" s="12" t="s">
        <v>456</v>
      </c>
      <c r="D2149" s="12" t="s">
        <v>731</v>
      </c>
      <c r="E2149" s="12" t="s">
        <v>2978</v>
      </c>
      <c r="F2149" s="12" t="s">
        <v>832</v>
      </c>
      <c r="G2149" s="12" t="s">
        <v>832</v>
      </c>
      <c r="H2149" s="12" t="b">
        <v>0</v>
      </c>
      <c r="I2149" s="12" t="b">
        <v>0</v>
      </c>
      <c r="J2149" s="12" t="b">
        <v>0</v>
      </c>
      <c r="K2149" s="12" t="b">
        <v>0</v>
      </c>
      <c r="L2149" s="12">
        <v>623.15</v>
      </c>
      <c r="M2149" s="12">
        <v>300.032917</v>
      </c>
      <c r="N2149" s="12">
        <v>3000</v>
      </c>
      <c r="O2149" s="12">
        <v>211.4165689488047</v>
      </c>
      <c r="P2149" s="12">
        <v>0.50731792318938351</v>
      </c>
      <c r="Q2149" s="12">
        <v>0.40989483197149168</v>
      </c>
      <c r="R2149" s="12">
        <v>0.69257333922805664</v>
      </c>
      <c r="S2149" s="12">
        <v>0.69792941344883674</v>
      </c>
      <c r="T2149" s="12">
        <v>0.93750503581613842</v>
      </c>
      <c r="U2149" s="12">
        <v>0.57962117840227412</v>
      </c>
      <c r="V2149" s="12">
        <v>300.032917</v>
      </c>
      <c r="W2149" s="12"/>
      <c r="X2149" s="12"/>
      <c r="Y2149" s="12">
        <v>2788.583431051195</v>
      </c>
      <c r="Z2149" s="12">
        <v>14.189994733697819</v>
      </c>
      <c r="AA2149" s="12"/>
      <c r="AB2149" s="12"/>
    </row>
    <row r="2150" spans="1:28" x14ac:dyDescent="0.3">
      <c r="A2150" s="12" t="s">
        <v>4064</v>
      </c>
      <c r="B2150" s="12" t="s">
        <v>170</v>
      </c>
      <c r="C2150" s="12" t="s">
        <v>456</v>
      </c>
      <c r="D2150" s="12" t="s">
        <v>731</v>
      </c>
      <c r="E2150" s="12" t="s">
        <v>2978</v>
      </c>
      <c r="F2150" s="12" t="s">
        <v>1862</v>
      </c>
      <c r="G2150" s="12" t="s">
        <v>1862</v>
      </c>
      <c r="H2150" s="12" t="b">
        <v>1</v>
      </c>
      <c r="I2150" s="12" t="b">
        <v>0</v>
      </c>
      <c r="J2150" s="12" t="b">
        <v>1</v>
      </c>
      <c r="K2150" s="12" t="b">
        <v>0</v>
      </c>
      <c r="L2150" s="12">
        <v>623.15</v>
      </c>
      <c r="M2150" s="12">
        <v>300.032917</v>
      </c>
      <c r="N2150" s="12">
        <v>3000</v>
      </c>
      <c r="O2150" s="12">
        <v>580.17882946253792</v>
      </c>
      <c r="P2150" s="12">
        <v>0.70344384832675133</v>
      </c>
      <c r="Q2150" s="12">
        <v>0.57989388616126714</v>
      </c>
      <c r="R2150" s="12">
        <v>0.89241905970231317</v>
      </c>
      <c r="S2150" s="12">
        <v>0.49565048051244409</v>
      </c>
      <c r="T2150" s="12">
        <v>0.91308542866196862</v>
      </c>
      <c r="U2150" s="12">
        <v>0.57273197654429608</v>
      </c>
      <c r="V2150" s="12">
        <v>300.032917</v>
      </c>
      <c r="W2150" s="12">
        <v>-0.95373816068191997</v>
      </c>
      <c r="X2150" s="12">
        <v>-7.0506901061401086</v>
      </c>
      <c r="Y2150" s="12">
        <v>2419.821170537462</v>
      </c>
      <c r="Z2150" s="12">
        <v>5.1708194916024759</v>
      </c>
      <c r="AA2150" s="12" t="s">
        <v>2513</v>
      </c>
      <c r="AB2150" s="12"/>
    </row>
    <row r="2151" spans="1:28" x14ac:dyDescent="0.3">
      <c r="A2151" s="12" t="s">
        <v>4065</v>
      </c>
      <c r="B2151" s="12" t="s">
        <v>170</v>
      </c>
      <c r="C2151" s="12" t="s">
        <v>456</v>
      </c>
      <c r="D2151" s="12" t="s">
        <v>731</v>
      </c>
      <c r="E2151" s="12" t="s">
        <v>2978</v>
      </c>
      <c r="F2151" s="12" t="s">
        <v>32</v>
      </c>
      <c r="G2151" s="12" t="s">
        <v>32</v>
      </c>
      <c r="H2151" s="12" t="b">
        <v>1</v>
      </c>
      <c r="I2151" s="12" t="b">
        <v>0</v>
      </c>
      <c r="J2151" s="12" t="b">
        <v>1</v>
      </c>
      <c r="K2151" s="12" t="b">
        <v>0</v>
      </c>
      <c r="L2151" s="12">
        <v>623.15</v>
      </c>
      <c r="M2151" s="12">
        <v>300.032917</v>
      </c>
      <c r="N2151" s="12">
        <v>3000</v>
      </c>
      <c r="O2151" s="12">
        <v>1901.5702917430101</v>
      </c>
      <c r="P2151" s="12">
        <v>0.67228893140282153</v>
      </c>
      <c r="Q2151" s="12">
        <v>0.9434500605232008</v>
      </c>
      <c r="R2151" s="12">
        <v>0.93587035166241417</v>
      </c>
      <c r="S2151" s="12">
        <v>0.74362145367003651</v>
      </c>
      <c r="T2151" s="12">
        <v>0.86673162472364307</v>
      </c>
      <c r="U2151" s="12">
        <v>0.92885421481591024</v>
      </c>
      <c r="V2151" s="12">
        <v>300.032917</v>
      </c>
      <c r="W2151" s="12">
        <v>4.14837841737031</v>
      </c>
      <c r="X2151" s="12">
        <v>72.627946335189364</v>
      </c>
      <c r="Y2151" s="12">
        <v>1098.4297082569899</v>
      </c>
      <c r="Z2151" s="12">
        <v>1.577643494445925</v>
      </c>
      <c r="AA2151" s="12"/>
      <c r="AB2151" s="12"/>
    </row>
    <row r="2152" spans="1:28" x14ac:dyDescent="0.3">
      <c r="A2152" s="12" t="s">
        <v>4066</v>
      </c>
      <c r="B2152" s="12" t="s">
        <v>170</v>
      </c>
      <c r="C2152" s="12" t="s">
        <v>456</v>
      </c>
      <c r="D2152" s="12" t="s">
        <v>731</v>
      </c>
      <c r="E2152" s="12" t="s">
        <v>2978</v>
      </c>
      <c r="F2152" s="12" t="s">
        <v>832</v>
      </c>
      <c r="G2152" s="12" t="s">
        <v>832</v>
      </c>
      <c r="H2152" s="12" t="b">
        <v>0</v>
      </c>
      <c r="I2152" s="12" t="b">
        <v>0</v>
      </c>
      <c r="J2152" s="12" t="b">
        <v>0</v>
      </c>
      <c r="K2152" s="12" t="b">
        <v>0</v>
      </c>
      <c r="L2152" s="12">
        <v>623.15</v>
      </c>
      <c r="M2152" s="12">
        <v>300.032917</v>
      </c>
      <c r="N2152" s="12">
        <v>3000</v>
      </c>
      <c r="O2152" s="12">
        <v>1322.9138852525091</v>
      </c>
      <c r="P2152" s="12">
        <v>0.64217870307716085</v>
      </c>
      <c r="Q2152" s="12">
        <v>0.40325085012202938</v>
      </c>
      <c r="R2152" s="12">
        <v>0.92144569603789117</v>
      </c>
      <c r="S2152" s="12">
        <v>0.88215035442209677</v>
      </c>
      <c r="T2152" s="12">
        <v>0.74977911772402317</v>
      </c>
      <c r="U2152" s="12">
        <v>0.68780955258226117</v>
      </c>
      <c r="V2152" s="12">
        <v>300.032917</v>
      </c>
      <c r="W2152" s="12"/>
      <c r="X2152" s="12"/>
      <c r="Y2152" s="12">
        <v>1677.0861147474909</v>
      </c>
      <c r="Z2152" s="12">
        <v>2.2677213032860259</v>
      </c>
      <c r="AA2152" s="12"/>
      <c r="AB2152" s="12"/>
    </row>
    <row r="2153" spans="1:28" x14ac:dyDescent="0.3">
      <c r="A2153" s="12" t="s">
        <v>4067</v>
      </c>
      <c r="B2153" s="12" t="s">
        <v>170</v>
      </c>
      <c r="C2153" s="12" t="s">
        <v>456</v>
      </c>
      <c r="D2153" s="12" t="s">
        <v>731</v>
      </c>
      <c r="E2153" s="12" t="s">
        <v>2978</v>
      </c>
      <c r="F2153" s="12" t="s">
        <v>832</v>
      </c>
      <c r="G2153" s="12" t="s">
        <v>832</v>
      </c>
      <c r="H2153" s="12" t="b">
        <v>0</v>
      </c>
      <c r="I2153" s="12" t="b">
        <v>0</v>
      </c>
      <c r="J2153" s="12" t="b">
        <v>0</v>
      </c>
      <c r="K2153" s="12" t="b">
        <v>0</v>
      </c>
      <c r="L2153" s="12">
        <v>623.15</v>
      </c>
      <c r="M2153" s="12">
        <v>300.032917</v>
      </c>
      <c r="N2153" s="12">
        <v>3000</v>
      </c>
      <c r="O2153" s="12">
        <v>1061.882493709157</v>
      </c>
      <c r="P2153" s="12">
        <v>0.77081819643033511</v>
      </c>
      <c r="Q2153" s="12">
        <v>0.85639193891193965</v>
      </c>
      <c r="R2153" s="12">
        <v>0.76013058081456097</v>
      </c>
      <c r="S2153" s="12">
        <v>0.66633531943148994</v>
      </c>
      <c r="T2153" s="12">
        <v>0.46721004710604841</v>
      </c>
      <c r="U2153" s="12">
        <v>0.76473035837504166</v>
      </c>
      <c r="V2153" s="12">
        <v>300.032917</v>
      </c>
      <c r="W2153" s="12"/>
      <c r="X2153" s="12"/>
      <c r="Y2153" s="12">
        <v>1938.117506290843</v>
      </c>
      <c r="Z2153" s="12">
        <v>2.8251713516068961</v>
      </c>
      <c r="AA2153" s="12"/>
      <c r="AB2153" s="12"/>
    </row>
    <row r="2154" spans="1:28" x14ac:dyDescent="0.3">
      <c r="A2154" s="12" t="s">
        <v>4068</v>
      </c>
      <c r="B2154" s="12" t="s">
        <v>170</v>
      </c>
      <c r="C2154" s="12" t="s">
        <v>456</v>
      </c>
      <c r="D2154" s="12" t="s">
        <v>731</v>
      </c>
      <c r="E2154" s="12" t="s">
        <v>2978</v>
      </c>
      <c r="F2154" s="12" t="s">
        <v>832</v>
      </c>
      <c r="G2154" s="12" t="s">
        <v>832</v>
      </c>
      <c r="H2154" s="12" t="b">
        <v>0</v>
      </c>
      <c r="I2154" s="12" t="b">
        <v>0</v>
      </c>
      <c r="J2154" s="12" t="b">
        <v>0</v>
      </c>
      <c r="K2154" s="12" t="b">
        <v>0</v>
      </c>
      <c r="L2154" s="12">
        <v>623.15</v>
      </c>
      <c r="M2154" s="12">
        <v>300.032917</v>
      </c>
      <c r="N2154" s="12">
        <v>3000</v>
      </c>
      <c r="O2154" s="12">
        <v>1781.454783781435</v>
      </c>
      <c r="P2154" s="12">
        <v>0.53785881557820714</v>
      </c>
      <c r="Q2154" s="12">
        <v>0.51736844105447255</v>
      </c>
      <c r="R2154" s="12">
        <v>0.875060887508885</v>
      </c>
      <c r="S2154" s="12">
        <v>0.86303056099471365</v>
      </c>
      <c r="T2154" s="12">
        <v>0.91621475765882221</v>
      </c>
      <c r="U2154" s="12">
        <v>0.80226584504855047</v>
      </c>
      <c r="V2154" s="12">
        <v>300.032917</v>
      </c>
      <c r="W2154" s="12"/>
      <c r="X2154" s="12"/>
      <c r="Y2154" s="12">
        <v>1218.545216218565</v>
      </c>
      <c r="Z2154" s="12">
        <v>1.684016921064929</v>
      </c>
      <c r="AA2154" s="12"/>
      <c r="AB2154" s="12"/>
    </row>
    <row r="2155" spans="1:28" x14ac:dyDescent="0.3">
      <c r="A2155" s="12" t="s">
        <v>4069</v>
      </c>
      <c r="B2155" s="12" t="s">
        <v>170</v>
      </c>
      <c r="C2155" s="12" t="s">
        <v>456</v>
      </c>
      <c r="D2155" s="12" t="s">
        <v>731</v>
      </c>
      <c r="E2155" s="12" t="s">
        <v>2978</v>
      </c>
      <c r="F2155" s="12" t="s">
        <v>1861</v>
      </c>
      <c r="G2155" s="12" t="s">
        <v>1861</v>
      </c>
      <c r="H2155" s="12" t="b">
        <v>1</v>
      </c>
      <c r="I2155" s="12" t="b">
        <v>0</v>
      </c>
      <c r="J2155" s="12" t="b">
        <v>1</v>
      </c>
      <c r="K2155" s="12" t="b">
        <v>0</v>
      </c>
      <c r="L2155" s="12">
        <v>623.15</v>
      </c>
      <c r="M2155" s="12">
        <v>300.032917</v>
      </c>
      <c r="N2155" s="12">
        <v>3000</v>
      </c>
      <c r="O2155" s="12">
        <v>1168.2722221935619</v>
      </c>
      <c r="P2155" s="12">
        <v>0.78892957091959448</v>
      </c>
      <c r="Q2155" s="12">
        <v>0.64650527521936063</v>
      </c>
      <c r="R2155" s="12">
        <v>0.65605399537226217</v>
      </c>
      <c r="S2155" s="12">
        <v>0.72321395510561937</v>
      </c>
      <c r="T2155" s="12">
        <v>0.9064123950180164</v>
      </c>
      <c r="U2155" s="12">
        <v>0.78674434418594208</v>
      </c>
      <c r="V2155" s="12">
        <v>300.032917</v>
      </c>
      <c r="W2155" s="12">
        <v>4.6363901847732301</v>
      </c>
      <c r="X2155" s="12">
        <v>64.826405481727775</v>
      </c>
      <c r="Y2155" s="12">
        <v>1831.7277778064381</v>
      </c>
      <c r="Z2155" s="12">
        <v>2.5678946593176408</v>
      </c>
      <c r="AA2155" s="12" t="s">
        <v>1268</v>
      </c>
      <c r="AB2155" s="12"/>
    </row>
    <row r="2156" spans="1:28" x14ac:dyDescent="0.3">
      <c r="A2156" s="12" t="s">
        <v>4070</v>
      </c>
      <c r="B2156" s="12" t="s">
        <v>170</v>
      </c>
      <c r="C2156" s="12" t="s">
        <v>456</v>
      </c>
      <c r="D2156" s="12" t="s">
        <v>731</v>
      </c>
      <c r="E2156" s="12" t="s">
        <v>2978</v>
      </c>
      <c r="F2156" s="12" t="s">
        <v>1862</v>
      </c>
      <c r="G2156" s="12" t="s">
        <v>1862</v>
      </c>
      <c r="H2156" s="12" t="b">
        <v>1</v>
      </c>
      <c r="I2156" s="12" t="b">
        <v>0</v>
      </c>
      <c r="J2156" s="12" t="b">
        <v>1</v>
      </c>
      <c r="K2156" s="12" t="b">
        <v>0</v>
      </c>
      <c r="L2156" s="12">
        <v>623.15</v>
      </c>
      <c r="M2156" s="12">
        <v>300.032917</v>
      </c>
      <c r="N2156" s="12">
        <v>3000</v>
      </c>
      <c r="O2156" s="12">
        <v>812.50089306288385</v>
      </c>
      <c r="P2156" s="12">
        <v>0.57689010937210961</v>
      </c>
      <c r="Q2156" s="12">
        <v>0.41455472430439377</v>
      </c>
      <c r="R2156" s="12">
        <v>0.62844919537292254</v>
      </c>
      <c r="S2156" s="12">
        <v>0.42010273123447039</v>
      </c>
      <c r="T2156" s="12">
        <v>0.4577118385755683</v>
      </c>
      <c r="U2156" s="12">
        <v>0.51306755250934355</v>
      </c>
      <c r="V2156" s="12">
        <v>300.032917</v>
      </c>
      <c r="W2156" s="12">
        <v>-7.1495419638236992</v>
      </c>
      <c r="X2156" s="12">
        <v>-52.633100550736494</v>
      </c>
      <c r="Y2156" s="12">
        <v>2187.4991069371158</v>
      </c>
      <c r="Z2156" s="12">
        <v>3.6923036338962079</v>
      </c>
      <c r="AA2156" s="12" t="s">
        <v>2513</v>
      </c>
      <c r="AB2156" s="12"/>
    </row>
    <row r="2157" spans="1:28" x14ac:dyDescent="0.3">
      <c r="A2157" s="12" t="s">
        <v>4071</v>
      </c>
      <c r="B2157" s="12" t="s">
        <v>170</v>
      </c>
      <c r="C2157" s="12" t="s">
        <v>456</v>
      </c>
      <c r="D2157" s="12" t="s">
        <v>731</v>
      </c>
      <c r="E2157" s="12" t="s">
        <v>2978</v>
      </c>
      <c r="F2157" s="12" t="s">
        <v>1861</v>
      </c>
      <c r="G2157" s="12" t="s">
        <v>1861</v>
      </c>
      <c r="H2157" s="12" t="b">
        <v>1</v>
      </c>
      <c r="I2157" s="12" t="b">
        <v>0</v>
      </c>
      <c r="J2157" s="12" t="b">
        <v>1</v>
      </c>
      <c r="K2157" s="12" t="b">
        <v>0</v>
      </c>
      <c r="L2157" s="12">
        <v>623.15</v>
      </c>
      <c r="M2157" s="12">
        <v>300.032917</v>
      </c>
      <c r="N2157" s="12">
        <v>3000</v>
      </c>
      <c r="O2157" s="12">
        <v>693.36599155219608</v>
      </c>
      <c r="P2157" s="12">
        <v>0.73125292138063536</v>
      </c>
      <c r="Q2157" s="12">
        <v>0.61348112961165924</v>
      </c>
      <c r="R2157" s="12">
        <v>0.84469800771893633</v>
      </c>
      <c r="S2157" s="12">
        <v>0.68351722837523787</v>
      </c>
      <c r="T2157" s="12">
        <v>0.57206488399872168</v>
      </c>
      <c r="U2157" s="12">
        <v>0.69318089125599014</v>
      </c>
      <c r="V2157" s="12">
        <v>300.032917</v>
      </c>
      <c r="W2157" s="12">
        <v>3.9424942416868598</v>
      </c>
      <c r="X2157" s="12">
        <v>45.552970004821283</v>
      </c>
      <c r="Y2157" s="12">
        <v>2306.6340084478038</v>
      </c>
      <c r="Z2157" s="12">
        <v>4.3267192745985179</v>
      </c>
      <c r="AA2157" s="12" t="s">
        <v>1268</v>
      </c>
      <c r="AB2157" s="12"/>
    </row>
    <row r="2158" spans="1:28" x14ac:dyDescent="0.3">
      <c r="A2158" s="12" t="s">
        <v>4072</v>
      </c>
      <c r="B2158" s="12" t="s">
        <v>170</v>
      </c>
      <c r="C2158" s="12" t="s">
        <v>456</v>
      </c>
      <c r="D2158" s="12" t="s">
        <v>731</v>
      </c>
      <c r="E2158" s="12" t="s">
        <v>2978</v>
      </c>
      <c r="F2158" s="12" t="s">
        <v>832</v>
      </c>
      <c r="G2158" s="12" t="s">
        <v>832</v>
      </c>
      <c r="H2158" s="12" t="b">
        <v>0</v>
      </c>
      <c r="I2158" s="12" t="b">
        <v>0</v>
      </c>
      <c r="J2158" s="12" t="b">
        <v>0</v>
      </c>
      <c r="K2158" s="12" t="b">
        <v>0</v>
      </c>
      <c r="L2158" s="12">
        <v>623.15</v>
      </c>
      <c r="M2158" s="12">
        <v>300.032917</v>
      </c>
      <c r="N2158" s="12">
        <v>3000</v>
      </c>
      <c r="O2158" s="12">
        <v>264.98890171890719</v>
      </c>
      <c r="P2158" s="12">
        <v>0.62913142905474939</v>
      </c>
      <c r="Q2158" s="12">
        <v>0.80812220661402878</v>
      </c>
      <c r="R2158" s="12">
        <v>0.82768592943884145</v>
      </c>
      <c r="S2158" s="12">
        <v>0.91078521138040525</v>
      </c>
      <c r="T2158" s="12">
        <v>0.46173816793870681</v>
      </c>
      <c r="U2158" s="12">
        <v>0.73178309096641825</v>
      </c>
      <c r="V2158" s="12">
        <v>300.032917</v>
      </c>
      <c r="W2158" s="12"/>
      <c r="X2158" s="12"/>
      <c r="Y2158" s="12">
        <v>2735.0110982810929</v>
      </c>
      <c r="Z2158" s="12">
        <v>11.321228853509931</v>
      </c>
      <c r="AA2158" s="12"/>
      <c r="AB2158" s="12"/>
    </row>
    <row r="2159" spans="1:28" x14ac:dyDescent="0.3">
      <c r="A2159" s="12" t="s">
        <v>4073</v>
      </c>
      <c r="B2159" s="12" t="s">
        <v>170</v>
      </c>
      <c r="C2159" s="12" t="s">
        <v>456</v>
      </c>
      <c r="D2159" s="12" t="s">
        <v>731</v>
      </c>
      <c r="E2159" s="12" t="s">
        <v>2978</v>
      </c>
      <c r="F2159" s="12" t="s">
        <v>832</v>
      </c>
      <c r="G2159" s="12" t="s">
        <v>832</v>
      </c>
      <c r="H2159" s="12" t="b">
        <v>0</v>
      </c>
      <c r="I2159" s="12" t="b">
        <v>0</v>
      </c>
      <c r="J2159" s="12" t="b">
        <v>0</v>
      </c>
      <c r="K2159" s="12" t="b">
        <v>0</v>
      </c>
      <c r="L2159" s="12">
        <v>623.15</v>
      </c>
      <c r="M2159" s="12">
        <v>300.032917</v>
      </c>
      <c r="N2159" s="12">
        <v>3000</v>
      </c>
      <c r="O2159" s="12">
        <v>824.41864946174667</v>
      </c>
      <c r="P2159" s="12">
        <v>0.74871083722482168</v>
      </c>
      <c r="Q2159" s="12">
        <v>0.62859077885232706</v>
      </c>
      <c r="R2159" s="12">
        <v>0.76591851639287145</v>
      </c>
      <c r="S2159" s="12">
        <v>0.82375191407062753</v>
      </c>
      <c r="T2159" s="12">
        <v>0.59361476307405825</v>
      </c>
      <c r="U2159" s="12">
        <v>0.4546982747139649</v>
      </c>
      <c r="V2159" s="12">
        <v>300.032917</v>
      </c>
      <c r="W2159" s="12"/>
      <c r="X2159" s="12"/>
      <c r="Y2159" s="12">
        <v>2175.581350538253</v>
      </c>
      <c r="Z2159" s="12">
        <v>3.638927869910106</v>
      </c>
      <c r="AA2159" s="12"/>
      <c r="AB2159" s="12"/>
    </row>
    <row r="2160" spans="1:28" x14ac:dyDescent="0.3">
      <c r="A2160" s="12" t="s">
        <v>4074</v>
      </c>
      <c r="B2160" s="12" t="s">
        <v>170</v>
      </c>
      <c r="C2160" s="12" t="s">
        <v>456</v>
      </c>
      <c r="D2160" s="12" t="s">
        <v>731</v>
      </c>
      <c r="E2160" s="12" t="s">
        <v>2978</v>
      </c>
      <c r="F2160" s="12" t="s">
        <v>832</v>
      </c>
      <c r="G2160" s="12" t="s">
        <v>832</v>
      </c>
      <c r="H2160" s="12" t="b">
        <v>0</v>
      </c>
      <c r="I2160" s="12" t="b">
        <v>0</v>
      </c>
      <c r="J2160" s="12" t="b">
        <v>0</v>
      </c>
      <c r="K2160" s="12" t="b">
        <v>0</v>
      </c>
      <c r="L2160" s="12">
        <v>623.15</v>
      </c>
      <c r="M2160" s="12">
        <v>300.032917</v>
      </c>
      <c r="N2160" s="12">
        <v>3000</v>
      </c>
      <c r="O2160" s="12">
        <v>1297.39077862042</v>
      </c>
      <c r="P2160" s="12">
        <v>0.69863431842614099</v>
      </c>
      <c r="Q2160" s="12">
        <v>0.72595574935480389</v>
      </c>
      <c r="R2160" s="12">
        <v>0.91447331191988401</v>
      </c>
      <c r="S2160" s="12">
        <v>0.93593547677415723</v>
      </c>
      <c r="T2160" s="12">
        <v>0.54673885999222738</v>
      </c>
      <c r="U2160" s="12">
        <v>0.43933074475893741</v>
      </c>
      <c r="V2160" s="12">
        <v>300.032917</v>
      </c>
      <c r="W2160" s="12"/>
      <c r="X2160" s="12"/>
      <c r="Y2160" s="12">
        <v>1702.60922137958</v>
      </c>
      <c r="Z2160" s="12">
        <v>2.3123333766793439</v>
      </c>
      <c r="AA2160" s="12"/>
      <c r="AB2160" s="12"/>
    </row>
    <row r="2161" spans="1:28" x14ac:dyDescent="0.3">
      <c r="A2161" s="12" t="s">
        <v>4075</v>
      </c>
      <c r="B2161" s="12" t="s">
        <v>170</v>
      </c>
      <c r="C2161" s="12" t="s">
        <v>456</v>
      </c>
      <c r="D2161" s="12" t="s">
        <v>731</v>
      </c>
      <c r="E2161" s="12" t="s">
        <v>2978</v>
      </c>
      <c r="F2161" s="12" t="s">
        <v>1861</v>
      </c>
      <c r="G2161" s="12" t="s">
        <v>1861</v>
      </c>
      <c r="H2161" s="12" t="b">
        <v>1</v>
      </c>
      <c r="I2161" s="12" t="b">
        <v>0</v>
      </c>
      <c r="J2161" s="12" t="b">
        <v>1</v>
      </c>
      <c r="K2161" s="12" t="b">
        <v>0</v>
      </c>
      <c r="L2161" s="12">
        <v>623.15</v>
      </c>
      <c r="M2161" s="12">
        <v>300.032917</v>
      </c>
      <c r="N2161" s="12">
        <v>3000</v>
      </c>
      <c r="O2161" s="12">
        <v>1417.0309684811509</v>
      </c>
      <c r="P2161" s="12">
        <v>0.60851033545627264</v>
      </c>
      <c r="Q2161" s="12">
        <v>0.82641746591440324</v>
      </c>
      <c r="R2161" s="12">
        <v>0.64398113614549257</v>
      </c>
      <c r="S2161" s="12">
        <v>0.74463871871118625</v>
      </c>
      <c r="T2161" s="12">
        <v>0.79363134232478871</v>
      </c>
      <c r="U2161" s="12">
        <v>0.74202608803698844</v>
      </c>
      <c r="V2161" s="12">
        <v>300.032917</v>
      </c>
      <c r="W2161" s="12">
        <v>4.8311954587340402</v>
      </c>
      <c r="X2161" s="12">
        <v>73.872717412085635</v>
      </c>
      <c r="Y2161" s="12">
        <v>1582.9690315188491</v>
      </c>
      <c r="Z2161" s="12">
        <v>2.117102636942056</v>
      </c>
      <c r="AA2161" s="12" t="s">
        <v>1268</v>
      </c>
      <c r="AB2161" s="12"/>
    </row>
    <row r="2162" spans="1:28" x14ac:dyDescent="0.3">
      <c r="A2162" s="12" t="s">
        <v>4076</v>
      </c>
      <c r="B2162" s="12" t="s">
        <v>170</v>
      </c>
      <c r="C2162" s="12" t="s">
        <v>456</v>
      </c>
      <c r="D2162" s="12" t="s">
        <v>731</v>
      </c>
      <c r="E2162" s="12" t="s">
        <v>2978</v>
      </c>
      <c r="F2162" s="12" t="s">
        <v>832</v>
      </c>
      <c r="G2162" s="12" t="s">
        <v>832</v>
      </c>
      <c r="H2162" s="12" t="b">
        <v>0</v>
      </c>
      <c r="I2162" s="12" t="b">
        <v>0</v>
      </c>
      <c r="J2162" s="12" t="b">
        <v>0</v>
      </c>
      <c r="K2162" s="12" t="b">
        <v>0</v>
      </c>
      <c r="L2162" s="12">
        <v>623.15</v>
      </c>
      <c r="M2162" s="12">
        <v>300.032917</v>
      </c>
      <c r="N2162" s="12">
        <v>3000</v>
      </c>
      <c r="O2162" s="12">
        <v>474.5501690374976</v>
      </c>
      <c r="P2162" s="12">
        <v>0.75238245717999708</v>
      </c>
      <c r="Q2162" s="12">
        <v>0.69492631656354242</v>
      </c>
      <c r="R2162" s="12">
        <v>0.4976268519233164</v>
      </c>
      <c r="S2162" s="12">
        <v>0.87728221627545633</v>
      </c>
      <c r="T2162" s="12">
        <v>0.4728691269811755</v>
      </c>
      <c r="U2162" s="12">
        <v>0.56554686489597539</v>
      </c>
      <c r="V2162" s="12">
        <v>300.032917</v>
      </c>
      <c r="W2162" s="12"/>
      <c r="X2162" s="12"/>
      <c r="Y2162" s="12">
        <v>2525.4498309625019</v>
      </c>
      <c r="Z2162" s="12">
        <v>6.321776275171759</v>
      </c>
      <c r="AA2162" s="12"/>
      <c r="AB2162" s="12"/>
    </row>
    <row r="2163" spans="1:28" x14ac:dyDescent="0.3">
      <c r="A2163" s="12" t="s">
        <v>4077</v>
      </c>
      <c r="B2163" s="12" t="s">
        <v>170</v>
      </c>
      <c r="C2163" s="12" t="s">
        <v>456</v>
      </c>
      <c r="D2163" s="12" t="s">
        <v>731</v>
      </c>
      <c r="E2163" s="12" t="s">
        <v>2978</v>
      </c>
      <c r="F2163" s="12" t="s">
        <v>832</v>
      </c>
      <c r="G2163" s="12" t="s">
        <v>832</v>
      </c>
      <c r="H2163" s="12" t="b">
        <v>0</v>
      </c>
      <c r="I2163" s="12" t="b">
        <v>0</v>
      </c>
      <c r="J2163" s="12" t="b">
        <v>0</v>
      </c>
      <c r="K2163" s="12" t="b">
        <v>0</v>
      </c>
      <c r="L2163" s="12">
        <v>623.15</v>
      </c>
      <c r="M2163" s="12">
        <v>300.032917</v>
      </c>
      <c r="N2163" s="12">
        <v>3000</v>
      </c>
      <c r="O2163" s="12">
        <v>1012.8466115997541</v>
      </c>
      <c r="P2163" s="12">
        <v>0.63450414388685061</v>
      </c>
      <c r="Q2163" s="12">
        <v>0.50084530835847241</v>
      </c>
      <c r="R2163" s="12">
        <v>0.42690517709672032</v>
      </c>
      <c r="S2163" s="12">
        <v>0.93136680370316161</v>
      </c>
      <c r="T2163" s="12">
        <v>0.6624396707005078</v>
      </c>
      <c r="U2163" s="12">
        <v>0.60692578537483133</v>
      </c>
      <c r="V2163" s="12">
        <v>300.032917</v>
      </c>
      <c r="W2163" s="12"/>
      <c r="X2163" s="12"/>
      <c r="Y2163" s="12">
        <v>1987.153388400247</v>
      </c>
      <c r="Z2163" s="12">
        <v>2.961948991725027</v>
      </c>
      <c r="AA2163" s="12"/>
      <c r="AB2163" s="12"/>
    </row>
    <row r="2164" spans="1:28" x14ac:dyDescent="0.3">
      <c r="A2164" s="12" t="s">
        <v>4078</v>
      </c>
      <c r="B2164" s="12" t="s">
        <v>170</v>
      </c>
      <c r="C2164" s="12" t="s">
        <v>456</v>
      </c>
      <c r="D2164" s="12" t="s">
        <v>731</v>
      </c>
      <c r="E2164" s="12" t="s">
        <v>2978</v>
      </c>
      <c r="F2164" s="12" t="s">
        <v>832</v>
      </c>
      <c r="G2164" s="12" t="s">
        <v>832</v>
      </c>
      <c r="H2164" s="12" t="b">
        <v>0</v>
      </c>
      <c r="I2164" s="12" t="b">
        <v>0</v>
      </c>
      <c r="J2164" s="12" t="b">
        <v>0</v>
      </c>
      <c r="K2164" s="12" t="b">
        <v>0</v>
      </c>
      <c r="L2164" s="12">
        <v>623.15</v>
      </c>
      <c r="M2164" s="12">
        <v>300.032917</v>
      </c>
      <c r="N2164" s="12">
        <v>3000</v>
      </c>
      <c r="O2164" s="12">
        <v>1944.788545631179</v>
      </c>
      <c r="P2164" s="12">
        <v>0.69381537208713207</v>
      </c>
      <c r="Q2164" s="12">
        <v>0.63132598066486867</v>
      </c>
      <c r="R2164" s="12">
        <v>0.7366977206796701</v>
      </c>
      <c r="S2164" s="12">
        <v>0.91652585098125083</v>
      </c>
      <c r="T2164" s="12">
        <v>0.90038711976073305</v>
      </c>
      <c r="U2164" s="12">
        <v>0.77291033071280757</v>
      </c>
      <c r="V2164" s="12">
        <v>300.032917</v>
      </c>
      <c r="W2164" s="12"/>
      <c r="X2164" s="12"/>
      <c r="Y2164" s="12">
        <v>1055.211454368821</v>
      </c>
      <c r="Z2164" s="12">
        <v>1.54258415740841</v>
      </c>
      <c r="AA2164" s="12"/>
      <c r="AB2164" s="12"/>
    </row>
    <row r="2165" spans="1:28" x14ac:dyDescent="0.3">
      <c r="A2165" s="12" t="s">
        <v>4079</v>
      </c>
      <c r="B2165" s="12" t="s">
        <v>170</v>
      </c>
      <c r="C2165" s="12" t="s">
        <v>456</v>
      </c>
      <c r="D2165" s="12" t="s">
        <v>731</v>
      </c>
      <c r="E2165" s="12" t="s">
        <v>2978</v>
      </c>
      <c r="F2165" s="12" t="s">
        <v>832</v>
      </c>
      <c r="G2165" s="12" t="s">
        <v>832</v>
      </c>
      <c r="H2165" s="12" t="b">
        <v>0</v>
      </c>
      <c r="I2165" s="12" t="b">
        <v>0</v>
      </c>
      <c r="J2165" s="12" t="b">
        <v>0</v>
      </c>
      <c r="K2165" s="12" t="b">
        <v>0</v>
      </c>
      <c r="L2165" s="12">
        <v>623.15</v>
      </c>
      <c r="M2165" s="12">
        <v>300.032917</v>
      </c>
      <c r="N2165" s="12">
        <v>3000</v>
      </c>
      <c r="O2165" s="12">
        <v>998.57596618585842</v>
      </c>
      <c r="P2165" s="12">
        <v>0.7943290478947429</v>
      </c>
      <c r="Q2165" s="12">
        <v>0.45974654406372978</v>
      </c>
      <c r="R2165" s="12">
        <v>0.47653366083548587</v>
      </c>
      <c r="S2165" s="12">
        <v>0.47224655131886378</v>
      </c>
      <c r="T2165" s="12">
        <v>0.53455175439399438</v>
      </c>
      <c r="U2165" s="12">
        <v>0.43502811733470181</v>
      </c>
      <c r="V2165" s="12">
        <v>300.032917</v>
      </c>
      <c r="W2165" s="12"/>
      <c r="X2165" s="12"/>
      <c r="Y2165" s="12">
        <v>2001.4240338141419</v>
      </c>
      <c r="Z2165" s="12">
        <v>3.004278193734967</v>
      </c>
      <c r="AA2165" s="12"/>
      <c r="AB2165" s="12"/>
    </row>
    <row r="2166" spans="1:28" x14ac:dyDescent="0.3">
      <c r="A2166" s="12" t="s">
        <v>4080</v>
      </c>
      <c r="B2166" s="12" t="s">
        <v>170</v>
      </c>
      <c r="C2166" s="12" t="s">
        <v>456</v>
      </c>
      <c r="D2166" s="12" t="s">
        <v>731</v>
      </c>
      <c r="E2166" s="12" t="s">
        <v>2978</v>
      </c>
      <c r="F2166" s="12" t="s">
        <v>832</v>
      </c>
      <c r="G2166" s="12" t="s">
        <v>832</v>
      </c>
      <c r="H2166" s="12" t="b">
        <v>0</v>
      </c>
      <c r="I2166" s="12" t="b">
        <v>0</v>
      </c>
      <c r="J2166" s="12" t="b">
        <v>0</v>
      </c>
      <c r="K2166" s="12" t="b">
        <v>0</v>
      </c>
      <c r="L2166" s="12">
        <v>623.15</v>
      </c>
      <c r="M2166" s="12">
        <v>300.032917</v>
      </c>
      <c r="N2166" s="12">
        <v>3000</v>
      </c>
      <c r="O2166" s="12">
        <v>1746.6896656109179</v>
      </c>
      <c r="P2166" s="12">
        <v>0.58352086625342303</v>
      </c>
      <c r="Q2166" s="12">
        <v>0.79463722056516506</v>
      </c>
      <c r="R2166" s="12">
        <v>0.72437064314846644</v>
      </c>
      <c r="S2166" s="12">
        <v>0.71661804810354535</v>
      </c>
      <c r="T2166" s="12">
        <v>0.77128503966039852</v>
      </c>
      <c r="U2166" s="12">
        <v>0.4676991867848812</v>
      </c>
      <c r="V2166" s="12">
        <v>300.032917</v>
      </c>
      <c r="W2166" s="12"/>
      <c r="X2166" s="12"/>
      <c r="Y2166" s="12">
        <v>1253.3103343890821</v>
      </c>
      <c r="Z2166" s="12">
        <v>1.717534636555331</v>
      </c>
      <c r="AA2166" s="12"/>
      <c r="AB2166" s="12"/>
    </row>
    <row r="2167" spans="1:28" x14ac:dyDescent="0.3">
      <c r="A2167" s="12" t="s">
        <v>4081</v>
      </c>
      <c r="B2167" s="12" t="s">
        <v>170</v>
      </c>
      <c r="C2167" s="12" t="s">
        <v>456</v>
      </c>
      <c r="D2167" s="12" t="s">
        <v>731</v>
      </c>
      <c r="E2167" s="12" t="s">
        <v>2978</v>
      </c>
      <c r="F2167" s="12" t="s">
        <v>832</v>
      </c>
      <c r="G2167" s="12" t="s">
        <v>832</v>
      </c>
      <c r="H2167" s="12" t="b">
        <v>0</v>
      </c>
      <c r="I2167" s="12" t="b">
        <v>0</v>
      </c>
      <c r="J2167" s="12" t="b">
        <v>0</v>
      </c>
      <c r="K2167" s="12" t="b">
        <v>0</v>
      </c>
      <c r="L2167" s="12">
        <v>623.15</v>
      </c>
      <c r="M2167" s="12">
        <v>300.032917</v>
      </c>
      <c r="N2167" s="12">
        <v>3000</v>
      </c>
      <c r="O2167" s="12">
        <v>358.8222479218133</v>
      </c>
      <c r="P2167" s="12">
        <v>0.73796159817506191</v>
      </c>
      <c r="Q2167" s="12">
        <v>0.66547739828160091</v>
      </c>
      <c r="R2167" s="12">
        <v>0.53427259375313318</v>
      </c>
      <c r="S2167" s="12">
        <v>0.73171430698245821</v>
      </c>
      <c r="T2167" s="12">
        <v>0.57958270773176479</v>
      </c>
      <c r="U2167" s="12">
        <v>0.7674631759357724</v>
      </c>
      <c r="V2167" s="12">
        <v>300.032917</v>
      </c>
      <c r="W2167" s="12"/>
      <c r="X2167" s="12"/>
      <c r="Y2167" s="12">
        <v>2641.177752078187</v>
      </c>
      <c r="Z2167" s="12">
        <v>8.3606855967684997</v>
      </c>
      <c r="AA2167" s="12"/>
      <c r="AB2167" s="12"/>
    </row>
    <row r="2168" spans="1:28" x14ac:dyDescent="0.3">
      <c r="A2168" s="12" t="s">
        <v>4082</v>
      </c>
      <c r="B2168" s="12" t="s">
        <v>170</v>
      </c>
      <c r="C2168" s="12" t="s">
        <v>456</v>
      </c>
      <c r="D2168" s="12" t="s">
        <v>731</v>
      </c>
      <c r="E2168" s="12" t="s">
        <v>2978</v>
      </c>
      <c r="F2168" s="12" t="s">
        <v>832</v>
      </c>
      <c r="G2168" s="12" t="s">
        <v>832</v>
      </c>
      <c r="H2168" s="12" t="b">
        <v>0</v>
      </c>
      <c r="I2168" s="12" t="b">
        <v>0</v>
      </c>
      <c r="J2168" s="12" t="b">
        <v>0</v>
      </c>
      <c r="K2168" s="12" t="b">
        <v>0</v>
      </c>
      <c r="L2168" s="12">
        <v>623.15</v>
      </c>
      <c r="M2168" s="12">
        <v>300.032917</v>
      </c>
      <c r="N2168" s="12">
        <v>3000</v>
      </c>
      <c r="O2168" s="12">
        <v>1584.0063760563639</v>
      </c>
      <c r="P2168" s="12">
        <v>0.77267643990798596</v>
      </c>
      <c r="Q2168" s="12">
        <v>0.57357852586724178</v>
      </c>
      <c r="R2168" s="12">
        <v>0.81169204418646546</v>
      </c>
      <c r="S2168" s="12">
        <v>0.85358599778792077</v>
      </c>
      <c r="T2168" s="12">
        <v>0.45411168630879228</v>
      </c>
      <c r="U2168" s="12">
        <v>0.86783537254574106</v>
      </c>
      <c r="V2168" s="12">
        <v>300.032917</v>
      </c>
      <c r="W2168" s="12"/>
      <c r="X2168" s="12"/>
      <c r="Y2168" s="12">
        <v>1415.9936239436361</v>
      </c>
      <c r="Z2168" s="12">
        <v>1.89393177031836</v>
      </c>
      <c r="AA2168" s="12"/>
      <c r="AB2168" s="12"/>
    </row>
    <row r="2169" spans="1:28" x14ac:dyDescent="0.3">
      <c r="A2169" s="12" t="s">
        <v>4083</v>
      </c>
      <c r="B2169" s="12" t="s">
        <v>170</v>
      </c>
      <c r="C2169" s="12" t="s">
        <v>456</v>
      </c>
      <c r="D2169" s="12" t="s">
        <v>731</v>
      </c>
      <c r="E2169" s="12" t="s">
        <v>2978</v>
      </c>
      <c r="F2169" s="12" t="s">
        <v>832</v>
      </c>
      <c r="G2169" s="12" t="s">
        <v>832</v>
      </c>
      <c r="H2169" s="12" t="b">
        <v>0</v>
      </c>
      <c r="I2169" s="12" t="b">
        <v>0</v>
      </c>
      <c r="J2169" s="12" t="b">
        <v>0</v>
      </c>
      <c r="K2169" s="12" t="b">
        <v>0</v>
      </c>
      <c r="L2169" s="12">
        <v>623.15</v>
      </c>
      <c r="M2169" s="12">
        <v>300.032917</v>
      </c>
      <c r="N2169" s="12">
        <v>3000</v>
      </c>
      <c r="O2169" s="12">
        <v>1495.349823108638</v>
      </c>
      <c r="P2169" s="12">
        <v>0.58856812185684915</v>
      </c>
      <c r="Q2169" s="12">
        <v>0.90380729670172844</v>
      </c>
      <c r="R2169" s="12">
        <v>0.5525833375657212</v>
      </c>
      <c r="S2169" s="12">
        <v>0.75489143022235028</v>
      </c>
      <c r="T2169" s="12">
        <v>0.80072971274992799</v>
      </c>
      <c r="U2169" s="12">
        <v>0.44822261785783651</v>
      </c>
      <c r="V2169" s="12">
        <v>300.032917</v>
      </c>
      <c r="W2169" s="12"/>
      <c r="X2169" s="12"/>
      <c r="Y2169" s="12">
        <v>1504.650176891362</v>
      </c>
      <c r="Z2169" s="12">
        <v>2.0062195170915862</v>
      </c>
      <c r="AA2169" s="12"/>
      <c r="AB2169" s="12"/>
    </row>
    <row r="2170" spans="1:28" x14ac:dyDescent="0.3">
      <c r="A2170" s="12" t="s">
        <v>4084</v>
      </c>
      <c r="B2170" s="12" t="s">
        <v>170</v>
      </c>
      <c r="C2170" s="12" t="s">
        <v>456</v>
      </c>
      <c r="D2170" s="12" t="s">
        <v>731</v>
      </c>
      <c r="E2170" s="12" t="s">
        <v>2978</v>
      </c>
      <c r="F2170" s="12" t="s">
        <v>1861</v>
      </c>
      <c r="G2170" s="12" t="s">
        <v>1861</v>
      </c>
      <c r="H2170" s="12" t="b">
        <v>1</v>
      </c>
      <c r="I2170" s="12" t="b">
        <v>0</v>
      </c>
      <c r="J2170" s="12" t="b">
        <v>1</v>
      </c>
      <c r="K2170" s="12" t="b">
        <v>0</v>
      </c>
      <c r="L2170" s="12">
        <v>623.15</v>
      </c>
      <c r="M2170" s="12">
        <v>300.032917</v>
      </c>
      <c r="N2170" s="12">
        <v>3000</v>
      </c>
      <c r="O2170" s="12">
        <v>574.1498330490839</v>
      </c>
      <c r="P2170" s="12">
        <v>0.50472446966725149</v>
      </c>
      <c r="Q2170" s="12">
        <v>0.689917842549014</v>
      </c>
      <c r="R2170" s="12">
        <v>0.53967281056136551</v>
      </c>
      <c r="S2170" s="12">
        <v>0.44064776582592857</v>
      </c>
      <c r="T2170" s="12">
        <v>0.55652563186460569</v>
      </c>
      <c r="U2170" s="12">
        <v>0.64507561162796911</v>
      </c>
      <c r="V2170" s="12">
        <v>300.032917</v>
      </c>
      <c r="W2170" s="12">
        <v>3.9146080807663401</v>
      </c>
      <c r="X2170" s="12">
        <v>36.215593261175208</v>
      </c>
      <c r="Y2170" s="12">
        <v>2425.850166950916</v>
      </c>
      <c r="Z2170" s="12">
        <v>5.2251169073204817</v>
      </c>
      <c r="AA2170" s="12" t="s">
        <v>1268</v>
      </c>
      <c r="AB2170" s="12"/>
    </row>
    <row r="2171" spans="1:28" x14ac:dyDescent="0.3">
      <c r="A2171" s="12" t="s">
        <v>4085</v>
      </c>
      <c r="B2171" s="12" t="s">
        <v>170</v>
      </c>
      <c r="C2171" s="12" t="s">
        <v>456</v>
      </c>
      <c r="D2171" s="12" t="s">
        <v>731</v>
      </c>
      <c r="E2171" s="12" t="s">
        <v>2978</v>
      </c>
      <c r="F2171" s="12" t="s">
        <v>832</v>
      </c>
      <c r="G2171" s="12" t="s">
        <v>832</v>
      </c>
      <c r="H2171" s="12" t="b">
        <v>0</v>
      </c>
      <c r="I2171" s="12" t="b">
        <v>0</v>
      </c>
      <c r="J2171" s="12" t="b">
        <v>0</v>
      </c>
      <c r="K2171" s="12" t="b">
        <v>0</v>
      </c>
      <c r="L2171" s="12">
        <v>623.15</v>
      </c>
      <c r="M2171" s="12">
        <v>300.032917</v>
      </c>
      <c r="N2171" s="12">
        <v>3000</v>
      </c>
      <c r="O2171" s="12">
        <v>875.80031927500045</v>
      </c>
      <c r="P2171" s="12">
        <v>0.84451935292790692</v>
      </c>
      <c r="Q2171" s="12">
        <v>0.56323512116107721</v>
      </c>
      <c r="R2171" s="12">
        <v>0.58850951800307738</v>
      </c>
      <c r="S2171" s="12">
        <v>0.62389203136803928</v>
      </c>
      <c r="T2171" s="12">
        <v>0.73769025933353927</v>
      </c>
      <c r="U2171" s="12">
        <v>0.56261693844622518</v>
      </c>
      <c r="V2171" s="12">
        <v>300.032917</v>
      </c>
      <c r="W2171" s="12"/>
      <c r="X2171" s="12"/>
      <c r="Y2171" s="12">
        <v>2124.1996807249998</v>
      </c>
      <c r="Z2171" s="12">
        <v>3.4254383493299492</v>
      </c>
      <c r="AA2171" s="12"/>
      <c r="AB2171" s="12"/>
    </row>
    <row r="2172" spans="1:28" x14ac:dyDescent="0.3">
      <c r="A2172" s="12" t="s">
        <v>4086</v>
      </c>
      <c r="B2172" s="12" t="s">
        <v>170</v>
      </c>
      <c r="C2172" s="12" t="s">
        <v>456</v>
      </c>
      <c r="D2172" s="12" t="s">
        <v>731</v>
      </c>
      <c r="E2172" s="12" t="s">
        <v>2978</v>
      </c>
      <c r="F2172" s="12" t="s">
        <v>1861</v>
      </c>
      <c r="G2172" s="12" t="s">
        <v>1861</v>
      </c>
      <c r="H2172" s="12" t="b">
        <v>1</v>
      </c>
      <c r="I2172" s="12" t="b">
        <v>0</v>
      </c>
      <c r="J2172" s="12" t="b">
        <v>1</v>
      </c>
      <c r="K2172" s="12" t="b">
        <v>0</v>
      </c>
      <c r="L2172" s="12">
        <v>623.15</v>
      </c>
      <c r="M2172" s="12">
        <v>300.032917</v>
      </c>
      <c r="N2172" s="12">
        <v>3000</v>
      </c>
      <c r="O2172" s="12">
        <v>1623.2849381842429</v>
      </c>
      <c r="P2172" s="12">
        <v>0.56499620980943999</v>
      </c>
      <c r="Q2172" s="12">
        <v>0.87263823862800405</v>
      </c>
      <c r="R2172" s="12">
        <v>0.51014578999961591</v>
      </c>
      <c r="S2172" s="12">
        <v>0.61831282530761456</v>
      </c>
      <c r="T2172" s="12">
        <v>0.55218260262791197</v>
      </c>
      <c r="U2172" s="12">
        <v>0.57829888900539617</v>
      </c>
      <c r="V2172" s="12">
        <v>300.032917</v>
      </c>
      <c r="W2172" s="12">
        <v>1.9332221047995699</v>
      </c>
      <c r="X2172" s="12">
        <v>21.375318488341652</v>
      </c>
      <c r="Y2172" s="12">
        <v>1376.7150618157571</v>
      </c>
      <c r="Z2172" s="12">
        <v>1.8481043773841139</v>
      </c>
      <c r="AA2172" s="12" t="s">
        <v>1268</v>
      </c>
      <c r="AB2172" s="12"/>
    </row>
    <row r="2173" spans="1:28" x14ac:dyDescent="0.3">
      <c r="A2173" s="12" t="s">
        <v>4087</v>
      </c>
      <c r="B2173" s="12" t="s">
        <v>170</v>
      </c>
      <c r="C2173" s="12" t="s">
        <v>456</v>
      </c>
      <c r="D2173" s="12" t="s">
        <v>731</v>
      </c>
      <c r="E2173" s="12" t="s">
        <v>2978</v>
      </c>
      <c r="F2173" s="12" t="s">
        <v>832</v>
      </c>
      <c r="G2173" s="12" t="s">
        <v>832</v>
      </c>
      <c r="H2173" s="12" t="b">
        <v>0</v>
      </c>
      <c r="I2173" s="12" t="b">
        <v>0</v>
      </c>
      <c r="J2173" s="12" t="b">
        <v>0</v>
      </c>
      <c r="K2173" s="12" t="b">
        <v>0</v>
      </c>
      <c r="L2173" s="12">
        <v>623.15</v>
      </c>
      <c r="M2173" s="12">
        <v>300.032917</v>
      </c>
      <c r="N2173" s="12">
        <v>3000</v>
      </c>
      <c r="O2173" s="12">
        <v>508.9121396980824</v>
      </c>
      <c r="P2173" s="12">
        <v>0.56150296822458812</v>
      </c>
      <c r="Q2173" s="12">
        <v>0.55138427327752371</v>
      </c>
      <c r="R2173" s="12">
        <v>0.71215685740401924</v>
      </c>
      <c r="S2173" s="12">
        <v>0.94957829157722662</v>
      </c>
      <c r="T2173" s="12">
        <v>0.86101126841193243</v>
      </c>
      <c r="U2173" s="12">
        <v>0.83262894331213788</v>
      </c>
      <c r="V2173" s="12">
        <v>300.032917</v>
      </c>
      <c r="W2173" s="12"/>
      <c r="X2173" s="12"/>
      <c r="Y2173" s="12">
        <v>2491.0878603019182</v>
      </c>
      <c r="Z2173" s="12">
        <v>5.894927171082581</v>
      </c>
      <c r="AA2173" s="12"/>
      <c r="AB2173" s="12"/>
    </row>
    <row r="2174" spans="1:28" x14ac:dyDescent="0.3">
      <c r="A2174" s="12" t="s">
        <v>4088</v>
      </c>
      <c r="B2174" s="12" t="s">
        <v>170</v>
      </c>
      <c r="C2174" s="12" t="s">
        <v>456</v>
      </c>
      <c r="D2174" s="12" t="s">
        <v>731</v>
      </c>
      <c r="E2174" s="12" t="s">
        <v>2978</v>
      </c>
      <c r="F2174" s="12" t="s">
        <v>1861</v>
      </c>
      <c r="G2174" s="12" t="s">
        <v>1861</v>
      </c>
      <c r="H2174" s="12" t="b">
        <v>1</v>
      </c>
      <c r="I2174" s="12" t="b">
        <v>0</v>
      </c>
      <c r="J2174" s="12" t="b">
        <v>1</v>
      </c>
      <c r="K2174" s="12" t="b">
        <v>0</v>
      </c>
      <c r="L2174" s="12">
        <v>623.15</v>
      </c>
      <c r="M2174" s="12">
        <v>300.032917</v>
      </c>
      <c r="N2174" s="12">
        <v>3000</v>
      </c>
      <c r="O2174" s="12">
        <v>667.39373325066572</v>
      </c>
      <c r="P2174" s="12">
        <v>0.71558096032290075</v>
      </c>
      <c r="Q2174" s="12">
        <v>0.44449834373495267</v>
      </c>
      <c r="R2174" s="12">
        <v>0.94198018297939756</v>
      </c>
      <c r="S2174" s="12">
        <v>0.4767551257726903</v>
      </c>
      <c r="T2174" s="12">
        <v>0.53105463360856775</v>
      </c>
      <c r="U2174" s="12">
        <v>0.79357478623821232</v>
      </c>
      <c r="V2174" s="12">
        <v>300.032917</v>
      </c>
      <c r="W2174" s="12">
        <v>3.1626772192436201</v>
      </c>
      <c r="X2174" s="12">
        <v>29.998535777763049</v>
      </c>
      <c r="Y2174" s="12">
        <v>2332.6062667493338</v>
      </c>
      <c r="Z2174" s="12">
        <v>4.4950976470635107</v>
      </c>
      <c r="AA2174" s="12" t="s">
        <v>1268</v>
      </c>
      <c r="AB2174" s="12"/>
    </row>
    <row r="2175" spans="1:28" x14ac:dyDescent="0.3">
      <c r="A2175" s="12" t="s">
        <v>4089</v>
      </c>
      <c r="B2175" s="12" t="s">
        <v>170</v>
      </c>
      <c r="C2175" s="12" t="s">
        <v>456</v>
      </c>
      <c r="D2175" s="12" t="s">
        <v>731</v>
      </c>
      <c r="E2175" s="12" t="s">
        <v>2978</v>
      </c>
      <c r="F2175" s="12" t="s">
        <v>1861</v>
      </c>
      <c r="G2175" s="12" t="s">
        <v>1861</v>
      </c>
      <c r="H2175" s="12" t="b">
        <v>1</v>
      </c>
      <c r="I2175" s="12" t="b">
        <v>0</v>
      </c>
      <c r="J2175" s="12" t="b">
        <v>1</v>
      </c>
      <c r="K2175" s="12" t="b">
        <v>0</v>
      </c>
      <c r="L2175" s="12">
        <v>623.15</v>
      </c>
      <c r="M2175" s="12">
        <v>300.032917</v>
      </c>
      <c r="N2175" s="12">
        <v>3000</v>
      </c>
      <c r="O2175" s="12">
        <v>788.28462124752423</v>
      </c>
      <c r="P2175" s="12">
        <v>0.57436982396530256</v>
      </c>
      <c r="Q2175" s="12">
        <v>0.93988842192809463</v>
      </c>
      <c r="R2175" s="12">
        <v>0.94661293461111562</v>
      </c>
      <c r="S2175" s="12">
        <v>0.61439038543069591</v>
      </c>
      <c r="T2175" s="12">
        <v>0.72464500787334862</v>
      </c>
      <c r="U2175" s="12">
        <v>0.6601016489720446</v>
      </c>
      <c r="V2175" s="12">
        <v>300.032917</v>
      </c>
      <c r="W2175" s="12">
        <v>10.69084876071657</v>
      </c>
      <c r="X2175" s="12">
        <v>130.90891963145211</v>
      </c>
      <c r="Y2175" s="12">
        <v>2211.7153787524762</v>
      </c>
      <c r="Z2175" s="12">
        <v>3.805731989610881</v>
      </c>
      <c r="AA2175" s="12" t="s">
        <v>1268</v>
      </c>
      <c r="AB2175" s="12"/>
    </row>
    <row r="2176" spans="1:28" x14ac:dyDescent="0.3">
      <c r="A2176" s="12" t="s">
        <v>4090</v>
      </c>
      <c r="B2176" s="12" t="s">
        <v>170</v>
      </c>
      <c r="C2176" s="12" t="s">
        <v>456</v>
      </c>
      <c r="D2176" s="12" t="s">
        <v>731</v>
      </c>
      <c r="E2176" s="12" t="s">
        <v>2978</v>
      </c>
      <c r="F2176" s="12" t="s">
        <v>1861</v>
      </c>
      <c r="G2176" s="12" t="s">
        <v>1861</v>
      </c>
      <c r="H2176" s="12" t="b">
        <v>1</v>
      </c>
      <c r="I2176" s="12" t="b">
        <v>0</v>
      </c>
      <c r="J2176" s="12" t="b">
        <v>1</v>
      </c>
      <c r="K2176" s="12" t="b">
        <v>0</v>
      </c>
      <c r="L2176" s="12">
        <v>623.15</v>
      </c>
      <c r="M2176" s="12">
        <v>300.032917</v>
      </c>
      <c r="N2176" s="12">
        <v>3000</v>
      </c>
      <c r="O2176" s="12">
        <v>491.52386714836649</v>
      </c>
      <c r="P2176" s="12">
        <v>0.68684892153944932</v>
      </c>
      <c r="Q2176" s="12">
        <v>0.5586701060832564</v>
      </c>
      <c r="R2176" s="12">
        <v>0.82485699703943038</v>
      </c>
      <c r="S2176" s="12">
        <v>0.57479070416495426</v>
      </c>
      <c r="T2176" s="12">
        <v>0.41832523338369171</v>
      </c>
      <c r="U2176" s="12">
        <v>0.7806487977233878</v>
      </c>
      <c r="V2176" s="12">
        <v>300.032917</v>
      </c>
      <c r="W2176" s="12">
        <v>2.1830009526110898</v>
      </c>
      <c r="X2176" s="12">
        <v>21.997596414245351</v>
      </c>
      <c r="Y2176" s="12">
        <v>2508.4761328516329</v>
      </c>
      <c r="Z2176" s="12">
        <v>6.1034676045435043</v>
      </c>
      <c r="AA2176" s="12" t="s">
        <v>1268</v>
      </c>
      <c r="AB2176" s="12"/>
    </row>
    <row r="2177" spans="1:28" x14ac:dyDescent="0.3">
      <c r="A2177" s="12" t="s">
        <v>4091</v>
      </c>
      <c r="B2177" s="12" t="s">
        <v>170</v>
      </c>
      <c r="C2177" s="12" t="s">
        <v>456</v>
      </c>
      <c r="D2177" s="12" t="s">
        <v>731</v>
      </c>
      <c r="E2177" s="12" t="s">
        <v>2978</v>
      </c>
      <c r="F2177" s="12" t="s">
        <v>32</v>
      </c>
      <c r="G2177" s="12" t="s">
        <v>32</v>
      </c>
      <c r="H2177" s="12" t="b">
        <v>1</v>
      </c>
      <c r="I2177" s="12" t="b">
        <v>0</v>
      </c>
      <c r="J2177" s="12" t="b">
        <v>1</v>
      </c>
      <c r="K2177" s="12" t="b">
        <v>0</v>
      </c>
      <c r="L2177" s="12">
        <v>623.15</v>
      </c>
      <c r="M2177" s="12">
        <v>300.032917</v>
      </c>
      <c r="N2177" s="12">
        <v>3000</v>
      </c>
      <c r="O2177" s="12">
        <v>955.2858388867096</v>
      </c>
      <c r="P2177" s="12">
        <v>0.54429868285052929</v>
      </c>
      <c r="Q2177" s="12">
        <v>0.68418930266014177</v>
      </c>
      <c r="R2177" s="12">
        <v>0.6426228769604696</v>
      </c>
      <c r="S2177" s="12">
        <v>0.40425019983389832</v>
      </c>
      <c r="T2177" s="12">
        <v>0.81698584656522244</v>
      </c>
      <c r="U2177" s="12">
        <v>0.89159698494563078</v>
      </c>
      <c r="V2177" s="12">
        <v>300.032917</v>
      </c>
      <c r="W2177" s="12">
        <v>6.7200767425190602</v>
      </c>
      <c r="X2177" s="12">
        <v>64.202234604349783</v>
      </c>
      <c r="Y2177" s="12">
        <v>2044.7141611132899</v>
      </c>
      <c r="Z2177" s="12">
        <v>3.140421304157718</v>
      </c>
      <c r="AA2177" s="12"/>
      <c r="AB2177" s="12"/>
    </row>
    <row r="2178" spans="1:28" x14ac:dyDescent="0.3">
      <c r="A2178" s="12" t="s">
        <v>4092</v>
      </c>
      <c r="B2178" s="12" t="s">
        <v>170</v>
      </c>
      <c r="C2178" s="12" t="s">
        <v>456</v>
      </c>
      <c r="D2178" s="12" t="s">
        <v>731</v>
      </c>
      <c r="E2178" s="12" t="s">
        <v>2978</v>
      </c>
      <c r="F2178" s="12" t="s">
        <v>832</v>
      </c>
      <c r="G2178" s="12" t="s">
        <v>832</v>
      </c>
      <c r="H2178" s="12" t="b">
        <v>0</v>
      </c>
      <c r="I2178" s="12" t="b">
        <v>0</v>
      </c>
      <c r="J2178" s="12" t="b">
        <v>0</v>
      </c>
      <c r="K2178" s="12" t="b">
        <v>0</v>
      </c>
      <c r="L2178" s="12">
        <v>623.15</v>
      </c>
      <c r="M2178" s="12">
        <v>300.032917</v>
      </c>
      <c r="N2178" s="12">
        <v>3000</v>
      </c>
      <c r="O2178" s="12">
        <v>1820.487842189958</v>
      </c>
      <c r="P2178" s="12">
        <v>0.61724596416677491</v>
      </c>
      <c r="Q2178" s="12">
        <v>0.86987999924302506</v>
      </c>
      <c r="R2178" s="12">
        <v>0.6209401941707593</v>
      </c>
      <c r="S2178" s="12">
        <v>0.81684774636124435</v>
      </c>
      <c r="T2178" s="12">
        <v>0.84330471624179915</v>
      </c>
      <c r="U2178" s="12">
        <v>0.73686002351599555</v>
      </c>
      <c r="V2178" s="12">
        <v>300.032917</v>
      </c>
      <c r="W2178" s="12"/>
      <c r="X2178" s="12"/>
      <c r="Y2178" s="12">
        <v>1179.512157810042</v>
      </c>
      <c r="Z2178" s="12">
        <v>1.647909934070829</v>
      </c>
      <c r="AA2178" s="12"/>
      <c r="AB2178" s="12"/>
    </row>
    <row r="2179" spans="1:28" x14ac:dyDescent="0.3">
      <c r="A2179" s="12" t="s">
        <v>4093</v>
      </c>
      <c r="B2179" s="12" t="s">
        <v>170</v>
      </c>
      <c r="C2179" s="12" t="s">
        <v>456</v>
      </c>
      <c r="D2179" s="12" t="s">
        <v>731</v>
      </c>
      <c r="E2179" s="12" t="s">
        <v>2978</v>
      </c>
      <c r="F2179" s="12" t="s">
        <v>832</v>
      </c>
      <c r="G2179" s="12" t="s">
        <v>832</v>
      </c>
      <c r="H2179" s="12" t="b">
        <v>0</v>
      </c>
      <c r="I2179" s="12" t="b">
        <v>0</v>
      </c>
      <c r="J2179" s="12" t="b">
        <v>0</v>
      </c>
      <c r="K2179" s="12" t="b">
        <v>0</v>
      </c>
      <c r="L2179" s="12">
        <v>623.15</v>
      </c>
      <c r="M2179" s="12">
        <v>300.032917</v>
      </c>
      <c r="N2179" s="12">
        <v>3000</v>
      </c>
      <c r="O2179" s="12">
        <v>893.06640696951501</v>
      </c>
      <c r="P2179" s="12">
        <v>0.66135043066693955</v>
      </c>
      <c r="Q2179" s="12">
        <v>0.84717408059372579</v>
      </c>
      <c r="R2179" s="12">
        <v>0.43952894236497858</v>
      </c>
      <c r="S2179" s="12">
        <v>0.90190983317464757</v>
      </c>
      <c r="T2179" s="12">
        <v>0.64744501294880352</v>
      </c>
      <c r="U2179" s="12">
        <v>0.43159112053856941</v>
      </c>
      <c r="V2179" s="12">
        <v>300.032917</v>
      </c>
      <c r="W2179" s="12"/>
      <c r="X2179" s="12"/>
      <c r="Y2179" s="12">
        <v>2106.9335930304851</v>
      </c>
      <c r="Z2179" s="12">
        <v>3.359212681820654</v>
      </c>
      <c r="AA2179" s="12"/>
      <c r="AB2179" s="12"/>
    </row>
    <row r="2180" spans="1:28" x14ac:dyDescent="0.3">
      <c r="A2180" s="12" t="s">
        <v>4094</v>
      </c>
      <c r="B2180" s="12" t="s">
        <v>170</v>
      </c>
      <c r="C2180" s="12" t="s">
        <v>456</v>
      </c>
      <c r="D2180" s="12" t="s">
        <v>731</v>
      </c>
      <c r="E2180" s="12" t="s">
        <v>2978</v>
      </c>
      <c r="F2180" s="12" t="s">
        <v>1861</v>
      </c>
      <c r="G2180" s="12" t="s">
        <v>1861</v>
      </c>
      <c r="H2180" s="12" t="b">
        <v>1</v>
      </c>
      <c r="I2180" s="12" t="b">
        <v>0</v>
      </c>
      <c r="J2180" s="12" t="b">
        <v>0</v>
      </c>
      <c r="K2180" s="12" t="b">
        <v>0</v>
      </c>
      <c r="L2180" s="12">
        <v>623.15</v>
      </c>
      <c r="M2180" s="12">
        <v>300.032917</v>
      </c>
      <c r="N2180" s="12">
        <v>3000</v>
      </c>
      <c r="O2180" s="12">
        <v>1250.8027658505639</v>
      </c>
      <c r="P2180" s="12">
        <v>0.8309115464628688</v>
      </c>
      <c r="Q2180" s="12">
        <v>0.74232949983354579</v>
      </c>
      <c r="R2180" s="12">
        <v>0.41084961770709449</v>
      </c>
      <c r="S2180" s="12">
        <v>0.46823673459442378</v>
      </c>
      <c r="T2180" s="12">
        <v>0.89341524975427877</v>
      </c>
      <c r="U2180" s="12">
        <v>0.83638356999303598</v>
      </c>
      <c r="V2180" s="12">
        <v>300.032917</v>
      </c>
      <c r="W2180" s="12">
        <v>6.2450782756349597</v>
      </c>
      <c r="X2180" s="12">
        <v>59.113081665461841</v>
      </c>
      <c r="Y2180" s="12">
        <v>1749.1972341494361</v>
      </c>
      <c r="Z2180" s="12">
        <v>2.398459678780736</v>
      </c>
      <c r="AA2180" s="12" t="s">
        <v>1268</v>
      </c>
      <c r="AB2180" s="12"/>
    </row>
    <row r="2181" spans="1:28" x14ac:dyDescent="0.3">
      <c r="A2181" s="12" t="s">
        <v>4095</v>
      </c>
      <c r="B2181" s="12" t="s">
        <v>170</v>
      </c>
      <c r="C2181" s="12" t="s">
        <v>456</v>
      </c>
      <c r="D2181" s="12" t="s">
        <v>731</v>
      </c>
      <c r="E2181" s="12" t="s">
        <v>2978</v>
      </c>
      <c r="F2181" s="12" t="s">
        <v>1861</v>
      </c>
      <c r="G2181" s="12" t="s">
        <v>1861</v>
      </c>
      <c r="H2181" s="12" t="b">
        <v>1</v>
      </c>
      <c r="I2181" s="12" t="b">
        <v>0</v>
      </c>
      <c r="J2181" s="12" t="b">
        <v>1</v>
      </c>
      <c r="K2181" s="12" t="b">
        <v>0</v>
      </c>
      <c r="L2181" s="12">
        <v>623.15</v>
      </c>
      <c r="M2181" s="12">
        <v>300.032917</v>
      </c>
      <c r="N2181" s="12">
        <v>3000</v>
      </c>
      <c r="O2181" s="12">
        <v>732.82340294424</v>
      </c>
      <c r="P2181" s="12">
        <v>0.74658766839822976</v>
      </c>
      <c r="Q2181" s="12">
        <v>0.66867150211332804</v>
      </c>
      <c r="R2181" s="12">
        <v>0.50370861818861812</v>
      </c>
      <c r="S2181" s="12">
        <v>0.70298558343706108</v>
      </c>
      <c r="T2181" s="12">
        <v>0.80687193992240869</v>
      </c>
      <c r="U2181" s="12">
        <v>0.84322700927475425</v>
      </c>
      <c r="V2181" s="12">
        <v>300.032917</v>
      </c>
      <c r="W2181" s="12">
        <v>5.27211189291571</v>
      </c>
      <c r="X2181" s="12">
        <v>72.669538402268017</v>
      </c>
      <c r="Y2181" s="12">
        <v>2267.1765970557599</v>
      </c>
      <c r="Z2181" s="12">
        <v>4.0937557233393482</v>
      </c>
      <c r="AA2181" s="12" t="s">
        <v>1268</v>
      </c>
      <c r="AB2181" s="12"/>
    </row>
    <row r="2182" spans="1:28" x14ac:dyDescent="0.3">
      <c r="A2182" s="12" t="s">
        <v>4096</v>
      </c>
      <c r="B2182" s="12" t="s">
        <v>170</v>
      </c>
      <c r="C2182" s="12" t="s">
        <v>456</v>
      </c>
      <c r="D2182" s="12" t="s">
        <v>731</v>
      </c>
      <c r="E2182" s="12" t="s">
        <v>2978</v>
      </c>
      <c r="F2182" s="12" t="s">
        <v>1862</v>
      </c>
      <c r="G2182" s="12" t="s">
        <v>1862</v>
      </c>
      <c r="H2182" s="12" t="b">
        <v>1</v>
      </c>
      <c r="I2182" s="12" t="b">
        <v>0</v>
      </c>
      <c r="J2182" s="12" t="b">
        <v>1</v>
      </c>
      <c r="K2182" s="12" t="b">
        <v>0</v>
      </c>
      <c r="L2182" s="12">
        <v>623.15</v>
      </c>
      <c r="M2182" s="12">
        <v>300.032917</v>
      </c>
      <c r="N2182" s="12">
        <v>3000</v>
      </c>
      <c r="O2182" s="12">
        <v>1187.2513241313629</v>
      </c>
      <c r="P2182" s="12">
        <v>0.55122079058546469</v>
      </c>
      <c r="Q2182" s="12">
        <v>0.73319484301634819</v>
      </c>
      <c r="R2182" s="12">
        <v>0.52977954947908013</v>
      </c>
      <c r="S2182" s="12">
        <v>0.56369469238550773</v>
      </c>
      <c r="T2182" s="12">
        <v>0.63061246624467349</v>
      </c>
      <c r="U2182" s="12">
        <v>0.48340628326713719</v>
      </c>
      <c r="V2182" s="12">
        <v>300.032917</v>
      </c>
      <c r="W2182" s="12">
        <v>-2.1991572144227001</v>
      </c>
      <c r="X2182" s="12">
        <v>-19.464769591903469</v>
      </c>
      <c r="Y2182" s="12">
        <v>1812.7486758686371</v>
      </c>
      <c r="Z2182" s="12">
        <v>2.5268449392506782</v>
      </c>
      <c r="AA2182" s="12" t="s">
        <v>2513</v>
      </c>
      <c r="AB2182" s="12"/>
    </row>
    <row r="2183" spans="1:28" x14ac:dyDescent="0.3">
      <c r="A2183" s="12" t="s">
        <v>4097</v>
      </c>
      <c r="B2183" s="12" t="s">
        <v>170</v>
      </c>
      <c r="C2183" s="12" t="s">
        <v>456</v>
      </c>
      <c r="D2183" s="12" t="s">
        <v>731</v>
      </c>
      <c r="E2183" s="12" t="s">
        <v>2978</v>
      </c>
      <c r="F2183" s="12" t="s">
        <v>832</v>
      </c>
      <c r="G2183" s="12" t="s">
        <v>832</v>
      </c>
      <c r="H2183" s="12" t="b">
        <v>0</v>
      </c>
      <c r="I2183" s="12" t="b">
        <v>0</v>
      </c>
      <c r="J2183" s="12" t="b">
        <v>0</v>
      </c>
      <c r="K2183" s="12" t="b">
        <v>0</v>
      </c>
      <c r="L2183" s="12">
        <v>623.15</v>
      </c>
      <c r="M2183" s="12">
        <v>300.032917</v>
      </c>
      <c r="N2183" s="12">
        <v>3000</v>
      </c>
      <c r="O2183" s="12">
        <v>969.11098839840236</v>
      </c>
      <c r="P2183" s="12">
        <v>0.84794134158988443</v>
      </c>
      <c r="Q2183" s="12">
        <v>0.47204174912972968</v>
      </c>
      <c r="R2183" s="12">
        <v>0.60814875401368096</v>
      </c>
      <c r="S2183" s="12">
        <v>0.85920164707766866</v>
      </c>
      <c r="T2183" s="12">
        <v>0.4399816093834959</v>
      </c>
      <c r="U2183" s="12">
        <v>0.63255271683108738</v>
      </c>
      <c r="V2183" s="12">
        <v>300.032917</v>
      </c>
      <c r="W2183" s="12"/>
      <c r="X2183" s="12"/>
      <c r="Y2183" s="12">
        <v>2030.889011601598</v>
      </c>
      <c r="Z2183" s="12">
        <v>3.09562066255996</v>
      </c>
      <c r="AA2183" s="12"/>
      <c r="AB2183" s="12"/>
    </row>
    <row r="2184" spans="1:28" x14ac:dyDescent="0.3">
      <c r="A2184" s="12" t="s">
        <v>4098</v>
      </c>
      <c r="B2184" s="12" t="s">
        <v>170</v>
      </c>
      <c r="C2184" s="12" t="s">
        <v>456</v>
      </c>
      <c r="D2184" s="12" t="s">
        <v>731</v>
      </c>
      <c r="E2184" s="12" t="s">
        <v>2978</v>
      </c>
      <c r="F2184" s="12" t="s">
        <v>1861</v>
      </c>
      <c r="G2184" s="12" t="s">
        <v>1861</v>
      </c>
      <c r="H2184" s="12" t="b">
        <v>1</v>
      </c>
      <c r="I2184" s="12" t="b">
        <v>0</v>
      </c>
      <c r="J2184" s="12" t="b">
        <v>1</v>
      </c>
      <c r="K2184" s="12" t="b">
        <v>0</v>
      </c>
      <c r="L2184" s="12">
        <v>623.15</v>
      </c>
      <c r="M2184" s="12">
        <v>300.032917</v>
      </c>
      <c r="N2184" s="12">
        <v>3000</v>
      </c>
      <c r="O2184" s="12">
        <v>1481.0289434630431</v>
      </c>
      <c r="P2184" s="12">
        <v>0.55676919502812139</v>
      </c>
      <c r="Q2184" s="12">
        <v>0.53035358965039237</v>
      </c>
      <c r="R2184" s="12">
        <v>0.63069181366180749</v>
      </c>
      <c r="S2184" s="12">
        <v>0.65935208636947751</v>
      </c>
      <c r="T2184" s="12">
        <v>0.61256582764071565</v>
      </c>
      <c r="U2184" s="12">
        <v>0.70125235781593531</v>
      </c>
      <c r="V2184" s="12">
        <v>300.032917</v>
      </c>
      <c r="W2184" s="12">
        <v>1.79713518882915</v>
      </c>
      <c r="X2184" s="12">
        <v>24.22883908861974</v>
      </c>
      <c r="Y2184" s="12">
        <v>1518.9710565369569</v>
      </c>
      <c r="Z2184" s="12">
        <v>2.0256187519098678</v>
      </c>
      <c r="AA2184" s="12" t="s">
        <v>1268</v>
      </c>
      <c r="AB2184" s="12"/>
    </row>
    <row r="2185" spans="1:28" x14ac:dyDescent="0.3">
      <c r="A2185" s="12" t="s">
        <v>4099</v>
      </c>
      <c r="B2185" s="12" t="s">
        <v>170</v>
      </c>
      <c r="C2185" s="12" t="s">
        <v>456</v>
      </c>
      <c r="D2185" s="12" t="s">
        <v>731</v>
      </c>
      <c r="E2185" s="12" t="s">
        <v>2978</v>
      </c>
      <c r="F2185" s="12" t="s">
        <v>1861</v>
      </c>
      <c r="G2185" s="12" t="s">
        <v>1861</v>
      </c>
      <c r="H2185" s="12" t="b">
        <v>1</v>
      </c>
      <c r="I2185" s="12" t="b">
        <v>0</v>
      </c>
      <c r="J2185" s="12" t="b">
        <v>1</v>
      </c>
      <c r="K2185" s="12" t="b">
        <v>0</v>
      </c>
      <c r="L2185" s="12">
        <v>623.15</v>
      </c>
      <c r="M2185" s="12">
        <v>300.032917</v>
      </c>
      <c r="N2185" s="12">
        <v>3000</v>
      </c>
      <c r="O2185" s="12">
        <v>836.37435230652693</v>
      </c>
      <c r="P2185" s="12">
        <v>0.6550402161790907</v>
      </c>
      <c r="Q2185" s="12">
        <v>0.69912606002422839</v>
      </c>
      <c r="R2185" s="12">
        <v>0.87959356254465937</v>
      </c>
      <c r="S2185" s="12">
        <v>0.66141697217405948</v>
      </c>
      <c r="T2185" s="12">
        <v>0.54580080714166979</v>
      </c>
      <c r="U2185" s="12">
        <v>0.81043045990416895</v>
      </c>
      <c r="V2185" s="12">
        <v>300.032917</v>
      </c>
      <c r="W2185" s="12">
        <v>7.5692642539383099</v>
      </c>
      <c r="X2185" s="12">
        <v>108.98337022569061</v>
      </c>
      <c r="Y2185" s="12">
        <v>2163.6256476934732</v>
      </c>
      <c r="Z2185" s="12">
        <v>3.5869105643025692</v>
      </c>
      <c r="AA2185" s="12" t="s">
        <v>1268</v>
      </c>
      <c r="AB2185" s="12"/>
    </row>
    <row r="2186" spans="1:28" x14ac:dyDescent="0.3">
      <c r="A2186" s="12" t="s">
        <v>4100</v>
      </c>
      <c r="B2186" s="12" t="s">
        <v>170</v>
      </c>
      <c r="C2186" s="12" t="s">
        <v>456</v>
      </c>
      <c r="D2186" s="12" t="s">
        <v>731</v>
      </c>
      <c r="E2186" s="12" t="s">
        <v>2978</v>
      </c>
      <c r="F2186" s="12" t="s">
        <v>1862</v>
      </c>
      <c r="G2186" s="12" t="s">
        <v>1862</v>
      </c>
      <c r="H2186" s="12" t="b">
        <v>1</v>
      </c>
      <c r="I2186" s="12" t="b">
        <v>0</v>
      </c>
      <c r="J2186" s="12" t="b">
        <v>1</v>
      </c>
      <c r="K2186" s="12" t="b">
        <v>0</v>
      </c>
      <c r="L2186" s="12">
        <v>623.15</v>
      </c>
      <c r="M2186" s="12">
        <v>300.032917</v>
      </c>
      <c r="N2186" s="12">
        <v>3000</v>
      </c>
      <c r="O2186" s="12">
        <v>1116.1464184310821</v>
      </c>
      <c r="P2186" s="12">
        <v>0.63744727170114779</v>
      </c>
      <c r="Q2186" s="12">
        <v>0.408856758606152</v>
      </c>
      <c r="R2186" s="12">
        <v>0.67303055985072135</v>
      </c>
      <c r="S2186" s="12">
        <v>0.65435824663062725</v>
      </c>
      <c r="T2186" s="12">
        <v>0.44983481412352</v>
      </c>
      <c r="U2186" s="12">
        <v>0.50964276723063195</v>
      </c>
      <c r="V2186" s="12">
        <v>300.032917</v>
      </c>
      <c r="W2186" s="12">
        <v>-5.5244530314665603</v>
      </c>
      <c r="X2186" s="12">
        <v>-53.059328821910213</v>
      </c>
      <c r="Y2186" s="12">
        <v>1883.8535815689179</v>
      </c>
      <c r="Z2186" s="12">
        <v>2.6878194029569782</v>
      </c>
      <c r="AA2186" s="12" t="s">
        <v>2513</v>
      </c>
      <c r="AB2186" s="12"/>
    </row>
    <row r="2187" spans="1:28" x14ac:dyDescent="0.3">
      <c r="A2187" s="12" t="s">
        <v>4101</v>
      </c>
      <c r="B2187" s="12" t="s">
        <v>170</v>
      </c>
      <c r="C2187" s="12" t="s">
        <v>456</v>
      </c>
      <c r="D2187" s="12" t="s">
        <v>731</v>
      </c>
      <c r="E2187" s="12" t="s">
        <v>2978</v>
      </c>
      <c r="F2187" s="12" t="s">
        <v>1862</v>
      </c>
      <c r="G2187" s="12" t="s">
        <v>1862</v>
      </c>
      <c r="H2187" s="12" t="b">
        <v>1</v>
      </c>
      <c r="I2187" s="12" t="b">
        <v>0</v>
      </c>
      <c r="J2187" s="12" t="b">
        <v>1</v>
      </c>
      <c r="K2187" s="12" t="b">
        <v>0</v>
      </c>
      <c r="L2187" s="12">
        <v>623.15</v>
      </c>
      <c r="M2187" s="12">
        <v>300.032917</v>
      </c>
      <c r="N2187" s="12">
        <v>3000</v>
      </c>
      <c r="O2187" s="12">
        <v>518.49350355066338</v>
      </c>
      <c r="P2187" s="12">
        <v>0.74231695223098582</v>
      </c>
      <c r="Q2187" s="12">
        <v>0.75606667696860663</v>
      </c>
      <c r="R2187" s="12">
        <v>0.65750982347724507</v>
      </c>
      <c r="S2187" s="12">
        <v>0.5713129927269166</v>
      </c>
      <c r="T2187" s="12">
        <v>0.65959205509982055</v>
      </c>
      <c r="U2187" s="12">
        <v>0.62383449284941916</v>
      </c>
      <c r="V2187" s="12">
        <v>300.032917</v>
      </c>
      <c r="W2187" s="12">
        <v>-5.0389917459081204</v>
      </c>
      <c r="X2187" s="12">
        <v>-35.83292835042343</v>
      </c>
      <c r="Y2187" s="12">
        <v>2481.5064964493372</v>
      </c>
      <c r="Z2187" s="12">
        <v>5.7859934202760206</v>
      </c>
      <c r="AA2187" s="12" t="s">
        <v>2513</v>
      </c>
      <c r="AB2187" s="12"/>
    </row>
    <row r="2188" spans="1:28" x14ac:dyDescent="0.3">
      <c r="A2188" s="12" t="s">
        <v>4102</v>
      </c>
      <c r="B2188" s="12" t="s">
        <v>170</v>
      </c>
      <c r="C2188" s="12" t="s">
        <v>456</v>
      </c>
      <c r="D2188" s="12" t="s">
        <v>731</v>
      </c>
      <c r="E2188" s="12" t="s">
        <v>2978</v>
      </c>
      <c r="F2188" s="12" t="s">
        <v>1862</v>
      </c>
      <c r="G2188" s="12" t="s">
        <v>1862</v>
      </c>
      <c r="H2188" s="12" t="b">
        <v>1</v>
      </c>
      <c r="I2188" s="12" t="b">
        <v>0</v>
      </c>
      <c r="J2188" s="12" t="b">
        <v>1</v>
      </c>
      <c r="K2188" s="12" t="b">
        <v>0</v>
      </c>
      <c r="L2188" s="12">
        <v>623.15</v>
      </c>
      <c r="M2188" s="12">
        <v>300.032917</v>
      </c>
      <c r="N2188" s="12">
        <v>3000</v>
      </c>
      <c r="O2188" s="12">
        <v>340.48056053274269</v>
      </c>
      <c r="P2188" s="12">
        <v>0.68508744005790456</v>
      </c>
      <c r="Q2188" s="12">
        <v>0.4399632055401686</v>
      </c>
      <c r="R2188" s="12">
        <v>0.52060108475555078</v>
      </c>
      <c r="S2188" s="12">
        <v>0.53737411827761017</v>
      </c>
      <c r="T2188" s="12">
        <v>0.60275169367539683</v>
      </c>
      <c r="U2188" s="12">
        <v>0.86724977306920614</v>
      </c>
      <c r="V2188" s="12">
        <v>300.032917</v>
      </c>
      <c r="W2188" s="12">
        <v>-16.07706778768398</v>
      </c>
      <c r="X2188" s="12">
        <v>-134.52682449089039</v>
      </c>
      <c r="Y2188" s="12">
        <v>2659.5194394672571</v>
      </c>
      <c r="Z2188" s="12">
        <v>8.811075719876527</v>
      </c>
      <c r="AA2188" s="12" t="s">
        <v>2513</v>
      </c>
      <c r="AB2188" s="12"/>
    </row>
    <row r="2189" spans="1:28" x14ac:dyDescent="0.3">
      <c r="A2189" s="12" t="s">
        <v>4103</v>
      </c>
      <c r="B2189" s="12" t="s">
        <v>170</v>
      </c>
      <c r="C2189" s="12" t="s">
        <v>456</v>
      </c>
      <c r="D2189" s="12" t="s">
        <v>731</v>
      </c>
      <c r="E2189" s="12" t="s">
        <v>2978</v>
      </c>
      <c r="F2189" s="12" t="s">
        <v>832</v>
      </c>
      <c r="G2189" s="12" t="s">
        <v>832</v>
      </c>
      <c r="H2189" s="12" t="b">
        <v>0</v>
      </c>
      <c r="I2189" s="12" t="b">
        <v>0</v>
      </c>
      <c r="J2189" s="12" t="b">
        <v>0</v>
      </c>
      <c r="K2189" s="12" t="b">
        <v>0</v>
      </c>
      <c r="L2189" s="12">
        <v>623.15</v>
      </c>
      <c r="M2189" s="12">
        <v>300.032917</v>
      </c>
      <c r="N2189" s="12">
        <v>3000</v>
      </c>
      <c r="O2189" s="12">
        <v>1231.2108518172799</v>
      </c>
      <c r="P2189" s="12">
        <v>0.84176658861814402</v>
      </c>
      <c r="Q2189" s="12">
        <v>0.62207939252923639</v>
      </c>
      <c r="R2189" s="12">
        <v>0.76910558300682741</v>
      </c>
      <c r="S2189" s="12">
        <v>0.75156003601051991</v>
      </c>
      <c r="T2189" s="12">
        <v>0.53790609296393721</v>
      </c>
      <c r="U2189" s="12">
        <v>0.65258137903901203</v>
      </c>
      <c r="V2189" s="12">
        <v>300.032917</v>
      </c>
      <c r="W2189" s="12"/>
      <c r="X2189" s="12"/>
      <c r="Y2189" s="12">
        <v>1768.7891481827201</v>
      </c>
      <c r="Z2189" s="12">
        <v>2.4366256970298541</v>
      </c>
      <c r="AA2189" s="12"/>
      <c r="AB2189" s="12"/>
    </row>
    <row r="2190" spans="1:28" x14ac:dyDescent="0.3">
      <c r="A2190" s="12" t="s">
        <v>4104</v>
      </c>
      <c r="B2190" s="12" t="s">
        <v>170</v>
      </c>
      <c r="C2190" s="12" t="s">
        <v>456</v>
      </c>
      <c r="D2190" s="12" t="s">
        <v>731</v>
      </c>
      <c r="E2190" s="12" t="s">
        <v>2978</v>
      </c>
      <c r="F2190" s="12" t="s">
        <v>1861</v>
      </c>
      <c r="G2190" s="12" t="s">
        <v>1861</v>
      </c>
      <c r="H2190" s="12" t="b">
        <v>1</v>
      </c>
      <c r="I2190" s="12" t="b">
        <v>0</v>
      </c>
      <c r="J2190" s="12" t="b">
        <v>1</v>
      </c>
      <c r="K2190" s="12" t="b">
        <v>0</v>
      </c>
      <c r="L2190" s="12">
        <v>623.15</v>
      </c>
      <c r="M2190" s="12">
        <v>300.032917</v>
      </c>
      <c r="N2190" s="12">
        <v>3000</v>
      </c>
      <c r="O2190" s="12">
        <v>1774.563414524257</v>
      </c>
      <c r="P2190" s="12">
        <v>0.68318518351643687</v>
      </c>
      <c r="Q2190" s="12">
        <v>0.9046691121915148</v>
      </c>
      <c r="R2190" s="12">
        <v>0.94046477845571241</v>
      </c>
      <c r="S2190" s="12">
        <v>0.76799737719419259</v>
      </c>
      <c r="T2190" s="12">
        <v>0.41141252484893509</v>
      </c>
      <c r="U2190" s="12">
        <v>0.77607006536825829</v>
      </c>
      <c r="V2190" s="12">
        <v>300.032917</v>
      </c>
      <c r="W2190" s="12">
        <v>4.6144076354146</v>
      </c>
      <c r="X2190" s="12">
        <v>72.820761638923486</v>
      </c>
      <c r="Y2190" s="12">
        <v>1225.436585475743</v>
      </c>
      <c r="Z2190" s="12">
        <v>1.6905566605543201</v>
      </c>
      <c r="AA2190" s="12" t="s">
        <v>1268</v>
      </c>
      <c r="AB2190" s="12"/>
    </row>
    <row r="2191" spans="1:28" x14ac:dyDescent="0.3">
      <c r="A2191" s="12" t="s">
        <v>4105</v>
      </c>
      <c r="B2191" s="12" t="s">
        <v>170</v>
      </c>
      <c r="C2191" s="12" t="s">
        <v>456</v>
      </c>
      <c r="D2191" s="12" t="s">
        <v>731</v>
      </c>
      <c r="E2191" s="12" t="s">
        <v>2978</v>
      </c>
      <c r="F2191" s="12" t="s">
        <v>832</v>
      </c>
      <c r="G2191" s="12" t="s">
        <v>832</v>
      </c>
      <c r="H2191" s="12" t="b">
        <v>0</v>
      </c>
      <c r="I2191" s="12" t="b">
        <v>0</v>
      </c>
      <c r="J2191" s="12" t="b">
        <v>0</v>
      </c>
      <c r="K2191" s="12" t="b">
        <v>0</v>
      </c>
      <c r="L2191" s="12">
        <v>623.15</v>
      </c>
      <c r="M2191" s="12">
        <v>300.032917</v>
      </c>
      <c r="N2191" s="12">
        <v>3000</v>
      </c>
      <c r="O2191" s="12">
        <v>442.84815451284868</v>
      </c>
      <c r="P2191" s="12">
        <v>0.5244297991410477</v>
      </c>
      <c r="Q2191" s="12">
        <v>0.93302404031723396</v>
      </c>
      <c r="R2191" s="12">
        <v>0.70846758077472904</v>
      </c>
      <c r="S2191" s="12">
        <v>0.89332060998681095</v>
      </c>
      <c r="T2191" s="12">
        <v>0.47819772288333767</v>
      </c>
      <c r="U2191" s="12">
        <v>0.48894126477921501</v>
      </c>
      <c r="V2191" s="12">
        <v>300.032917</v>
      </c>
      <c r="W2191" s="12"/>
      <c r="X2191" s="12"/>
      <c r="Y2191" s="12">
        <v>2557.1518454871511</v>
      </c>
      <c r="Z2191" s="12">
        <v>6.7743310419801217</v>
      </c>
      <c r="AA2191" s="12"/>
      <c r="AB2191" s="12"/>
    </row>
    <row r="2192" spans="1:28" x14ac:dyDescent="0.3">
      <c r="A2192" s="12" t="s">
        <v>4106</v>
      </c>
      <c r="B2192" s="12" t="s">
        <v>170</v>
      </c>
      <c r="C2192" s="12" t="s">
        <v>456</v>
      </c>
      <c r="D2192" s="12" t="s">
        <v>731</v>
      </c>
      <c r="E2192" s="12" t="s">
        <v>2978</v>
      </c>
      <c r="F2192" s="12" t="s">
        <v>1862</v>
      </c>
      <c r="G2192" s="12" t="s">
        <v>1862</v>
      </c>
      <c r="H2192" s="12" t="b">
        <v>1</v>
      </c>
      <c r="I2192" s="12" t="b">
        <v>0</v>
      </c>
      <c r="J2192" s="12" t="b">
        <v>1</v>
      </c>
      <c r="K2192" s="12" t="b">
        <v>0</v>
      </c>
      <c r="L2192" s="12">
        <v>623.15</v>
      </c>
      <c r="M2192" s="12">
        <v>300.032917</v>
      </c>
      <c r="N2192" s="12">
        <v>3000</v>
      </c>
      <c r="O2192" s="12">
        <v>1092.779970317365</v>
      </c>
      <c r="P2192" s="12">
        <v>0.76531729295362738</v>
      </c>
      <c r="Q2192" s="12">
        <v>0.73723930471789034</v>
      </c>
      <c r="R2192" s="12">
        <v>0.79083885972373791</v>
      </c>
      <c r="S2192" s="12">
        <v>0.43370947454876729</v>
      </c>
      <c r="T2192" s="12">
        <v>0.51309165839991433</v>
      </c>
      <c r="U2192" s="12">
        <v>0.40216648025933999</v>
      </c>
      <c r="V2192" s="12">
        <v>300.032917</v>
      </c>
      <c r="W2192" s="12">
        <v>-0.60359429313948998</v>
      </c>
      <c r="X2192" s="12">
        <v>-3.572668927241494</v>
      </c>
      <c r="Y2192" s="12">
        <v>1907.220029682635</v>
      </c>
      <c r="Z2192" s="12">
        <v>2.7452918990899322</v>
      </c>
      <c r="AA2192" s="12" t="s">
        <v>2513</v>
      </c>
      <c r="AB2192" s="12"/>
    </row>
    <row r="2193" spans="1:28" x14ac:dyDescent="0.3">
      <c r="A2193" s="12" t="s">
        <v>4107</v>
      </c>
      <c r="B2193" s="12" t="s">
        <v>170</v>
      </c>
      <c r="C2193" s="12" t="s">
        <v>456</v>
      </c>
      <c r="D2193" s="12" t="s">
        <v>731</v>
      </c>
      <c r="E2193" s="12" t="s">
        <v>2978</v>
      </c>
      <c r="F2193" s="12" t="s">
        <v>1861</v>
      </c>
      <c r="G2193" s="12" t="s">
        <v>1861</v>
      </c>
      <c r="H2193" s="12" t="b">
        <v>1</v>
      </c>
      <c r="I2193" s="12" t="b">
        <v>0</v>
      </c>
      <c r="J2193" s="12" t="b">
        <v>1</v>
      </c>
      <c r="K2193" s="12" t="b">
        <v>0</v>
      </c>
      <c r="L2193" s="12">
        <v>623.15</v>
      </c>
      <c r="M2193" s="12">
        <v>300.032917</v>
      </c>
      <c r="N2193" s="12">
        <v>3000</v>
      </c>
      <c r="O2193" s="12">
        <v>1569.8582438253329</v>
      </c>
      <c r="P2193" s="12">
        <v>0.80988260145519386</v>
      </c>
      <c r="Q2193" s="12">
        <v>0.70498758489883206</v>
      </c>
      <c r="R2193" s="12">
        <v>0.78728934117067695</v>
      </c>
      <c r="S2193" s="12">
        <v>0.50415981618948291</v>
      </c>
      <c r="T2193" s="12">
        <v>0.47675258766856521</v>
      </c>
      <c r="U2193" s="12">
        <v>0.48196805599837311</v>
      </c>
      <c r="V2193" s="12">
        <v>300.032917</v>
      </c>
      <c r="W2193" s="12">
        <v>1.0441503031381201</v>
      </c>
      <c r="X2193" s="12">
        <v>7.6423999957392681</v>
      </c>
      <c r="Y2193" s="12">
        <v>1430.1417561746671</v>
      </c>
      <c r="Z2193" s="12">
        <v>1.911000570783886</v>
      </c>
      <c r="AA2193" s="12" t="s">
        <v>1268</v>
      </c>
      <c r="AB2193" s="12"/>
    </row>
    <row r="2194" spans="1:28" x14ac:dyDescent="0.3">
      <c r="A2194" s="12" t="s">
        <v>4108</v>
      </c>
      <c r="B2194" s="12" t="s">
        <v>170</v>
      </c>
      <c r="C2194" s="12" t="s">
        <v>456</v>
      </c>
      <c r="D2194" s="12" t="s">
        <v>731</v>
      </c>
      <c r="E2194" s="12" t="s">
        <v>2978</v>
      </c>
      <c r="F2194" s="12" t="s">
        <v>832</v>
      </c>
      <c r="G2194" s="12" t="s">
        <v>832</v>
      </c>
      <c r="H2194" s="12" t="b">
        <v>0</v>
      </c>
      <c r="I2194" s="12" t="b">
        <v>0</v>
      </c>
      <c r="J2194" s="12" t="b">
        <v>0</v>
      </c>
      <c r="K2194" s="12" t="b">
        <v>0</v>
      </c>
      <c r="L2194" s="12">
        <v>623.15</v>
      </c>
      <c r="M2194" s="12">
        <v>300.032917</v>
      </c>
      <c r="N2194" s="12">
        <v>3000</v>
      </c>
      <c r="O2194" s="12">
        <v>1801.3018866003281</v>
      </c>
      <c r="P2194" s="12">
        <v>0.80760915253804066</v>
      </c>
      <c r="Q2194" s="12">
        <v>0.83934590294705058</v>
      </c>
      <c r="R2194" s="12">
        <v>0.47884175710735138</v>
      </c>
      <c r="S2194" s="12">
        <v>0.87260043431015055</v>
      </c>
      <c r="T2194" s="12">
        <v>0.4875064050952192</v>
      </c>
      <c r="U2194" s="12">
        <v>0.54220587613978721</v>
      </c>
      <c r="V2194" s="12">
        <v>300.032917</v>
      </c>
      <c r="W2194" s="12"/>
      <c r="X2194" s="12"/>
      <c r="Y2194" s="12">
        <v>1198.6981133996719</v>
      </c>
      <c r="Z2194" s="12">
        <v>1.665462087347293</v>
      </c>
      <c r="AA2194" s="12"/>
      <c r="AB2194" s="12"/>
    </row>
    <row r="2195" spans="1:28" x14ac:dyDescent="0.3">
      <c r="A2195" s="12" t="s">
        <v>4109</v>
      </c>
      <c r="B2195" s="12" t="s">
        <v>170</v>
      </c>
      <c r="C2195" s="12" t="s">
        <v>456</v>
      </c>
      <c r="D2195" s="12" t="s">
        <v>731</v>
      </c>
      <c r="E2195" s="12" t="s">
        <v>2978</v>
      </c>
      <c r="F2195" s="12" t="s">
        <v>832</v>
      </c>
      <c r="G2195" s="12" t="s">
        <v>832</v>
      </c>
      <c r="H2195" s="12" t="b">
        <v>0</v>
      </c>
      <c r="I2195" s="12" t="b">
        <v>0</v>
      </c>
      <c r="J2195" s="12" t="b">
        <v>0</v>
      </c>
      <c r="K2195" s="12" t="b">
        <v>0</v>
      </c>
      <c r="L2195" s="12">
        <v>623.15</v>
      </c>
      <c r="M2195" s="12">
        <v>300.032917</v>
      </c>
      <c r="N2195" s="12">
        <v>3000</v>
      </c>
      <c r="O2195" s="12">
        <v>1078.4002433663661</v>
      </c>
      <c r="P2195" s="12">
        <v>0.55258846119480798</v>
      </c>
      <c r="Q2195" s="12">
        <v>0.85254832461864827</v>
      </c>
      <c r="R2195" s="12">
        <v>0.44542002498191169</v>
      </c>
      <c r="S2195" s="12">
        <v>0.77683301761535151</v>
      </c>
      <c r="T2195" s="12">
        <v>0.41986144564497541</v>
      </c>
      <c r="U2195" s="12">
        <v>0.52130039552217999</v>
      </c>
      <c r="V2195" s="12">
        <v>300.032917</v>
      </c>
      <c r="W2195" s="12"/>
      <c r="X2195" s="12"/>
      <c r="Y2195" s="12">
        <v>1921.5997566336339</v>
      </c>
      <c r="Z2195" s="12">
        <v>2.781898481991353</v>
      </c>
      <c r="AA2195" s="12"/>
      <c r="AB2195" s="12"/>
    </row>
    <row r="2196" spans="1:28" x14ac:dyDescent="0.3">
      <c r="A2196" s="12" t="s">
        <v>4110</v>
      </c>
      <c r="B2196" s="12" t="s">
        <v>170</v>
      </c>
      <c r="C2196" s="12" t="s">
        <v>456</v>
      </c>
      <c r="D2196" s="12" t="s">
        <v>731</v>
      </c>
      <c r="E2196" s="12" t="s">
        <v>2978</v>
      </c>
      <c r="F2196" s="12" t="s">
        <v>832</v>
      </c>
      <c r="G2196" s="12" t="s">
        <v>832</v>
      </c>
      <c r="H2196" s="12" t="b">
        <v>0</v>
      </c>
      <c r="I2196" s="12" t="b">
        <v>0</v>
      </c>
      <c r="J2196" s="12" t="b">
        <v>0</v>
      </c>
      <c r="K2196" s="12" t="b">
        <v>0</v>
      </c>
      <c r="L2196" s="12">
        <v>623.15</v>
      </c>
      <c r="M2196" s="12">
        <v>300.032917</v>
      </c>
      <c r="N2196" s="12">
        <v>3000</v>
      </c>
      <c r="O2196" s="12">
        <v>1677.964427433408</v>
      </c>
      <c r="P2196" s="12">
        <v>0.65997730865410009</v>
      </c>
      <c r="Q2196" s="12">
        <v>0.48847749060512569</v>
      </c>
      <c r="R2196" s="12">
        <v>0.77150907307388072</v>
      </c>
      <c r="S2196" s="12">
        <v>0.64192590432100283</v>
      </c>
      <c r="T2196" s="12">
        <v>0.515057901781378</v>
      </c>
      <c r="U2196" s="12">
        <v>0.41207764083448101</v>
      </c>
      <c r="V2196" s="12">
        <v>300.032917</v>
      </c>
      <c r="W2196" s="12"/>
      <c r="X2196" s="12"/>
      <c r="Y2196" s="12">
        <v>1322.035572566592</v>
      </c>
      <c r="Z2196" s="12">
        <v>1.7878805718120969</v>
      </c>
      <c r="AA2196" s="12"/>
      <c r="AB2196" s="12"/>
    </row>
    <row r="2197" spans="1:28" x14ac:dyDescent="0.3">
      <c r="A2197" s="12" t="s">
        <v>4111</v>
      </c>
      <c r="B2197" s="12" t="s">
        <v>170</v>
      </c>
      <c r="C2197" s="12" t="s">
        <v>464</v>
      </c>
      <c r="D2197" s="12" t="s">
        <v>734</v>
      </c>
      <c r="E2197" s="12" t="s">
        <v>2978</v>
      </c>
      <c r="F2197" s="12" t="s">
        <v>832</v>
      </c>
      <c r="G2197" s="12" t="s">
        <v>832</v>
      </c>
      <c r="H2197" s="12" t="b">
        <v>0</v>
      </c>
      <c r="I2197" s="12" t="b">
        <v>0</v>
      </c>
      <c r="J2197" s="12" t="b">
        <v>0</v>
      </c>
      <c r="K2197" s="12" t="b">
        <v>0</v>
      </c>
      <c r="L2197" s="12">
        <v>623.15</v>
      </c>
      <c r="M2197" s="12">
        <v>298.69432481475411</v>
      </c>
      <c r="N2197" s="12">
        <v>3696.521691421201</v>
      </c>
      <c r="O2197" s="12">
        <v>1623.3333340506231</v>
      </c>
      <c r="P2197" s="12">
        <v>0.5</v>
      </c>
      <c r="Q2197" s="12">
        <v>0.93554086281924564</v>
      </c>
      <c r="R2197" s="12">
        <v>0.72780455318809822</v>
      </c>
      <c r="S2197" s="12">
        <v>0.92316643505930185</v>
      </c>
      <c r="T2197" s="12">
        <v>0.4930278563642847</v>
      </c>
      <c r="U2197" s="12">
        <v>0.52280341374178296</v>
      </c>
      <c r="V2197" s="12">
        <v>298.69432481475411</v>
      </c>
      <c r="W2197" s="12"/>
      <c r="X2197" s="12"/>
      <c r="Y2197" s="12">
        <v>2073.1883573705782</v>
      </c>
      <c r="Z2197" s="12">
        <v>2.2771180840582228</v>
      </c>
      <c r="AA2197" s="12"/>
      <c r="AB2197" s="12"/>
    </row>
    <row r="2198" spans="1:28" x14ac:dyDescent="0.3">
      <c r="A2198" s="12" t="s">
        <v>4112</v>
      </c>
      <c r="B2198" s="12" t="s">
        <v>170</v>
      </c>
      <c r="C2198" s="12" t="s">
        <v>464</v>
      </c>
      <c r="D2198" s="12" t="s">
        <v>734</v>
      </c>
      <c r="E2198" s="12" t="s">
        <v>2978</v>
      </c>
      <c r="F2198" s="12" t="s">
        <v>832</v>
      </c>
      <c r="G2198" s="12" t="s">
        <v>832</v>
      </c>
      <c r="H2198" s="12" t="b">
        <v>0</v>
      </c>
      <c r="I2198" s="12" t="b">
        <v>0</v>
      </c>
      <c r="J2198" s="12" t="b">
        <v>0</v>
      </c>
      <c r="K2198" s="12" t="b">
        <v>0</v>
      </c>
      <c r="L2198" s="12">
        <v>623.15</v>
      </c>
      <c r="M2198" s="12">
        <v>285.79287770047699</v>
      </c>
      <c r="N2198" s="12">
        <v>4259.7354851577074</v>
      </c>
      <c r="O2198" s="12">
        <v>1333.8122038909471</v>
      </c>
      <c r="P2198" s="12">
        <v>0.5</v>
      </c>
      <c r="Q2198" s="12">
        <v>0.81867790068054158</v>
      </c>
      <c r="R2198" s="12">
        <v>0.62636451774064694</v>
      </c>
      <c r="S2198" s="12">
        <v>0.78611775882702561</v>
      </c>
      <c r="T2198" s="12">
        <v>0.40264558578105919</v>
      </c>
      <c r="U2198" s="12">
        <v>0.41836024246322751</v>
      </c>
      <c r="V2198" s="12">
        <v>285.79287770047699</v>
      </c>
      <c r="W2198" s="12"/>
      <c r="X2198" s="12"/>
      <c r="Y2198" s="12">
        <v>2925.923281266761</v>
      </c>
      <c r="Z2198" s="12">
        <v>3.193654603497678</v>
      </c>
      <c r="AA2198" s="12"/>
      <c r="AB2198" s="12"/>
    </row>
    <row r="2199" spans="1:28" x14ac:dyDescent="0.3">
      <c r="A2199" s="12" t="s">
        <v>4113</v>
      </c>
      <c r="B2199" s="12" t="s">
        <v>170</v>
      </c>
      <c r="C2199" s="12" t="s">
        <v>456</v>
      </c>
      <c r="D2199" s="12" t="s">
        <v>731</v>
      </c>
      <c r="E2199" s="12" t="s">
        <v>2978</v>
      </c>
      <c r="F2199" s="12" t="s">
        <v>1861</v>
      </c>
      <c r="G2199" s="12" t="s">
        <v>1861</v>
      </c>
      <c r="H2199" s="12" t="b">
        <v>1</v>
      </c>
      <c r="I2199" s="12" t="b">
        <v>0</v>
      </c>
      <c r="J2199" s="12" t="b">
        <v>0</v>
      </c>
      <c r="K2199" s="12" t="b">
        <v>0</v>
      </c>
      <c r="L2199" s="12">
        <v>623.15</v>
      </c>
      <c r="M2199" s="12">
        <v>300.032917</v>
      </c>
      <c r="N2199" s="12">
        <v>3000</v>
      </c>
      <c r="O2199" s="12">
        <v>1812.737713808277</v>
      </c>
      <c r="P2199" s="12">
        <v>0.83803326480463869</v>
      </c>
      <c r="Q2199" s="12">
        <v>0.88296517870361857</v>
      </c>
      <c r="R2199" s="12">
        <v>0.40037480659185309</v>
      </c>
      <c r="S2199" s="12">
        <v>0.51009657324553737</v>
      </c>
      <c r="T2199" s="12">
        <v>0.81955045264162685</v>
      </c>
      <c r="U2199" s="12">
        <v>0.67380028191075092</v>
      </c>
      <c r="V2199" s="12">
        <v>300.032917</v>
      </c>
      <c r="W2199" s="12">
        <v>2.2637309848883702</v>
      </c>
      <c r="X2199" s="12">
        <v>20.288197806468389</v>
      </c>
      <c r="Y2199" s="12">
        <v>1187.262286191723</v>
      </c>
      <c r="Z2199" s="12">
        <v>1.6549553623494</v>
      </c>
      <c r="AA2199" s="12" t="s">
        <v>1268</v>
      </c>
      <c r="AB2199" s="12"/>
    </row>
    <row r="2200" spans="1:28" x14ac:dyDescent="0.3">
      <c r="A2200" s="12" t="s">
        <v>4114</v>
      </c>
      <c r="B2200" s="12" t="s">
        <v>170</v>
      </c>
      <c r="C2200" s="12" t="s">
        <v>456</v>
      </c>
      <c r="D2200" s="12" t="s">
        <v>731</v>
      </c>
      <c r="E2200" s="12" t="s">
        <v>2978</v>
      </c>
      <c r="F2200" s="12" t="s">
        <v>1861</v>
      </c>
      <c r="G2200" s="12" t="s">
        <v>1861</v>
      </c>
      <c r="H2200" s="12" t="b">
        <v>1</v>
      </c>
      <c r="I2200" s="12" t="b">
        <v>0</v>
      </c>
      <c r="J2200" s="12" t="b">
        <v>0</v>
      </c>
      <c r="K2200" s="12" t="b">
        <v>0</v>
      </c>
      <c r="L2200" s="12">
        <v>623.15</v>
      </c>
      <c r="M2200" s="12">
        <v>300.032917</v>
      </c>
      <c r="N2200" s="12">
        <v>3000</v>
      </c>
      <c r="O2200" s="12">
        <v>1967.4206376207419</v>
      </c>
      <c r="P2200" s="12">
        <v>0.82084419975741552</v>
      </c>
      <c r="Q2200" s="12">
        <v>0.65318609371204128</v>
      </c>
      <c r="R2200" s="12">
        <v>0.83832336503127713</v>
      </c>
      <c r="S2200" s="12">
        <v>0.52749570109177391</v>
      </c>
      <c r="T2200" s="12">
        <v>0.59901550078624843</v>
      </c>
      <c r="U2200" s="12">
        <v>0.70284990370716538</v>
      </c>
      <c r="V2200" s="12">
        <v>300.032917</v>
      </c>
      <c r="W2200" s="12">
        <v>2.5161840992700499</v>
      </c>
      <c r="X2200" s="12">
        <v>24.474044506993661</v>
      </c>
      <c r="Y2200" s="12">
        <v>1032.5793623792581</v>
      </c>
      <c r="Z2200" s="12">
        <v>1.5248391435132991</v>
      </c>
      <c r="AA2200" s="12" t="s">
        <v>1268</v>
      </c>
      <c r="AB2200" s="12"/>
    </row>
    <row r="2201" spans="1:28" x14ac:dyDescent="0.3">
      <c r="A2201" s="12" t="s">
        <v>4115</v>
      </c>
      <c r="B2201" s="12" t="s">
        <v>170</v>
      </c>
      <c r="C2201" s="12" t="s">
        <v>456</v>
      </c>
      <c r="D2201" s="12" t="s">
        <v>731</v>
      </c>
      <c r="E2201" s="12" t="s">
        <v>2978</v>
      </c>
      <c r="F2201" s="12" t="s">
        <v>832</v>
      </c>
      <c r="G2201" s="12" t="s">
        <v>832</v>
      </c>
      <c r="H2201" s="12" t="b">
        <v>0</v>
      </c>
      <c r="I2201" s="12" t="b">
        <v>0</v>
      </c>
      <c r="J2201" s="12" t="b">
        <v>0</v>
      </c>
      <c r="K2201" s="12" t="b">
        <v>0</v>
      </c>
      <c r="L2201" s="12">
        <v>623.15</v>
      </c>
      <c r="M2201" s="12">
        <v>300.032917</v>
      </c>
      <c r="N2201" s="12">
        <v>3000</v>
      </c>
      <c r="O2201" s="12">
        <v>461.31535520633139</v>
      </c>
      <c r="P2201" s="12">
        <v>0.77584287598350987</v>
      </c>
      <c r="Q2201" s="12">
        <v>0.81435641339715437</v>
      </c>
      <c r="R2201" s="12">
        <v>0.81405941331975984</v>
      </c>
      <c r="S2201" s="12">
        <v>0.54583867018608279</v>
      </c>
      <c r="T2201" s="12">
        <v>0.71982286377555826</v>
      </c>
      <c r="U2201" s="12">
        <v>0.52955639599686932</v>
      </c>
      <c r="V2201" s="12">
        <v>300.032917</v>
      </c>
      <c r="W2201" s="12"/>
      <c r="X2201" s="12"/>
      <c r="Y2201" s="12">
        <v>2538.6846447936691</v>
      </c>
      <c r="Z2201" s="12">
        <v>6.5031436004513594</v>
      </c>
      <c r="AA2201" s="12"/>
      <c r="AB2201" s="12"/>
    </row>
    <row r="2202" spans="1:28" x14ac:dyDescent="0.3">
      <c r="A2202" s="12" t="s">
        <v>4116</v>
      </c>
      <c r="B2202" s="12" t="s">
        <v>170</v>
      </c>
      <c r="C2202" s="12" t="s">
        <v>464</v>
      </c>
      <c r="D2202" s="12" t="s">
        <v>734</v>
      </c>
      <c r="E2202" s="12" t="s">
        <v>2978</v>
      </c>
      <c r="F2202" s="12" t="s">
        <v>832</v>
      </c>
      <c r="G2202" s="12" t="s">
        <v>832</v>
      </c>
      <c r="H2202" s="12" t="b">
        <v>0</v>
      </c>
      <c r="I2202" s="12" t="b">
        <v>0</v>
      </c>
      <c r="J2202" s="12" t="b">
        <v>0</v>
      </c>
      <c r="K2202" s="12" t="b">
        <v>0</v>
      </c>
      <c r="L2202" s="12">
        <v>623.15</v>
      </c>
      <c r="M2202" s="12">
        <v>293.95708312223923</v>
      </c>
      <c r="N2202" s="12">
        <v>2398.9007336073232</v>
      </c>
      <c r="O2202" s="12">
        <v>1999.256496404628</v>
      </c>
      <c r="P2202" s="12">
        <v>0.5</v>
      </c>
      <c r="Q2202" s="12">
        <v>0.62919943491931296</v>
      </c>
      <c r="R2202" s="12">
        <v>0.78375511483763649</v>
      </c>
      <c r="S2202" s="12">
        <v>0.74778096448976816</v>
      </c>
      <c r="T2202" s="12">
        <v>0.74510438161707593</v>
      </c>
      <c r="U2202" s="12">
        <v>0.44673669804015331</v>
      </c>
      <c r="V2202" s="12">
        <v>293.95708312223923</v>
      </c>
      <c r="W2202" s="12"/>
      <c r="X2202" s="12"/>
      <c r="Y2202" s="12">
        <v>399.64423720269468</v>
      </c>
      <c r="Z2202" s="12">
        <v>1.199896430458721</v>
      </c>
      <c r="AA2202" s="12"/>
      <c r="AB2202" s="12"/>
    </row>
    <row r="2203" spans="1:28" x14ac:dyDescent="0.3">
      <c r="A2203" s="12" t="s">
        <v>4117</v>
      </c>
      <c r="B2203" s="12" t="s">
        <v>170</v>
      </c>
      <c r="C2203" s="12" t="s">
        <v>456</v>
      </c>
      <c r="D2203" s="12" t="s">
        <v>731</v>
      </c>
      <c r="E2203" s="12" t="s">
        <v>2978</v>
      </c>
      <c r="F2203" s="12" t="s">
        <v>32</v>
      </c>
      <c r="G2203" s="12" t="s">
        <v>32</v>
      </c>
      <c r="H2203" s="12" t="b">
        <v>1</v>
      </c>
      <c r="I2203" s="12" t="b">
        <v>0</v>
      </c>
      <c r="J2203" s="12" t="b">
        <v>1</v>
      </c>
      <c r="K2203" s="12" t="b">
        <v>0</v>
      </c>
      <c r="L2203" s="12">
        <v>623.15</v>
      </c>
      <c r="M2203" s="12">
        <v>300.032917</v>
      </c>
      <c r="N2203" s="12">
        <v>3000</v>
      </c>
      <c r="O2203" s="12">
        <v>1105.0222509409191</v>
      </c>
      <c r="P2203" s="12">
        <v>0.52010647705356261</v>
      </c>
      <c r="Q2203" s="12">
        <v>0.45533864225906417</v>
      </c>
      <c r="R2203" s="12">
        <v>0.74156453219978657</v>
      </c>
      <c r="S2203" s="12">
        <v>0.80268144871994507</v>
      </c>
      <c r="T2203" s="12">
        <v>0.48280445465306981</v>
      </c>
      <c r="U2203" s="12">
        <v>0.9382817120445428</v>
      </c>
      <c r="V2203" s="12">
        <v>300.032917</v>
      </c>
      <c r="W2203" s="12">
        <v>3.7361006984213998</v>
      </c>
      <c r="X2203" s="12">
        <v>76.994066461487947</v>
      </c>
      <c r="Y2203" s="12">
        <v>1894.9777490590809</v>
      </c>
      <c r="Z2203" s="12">
        <v>2.7148774583005202</v>
      </c>
      <c r="AA2203" s="12"/>
      <c r="AB2203" s="12"/>
    </row>
    <row r="2204" spans="1:28" x14ac:dyDescent="0.3">
      <c r="A2204" s="12" t="s">
        <v>4118</v>
      </c>
      <c r="B2204" s="12" t="s">
        <v>170</v>
      </c>
      <c r="C2204" s="12" t="s">
        <v>456</v>
      </c>
      <c r="D2204" s="12" t="s">
        <v>731</v>
      </c>
      <c r="E2204" s="12" t="s">
        <v>2978</v>
      </c>
      <c r="F2204" s="12" t="s">
        <v>1861</v>
      </c>
      <c r="G2204" s="12" t="s">
        <v>1861</v>
      </c>
      <c r="H2204" s="12" t="b">
        <v>1</v>
      </c>
      <c r="I2204" s="12" t="b">
        <v>0</v>
      </c>
      <c r="J2204" s="12" t="b">
        <v>1</v>
      </c>
      <c r="K2204" s="12" t="b">
        <v>0</v>
      </c>
      <c r="L2204" s="12">
        <v>623.15</v>
      </c>
      <c r="M2204" s="12">
        <v>300.032917</v>
      </c>
      <c r="N2204" s="12">
        <v>3000</v>
      </c>
      <c r="O2204" s="12">
        <v>1046.3657156796489</v>
      </c>
      <c r="P2204" s="12">
        <v>0.67891782702462433</v>
      </c>
      <c r="Q2204" s="12">
        <v>0.52628363674870537</v>
      </c>
      <c r="R2204" s="12">
        <v>0.54394143679257112</v>
      </c>
      <c r="S2204" s="12">
        <v>0.60388534001176442</v>
      </c>
      <c r="T2204" s="12">
        <v>0.67963316804608387</v>
      </c>
      <c r="U2204" s="12">
        <v>0.85023869955576115</v>
      </c>
      <c r="V2204" s="12">
        <v>300.032917</v>
      </c>
      <c r="W2204" s="12">
        <v>4.5332773832339699</v>
      </c>
      <c r="X2204" s="12">
        <v>60.517024530912792</v>
      </c>
      <c r="Y2204" s="12">
        <v>1953.6342843203511</v>
      </c>
      <c r="Z2204" s="12">
        <v>2.8670664138220561</v>
      </c>
      <c r="AA2204" s="12" t="s">
        <v>1268</v>
      </c>
      <c r="AB2204" s="12"/>
    </row>
    <row r="2205" spans="1:28" x14ac:dyDescent="0.3">
      <c r="A2205" s="12" t="s">
        <v>4119</v>
      </c>
      <c r="B2205" s="12" t="s">
        <v>170</v>
      </c>
      <c r="C2205" s="12" t="s">
        <v>464</v>
      </c>
      <c r="D2205" s="12" t="s">
        <v>734</v>
      </c>
      <c r="E2205" s="12" t="s">
        <v>2978</v>
      </c>
      <c r="F2205" s="12" t="s">
        <v>1861</v>
      </c>
      <c r="G2205" s="12" t="s">
        <v>1861</v>
      </c>
      <c r="H2205" s="12" t="b">
        <v>1</v>
      </c>
      <c r="I2205" s="12" t="b">
        <v>0</v>
      </c>
      <c r="J2205" s="12" t="b">
        <v>1</v>
      </c>
      <c r="K2205" s="12" t="b">
        <v>0</v>
      </c>
      <c r="L2205" s="12">
        <v>623.15</v>
      </c>
      <c r="M2205" s="12">
        <v>288.18006700764482</v>
      </c>
      <c r="N2205" s="12">
        <v>3850.822822006674</v>
      </c>
      <c r="O2205" s="12">
        <v>417.94093331748007</v>
      </c>
      <c r="P2205" s="12">
        <v>0.5</v>
      </c>
      <c r="Q2205" s="12">
        <v>0.59081021576910231</v>
      </c>
      <c r="R2205" s="12">
        <v>0.41575696867386702</v>
      </c>
      <c r="S2205" s="12">
        <v>0.57547332371816118</v>
      </c>
      <c r="T2205" s="12">
        <v>0.4080309947787325</v>
      </c>
      <c r="U2205" s="12">
        <v>0.86015013814295371</v>
      </c>
      <c r="V2205" s="12">
        <v>288.18006700764482</v>
      </c>
      <c r="W2205" s="12">
        <v>8.8321477647467894</v>
      </c>
      <c r="X2205" s="12">
        <v>125.0943519928301</v>
      </c>
      <c r="Y2205" s="12">
        <v>3432.8818886891941</v>
      </c>
      <c r="Z2205" s="12">
        <v>9.2137967713286368</v>
      </c>
      <c r="AA2205" s="12" t="s">
        <v>1268</v>
      </c>
      <c r="AB2205" s="12"/>
    </row>
    <row r="2206" spans="1:28" x14ac:dyDescent="0.3">
      <c r="A2206" s="12" t="s">
        <v>4120</v>
      </c>
      <c r="B2206" s="12" t="s">
        <v>170</v>
      </c>
      <c r="C2206" s="12" t="s">
        <v>464</v>
      </c>
      <c r="D2206" s="12" t="s">
        <v>734</v>
      </c>
      <c r="E2206" s="12" t="s">
        <v>2978</v>
      </c>
      <c r="F2206" s="12" t="s">
        <v>1861</v>
      </c>
      <c r="G2206" s="12" t="s">
        <v>1861</v>
      </c>
      <c r="H2206" s="12" t="b">
        <v>1</v>
      </c>
      <c r="I2206" s="12" t="b">
        <v>0</v>
      </c>
      <c r="J2206" s="12" t="b">
        <v>1</v>
      </c>
      <c r="K2206" s="12" t="b">
        <v>0</v>
      </c>
      <c r="L2206" s="12">
        <v>623.15</v>
      </c>
      <c r="M2206" s="12">
        <v>287.51655107175873</v>
      </c>
      <c r="N2206" s="12">
        <v>4954.9351047237542</v>
      </c>
      <c r="O2206" s="12">
        <v>300.78468468562818</v>
      </c>
      <c r="P2206" s="12">
        <v>0.5</v>
      </c>
      <c r="Q2206" s="12">
        <v>0.69124572863661182</v>
      </c>
      <c r="R2206" s="12">
        <v>0.56963865783039969</v>
      </c>
      <c r="S2206" s="12">
        <v>0.78114545112705636</v>
      </c>
      <c r="T2206" s="12">
        <v>0.75247052305721795</v>
      </c>
      <c r="U2206" s="12">
        <v>0.69821296581942605</v>
      </c>
      <c r="V2206" s="12">
        <v>287.51655107175873</v>
      </c>
      <c r="W2206" s="12">
        <v>9.6144107019994713</v>
      </c>
      <c r="X2206" s="12">
        <v>148.85261410720591</v>
      </c>
      <c r="Y2206" s="12">
        <v>4654.150420038126</v>
      </c>
      <c r="Z2206" s="12">
        <v>16.473362365183309</v>
      </c>
      <c r="AA2206" s="12" t="s">
        <v>1981</v>
      </c>
      <c r="AB2206" s="12"/>
    </row>
    <row r="2207" spans="1:28" x14ac:dyDescent="0.3">
      <c r="A2207" s="12" t="s">
        <v>4121</v>
      </c>
      <c r="B2207" s="12" t="s">
        <v>170</v>
      </c>
      <c r="C2207" s="12" t="s">
        <v>464</v>
      </c>
      <c r="D2207" s="12" t="s">
        <v>734</v>
      </c>
      <c r="E2207" s="12" t="s">
        <v>2978</v>
      </c>
      <c r="F2207" s="12" t="s">
        <v>1862</v>
      </c>
      <c r="G2207" s="12" t="s">
        <v>1862</v>
      </c>
      <c r="H2207" s="12" t="b">
        <v>1</v>
      </c>
      <c r="I2207" s="12" t="b">
        <v>0</v>
      </c>
      <c r="J2207" s="12" t="b">
        <v>1</v>
      </c>
      <c r="K2207" s="12" t="b">
        <v>0</v>
      </c>
      <c r="L2207" s="12">
        <v>623.15</v>
      </c>
      <c r="M2207" s="12">
        <v>298.57589508750442</v>
      </c>
      <c r="N2207" s="12">
        <v>4134.7489664125242</v>
      </c>
      <c r="O2207" s="12">
        <v>689.60208419368189</v>
      </c>
      <c r="P2207" s="12">
        <v>0.5</v>
      </c>
      <c r="Q2207" s="12">
        <v>0.86371352281837699</v>
      </c>
      <c r="R2207" s="12">
        <v>0.42476537283957261</v>
      </c>
      <c r="S2207" s="12">
        <v>0.4650537438552097</v>
      </c>
      <c r="T2207" s="12">
        <v>0.82858183616940906</v>
      </c>
      <c r="U2207" s="12">
        <v>0.52467303997628112</v>
      </c>
      <c r="V2207" s="12">
        <v>298.57589508750442</v>
      </c>
      <c r="W2207" s="12">
        <v>-0.90871104821699</v>
      </c>
      <c r="X2207" s="12">
        <v>-7.3412222817064787</v>
      </c>
      <c r="Y2207" s="12">
        <v>3445.1468822188422</v>
      </c>
      <c r="Z2207" s="12">
        <v>5.9958475491661032</v>
      </c>
      <c r="AA2207" s="12" t="s">
        <v>2513</v>
      </c>
      <c r="AB2207" s="12"/>
    </row>
    <row r="2208" spans="1:28" x14ac:dyDescent="0.3">
      <c r="A2208" s="12" t="s">
        <v>4122</v>
      </c>
      <c r="B2208" s="12" t="s">
        <v>170</v>
      </c>
      <c r="C2208" s="12" t="s">
        <v>464</v>
      </c>
      <c r="D2208" s="12" t="s">
        <v>734</v>
      </c>
      <c r="E2208" s="12" t="s">
        <v>2978</v>
      </c>
      <c r="F2208" s="12" t="s">
        <v>832</v>
      </c>
      <c r="G2208" s="12" t="s">
        <v>832</v>
      </c>
      <c r="H2208" s="12" t="b">
        <v>0</v>
      </c>
      <c r="I2208" s="12" t="b">
        <v>0</v>
      </c>
      <c r="J2208" s="12" t="b">
        <v>0</v>
      </c>
      <c r="K2208" s="12" t="b">
        <v>0</v>
      </c>
      <c r="L2208" s="12">
        <v>623.15</v>
      </c>
      <c r="M2208" s="12">
        <v>296.51114371825372</v>
      </c>
      <c r="N2208" s="12">
        <v>3898.3140407682449</v>
      </c>
      <c r="O2208" s="12">
        <v>482.25144750581683</v>
      </c>
      <c r="P2208" s="12">
        <v>0.5</v>
      </c>
      <c r="Q2208" s="12">
        <v>0.50772570373243187</v>
      </c>
      <c r="R2208" s="12">
        <v>0.43038721978488442</v>
      </c>
      <c r="S2208" s="12">
        <v>0.86852187565980798</v>
      </c>
      <c r="T2208" s="12">
        <v>0.88241251627038197</v>
      </c>
      <c r="U2208" s="12">
        <v>0.69156366783186662</v>
      </c>
      <c r="V2208" s="12">
        <v>296.51114371825372</v>
      </c>
      <c r="W2208" s="12"/>
      <c r="X2208" s="12"/>
      <c r="Y2208" s="12">
        <v>3416.062593262428</v>
      </c>
      <c r="Z2208" s="12">
        <v>8.0835714665661502</v>
      </c>
      <c r="AA2208" s="12"/>
      <c r="AB2208" s="12"/>
    </row>
    <row r="2209" spans="1:28" x14ac:dyDescent="0.3">
      <c r="A2209" s="12" t="s">
        <v>4123</v>
      </c>
      <c r="B2209" s="12" t="s">
        <v>170</v>
      </c>
      <c r="C2209" s="12" t="s">
        <v>464</v>
      </c>
      <c r="D2209" s="12" t="s">
        <v>734</v>
      </c>
      <c r="E2209" s="12" t="s">
        <v>2978</v>
      </c>
      <c r="F2209" s="12" t="s">
        <v>1862</v>
      </c>
      <c r="G2209" s="12" t="s">
        <v>1862</v>
      </c>
      <c r="H2209" s="12" t="b">
        <v>1</v>
      </c>
      <c r="I2209" s="12" t="b">
        <v>0</v>
      </c>
      <c r="J2209" s="12" t="b">
        <v>1</v>
      </c>
      <c r="K2209" s="12" t="b">
        <v>0</v>
      </c>
      <c r="L2209" s="12">
        <v>623.15</v>
      </c>
      <c r="M2209" s="12">
        <v>292.28124818109012</v>
      </c>
      <c r="N2209" s="12">
        <v>4547.9978017276799</v>
      </c>
      <c r="O2209" s="12">
        <v>437.41919159985281</v>
      </c>
      <c r="P2209" s="12">
        <v>0.5</v>
      </c>
      <c r="Q2209" s="12">
        <v>0.43189785083265159</v>
      </c>
      <c r="R2209" s="12">
        <v>0.69036083546972449</v>
      </c>
      <c r="S2209" s="12">
        <v>0.43986156569586399</v>
      </c>
      <c r="T2209" s="12">
        <v>0.44340746382159829</v>
      </c>
      <c r="U2209" s="12">
        <v>0.60503514540453973</v>
      </c>
      <c r="V2209" s="12">
        <v>292.28124818109012</v>
      </c>
      <c r="W2209" s="12">
        <v>-0.82735321786687999</v>
      </c>
      <c r="X2209" s="12">
        <v>-7.3145283085685122</v>
      </c>
      <c r="Y2209" s="12">
        <v>4110.5786101278272</v>
      </c>
      <c r="Z2209" s="12">
        <v>10.3973439873396</v>
      </c>
      <c r="AA2209" s="12" t="s">
        <v>2513</v>
      </c>
      <c r="AB2209" s="12"/>
    </row>
    <row r="2210" spans="1:28" x14ac:dyDescent="0.3">
      <c r="A2210" s="12" t="s">
        <v>4124</v>
      </c>
      <c r="B2210" s="12" t="s">
        <v>170</v>
      </c>
      <c r="C2210" s="12" t="s">
        <v>464</v>
      </c>
      <c r="D2210" s="12" t="s">
        <v>734</v>
      </c>
      <c r="E2210" s="12" t="s">
        <v>2978</v>
      </c>
      <c r="F2210" s="12" t="s">
        <v>1861</v>
      </c>
      <c r="G2210" s="12" t="s">
        <v>1861</v>
      </c>
      <c r="H2210" s="12" t="b">
        <v>1</v>
      </c>
      <c r="I2210" s="12" t="b">
        <v>0</v>
      </c>
      <c r="J2210" s="12" t="b">
        <v>1</v>
      </c>
      <c r="K2210" s="12" t="b">
        <v>0</v>
      </c>
      <c r="L2210" s="12">
        <v>623.15</v>
      </c>
      <c r="M2210" s="12">
        <v>288.45123315678512</v>
      </c>
      <c r="N2210" s="12">
        <v>3375.5572293165328</v>
      </c>
      <c r="O2210" s="12">
        <v>1918.0919845881469</v>
      </c>
      <c r="P2210" s="12">
        <v>0.5</v>
      </c>
      <c r="Q2210" s="12">
        <v>0.57938413138500522</v>
      </c>
      <c r="R2210" s="12">
        <v>0.70433699197509303</v>
      </c>
      <c r="S2210" s="12">
        <v>0.73070891673145622</v>
      </c>
      <c r="T2210" s="12">
        <v>0.56448577612655659</v>
      </c>
      <c r="U2210" s="12">
        <v>0.49667919289876661</v>
      </c>
      <c r="V2210" s="12">
        <v>288.45123315678512</v>
      </c>
      <c r="W2210" s="12">
        <v>7.1765260760649999E-2</v>
      </c>
      <c r="X2210" s="12">
        <v>0.82060048300751731</v>
      </c>
      <c r="Y2210" s="12">
        <v>1457.4652447283861</v>
      </c>
      <c r="Z2210" s="12">
        <v>1.7598515902465091</v>
      </c>
      <c r="AA2210" s="12" t="s">
        <v>1268</v>
      </c>
      <c r="AB2210" s="12"/>
    </row>
    <row r="2211" spans="1:28" x14ac:dyDescent="0.3">
      <c r="A2211" s="12" t="s">
        <v>4125</v>
      </c>
      <c r="B2211" s="12" t="s">
        <v>170</v>
      </c>
      <c r="C2211" s="12" t="s">
        <v>464</v>
      </c>
      <c r="D2211" s="12" t="s">
        <v>734</v>
      </c>
      <c r="E2211" s="12" t="s">
        <v>2978</v>
      </c>
      <c r="F2211" s="12" t="s">
        <v>832</v>
      </c>
      <c r="G2211" s="12" t="s">
        <v>832</v>
      </c>
      <c r="H2211" s="12" t="b">
        <v>0</v>
      </c>
      <c r="I2211" s="12" t="b">
        <v>0</v>
      </c>
      <c r="J2211" s="12" t="b">
        <v>0</v>
      </c>
      <c r="K2211" s="12" t="b">
        <v>0</v>
      </c>
      <c r="L2211" s="12">
        <v>623.15</v>
      </c>
      <c r="M2211" s="12">
        <v>287.05656306398112</v>
      </c>
      <c r="N2211" s="12">
        <v>3703.5246019328852</v>
      </c>
      <c r="O2211" s="12">
        <v>1293.7537955694479</v>
      </c>
      <c r="P2211" s="12">
        <v>0.5</v>
      </c>
      <c r="Q2211" s="12">
        <v>0.55492988645699359</v>
      </c>
      <c r="R2211" s="12">
        <v>0.88129251819257193</v>
      </c>
      <c r="S2211" s="12">
        <v>0.83220745229276027</v>
      </c>
      <c r="T2211" s="12">
        <v>0.45496397962058299</v>
      </c>
      <c r="U2211" s="12">
        <v>0.63867810113466705</v>
      </c>
      <c r="V2211" s="12">
        <v>287.05656306398112</v>
      </c>
      <c r="W2211" s="12"/>
      <c r="X2211" s="12"/>
      <c r="Y2211" s="12">
        <v>2409.7708063634359</v>
      </c>
      <c r="Z2211" s="12">
        <v>2.862619313362301</v>
      </c>
      <c r="AA2211" s="12"/>
      <c r="AB2211" s="12"/>
    </row>
    <row r="2212" spans="1:28" x14ac:dyDescent="0.3">
      <c r="A2212" s="12" t="s">
        <v>4126</v>
      </c>
      <c r="B2212" s="12" t="s">
        <v>170</v>
      </c>
      <c r="C2212" s="12" t="s">
        <v>464</v>
      </c>
      <c r="D2212" s="12" t="s">
        <v>734</v>
      </c>
      <c r="E2212" s="12" t="s">
        <v>2978</v>
      </c>
      <c r="F2212" s="12" t="s">
        <v>832</v>
      </c>
      <c r="G2212" s="12" t="s">
        <v>832</v>
      </c>
      <c r="H2212" s="12" t="b">
        <v>0</v>
      </c>
      <c r="I2212" s="12" t="b">
        <v>0</v>
      </c>
      <c r="J2212" s="12" t="b">
        <v>0</v>
      </c>
      <c r="K2212" s="12" t="b">
        <v>0</v>
      </c>
      <c r="L2212" s="12">
        <v>623.15</v>
      </c>
      <c r="M2212" s="12">
        <v>279.58853102552678</v>
      </c>
      <c r="N2212" s="12">
        <v>2763.2480233489291</v>
      </c>
      <c r="O2212" s="12">
        <v>843.01113013602867</v>
      </c>
      <c r="P2212" s="12">
        <v>0.5</v>
      </c>
      <c r="Q2212" s="12">
        <v>0.87020253356861454</v>
      </c>
      <c r="R2212" s="12">
        <v>0.6741806314844514</v>
      </c>
      <c r="S2212" s="12">
        <v>0.77321135064181723</v>
      </c>
      <c r="T2212" s="12">
        <v>0.90759270165864636</v>
      </c>
      <c r="U2212" s="12">
        <v>0.57752323830432228</v>
      </c>
      <c r="V2212" s="12">
        <v>279.58853102552678</v>
      </c>
      <c r="W2212" s="12"/>
      <c r="X2212" s="12"/>
      <c r="Y2212" s="12">
        <v>1920.2368932129</v>
      </c>
      <c r="Z2212" s="12">
        <v>3.27783100906752</v>
      </c>
      <c r="AA2212" s="12"/>
      <c r="AB2212" s="12"/>
    </row>
    <row r="2213" spans="1:28" x14ac:dyDescent="0.3">
      <c r="A2213" s="12" t="s">
        <v>4127</v>
      </c>
      <c r="B2213" s="12" t="s">
        <v>170</v>
      </c>
      <c r="C2213" s="12" t="s">
        <v>464</v>
      </c>
      <c r="D2213" s="12" t="s">
        <v>734</v>
      </c>
      <c r="E2213" s="12" t="s">
        <v>2978</v>
      </c>
      <c r="F2213" s="12" t="s">
        <v>1861</v>
      </c>
      <c r="G2213" s="12" t="s">
        <v>1861</v>
      </c>
      <c r="H2213" s="12" t="b">
        <v>1</v>
      </c>
      <c r="I2213" s="12" t="b">
        <v>0</v>
      </c>
      <c r="J2213" s="12" t="b">
        <v>1</v>
      </c>
      <c r="K2213" s="12" t="b">
        <v>0</v>
      </c>
      <c r="L2213" s="12">
        <v>623.15</v>
      </c>
      <c r="M2213" s="12">
        <v>279.78885374537072</v>
      </c>
      <c r="N2213" s="12">
        <v>2660.445962270247</v>
      </c>
      <c r="O2213" s="12">
        <v>1765.702530021576</v>
      </c>
      <c r="P2213" s="12">
        <v>0.5</v>
      </c>
      <c r="Q2213" s="12">
        <v>0.76685905441996483</v>
      </c>
      <c r="R2213" s="12">
        <v>0.9392781168986486</v>
      </c>
      <c r="S2213" s="12">
        <v>0.73684570100003999</v>
      </c>
      <c r="T2213" s="12">
        <v>0.79059515073201769</v>
      </c>
      <c r="U2213" s="12">
        <v>0.80479347906071697</v>
      </c>
      <c r="V2213" s="12">
        <v>279.78885374537072</v>
      </c>
      <c r="W2213" s="12">
        <v>2.9523528054690402</v>
      </c>
      <c r="X2213" s="12">
        <v>51.835662853840667</v>
      </c>
      <c r="Y2213" s="12">
        <v>894.74343224867107</v>
      </c>
      <c r="Z2213" s="12">
        <v>1.5067350910109061</v>
      </c>
      <c r="AA2213" s="12" t="s">
        <v>1268</v>
      </c>
      <c r="AB2213" s="12"/>
    </row>
    <row r="2214" spans="1:28" x14ac:dyDescent="0.3">
      <c r="A2214" s="12" t="s">
        <v>4128</v>
      </c>
      <c r="B2214" s="12" t="s">
        <v>170</v>
      </c>
      <c r="C2214" s="12" t="s">
        <v>464</v>
      </c>
      <c r="D2214" s="12" t="s">
        <v>734</v>
      </c>
      <c r="E2214" s="12" t="s">
        <v>2978</v>
      </c>
      <c r="F2214" s="12" t="s">
        <v>1861</v>
      </c>
      <c r="G2214" s="12" t="s">
        <v>1861</v>
      </c>
      <c r="H2214" s="12" t="b">
        <v>1</v>
      </c>
      <c r="I2214" s="12" t="b">
        <v>0</v>
      </c>
      <c r="J2214" s="12" t="b">
        <v>1</v>
      </c>
      <c r="K2214" s="12" t="b">
        <v>0</v>
      </c>
      <c r="L2214" s="12">
        <v>623.15</v>
      </c>
      <c r="M2214" s="12">
        <v>289.26153544559622</v>
      </c>
      <c r="N2214" s="12">
        <v>4216.0812910319091</v>
      </c>
      <c r="O2214" s="12">
        <v>1470.4748041985331</v>
      </c>
      <c r="P2214" s="12">
        <v>0.5</v>
      </c>
      <c r="Q2214" s="12">
        <v>0.49321809917855147</v>
      </c>
      <c r="R2214" s="12">
        <v>0.68543590854628866</v>
      </c>
      <c r="S2214" s="12">
        <v>0.56532325196178512</v>
      </c>
      <c r="T2214" s="12">
        <v>0.89902886534767057</v>
      </c>
      <c r="U2214" s="12">
        <v>0.75614249616351448</v>
      </c>
      <c r="V2214" s="12">
        <v>289.26153544559622</v>
      </c>
      <c r="W2214" s="12">
        <v>4.4649938881461804</v>
      </c>
      <c r="X2214" s="12">
        <v>56.352580701334091</v>
      </c>
      <c r="Y2214" s="12">
        <v>2745.606486833376</v>
      </c>
      <c r="Z2214" s="12">
        <v>2.867156430694398</v>
      </c>
      <c r="AA2214" s="12" t="s">
        <v>1268</v>
      </c>
      <c r="AB2214" s="12"/>
    </row>
    <row r="2215" spans="1:28" x14ac:dyDescent="0.3">
      <c r="A2215" s="12" t="s">
        <v>4129</v>
      </c>
      <c r="B2215" s="12" t="s">
        <v>170</v>
      </c>
      <c r="C2215" s="12" t="s">
        <v>464</v>
      </c>
      <c r="D2215" s="12" t="s">
        <v>734</v>
      </c>
      <c r="E2215" s="12" t="s">
        <v>2978</v>
      </c>
      <c r="F2215" s="12" t="s">
        <v>832</v>
      </c>
      <c r="G2215" s="12" t="s">
        <v>832</v>
      </c>
      <c r="H2215" s="12" t="b">
        <v>0</v>
      </c>
      <c r="I2215" s="12" t="b">
        <v>0</v>
      </c>
      <c r="J2215" s="12" t="b">
        <v>0</v>
      </c>
      <c r="K2215" s="12" t="b">
        <v>0</v>
      </c>
      <c r="L2215" s="12">
        <v>623.15</v>
      </c>
      <c r="M2215" s="12">
        <v>284.54611846516627</v>
      </c>
      <c r="N2215" s="12">
        <v>2307.164343100957</v>
      </c>
      <c r="O2215" s="12">
        <v>1892.756759088737</v>
      </c>
      <c r="P2215" s="12">
        <v>0.5</v>
      </c>
      <c r="Q2215" s="12">
        <v>0.55808304284797705</v>
      </c>
      <c r="R2215" s="12">
        <v>0.86984484294302611</v>
      </c>
      <c r="S2215" s="12">
        <v>0.87555152432667382</v>
      </c>
      <c r="T2215" s="12">
        <v>0.68493350705150857</v>
      </c>
      <c r="U2215" s="12">
        <v>0.89175920036127088</v>
      </c>
      <c r="V2215" s="12">
        <v>284.54611846516627</v>
      </c>
      <c r="W2215" s="12"/>
      <c r="X2215" s="12"/>
      <c r="Y2215" s="12">
        <v>414.40758401222018</v>
      </c>
      <c r="Z2215" s="12">
        <v>1.2189439197732601</v>
      </c>
      <c r="AA2215" s="12"/>
      <c r="AB2215" s="12"/>
    </row>
    <row r="2216" spans="1:28" x14ac:dyDescent="0.3">
      <c r="A2216" s="12" t="s">
        <v>4130</v>
      </c>
      <c r="B2216" s="12" t="s">
        <v>170</v>
      </c>
      <c r="C2216" s="12" t="s">
        <v>464</v>
      </c>
      <c r="D2216" s="12" t="s">
        <v>734</v>
      </c>
      <c r="E2216" s="12" t="s">
        <v>2978</v>
      </c>
      <c r="F2216" s="12" t="s">
        <v>1861</v>
      </c>
      <c r="G2216" s="12" t="s">
        <v>1861</v>
      </c>
      <c r="H2216" s="12" t="b">
        <v>1</v>
      </c>
      <c r="I2216" s="12" t="b">
        <v>0</v>
      </c>
      <c r="J2216" s="12" t="b">
        <v>1</v>
      </c>
      <c r="K2216" s="12" t="b">
        <v>0</v>
      </c>
      <c r="L2216" s="12">
        <v>623.15</v>
      </c>
      <c r="M2216" s="12">
        <v>292.48473288118151</v>
      </c>
      <c r="N2216" s="12">
        <v>2642.853838582022</v>
      </c>
      <c r="O2216" s="12">
        <v>331.0852826081823</v>
      </c>
      <c r="P2216" s="12">
        <v>0.5</v>
      </c>
      <c r="Q2216" s="12">
        <v>0.70430310783899586</v>
      </c>
      <c r="R2216" s="12">
        <v>0.74955302854481864</v>
      </c>
      <c r="S2216" s="12">
        <v>0.70727383933393617</v>
      </c>
      <c r="T2216" s="12">
        <v>0.80802956011520488</v>
      </c>
      <c r="U2216" s="12">
        <v>0.52991193407212211</v>
      </c>
      <c r="V2216" s="12">
        <v>292.48473288118151</v>
      </c>
      <c r="W2216" s="12">
        <v>3.99828246476803</v>
      </c>
      <c r="X2216" s="12">
        <v>45.370870674164678</v>
      </c>
      <c r="Y2216" s="12">
        <v>2311.7685559738402</v>
      </c>
      <c r="Z2216" s="12">
        <v>7.9823960091565462</v>
      </c>
      <c r="AA2216" s="12" t="s">
        <v>1268</v>
      </c>
      <c r="AB2216" s="12"/>
    </row>
    <row r="2217" spans="1:28" x14ac:dyDescent="0.3">
      <c r="A2217" s="12" t="s">
        <v>4131</v>
      </c>
      <c r="B2217" s="12" t="s">
        <v>170</v>
      </c>
      <c r="C2217" s="12" t="s">
        <v>464</v>
      </c>
      <c r="D2217" s="12" t="s">
        <v>734</v>
      </c>
      <c r="E2217" s="12" t="s">
        <v>2978</v>
      </c>
      <c r="F2217" s="12" t="s">
        <v>1862</v>
      </c>
      <c r="G2217" s="12" t="s">
        <v>1862</v>
      </c>
      <c r="H2217" s="12" t="b">
        <v>1</v>
      </c>
      <c r="I2217" s="12" t="b">
        <v>0</v>
      </c>
      <c r="J2217" s="12" t="b">
        <v>1</v>
      </c>
      <c r="K2217" s="12" t="b">
        <v>0</v>
      </c>
      <c r="L2217" s="12">
        <v>623.15</v>
      </c>
      <c r="M2217" s="12">
        <v>299.11302180178029</v>
      </c>
      <c r="N2217" s="12">
        <v>3280.6646797063681</v>
      </c>
      <c r="O2217" s="12">
        <v>1504.0078626409979</v>
      </c>
      <c r="P2217" s="12">
        <v>0.5</v>
      </c>
      <c r="Q2217" s="12">
        <v>0.80707183788747505</v>
      </c>
      <c r="R2217" s="12">
        <v>0.50824344587918535</v>
      </c>
      <c r="S2217" s="12">
        <v>0.61193188414337074</v>
      </c>
      <c r="T2217" s="12">
        <v>0.57764478739499259</v>
      </c>
      <c r="U2217" s="12">
        <v>0.43466646152514032</v>
      </c>
      <c r="V2217" s="12">
        <v>299.11302180178029</v>
      </c>
      <c r="W2217" s="12">
        <v>-2.3139356875278798</v>
      </c>
      <c r="X2217" s="12">
        <v>-20.30632933290784</v>
      </c>
      <c r="Y2217" s="12">
        <v>1776.65681706537</v>
      </c>
      <c r="Z2217" s="12">
        <v>2.1812816017767411</v>
      </c>
      <c r="AA2217" s="12" t="s">
        <v>2513</v>
      </c>
      <c r="AB2217" s="12"/>
    </row>
    <row r="2218" spans="1:28" x14ac:dyDescent="0.3">
      <c r="A2218" s="12" t="s">
        <v>4132</v>
      </c>
      <c r="B2218" s="12" t="s">
        <v>170</v>
      </c>
      <c r="C2218" s="12" t="s">
        <v>464</v>
      </c>
      <c r="D2218" s="12" t="s">
        <v>734</v>
      </c>
      <c r="E2218" s="12" t="s">
        <v>2978</v>
      </c>
      <c r="F2218" s="12" t="s">
        <v>1861</v>
      </c>
      <c r="G2218" s="12" t="s">
        <v>1861</v>
      </c>
      <c r="H2218" s="12" t="b">
        <v>1</v>
      </c>
      <c r="I2218" s="12" t="b">
        <v>0</v>
      </c>
      <c r="J2218" s="12" t="b">
        <v>1</v>
      </c>
      <c r="K2218" s="12" t="b">
        <v>0</v>
      </c>
      <c r="L2218" s="12">
        <v>623.15</v>
      </c>
      <c r="M2218" s="12">
        <v>280.99889154700708</v>
      </c>
      <c r="N2218" s="12">
        <v>2982.6058302238789</v>
      </c>
      <c r="O2218" s="12">
        <v>1019.5043147904061</v>
      </c>
      <c r="P2218" s="12">
        <v>0.5</v>
      </c>
      <c r="Q2218" s="12">
        <v>0.75182649943747393</v>
      </c>
      <c r="R2218" s="12">
        <v>0.75605952910518837</v>
      </c>
      <c r="S2218" s="12">
        <v>0.48820408009311889</v>
      </c>
      <c r="T2218" s="12">
        <v>0.42696414227167689</v>
      </c>
      <c r="U2218" s="12">
        <v>0.7459407834575279</v>
      </c>
      <c r="V2218" s="12">
        <v>280.99889154700708</v>
      </c>
      <c r="W2218" s="12">
        <v>6.7237930011027309</v>
      </c>
      <c r="X2218" s="12">
        <v>77.965120054407208</v>
      </c>
      <c r="Y2218" s="12">
        <v>1963.101515433473</v>
      </c>
      <c r="Z2218" s="12">
        <v>2.9255450780873402</v>
      </c>
      <c r="AA2218" s="12" t="s">
        <v>1268</v>
      </c>
      <c r="AB2218" s="12"/>
    </row>
    <row r="2219" spans="1:28" x14ac:dyDescent="0.3">
      <c r="A2219" s="12" t="s">
        <v>4133</v>
      </c>
      <c r="B2219" s="12" t="s">
        <v>170</v>
      </c>
      <c r="C2219" s="12" t="s">
        <v>464</v>
      </c>
      <c r="D2219" s="12" t="s">
        <v>734</v>
      </c>
      <c r="E2219" s="12" t="s">
        <v>2978</v>
      </c>
      <c r="F2219" s="12" t="s">
        <v>1861</v>
      </c>
      <c r="G2219" s="12" t="s">
        <v>1861</v>
      </c>
      <c r="H2219" s="12" t="b">
        <v>1</v>
      </c>
      <c r="I2219" s="12" t="b">
        <v>0</v>
      </c>
      <c r="J2219" s="12" t="b">
        <v>1</v>
      </c>
      <c r="K2219" s="12" t="b">
        <v>0</v>
      </c>
      <c r="L2219" s="12">
        <v>623.15</v>
      </c>
      <c r="M2219" s="12">
        <v>291.69331452089631</v>
      </c>
      <c r="N2219" s="12">
        <v>3744.982058753154</v>
      </c>
      <c r="O2219" s="12">
        <v>1439.657166970303</v>
      </c>
      <c r="P2219" s="12">
        <v>0.5</v>
      </c>
      <c r="Q2219" s="12">
        <v>0.84490044188457802</v>
      </c>
      <c r="R2219" s="12">
        <v>0.40348485914791671</v>
      </c>
      <c r="S2219" s="12">
        <v>0.76437813663369791</v>
      </c>
      <c r="T2219" s="12">
        <v>0.70154825653207387</v>
      </c>
      <c r="U2219" s="12">
        <v>0.82351706985323014</v>
      </c>
      <c r="V2219" s="12">
        <v>291.69331452089631</v>
      </c>
      <c r="W2219" s="12">
        <v>6.9677981793205808</v>
      </c>
      <c r="X2219" s="12">
        <v>125.7779733554939</v>
      </c>
      <c r="Y2219" s="12">
        <v>2305.324891782851</v>
      </c>
      <c r="Z2219" s="12">
        <v>2.6013012991379809</v>
      </c>
      <c r="AA2219" s="12" t="s">
        <v>1268</v>
      </c>
      <c r="AB2219" s="12"/>
    </row>
    <row r="2220" spans="1:28" x14ac:dyDescent="0.3">
      <c r="A2220" s="12" t="s">
        <v>4134</v>
      </c>
      <c r="B2220" s="12" t="s">
        <v>170</v>
      </c>
      <c r="C2220" s="12" t="s">
        <v>464</v>
      </c>
      <c r="D2220" s="12" t="s">
        <v>734</v>
      </c>
      <c r="E2220" s="12" t="s">
        <v>2978</v>
      </c>
      <c r="F2220" s="12" t="s">
        <v>1862</v>
      </c>
      <c r="G2220" s="12" t="s">
        <v>1862</v>
      </c>
      <c r="H2220" s="12" t="b">
        <v>1</v>
      </c>
      <c r="I2220" s="12" t="b">
        <v>0</v>
      </c>
      <c r="J2220" s="12" t="b">
        <v>1</v>
      </c>
      <c r="K2220" s="12" t="b">
        <v>0</v>
      </c>
      <c r="L2220" s="12">
        <v>623.15</v>
      </c>
      <c r="M2220" s="12">
        <v>301.9779568290831</v>
      </c>
      <c r="N2220" s="12">
        <v>2881.6161930208809</v>
      </c>
      <c r="O2220" s="12">
        <v>1063.7013208656419</v>
      </c>
      <c r="P2220" s="12">
        <v>0.5</v>
      </c>
      <c r="Q2220" s="12">
        <v>0.51868219551266814</v>
      </c>
      <c r="R2220" s="12">
        <v>0.58521861104603445</v>
      </c>
      <c r="S2220" s="12">
        <v>0.42131140243451498</v>
      </c>
      <c r="T2220" s="12">
        <v>0.5123404532973912</v>
      </c>
      <c r="U2220" s="12">
        <v>0.45977484013999997</v>
      </c>
      <c r="V2220" s="12">
        <v>301.9779568290831</v>
      </c>
      <c r="W2220" s="12">
        <v>-5.39614064252119</v>
      </c>
      <c r="X2220" s="12">
        <v>-38.847093793825643</v>
      </c>
      <c r="Y2220" s="12">
        <v>1817.9148721552399</v>
      </c>
      <c r="Z2220" s="12">
        <v>2.7090463615066471</v>
      </c>
      <c r="AA2220" s="12" t="s">
        <v>2513</v>
      </c>
      <c r="AB2220" s="12"/>
    </row>
    <row r="2221" spans="1:28" x14ac:dyDescent="0.3">
      <c r="A2221" s="12" t="s">
        <v>4135</v>
      </c>
      <c r="B2221" s="12" t="s">
        <v>170</v>
      </c>
      <c r="C2221" s="12" t="s">
        <v>464</v>
      </c>
      <c r="D2221" s="12" t="s">
        <v>734</v>
      </c>
      <c r="E2221" s="12" t="s">
        <v>2978</v>
      </c>
      <c r="F2221" s="12" t="s">
        <v>1861</v>
      </c>
      <c r="G2221" s="12" t="s">
        <v>1861</v>
      </c>
      <c r="H2221" s="12" t="b">
        <v>1</v>
      </c>
      <c r="I2221" s="12" t="b">
        <v>0</v>
      </c>
      <c r="J2221" s="12" t="b">
        <v>1</v>
      </c>
      <c r="K2221" s="12" t="b">
        <v>0</v>
      </c>
      <c r="L2221" s="12">
        <v>623.15</v>
      </c>
      <c r="M2221" s="12">
        <v>282.45012030484878</v>
      </c>
      <c r="N2221" s="12">
        <v>4356.2972937429577</v>
      </c>
      <c r="O2221" s="12">
        <v>1545.0069741552541</v>
      </c>
      <c r="P2221" s="12">
        <v>0.5</v>
      </c>
      <c r="Q2221" s="12">
        <v>0.67513048583570945</v>
      </c>
      <c r="R2221" s="12">
        <v>0.5293675592151138</v>
      </c>
      <c r="S2221" s="12">
        <v>0.5050708171632724</v>
      </c>
      <c r="T2221" s="12">
        <v>0.86103443038413741</v>
      </c>
      <c r="U2221" s="12">
        <v>0.65593584394368409</v>
      </c>
      <c r="V2221" s="12">
        <v>282.45012030484878</v>
      </c>
      <c r="W2221" s="12">
        <v>5.34929592584567</v>
      </c>
      <c r="X2221" s="12">
        <v>57.448748421013008</v>
      </c>
      <c r="Y2221" s="12">
        <v>2811.2903195877038</v>
      </c>
      <c r="Z2221" s="12">
        <v>2.8195971711550381</v>
      </c>
      <c r="AA2221" s="12" t="s">
        <v>1268</v>
      </c>
      <c r="AB2221" s="12"/>
    </row>
    <row r="2222" spans="1:28" x14ac:dyDescent="0.3">
      <c r="A2222" s="12" t="s">
        <v>4136</v>
      </c>
      <c r="B2222" s="12" t="s">
        <v>170</v>
      </c>
      <c r="C2222" s="12" t="s">
        <v>464</v>
      </c>
      <c r="D2222" s="12" t="s">
        <v>734</v>
      </c>
      <c r="E2222" s="12" t="s">
        <v>2978</v>
      </c>
      <c r="F2222" s="12" t="s">
        <v>1861</v>
      </c>
      <c r="G2222" s="12" t="s">
        <v>1861</v>
      </c>
      <c r="H2222" s="12" t="b">
        <v>1</v>
      </c>
      <c r="I2222" s="12" t="b">
        <v>0</v>
      </c>
      <c r="J2222" s="12" t="b">
        <v>1</v>
      </c>
      <c r="K2222" s="12" t="b">
        <v>0</v>
      </c>
      <c r="L2222" s="12">
        <v>623.15</v>
      </c>
      <c r="M2222" s="12">
        <v>298.30269634887992</v>
      </c>
      <c r="N2222" s="12">
        <v>2497.5607377003271</v>
      </c>
      <c r="O2222" s="12">
        <v>285.35293835911472</v>
      </c>
      <c r="P2222" s="12">
        <v>0.5</v>
      </c>
      <c r="Q2222" s="12">
        <v>0.88976974451577673</v>
      </c>
      <c r="R2222" s="12">
        <v>0.46202267805244129</v>
      </c>
      <c r="S2222" s="12">
        <v>0.67755687226802175</v>
      </c>
      <c r="T2222" s="12">
        <v>0.53419238717114814</v>
      </c>
      <c r="U2222" s="12">
        <v>0.78294846417857022</v>
      </c>
      <c r="V2222" s="12">
        <v>298.30269634887992</v>
      </c>
      <c r="W2222" s="12">
        <v>10.7898466789631</v>
      </c>
      <c r="X2222" s="12">
        <v>158.50278023989759</v>
      </c>
      <c r="Y2222" s="12">
        <v>2212.2077993412122</v>
      </c>
      <c r="Z2222" s="12">
        <v>8.7525320470229904</v>
      </c>
      <c r="AA2222" s="12" t="s">
        <v>1981</v>
      </c>
      <c r="AB2222" s="12"/>
    </row>
    <row r="2223" spans="1:28" x14ac:dyDescent="0.3">
      <c r="A2223" s="12" t="s">
        <v>4137</v>
      </c>
      <c r="B2223" s="12" t="s">
        <v>170</v>
      </c>
      <c r="C2223" s="12" t="s">
        <v>464</v>
      </c>
      <c r="D2223" s="12" t="s">
        <v>734</v>
      </c>
      <c r="E2223" s="12" t="s">
        <v>2978</v>
      </c>
      <c r="F2223" s="12" t="s">
        <v>32</v>
      </c>
      <c r="G2223" s="12" t="s">
        <v>32</v>
      </c>
      <c r="H2223" s="12" t="b">
        <v>1</v>
      </c>
      <c r="I2223" s="12" t="b">
        <v>0</v>
      </c>
      <c r="J2223" s="12" t="b">
        <v>1</v>
      </c>
      <c r="K2223" s="12" t="b">
        <v>0</v>
      </c>
      <c r="L2223" s="12">
        <v>623.15</v>
      </c>
      <c r="M2223" s="12">
        <v>293.44243696335161</v>
      </c>
      <c r="N2223" s="12">
        <v>2581.218399638949</v>
      </c>
      <c r="O2223" s="12">
        <v>1452.540849569594</v>
      </c>
      <c r="P2223" s="12">
        <v>0.5</v>
      </c>
      <c r="Q2223" s="12">
        <v>0.57346851365878981</v>
      </c>
      <c r="R2223" s="12">
        <v>0.91129171647028739</v>
      </c>
      <c r="S2223" s="12">
        <v>0.80776502266778527</v>
      </c>
      <c r="T2223" s="12">
        <v>0.41960924449806702</v>
      </c>
      <c r="U2223" s="12">
        <v>0.92288818260965</v>
      </c>
      <c r="V2223" s="12">
        <v>293.44243696335161</v>
      </c>
      <c r="W2223" s="12">
        <v>2.7867717048602998</v>
      </c>
      <c r="X2223" s="12">
        <v>58.354648968543529</v>
      </c>
      <c r="Y2223" s="12">
        <v>1128.677550069355</v>
      </c>
      <c r="Z2223" s="12">
        <v>1.7770367011735311</v>
      </c>
      <c r="AA2223" s="12"/>
      <c r="AB2223" s="12"/>
    </row>
    <row r="2224" spans="1:28" x14ac:dyDescent="0.3">
      <c r="A2224" s="12" t="s">
        <v>4138</v>
      </c>
      <c r="B2224" s="12" t="s">
        <v>170</v>
      </c>
      <c r="C2224" s="12" t="s">
        <v>464</v>
      </c>
      <c r="D2224" s="12" t="s">
        <v>734</v>
      </c>
      <c r="E2224" s="12" t="s">
        <v>2978</v>
      </c>
      <c r="F2224" s="12" t="s">
        <v>1861</v>
      </c>
      <c r="G2224" s="12" t="s">
        <v>1861</v>
      </c>
      <c r="H2224" s="12" t="b">
        <v>1</v>
      </c>
      <c r="I2224" s="12" t="b">
        <v>0</v>
      </c>
      <c r="J2224" s="12" t="b">
        <v>1</v>
      </c>
      <c r="K2224" s="12" t="b">
        <v>0</v>
      </c>
      <c r="L2224" s="12">
        <v>623.15</v>
      </c>
      <c r="M2224" s="12">
        <v>290.75786377754008</v>
      </c>
      <c r="N2224" s="12">
        <v>3550.099941914199</v>
      </c>
      <c r="O2224" s="12">
        <v>1652.5372687303379</v>
      </c>
      <c r="P2224" s="12">
        <v>0.5</v>
      </c>
      <c r="Q2224" s="12">
        <v>0.77580387906542803</v>
      </c>
      <c r="R2224" s="12">
        <v>0.71391884980316522</v>
      </c>
      <c r="S2224" s="12">
        <v>0.42450346871919697</v>
      </c>
      <c r="T2224" s="12">
        <v>0.8220290523376983</v>
      </c>
      <c r="U2224" s="12">
        <v>0.59284456082934889</v>
      </c>
      <c r="V2224" s="12">
        <v>290.75786377754008</v>
      </c>
      <c r="W2224" s="12">
        <v>4.6011351287637803</v>
      </c>
      <c r="X2224" s="12">
        <v>40.542487695761032</v>
      </c>
      <c r="Y2224" s="12">
        <v>1897.5626731838611</v>
      </c>
      <c r="Z2224" s="12">
        <v>2.1482722411711652</v>
      </c>
      <c r="AA2224" s="12" t="s">
        <v>1268</v>
      </c>
      <c r="AB2224" s="12"/>
    </row>
    <row r="2225" spans="1:28" x14ac:dyDescent="0.3">
      <c r="A2225" s="12" t="s">
        <v>4139</v>
      </c>
      <c r="B2225" s="12" t="s">
        <v>170</v>
      </c>
      <c r="C2225" s="12" t="s">
        <v>464</v>
      </c>
      <c r="D2225" s="12" t="s">
        <v>734</v>
      </c>
      <c r="E2225" s="12" t="s">
        <v>2978</v>
      </c>
      <c r="F2225" s="12" t="s">
        <v>832</v>
      </c>
      <c r="G2225" s="12" t="s">
        <v>832</v>
      </c>
      <c r="H2225" s="12" t="b">
        <v>0</v>
      </c>
      <c r="I2225" s="12" t="b">
        <v>0</v>
      </c>
      <c r="J2225" s="12" t="b">
        <v>0</v>
      </c>
      <c r="K2225" s="12" t="b">
        <v>0</v>
      </c>
      <c r="L2225" s="12">
        <v>623.15</v>
      </c>
      <c r="M2225" s="12">
        <v>285.46959933603648</v>
      </c>
      <c r="N2225" s="12">
        <v>2023.003329493351</v>
      </c>
      <c r="O2225" s="12">
        <v>398.00124030770269</v>
      </c>
      <c r="P2225" s="12">
        <v>0.5</v>
      </c>
      <c r="Q2225" s="12">
        <v>0.72206466706011474</v>
      </c>
      <c r="R2225" s="12">
        <v>0.8123837721693512</v>
      </c>
      <c r="S2225" s="12">
        <v>0.75143060331006639</v>
      </c>
      <c r="T2225" s="12">
        <v>0.94275223068389358</v>
      </c>
      <c r="U2225" s="12">
        <v>0.50316170550887818</v>
      </c>
      <c r="V2225" s="12">
        <v>285.46959933603648</v>
      </c>
      <c r="W2225" s="12"/>
      <c r="X2225" s="12"/>
      <c r="Y2225" s="12">
        <v>1625.0020891856479</v>
      </c>
      <c r="Z2225" s="12">
        <v>5.0829070983028268</v>
      </c>
      <c r="AA2225" s="12"/>
      <c r="AB2225" s="12"/>
    </row>
    <row r="2226" spans="1:28" x14ac:dyDescent="0.3">
      <c r="A2226" s="12" t="s">
        <v>4140</v>
      </c>
      <c r="B2226" s="12" t="s">
        <v>170</v>
      </c>
      <c r="C2226" s="12" t="s">
        <v>464</v>
      </c>
      <c r="D2226" s="12" t="s">
        <v>734</v>
      </c>
      <c r="E2226" s="12" t="s">
        <v>2978</v>
      </c>
      <c r="F2226" s="12" t="s">
        <v>832</v>
      </c>
      <c r="G2226" s="12" t="s">
        <v>832</v>
      </c>
      <c r="H2226" s="12" t="b">
        <v>0</v>
      </c>
      <c r="I2226" s="12" t="b">
        <v>0</v>
      </c>
      <c r="J2226" s="12" t="b">
        <v>0</v>
      </c>
      <c r="K2226" s="12" t="b">
        <v>0</v>
      </c>
      <c r="L2226" s="12">
        <v>623.15</v>
      </c>
      <c r="M2226" s="12">
        <v>299.07583661855028</v>
      </c>
      <c r="N2226" s="12">
        <v>4414.9417031704479</v>
      </c>
      <c r="O2226" s="12">
        <v>633.33883396056558</v>
      </c>
      <c r="P2226" s="12">
        <v>0.5</v>
      </c>
      <c r="Q2226" s="12">
        <v>0.73186746968483041</v>
      </c>
      <c r="R2226" s="12">
        <v>0.89576506894847374</v>
      </c>
      <c r="S2226" s="12">
        <v>0.90499645351617197</v>
      </c>
      <c r="T2226" s="12">
        <v>0.6470416100267411</v>
      </c>
      <c r="U2226" s="12">
        <v>0.46700752900171433</v>
      </c>
      <c r="V2226" s="12">
        <v>299.07583661855028</v>
      </c>
      <c r="W2226" s="12"/>
      <c r="X2226" s="12"/>
      <c r="Y2226" s="12">
        <v>3781.602869209883</v>
      </c>
      <c r="Z2226" s="12">
        <v>6.9709000402860841</v>
      </c>
      <c r="AA2226" s="12"/>
      <c r="AB2226" s="12"/>
    </row>
    <row r="2227" spans="1:28" x14ac:dyDescent="0.3">
      <c r="A2227" s="12" t="s">
        <v>4141</v>
      </c>
      <c r="B2227" s="12" t="s">
        <v>170</v>
      </c>
      <c r="C2227" s="12" t="s">
        <v>464</v>
      </c>
      <c r="D2227" s="12" t="s">
        <v>734</v>
      </c>
      <c r="E2227" s="12" t="s">
        <v>2978</v>
      </c>
      <c r="F2227" s="12" t="s">
        <v>1861</v>
      </c>
      <c r="G2227" s="12" t="s">
        <v>1861</v>
      </c>
      <c r="H2227" s="12" t="b">
        <v>1</v>
      </c>
      <c r="I2227" s="12" t="b">
        <v>0</v>
      </c>
      <c r="J2227" s="12" t="b">
        <v>1</v>
      </c>
      <c r="K2227" s="12" t="b">
        <v>0</v>
      </c>
      <c r="L2227" s="12">
        <v>623.15</v>
      </c>
      <c r="M2227" s="12">
        <v>282.96610898829249</v>
      </c>
      <c r="N2227" s="12">
        <v>2448.353776692386</v>
      </c>
      <c r="O2227" s="12">
        <v>1180.8985655398919</v>
      </c>
      <c r="P2227" s="12">
        <v>0.5</v>
      </c>
      <c r="Q2227" s="12">
        <v>0.91108450034416877</v>
      </c>
      <c r="R2227" s="12">
        <v>0.48316335328830518</v>
      </c>
      <c r="S2227" s="12">
        <v>0.52175828676448033</v>
      </c>
      <c r="T2227" s="12">
        <v>0.76193639554375769</v>
      </c>
      <c r="U2227" s="12">
        <v>0.47930663447728111</v>
      </c>
      <c r="V2227" s="12">
        <v>282.96610898829249</v>
      </c>
      <c r="W2227" s="12">
        <v>0.68143894000048999</v>
      </c>
      <c r="X2227" s="12">
        <v>6.1502759261472884</v>
      </c>
      <c r="Y2227" s="12">
        <v>1267.455211152494</v>
      </c>
      <c r="Z2227" s="12">
        <v>2.0732972739051712</v>
      </c>
      <c r="AA2227" s="12" t="s">
        <v>1268</v>
      </c>
      <c r="AB2227" s="12"/>
    </row>
    <row r="2228" spans="1:28" x14ac:dyDescent="0.3">
      <c r="A2228" s="12" t="s">
        <v>4142</v>
      </c>
      <c r="B2228" s="12" t="s">
        <v>170</v>
      </c>
      <c r="C2228" s="12" t="s">
        <v>464</v>
      </c>
      <c r="D2228" s="12" t="s">
        <v>734</v>
      </c>
      <c r="E2228" s="12" t="s">
        <v>2978</v>
      </c>
      <c r="F2228" s="12" t="s">
        <v>32</v>
      </c>
      <c r="G2228" s="12" t="s">
        <v>32</v>
      </c>
      <c r="H2228" s="12" t="b">
        <v>1</v>
      </c>
      <c r="I2228" s="12" t="b">
        <v>0</v>
      </c>
      <c r="J2228" s="12" t="b">
        <v>1</v>
      </c>
      <c r="K2228" s="12" t="b">
        <v>0</v>
      </c>
      <c r="L2228" s="12">
        <v>623.15</v>
      </c>
      <c r="M2228" s="12">
        <v>302.58136184316999</v>
      </c>
      <c r="N2228" s="12">
        <v>4808.3419580395002</v>
      </c>
      <c r="O2228" s="12">
        <v>1242.2743898072649</v>
      </c>
      <c r="P2228" s="12">
        <v>0.5</v>
      </c>
      <c r="Q2228" s="12">
        <v>0.92249167471066718</v>
      </c>
      <c r="R2228" s="12">
        <v>0.57606589946837905</v>
      </c>
      <c r="S2228" s="12">
        <v>0.40730215523492058</v>
      </c>
      <c r="T2228" s="12">
        <v>0.41011451006099681</v>
      </c>
      <c r="U2228" s="12">
        <v>0.87841579594922869</v>
      </c>
      <c r="V2228" s="12">
        <v>302.58136184316999</v>
      </c>
      <c r="W2228" s="12">
        <v>8.457650032385521</v>
      </c>
      <c r="X2228" s="12">
        <v>83.2699300980196</v>
      </c>
      <c r="Y2228" s="12">
        <v>3566.0675682322362</v>
      </c>
      <c r="Z2228" s="12">
        <v>3.8705957375371001</v>
      </c>
      <c r="AA2228" s="12"/>
      <c r="AB2228" s="12"/>
    </row>
    <row r="2229" spans="1:28" x14ac:dyDescent="0.3">
      <c r="A2229" s="12" t="s">
        <v>4143</v>
      </c>
      <c r="B2229" s="12" t="s">
        <v>170</v>
      </c>
      <c r="C2229" s="12" t="s">
        <v>464</v>
      </c>
      <c r="D2229" s="12" t="s">
        <v>734</v>
      </c>
      <c r="E2229" s="12" t="s">
        <v>2978</v>
      </c>
      <c r="F2229" s="12" t="s">
        <v>1861</v>
      </c>
      <c r="G2229" s="12" t="s">
        <v>1861</v>
      </c>
      <c r="H2229" s="12" t="b">
        <v>1</v>
      </c>
      <c r="I2229" s="12" t="b">
        <v>0</v>
      </c>
      <c r="J2229" s="12" t="b">
        <v>1</v>
      </c>
      <c r="K2229" s="12" t="b">
        <v>0</v>
      </c>
      <c r="L2229" s="12">
        <v>623.15</v>
      </c>
      <c r="M2229" s="12">
        <v>287.94794608321939</v>
      </c>
      <c r="N2229" s="12">
        <v>4726.1064346450858</v>
      </c>
      <c r="O2229" s="12">
        <v>308.33872276456037</v>
      </c>
      <c r="P2229" s="12">
        <v>0.5</v>
      </c>
      <c r="Q2229" s="12">
        <v>0.80049827328711398</v>
      </c>
      <c r="R2229" s="12">
        <v>0.90578036557514641</v>
      </c>
      <c r="S2229" s="12">
        <v>0.53957864918999365</v>
      </c>
      <c r="T2229" s="12">
        <v>0.48613082049050099</v>
      </c>
      <c r="U2229" s="12">
        <v>0.91208347564276238</v>
      </c>
      <c r="V2229" s="12">
        <v>287.94794608321939</v>
      </c>
      <c r="W2229" s="12">
        <v>14.981621842582349</v>
      </c>
      <c r="X2229" s="12">
        <v>201.60835813128949</v>
      </c>
      <c r="Y2229" s="12">
        <v>4417.767711880525</v>
      </c>
      <c r="Z2229" s="12">
        <v>15.327644845483199</v>
      </c>
      <c r="AA2229" s="12" t="s">
        <v>1981</v>
      </c>
      <c r="AB2229" s="12"/>
    </row>
    <row r="2230" spans="1:28" x14ac:dyDescent="0.3">
      <c r="A2230" s="12" t="s">
        <v>4144</v>
      </c>
      <c r="B2230" s="12" t="s">
        <v>170</v>
      </c>
      <c r="C2230" s="12" t="s">
        <v>464</v>
      </c>
      <c r="D2230" s="12" t="s">
        <v>734</v>
      </c>
      <c r="E2230" s="12" t="s">
        <v>2978</v>
      </c>
      <c r="F2230" s="12" t="s">
        <v>1861</v>
      </c>
      <c r="G2230" s="12" t="s">
        <v>1861</v>
      </c>
      <c r="H2230" s="12" t="b">
        <v>1</v>
      </c>
      <c r="I2230" s="12" t="b">
        <v>0</v>
      </c>
      <c r="J2230" s="12" t="b">
        <v>1</v>
      </c>
      <c r="K2230" s="12" t="b">
        <v>0</v>
      </c>
      <c r="L2230" s="12">
        <v>623.15</v>
      </c>
      <c r="M2230" s="12">
        <v>287.29082030307569</v>
      </c>
      <c r="N2230" s="12">
        <v>2241.170492303871</v>
      </c>
      <c r="O2230" s="12">
        <v>1936.380869402984</v>
      </c>
      <c r="P2230" s="12">
        <v>0.5</v>
      </c>
      <c r="Q2230" s="12">
        <v>0.89259155701131476</v>
      </c>
      <c r="R2230" s="12">
        <v>0.80175618312651298</v>
      </c>
      <c r="S2230" s="12">
        <v>0.77687752488339312</v>
      </c>
      <c r="T2230" s="12">
        <v>0.80664278151918722</v>
      </c>
      <c r="U2230" s="12">
        <v>0.83028896928814933</v>
      </c>
      <c r="V2230" s="12">
        <v>287.29082030307569</v>
      </c>
      <c r="W2230" s="12">
        <v>1.24030469120303</v>
      </c>
      <c r="X2230" s="12">
        <v>23.224714253416561</v>
      </c>
      <c r="Y2230" s="12">
        <v>304.78962290088748</v>
      </c>
      <c r="Z2230" s="12">
        <v>1.157401690812438</v>
      </c>
      <c r="AA2230" s="12" t="s">
        <v>1268</v>
      </c>
      <c r="AB2230" s="12"/>
    </row>
    <row r="2231" spans="1:28" x14ac:dyDescent="0.3">
      <c r="A2231" s="12" t="s">
        <v>4145</v>
      </c>
      <c r="B2231" s="12" t="s">
        <v>170</v>
      </c>
      <c r="C2231" s="12" t="s">
        <v>464</v>
      </c>
      <c r="D2231" s="12" t="s">
        <v>734</v>
      </c>
      <c r="E2231" s="12" t="s">
        <v>2978</v>
      </c>
      <c r="F2231" s="12" t="s">
        <v>832</v>
      </c>
      <c r="G2231" s="12" t="s">
        <v>832</v>
      </c>
      <c r="H2231" s="12" t="b">
        <v>0</v>
      </c>
      <c r="I2231" s="12" t="b">
        <v>0</v>
      </c>
      <c r="J2231" s="12" t="b">
        <v>0</v>
      </c>
      <c r="K2231" s="12" t="b">
        <v>0</v>
      </c>
      <c r="L2231" s="12">
        <v>623.15</v>
      </c>
      <c r="M2231" s="12">
        <v>299.89136160161229</v>
      </c>
      <c r="N2231" s="12">
        <v>3039.543245538026</v>
      </c>
      <c r="O2231" s="12">
        <v>1394.9557496090999</v>
      </c>
      <c r="P2231" s="12">
        <v>0.5</v>
      </c>
      <c r="Q2231" s="12">
        <v>0.58343641234172527</v>
      </c>
      <c r="R2231" s="12">
        <v>0.85508696212067226</v>
      </c>
      <c r="S2231" s="12">
        <v>0.87971392794652048</v>
      </c>
      <c r="T2231" s="12">
        <v>0.80011789054112104</v>
      </c>
      <c r="U2231" s="12">
        <v>0.42511334851305088</v>
      </c>
      <c r="V2231" s="12">
        <v>299.89136160161229</v>
      </c>
      <c r="W2231" s="12"/>
      <c r="X2231" s="12"/>
      <c r="Y2231" s="12">
        <v>1644.587495928926</v>
      </c>
      <c r="Z2231" s="12">
        <v>2.1789531649228149</v>
      </c>
      <c r="AA2231" s="12"/>
      <c r="AB2231" s="12"/>
    </row>
    <row r="2232" spans="1:28" x14ac:dyDescent="0.3">
      <c r="A2232" s="12" t="s">
        <v>4146</v>
      </c>
      <c r="B2232" s="12" t="s">
        <v>170</v>
      </c>
      <c r="C2232" s="12" t="s">
        <v>464</v>
      </c>
      <c r="D2232" s="12" t="s">
        <v>734</v>
      </c>
      <c r="E2232" s="12" t="s">
        <v>2978</v>
      </c>
      <c r="F2232" s="12" t="s">
        <v>32</v>
      </c>
      <c r="G2232" s="12" t="s">
        <v>32</v>
      </c>
      <c r="H2232" s="12" t="b">
        <v>1</v>
      </c>
      <c r="I2232" s="12" t="b">
        <v>0</v>
      </c>
      <c r="J2232" s="12" t="b">
        <v>1</v>
      </c>
      <c r="K2232" s="12" t="b">
        <v>0</v>
      </c>
      <c r="L2232" s="12">
        <v>623.15</v>
      </c>
      <c r="M2232" s="12">
        <v>280.61272026136072</v>
      </c>
      <c r="N2232" s="12">
        <v>4753.3451451620222</v>
      </c>
      <c r="O2232" s="12">
        <v>1482.1204041787539</v>
      </c>
      <c r="P2232" s="12">
        <v>0.5</v>
      </c>
      <c r="Q2232" s="12">
        <v>0.87471213323316144</v>
      </c>
      <c r="R2232" s="12">
        <v>0.89037333329319757</v>
      </c>
      <c r="S2232" s="12">
        <v>0.47379360440767693</v>
      </c>
      <c r="T2232" s="12">
        <v>0.72423313779997622</v>
      </c>
      <c r="U2232" s="12">
        <v>0.899132234658375</v>
      </c>
      <c r="V2232" s="12">
        <v>280.61272026136072</v>
      </c>
      <c r="W2232" s="12">
        <v>7.7177942203150796</v>
      </c>
      <c r="X2232" s="12">
        <v>88.056762198276132</v>
      </c>
      <c r="Y2232" s="12">
        <v>3271.224740983268</v>
      </c>
      <c r="Z2232" s="12">
        <v>3.2071248272139279</v>
      </c>
      <c r="AA2232" s="12"/>
      <c r="AB2232" s="12"/>
    </row>
    <row r="2233" spans="1:28" x14ac:dyDescent="0.3">
      <c r="A2233" s="12" t="s">
        <v>4147</v>
      </c>
      <c r="B2233" s="12" t="s">
        <v>170</v>
      </c>
      <c r="C2233" s="12" t="s">
        <v>464</v>
      </c>
      <c r="D2233" s="12" t="s">
        <v>734</v>
      </c>
      <c r="E2233" s="12" t="s">
        <v>2978</v>
      </c>
      <c r="F2233" s="12" t="s">
        <v>832</v>
      </c>
      <c r="G2233" s="12" t="s">
        <v>832</v>
      </c>
      <c r="H2233" s="12" t="b">
        <v>0</v>
      </c>
      <c r="I2233" s="12" t="b">
        <v>0</v>
      </c>
      <c r="J2233" s="12" t="b">
        <v>0</v>
      </c>
      <c r="K2233" s="12" t="b">
        <v>0</v>
      </c>
      <c r="L2233" s="12">
        <v>623.15</v>
      </c>
      <c r="M2233" s="12">
        <v>290.56474533742607</v>
      </c>
      <c r="N2233" s="12">
        <v>4390.6197882503666</v>
      </c>
      <c r="O2233" s="12">
        <v>1508.955169217455</v>
      </c>
      <c r="P2233" s="12">
        <v>0.5</v>
      </c>
      <c r="Q2233" s="12">
        <v>0.9440885728981846</v>
      </c>
      <c r="R2233" s="12">
        <v>0.85252857077131505</v>
      </c>
      <c r="S2233" s="12">
        <v>0.62913976987601128</v>
      </c>
      <c r="T2233" s="12">
        <v>0.90232347125571644</v>
      </c>
      <c r="U2233" s="12">
        <v>0.67735958726092527</v>
      </c>
      <c r="V2233" s="12">
        <v>290.56474533742607</v>
      </c>
      <c r="W2233" s="12"/>
      <c r="X2233" s="12"/>
      <c r="Y2233" s="12">
        <v>2881.6646190329111</v>
      </c>
      <c r="Z2233" s="12">
        <v>2.909708570419189</v>
      </c>
      <c r="AA2233" s="12"/>
      <c r="AB2233" s="12"/>
    </row>
    <row r="2234" spans="1:28" x14ac:dyDescent="0.3">
      <c r="A2234" s="12" t="s">
        <v>4148</v>
      </c>
      <c r="B2234" s="12" t="s">
        <v>170</v>
      </c>
      <c r="C2234" s="12" t="s">
        <v>464</v>
      </c>
      <c r="D2234" s="12" t="s">
        <v>734</v>
      </c>
      <c r="E2234" s="12" t="s">
        <v>2978</v>
      </c>
      <c r="F2234" s="12" t="s">
        <v>1862</v>
      </c>
      <c r="G2234" s="12" t="s">
        <v>1862</v>
      </c>
      <c r="H2234" s="12" t="b">
        <v>1</v>
      </c>
      <c r="I2234" s="12" t="b">
        <v>0</v>
      </c>
      <c r="J2234" s="12" t="b">
        <v>1</v>
      </c>
      <c r="K2234" s="12" t="b">
        <v>0</v>
      </c>
      <c r="L2234" s="12">
        <v>623.15</v>
      </c>
      <c r="M2234" s="12">
        <v>286.07253243019193</v>
      </c>
      <c r="N2234" s="12">
        <v>3112.0881760106331</v>
      </c>
      <c r="O2234" s="12">
        <v>463.01121867217262</v>
      </c>
      <c r="P2234" s="12">
        <v>0.5</v>
      </c>
      <c r="Q2234" s="12">
        <v>0.4175146120924258</v>
      </c>
      <c r="R2234" s="12">
        <v>0.86513764577833219</v>
      </c>
      <c r="S2234" s="12">
        <v>0.70436870006427776</v>
      </c>
      <c r="T2234" s="12">
        <v>0.44622109324548742</v>
      </c>
      <c r="U2234" s="12">
        <v>0.51912201418675441</v>
      </c>
      <c r="V2234" s="12">
        <v>286.07253243019193</v>
      </c>
      <c r="W2234" s="12">
        <v>-2.94205125328646</v>
      </c>
      <c r="X2234" s="12">
        <v>-32.590424129192343</v>
      </c>
      <c r="Y2234" s="12">
        <v>2649.07695733846</v>
      </c>
      <c r="Z2234" s="12">
        <v>6.7214098719584063</v>
      </c>
      <c r="AA2234" s="12" t="s">
        <v>2513</v>
      </c>
      <c r="AB2234" s="12"/>
    </row>
    <row r="2235" spans="1:28" x14ac:dyDescent="0.3">
      <c r="A2235" s="12" t="s">
        <v>4149</v>
      </c>
      <c r="B2235" s="12" t="s">
        <v>170</v>
      </c>
      <c r="C2235" s="12" t="s">
        <v>464</v>
      </c>
      <c r="D2235" s="12" t="s">
        <v>734</v>
      </c>
      <c r="E2235" s="12" t="s">
        <v>2978</v>
      </c>
      <c r="F2235" s="12" t="s">
        <v>832</v>
      </c>
      <c r="G2235" s="12" t="s">
        <v>832</v>
      </c>
      <c r="H2235" s="12" t="b">
        <v>0</v>
      </c>
      <c r="I2235" s="12" t="b">
        <v>0</v>
      </c>
      <c r="J2235" s="12" t="b">
        <v>0</v>
      </c>
      <c r="K2235" s="12" t="b">
        <v>0</v>
      </c>
      <c r="L2235" s="12">
        <v>623.15</v>
      </c>
      <c r="M2235" s="12">
        <v>288.65285985582699</v>
      </c>
      <c r="N2235" s="12">
        <v>4277.6389093380303</v>
      </c>
      <c r="O2235" s="12">
        <v>1607.875625516594</v>
      </c>
      <c r="P2235" s="12">
        <v>0.5</v>
      </c>
      <c r="Q2235" s="12">
        <v>0.82907070184876519</v>
      </c>
      <c r="R2235" s="12">
        <v>0.92232095250944035</v>
      </c>
      <c r="S2235" s="12">
        <v>0.91347390622668123</v>
      </c>
      <c r="T2235" s="12">
        <v>0.65716695516018642</v>
      </c>
      <c r="U2235" s="12">
        <v>0.46909920331225258</v>
      </c>
      <c r="V2235" s="12">
        <v>288.65285985582699</v>
      </c>
      <c r="W2235" s="12"/>
      <c r="X2235" s="12"/>
      <c r="Y2235" s="12">
        <v>2669.7632838214358</v>
      </c>
      <c r="Z2235" s="12">
        <v>2.660428979364414</v>
      </c>
      <c r="AA2235" s="12"/>
      <c r="AB2235" s="12"/>
    </row>
    <row r="2236" spans="1:28" x14ac:dyDescent="0.3">
      <c r="A2236" s="12" t="s">
        <v>4150</v>
      </c>
      <c r="B2236" s="12" t="s">
        <v>170</v>
      </c>
      <c r="C2236" s="12" t="s">
        <v>464</v>
      </c>
      <c r="D2236" s="12" t="s">
        <v>734</v>
      </c>
      <c r="E2236" s="12" t="s">
        <v>2978</v>
      </c>
      <c r="F2236" s="12" t="s">
        <v>32</v>
      </c>
      <c r="G2236" s="12" t="s">
        <v>32</v>
      </c>
      <c r="H2236" s="12" t="b">
        <v>1</v>
      </c>
      <c r="I2236" s="12" t="b">
        <v>0</v>
      </c>
      <c r="J2236" s="12" t="b">
        <v>1</v>
      </c>
      <c r="K2236" s="12" t="b">
        <v>0</v>
      </c>
      <c r="L2236" s="12">
        <v>623.15</v>
      </c>
      <c r="M2236" s="12">
        <v>278.76757945947281</v>
      </c>
      <c r="N2236" s="12">
        <v>2523.4186201739399</v>
      </c>
      <c r="O2236" s="12">
        <v>1318.3171169146381</v>
      </c>
      <c r="P2236" s="12">
        <v>0.5</v>
      </c>
      <c r="Q2236" s="12">
        <v>0.60789640047773674</v>
      </c>
      <c r="R2236" s="12">
        <v>0.77501304052668729</v>
      </c>
      <c r="S2236" s="12">
        <v>0.55607680764275513</v>
      </c>
      <c r="T2236" s="12">
        <v>0.46268571927546959</v>
      </c>
      <c r="U2236" s="12">
        <v>0.89008368985255215</v>
      </c>
      <c r="V2236" s="12">
        <v>278.76757945947281</v>
      </c>
      <c r="W2236" s="12">
        <v>3.11068924757264</v>
      </c>
      <c r="X2236" s="12">
        <v>44.441731951444041</v>
      </c>
      <c r="Y2236" s="12">
        <v>1205.101503259302</v>
      </c>
      <c r="Z2236" s="12">
        <v>1.914121107734456</v>
      </c>
      <c r="AA2236" s="12"/>
      <c r="AB2236" s="12"/>
    </row>
    <row r="2237" spans="1:28" x14ac:dyDescent="0.3">
      <c r="A2237" s="12" t="s">
        <v>4151</v>
      </c>
      <c r="B2237" s="12" t="s">
        <v>170</v>
      </c>
      <c r="C2237" s="12" t="s">
        <v>464</v>
      </c>
      <c r="D2237" s="12" t="s">
        <v>734</v>
      </c>
      <c r="E2237" s="12" t="s">
        <v>2978</v>
      </c>
      <c r="F2237" s="12" t="s">
        <v>32</v>
      </c>
      <c r="G2237" s="12" t="s">
        <v>32</v>
      </c>
      <c r="H2237" s="12" t="b">
        <v>1</v>
      </c>
      <c r="I2237" s="12" t="b">
        <v>0</v>
      </c>
      <c r="J2237" s="12" t="b">
        <v>1</v>
      </c>
      <c r="K2237" s="12" t="b">
        <v>0</v>
      </c>
      <c r="L2237" s="12">
        <v>623.15</v>
      </c>
      <c r="M2237" s="12">
        <v>294.08670954170702</v>
      </c>
      <c r="N2237" s="12">
        <v>2932.4110364673661</v>
      </c>
      <c r="O2237" s="12">
        <v>1174.954452581969</v>
      </c>
      <c r="P2237" s="12">
        <v>0.5</v>
      </c>
      <c r="Q2237" s="12">
        <v>0.84380275085333589</v>
      </c>
      <c r="R2237" s="12">
        <v>0.43382751513398232</v>
      </c>
      <c r="S2237" s="12">
        <v>0.49739668000726189</v>
      </c>
      <c r="T2237" s="12">
        <v>0.43432523364138781</v>
      </c>
      <c r="U2237" s="12">
        <v>0.87216102260392103</v>
      </c>
      <c r="V2237" s="12">
        <v>294.08670954170702</v>
      </c>
      <c r="W2237" s="12">
        <v>6.0191620632178902</v>
      </c>
      <c r="X2237" s="12">
        <v>74.521274193023743</v>
      </c>
      <c r="Y2237" s="12">
        <v>1757.456583885396</v>
      </c>
      <c r="Z2237" s="12">
        <v>2.4957657124694279</v>
      </c>
      <c r="AA2237" s="12"/>
      <c r="AB2237" s="12"/>
    </row>
    <row r="2238" spans="1:28" x14ac:dyDescent="0.3">
      <c r="A2238" s="12" t="s">
        <v>4152</v>
      </c>
      <c r="B2238" s="12" t="s">
        <v>170</v>
      </c>
      <c r="C2238" s="12" t="s">
        <v>464</v>
      </c>
      <c r="D2238" s="12" t="s">
        <v>734</v>
      </c>
      <c r="E2238" s="12" t="s">
        <v>2978</v>
      </c>
      <c r="F2238" s="12" t="s">
        <v>1862</v>
      </c>
      <c r="G2238" s="12" t="s">
        <v>1862</v>
      </c>
      <c r="H2238" s="12" t="b">
        <v>1</v>
      </c>
      <c r="I2238" s="12" t="b">
        <v>0</v>
      </c>
      <c r="J2238" s="12" t="b">
        <v>1</v>
      </c>
      <c r="K2238" s="12" t="b">
        <v>0</v>
      </c>
      <c r="L2238" s="12">
        <v>623.15</v>
      </c>
      <c r="M2238" s="12">
        <v>295.1065231135662</v>
      </c>
      <c r="N2238" s="12">
        <v>3541.3895908071399</v>
      </c>
      <c r="O2238" s="12">
        <v>1708.0071453584869</v>
      </c>
      <c r="P2238" s="12">
        <v>0.5</v>
      </c>
      <c r="Q2238" s="12">
        <v>0.85593717147107684</v>
      </c>
      <c r="R2238" s="12">
        <v>0.44627916368106879</v>
      </c>
      <c r="S2238" s="12">
        <v>0.68697622935971414</v>
      </c>
      <c r="T2238" s="12">
        <v>0.92238509643555999</v>
      </c>
      <c r="U2238" s="12">
        <v>0.50895215231095992</v>
      </c>
      <c r="V2238" s="12">
        <v>295.1065231135662</v>
      </c>
      <c r="W2238" s="12">
        <v>-0.11675278449752</v>
      </c>
      <c r="X2238" s="12">
        <v>-1.2678738077971159</v>
      </c>
      <c r="Y2238" s="12">
        <v>1833.3824454486539</v>
      </c>
      <c r="Z2238" s="12">
        <v>2.0734044353566521</v>
      </c>
      <c r="AA2238" s="12" t="s">
        <v>2513</v>
      </c>
      <c r="AB2238" s="12"/>
    </row>
    <row r="2239" spans="1:28" x14ac:dyDescent="0.3">
      <c r="A2239" s="12" t="s">
        <v>4153</v>
      </c>
      <c r="B2239" s="12" t="s">
        <v>170</v>
      </c>
      <c r="C2239" s="12" t="s">
        <v>464</v>
      </c>
      <c r="D2239" s="12" t="s">
        <v>734</v>
      </c>
      <c r="E2239" s="12" t="s">
        <v>2978</v>
      </c>
      <c r="F2239" s="12" t="s">
        <v>1862</v>
      </c>
      <c r="G2239" s="12" t="s">
        <v>1862</v>
      </c>
      <c r="H2239" s="12" t="b">
        <v>1</v>
      </c>
      <c r="I2239" s="12" t="b">
        <v>0</v>
      </c>
      <c r="J2239" s="12" t="b">
        <v>1</v>
      </c>
      <c r="K2239" s="12" t="b">
        <v>0</v>
      </c>
      <c r="L2239" s="12">
        <v>623.15</v>
      </c>
      <c r="M2239" s="12">
        <v>289.44549135586141</v>
      </c>
      <c r="N2239" s="12">
        <v>2693.8799259506059</v>
      </c>
      <c r="O2239" s="12">
        <v>1080.9642673817709</v>
      </c>
      <c r="P2239" s="12">
        <v>0.5</v>
      </c>
      <c r="Q2239" s="12">
        <v>0.54355899488992332</v>
      </c>
      <c r="R2239" s="12">
        <v>0.51054227724786061</v>
      </c>
      <c r="S2239" s="12">
        <v>0.64733404180845233</v>
      </c>
      <c r="T2239" s="12">
        <v>0.87184940850812231</v>
      </c>
      <c r="U2239" s="12">
        <v>0.51443196581497375</v>
      </c>
      <c r="V2239" s="12">
        <v>289.44549135586141</v>
      </c>
      <c r="W2239" s="12">
        <v>-3.7693685399960999</v>
      </c>
      <c r="X2239" s="12">
        <v>-39.632674340038882</v>
      </c>
      <c r="Y2239" s="12">
        <v>1612.9156585688349</v>
      </c>
      <c r="Z2239" s="12">
        <v>2.4921082104550192</v>
      </c>
      <c r="AA2239" s="12" t="s">
        <v>2513</v>
      </c>
      <c r="AB2239" s="12"/>
    </row>
    <row r="2240" spans="1:28" x14ac:dyDescent="0.3">
      <c r="A2240" s="12" t="s">
        <v>4154</v>
      </c>
      <c r="B2240" s="12" t="s">
        <v>170</v>
      </c>
      <c r="C2240" s="12" t="s">
        <v>464</v>
      </c>
      <c r="D2240" s="12" t="s">
        <v>734</v>
      </c>
      <c r="E2240" s="12" t="s">
        <v>2978</v>
      </c>
      <c r="F2240" s="12" t="s">
        <v>832</v>
      </c>
      <c r="G2240" s="12" t="s">
        <v>832</v>
      </c>
      <c r="H2240" s="12" t="b">
        <v>0</v>
      </c>
      <c r="I2240" s="12" t="b">
        <v>0</v>
      </c>
      <c r="J2240" s="12" t="b">
        <v>0</v>
      </c>
      <c r="K2240" s="12" t="b">
        <v>0</v>
      </c>
      <c r="L2240" s="12">
        <v>623.15</v>
      </c>
      <c r="M2240" s="12">
        <v>284.31312281000658</v>
      </c>
      <c r="N2240" s="12">
        <v>3266.690846925424</v>
      </c>
      <c r="O2240" s="12">
        <v>1873.2646297852079</v>
      </c>
      <c r="P2240" s="12">
        <v>0.5</v>
      </c>
      <c r="Q2240" s="12">
        <v>0.78034065923051887</v>
      </c>
      <c r="R2240" s="12">
        <v>0.76286785211905284</v>
      </c>
      <c r="S2240" s="12">
        <v>0.72750472563423629</v>
      </c>
      <c r="T2240" s="12">
        <v>0.62723760905690473</v>
      </c>
      <c r="U2240" s="12">
        <v>0.40126619294694488</v>
      </c>
      <c r="V2240" s="12">
        <v>284.31312281000658</v>
      </c>
      <c r="W2240" s="12"/>
      <c r="X2240" s="12"/>
      <c r="Y2240" s="12">
        <v>1393.4262171402161</v>
      </c>
      <c r="Z2240" s="12">
        <v>1.74384910438414</v>
      </c>
      <c r="AA2240" s="12"/>
      <c r="AB2240" s="12"/>
    </row>
    <row r="2241" spans="1:28" x14ac:dyDescent="0.3">
      <c r="A2241" s="12" t="s">
        <v>4155</v>
      </c>
      <c r="B2241" s="12" t="s">
        <v>170</v>
      </c>
      <c r="C2241" s="12" t="s">
        <v>464</v>
      </c>
      <c r="D2241" s="12" t="s">
        <v>734</v>
      </c>
      <c r="E2241" s="12" t="s">
        <v>2978</v>
      </c>
      <c r="F2241" s="12" t="s">
        <v>832</v>
      </c>
      <c r="G2241" s="12" t="s">
        <v>832</v>
      </c>
      <c r="H2241" s="12" t="b">
        <v>0</v>
      </c>
      <c r="I2241" s="12" t="b">
        <v>0</v>
      </c>
      <c r="J2241" s="12" t="b">
        <v>0</v>
      </c>
      <c r="K2241" s="12" t="b">
        <v>0</v>
      </c>
      <c r="L2241" s="12">
        <v>623.15</v>
      </c>
      <c r="M2241" s="12">
        <v>289.79823775523192</v>
      </c>
      <c r="N2241" s="12">
        <v>4349.5613789632089</v>
      </c>
      <c r="O2241" s="12">
        <v>511.99763645994261</v>
      </c>
      <c r="P2241" s="12">
        <v>0.5</v>
      </c>
      <c r="Q2241" s="12">
        <v>0.4414372700523283</v>
      </c>
      <c r="R2241" s="12">
        <v>0.4058026869960179</v>
      </c>
      <c r="S2241" s="12">
        <v>0.84174167461940108</v>
      </c>
      <c r="T2241" s="12">
        <v>0.69144850904556443</v>
      </c>
      <c r="U2241" s="12">
        <v>0.54486031092095255</v>
      </c>
      <c r="V2241" s="12">
        <v>289.79823775523192</v>
      </c>
      <c r="W2241" s="12"/>
      <c r="X2241" s="12"/>
      <c r="Y2241" s="12">
        <v>3837.563742503266</v>
      </c>
      <c r="Z2241" s="12">
        <v>8.4952762849394681</v>
      </c>
      <c r="AA2241" s="12"/>
      <c r="AB2241" s="12"/>
    </row>
    <row r="2242" spans="1:28" x14ac:dyDescent="0.3">
      <c r="A2242" s="12" t="s">
        <v>4156</v>
      </c>
      <c r="B2242" s="12" t="s">
        <v>170</v>
      </c>
      <c r="C2242" s="12" t="s">
        <v>464</v>
      </c>
      <c r="D2242" s="12" t="s">
        <v>734</v>
      </c>
      <c r="E2242" s="12" t="s">
        <v>2978</v>
      </c>
      <c r="F2242" s="12" t="s">
        <v>1861</v>
      </c>
      <c r="G2242" s="12" t="s">
        <v>1861</v>
      </c>
      <c r="H2242" s="12" t="b">
        <v>1</v>
      </c>
      <c r="I2242" s="12" t="b">
        <v>0</v>
      </c>
      <c r="J2242" s="12" t="b">
        <v>1</v>
      </c>
      <c r="K2242" s="12" t="b">
        <v>0</v>
      </c>
      <c r="L2242" s="12">
        <v>623.15</v>
      </c>
      <c r="M2242" s="12">
        <v>285.25150486793927</v>
      </c>
      <c r="N2242" s="12">
        <v>2956.5012670959941</v>
      </c>
      <c r="O2242" s="12">
        <v>990.12072324071858</v>
      </c>
      <c r="P2242" s="12">
        <v>0.5</v>
      </c>
      <c r="Q2242" s="12">
        <v>0.79714522090690076</v>
      </c>
      <c r="R2242" s="12">
        <v>0.63909705433393715</v>
      </c>
      <c r="S2242" s="12">
        <v>0.41374176583946731</v>
      </c>
      <c r="T2242" s="12">
        <v>0.85024365100854871</v>
      </c>
      <c r="U2242" s="12">
        <v>0.7604874447946488</v>
      </c>
      <c r="V2242" s="12">
        <v>285.25150486793927</v>
      </c>
      <c r="W2242" s="12">
        <v>7.7406920606892902</v>
      </c>
      <c r="X2242" s="12">
        <v>74.64030168580021</v>
      </c>
      <c r="Y2242" s="12">
        <v>1966.3805438552749</v>
      </c>
      <c r="Z2242" s="12">
        <v>2.986000795356758</v>
      </c>
      <c r="AA2242" s="12" t="s">
        <v>1268</v>
      </c>
      <c r="AB2242" s="12"/>
    </row>
    <row r="2243" spans="1:28" x14ac:dyDescent="0.3">
      <c r="A2243" s="12" t="s">
        <v>4157</v>
      </c>
      <c r="B2243" s="12" t="s">
        <v>170</v>
      </c>
      <c r="C2243" s="12" t="s">
        <v>464</v>
      </c>
      <c r="D2243" s="12" t="s">
        <v>734</v>
      </c>
      <c r="E2243" s="12" t="s">
        <v>2978</v>
      </c>
      <c r="F2243" s="12" t="s">
        <v>832</v>
      </c>
      <c r="G2243" s="12" t="s">
        <v>832</v>
      </c>
      <c r="H2243" s="12" t="b">
        <v>0</v>
      </c>
      <c r="I2243" s="12" t="b">
        <v>0</v>
      </c>
      <c r="J2243" s="12" t="b">
        <v>0</v>
      </c>
      <c r="K2243" s="12" t="b">
        <v>0</v>
      </c>
      <c r="L2243" s="12">
        <v>623.15</v>
      </c>
      <c r="M2243" s="12">
        <v>279.87814121792229</v>
      </c>
      <c r="N2243" s="12">
        <v>4997.4735065549557</v>
      </c>
      <c r="O2243" s="12">
        <v>490.81330897623332</v>
      </c>
      <c r="P2243" s="12">
        <v>0.5</v>
      </c>
      <c r="Q2243" s="12">
        <v>0.64386633094698564</v>
      </c>
      <c r="R2243" s="12">
        <v>0.8330489025294745</v>
      </c>
      <c r="S2243" s="12">
        <v>0.68097138895807152</v>
      </c>
      <c r="T2243" s="12">
        <v>0.8203612588508935</v>
      </c>
      <c r="U2243" s="12">
        <v>0.41621409304158191</v>
      </c>
      <c r="V2243" s="12">
        <v>279.87814121792229</v>
      </c>
      <c r="W2243" s="12"/>
      <c r="X2243" s="12"/>
      <c r="Y2243" s="12">
        <v>4506.6601975787225</v>
      </c>
      <c r="Z2243" s="12">
        <v>10.1820252531028</v>
      </c>
      <c r="AA2243" s="12"/>
      <c r="AB2243" s="12"/>
    </row>
    <row r="2244" spans="1:28" x14ac:dyDescent="0.3">
      <c r="A2244" s="12" t="s">
        <v>4158</v>
      </c>
      <c r="B2244" s="12" t="s">
        <v>170</v>
      </c>
      <c r="C2244" s="12" t="s">
        <v>464</v>
      </c>
      <c r="D2244" s="12" t="s">
        <v>734</v>
      </c>
      <c r="E2244" s="12" t="s">
        <v>2978</v>
      </c>
      <c r="F2244" s="12" t="s">
        <v>1862</v>
      </c>
      <c r="G2244" s="12" t="s">
        <v>1862</v>
      </c>
      <c r="H2244" s="12" t="b">
        <v>1</v>
      </c>
      <c r="I2244" s="12" t="b">
        <v>0</v>
      </c>
      <c r="J2244" s="12" t="b">
        <v>1</v>
      </c>
      <c r="K2244" s="12" t="b">
        <v>0</v>
      </c>
      <c r="L2244" s="12">
        <v>623.15</v>
      </c>
      <c r="M2244" s="12">
        <v>293.04828594339602</v>
      </c>
      <c r="N2244" s="12">
        <v>2402.8867477266799</v>
      </c>
      <c r="O2244" s="12">
        <v>729.9780860451657</v>
      </c>
      <c r="P2244" s="12">
        <v>0.5</v>
      </c>
      <c r="Q2244" s="12">
        <v>0.4584706114212786</v>
      </c>
      <c r="R2244" s="12">
        <v>0.49792515876494942</v>
      </c>
      <c r="S2244" s="12">
        <v>0.45653694057365102</v>
      </c>
      <c r="T2244" s="12">
        <v>0.67079844749834128</v>
      </c>
      <c r="U2244" s="12">
        <v>0.65013807178923599</v>
      </c>
      <c r="V2244" s="12">
        <v>293.04828594339602</v>
      </c>
      <c r="W2244" s="12">
        <v>-0.29851878299881002</v>
      </c>
      <c r="X2244" s="12">
        <v>-2.8946736775905251</v>
      </c>
      <c r="Y2244" s="12">
        <v>1672.9086616815141</v>
      </c>
      <c r="Z2244" s="12">
        <v>3.2917244964775652</v>
      </c>
      <c r="AA2244" s="12" t="s">
        <v>2513</v>
      </c>
      <c r="AB2244" s="12"/>
    </row>
    <row r="2245" spans="1:28" x14ac:dyDescent="0.3">
      <c r="A2245" s="12" t="s">
        <v>4159</v>
      </c>
      <c r="B2245" s="12" t="s">
        <v>170</v>
      </c>
      <c r="C2245" s="12" t="s">
        <v>464</v>
      </c>
      <c r="D2245" s="12" t="s">
        <v>734</v>
      </c>
      <c r="E2245" s="12" t="s">
        <v>2978</v>
      </c>
      <c r="F2245" s="12" t="s">
        <v>832</v>
      </c>
      <c r="G2245" s="12" t="s">
        <v>832</v>
      </c>
      <c r="H2245" s="12" t="b">
        <v>0</v>
      </c>
      <c r="I2245" s="12" t="b">
        <v>0</v>
      </c>
      <c r="J2245" s="12" t="b">
        <v>0</v>
      </c>
      <c r="K2245" s="12" t="b">
        <v>0</v>
      </c>
      <c r="L2245" s="12">
        <v>623.15</v>
      </c>
      <c r="M2245" s="12">
        <v>293.62651307787638</v>
      </c>
      <c r="N2245" s="12">
        <v>4048.8416849973169</v>
      </c>
      <c r="O2245" s="12">
        <v>1110.4172058461811</v>
      </c>
      <c r="P2245" s="12">
        <v>0.5</v>
      </c>
      <c r="Q2245" s="12">
        <v>0.42478215231970562</v>
      </c>
      <c r="R2245" s="12">
        <v>0.54939728453414094</v>
      </c>
      <c r="S2245" s="12">
        <v>0.81106586309328987</v>
      </c>
      <c r="T2245" s="12">
        <v>0.55956153882921611</v>
      </c>
      <c r="U2245" s="12">
        <v>0.71703306817117363</v>
      </c>
      <c r="V2245" s="12">
        <v>293.62651307787638</v>
      </c>
      <c r="W2245" s="12"/>
      <c r="X2245" s="12"/>
      <c r="Y2245" s="12">
        <v>2938.424479151136</v>
      </c>
      <c r="Z2245" s="12">
        <v>3.6462346437724209</v>
      </c>
      <c r="AA2245" s="12"/>
      <c r="AB2245" s="12"/>
    </row>
    <row r="2246" spans="1:28" x14ac:dyDescent="0.3">
      <c r="A2246" s="12" t="s">
        <v>4160</v>
      </c>
      <c r="B2246" s="12" t="s">
        <v>170</v>
      </c>
      <c r="C2246" s="12" t="s">
        <v>464</v>
      </c>
      <c r="D2246" s="12" t="s">
        <v>734</v>
      </c>
      <c r="E2246" s="12" t="s">
        <v>2978</v>
      </c>
      <c r="F2246" s="12" t="s">
        <v>1861</v>
      </c>
      <c r="G2246" s="12" t="s">
        <v>1861</v>
      </c>
      <c r="H2246" s="12" t="b">
        <v>1</v>
      </c>
      <c r="I2246" s="12" t="b">
        <v>0</v>
      </c>
      <c r="J2246" s="12" t="b">
        <v>1</v>
      </c>
      <c r="K2246" s="12" t="b">
        <v>0</v>
      </c>
      <c r="L2246" s="12">
        <v>623.15</v>
      </c>
      <c r="M2246" s="12">
        <v>297.15616487978832</v>
      </c>
      <c r="N2246" s="12">
        <v>3015.7633963010762</v>
      </c>
      <c r="O2246" s="12">
        <v>268.3560550221556</v>
      </c>
      <c r="P2246" s="12">
        <v>0.5</v>
      </c>
      <c r="Q2246" s="12">
        <v>0.62493760909730189</v>
      </c>
      <c r="R2246" s="12">
        <v>0.60528903480297758</v>
      </c>
      <c r="S2246" s="12">
        <v>0.45365028676034069</v>
      </c>
      <c r="T2246" s="12">
        <v>0.89023638009535788</v>
      </c>
      <c r="U2246" s="12">
        <v>0.93496536389497042</v>
      </c>
      <c r="V2246" s="12">
        <v>297.15616487978832</v>
      </c>
      <c r="W2246" s="12">
        <v>11.035299715134411</v>
      </c>
      <c r="X2246" s="12">
        <v>118.5471055029785</v>
      </c>
      <c r="Y2246" s="12">
        <v>2747.4073412789212</v>
      </c>
      <c r="Z2246" s="12">
        <v>11.237918205542609</v>
      </c>
      <c r="AA2246" s="12" t="s">
        <v>1268</v>
      </c>
      <c r="AB2246" s="12"/>
    </row>
    <row r="2247" spans="1:28" x14ac:dyDescent="0.3">
      <c r="A2247" s="12" t="s">
        <v>4161</v>
      </c>
      <c r="B2247" s="12" t="s">
        <v>170</v>
      </c>
      <c r="C2247" s="12" t="s">
        <v>464</v>
      </c>
      <c r="D2247" s="12" t="s">
        <v>734</v>
      </c>
      <c r="E2247" s="12" t="s">
        <v>2978</v>
      </c>
      <c r="F2247" s="12" t="s">
        <v>1861</v>
      </c>
      <c r="G2247" s="12" t="s">
        <v>1861</v>
      </c>
      <c r="H2247" s="12" t="b">
        <v>1</v>
      </c>
      <c r="I2247" s="12" t="b">
        <v>0</v>
      </c>
      <c r="J2247" s="12" t="b">
        <v>1</v>
      </c>
      <c r="K2247" s="12" t="b">
        <v>0</v>
      </c>
      <c r="L2247" s="12">
        <v>623.15</v>
      </c>
      <c r="M2247" s="12">
        <v>303.00840196092082</v>
      </c>
      <c r="N2247" s="12">
        <v>4689.4621166219722</v>
      </c>
      <c r="O2247" s="12">
        <v>1898.977479582325</v>
      </c>
      <c r="P2247" s="12">
        <v>0.5</v>
      </c>
      <c r="Q2247" s="12">
        <v>0.68833074569347086</v>
      </c>
      <c r="R2247" s="12">
        <v>0.52462922824767244</v>
      </c>
      <c r="S2247" s="12">
        <v>0.5240318153353074</v>
      </c>
      <c r="T2247" s="12">
        <v>0.75348671254690402</v>
      </c>
      <c r="U2247" s="12">
        <v>0.54153200788578004</v>
      </c>
      <c r="V2247" s="12">
        <v>303.00840196092082</v>
      </c>
      <c r="W2247" s="12">
        <v>0.98451864515880005</v>
      </c>
      <c r="X2247" s="12">
        <v>9.2221945786000248</v>
      </c>
      <c r="Y2247" s="12">
        <v>2790.4846370396472</v>
      </c>
      <c r="Z2247" s="12">
        <v>2.4694669457867442</v>
      </c>
      <c r="AA2247" s="12" t="s">
        <v>1268</v>
      </c>
      <c r="AB2247" s="12"/>
    </row>
    <row r="2248" spans="1:28" x14ac:dyDescent="0.3">
      <c r="A2248" s="12" t="s">
        <v>4162</v>
      </c>
      <c r="B2248" s="12" t="s">
        <v>170</v>
      </c>
      <c r="C2248" s="12" t="s">
        <v>464</v>
      </c>
      <c r="D2248" s="12" t="s">
        <v>734</v>
      </c>
      <c r="E2248" s="12" t="s">
        <v>2978</v>
      </c>
      <c r="F2248" s="12" t="s">
        <v>832</v>
      </c>
      <c r="G2248" s="12" t="s">
        <v>832</v>
      </c>
      <c r="H2248" s="12" t="b">
        <v>0</v>
      </c>
      <c r="I2248" s="12" t="b">
        <v>0</v>
      </c>
      <c r="J2248" s="12" t="b">
        <v>0</v>
      </c>
      <c r="K2248" s="12" t="b">
        <v>0</v>
      </c>
      <c r="L2248" s="12">
        <v>623.15</v>
      </c>
      <c r="M2248" s="12">
        <v>289.69631099504772</v>
      </c>
      <c r="N2248" s="12">
        <v>2801.4623156303192</v>
      </c>
      <c r="O2248" s="12">
        <v>1137.7155945229199</v>
      </c>
      <c r="P2248" s="12">
        <v>0.5</v>
      </c>
      <c r="Q2248" s="12">
        <v>0.65732093751884113</v>
      </c>
      <c r="R2248" s="12">
        <v>0.69474096664030349</v>
      </c>
      <c r="S2248" s="12">
        <v>0.93129380281004837</v>
      </c>
      <c r="T2248" s="12">
        <v>0.85384817339640939</v>
      </c>
      <c r="U2248" s="12">
        <v>0.66328344467117617</v>
      </c>
      <c r="V2248" s="12">
        <v>289.69631099504772</v>
      </c>
      <c r="W2248" s="12"/>
      <c r="X2248" s="12"/>
      <c r="Y2248" s="12">
        <v>1663.7467211073979</v>
      </c>
      <c r="Z2248" s="12">
        <v>2.46235731418014</v>
      </c>
      <c r="AA2248" s="12"/>
      <c r="AB2248" s="12"/>
    </row>
    <row r="2249" spans="1:28" x14ac:dyDescent="0.3">
      <c r="A2249" s="12" t="s">
        <v>4163</v>
      </c>
      <c r="B2249" s="12" t="s">
        <v>170</v>
      </c>
      <c r="C2249" s="12" t="s">
        <v>464</v>
      </c>
      <c r="D2249" s="12" t="s">
        <v>734</v>
      </c>
      <c r="E2249" s="12" t="s">
        <v>2978</v>
      </c>
      <c r="F2249" s="12" t="s">
        <v>32</v>
      </c>
      <c r="G2249" s="12" t="s">
        <v>32</v>
      </c>
      <c r="H2249" s="12" t="b">
        <v>1</v>
      </c>
      <c r="I2249" s="12" t="b">
        <v>0</v>
      </c>
      <c r="J2249" s="12" t="b">
        <v>1</v>
      </c>
      <c r="K2249" s="12" t="b">
        <v>0</v>
      </c>
      <c r="L2249" s="12">
        <v>623.15</v>
      </c>
      <c r="M2249" s="12">
        <v>284.0673291406394</v>
      </c>
      <c r="N2249" s="12">
        <v>4163.6042610773366</v>
      </c>
      <c r="O2249" s="12">
        <v>1723.9220227702169</v>
      </c>
      <c r="P2249" s="12">
        <v>0.5</v>
      </c>
      <c r="Q2249" s="12">
        <v>0.89580428083994901</v>
      </c>
      <c r="R2249" s="12">
        <v>0.47202089248411438</v>
      </c>
      <c r="S2249" s="12">
        <v>0.72361562532782853</v>
      </c>
      <c r="T2249" s="12">
        <v>0.67827785577528155</v>
      </c>
      <c r="U2249" s="12">
        <v>0.92942577787133696</v>
      </c>
      <c r="V2249" s="12">
        <v>284.0673291406394</v>
      </c>
      <c r="W2249" s="12">
        <v>6.1820734728843014</v>
      </c>
      <c r="X2249" s="12">
        <v>114.6195503393071</v>
      </c>
      <c r="Y2249" s="12">
        <v>2439.682238307119</v>
      </c>
      <c r="Z2249" s="12">
        <v>2.4151929182891498</v>
      </c>
      <c r="AA2249" s="12"/>
      <c r="AB2249" s="12"/>
    </row>
    <row r="2250" spans="1:28" x14ac:dyDescent="0.3">
      <c r="A2250" s="12" t="s">
        <v>4164</v>
      </c>
      <c r="B2250" s="12" t="s">
        <v>170</v>
      </c>
      <c r="C2250" s="12" t="s">
        <v>464</v>
      </c>
      <c r="D2250" s="12" t="s">
        <v>734</v>
      </c>
      <c r="E2250" s="12" t="s">
        <v>2978</v>
      </c>
      <c r="F2250" s="12" t="s">
        <v>832</v>
      </c>
      <c r="G2250" s="12" t="s">
        <v>832</v>
      </c>
      <c r="H2250" s="12" t="b">
        <v>0</v>
      </c>
      <c r="I2250" s="12" t="b">
        <v>0</v>
      </c>
      <c r="J2250" s="12" t="b">
        <v>0</v>
      </c>
      <c r="K2250" s="12" t="b">
        <v>0</v>
      </c>
      <c r="L2250" s="12">
        <v>623.15</v>
      </c>
      <c r="M2250" s="12">
        <v>287.78828457610888</v>
      </c>
      <c r="N2250" s="12">
        <v>2858.0552235147629</v>
      </c>
      <c r="O2250" s="12">
        <v>602.06033520868755</v>
      </c>
      <c r="P2250" s="12">
        <v>0.5</v>
      </c>
      <c r="Q2250" s="12">
        <v>0.92652390107200655</v>
      </c>
      <c r="R2250" s="12">
        <v>0.88011062557216513</v>
      </c>
      <c r="S2250" s="12">
        <v>0.88455464002531181</v>
      </c>
      <c r="T2250" s="12">
        <v>0.4317371279321191</v>
      </c>
      <c r="U2250" s="12">
        <v>0.90007452755216932</v>
      </c>
      <c r="V2250" s="12">
        <v>287.78828457610888</v>
      </c>
      <c r="W2250" s="12"/>
      <c r="X2250" s="12"/>
      <c r="Y2250" s="12">
        <v>2255.9948883060761</v>
      </c>
      <c r="Z2250" s="12">
        <v>4.7471242604349566</v>
      </c>
      <c r="AA2250" s="12"/>
      <c r="AB2250" s="12"/>
    </row>
    <row r="2251" spans="1:28" x14ac:dyDescent="0.3">
      <c r="A2251" s="12" t="s">
        <v>4165</v>
      </c>
      <c r="B2251" s="12" t="s">
        <v>170</v>
      </c>
      <c r="C2251" s="12" t="s">
        <v>464</v>
      </c>
      <c r="D2251" s="12" t="s">
        <v>734</v>
      </c>
      <c r="E2251" s="12" t="s">
        <v>2978</v>
      </c>
      <c r="F2251" s="12" t="s">
        <v>832</v>
      </c>
      <c r="G2251" s="12" t="s">
        <v>832</v>
      </c>
      <c r="H2251" s="12" t="b">
        <v>0</v>
      </c>
      <c r="I2251" s="12" t="b">
        <v>0</v>
      </c>
      <c r="J2251" s="12" t="b">
        <v>0</v>
      </c>
      <c r="K2251" s="12" t="b">
        <v>0</v>
      </c>
      <c r="L2251" s="12">
        <v>623.15</v>
      </c>
      <c r="M2251" s="12">
        <v>284.88613202778549</v>
      </c>
      <c r="N2251" s="12">
        <v>3138.1741803285622</v>
      </c>
      <c r="O2251" s="12">
        <v>705.59593013491599</v>
      </c>
      <c r="P2251" s="12">
        <v>0.5</v>
      </c>
      <c r="Q2251" s="12">
        <v>0.53266350848575217</v>
      </c>
      <c r="R2251" s="12">
        <v>0.82413091238208258</v>
      </c>
      <c r="S2251" s="12">
        <v>0.93197888400297357</v>
      </c>
      <c r="T2251" s="12">
        <v>0.46660593014308271</v>
      </c>
      <c r="U2251" s="12">
        <v>0.78983854679727483</v>
      </c>
      <c r="V2251" s="12">
        <v>284.88613202778549</v>
      </c>
      <c r="W2251" s="12"/>
      <c r="X2251" s="12"/>
      <c r="Y2251" s="12">
        <v>2432.578250193646</v>
      </c>
      <c r="Z2251" s="12">
        <v>4.447551419023231</v>
      </c>
      <c r="AA2251" s="12"/>
      <c r="AB2251" s="12"/>
    </row>
    <row r="2252" spans="1:28" x14ac:dyDescent="0.3">
      <c r="A2252" s="12" t="s">
        <v>4166</v>
      </c>
      <c r="B2252" s="12" t="s">
        <v>170</v>
      </c>
      <c r="C2252" s="12" t="s">
        <v>464</v>
      </c>
      <c r="D2252" s="12" t="s">
        <v>734</v>
      </c>
      <c r="E2252" s="12" t="s">
        <v>2978</v>
      </c>
      <c r="F2252" s="12" t="s">
        <v>1861</v>
      </c>
      <c r="G2252" s="12" t="s">
        <v>1861</v>
      </c>
      <c r="H2252" s="12" t="b">
        <v>1</v>
      </c>
      <c r="I2252" s="12" t="b">
        <v>0</v>
      </c>
      <c r="J2252" s="12" t="b">
        <v>1</v>
      </c>
      <c r="K2252" s="12" t="b">
        <v>0</v>
      </c>
      <c r="L2252" s="12">
        <v>623.15</v>
      </c>
      <c r="M2252" s="12">
        <v>303.3580790917477</v>
      </c>
      <c r="N2252" s="12">
        <v>4444.1942595090131</v>
      </c>
      <c r="O2252" s="12">
        <v>929.59995376861116</v>
      </c>
      <c r="P2252" s="12">
        <v>0.5</v>
      </c>
      <c r="Q2252" s="12">
        <v>0.83084632433726391</v>
      </c>
      <c r="R2252" s="12">
        <v>0.73724916156225462</v>
      </c>
      <c r="S2252" s="12">
        <v>0.59999838875543698</v>
      </c>
      <c r="T2252" s="12">
        <v>0.84199148989639538</v>
      </c>
      <c r="U2252" s="12">
        <v>0.49052247740501159</v>
      </c>
      <c r="V2252" s="12">
        <v>303.3580790917477</v>
      </c>
      <c r="W2252" s="12">
        <v>6.2765451166040602</v>
      </c>
      <c r="X2252" s="12">
        <v>60.265690585458401</v>
      </c>
      <c r="Y2252" s="12">
        <v>3514.594305740402</v>
      </c>
      <c r="Z2252" s="12">
        <v>4.7807599833586352</v>
      </c>
      <c r="AA2252" s="12" t="s">
        <v>1268</v>
      </c>
      <c r="AB2252" s="12"/>
    </row>
    <row r="2253" spans="1:28" x14ac:dyDescent="0.3">
      <c r="A2253" s="12" t="s">
        <v>4167</v>
      </c>
      <c r="B2253" s="12" t="s">
        <v>170</v>
      </c>
      <c r="C2253" s="12" t="s">
        <v>464</v>
      </c>
      <c r="D2253" s="12" t="s">
        <v>734</v>
      </c>
      <c r="E2253" s="12" t="s">
        <v>2978</v>
      </c>
      <c r="F2253" s="12" t="s">
        <v>832</v>
      </c>
      <c r="G2253" s="12" t="s">
        <v>832</v>
      </c>
      <c r="H2253" s="12" t="b">
        <v>0</v>
      </c>
      <c r="I2253" s="12" t="b">
        <v>0</v>
      </c>
      <c r="J2253" s="12" t="b">
        <v>0</v>
      </c>
      <c r="K2253" s="12" t="b">
        <v>0</v>
      </c>
      <c r="L2253" s="12">
        <v>623.15</v>
      </c>
      <c r="M2253" s="12">
        <v>279.21748175752617</v>
      </c>
      <c r="N2253" s="12">
        <v>3592.8487942407519</v>
      </c>
      <c r="O2253" s="12">
        <v>887.80968567785874</v>
      </c>
      <c r="P2253" s="12">
        <v>0.5</v>
      </c>
      <c r="Q2253" s="12">
        <v>0.67352225791122033</v>
      </c>
      <c r="R2253" s="12">
        <v>0.62321454657862618</v>
      </c>
      <c r="S2253" s="12">
        <v>0.8597087728680608</v>
      </c>
      <c r="T2253" s="12">
        <v>0.93464075561462157</v>
      </c>
      <c r="U2253" s="12">
        <v>0.83889273184185331</v>
      </c>
      <c r="V2253" s="12">
        <v>279.21748175752617</v>
      </c>
      <c r="W2253" s="12"/>
      <c r="X2253" s="12"/>
      <c r="Y2253" s="12">
        <v>2705.039108562893</v>
      </c>
      <c r="Z2253" s="12">
        <v>4.0468682108345631</v>
      </c>
      <c r="AA2253" s="12"/>
      <c r="AB2253" s="12"/>
    </row>
    <row r="2254" spans="1:28" x14ac:dyDescent="0.3">
      <c r="A2254" s="12" t="s">
        <v>4168</v>
      </c>
      <c r="B2254" s="12" t="s">
        <v>170</v>
      </c>
      <c r="C2254" s="12" t="s">
        <v>464</v>
      </c>
      <c r="D2254" s="12" t="s">
        <v>734</v>
      </c>
      <c r="E2254" s="12" t="s">
        <v>2978</v>
      </c>
      <c r="F2254" s="12" t="s">
        <v>1861</v>
      </c>
      <c r="G2254" s="12" t="s">
        <v>1861</v>
      </c>
      <c r="H2254" s="12" t="b">
        <v>1</v>
      </c>
      <c r="I2254" s="12" t="b">
        <v>0</v>
      </c>
      <c r="J2254" s="12" t="b">
        <v>1</v>
      </c>
      <c r="K2254" s="12" t="b">
        <v>0</v>
      </c>
      <c r="L2254" s="12">
        <v>623.15</v>
      </c>
      <c r="M2254" s="12">
        <v>296.67325674060459</v>
      </c>
      <c r="N2254" s="12">
        <v>2556.312813189159</v>
      </c>
      <c r="O2254" s="12">
        <v>573.59047503824013</v>
      </c>
      <c r="P2254" s="12">
        <v>0.5</v>
      </c>
      <c r="Q2254" s="12">
        <v>0.69431573778553313</v>
      </c>
      <c r="R2254" s="12">
        <v>0.84664252563466835</v>
      </c>
      <c r="S2254" s="12">
        <v>0.81696220664809482</v>
      </c>
      <c r="T2254" s="12">
        <v>0.57236539032211731</v>
      </c>
      <c r="U2254" s="12">
        <v>0.84645570562106331</v>
      </c>
      <c r="V2254" s="12">
        <v>296.67325674060459</v>
      </c>
      <c r="W2254" s="12">
        <v>8.3652313832677496</v>
      </c>
      <c r="X2254" s="12">
        <v>164.69047189120911</v>
      </c>
      <c r="Y2254" s="12">
        <v>1982.7223381509179</v>
      </c>
      <c r="Z2254" s="12">
        <v>4.4566863022241332</v>
      </c>
      <c r="AA2254" s="12" t="s">
        <v>1268</v>
      </c>
      <c r="AB2254" s="12"/>
    </row>
    <row r="2255" spans="1:28" x14ac:dyDescent="0.3">
      <c r="A2255" s="12" t="s">
        <v>4169</v>
      </c>
      <c r="B2255" s="12" t="s">
        <v>170</v>
      </c>
      <c r="C2255" s="12" t="s">
        <v>464</v>
      </c>
      <c r="D2255" s="12" t="s">
        <v>734</v>
      </c>
      <c r="E2255" s="12" t="s">
        <v>2978</v>
      </c>
      <c r="F2255" s="12" t="s">
        <v>32</v>
      </c>
      <c r="G2255" s="12" t="s">
        <v>32</v>
      </c>
      <c r="H2255" s="12" t="b">
        <v>1</v>
      </c>
      <c r="I2255" s="12" t="b">
        <v>0</v>
      </c>
      <c r="J2255" s="12" t="b">
        <v>1</v>
      </c>
      <c r="K2255" s="12" t="b">
        <v>0</v>
      </c>
      <c r="L2255" s="12">
        <v>623.15</v>
      </c>
      <c r="M2255" s="12">
        <v>302.20442142440402</v>
      </c>
      <c r="N2255" s="12">
        <v>3976.4935991862671</v>
      </c>
      <c r="O2255" s="12">
        <v>1810.585321724594</v>
      </c>
      <c r="P2255" s="12">
        <v>0.5</v>
      </c>
      <c r="Q2255" s="12">
        <v>0.59621138239117588</v>
      </c>
      <c r="R2255" s="12">
        <v>0.90324006815772717</v>
      </c>
      <c r="S2255" s="12">
        <v>0.5363949776602055</v>
      </c>
      <c r="T2255" s="12">
        <v>0.60721094796199937</v>
      </c>
      <c r="U2255" s="12">
        <v>0.81280906155082822</v>
      </c>
      <c r="V2255" s="12">
        <v>302.20442142440402</v>
      </c>
      <c r="W2255" s="12">
        <v>4.1276592520986197</v>
      </c>
      <c r="X2255" s="12">
        <v>51.368211833337263</v>
      </c>
      <c r="Y2255" s="12">
        <v>2165.9082774616732</v>
      </c>
      <c r="Z2255" s="12">
        <v>2.1962475623068851</v>
      </c>
      <c r="AA2255" s="12"/>
      <c r="AB2255" s="12"/>
    </row>
    <row r="2256" spans="1:28" x14ac:dyDescent="0.3">
      <c r="A2256" s="12" t="s">
        <v>4170</v>
      </c>
      <c r="B2256" s="12" t="s">
        <v>170</v>
      </c>
      <c r="C2256" s="12" t="s">
        <v>464</v>
      </c>
      <c r="D2256" s="12" t="s">
        <v>734</v>
      </c>
      <c r="E2256" s="12" t="s">
        <v>2978</v>
      </c>
      <c r="F2256" s="12" t="s">
        <v>832</v>
      </c>
      <c r="G2256" s="12" t="s">
        <v>832</v>
      </c>
      <c r="H2256" s="12" t="b">
        <v>0</v>
      </c>
      <c r="I2256" s="12" t="b">
        <v>0</v>
      </c>
      <c r="J2256" s="12" t="b">
        <v>0</v>
      </c>
      <c r="K2256" s="12" t="b">
        <v>0</v>
      </c>
      <c r="L2256" s="12">
        <v>623.15</v>
      </c>
      <c r="M2256" s="12">
        <v>280.20505371094572</v>
      </c>
      <c r="N2256" s="12">
        <v>4597.2100868740736</v>
      </c>
      <c r="O2256" s="12">
        <v>1965.7826174441579</v>
      </c>
      <c r="P2256" s="12">
        <v>0.5</v>
      </c>
      <c r="Q2256" s="12">
        <v>0.44638050980958</v>
      </c>
      <c r="R2256" s="12">
        <v>0.87660141785925449</v>
      </c>
      <c r="S2256" s="12">
        <v>0.91222981352147381</v>
      </c>
      <c r="T2256" s="12">
        <v>0.91762285424932355</v>
      </c>
      <c r="U2256" s="12">
        <v>0.68417907268454115</v>
      </c>
      <c r="V2256" s="12">
        <v>280.20505371094572</v>
      </c>
      <c r="W2256" s="12"/>
      <c r="X2256" s="12"/>
      <c r="Y2256" s="12">
        <v>2631.427469429917</v>
      </c>
      <c r="Z2256" s="12">
        <v>2.338615697421929</v>
      </c>
      <c r="AA2256" s="12"/>
      <c r="AB2256" s="12"/>
    </row>
    <row r="2257" spans="1:28" x14ac:dyDescent="0.3">
      <c r="A2257" s="12" t="s">
        <v>4171</v>
      </c>
      <c r="B2257" s="12" t="s">
        <v>170</v>
      </c>
      <c r="C2257" s="12" t="s">
        <v>464</v>
      </c>
      <c r="D2257" s="12" t="s">
        <v>734</v>
      </c>
      <c r="E2257" s="12" t="s">
        <v>2978</v>
      </c>
      <c r="F2257" s="12" t="s">
        <v>1861</v>
      </c>
      <c r="G2257" s="12" t="s">
        <v>1861</v>
      </c>
      <c r="H2257" s="12" t="b">
        <v>1</v>
      </c>
      <c r="I2257" s="12" t="b">
        <v>0</v>
      </c>
      <c r="J2257" s="12" t="b">
        <v>1</v>
      </c>
      <c r="K2257" s="12" t="b">
        <v>0</v>
      </c>
      <c r="L2257" s="12">
        <v>623.15</v>
      </c>
      <c r="M2257" s="12">
        <v>295.72495691399109</v>
      </c>
      <c r="N2257" s="12">
        <v>2533.5867398280479</v>
      </c>
      <c r="O2257" s="12">
        <v>1555.389057277024</v>
      </c>
      <c r="P2257" s="12">
        <v>0.5</v>
      </c>
      <c r="Q2257" s="12">
        <v>0.53400378607063925</v>
      </c>
      <c r="R2257" s="12">
        <v>0.7803598322806764</v>
      </c>
      <c r="S2257" s="12">
        <v>0.50742477431215827</v>
      </c>
      <c r="T2257" s="12">
        <v>0.60480610054369421</v>
      </c>
      <c r="U2257" s="12">
        <v>0.73823475686738482</v>
      </c>
      <c r="V2257" s="12">
        <v>295.72495691399109</v>
      </c>
      <c r="W2257" s="12">
        <v>2.1639446924740202</v>
      </c>
      <c r="X2257" s="12">
        <v>25.100290675274771</v>
      </c>
      <c r="Y2257" s="12">
        <v>978.19768255102417</v>
      </c>
      <c r="Z2257" s="12">
        <v>1.628908682348279</v>
      </c>
      <c r="AA2257" s="12" t="s">
        <v>1268</v>
      </c>
      <c r="AB2257" s="12"/>
    </row>
    <row r="2258" spans="1:28" x14ac:dyDescent="0.3">
      <c r="A2258" s="12" t="s">
        <v>4172</v>
      </c>
      <c r="B2258" s="12" t="s">
        <v>170</v>
      </c>
      <c r="C2258" s="12" t="s">
        <v>464</v>
      </c>
      <c r="D2258" s="12" t="s">
        <v>734</v>
      </c>
      <c r="E2258" s="12" t="s">
        <v>2978</v>
      </c>
      <c r="F2258" s="12" t="s">
        <v>832</v>
      </c>
      <c r="G2258" s="12" t="s">
        <v>832</v>
      </c>
      <c r="H2258" s="12" t="b">
        <v>0</v>
      </c>
      <c r="I2258" s="12" t="b">
        <v>0</v>
      </c>
      <c r="J2258" s="12" t="b">
        <v>0</v>
      </c>
      <c r="K2258" s="12" t="b">
        <v>0</v>
      </c>
      <c r="L2258" s="12">
        <v>623.15</v>
      </c>
      <c r="M2258" s="12">
        <v>283.11469243085418</v>
      </c>
      <c r="N2258" s="12">
        <v>2717.2409486955312</v>
      </c>
      <c r="O2258" s="12">
        <v>1629.4517469263051</v>
      </c>
      <c r="P2258" s="12">
        <v>0.5</v>
      </c>
      <c r="Q2258" s="12">
        <v>0.7277717549081979</v>
      </c>
      <c r="R2258" s="12">
        <v>0.45188209012530761</v>
      </c>
      <c r="S2258" s="12">
        <v>0.85435976028828708</v>
      </c>
      <c r="T2258" s="12">
        <v>0.88060036991652746</v>
      </c>
      <c r="U2258" s="12">
        <v>0.92100186854423838</v>
      </c>
      <c r="V2258" s="12">
        <v>283.11469243085418</v>
      </c>
      <c r="W2258" s="12"/>
      <c r="X2258" s="12"/>
      <c r="Y2258" s="12">
        <v>1087.789201769225</v>
      </c>
      <c r="Z2258" s="12">
        <v>1.667579880055462</v>
      </c>
      <c r="AA2258" s="12"/>
      <c r="AB2258" s="12"/>
    </row>
    <row r="2259" spans="1:28" x14ac:dyDescent="0.3">
      <c r="A2259" s="12" t="s">
        <v>4173</v>
      </c>
      <c r="B2259" s="12" t="s">
        <v>170</v>
      </c>
      <c r="C2259" s="12" t="s">
        <v>464</v>
      </c>
      <c r="D2259" s="12" t="s">
        <v>734</v>
      </c>
      <c r="E2259" s="12" t="s">
        <v>2978</v>
      </c>
      <c r="F2259" s="12" t="s">
        <v>1861</v>
      </c>
      <c r="G2259" s="12" t="s">
        <v>1861</v>
      </c>
      <c r="H2259" s="12" t="b">
        <v>1</v>
      </c>
      <c r="I2259" s="12" t="b">
        <v>0</v>
      </c>
      <c r="J2259" s="12" t="b">
        <v>1</v>
      </c>
      <c r="K2259" s="12" t="b">
        <v>0</v>
      </c>
      <c r="L2259" s="12">
        <v>623.15</v>
      </c>
      <c r="M2259" s="12">
        <v>294.76060319205072</v>
      </c>
      <c r="N2259" s="12">
        <v>2053.9324959287819</v>
      </c>
      <c r="O2259" s="12">
        <v>1698.2690537172141</v>
      </c>
      <c r="P2259" s="12">
        <v>0.5</v>
      </c>
      <c r="Q2259" s="12">
        <v>0.7152731113984605</v>
      </c>
      <c r="R2259" s="12">
        <v>0.51937230541917123</v>
      </c>
      <c r="S2259" s="12">
        <v>0.43337608546181983</v>
      </c>
      <c r="T2259" s="12">
        <v>0.50661738106704568</v>
      </c>
      <c r="U2259" s="12">
        <v>0.63406016319203773</v>
      </c>
      <c r="V2259" s="12">
        <v>294.76060319205072</v>
      </c>
      <c r="W2259" s="12">
        <v>0.73204711838122005</v>
      </c>
      <c r="X2259" s="12">
        <v>6.8995984516128477</v>
      </c>
      <c r="Y2259" s="12">
        <v>355.66344221156783</v>
      </c>
      <c r="Z2259" s="12">
        <v>1.2094270289110449</v>
      </c>
      <c r="AA2259" s="12" t="s">
        <v>1268</v>
      </c>
      <c r="AB2259" s="12"/>
    </row>
    <row r="2260" spans="1:28" x14ac:dyDescent="0.3">
      <c r="A2260" s="12" t="s">
        <v>4174</v>
      </c>
      <c r="B2260" s="12" t="s">
        <v>170</v>
      </c>
      <c r="C2260" s="12" t="s">
        <v>464</v>
      </c>
      <c r="D2260" s="12" t="s">
        <v>734</v>
      </c>
      <c r="E2260" s="12" t="s">
        <v>2978</v>
      </c>
      <c r="F2260" s="12" t="s">
        <v>1861</v>
      </c>
      <c r="G2260" s="12" t="s">
        <v>1861</v>
      </c>
      <c r="H2260" s="12" t="b">
        <v>1</v>
      </c>
      <c r="I2260" s="12" t="b">
        <v>0</v>
      </c>
      <c r="J2260" s="12" t="b">
        <v>1</v>
      </c>
      <c r="K2260" s="12" t="b">
        <v>0</v>
      </c>
      <c r="L2260" s="12">
        <v>623.15</v>
      </c>
      <c r="M2260" s="12">
        <v>296.31356260246622</v>
      </c>
      <c r="N2260" s="12">
        <v>2221.5808474651758</v>
      </c>
      <c r="O2260" s="12">
        <v>1007.0137314659059</v>
      </c>
      <c r="P2260" s="12">
        <v>0.5</v>
      </c>
      <c r="Q2260" s="12">
        <v>0.5023535091538297</v>
      </c>
      <c r="R2260" s="12">
        <v>0.82126088567969813</v>
      </c>
      <c r="S2260" s="12">
        <v>0.72003922535622866</v>
      </c>
      <c r="T2260" s="12">
        <v>0.81316314007021639</v>
      </c>
      <c r="U2260" s="12">
        <v>0.62283915527644851</v>
      </c>
      <c r="V2260" s="12">
        <v>296.31356260246622</v>
      </c>
      <c r="W2260" s="12">
        <v>1.3917989133840001</v>
      </c>
      <c r="X2260" s="12">
        <v>18.958785981274641</v>
      </c>
      <c r="Y2260" s="12">
        <v>1214.5671159992701</v>
      </c>
      <c r="Z2260" s="12">
        <v>2.2061077997727301</v>
      </c>
      <c r="AA2260" s="12" t="s">
        <v>1268</v>
      </c>
      <c r="AB2260" s="12"/>
    </row>
    <row r="2261" spans="1:28" x14ac:dyDescent="0.3">
      <c r="A2261" s="12" t="s">
        <v>4175</v>
      </c>
      <c r="B2261" s="12" t="s">
        <v>170</v>
      </c>
      <c r="C2261" s="12" t="s">
        <v>464</v>
      </c>
      <c r="D2261" s="12" t="s">
        <v>734</v>
      </c>
      <c r="E2261" s="12" t="s">
        <v>2978</v>
      </c>
      <c r="F2261" s="12" t="s">
        <v>832</v>
      </c>
      <c r="G2261" s="12" t="s">
        <v>832</v>
      </c>
      <c r="H2261" s="12" t="b">
        <v>0</v>
      </c>
      <c r="I2261" s="12" t="b">
        <v>0</v>
      </c>
      <c r="J2261" s="12" t="b">
        <v>0</v>
      </c>
      <c r="K2261" s="12" t="b">
        <v>0</v>
      </c>
      <c r="L2261" s="12">
        <v>623.15</v>
      </c>
      <c r="M2261" s="12">
        <v>290.02584483473441</v>
      </c>
      <c r="N2261" s="12">
        <v>3914.4647998363998</v>
      </c>
      <c r="O2261" s="12">
        <v>583.38897236680009</v>
      </c>
      <c r="P2261" s="12">
        <v>0.5</v>
      </c>
      <c r="Q2261" s="12">
        <v>0.91565953286972801</v>
      </c>
      <c r="R2261" s="12">
        <v>0.61822377181043953</v>
      </c>
      <c r="S2261" s="12">
        <v>0.88679386127420334</v>
      </c>
      <c r="T2261" s="12">
        <v>0.49758479808751022</v>
      </c>
      <c r="U2261" s="12">
        <v>0.6802131916668005</v>
      </c>
      <c r="V2261" s="12">
        <v>290.02584483473441</v>
      </c>
      <c r="W2261" s="12"/>
      <c r="X2261" s="12"/>
      <c r="Y2261" s="12">
        <v>3331.0758274696</v>
      </c>
      <c r="Z2261" s="12">
        <v>6.7098710898758958</v>
      </c>
      <c r="AA2261" s="12"/>
      <c r="AB2261" s="12"/>
    </row>
    <row r="2262" spans="1:28" x14ac:dyDescent="0.3">
      <c r="A2262" s="12" t="s">
        <v>4176</v>
      </c>
      <c r="B2262" s="12" t="s">
        <v>170</v>
      </c>
      <c r="C2262" s="12" t="s">
        <v>464</v>
      </c>
      <c r="D2262" s="12" t="s">
        <v>734</v>
      </c>
      <c r="E2262" s="12" t="s">
        <v>2978</v>
      </c>
      <c r="F2262" s="12" t="s">
        <v>1861</v>
      </c>
      <c r="G2262" s="12" t="s">
        <v>1861</v>
      </c>
      <c r="H2262" s="12" t="b">
        <v>1</v>
      </c>
      <c r="I2262" s="12" t="b">
        <v>0</v>
      </c>
      <c r="J2262" s="12" t="b">
        <v>1</v>
      </c>
      <c r="K2262" s="12" t="b">
        <v>0</v>
      </c>
      <c r="L2262" s="12">
        <v>623.15</v>
      </c>
      <c r="M2262" s="12">
        <v>299.59667197542927</v>
      </c>
      <c r="N2262" s="12">
        <v>4229.7026443505383</v>
      </c>
      <c r="O2262" s="12">
        <v>788.28923071692464</v>
      </c>
      <c r="P2262" s="12">
        <v>0.5</v>
      </c>
      <c r="Q2262" s="12">
        <v>0.68374057859184822</v>
      </c>
      <c r="R2262" s="12">
        <v>0.61212564487353083</v>
      </c>
      <c r="S2262" s="12">
        <v>0.6044102764453938</v>
      </c>
      <c r="T2262" s="12">
        <v>0.83448516006051598</v>
      </c>
      <c r="U2262" s="12">
        <v>0.90845554607611556</v>
      </c>
      <c r="V2262" s="12">
        <v>299.59667197542927</v>
      </c>
      <c r="W2262" s="12">
        <v>9.20203798117711</v>
      </c>
      <c r="X2262" s="12">
        <v>133.7975881386227</v>
      </c>
      <c r="Y2262" s="12">
        <v>3441.4134136336138</v>
      </c>
      <c r="Z2262" s="12">
        <v>5.3656735111093106</v>
      </c>
      <c r="AA2262" s="12" t="s">
        <v>1268</v>
      </c>
      <c r="AB2262" s="12"/>
    </row>
    <row r="2263" spans="1:28" x14ac:dyDescent="0.3">
      <c r="A2263" s="12" t="s">
        <v>4177</v>
      </c>
      <c r="B2263" s="12" t="s">
        <v>170</v>
      </c>
      <c r="C2263" s="12" t="s">
        <v>464</v>
      </c>
      <c r="D2263" s="12" t="s">
        <v>734</v>
      </c>
      <c r="E2263" s="12" t="s">
        <v>2978</v>
      </c>
      <c r="F2263" s="12" t="s">
        <v>1861</v>
      </c>
      <c r="G2263" s="12" t="s">
        <v>1861</v>
      </c>
      <c r="H2263" s="12" t="b">
        <v>1</v>
      </c>
      <c r="I2263" s="12" t="b">
        <v>0</v>
      </c>
      <c r="J2263" s="12" t="b">
        <v>1</v>
      </c>
      <c r="K2263" s="12" t="b">
        <v>0</v>
      </c>
      <c r="L2263" s="12">
        <v>623.15</v>
      </c>
      <c r="M2263" s="12">
        <v>282.22799590894749</v>
      </c>
      <c r="N2263" s="12">
        <v>4654.5595451602203</v>
      </c>
      <c r="O2263" s="12">
        <v>1363.193773342409</v>
      </c>
      <c r="P2263" s="12">
        <v>0.5</v>
      </c>
      <c r="Q2263" s="12">
        <v>0.90671429882230237</v>
      </c>
      <c r="R2263" s="12">
        <v>0.58304519426647139</v>
      </c>
      <c r="S2263" s="12">
        <v>0.62177513667765993</v>
      </c>
      <c r="T2263" s="12">
        <v>0.78186353880164772</v>
      </c>
      <c r="U2263" s="12">
        <v>0.76275131185130007</v>
      </c>
      <c r="V2263" s="12">
        <v>282.22799590894749</v>
      </c>
      <c r="W2263" s="12">
        <v>9.7550048644866205</v>
      </c>
      <c r="X2263" s="12">
        <v>137.8577341043493</v>
      </c>
      <c r="Y2263" s="12">
        <v>3291.365771817811</v>
      </c>
      <c r="Z2263" s="12">
        <v>3.4144518821764609</v>
      </c>
      <c r="AA2263" s="12" t="s">
        <v>1268</v>
      </c>
      <c r="AB2263" s="12"/>
    </row>
    <row r="2264" spans="1:28" x14ac:dyDescent="0.3">
      <c r="A2264" s="12" t="s">
        <v>4178</v>
      </c>
      <c r="B2264" s="12" t="s">
        <v>170</v>
      </c>
      <c r="C2264" s="12" t="s">
        <v>464</v>
      </c>
      <c r="D2264" s="12" t="s">
        <v>734</v>
      </c>
      <c r="E2264" s="12" t="s">
        <v>2978</v>
      </c>
      <c r="F2264" s="12" t="s">
        <v>832</v>
      </c>
      <c r="G2264" s="12" t="s">
        <v>832</v>
      </c>
      <c r="H2264" s="12" t="b">
        <v>0</v>
      </c>
      <c r="I2264" s="12" t="b">
        <v>0</v>
      </c>
      <c r="J2264" s="12" t="b">
        <v>0</v>
      </c>
      <c r="K2264" s="12" t="b">
        <v>0</v>
      </c>
      <c r="L2264" s="12">
        <v>623.15</v>
      </c>
      <c r="M2264" s="12">
        <v>285.67639848870641</v>
      </c>
      <c r="N2264" s="12">
        <v>4873.2433961331153</v>
      </c>
      <c r="O2264" s="12">
        <v>1850.891366576983</v>
      </c>
      <c r="P2264" s="12">
        <v>0.5</v>
      </c>
      <c r="Q2264" s="12">
        <v>0.80992256299415932</v>
      </c>
      <c r="R2264" s="12">
        <v>0.78715920806060602</v>
      </c>
      <c r="S2264" s="12">
        <v>0.82793707016451012</v>
      </c>
      <c r="T2264" s="12">
        <v>0.6198214854925661</v>
      </c>
      <c r="U2264" s="12">
        <v>0.72903924479001569</v>
      </c>
      <c r="V2264" s="12">
        <v>285.67639848870641</v>
      </c>
      <c r="W2264" s="12"/>
      <c r="X2264" s="12"/>
      <c r="Y2264" s="12">
        <v>3022.352029556132</v>
      </c>
      <c r="Z2264" s="12">
        <v>2.6329170280509961</v>
      </c>
      <c r="AA2264" s="12"/>
      <c r="AB2264" s="12"/>
    </row>
    <row r="2265" spans="1:28" x14ac:dyDescent="0.3">
      <c r="A2265" s="12" t="s">
        <v>4179</v>
      </c>
      <c r="B2265" s="12" t="s">
        <v>170</v>
      </c>
      <c r="C2265" s="12" t="s">
        <v>464</v>
      </c>
      <c r="D2265" s="12" t="s">
        <v>734</v>
      </c>
      <c r="E2265" s="12" t="s">
        <v>2978</v>
      </c>
      <c r="F2265" s="12" t="s">
        <v>1861</v>
      </c>
      <c r="G2265" s="12" t="s">
        <v>1861</v>
      </c>
      <c r="H2265" s="12" t="b">
        <v>1</v>
      </c>
      <c r="I2265" s="12" t="b">
        <v>0</v>
      </c>
      <c r="J2265" s="12" t="b">
        <v>1</v>
      </c>
      <c r="K2265" s="12" t="b">
        <v>0</v>
      </c>
      <c r="L2265" s="12">
        <v>623.15</v>
      </c>
      <c r="M2265" s="12">
        <v>300.34512833628241</v>
      </c>
      <c r="N2265" s="12">
        <v>4642.2245574396911</v>
      </c>
      <c r="O2265" s="12">
        <v>380.03069491222931</v>
      </c>
      <c r="P2265" s="12">
        <v>0.5</v>
      </c>
      <c r="Q2265" s="12">
        <v>0.88065899753266286</v>
      </c>
      <c r="R2265" s="12">
        <v>0.94760347084185925</v>
      </c>
      <c r="S2265" s="12">
        <v>0.65159495354961117</v>
      </c>
      <c r="T2265" s="12">
        <v>0.52564919831393064</v>
      </c>
      <c r="U2265" s="12">
        <v>0.94223939662314116</v>
      </c>
      <c r="V2265" s="12">
        <v>300.34512833628241</v>
      </c>
      <c r="W2265" s="12">
        <v>16.24418236501899</v>
      </c>
      <c r="X2265" s="12">
        <v>265.75387286985131</v>
      </c>
      <c r="Y2265" s="12">
        <v>4262.1938625274624</v>
      </c>
      <c r="Z2265" s="12">
        <v>12.21539370263722</v>
      </c>
      <c r="AA2265" s="12" t="s">
        <v>1981</v>
      </c>
      <c r="AB2265" s="12"/>
    </row>
    <row r="2266" spans="1:28" x14ac:dyDescent="0.3">
      <c r="A2266" s="12" t="s">
        <v>4180</v>
      </c>
      <c r="B2266" s="12" t="s">
        <v>170</v>
      </c>
      <c r="C2266" s="12" t="s">
        <v>464</v>
      </c>
      <c r="D2266" s="12" t="s">
        <v>734</v>
      </c>
      <c r="E2266" s="12" t="s">
        <v>2978</v>
      </c>
      <c r="F2266" s="12" t="s">
        <v>1861</v>
      </c>
      <c r="G2266" s="12" t="s">
        <v>1861</v>
      </c>
      <c r="H2266" s="12" t="b">
        <v>1</v>
      </c>
      <c r="I2266" s="12" t="b">
        <v>0</v>
      </c>
      <c r="J2266" s="12" t="b">
        <v>1</v>
      </c>
      <c r="K2266" s="12" t="b">
        <v>0</v>
      </c>
      <c r="L2266" s="12">
        <v>623.15</v>
      </c>
      <c r="M2266" s="12">
        <v>278.49650275368248</v>
      </c>
      <c r="N2266" s="12">
        <v>3085.144476148409</v>
      </c>
      <c r="O2266" s="12">
        <v>1782.9854213850999</v>
      </c>
      <c r="P2266" s="12">
        <v>0.5</v>
      </c>
      <c r="Q2266" s="12">
        <v>0.53764954950300259</v>
      </c>
      <c r="R2266" s="12">
        <v>0.80382635489204546</v>
      </c>
      <c r="S2266" s="12">
        <v>0.48659595582204468</v>
      </c>
      <c r="T2266" s="12">
        <v>0.51809727238818915</v>
      </c>
      <c r="U2266" s="12">
        <v>0.55213975218541222</v>
      </c>
      <c r="V2266" s="12">
        <v>278.49650275368248</v>
      </c>
      <c r="W2266" s="12">
        <v>1.37750358241658</v>
      </c>
      <c r="X2266" s="12">
        <v>13.35395559315776</v>
      </c>
      <c r="Y2266" s="12">
        <v>1302.1590547633091</v>
      </c>
      <c r="Z2266" s="12">
        <v>1.730325127252996</v>
      </c>
      <c r="AA2266" s="12" t="s">
        <v>1268</v>
      </c>
      <c r="AB2266" s="12"/>
    </row>
    <row r="2267" spans="1:28" x14ac:dyDescent="0.3">
      <c r="A2267" s="12" t="s">
        <v>4181</v>
      </c>
      <c r="B2267" s="12" t="s">
        <v>170</v>
      </c>
      <c r="C2267" s="12" t="s">
        <v>464</v>
      </c>
      <c r="D2267" s="12" t="s">
        <v>734</v>
      </c>
      <c r="E2267" s="12" t="s">
        <v>2978</v>
      </c>
      <c r="F2267" s="12" t="s">
        <v>1861</v>
      </c>
      <c r="G2267" s="12" t="s">
        <v>1861</v>
      </c>
      <c r="H2267" s="12" t="b">
        <v>1</v>
      </c>
      <c r="I2267" s="12" t="b">
        <v>0</v>
      </c>
      <c r="J2267" s="12" t="b">
        <v>1</v>
      </c>
      <c r="K2267" s="12" t="b">
        <v>0</v>
      </c>
      <c r="L2267" s="12">
        <v>623.15</v>
      </c>
      <c r="M2267" s="12">
        <v>292.5949248235392</v>
      </c>
      <c r="N2267" s="12">
        <v>2037.930113333558</v>
      </c>
      <c r="O2267" s="12">
        <v>941.28500656203323</v>
      </c>
      <c r="P2267" s="12">
        <v>0.5</v>
      </c>
      <c r="Q2267" s="12">
        <v>0.61335821978325322</v>
      </c>
      <c r="R2267" s="12">
        <v>0.7447685447864727</v>
      </c>
      <c r="S2267" s="12">
        <v>0.6523927124927249</v>
      </c>
      <c r="T2267" s="12">
        <v>0.71186766645531141</v>
      </c>
      <c r="U2267" s="12">
        <v>0.61239064745748983</v>
      </c>
      <c r="V2267" s="12">
        <v>292.5949248235392</v>
      </c>
      <c r="W2267" s="12">
        <v>2.0619906397660799</v>
      </c>
      <c r="X2267" s="12">
        <v>26.00023745661592</v>
      </c>
      <c r="Y2267" s="12">
        <v>1096.645106771525</v>
      </c>
      <c r="Z2267" s="12">
        <v>2.165051072869983</v>
      </c>
      <c r="AA2267" s="12" t="s">
        <v>1268</v>
      </c>
      <c r="AB2267" s="12"/>
    </row>
    <row r="2268" spans="1:28" x14ac:dyDescent="0.3">
      <c r="A2268" s="12" t="s">
        <v>4182</v>
      </c>
      <c r="B2268" s="12" t="s">
        <v>170</v>
      </c>
      <c r="C2268" s="12" t="s">
        <v>464</v>
      </c>
      <c r="D2268" s="12" t="s">
        <v>734</v>
      </c>
      <c r="E2268" s="12" t="s">
        <v>2978</v>
      </c>
      <c r="F2268" s="12" t="s">
        <v>32</v>
      </c>
      <c r="G2268" s="12" t="s">
        <v>32</v>
      </c>
      <c r="H2268" s="12" t="b">
        <v>1</v>
      </c>
      <c r="I2268" s="12" t="b">
        <v>0</v>
      </c>
      <c r="J2268" s="12" t="b">
        <v>1</v>
      </c>
      <c r="K2268" s="12" t="b">
        <v>0</v>
      </c>
      <c r="L2268" s="12">
        <v>623.15</v>
      </c>
      <c r="M2268" s="12">
        <v>281.66735037314822</v>
      </c>
      <c r="N2268" s="12">
        <v>4623.7628862233723</v>
      </c>
      <c r="O2268" s="12">
        <v>1594.8984118004039</v>
      </c>
      <c r="P2268" s="12">
        <v>0.5</v>
      </c>
      <c r="Q2268" s="12">
        <v>0.52358829642139182</v>
      </c>
      <c r="R2268" s="12">
        <v>0.67971991065875126</v>
      </c>
      <c r="S2268" s="12">
        <v>0.59096255524188746</v>
      </c>
      <c r="T2268" s="12">
        <v>0.73199951031641874</v>
      </c>
      <c r="U2268" s="12">
        <v>0.91630370395604721</v>
      </c>
      <c r="V2268" s="12">
        <v>281.66735037314822</v>
      </c>
      <c r="W2268" s="12">
        <v>4.16381139617208</v>
      </c>
      <c r="X2268" s="12">
        <v>60.66961000959023</v>
      </c>
      <c r="Y2268" s="12">
        <v>3028.8644744229691</v>
      </c>
      <c r="Z2268" s="12">
        <v>2.899095548664965</v>
      </c>
      <c r="AA2268" s="12"/>
      <c r="AB2268" s="12"/>
    </row>
    <row r="2269" spans="1:28" x14ac:dyDescent="0.3">
      <c r="A2269" s="12" t="s">
        <v>4183</v>
      </c>
      <c r="B2269" s="12" t="s">
        <v>170</v>
      </c>
      <c r="C2269" s="12" t="s">
        <v>464</v>
      </c>
      <c r="D2269" s="12" t="s">
        <v>734</v>
      </c>
      <c r="E2269" s="12" t="s">
        <v>2978</v>
      </c>
      <c r="F2269" s="12" t="s">
        <v>1861</v>
      </c>
      <c r="G2269" s="12" t="s">
        <v>1861</v>
      </c>
      <c r="H2269" s="12" t="b">
        <v>1</v>
      </c>
      <c r="I2269" s="12" t="b">
        <v>0</v>
      </c>
      <c r="J2269" s="12" t="b">
        <v>1</v>
      </c>
      <c r="K2269" s="12" t="b">
        <v>0</v>
      </c>
      <c r="L2269" s="12">
        <v>623.15</v>
      </c>
      <c r="M2269" s="12">
        <v>288.78571135804748</v>
      </c>
      <c r="N2269" s="12">
        <v>3954.2350852255781</v>
      </c>
      <c r="O2269" s="12">
        <v>442.26242031171938</v>
      </c>
      <c r="P2269" s="12">
        <v>0.5</v>
      </c>
      <c r="Q2269" s="12">
        <v>0.64897543062501595</v>
      </c>
      <c r="R2269" s="12">
        <v>0.60163277610693067</v>
      </c>
      <c r="S2269" s="12">
        <v>0.69092213435446559</v>
      </c>
      <c r="T2269" s="12">
        <v>0.52241047846201061</v>
      </c>
      <c r="U2269" s="12">
        <v>0.94825126394682624</v>
      </c>
      <c r="V2269" s="12">
        <v>288.78571135804748</v>
      </c>
      <c r="W2269" s="12">
        <v>10.33909339276847</v>
      </c>
      <c r="X2269" s="12">
        <v>185.09751905594919</v>
      </c>
      <c r="Y2269" s="12">
        <v>3511.9726649138579</v>
      </c>
      <c r="Z2269" s="12">
        <v>8.9409248980243863</v>
      </c>
      <c r="AA2269" s="12" t="s">
        <v>1268</v>
      </c>
      <c r="AB2269" s="12"/>
    </row>
    <row r="2270" spans="1:28" x14ac:dyDescent="0.3">
      <c r="A2270" s="12" t="s">
        <v>4184</v>
      </c>
      <c r="B2270" s="12" t="s">
        <v>170</v>
      </c>
      <c r="C2270" s="12" t="s">
        <v>464</v>
      </c>
      <c r="D2270" s="12" t="s">
        <v>734</v>
      </c>
      <c r="E2270" s="12" t="s">
        <v>2978</v>
      </c>
      <c r="F2270" s="12" t="s">
        <v>1862</v>
      </c>
      <c r="G2270" s="12" t="s">
        <v>1862</v>
      </c>
      <c r="H2270" s="12" t="b">
        <v>1</v>
      </c>
      <c r="I2270" s="12" t="b">
        <v>0</v>
      </c>
      <c r="J2270" s="12" t="b">
        <v>1</v>
      </c>
      <c r="K2270" s="12" t="b">
        <v>0</v>
      </c>
      <c r="L2270" s="12">
        <v>623.15</v>
      </c>
      <c r="M2270" s="12">
        <v>300.9119610030603</v>
      </c>
      <c r="N2270" s="12">
        <v>3418.4110681208581</v>
      </c>
      <c r="O2270" s="12">
        <v>666.5971493891202</v>
      </c>
      <c r="P2270" s="12">
        <v>0.5</v>
      </c>
      <c r="Q2270" s="12">
        <v>0.48323257498888111</v>
      </c>
      <c r="R2270" s="12">
        <v>0.93612020225982517</v>
      </c>
      <c r="S2270" s="12">
        <v>0.53057362766727789</v>
      </c>
      <c r="T2270" s="12">
        <v>0.73486310225735918</v>
      </c>
      <c r="U2270" s="12">
        <v>0.40813420593735911</v>
      </c>
      <c r="V2270" s="12">
        <v>300.9119610030603</v>
      </c>
      <c r="W2270" s="12">
        <v>-4.4780320942226304</v>
      </c>
      <c r="X2270" s="12">
        <v>-33.69905452529089</v>
      </c>
      <c r="Y2270" s="12">
        <v>2751.813918731737</v>
      </c>
      <c r="Z2270" s="12">
        <v>5.1281513448617977</v>
      </c>
      <c r="AA2270" s="12" t="s">
        <v>2513</v>
      </c>
      <c r="AB2270" s="12"/>
    </row>
    <row r="2271" spans="1:28" x14ac:dyDescent="0.3">
      <c r="A2271" s="12" t="s">
        <v>4185</v>
      </c>
      <c r="B2271" s="12" t="s">
        <v>170</v>
      </c>
      <c r="C2271" s="12" t="s">
        <v>464</v>
      </c>
      <c r="D2271" s="12" t="s">
        <v>734</v>
      </c>
      <c r="E2271" s="12" t="s">
        <v>2978</v>
      </c>
      <c r="F2271" s="12" t="s">
        <v>1862</v>
      </c>
      <c r="G2271" s="12" t="s">
        <v>1862</v>
      </c>
      <c r="H2271" s="12" t="b">
        <v>1</v>
      </c>
      <c r="I2271" s="12" t="b">
        <v>0</v>
      </c>
      <c r="J2271" s="12" t="b">
        <v>1</v>
      </c>
      <c r="K2271" s="12" t="b">
        <v>0</v>
      </c>
      <c r="L2271" s="12">
        <v>623.15</v>
      </c>
      <c r="M2271" s="12">
        <v>294.43691517260771</v>
      </c>
      <c r="N2271" s="12">
        <v>3172.4968286513158</v>
      </c>
      <c r="O2271" s="12">
        <v>1085.807565682524</v>
      </c>
      <c r="P2271" s="12">
        <v>0.5</v>
      </c>
      <c r="Q2271" s="12">
        <v>0.46559460215041648</v>
      </c>
      <c r="R2271" s="12">
        <v>0.83962653045600633</v>
      </c>
      <c r="S2271" s="12">
        <v>0.66305611277489895</v>
      </c>
      <c r="T2271" s="12">
        <v>0.50208126674444298</v>
      </c>
      <c r="U2271" s="12">
        <v>0.41354810061064401</v>
      </c>
      <c r="V2271" s="12">
        <v>294.43691517260771</v>
      </c>
      <c r="W2271" s="12">
        <v>-3.94358842903595</v>
      </c>
      <c r="X2271" s="12">
        <v>-34.836596016180849</v>
      </c>
      <c r="Y2271" s="12">
        <v>2086.6892629687918</v>
      </c>
      <c r="Z2271" s="12">
        <v>2.9217855252805558</v>
      </c>
      <c r="AA2271" s="12" t="s">
        <v>2513</v>
      </c>
      <c r="AB2271" s="12"/>
    </row>
    <row r="2272" spans="1:28" x14ac:dyDescent="0.3">
      <c r="A2272" s="12" t="s">
        <v>4186</v>
      </c>
      <c r="B2272" s="12" t="s">
        <v>170</v>
      </c>
      <c r="C2272" s="12" t="s">
        <v>464</v>
      </c>
      <c r="D2272" s="12" t="s">
        <v>734</v>
      </c>
      <c r="E2272" s="12" t="s">
        <v>2978</v>
      </c>
      <c r="F2272" s="12" t="s">
        <v>832</v>
      </c>
      <c r="G2272" s="12" t="s">
        <v>832</v>
      </c>
      <c r="H2272" s="12" t="b">
        <v>0</v>
      </c>
      <c r="I2272" s="12" t="b">
        <v>0</v>
      </c>
      <c r="J2272" s="12" t="b">
        <v>0</v>
      </c>
      <c r="K2272" s="12" t="b">
        <v>0</v>
      </c>
      <c r="L2272" s="12">
        <v>623.15</v>
      </c>
      <c r="M2272" s="12">
        <v>282.76580491823051</v>
      </c>
      <c r="N2272" s="12">
        <v>3609.8337794232239</v>
      </c>
      <c r="O2272" s="12">
        <v>640.33602155286655</v>
      </c>
      <c r="P2272" s="12">
        <v>0.5</v>
      </c>
      <c r="Q2272" s="12">
        <v>0.88360862770304283</v>
      </c>
      <c r="R2272" s="12">
        <v>0.49361673900826408</v>
      </c>
      <c r="S2272" s="12">
        <v>0.94210539167361684</v>
      </c>
      <c r="T2272" s="12">
        <v>0.68155997532810719</v>
      </c>
      <c r="U2272" s="12">
        <v>0.83331737083085278</v>
      </c>
      <c r="V2272" s="12">
        <v>282.76580491823051</v>
      </c>
      <c r="W2272" s="12"/>
      <c r="X2272" s="12"/>
      <c r="Y2272" s="12">
        <v>2969.497757870357</v>
      </c>
      <c r="Z2272" s="12">
        <v>5.6374054526388901</v>
      </c>
      <c r="AA2272" s="12"/>
      <c r="AB2272" s="12"/>
    </row>
    <row r="2273" spans="1:28" x14ac:dyDescent="0.3">
      <c r="A2273" s="12" t="s">
        <v>4187</v>
      </c>
      <c r="B2273" s="12" t="s">
        <v>170</v>
      </c>
      <c r="C2273" s="12" t="s">
        <v>464</v>
      </c>
      <c r="D2273" s="12" t="s">
        <v>734</v>
      </c>
      <c r="E2273" s="12" t="s">
        <v>2978</v>
      </c>
      <c r="F2273" s="12" t="s">
        <v>1861</v>
      </c>
      <c r="G2273" s="12" t="s">
        <v>1861</v>
      </c>
      <c r="H2273" s="12" t="b">
        <v>1</v>
      </c>
      <c r="I2273" s="12" t="b">
        <v>0</v>
      </c>
      <c r="J2273" s="12" t="b">
        <v>1</v>
      </c>
      <c r="K2273" s="12" t="b">
        <v>0</v>
      </c>
      <c r="L2273" s="12">
        <v>623.15</v>
      </c>
      <c r="M2273" s="12">
        <v>279.04047390515768</v>
      </c>
      <c r="N2273" s="12">
        <v>4711.298436297966</v>
      </c>
      <c r="O2273" s="12">
        <v>1675.8109269944739</v>
      </c>
      <c r="P2273" s="12">
        <v>0.5</v>
      </c>
      <c r="Q2273" s="12">
        <v>0.60239022050157232</v>
      </c>
      <c r="R2273" s="12">
        <v>0.72499038208310262</v>
      </c>
      <c r="S2273" s="12">
        <v>0.77119176265973155</v>
      </c>
      <c r="T2273" s="12">
        <v>0.59161389758854277</v>
      </c>
      <c r="U2273" s="12">
        <v>0.64620262965088093</v>
      </c>
      <c r="V2273" s="12">
        <v>279.04047390515768</v>
      </c>
      <c r="W2273" s="12">
        <v>4.0772897778586596</v>
      </c>
      <c r="X2273" s="12">
        <v>61.53605854575126</v>
      </c>
      <c r="Y2273" s="12">
        <v>3035.487509303493</v>
      </c>
      <c r="Z2273" s="12">
        <v>2.8113544078314172</v>
      </c>
      <c r="AA2273" s="12" t="s">
        <v>1268</v>
      </c>
      <c r="AB2273" s="12"/>
    </row>
    <row r="2274" spans="1:28" x14ac:dyDescent="0.3">
      <c r="A2274" s="12" t="s">
        <v>4188</v>
      </c>
      <c r="B2274" s="12" t="s">
        <v>170</v>
      </c>
      <c r="C2274" s="12" t="s">
        <v>464</v>
      </c>
      <c r="D2274" s="12" t="s">
        <v>734</v>
      </c>
      <c r="E2274" s="12" t="s">
        <v>2978</v>
      </c>
      <c r="F2274" s="12" t="s">
        <v>1862</v>
      </c>
      <c r="G2274" s="12" t="s">
        <v>1862</v>
      </c>
      <c r="H2274" s="12" t="b">
        <v>1</v>
      </c>
      <c r="I2274" s="12" t="b">
        <v>0</v>
      </c>
      <c r="J2274" s="12" t="b">
        <v>1</v>
      </c>
      <c r="K2274" s="12" t="b">
        <v>0</v>
      </c>
      <c r="L2274" s="12">
        <v>623.15</v>
      </c>
      <c r="M2274" s="12">
        <v>284.97545958806552</v>
      </c>
      <c r="N2274" s="12">
        <v>2143.916760886475</v>
      </c>
      <c r="O2274" s="12">
        <v>1207.7747526183009</v>
      </c>
      <c r="P2274" s="12">
        <v>0.5</v>
      </c>
      <c r="Q2274" s="12">
        <v>0.43490114691685738</v>
      </c>
      <c r="R2274" s="12">
        <v>0.76879718966409194</v>
      </c>
      <c r="S2274" s="12">
        <v>0.74054879070744284</v>
      </c>
      <c r="T2274" s="12">
        <v>0.43753981440777417</v>
      </c>
      <c r="U2274" s="12">
        <v>0.54714394432511848</v>
      </c>
      <c r="V2274" s="12">
        <v>284.97545958806552</v>
      </c>
      <c r="W2274" s="12">
        <v>-0.40348516632615</v>
      </c>
      <c r="X2274" s="12">
        <v>-5.1193636203806108</v>
      </c>
      <c r="Y2274" s="12">
        <v>936.14200826817398</v>
      </c>
      <c r="Z2274" s="12">
        <v>1.775096520471833</v>
      </c>
      <c r="AA2274" s="12" t="s">
        <v>2513</v>
      </c>
      <c r="AB2274" s="12"/>
    </row>
    <row r="2275" spans="1:28" x14ac:dyDescent="0.3">
      <c r="A2275" s="12" t="s">
        <v>4189</v>
      </c>
      <c r="B2275" s="12" t="s">
        <v>170</v>
      </c>
      <c r="C2275" s="12" t="s">
        <v>464</v>
      </c>
      <c r="D2275" s="12" t="s">
        <v>734</v>
      </c>
      <c r="E2275" s="12" t="s">
        <v>2978</v>
      </c>
      <c r="F2275" s="12" t="s">
        <v>1861</v>
      </c>
      <c r="G2275" s="12" t="s">
        <v>1861</v>
      </c>
      <c r="H2275" s="12" t="b">
        <v>1</v>
      </c>
      <c r="I2275" s="12" t="b">
        <v>0</v>
      </c>
      <c r="J2275" s="12" t="b">
        <v>1</v>
      </c>
      <c r="K2275" s="12" t="b">
        <v>0</v>
      </c>
      <c r="L2275" s="12">
        <v>623.15</v>
      </c>
      <c r="M2275" s="12">
        <v>291.85596192947582</v>
      </c>
      <c r="N2275" s="12">
        <v>3225.4038557023191</v>
      </c>
      <c r="O2275" s="12">
        <v>767.52827241250418</v>
      </c>
      <c r="P2275" s="12">
        <v>0.5</v>
      </c>
      <c r="Q2275" s="12">
        <v>0.8143188078660597</v>
      </c>
      <c r="R2275" s="12">
        <v>0.59473021942812843</v>
      </c>
      <c r="S2275" s="12">
        <v>0.67078332096083315</v>
      </c>
      <c r="T2275" s="12">
        <v>0.65376979319760364</v>
      </c>
      <c r="U2275" s="12">
        <v>0.65787237365422779</v>
      </c>
      <c r="V2275" s="12">
        <v>291.85596192947582</v>
      </c>
      <c r="W2275" s="12">
        <v>7.0664678852726004</v>
      </c>
      <c r="X2275" s="12">
        <v>95.127739026269793</v>
      </c>
      <c r="Y2275" s="12">
        <v>2457.875583289815</v>
      </c>
      <c r="Z2275" s="12">
        <v>4.2023257925915747</v>
      </c>
      <c r="AA2275" s="12" t="s">
        <v>1268</v>
      </c>
      <c r="AB2275" s="12"/>
    </row>
    <row r="2276" spans="1:28" x14ac:dyDescent="0.3">
      <c r="A2276" s="12" t="s">
        <v>4190</v>
      </c>
      <c r="B2276" s="12" t="s">
        <v>170</v>
      </c>
      <c r="C2276" s="12" t="s">
        <v>464</v>
      </c>
      <c r="D2276" s="12" t="s">
        <v>734</v>
      </c>
      <c r="E2276" s="12" t="s">
        <v>2978</v>
      </c>
      <c r="F2276" s="12" t="s">
        <v>832</v>
      </c>
      <c r="G2276" s="12" t="s">
        <v>832</v>
      </c>
      <c r="H2276" s="12" t="b">
        <v>0</v>
      </c>
      <c r="I2276" s="12" t="b">
        <v>0</v>
      </c>
      <c r="J2276" s="12" t="b">
        <v>0</v>
      </c>
      <c r="K2276" s="12" t="b">
        <v>0</v>
      </c>
      <c r="L2276" s="12">
        <v>623.15</v>
      </c>
      <c r="M2276" s="12">
        <v>286.58023951268723</v>
      </c>
      <c r="N2276" s="12">
        <v>4115.1609226677592</v>
      </c>
      <c r="O2276" s="12">
        <v>1120.85803084535</v>
      </c>
      <c r="P2276" s="12">
        <v>0.5</v>
      </c>
      <c r="Q2276" s="12">
        <v>0.73604111295929076</v>
      </c>
      <c r="R2276" s="12">
        <v>0.59088668112526033</v>
      </c>
      <c r="S2276" s="12">
        <v>0.89549802766543851</v>
      </c>
      <c r="T2276" s="12">
        <v>0.66263863252761179</v>
      </c>
      <c r="U2276" s="12">
        <v>0.82119677302669047</v>
      </c>
      <c r="V2276" s="12">
        <v>286.58023951268723</v>
      </c>
      <c r="W2276" s="12"/>
      <c r="X2276" s="12"/>
      <c r="Y2276" s="12">
        <v>2994.3028918224099</v>
      </c>
      <c r="Z2276" s="12">
        <v>3.6714381388373609</v>
      </c>
      <c r="AA2276" s="12"/>
      <c r="AB2276" s="12"/>
    </row>
    <row r="2277" spans="1:28" x14ac:dyDescent="0.3">
      <c r="A2277" s="12" t="s">
        <v>4191</v>
      </c>
      <c r="B2277" s="12" t="s">
        <v>170</v>
      </c>
      <c r="C2277" s="12" t="s">
        <v>464</v>
      </c>
      <c r="D2277" s="12" t="s">
        <v>734</v>
      </c>
      <c r="E2277" s="12" t="s">
        <v>2978</v>
      </c>
      <c r="F2277" s="12" t="s">
        <v>1861</v>
      </c>
      <c r="G2277" s="12" t="s">
        <v>1861</v>
      </c>
      <c r="H2277" s="12" t="b">
        <v>1</v>
      </c>
      <c r="I2277" s="12" t="b">
        <v>0</v>
      </c>
      <c r="J2277" s="12" t="b">
        <v>1</v>
      </c>
      <c r="K2277" s="12" t="b">
        <v>0</v>
      </c>
      <c r="L2277" s="12">
        <v>623.15</v>
      </c>
      <c r="M2277" s="12">
        <v>293.19909893079682</v>
      </c>
      <c r="N2277" s="12">
        <v>2741.5050400331352</v>
      </c>
      <c r="O2277" s="12">
        <v>1411.7108027182651</v>
      </c>
      <c r="P2277" s="12">
        <v>0.5</v>
      </c>
      <c r="Q2277" s="12">
        <v>0.40329887458331071</v>
      </c>
      <c r="R2277" s="12">
        <v>0.44240341275031109</v>
      </c>
      <c r="S2277" s="12">
        <v>0.51896566271199929</v>
      </c>
      <c r="T2277" s="12">
        <v>0.86726028828791857</v>
      </c>
      <c r="U2277" s="12">
        <v>0.73277039803283806</v>
      </c>
      <c r="V2277" s="12">
        <v>293.19909893079682</v>
      </c>
      <c r="W2277" s="12">
        <v>1.47962089925331</v>
      </c>
      <c r="X2277" s="12">
        <v>17.21615475925168</v>
      </c>
      <c r="Y2277" s="12">
        <v>1329.7942373148701</v>
      </c>
      <c r="Z2277" s="12">
        <v>1.941973550641064</v>
      </c>
      <c r="AA2277" s="12" t="s">
        <v>1268</v>
      </c>
      <c r="AB2277" s="12"/>
    </row>
    <row r="2278" spans="1:28" x14ac:dyDescent="0.3">
      <c r="A2278" s="12" t="s">
        <v>4192</v>
      </c>
      <c r="B2278" s="12" t="s">
        <v>170</v>
      </c>
      <c r="C2278" s="12" t="s">
        <v>464</v>
      </c>
      <c r="D2278" s="12" t="s">
        <v>734</v>
      </c>
      <c r="E2278" s="12" t="s">
        <v>2978</v>
      </c>
      <c r="F2278" s="12" t="s">
        <v>832</v>
      </c>
      <c r="G2278" s="12" t="s">
        <v>832</v>
      </c>
      <c r="H2278" s="12" t="b">
        <v>0</v>
      </c>
      <c r="I2278" s="12" t="b">
        <v>0</v>
      </c>
      <c r="J2278" s="12" t="b">
        <v>0</v>
      </c>
      <c r="K2278" s="12" t="b">
        <v>0</v>
      </c>
      <c r="L2278" s="12">
        <v>623.15</v>
      </c>
      <c r="M2278" s="12">
        <v>301.49503999636738</v>
      </c>
      <c r="N2278" s="12">
        <v>3668.556329404948</v>
      </c>
      <c r="O2278" s="12">
        <v>554.01514512085896</v>
      </c>
      <c r="P2278" s="12">
        <v>0.5</v>
      </c>
      <c r="Q2278" s="12">
        <v>0.93883543528828495</v>
      </c>
      <c r="R2278" s="12">
        <v>0.4193441842726694</v>
      </c>
      <c r="S2278" s="12">
        <v>0.82120340630675148</v>
      </c>
      <c r="T2278" s="12">
        <v>0.54550296753905902</v>
      </c>
      <c r="U2278" s="12">
        <v>0.45435407429309949</v>
      </c>
      <c r="V2278" s="12">
        <v>301.49503999636738</v>
      </c>
      <c r="W2278" s="12"/>
      <c r="X2278" s="12"/>
      <c r="Y2278" s="12">
        <v>3114.541184284089</v>
      </c>
      <c r="Z2278" s="12">
        <v>6.6217618087040719</v>
      </c>
      <c r="AA2278" s="12"/>
      <c r="AB2278" s="12"/>
    </row>
    <row r="2279" spans="1:28" x14ac:dyDescent="0.3">
      <c r="A2279" s="12" t="s">
        <v>4193</v>
      </c>
      <c r="B2279" s="12" t="s">
        <v>170</v>
      </c>
      <c r="C2279" s="12" t="s">
        <v>464</v>
      </c>
      <c r="D2279" s="12" t="s">
        <v>734</v>
      </c>
      <c r="E2279" s="12" t="s">
        <v>2978</v>
      </c>
      <c r="F2279" s="12" t="s">
        <v>832</v>
      </c>
      <c r="G2279" s="12" t="s">
        <v>832</v>
      </c>
      <c r="H2279" s="12" t="b">
        <v>0</v>
      </c>
      <c r="I2279" s="12" t="b">
        <v>0</v>
      </c>
      <c r="J2279" s="12" t="b">
        <v>0</v>
      </c>
      <c r="K2279" s="12" t="b">
        <v>0</v>
      </c>
      <c r="L2279" s="12">
        <v>623.15</v>
      </c>
      <c r="M2279" s="12">
        <v>283.66935227207603</v>
      </c>
      <c r="N2279" s="12">
        <v>2775.6101154672779</v>
      </c>
      <c r="O2279" s="12">
        <v>614.20077660810512</v>
      </c>
      <c r="P2279" s="12">
        <v>0.5</v>
      </c>
      <c r="Q2279" s="12">
        <v>0.62368592467156736</v>
      </c>
      <c r="R2279" s="12">
        <v>0.48980500278068329</v>
      </c>
      <c r="S2279" s="12">
        <v>0.85151852506952252</v>
      </c>
      <c r="T2279" s="12">
        <v>0.9472498167419372</v>
      </c>
      <c r="U2279" s="12">
        <v>0.73945005259171737</v>
      </c>
      <c r="V2279" s="12">
        <v>283.66935227207603</v>
      </c>
      <c r="W2279" s="12"/>
      <c r="X2279" s="12"/>
      <c r="Y2279" s="12">
        <v>2161.4093388591732</v>
      </c>
      <c r="Z2279" s="12">
        <v>4.5190599249897643</v>
      </c>
      <c r="AA2279" s="12"/>
      <c r="AB2279" s="12"/>
    </row>
    <row r="2280" spans="1:28" x14ac:dyDescent="0.3">
      <c r="A2280" s="12" t="s">
        <v>4194</v>
      </c>
      <c r="B2280" s="12" t="s">
        <v>170</v>
      </c>
      <c r="C2280" s="12" t="s">
        <v>464</v>
      </c>
      <c r="D2280" s="12" t="s">
        <v>734</v>
      </c>
      <c r="E2280" s="12" t="s">
        <v>2978</v>
      </c>
      <c r="F2280" s="12" t="s">
        <v>1862</v>
      </c>
      <c r="G2280" s="12" t="s">
        <v>1862</v>
      </c>
      <c r="H2280" s="12" t="b">
        <v>1</v>
      </c>
      <c r="I2280" s="12" t="b">
        <v>0</v>
      </c>
      <c r="J2280" s="12" t="b">
        <v>1</v>
      </c>
      <c r="K2280" s="12" t="b">
        <v>0</v>
      </c>
      <c r="L2280" s="12">
        <v>623.15</v>
      </c>
      <c r="M2280" s="12">
        <v>291.0159900725381</v>
      </c>
      <c r="N2280" s="12">
        <v>2469.131631958141</v>
      </c>
      <c r="O2280" s="12">
        <v>206.1261602277809</v>
      </c>
      <c r="P2280" s="12">
        <v>0.5</v>
      </c>
      <c r="Q2280" s="12">
        <v>0.66544835382938761</v>
      </c>
      <c r="R2280" s="12">
        <v>0.84074673843722625</v>
      </c>
      <c r="S2280" s="12">
        <v>0.55225751687911839</v>
      </c>
      <c r="T2280" s="12">
        <v>0.59712329396385511</v>
      </c>
      <c r="U2280" s="12">
        <v>0.44531148115792102</v>
      </c>
      <c r="V2280" s="12">
        <v>291.0159900725381</v>
      </c>
      <c r="W2280" s="12">
        <v>-1.1866859976125601</v>
      </c>
      <c r="X2280" s="12">
        <v>-9.3557640187094648</v>
      </c>
      <c r="Y2280" s="12">
        <v>2263.0054717303601</v>
      </c>
      <c r="Z2280" s="12">
        <v>11.978739764179441</v>
      </c>
      <c r="AA2280" s="12" t="s">
        <v>2513</v>
      </c>
      <c r="AB2280" s="12"/>
    </row>
    <row r="2281" spans="1:28" x14ac:dyDescent="0.3">
      <c r="A2281" s="12" t="s">
        <v>4195</v>
      </c>
      <c r="B2281" s="12" t="s">
        <v>170</v>
      </c>
      <c r="C2281" s="12" t="s">
        <v>464</v>
      </c>
      <c r="D2281" s="12" t="s">
        <v>734</v>
      </c>
      <c r="E2281" s="12" t="s">
        <v>2978</v>
      </c>
      <c r="F2281" s="12" t="s">
        <v>1861</v>
      </c>
      <c r="G2281" s="12" t="s">
        <v>1861</v>
      </c>
      <c r="H2281" s="12" t="b">
        <v>1</v>
      </c>
      <c r="I2281" s="12" t="b">
        <v>0</v>
      </c>
      <c r="J2281" s="12" t="b">
        <v>1</v>
      </c>
      <c r="K2281" s="12" t="b">
        <v>0</v>
      </c>
      <c r="L2281" s="12">
        <v>623.15</v>
      </c>
      <c r="M2281" s="12">
        <v>280.41154595128978</v>
      </c>
      <c r="N2281" s="12">
        <v>2251.2930581187488</v>
      </c>
      <c r="O2281" s="12">
        <v>223.2731954599453</v>
      </c>
      <c r="P2281" s="12">
        <v>0.5</v>
      </c>
      <c r="Q2281" s="12">
        <v>0.71122365745649674</v>
      </c>
      <c r="R2281" s="12">
        <v>0.70756535898829642</v>
      </c>
      <c r="S2281" s="12">
        <v>0.60629425428968176</v>
      </c>
      <c r="T2281" s="12">
        <v>0.92827340438831241</v>
      </c>
      <c r="U2281" s="12">
        <v>0.84440362939776903</v>
      </c>
      <c r="V2281" s="12">
        <v>280.41154595128978</v>
      </c>
      <c r="W2281" s="12">
        <v>12.25303964648969</v>
      </c>
      <c r="X2281" s="12">
        <v>182.05888261371479</v>
      </c>
      <c r="Y2281" s="12">
        <v>2028.019862658804</v>
      </c>
      <c r="Z2281" s="12">
        <v>10.08313180398148</v>
      </c>
      <c r="AA2281" s="12" t="s">
        <v>1268</v>
      </c>
      <c r="AB2281" s="12"/>
    </row>
    <row r="2282" spans="1:28" x14ac:dyDescent="0.3">
      <c r="A2282" s="12" t="s">
        <v>4196</v>
      </c>
      <c r="B2282" s="12" t="s">
        <v>170</v>
      </c>
      <c r="C2282" s="12" t="s">
        <v>464</v>
      </c>
      <c r="D2282" s="12" t="s">
        <v>734</v>
      </c>
      <c r="E2282" s="12" t="s">
        <v>2978</v>
      </c>
      <c r="F2282" s="12" t="s">
        <v>1861</v>
      </c>
      <c r="G2282" s="12" t="s">
        <v>1861</v>
      </c>
      <c r="H2282" s="12" t="b">
        <v>1</v>
      </c>
      <c r="I2282" s="12" t="b">
        <v>0</v>
      </c>
      <c r="J2282" s="12" t="b">
        <v>1</v>
      </c>
      <c r="K2282" s="12" t="b">
        <v>0</v>
      </c>
      <c r="L2282" s="12">
        <v>623.15</v>
      </c>
      <c r="M2282" s="12">
        <v>281.16586672424978</v>
      </c>
      <c r="N2282" s="12">
        <v>2101.2531700651889</v>
      </c>
      <c r="O2282" s="12">
        <v>906.73836867701596</v>
      </c>
      <c r="P2282" s="12">
        <v>0.5</v>
      </c>
      <c r="Q2282" s="12">
        <v>0.85885813120063514</v>
      </c>
      <c r="R2282" s="12">
        <v>0.63184847896546004</v>
      </c>
      <c r="S2282" s="12">
        <v>0.40414054854366138</v>
      </c>
      <c r="T2282" s="12">
        <v>0.79423337656996285</v>
      </c>
      <c r="U2282" s="12">
        <v>0.55821418118998078</v>
      </c>
      <c r="V2282" s="12">
        <v>281.16586672424978</v>
      </c>
      <c r="W2282" s="12">
        <v>4.3210349308872003</v>
      </c>
      <c r="X2282" s="12">
        <v>36.349282792318178</v>
      </c>
      <c r="Y2282" s="12">
        <v>1194.514801388174</v>
      </c>
      <c r="Z2282" s="12">
        <v>2.31737537822629</v>
      </c>
      <c r="AA2282" s="12" t="s">
        <v>1268</v>
      </c>
      <c r="AB2282" s="12"/>
    </row>
    <row r="2283" spans="1:28" x14ac:dyDescent="0.3">
      <c r="A2283" s="12" t="s">
        <v>4197</v>
      </c>
      <c r="B2283" s="12" t="s">
        <v>170</v>
      </c>
      <c r="C2283" s="12" t="s">
        <v>464</v>
      </c>
      <c r="D2283" s="12" t="s">
        <v>734</v>
      </c>
      <c r="E2283" s="12" t="s">
        <v>2978</v>
      </c>
      <c r="F2283" s="12" t="s">
        <v>1861</v>
      </c>
      <c r="G2283" s="12" t="s">
        <v>1861</v>
      </c>
      <c r="H2283" s="12" t="b">
        <v>1</v>
      </c>
      <c r="I2283" s="12" t="b">
        <v>0</v>
      </c>
      <c r="J2283" s="12" t="b">
        <v>1</v>
      </c>
      <c r="K2283" s="12" t="b">
        <v>0</v>
      </c>
      <c r="L2283" s="12">
        <v>623.15</v>
      </c>
      <c r="M2283" s="12">
        <v>290.39158159546878</v>
      </c>
      <c r="N2283" s="12">
        <v>3437.3042290855792</v>
      </c>
      <c r="O2283" s="12">
        <v>850.41359455326631</v>
      </c>
      <c r="P2283" s="12">
        <v>0.5</v>
      </c>
      <c r="Q2283" s="12">
        <v>0.78537650303423567</v>
      </c>
      <c r="R2283" s="12">
        <v>0.43733086712542302</v>
      </c>
      <c r="S2283" s="12">
        <v>0.46348030833458181</v>
      </c>
      <c r="T2283" s="12">
        <v>0.84560774651597903</v>
      </c>
      <c r="U2283" s="12">
        <v>0.72119044626382434</v>
      </c>
      <c r="V2283" s="12">
        <v>290.39158159546878</v>
      </c>
      <c r="W2283" s="12">
        <v>8.2810627678724504</v>
      </c>
      <c r="X2283" s="12">
        <v>85.940345025732157</v>
      </c>
      <c r="Y2283" s="12">
        <v>2586.890634532313</v>
      </c>
      <c r="Z2283" s="12">
        <v>4.0419206032227661</v>
      </c>
      <c r="AA2283" s="12" t="s">
        <v>1268</v>
      </c>
      <c r="AB2283" s="12"/>
    </row>
    <row r="2284" spans="1:28" x14ac:dyDescent="0.3">
      <c r="A2284" s="12" t="s">
        <v>4198</v>
      </c>
      <c r="B2284" s="12" t="s">
        <v>170</v>
      </c>
      <c r="C2284" s="12" t="s">
        <v>464</v>
      </c>
      <c r="D2284" s="12" t="s">
        <v>734</v>
      </c>
      <c r="E2284" s="12" t="s">
        <v>2978</v>
      </c>
      <c r="F2284" s="12" t="s">
        <v>1861</v>
      </c>
      <c r="G2284" s="12" t="s">
        <v>1861</v>
      </c>
      <c r="H2284" s="12" t="b">
        <v>1</v>
      </c>
      <c r="I2284" s="12" t="b">
        <v>0</v>
      </c>
      <c r="J2284" s="12" t="b">
        <v>1</v>
      </c>
      <c r="K2284" s="12" t="b">
        <v>0</v>
      </c>
      <c r="L2284" s="12">
        <v>623.15</v>
      </c>
      <c r="M2284" s="12">
        <v>295.9812109658663</v>
      </c>
      <c r="N2284" s="12">
        <v>3215.8219494221298</v>
      </c>
      <c r="O2284" s="12">
        <v>253.2073328472934</v>
      </c>
      <c r="P2284" s="12">
        <v>0.5</v>
      </c>
      <c r="Q2284" s="12">
        <v>0.75693244095563728</v>
      </c>
      <c r="R2284" s="12">
        <v>0.78991616124495212</v>
      </c>
      <c r="S2284" s="12">
        <v>0.49437900145412511</v>
      </c>
      <c r="T2284" s="12">
        <v>0.65102371982480467</v>
      </c>
      <c r="U2284" s="12">
        <v>0.77911504322711023</v>
      </c>
      <c r="V2284" s="12">
        <v>295.9812109658663</v>
      </c>
      <c r="W2284" s="12">
        <v>12.556491533698409</v>
      </c>
      <c r="X2284" s="12">
        <v>139.31711797524201</v>
      </c>
      <c r="Y2284" s="12">
        <v>2962.6146165748369</v>
      </c>
      <c r="Z2284" s="12">
        <v>12.700350788662019</v>
      </c>
      <c r="AA2284" s="12" t="s">
        <v>1268</v>
      </c>
      <c r="AB2284" s="12"/>
    </row>
    <row r="2285" spans="1:28" x14ac:dyDescent="0.3">
      <c r="A2285" s="12" t="s">
        <v>4199</v>
      </c>
      <c r="B2285" s="12" t="s">
        <v>170</v>
      </c>
      <c r="C2285" s="12" t="s">
        <v>464</v>
      </c>
      <c r="D2285" s="12" t="s">
        <v>734</v>
      </c>
      <c r="E2285" s="12" t="s">
        <v>2978</v>
      </c>
      <c r="F2285" s="12" t="s">
        <v>832</v>
      </c>
      <c r="G2285" s="12" t="s">
        <v>832</v>
      </c>
      <c r="H2285" s="12" t="b">
        <v>0</v>
      </c>
      <c r="I2285" s="12" t="b">
        <v>0</v>
      </c>
      <c r="J2285" s="12" t="b">
        <v>0</v>
      </c>
      <c r="K2285" s="12" t="b">
        <v>0</v>
      </c>
      <c r="L2285" s="12">
        <v>623.15</v>
      </c>
      <c r="M2285" s="12">
        <v>300.09256130330601</v>
      </c>
      <c r="N2285" s="12">
        <v>2363.516210743458</v>
      </c>
      <c r="O2285" s="12">
        <v>531.23351156505225</v>
      </c>
      <c r="P2285" s="12">
        <v>0.5</v>
      </c>
      <c r="Q2285" s="12">
        <v>0.54843329460891121</v>
      </c>
      <c r="R2285" s="12">
        <v>0.92428351413173515</v>
      </c>
      <c r="S2285" s="12">
        <v>0.90411336987557356</v>
      </c>
      <c r="T2285" s="12">
        <v>0.5658472198785538</v>
      </c>
      <c r="U2285" s="12">
        <v>0.67370615206616213</v>
      </c>
      <c r="V2285" s="12">
        <v>300.09256130330601</v>
      </c>
      <c r="W2285" s="12"/>
      <c r="X2285" s="12"/>
      <c r="Y2285" s="12">
        <v>1832.2826991784059</v>
      </c>
      <c r="Z2285" s="12">
        <v>4.449109778071735</v>
      </c>
      <c r="AA2285" s="12"/>
      <c r="AB2285" s="12"/>
    </row>
    <row r="2286" spans="1:28" x14ac:dyDescent="0.3">
      <c r="A2286" s="12" t="s">
        <v>4200</v>
      </c>
      <c r="B2286" s="12" t="s">
        <v>170</v>
      </c>
      <c r="C2286" s="12" t="s">
        <v>464</v>
      </c>
      <c r="D2286" s="12" t="s">
        <v>734</v>
      </c>
      <c r="E2286" s="12" t="s">
        <v>2978</v>
      </c>
      <c r="F2286" s="12" t="s">
        <v>1862</v>
      </c>
      <c r="G2286" s="12" t="s">
        <v>1862</v>
      </c>
      <c r="H2286" s="12" t="b">
        <v>1</v>
      </c>
      <c r="I2286" s="12" t="b">
        <v>0</v>
      </c>
      <c r="J2286" s="12" t="b">
        <v>1</v>
      </c>
      <c r="K2286" s="12" t="b">
        <v>0</v>
      </c>
      <c r="L2286" s="12">
        <v>623.15</v>
      </c>
      <c r="M2286" s="12">
        <v>295.46693501521491</v>
      </c>
      <c r="N2286" s="12">
        <v>3175.4446032415431</v>
      </c>
      <c r="O2286" s="12">
        <v>1831.3106001856779</v>
      </c>
      <c r="P2286" s="12">
        <v>0.5</v>
      </c>
      <c r="Q2286" s="12">
        <v>0.5668248574995749</v>
      </c>
      <c r="R2286" s="12">
        <v>0.48020884863604091</v>
      </c>
      <c r="S2286" s="12">
        <v>0.63866178018682429</v>
      </c>
      <c r="T2286" s="12">
        <v>0.53004285987827404</v>
      </c>
      <c r="U2286" s="12">
        <v>0.56860940300102869</v>
      </c>
      <c r="V2286" s="12">
        <v>295.46693501521491</v>
      </c>
      <c r="W2286" s="12">
        <v>-0.75205425157762007</v>
      </c>
      <c r="X2286" s="12">
        <v>-8.6476440184009462</v>
      </c>
      <c r="Y2286" s="12">
        <v>1344.1340030558649</v>
      </c>
      <c r="Z2286" s="12">
        <v>1.7339738015602499</v>
      </c>
      <c r="AA2286" s="12" t="s">
        <v>2513</v>
      </c>
      <c r="AB2286" s="12"/>
    </row>
    <row r="2287" spans="1:28" x14ac:dyDescent="0.3">
      <c r="A2287" s="12" t="s">
        <v>4201</v>
      </c>
      <c r="B2287" s="12" t="s">
        <v>170</v>
      </c>
      <c r="C2287" s="12" t="s">
        <v>464</v>
      </c>
      <c r="D2287" s="12" t="s">
        <v>734</v>
      </c>
      <c r="E2287" s="12" t="s">
        <v>2978</v>
      </c>
      <c r="F2287" s="12" t="s">
        <v>1861</v>
      </c>
      <c r="G2287" s="12" t="s">
        <v>1861</v>
      </c>
      <c r="H2287" s="12" t="b">
        <v>1</v>
      </c>
      <c r="I2287" s="12" t="b">
        <v>0</v>
      </c>
      <c r="J2287" s="12" t="b">
        <v>1</v>
      </c>
      <c r="K2287" s="12" t="b">
        <v>0</v>
      </c>
      <c r="L2287" s="12">
        <v>623.15</v>
      </c>
      <c r="M2287" s="12">
        <v>297.81151925031122</v>
      </c>
      <c r="N2287" s="12">
        <v>4008.190899044529</v>
      </c>
      <c r="O2287" s="12">
        <v>366.91104038818651</v>
      </c>
      <c r="P2287" s="12">
        <v>0.5</v>
      </c>
      <c r="Q2287" s="12">
        <v>0.74441111440829122</v>
      </c>
      <c r="R2287" s="12">
        <v>0.66730127501561665</v>
      </c>
      <c r="S2287" s="12">
        <v>0.69901689249486276</v>
      </c>
      <c r="T2287" s="12">
        <v>0.63612404169658454</v>
      </c>
      <c r="U2287" s="12">
        <v>0.88407527891073734</v>
      </c>
      <c r="V2287" s="12">
        <v>297.81151925031122</v>
      </c>
      <c r="W2287" s="12">
        <v>13.418455386336669</v>
      </c>
      <c r="X2287" s="12">
        <v>229.17820847892321</v>
      </c>
      <c r="Y2287" s="12">
        <v>3641.2798586563431</v>
      </c>
      <c r="Z2287" s="12">
        <v>10.92414906568067</v>
      </c>
      <c r="AA2287" s="12" t="s">
        <v>1268</v>
      </c>
      <c r="AB2287" s="12"/>
    </row>
    <row r="2288" spans="1:28" x14ac:dyDescent="0.3">
      <c r="A2288" s="12" t="s">
        <v>4202</v>
      </c>
      <c r="B2288" s="12" t="s">
        <v>170</v>
      </c>
      <c r="C2288" s="12" t="s">
        <v>464</v>
      </c>
      <c r="D2288" s="12" t="s">
        <v>734</v>
      </c>
      <c r="E2288" s="12" t="s">
        <v>2978</v>
      </c>
      <c r="F2288" s="12" t="s">
        <v>832</v>
      </c>
      <c r="G2288" s="12" t="s">
        <v>832</v>
      </c>
      <c r="H2288" s="12" t="b">
        <v>0</v>
      </c>
      <c r="I2288" s="12" t="b">
        <v>0</v>
      </c>
      <c r="J2288" s="12" t="b">
        <v>0</v>
      </c>
      <c r="K2288" s="12" t="b">
        <v>0</v>
      </c>
      <c r="L2288" s="12">
        <v>623.15</v>
      </c>
      <c r="M2288" s="12">
        <v>297.8987683831615</v>
      </c>
      <c r="N2288" s="12">
        <v>4305.5790010917153</v>
      </c>
      <c r="O2288" s="12">
        <v>772.3960756385934</v>
      </c>
      <c r="P2288" s="12">
        <v>0.5</v>
      </c>
      <c r="Q2288" s="12">
        <v>0.57649440969288612</v>
      </c>
      <c r="R2288" s="12">
        <v>0.47673042417619632</v>
      </c>
      <c r="S2288" s="12">
        <v>0.94873619555812805</v>
      </c>
      <c r="T2288" s="12">
        <v>0.8380199500950043</v>
      </c>
      <c r="U2288" s="12">
        <v>0.86726562243305216</v>
      </c>
      <c r="V2288" s="12">
        <v>297.8987683831615</v>
      </c>
      <c r="W2288" s="12"/>
      <c r="X2288" s="12"/>
      <c r="Y2288" s="12">
        <v>3533.1829254531222</v>
      </c>
      <c r="Z2288" s="12">
        <v>5.5743149620898764</v>
      </c>
      <c r="AA2288" s="12"/>
      <c r="AB2288" s="12"/>
    </row>
    <row r="2289" spans="1:28" x14ac:dyDescent="0.3">
      <c r="A2289" s="12" t="s">
        <v>4203</v>
      </c>
      <c r="B2289" s="12" t="s">
        <v>170</v>
      </c>
      <c r="C2289" s="12" t="s">
        <v>464</v>
      </c>
      <c r="D2289" s="12" t="s">
        <v>734</v>
      </c>
      <c r="E2289" s="12" t="s">
        <v>2978</v>
      </c>
      <c r="F2289" s="12" t="s">
        <v>1861</v>
      </c>
      <c r="G2289" s="12" t="s">
        <v>1861</v>
      </c>
      <c r="H2289" s="12" t="b">
        <v>1</v>
      </c>
      <c r="I2289" s="12" t="b">
        <v>0</v>
      </c>
      <c r="J2289" s="12" t="b">
        <v>1</v>
      </c>
      <c r="K2289" s="12" t="b">
        <v>0</v>
      </c>
      <c r="L2289" s="12">
        <v>623.15</v>
      </c>
      <c r="M2289" s="12">
        <v>302.73547527076931</v>
      </c>
      <c r="N2289" s="12">
        <v>4070.499094943948</v>
      </c>
      <c r="O2289" s="12">
        <v>1191.521270757587</v>
      </c>
      <c r="P2289" s="12">
        <v>0.5</v>
      </c>
      <c r="Q2289" s="12">
        <v>0.48042675467826018</v>
      </c>
      <c r="R2289" s="12">
        <v>0.65784834297457495</v>
      </c>
      <c r="S2289" s="12">
        <v>0.79235604645834989</v>
      </c>
      <c r="T2289" s="12">
        <v>0.76329896438157951</v>
      </c>
      <c r="U2289" s="12">
        <v>0.7513227650208778</v>
      </c>
      <c r="V2289" s="12">
        <v>302.73547527076931</v>
      </c>
      <c r="W2289" s="12">
        <v>3.5687559149619998</v>
      </c>
      <c r="X2289" s="12">
        <v>59.922235213658453</v>
      </c>
      <c r="Y2289" s="12">
        <v>2878.977824186361</v>
      </c>
      <c r="Z2289" s="12">
        <v>3.4162202512388742</v>
      </c>
      <c r="AA2289" s="12" t="s">
        <v>1268</v>
      </c>
      <c r="AB2289" s="12"/>
    </row>
    <row r="2290" spans="1:28" x14ac:dyDescent="0.3">
      <c r="A2290" s="12" t="s">
        <v>4204</v>
      </c>
      <c r="B2290" s="12" t="s">
        <v>170</v>
      </c>
      <c r="C2290" s="12" t="s">
        <v>464</v>
      </c>
      <c r="D2290" s="12" t="s">
        <v>734</v>
      </c>
      <c r="E2290" s="12" t="s">
        <v>2978</v>
      </c>
      <c r="F2290" s="12" t="s">
        <v>1862</v>
      </c>
      <c r="G2290" s="12" t="s">
        <v>1862</v>
      </c>
      <c r="H2290" s="12" t="b">
        <v>1</v>
      </c>
      <c r="I2290" s="12" t="b">
        <v>0</v>
      </c>
      <c r="J2290" s="12" t="b">
        <v>1</v>
      </c>
      <c r="K2290" s="12" t="b">
        <v>0</v>
      </c>
      <c r="L2290" s="12">
        <v>623.15</v>
      </c>
      <c r="M2290" s="12">
        <v>280.73246570791019</v>
      </c>
      <c r="N2290" s="12">
        <v>4901.7469279369907</v>
      </c>
      <c r="O2290" s="12">
        <v>960.87012586224159</v>
      </c>
      <c r="P2290" s="12">
        <v>0.5</v>
      </c>
      <c r="Q2290" s="12">
        <v>0.47309921642531821</v>
      </c>
      <c r="R2290" s="12">
        <v>0.40960260908952878</v>
      </c>
      <c r="S2290" s="12">
        <v>0.63302668020607522</v>
      </c>
      <c r="T2290" s="12">
        <v>0.74358283950158788</v>
      </c>
      <c r="U2290" s="12">
        <v>0.590370381040903</v>
      </c>
      <c r="V2290" s="12">
        <v>280.73246570791019</v>
      </c>
      <c r="W2290" s="12">
        <v>-4.9078403729716999</v>
      </c>
      <c r="X2290" s="12">
        <v>-55.166517214569971</v>
      </c>
      <c r="Y2290" s="12">
        <v>3940.8768020747489</v>
      </c>
      <c r="Z2290" s="12">
        <v>5.1013626045854883</v>
      </c>
      <c r="AA2290" s="12" t="s">
        <v>2513</v>
      </c>
      <c r="AB2290" s="12"/>
    </row>
    <row r="2291" spans="1:28" x14ac:dyDescent="0.3">
      <c r="A2291" s="12" t="s">
        <v>4205</v>
      </c>
      <c r="B2291" s="12" t="s">
        <v>170</v>
      </c>
      <c r="C2291" s="12" t="s">
        <v>464</v>
      </c>
      <c r="D2291" s="12" t="s">
        <v>734</v>
      </c>
      <c r="E2291" s="12" t="s">
        <v>2978</v>
      </c>
      <c r="F2291" s="12" t="s">
        <v>1861</v>
      </c>
      <c r="G2291" s="12" t="s">
        <v>1861</v>
      </c>
      <c r="H2291" s="12" t="b">
        <v>1</v>
      </c>
      <c r="I2291" s="12" t="b">
        <v>0</v>
      </c>
      <c r="J2291" s="12" t="b">
        <v>1</v>
      </c>
      <c r="K2291" s="12" t="b">
        <v>0</v>
      </c>
      <c r="L2291" s="12">
        <v>623.15</v>
      </c>
      <c r="M2291" s="12">
        <v>301.11243237780388</v>
      </c>
      <c r="N2291" s="12">
        <v>3314.4008247885481</v>
      </c>
      <c r="O2291" s="12">
        <v>1272.290929718981</v>
      </c>
      <c r="P2291" s="12">
        <v>0.5</v>
      </c>
      <c r="Q2291" s="12">
        <v>0.63780797980581005</v>
      </c>
      <c r="R2291" s="12">
        <v>0.73260472658193532</v>
      </c>
      <c r="S2291" s="12">
        <v>0.44681466853699581</v>
      </c>
      <c r="T2291" s="12">
        <v>0.47070464131876699</v>
      </c>
      <c r="U2291" s="12">
        <v>0.53563082341195578</v>
      </c>
      <c r="V2291" s="12">
        <v>301.11243237780388</v>
      </c>
      <c r="W2291" s="12">
        <v>1.9898761518775301</v>
      </c>
      <c r="X2291" s="12">
        <v>16.977473412852149</v>
      </c>
      <c r="Y2291" s="12">
        <v>2042.1098950695659</v>
      </c>
      <c r="Z2291" s="12">
        <v>2.6050651996085672</v>
      </c>
      <c r="AA2291" s="12" t="s">
        <v>1268</v>
      </c>
      <c r="AB2291" s="12"/>
    </row>
    <row r="2292" spans="1:28" x14ac:dyDescent="0.3">
      <c r="A2292" s="12" t="s">
        <v>4206</v>
      </c>
      <c r="B2292" s="12" t="s">
        <v>170</v>
      </c>
      <c r="C2292" s="12" t="s">
        <v>464</v>
      </c>
      <c r="D2292" s="12" t="s">
        <v>734</v>
      </c>
      <c r="E2292" s="12" t="s">
        <v>2978</v>
      </c>
      <c r="F2292" s="12" t="s">
        <v>1861</v>
      </c>
      <c r="G2292" s="12" t="s">
        <v>1861</v>
      </c>
      <c r="H2292" s="12" t="b">
        <v>1</v>
      </c>
      <c r="I2292" s="12" t="b">
        <v>0</v>
      </c>
      <c r="J2292" s="12" t="b">
        <v>1</v>
      </c>
      <c r="K2292" s="12" t="b">
        <v>0</v>
      </c>
      <c r="L2292" s="12">
        <v>623.15</v>
      </c>
      <c r="M2292" s="12">
        <v>301.80295925509148</v>
      </c>
      <c r="N2292" s="12">
        <v>3761.3471549453488</v>
      </c>
      <c r="O2292" s="12">
        <v>1533.9062064953389</v>
      </c>
      <c r="P2292" s="12">
        <v>0.5</v>
      </c>
      <c r="Q2292" s="12">
        <v>0.76606027206655525</v>
      </c>
      <c r="R2292" s="12">
        <v>0.50349423323969167</v>
      </c>
      <c r="S2292" s="12">
        <v>0.46908564719441997</v>
      </c>
      <c r="T2292" s="12">
        <v>0.71149817933526283</v>
      </c>
      <c r="U2292" s="12">
        <v>0.62533838637839279</v>
      </c>
      <c r="V2292" s="12">
        <v>301.80295925509148</v>
      </c>
      <c r="W2292" s="12">
        <v>3.8242179694131599</v>
      </c>
      <c r="X2292" s="12">
        <v>36.713797201469873</v>
      </c>
      <c r="Y2292" s="12">
        <v>2227.4409484500102</v>
      </c>
      <c r="Z2292" s="12">
        <v>2.4521363425077052</v>
      </c>
      <c r="AA2292" s="12" t="s">
        <v>1268</v>
      </c>
      <c r="AB2292" s="12"/>
    </row>
    <row r="2293" spans="1:28" x14ac:dyDescent="0.3">
      <c r="A2293" s="12" t="s">
        <v>4207</v>
      </c>
      <c r="B2293" s="12" t="s">
        <v>170</v>
      </c>
      <c r="C2293" s="12" t="s">
        <v>464</v>
      </c>
      <c r="D2293" s="12" t="s">
        <v>734</v>
      </c>
      <c r="E2293" s="12" t="s">
        <v>2978</v>
      </c>
      <c r="F2293" s="12" t="s">
        <v>832</v>
      </c>
      <c r="G2293" s="12" t="s">
        <v>832</v>
      </c>
      <c r="H2293" s="12" t="b">
        <v>0</v>
      </c>
      <c r="I2293" s="12" t="b">
        <v>0</v>
      </c>
      <c r="J2293" s="12" t="b">
        <v>0</v>
      </c>
      <c r="K2293" s="12" t="b">
        <v>0</v>
      </c>
      <c r="L2293" s="12">
        <v>623.15</v>
      </c>
      <c r="M2293" s="12">
        <v>283.65262319845328</v>
      </c>
      <c r="N2293" s="12">
        <v>4513.291469633039</v>
      </c>
      <c r="O2293" s="12">
        <v>820.7067047694444</v>
      </c>
      <c r="P2293" s="12">
        <v>0.5</v>
      </c>
      <c r="Q2293" s="12">
        <v>0.8506683725122195</v>
      </c>
      <c r="R2293" s="12">
        <v>0.64867991148041759</v>
      </c>
      <c r="S2293" s="12">
        <v>0.89404320635054413</v>
      </c>
      <c r="T2293" s="12">
        <v>0.64279252362061667</v>
      </c>
      <c r="U2293" s="12">
        <v>0.71560106920610655</v>
      </c>
      <c r="V2293" s="12">
        <v>283.65262319845328</v>
      </c>
      <c r="W2293" s="12"/>
      <c r="X2293" s="12"/>
      <c r="Y2293" s="12">
        <v>3692.584764863595</v>
      </c>
      <c r="Z2293" s="12">
        <v>5.4992745196360104</v>
      </c>
      <c r="AA2293" s="12"/>
      <c r="AB2293" s="12"/>
    </row>
    <row r="2294" spans="1:28" x14ac:dyDescent="0.3">
      <c r="A2294" s="12" t="s">
        <v>4208</v>
      </c>
      <c r="B2294" s="12" t="s">
        <v>170</v>
      </c>
      <c r="C2294" s="12" t="s">
        <v>464</v>
      </c>
      <c r="D2294" s="12" t="s">
        <v>734</v>
      </c>
      <c r="E2294" s="12" t="s">
        <v>2978</v>
      </c>
      <c r="F2294" s="12" t="s">
        <v>1862</v>
      </c>
      <c r="G2294" s="12" t="s">
        <v>1862</v>
      </c>
      <c r="H2294" s="12" t="b">
        <v>1</v>
      </c>
      <c r="I2294" s="12" t="b">
        <v>0</v>
      </c>
      <c r="J2294" s="12" t="b">
        <v>1</v>
      </c>
      <c r="K2294" s="12" t="b">
        <v>0</v>
      </c>
      <c r="L2294" s="12">
        <v>623.15</v>
      </c>
      <c r="M2294" s="12">
        <v>278.28062272518872</v>
      </c>
      <c r="N2294" s="12">
        <v>4786.7473616901489</v>
      </c>
      <c r="O2294" s="12">
        <v>1034.2649143604799</v>
      </c>
      <c r="P2294" s="12">
        <v>0.5</v>
      </c>
      <c r="Q2294" s="12">
        <v>0.43891868036683818</v>
      </c>
      <c r="R2294" s="12">
        <v>0.60872707276637705</v>
      </c>
      <c r="S2294" s="12">
        <v>0.67040931155861538</v>
      </c>
      <c r="T2294" s="12">
        <v>0.72560987771463803</v>
      </c>
      <c r="U2294" s="12">
        <v>0.58401271453124248</v>
      </c>
      <c r="V2294" s="12">
        <v>278.28062272518872</v>
      </c>
      <c r="W2294" s="12">
        <v>-0.86471516702750995</v>
      </c>
      <c r="X2294" s="12">
        <v>-10.43890016948423</v>
      </c>
      <c r="Y2294" s="12">
        <v>3752.482447329669</v>
      </c>
      <c r="Z2294" s="12">
        <v>4.6281637279071299</v>
      </c>
      <c r="AA2294" s="12" t="s">
        <v>2513</v>
      </c>
      <c r="AB2294" s="12"/>
    </row>
    <row r="2295" spans="1:28" x14ac:dyDescent="0.3">
      <c r="A2295" s="12" t="s">
        <v>4209</v>
      </c>
      <c r="B2295" s="12" t="s">
        <v>170</v>
      </c>
      <c r="C2295" s="12" t="s">
        <v>464</v>
      </c>
      <c r="D2295" s="12" t="s">
        <v>734</v>
      </c>
      <c r="E2295" s="12" t="s">
        <v>2978</v>
      </c>
      <c r="F2295" s="12" t="s">
        <v>1861</v>
      </c>
      <c r="G2295" s="12" t="s">
        <v>1861</v>
      </c>
      <c r="H2295" s="12" t="b">
        <v>1</v>
      </c>
      <c r="I2295" s="12" t="b">
        <v>0</v>
      </c>
      <c r="J2295" s="12" t="b">
        <v>1</v>
      </c>
      <c r="K2295" s="12" t="b">
        <v>0</v>
      </c>
      <c r="L2295" s="12">
        <v>623.15</v>
      </c>
      <c r="M2295" s="12">
        <v>300.67777523545698</v>
      </c>
      <c r="N2295" s="12">
        <v>3788.4118388261031</v>
      </c>
      <c r="O2295" s="12">
        <v>353.25442524265208</v>
      </c>
      <c r="P2295" s="12">
        <v>0.5</v>
      </c>
      <c r="Q2295" s="12">
        <v>0.65457218002994288</v>
      </c>
      <c r="R2295" s="12">
        <v>0.56213652697739147</v>
      </c>
      <c r="S2295" s="12">
        <v>0.41731242232571403</v>
      </c>
      <c r="T2295" s="12">
        <v>0.76860063741201212</v>
      </c>
      <c r="U2295" s="12">
        <v>0.78881783019304219</v>
      </c>
      <c r="V2295" s="12">
        <v>300.67777523545698</v>
      </c>
      <c r="W2295" s="12">
        <v>10.17823036478066</v>
      </c>
      <c r="X2295" s="12">
        <v>96.819794791479126</v>
      </c>
      <c r="Y2295" s="12">
        <v>3435.1574135834512</v>
      </c>
      <c r="Z2295" s="12">
        <v>10.7243153039734</v>
      </c>
      <c r="AA2295" s="12" t="s">
        <v>1268</v>
      </c>
      <c r="AB2295" s="12"/>
    </row>
    <row r="2296" spans="1:28" x14ac:dyDescent="0.3">
      <c r="A2296" s="12" t="s">
        <v>4210</v>
      </c>
      <c r="B2296" s="12" t="s">
        <v>170</v>
      </c>
      <c r="C2296" s="12" t="s">
        <v>464</v>
      </c>
      <c r="D2296" s="12" t="s">
        <v>734</v>
      </c>
      <c r="E2296" s="12" t="s">
        <v>2978</v>
      </c>
      <c r="F2296" s="12" t="s">
        <v>1861</v>
      </c>
      <c r="G2296" s="12" t="s">
        <v>1861</v>
      </c>
      <c r="H2296" s="12" t="b">
        <v>1</v>
      </c>
      <c r="I2296" s="12" t="b">
        <v>0</v>
      </c>
      <c r="J2296" s="12" t="b">
        <v>1</v>
      </c>
      <c r="K2296" s="12" t="b">
        <v>0</v>
      </c>
      <c r="L2296" s="12">
        <v>623.15</v>
      </c>
      <c r="M2296" s="12">
        <v>291.29046523082923</v>
      </c>
      <c r="N2296" s="12">
        <v>3845.309923918609</v>
      </c>
      <c r="O2296" s="12">
        <v>872.79649937010845</v>
      </c>
      <c r="P2296" s="12">
        <v>0.5</v>
      </c>
      <c r="Q2296" s="12">
        <v>0.59804314818144466</v>
      </c>
      <c r="R2296" s="12">
        <v>0.55438076286162141</v>
      </c>
      <c r="S2296" s="12">
        <v>0.55014029657787522</v>
      </c>
      <c r="T2296" s="12">
        <v>0.6938750409349419</v>
      </c>
      <c r="U2296" s="12">
        <v>0.57041526931579145</v>
      </c>
      <c r="V2296" s="12">
        <v>291.29046523082923</v>
      </c>
      <c r="W2296" s="12">
        <v>0.20904355436946989</v>
      </c>
      <c r="X2296" s="12">
        <v>2.119032692159422</v>
      </c>
      <c r="Y2296" s="12">
        <v>2972.513424548501</v>
      </c>
      <c r="Z2296" s="12">
        <v>4.4057348152676434</v>
      </c>
      <c r="AA2296" s="12" t="s">
        <v>1268</v>
      </c>
      <c r="AB2296" s="12"/>
    </row>
    <row r="2297" spans="1:28" x14ac:dyDescent="0.3">
      <c r="A2297" s="12" t="s">
        <v>4211</v>
      </c>
      <c r="B2297" s="12" t="s">
        <v>170</v>
      </c>
      <c r="C2297" s="12" t="s">
        <v>464</v>
      </c>
      <c r="D2297" s="12" t="s">
        <v>734</v>
      </c>
      <c r="E2297" s="12" t="s">
        <v>2978</v>
      </c>
      <c r="F2297" s="12" t="s">
        <v>1861</v>
      </c>
      <c r="G2297" s="12" t="s">
        <v>1861</v>
      </c>
      <c r="H2297" s="12" t="b">
        <v>1</v>
      </c>
      <c r="I2297" s="12" t="b">
        <v>0</v>
      </c>
      <c r="J2297" s="12" t="b">
        <v>1</v>
      </c>
      <c r="K2297" s="12" t="b">
        <v>0</v>
      </c>
      <c r="L2297" s="12">
        <v>623.15</v>
      </c>
      <c r="M2297" s="12">
        <v>281.9704027662923</v>
      </c>
      <c r="N2297" s="12">
        <v>3069.1943727159201</v>
      </c>
      <c r="O2297" s="12">
        <v>1353.0666895390279</v>
      </c>
      <c r="P2297" s="12">
        <v>0.5</v>
      </c>
      <c r="Q2297" s="12">
        <v>0.45364022526550529</v>
      </c>
      <c r="R2297" s="12">
        <v>0.54331304494344246</v>
      </c>
      <c r="S2297" s="12">
        <v>0.54520330421270224</v>
      </c>
      <c r="T2297" s="12">
        <v>0.63114425541435915</v>
      </c>
      <c r="U2297" s="12">
        <v>0.6958001222138458</v>
      </c>
      <c r="V2297" s="12">
        <v>281.9704027662923</v>
      </c>
      <c r="W2297" s="12">
        <v>2.11143760702919</v>
      </c>
      <c r="X2297" s="12">
        <v>25.505216291318391</v>
      </c>
      <c r="Y2297" s="12">
        <v>1716.1276831768921</v>
      </c>
      <c r="Z2297" s="12">
        <v>2.2683245374709169</v>
      </c>
      <c r="AA2297" s="12" t="s">
        <v>1268</v>
      </c>
      <c r="AB2297" s="12"/>
    </row>
    <row r="2298" spans="1:28" x14ac:dyDescent="0.3">
      <c r="A2298" s="12" t="s">
        <v>4212</v>
      </c>
      <c r="B2298" s="12" t="s">
        <v>170</v>
      </c>
      <c r="C2298" s="12" t="s">
        <v>464</v>
      </c>
      <c r="D2298" s="12" t="s">
        <v>734</v>
      </c>
      <c r="E2298" s="12" t="s">
        <v>2978</v>
      </c>
      <c r="F2298" s="12" t="s">
        <v>32</v>
      </c>
      <c r="G2298" s="12" t="s">
        <v>32</v>
      </c>
      <c r="H2298" s="12" t="b">
        <v>1</v>
      </c>
      <c r="I2298" s="12" t="b">
        <v>0</v>
      </c>
      <c r="J2298" s="12" t="b">
        <v>1</v>
      </c>
      <c r="K2298" s="12" t="b">
        <v>0</v>
      </c>
      <c r="L2298" s="12">
        <v>623.15</v>
      </c>
      <c r="M2298" s="12">
        <v>281.88671480123281</v>
      </c>
      <c r="N2298" s="12">
        <v>3634.0038787952658</v>
      </c>
      <c r="O2298" s="12">
        <v>654.55302031238375</v>
      </c>
      <c r="P2298" s="12">
        <v>0.5</v>
      </c>
      <c r="Q2298" s="12">
        <v>0.41031421033753901</v>
      </c>
      <c r="R2298" s="12">
        <v>0.45881478153100358</v>
      </c>
      <c r="S2298" s="12">
        <v>0.79981841698359479</v>
      </c>
      <c r="T2298" s="12">
        <v>0.9401385208836972</v>
      </c>
      <c r="U2298" s="12">
        <v>0.93930511227076985</v>
      </c>
      <c r="V2298" s="12">
        <v>281.88671480123281</v>
      </c>
      <c r="W2298" s="12">
        <v>5.2083905385346796</v>
      </c>
      <c r="X2298" s="12">
        <v>109.35553002969149</v>
      </c>
      <c r="Y2298" s="12">
        <v>2979.4508584828818</v>
      </c>
      <c r="Z2298" s="12">
        <v>5.5518861971807061</v>
      </c>
      <c r="AA2298" s="12"/>
      <c r="AB2298" s="12"/>
    </row>
    <row r="2299" spans="1:28" x14ac:dyDescent="0.3">
      <c r="A2299" s="12" t="s">
        <v>4213</v>
      </c>
      <c r="B2299" s="12" t="s">
        <v>170</v>
      </c>
      <c r="C2299" s="12" t="s">
        <v>464</v>
      </c>
      <c r="D2299" s="12" t="s">
        <v>734</v>
      </c>
      <c r="E2299" s="12" t="s">
        <v>2978</v>
      </c>
      <c r="F2299" s="12" t="s">
        <v>832</v>
      </c>
      <c r="G2299" s="12" t="s">
        <v>832</v>
      </c>
      <c r="H2299" s="12" t="b">
        <v>0</v>
      </c>
      <c r="I2299" s="12" t="b">
        <v>0</v>
      </c>
      <c r="J2299" s="12" t="b">
        <v>0</v>
      </c>
      <c r="K2299" s="12" t="b">
        <v>0</v>
      </c>
      <c r="L2299" s="12">
        <v>623.15</v>
      </c>
      <c r="M2299" s="12">
        <v>286.36579283284948</v>
      </c>
      <c r="N2299" s="12">
        <v>4096.793341717359</v>
      </c>
      <c r="O2299" s="12">
        <v>1308.688046656212</v>
      </c>
      <c r="P2299" s="12">
        <v>0.5</v>
      </c>
      <c r="Q2299" s="12">
        <v>0.46181984651945018</v>
      </c>
      <c r="R2299" s="12">
        <v>0.63805051688729375</v>
      </c>
      <c r="S2299" s="12">
        <v>0.84784974433091675</v>
      </c>
      <c r="T2299" s="12">
        <v>0.62329984895088608</v>
      </c>
      <c r="U2299" s="12">
        <v>0.66688287990234785</v>
      </c>
      <c r="V2299" s="12">
        <v>286.36579283284948</v>
      </c>
      <c r="W2299" s="12"/>
      <c r="X2299" s="12"/>
      <c r="Y2299" s="12">
        <v>2788.105295061147</v>
      </c>
      <c r="Z2299" s="12">
        <v>3.1304582877370559</v>
      </c>
      <c r="AA2299" s="12"/>
      <c r="AB2299" s="12"/>
    </row>
    <row r="2300" spans="1:28" x14ac:dyDescent="0.3">
      <c r="A2300" s="12" t="s">
        <v>4214</v>
      </c>
      <c r="B2300" s="12" t="s">
        <v>170</v>
      </c>
      <c r="C2300" s="12" t="s">
        <v>464</v>
      </c>
      <c r="D2300" s="12" t="s">
        <v>734</v>
      </c>
      <c r="E2300" s="12" t="s">
        <v>2978</v>
      </c>
      <c r="F2300" s="12" t="s">
        <v>832</v>
      </c>
      <c r="G2300" s="12" t="s">
        <v>832</v>
      </c>
      <c r="H2300" s="12" t="b">
        <v>0</v>
      </c>
      <c r="I2300" s="12" t="b">
        <v>0</v>
      </c>
      <c r="J2300" s="12" t="b">
        <v>0</v>
      </c>
      <c r="K2300" s="12" t="b">
        <v>0</v>
      </c>
      <c r="L2300" s="12">
        <v>623.15</v>
      </c>
      <c r="M2300" s="12">
        <v>298.20972194003372</v>
      </c>
      <c r="N2300" s="12">
        <v>3503.4075898564338</v>
      </c>
      <c r="O2300" s="12">
        <v>1052.8638467769031</v>
      </c>
      <c r="P2300" s="12">
        <v>0.5</v>
      </c>
      <c r="Q2300" s="12">
        <v>0.52641255230731099</v>
      </c>
      <c r="R2300" s="12">
        <v>0.82859481686977166</v>
      </c>
      <c r="S2300" s="12">
        <v>0.83841800367438279</v>
      </c>
      <c r="T2300" s="12">
        <v>0.61395618259240181</v>
      </c>
      <c r="U2300" s="12">
        <v>0.61646906131709256</v>
      </c>
      <c r="V2300" s="12">
        <v>298.20972194003372</v>
      </c>
      <c r="W2300" s="12"/>
      <c r="X2300" s="12"/>
      <c r="Y2300" s="12">
        <v>2450.5437430795309</v>
      </c>
      <c r="Z2300" s="12">
        <v>3.32750298206297</v>
      </c>
      <c r="AA2300" s="12"/>
      <c r="AB2300" s="12"/>
    </row>
    <row r="2301" spans="1:28" x14ac:dyDescent="0.3">
      <c r="A2301" s="12" t="s">
        <v>4215</v>
      </c>
      <c r="B2301" s="12" t="s">
        <v>170</v>
      </c>
      <c r="C2301" s="12" t="s">
        <v>464</v>
      </c>
      <c r="D2301" s="12" t="s">
        <v>734</v>
      </c>
      <c r="E2301" s="12" t="s">
        <v>2978</v>
      </c>
      <c r="F2301" s="12" t="s">
        <v>1861</v>
      </c>
      <c r="G2301" s="12" t="s">
        <v>1861</v>
      </c>
      <c r="H2301" s="12" t="b">
        <v>1</v>
      </c>
      <c r="I2301" s="12" t="b">
        <v>0</v>
      </c>
      <c r="J2301" s="12" t="b">
        <v>1</v>
      </c>
      <c r="K2301" s="12" t="b">
        <v>0</v>
      </c>
      <c r="L2301" s="12">
        <v>623.15</v>
      </c>
      <c r="M2301" s="12">
        <v>283.34535397410161</v>
      </c>
      <c r="N2301" s="12">
        <v>2923.8459890556928</v>
      </c>
      <c r="O2301" s="12">
        <v>809.10072952384576</v>
      </c>
      <c r="P2301" s="12">
        <v>0.5</v>
      </c>
      <c r="Q2301" s="12">
        <v>0.56070165314757581</v>
      </c>
      <c r="R2301" s="12">
        <v>0.64513606572136073</v>
      </c>
      <c r="S2301" s="12">
        <v>0.69513178661770803</v>
      </c>
      <c r="T2301" s="12">
        <v>0.58616825553157326</v>
      </c>
      <c r="U2301" s="12">
        <v>0.76958121958117531</v>
      </c>
      <c r="V2301" s="12">
        <v>283.34535397410161</v>
      </c>
      <c r="W2301" s="12">
        <v>5.2290316033341302</v>
      </c>
      <c r="X2301" s="12">
        <v>83.62900648172679</v>
      </c>
      <c r="Y2301" s="12">
        <v>2114.7452595318482</v>
      </c>
      <c r="Z2301" s="12">
        <v>3.613698371989321</v>
      </c>
      <c r="AA2301" s="12" t="s">
        <v>1268</v>
      </c>
      <c r="AB2301" s="12"/>
    </row>
    <row r="2302" spans="1:28" x14ac:dyDescent="0.3">
      <c r="A2302" s="12" t="s">
        <v>4216</v>
      </c>
      <c r="B2302" s="12" t="s">
        <v>170</v>
      </c>
      <c r="C2302" s="12" t="s">
        <v>464</v>
      </c>
      <c r="D2302" s="12" t="s">
        <v>734</v>
      </c>
      <c r="E2302" s="12" t="s">
        <v>2978</v>
      </c>
      <c r="F2302" s="12" t="s">
        <v>1862</v>
      </c>
      <c r="G2302" s="12" t="s">
        <v>1862</v>
      </c>
      <c r="H2302" s="12" t="b">
        <v>1</v>
      </c>
      <c r="I2302" s="12" t="b">
        <v>0</v>
      </c>
      <c r="J2302" s="12" t="b">
        <v>1</v>
      </c>
      <c r="K2302" s="12" t="b">
        <v>0</v>
      </c>
      <c r="L2302" s="12">
        <v>623.15</v>
      </c>
      <c r="M2302" s="12">
        <v>284.16682468564437</v>
      </c>
      <c r="N2302" s="12">
        <v>3802.571323382816</v>
      </c>
      <c r="O2302" s="12">
        <v>723.83436202449741</v>
      </c>
      <c r="P2302" s="12">
        <v>0.5</v>
      </c>
      <c r="Q2302" s="12">
        <v>0.48872917747012551</v>
      </c>
      <c r="R2302" s="12">
        <v>0.93085330792054843</v>
      </c>
      <c r="S2302" s="12">
        <v>0.58047058138860996</v>
      </c>
      <c r="T2302" s="12">
        <v>0.53951911928438823</v>
      </c>
      <c r="U2302" s="12">
        <v>0.44049851408771767</v>
      </c>
      <c r="V2302" s="12">
        <v>284.16682468564437</v>
      </c>
      <c r="W2302" s="12">
        <v>-1.80745076446631</v>
      </c>
      <c r="X2302" s="12">
        <v>-15.84957612680954</v>
      </c>
      <c r="Y2302" s="12">
        <v>3078.7369613583191</v>
      </c>
      <c r="Z2302" s="12">
        <v>5.2533722117686947</v>
      </c>
      <c r="AA2302" s="12" t="s">
        <v>2513</v>
      </c>
      <c r="AB2302" s="12"/>
    </row>
    <row r="2303" spans="1:28" x14ac:dyDescent="0.3">
      <c r="A2303" s="12" t="s">
        <v>4217</v>
      </c>
      <c r="B2303" s="12" t="s">
        <v>170</v>
      </c>
      <c r="C2303" s="12" t="s">
        <v>464</v>
      </c>
      <c r="D2303" s="12" t="s">
        <v>734</v>
      </c>
      <c r="E2303" s="12" t="s">
        <v>2978</v>
      </c>
      <c r="F2303" s="12" t="s">
        <v>832</v>
      </c>
      <c r="G2303" s="12" t="s">
        <v>832</v>
      </c>
      <c r="H2303" s="12" t="b">
        <v>0</v>
      </c>
      <c r="I2303" s="12" t="b">
        <v>0</v>
      </c>
      <c r="J2303" s="12" t="b">
        <v>0</v>
      </c>
      <c r="K2303" s="12" t="b">
        <v>0</v>
      </c>
      <c r="L2303" s="12">
        <v>623.15</v>
      </c>
      <c r="M2303" s="12">
        <v>288.95534146173708</v>
      </c>
      <c r="N2303" s="12">
        <v>3363.033421545289</v>
      </c>
      <c r="O2303" s="12">
        <v>968.35094044936159</v>
      </c>
      <c r="P2303" s="12">
        <v>0.5</v>
      </c>
      <c r="Q2303" s="12">
        <v>0.47408471149939291</v>
      </c>
      <c r="R2303" s="12">
        <v>0.66403250731283958</v>
      </c>
      <c r="S2303" s="12">
        <v>0.92020341313030041</v>
      </c>
      <c r="T2303" s="12">
        <v>0.45714917700188401</v>
      </c>
      <c r="U2303" s="12">
        <v>0.48570284937444258</v>
      </c>
      <c r="V2303" s="12">
        <v>288.95534146173708</v>
      </c>
      <c r="W2303" s="12"/>
      <c r="X2303" s="12"/>
      <c r="Y2303" s="12">
        <v>2394.682481095927</v>
      </c>
      <c r="Z2303" s="12">
        <v>3.4729489909770508</v>
      </c>
      <c r="AA2303" s="12"/>
      <c r="AB2303" s="12"/>
    </row>
    <row r="2304" spans="1:28" x14ac:dyDescent="0.3">
      <c r="A2304" s="12" t="s">
        <v>4218</v>
      </c>
      <c r="B2304" s="12" t="s">
        <v>170</v>
      </c>
      <c r="C2304" s="12" t="s">
        <v>464</v>
      </c>
      <c r="D2304" s="12" t="s">
        <v>734</v>
      </c>
      <c r="E2304" s="12" t="s">
        <v>2978</v>
      </c>
      <c r="F2304" s="12" t="s">
        <v>832</v>
      </c>
      <c r="G2304" s="12" t="s">
        <v>832</v>
      </c>
      <c r="H2304" s="12" t="b">
        <v>0</v>
      </c>
      <c r="I2304" s="12" t="b">
        <v>0</v>
      </c>
      <c r="J2304" s="12" t="b">
        <v>0</v>
      </c>
      <c r="K2304" s="12" t="b">
        <v>0</v>
      </c>
      <c r="L2304" s="12">
        <v>623.15</v>
      </c>
      <c r="M2304" s="12">
        <v>286.99851464324593</v>
      </c>
      <c r="N2304" s="12">
        <v>4569.9792399247162</v>
      </c>
      <c r="O2304" s="12">
        <v>1798.6269920365239</v>
      </c>
      <c r="P2304" s="12">
        <v>0.5</v>
      </c>
      <c r="Q2304" s="12">
        <v>0.7399846233090982</v>
      </c>
      <c r="R2304" s="12">
        <v>0.4643883722713667</v>
      </c>
      <c r="S2304" s="12">
        <v>0.9369453882938904</v>
      </c>
      <c r="T2304" s="12">
        <v>0.71917035879120461</v>
      </c>
      <c r="U2304" s="12">
        <v>0.47371883096898182</v>
      </c>
      <c r="V2304" s="12">
        <v>286.99851464324593</v>
      </c>
      <c r="W2304" s="12"/>
      <c r="X2304" s="12"/>
      <c r="Y2304" s="12">
        <v>2771.3522478881919</v>
      </c>
      <c r="Z2304" s="12">
        <v>2.5408154443130448</v>
      </c>
      <c r="AA2304" s="12"/>
      <c r="AB2304" s="12"/>
    </row>
    <row r="2305" spans="1:28" x14ac:dyDescent="0.3">
      <c r="A2305" s="12" t="s">
        <v>4219</v>
      </c>
      <c r="B2305" s="12" t="s">
        <v>170</v>
      </c>
      <c r="C2305" s="12" t="s">
        <v>464</v>
      </c>
      <c r="D2305" s="12" t="s">
        <v>734</v>
      </c>
      <c r="E2305" s="12" t="s">
        <v>2978</v>
      </c>
      <c r="F2305" s="12" t="s">
        <v>1861</v>
      </c>
      <c r="G2305" s="12" t="s">
        <v>1861</v>
      </c>
      <c r="H2305" s="12" t="b">
        <v>1</v>
      </c>
      <c r="I2305" s="12" t="b">
        <v>0</v>
      </c>
      <c r="J2305" s="12" t="b">
        <v>1</v>
      </c>
      <c r="K2305" s="12" t="b">
        <v>0</v>
      </c>
      <c r="L2305" s="12">
        <v>623.15</v>
      </c>
      <c r="M2305" s="12">
        <v>300.58198239491622</v>
      </c>
      <c r="N2305" s="12">
        <v>3479.4891550376169</v>
      </c>
      <c r="O2305" s="12">
        <v>521.3504864564843</v>
      </c>
      <c r="P2305" s="12">
        <v>0.5</v>
      </c>
      <c r="Q2305" s="12">
        <v>0.41951899674395871</v>
      </c>
      <c r="R2305" s="12">
        <v>0.94106531866199739</v>
      </c>
      <c r="S2305" s="12">
        <v>0.47870591910586979</v>
      </c>
      <c r="T2305" s="12">
        <v>0.47742108587762028</v>
      </c>
      <c r="U2305" s="12">
        <v>0.58282625383027176</v>
      </c>
      <c r="V2305" s="12">
        <v>300.58198239491622</v>
      </c>
      <c r="W2305" s="12">
        <v>0.60211246614468994</v>
      </c>
      <c r="X2305" s="12">
        <v>5.5928995707896263</v>
      </c>
      <c r="Y2305" s="12">
        <v>2958.1386685811331</v>
      </c>
      <c r="Z2305" s="12">
        <v>6.6739923437820377</v>
      </c>
      <c r="AA2305" s="12" t="s">
        <v>1268</v>
      </c>
      <c r="AB2305" s="12"/>
    </row>
    <row r="2306" spans="1:28" x14ac:dyDescent="0.3">
      <c r="A2306" s="12" t="s">
        <v>4220</v>
      </c>
      <c r="B2306" s="12" t="s">
        <v>170</v>
      </c>
      <c r="C2306" s="12" t="s">
        <v>464</v>
      </c>
      <c r="D2306" s="12" t="s">
        <v>734</v>
      </c>
      <c r="E2306" s="12" t="s">
        <v>2978</v>
      </c>
      <c r="F2306" s="12" t="s">
        <v>32</v>
      </c>
      <c r="G2306" s="12" t="s">
        <v>32</v>
      </c>
      <c r="H2306" s="12" t="b">
        <v>1</v>
      </c>
      <c r="I2306" s="12" t="b">
        <v>0</v>
      </c>
      <c r="J2306" s="12" t="b">
        <v>1</v>
      </c>
      <c r="K2306" s="12" t="b">
        <v>0</v>
      </c>
      <c r="L2306" s="12">
        <v>623.15</v>
      </c>
      <c r="M2306" s="12">
        <v>297.60758910156738</v>
      </c>
      <c r="N2306" s="12">
        <v>4186.2545848627014</v>
      </c>
      <c r="O2306" s="12">
        <v>1421.8869426174369</v>
      </c>
      <c r="P2306" s="12">
        <v>0.5</v>
      </c>
      <c r="Q2306" s="12">
        <v>0.78968631536458722</v>
      </c>
      <c r="R2306" s="12">
        <v>0.65588658176257497</v>
      </c>
      <c r="S2306" s="12">
        <v>0.59482280847622604</v>
      </c>
      <c r="T2306" s="12">
        <v>0.48847107256839739</v>
      </c>
      <c r="U2306" s="12">
        <v>0.86815605752918845</v>
      </c>
      <c r="V2306" s="12">
        <v>297.60758910156738</v>
      </c>
      <c r="W2306" s="12">
        <v>6.9198430027101301</v>
      </c>
      <c r="X2306" s="12">
        <v>99.745132588330364</v>
      </c>
      <c r="Y2306" s="12">
        <v>2764.367642245265</v>
      </c>
      <c r="Z2306" s="12">
        <v>2.944154320143459</v>
      </c>
      <c r="AA2306" s="12"/>
      <c r="AB2306" s="12"/>
    </row>
    <row r="2307" spans="1:28" x14ac:dyDescent="0.3">
      <c r="A2307" s="12" t="s">
        <v>4221</v>
      </c>
      <c r="B2307" s="12" t="s">
        <v>170</v>
      </c>
      <c r="C2307" s="12" t="s">
        <v>464</v>
      </c>
      <c r="D2307" s="12" t="s">
        <v>734</v>
      </c>
      <c r="E2307" s="12" t="s">
        <v>2978</v>
      </c>
      <c r="F2307" s="12" t="s">
        <v>1861</v>
      </c>
      <c r="G2307" s="12" t="s">
        <v>1861</v>
      </c>
      <c r="H2307" s="12" t="b">
        <v>1</v>
      </c>
      <c r="I2307" s="12" t="b">
        <v>0</v>
      </c>
      <c r="J2307" s="12" t="b">
        <v>1</v>
      </c>
      <c r="K2307" s="12" t="b">
        <v>0</v>
      </c>
      <c r="L2307" s="12">
        <v>623.15</v>
      </c>
      <c r="M2307" s="12">
        <v>295.57688009572308</v>
      </c>
      <c r="N2307" s="12">
        <v>4826.0114461448247</v>
      </c>
      <c r="O2307" s="12">
        <v>1837.459855400399</v>
      </c>
      <c r="P2307" s="12">
        <v>0.5</v>
      </c>
      <c r="Q2307" s="12">
        <v>0.61936934868385274</v>
      </c>
      <c r="R2307" s="12">
        <v>0.91771528527395685</v>
      </c>
      <c r="S2307" s="12">
        <v>0.75349600759750768</v>
      </c>
      <c r="T2307" s="12">
        <v>0.66601354861108564</v>
      </c>
      <c r="U2307" s="12">
        <v>0.62959127665402281</v>
      </c>
      <c r="V2307" s="12">
        <v>295.57688009572308</v>
      </c>
      <c r="W2307" s="12">
        <v>4.3800481408293486</v>
      </c>
      <c r="X2307" s="12">
        <v>62.011259333454092</v>
      </c>
      <c r="Y2307" s="12">
        <v>2988.551590744426</v>
      </c>
      <c r="Z2307" s="12">
        <v>2.626458168302781</v>
      </c>
      <c r="AA2307" s="12" t="s">
        <v>1268</v>
      </c>
      <c r="AB2307" s="12"/>
    </row>
    <row r="2308" spans="1:28" x14ac:dyDescent="0.3">
      <c r="A2308" s="12" t="s">
        <v>4222</v>
      </c>
      <c r="B2308" s="12" t="s">
        <v>170</v>
      </c>
      <c r="C2308" s="12" t="s">
        <v>464</v>
      </c>
      <c r="D2308" s="12" t="s">
        <v>734</v>
      </c>
      <c r="E2308" s="12" t="s">
        <v>2978</v>
      </c>
      <c r="F2308" s="12" t="s">
        <v>832</v>
      </c>
      <c r="G2308" s="12" t="s">
        <v>832</v>
      </c>
      <c r="H2308" s="12" t="b">
        <v>0</v>
      </c>
      <c r="I2308" s="12" t="b">
        <v>0</v>
      </c>
      <c r="J2308" s="12" t="b">
        <v>0</v>
      </c>
      <c r="K2308" s="12" t="b">
        <v>0</v>
      </c>
      <c r="L2308" s="12">
        <v>623.15</v>
      </c>
      <c r="M2308" s="12">
        <v>302.46117132501348</v>
      </c>
      <c r="N2308" s="12">
        <v>2156.5047433630411</v>
      </c>
      <c r="O2308" s="12">
        <v>1735.8106558117399</v>
      </c>
      <c r="P2308" s="12">
        <v>0.5</v>
      </c>
      <c r="Q2308" s="12">
        <v>0.90330287471256798</v>
      </c>
      <c r="R2308" s="12">
        <v>0.55753102800018062</v>
      </c>
      <c r="S2308" s="12">
        <v>0.86501794184144198</v>
      </c>
      <c r="T2308" s="12">
        <v>0.77400091106666524</v>
      </c>
      <c r="U2308" s="12">
        <v>0.49595998134238939</v>
      </c>
      <c r="V2308" s="12">
        <v>302.46117132501348</v>
      </c>
      <c r="W2308" s="12"/>
      <c r="X2308" s="12"/>
      <c r="Y2308" s="12">
        <v>420.69408755130098</v>
      </c>
      <c r="Z2308" s="12">
        <v>1.2423617380978491</v>
      </c>
      <c r="AA2308" s="12"/>
      <c r="AB2308" s="12"/>
    </row>
    <row r="2309" spans="1:28" x14ac:dyDescent="0.3">
      <c r="A2309" s="12" t="s">
        <v>4223</v>
      </c>
      <c r="B2309" s="12" t="s">
        <v>170</v>
      </c>
      <c r="C2309" s="12" t="s">
        <v>464</v>
      </c>
      <c r="D2309" s="12" t="s">
        <v>734</v>
      </c>
      <c r="E2309" s="12" t="s">
        <v>2978</v>
      </c>
      <c r="F2309" s="12" t="s">
        <v>1861</v>
      </c>
      <c r="G2309" s="12" t="s">
        <v>1861</v>
      </c>
      <c r="H2309" s="12" t="b">
        <v>1</v>
      </c>
      <c r="I2309" s="12" t="b">
        <v>0</v>
      </c>
      <c r="J2309" s="12" t="b">
        <v>1</v>
      </c>
      <c r="K2309" s="12" t="b">
        <v>0</v>
      </c>
      <c r="L2309" s="12">
        <v>623.15</v>
      </c>
      <c r="M2309" s="12">
        <v>303.27204476485468</v>
      </c>
      <c r="N2309" s="12">
        <v>2097.8080807033689</v>
      </c>
      <c r="O2309" s="12">
        <v>240.565599861495</v>
      </c>
      <c r="P2309" s="12">
        <v>0.5</v>
      </c>
      <c r="Q2309" s="12">
        <v>0.7807544302213747</v>
      </c>
      <c r="R2309" s="12">
        <v>0.72051376462978367</v>
      </c>
      <c r="S2309" s="12">
        <v>0.56082392877114118</v>
      </c>
      <c r="T2309" s="12">
        <v>0.87463014521574078</v>
      </c>
      <c r="U2309" s="12">
        <v>0.8004317628307277</v>
      </c>
      <c r="V2309" s="12">
        <v>303.27204476485468</v>
      </c>
      <c r="W2309" s="12">
        <v>9.4815739411776097</v>
      </c>
      <c r="X2309" s="12">
        <v>110.7098299914712</v>
      </c>
      <c r="Y2309" s="12">
        <v>1857.2424808418741</v>
      </c>
      <c r="Z2309" s="12">
        <v>8.7203161296177694</v>
      </c>
      <c r="AA2309" s="12" t="s">
        <v>1268</v>
      </c>
      <c r="AB2309" s="12"/>
    </row>
    <row r="2310" spans="1:28" x14ac:dyDescent="0.3">
      <c r="A2310" s="12" t="s">
        <v>4224</v>
      </c>
      <c r="B2310" s="12" t="s">
        <v>170</v>
      </c>
      <c r="C2310" s="12" t="s">
        <v>464</v>
      </c>
      <c r="D2310" s="12" t="s">
        <v>734</v>
      </c>
      <c r="E2310" s="12" t="s">
        <v>2978</v>
      </c>
      <c r="F2310" s="12" t="s">
        <v>1862</v>
      </c>
      <c r="G2310" s="12" t="s">
        <v>1862</v>
      </c>
      <c r="H2310" s="12" t="b">
        <v>1</v>
      </c>
      <c r="I2310" s="12" t="b">
        <v>0</v>
      </c>
      <c r="J2310" s="12" t="b">
        <v>1</v>
      </c>
      <c r="K2310" s="12" t="b">
        <v>0</v>
      </c>
      <c r="L2310" s="12">
        <v>623.15</v>
      </c>
      <c r="M2310" s="12">
        <v>301.25749688652991</v>
      </c>
      <c r="N2310" s="12">
        <v>2341.3153084838282</v>
      </c>
      <c r="O2310" s="12">
        <v>1258.007650790563</v>
      </c>
      <c r="P2310" s="12">
        <v>0.5</v>
      </c>
      <c r="Q2310" s="12">
        <v>0.49715500637129501</v>
      </c>
      <c r="R2310" s="12">
        <v>0.67878027318847534</v>
      </c>
      <c r="S2310" s="12">
        <v>0.61637687578694789</v>
      </c>
      <c r="T2310" s="12">
        <v>0.70298359489655282</v>
      </c>
      <c r="U2310" s="12">
        <v>0.45752946155257251</v>
      </c>
      <c r="V2310" s="12">
        <v>301.25749688652991</v>
      </c>
      <c r="W2310" s="12">
        <v>-2.50380073083568</v>
      </c>
      <c r="X2310" s="12">
        <v>-23.444666500646399</v>
      </c>
      <c r="Y2310" s="12">
        <v>1083.307657693264</v>
      </c>
      <c r="Z2310" s="12">
        <v>1.8611296258909771</v>
      </c>
      <c r="AA2310" s="12" t="s">
        <v>2513</v>
      </c>
      <c r="AB2310" s="12"/>
    </row>
    <row r="2311" spans="1:28" x14ac:dyDescent="0.3">
      <c r="A2311" s="12" t="s">
        <v>4225</v>
      </c>
      <c r="B2311" s="12" t="s">
        <v>170</v>
      </c>
      <c r="C2311" s="12" t="s">
        <v>464</v>
      </c>
      <c r="D2311" s="12" t="s">
        <v>734</v>
      </c>
      <c r="E2311" s="12" t="s">
        <v>2978</v>
      </c>
      <c r="F2311" s="12" t="s">
        <v>1861</v>
      </c>
      <c r="G2311" s="12" t="s">
        <v>1861</v>
      </c>
      <c r="H2311" s="12" t="b">
        <v>1</v>
      </c>
      <c r="I2311" s="12" t="b">
        <v>0</v>
      </c>
      <c r="J2311" s="12" t="b">
        <v>1</v>
      </c>
      <c r="K2311" s="12" t="b">
        <v>0</v>
      </c>
      <c r="L2311" s="12">
        <v>623.15</v>
      </c>
      <c r="M2311" s="12">
        <v>286.69440566924709</v>
      </c>
      <c r="N2311" s="12">
        <v>4483.9874639660939</v>
      </c>
      <c r="O2311" s="12">
        <v>1660.2219786159519</v>
      </c>
      <c r="P2311" s="12">
        <v>0.5</v>
      </c>
      <c r="Q2311" s="12">
        <v>0.83637306332821015</v>
      </c>
      <c r="R2311" s="12">
        <v>0.89105034605041333</v>
      </c>
      <c r="S2311" s="12">
        <v>0.51031060673156037</v>
      </c>
      <c r="T2311" s="12">
        <v>0.41466856570617089</v>
      </c>
      <c r="U2311" s="12">
        <v>0.59850995817144215</v>
      </c>
      <c r="V2311" s="12">
        <v>286.69440566924709</v>
      </c>
      <c r="W2311" s="12">
        <v>6.9104232993356201</v>
      </c>
      <c r="X2311" s="12">
        <v>72.344558414771967</v>
      </c>
      <c r="Y2311" s="12">
        <v>2823.7654853501422</v>
      </c>
      <c r="Z2311" s="12">
        <v>2.7008361060875612</v>
      </c>
      <c r="AA2311" s="12" t="s">
        <v>1268</v>
      </c>
      <c r="AB2311" s="12"/>
    </row>
    <row r="2312" spans="1:28" x14ac:dyDescent="0.3">
      <c r="A2312" s="12" t="s">
        <v>4226</v>
      </c>
      <c r="B2312" s="12" t="s">
        <v>170</v>
      </c>
      <c r="C2312" s="12" t="s">
        <v>464</v>
      </c>
      <c r="D2312" s="12" t="s">
        <v>734</v>
      </c>
      <c r="E2312" s="12" t="s">
        <v>2978</v>
      </c>
      <c r="F2312" s="12" t="s">
        <v>1861</v>
      </c>
      <c r="G2312" s="12" t="s">
        <v>1861</v>
      </c>
      <c r="H2312" s="12" t="b">
        <v>1</v>
      </c>
      <c r="I2312" s="12" t="b">
        <v>0</v>
      </c>
      <c r="J2312" s="12" t="b">
        <v>1</v>
      </c>
      <c r="K2312" s="12" t="b">
        <v>0</v>
      </c>
      <c r="L2312" s="12">
        <v>623.15</v>
      </c>
      <c r="M2312" s="12">
        <v>294.5156290309659</v>
      </c>
      <c r="N2312" s="12">
        <v>3345.5467934611488</v>
      </c>
      <c r="O2312" s="12">
        <v>1233.8873437627251</v>
      </c>
      <c r="P2312" s="12">
        <v>0.5</v>
      </c>
      <c r="Q2312" s="12">
        <v>0.40702957257648409</v>
      </c>
      <c r="R2312" s="12">
        <v>0.53942186949161119</v>
      </c>
      <c r="S2312" s="12">
        <v>0.82571940193852988</v>
      </c>
      <c r="T2312" s="12">
        <v>0.77655062004268671</v>
      </c>
      <c r="U2312" s="12">
        <v>0.85105442288547151</v>
      </c>
      <c r="V2312" s="12">
        <v>294.5156290309659</v>
      </c>
      <c r="W2312" s="12">
        <v>3.2771214006383702</v>
      </c>
      <c r="X2312" s="12">
        <v>65.154869534117395</v>
      </c>
      <c r="Y2312" s="12">
        <v>2111.659449698423</v>
      </c>
      <c r="Z2312" s="12">
        <v>2.711387559304193</v>
      </c>
      <c r="AA2312" s="12" t="s">
        <v>1268</v>
      </c>
      <c r="AB2312" s="12"/>
    </row>
    <row r="2313" spans="1:28" x14ac:dyDescent="0.3">
      <c r="A2313" s="12" t="s">
        <v>4227</v>
      </c>
      <c r="B2313" s="12" t="s">
        <v>170</v>
      </c>
      <c r="C2313" s="12" t="s">
        <v>464</v>
      </c>
      <c r="D2313" s="12" t="s">
        <v>734</v>
      </c>
      <c r="E2313" s="12" t="s">
        <v>2978</v>
      </c>
      <c r="F2313" s="12" t="s">
        <v>1861</v>
      </c>
      <c r="G2313" s="12" t="s">
        <v>1861</v>
      </c>
      <c r="H2313" s="12" t="b">
        <v>1</v>
      </c>
      <c r="I2313" s="12" t="b">
        <v>0</v>
      </c>
      <c r="J2313" s="12" t="b">
        <v>1</v>
      </c>
      <c r="K2313" s="12" t="b">
        <v>0</v>
      </c>
      <c r="L2313" s="12">
        <v>623.15</v>
      </c>
      <c r="M2313" s="12">
        <v>281.53149409411839</v>
      </c>
      <c r="N2313" s="12">
        <v>2842.222597328956</v>
      </c>
      <c r="O2313" s="12">
        <v>348.3356244134676</v>
      </c>
      <c r="P2313" s="12">
        <v>0.5</v>
      </c>
      <c r="Q2313" s="12">
        <v>0.94994561707418923</v>
      </c>
      <c r="R2313" s="12">
        <v>0.53701858360499166</v>
      </c>
      <c r="S2313" s="12">
        <v>0.79528412923941627</v>
      </c>
      <c r="T2313" s="12">
        <v>0.55242942831303843</v>
      </c>
      <c r="U2313" s="12">
        <v>0.85536132764881678</v>
      </c>
      <c r="V2313" s="12">
        <v>281.53149409411839</v>
      </c>
      <c r="W2313" s="12">
        <v>15.314530752385471</v>
      </c>
      <c r="X2313" s="12">
        <v>304.30413486346191</v>
      </c>
      <c r="Y2313" s="12">
        <v>2493.8869729154881</v>
      </c>
      <c r="Z2313" s="12">
        <v>8.1594370432674808</v>
      </c>
      <c r="AA2313" s="12" t="s">
        <v>1981</v>
      </c>
      <c r="AB2313" s="12"/>
    </row>
    <row r="2314" spans="1:28" x14ac:dyDescent="0.3">
      <c r="A2314" s="12" t="s">
        <v>4228</v>
      </c>
      <c r="B2314" s="12" t="s">
        <v>170</v>
      </c>
      <c r="C2314" s="12" t="s">
        <v>464</v>
      </c>
      <c r="D2314" s="12" t="s">
        <v>734</v>
      </c>
      <c r="E2314" s="12" t="s">
        <v>2978</v>
      </c>
      <c r="F2314" s="12" t="s">
        <v>3483</v>
      </c>
      <c r="G2314" s="12"/>
      <c r="H2314" s="12" t="b">
        <v>0</v>
      </c>
      <c r="I2314" s="12" t="b">
        <v>0</v>
      </c>
      <c r="J2314" s="12"/>
      <c r="K2314" s="12" t="b">
        <v>1</v>
      </c>
      <c r="L2314" s="12">
        <v>623.15</v>
      </c>
      <c r="M2314" s="12">
        <v>291.93841363585369</v>
      </c>
      <c r="N2314" s="12">
        <v>2185.4846897046859</v>
      </c>
      <c r="O2314" s="12">
        <v>1972.007263851724</v>
      </c>
      <c r="P2314" s="12">
        <v>0.5</v>
      </c>
      <c r="Q2314" s="12">
        <v>0.51393185233524263</v>
      </c>
      <c r="R2314" s="12">
        <v>0.86114639996370324</v>
      </c>
      <c r="S2314" s="12">
        <v>0.44488218263516749</v>
      </c>
      <c r="T2314" s="12">
        <v>0.55083494851896908</v>
      </c>
      <c r="U2314" s="12">
        <v>0.80973942025789425</v>
      </c>
      <c r="V2314" s="12"/>
      <c r="W2314" s="12"/>
      <c r="X2314" s="12"/>
      <c r="Y2314" s="12">
        <v>213.4774258529614</v>
      </c>
      <c r="Z2314" s="12">
        <v>1.1082538739923291</v>
      </c>
      <c r="AA2314" s="12"/>
      <c r="AB2314" s="12"/>
    </row>
    <row r="2315" spans="1:28" x14ac:dyDescent="0.3">
      <c r="A2315" s="12" t="s">
        <v>4229</v>
      </c>
      <c r="B2315" s="12" t="s">
        <v>170</v>
      </c>
      <c r="C2315" s="12" t="s">
        <v>464</v>
      </c>
      <c r="D2315" s="12" t="s">
        <v>734</v>
      </c>
      <c r="E2315" s="12" t="s">
        <v>2978</v>
      </c>
      <c r="F2315" s="12" t="s">
        <v>832</v>
      </c>
      <c r="G2315" s="12" t="s">
        <v>832</v>
      </c>
      <c r="H2315" s="12" t="b">
        <v>0</v>
      </c>
      <c r="I2315" s="12" t="b">
        <v>0</v>
      </c>
      <c r="J2315" s="12" t="b">
        <v>0</v>
      </c>
      <c r="K2315" s="12" t="b">
        <v>0</v>
      </c>
      <c r="L2315" s="12">
        <v>623.15</v>
      </c>
      <c r="M2315" s="12">
        <v>291.07492333413057</v>
      </c>
      <c r="N2315" s="12">
        <v>2296.829804719318</v>
      </c>
      <c r="O2315" s="12">
        <v>1749.264719203607</v>
      </c>
      <c r="P2315" s="12">
        <v>0.5</v>
      </c>
      <c r="Q2315" s="12">
        <v>0.70023085990456346</v>
      </c>
      <c r="R2315" s="12">
        <v>0.7973248481666888</v>
      </c>
      <c r="S2315" s="12">
        <v>0.75791028475408129</v>
      </c>
      <c r="T2315" s="12">
        <v>0.78747856691436779</v>
      </c>
      <c r="U2315" s="12">
        <v>0.428331961016022</v>
      </c>
      <c r="V2315" s="12">
        <v>291.07492333413057</v>
      </c>
      <c r="W2315" s="12"/>
      <c r="X2315" s="12"/>
      <c r="Y2315" s="12">
        <v>547.56508551571142</v>
      </c>
      <c r="Z2315" s="12">
        <v>1.3130258556663761</v>
      </c>
      <c r="AA2315" s="12"/>
      <c r="AB2315" s="12"/>
    </row>
    <row r="2316" spans="1:28" x14ac:dyDescent="0.3">
      <c r="A2316" s="12" t="s">
        <v>4230</v>
      </c>
      <c r="B2316" s="12" t="s">
        <v>170</v>
      </c>
      <c r="C2316" s="12" t="s">
        <v>464</v>
      </c>
      <c r="D2316" s="12" t="s">
        <v>734</v>
      </c>
      <c r="E2316" s="12" t="s">
        <v>2978</v>
      </c>
      <c r="F2316" s="12" t="s">
        <v>1861</v>
      </c>
      <c r="G2316" s="12" t="s">
        <v>1861</v>
      </c>
      <c r="H2316" s="12" t="b">
        <v>1</v>
      </c>
      <c r="I2316" s="12" t="b">
        <v>0</v>
      </c>
      <c r="J2316" s="12" t="b">
        <v>1</v>
      </c>
      <c r="K2316" s="12" t="b">
        <v>0</v>
      </c>
      <c r="L2316" s="12">
        <v>623.15</v>
      </c>
      <c r="M2316" s="12">
        <v>296.81098457301601</v>
      </c>
      <c r="N2316" s="12">
        <v>4890.4362412959854</v>
      </c>
      <c r="O2316" s="12">
        <v>899.63899210198167</v>
      </c>
      <c r="P2316" s="12">
        <v>0.5</v>
      </c>
      <c r="Q2316" s="12">
        <v>0.66881300227623064</v>
      </c>
      <c r="R2316" s="12">
        <v>0.81388672243569915</v>
      </c>
      <c r="S2316" s="12">
        <v>0.63826006537234448</v>
      </c>
      <c r="T2316" s="12">
        <v>0.58093419642529143</v>
      </c>
      <c r="U2316" s="12">
        <v>0.77202341072787595</v>
      </c>
      <c r="V2316" s="12">
        <v>296.81098457301601</v>
      </c>
      <c r="W2316" s="12">
        <v>9.1372573738344727</v>
      </c>
      <c r="X2316" s="12">
        <v>130.9696960234796</v>
      </c>
      <c r="Y2316" s="12">
        <v>3990.7972491940041</v>
      </c>
      <c r="Z2316" s="12">
        <v>5.4359985330000162</v>
      </c>
      <c r="AA2316" s="12" t="s">
        <v>1268</v>
      </c>
      <c r="AB2316" s="12"/>
    </row>
    <row r="2317" spans="1:28" x14ac:dyDescent="0.3">
      <c r="A2317" s="12" t="s">
        <v>4231</v>
      </c>
      <c r="B2317" s="12" t="s">
        <v>170</v>
      </c>
      <c r="C2317" s="12" t="s">
        <v>464</v>
      </c>
      <c r="D2317" s="12" t="s">
        <v>734</v>
      </c>
      <c r="E2317" s="12" t="s">
        <v>2978</v>
      </c>
      <c r="F2317" s="12" t="s">
        <v>1861</v>
      </c>
      <c r="G2317" s="12" t="s">
        <v>1861</v>
      </c>
      <c r="H2317" s="12" t="b">
        <v>1</v>
      </c>
      <c r="I2317" s="12" t="b">
        <v>0</v>
      </c>
      <c r="J2317" s="12" t="b">
        <v>1</v>
      </c>
      <c r="K2317" s="12" t="b">
        <v>0</v>
      </c>
      <c r="L2317" s="12">
        <v>623.15</v>
      </c>
      <c r="M2317" s="12">
        <v>299.33172109497002</v>
      </c>
      <c r="N2317" s="12">
        <v>3936.1532367528371</v>
      </c>
      <c r="O2317" s="12">
        <v>1577.8514694888829</v>
      </c>
      <c r="P2317" s="12">
        <v>0.5</v>
      </c>
      <c r="Q2317" s="12">
        <v>0.7179105765584366</v>
      </c>
      <c r="R2317" s="12">
        <v>0.75754135185384819</v>
      </c>
      <c r="S2317" s="12">
        <v>0.4294007802877608</v>
      </c>
      <c r="T2317" s="12">
        <v>0.92461426033814675</v>
      </c>
      <c r="U2317" s="12">
        <v>0.70834318149160302</v>
      </c>
      <c r="V2317" s="12">
        <v>299.33172109497002</v>
      </c>
      <c r="W2317" s="12">
        <v>6.1161099254345697</v>
      </c>
      <c r="X2317" s="12">
        <v>57.389391423417983</v>
      </c>
      <c r="Y2317" s="12">
        <v>2358.301767263953</v>
      </c>
      <c r="Z2317" s="12">
        <v>2.4946284950559279</v>
      </c>
      <c r="AA2317" s="12" t="s">
        <v>1268</v>
      </c>
      <c r="AB2317" s="12"/>
    </row>
    <row r="2318" spans="1:28" x14ac:dyDescent="0.3">
      <c r="A2318" s="12" t="s">
        <v>4232</v>
      </c>
      <c r="B2318" s="12" t="s">
        <v>170</v>
      </c>
      <c r="C2318" s="12" t="s">
        <v>464</v>
      </c>
      <c r="D2318" s="12" t="s">
        <v>734</v>
      </c>
      <c r="E2318" s="12" t="s">
        <v>2978</v>
      </c>
      <c r="F2318" s="12" t="s">
        <v>1861</v>
      </c>
      <c r="G2318" s="12" t="s">
        <v>1861</v>
      </c>
      <c r="H2318" s="12" t="b">
        <v>1</v>
      </c>
      <c r="I2318" s="12" t="b">
        <v>0</v>
      </c>
      <c r="J2318" s="12" t="b">
        <v>1</v>
      </c>
      <c r="K2318" s="12" t="b">
        <v>0</v>
      </c>
      <c r="L2318" s="12">
        <v>623.15</v>
      </c>
      <c r="M2318" s="12">
        <v>278.90573842258158</v>
      </c>
      <c r="N2318" s="12">
        <v>4927.0690120782401</v>
      </c>
      <c r="O2318" s="12">
        <v>1950.31158710057</v>
      </c>
      <c r="P2318" s="12">
        <v>0.5</v>
      </c>
      <c r="Q2318" s="12">
        <v>0.82395208634177042</v>
      </c>
      <c r="R2318" s="12">
        <v>0.7394209684855928</v>
      </c>
      <c r="S2318" s="12">
        <v>0.65821335427971528</v>
      </c>
      <c r="T2318" s="12">
        <v>0.89363836339351899</v>
      </c>
      <c r="U2318" s="12">
        <v>0.70305758586236644</v>
      </c>
      <c r="V2318" s="12">
        <v>278.90573842258158</v>
      </c>
      <c r="W2318" s="12">
        <v>7.0598214560011598</v>
      </c>
      <c r="X2318" s="12">
        <v>100.1276245692363</v>
      </c>
      <c r="Y2318" s="12">
        <v>2976.7574249776708</v>
      </c>
      <c r="Z2318" s="12">
        <v>2.5262983846612261</v>
      </c>
      <c r="AA2318" s="12" t="s">
        <v>1268</v>
      </c>
      <c r="AB2318" s="12"/>
    </row>
    <row r="2319" spans="1:28" x14ac:dyDescent="0.3">
      <c r="A2319" s="12" t="s">
        <v>4233</v>
      </c>
      <c r="B2319" s="12" t="s">
        <v>170</v>
      </c>
      <c r="C2319" s="12" t="s">
        <v>464</v>
      </c>
      <c r="D2319" s="12" t="s">
        <v>734</v>
      </c>
      <c r="E2319" s="12" t="s">
        <v>2978</v>
      </c>
      <c r="F2319" s="12" t="s">
        <v>1861</v>
      </c>
      <c r="G2319" s="12" t="s">
        <v>1861</v>
      </c>
      <c r="H2319" s="12" t="b">
        <v>1</v>
      </c>
      <c r="I2319" s="12" t="b">
        <v>0</v>
      </c>
      <c r="J2319" s="12" t="b">
        <v>1</v>
      </c>
      <c r="K2319" s="12" t="b">
        <v>0</v>
      </c>
      <c r="L2319" s="12">
        <v>623.15</v>
      </c>
      <c r="M2319" s="12">
        <v>294.97837931327098</v>
      </c>
      <c r="N2319" s="12">
        <v>2615.3973673685318</v>
      </c>
      <c r="O2319" s="12">
        <v>1382.20115223934</v>
      </c>
      <c r="P2319" s="12">
        <v>0.5</v>
      </c>
      <c r="Q2319" s="12">
        <v>0.92788892670920742</v>
      </c>
      <c r="R2319" s="12">
        <v>0.51812729526553991</v>
      </c>
      <c r="S2319" s="12">
        <v>0.57253963425103027</v>
      </c>
      <c r="T2319" s="12">
        <v>0.59518131436803512</v>
      </c>
      <c r="U2319" s="12">
        <v>0.61058421563428866</v>
      </c>
      <c r="V2319" s="12">
        <v>294.97837931327098</v>
      </c>
      <c r="W2319" s="12">
        <v>3.4012187037778401</v>
      </c>
      <c r="X2319" s="12">
        <v>38.642359448263463</v>
      </c>
      <c r="Y2319" s="12">
        <v>1233.1962151291909</v>
      </c>
      <c r="Z2319" s="12">
        <v>1.8921973571873081</v>
      </c>
      <c r="AA2319" s="12" t="s">
        <v>1268</v>
      </c>
      <c r="AB2319" s="12"/>
    </row>
    <row r="2320" spans="1:28" x14ac:dyDescent="0.3">
      <c r="A2320" s="12" t="s">
        <v>4234</v>
      </c>
      <c r="B2320" s="12" t="s">
        <v>170</v>
      </c>
      <c r="C2320" s="12" t="s">
        <v>464</v>
      </c>
      <c r="D2320" s="12" t="s">
        <v>734</v>
      </c>
      <c r="E2320" s="12" t="s">
        <v>2978</v>
      </c>
      <c r="F2320" s="12" t="s">
        <v>1861</v>
      </c>
      <c r="G2320" s="12" t="s">
        <v>1861</v>
      </c>
      <c r="H2320" s="12" t="b">
        <v>1</v>
      </c>
      <c r="I2320" s="12" t="b">
        <v>0</v>
      </c>
      <c r="J2320" s="12" t="b">
        <v>1</v>
      </c>
      <c r="K2320" s="12" t="b">
        <v>0</v>
      </c>
      <c r="L2320" s="12">
        <v>623.15</v>
      </c>
      <c r="M2320" s="12">
        <v>292.79930136666951</v>
      </c>
      <c r="N2320" s="12">
        <v>4452.3228008327187</v>
      </c>
      <c r="O2320" s="12">
        <v>1147.987597075097</v>
      </c>
      <c r="P2320" s="12">
        <v>0.5</v>
      </c>
      <c r="Q2320" s="12">
        <v>0.63890953726408917</v>
      </c>
      <c r="R2320" s="12">
        <v>0.70199266850736719</v>
      </c>
      <c r="S2320" s="12">
        <v>0.71543735524867813</v>
      </c>
      <c r="T2320" s="12">
        <v>0.91103845030656838</v>
      </c>
      <c r="U2320" s="12">
        <v>0.56100324122447398</v>
      </c>
      <c r="V2320" s="12">
        <v>292.79930136666951</v>
      </c>
      <c r="W2320" s="12">
        <v>3.0293727181426302</v>
      </c>
      <c r="X2320" s="12">
        <v>36.851907609890993</v>
      </c>
      <c r="Y2320" s="12">
        <v>3304.3352037576219</v>
      </c>
      <c r="Z2320" s="12">
        <v>3.8783718675851389</v>
      </c>
      <c r="AA2320" s="12" t="s">
        <v>1268</v>
      </c>
      <c r="AB2320" s="12"/>
    </row>
    <row r="2321" spans="1:28" x14ac:dyDescent="0.3">
      <c r="A2321" s="12" t="s">
        <v>4235</v>
      </c>
      <c r="B2321" s="12" t="s">
        <v>170</v>
      </c>
      <c r="C2321" s="12" t="s">
        <v>464</v>
      </c>
      <c r="D2321" s="12" t="s">
        <v>734</v>
      </c>
      <c r="E2321" s="12" t="s">
        <v>2978</v>
      </c>
      <c r="F2321" s="12" t="s">
        <v>1861</v>
      </c>
      <c r="G2321" s="12" t="s">
        <v>1861</v>
      </c>
      <c r="H2321" s="12" t="b">
        <v>1</v>
      </c>
      <c r="I2321" s="12" t="b">
        <v>0</v>
      </c>
      <c r="J2321" s="12" t="b">
        <v>1</v>
      </c>
      <c r="K2321" s="12" t="b">
        <v>0</v>
      </c>
      <c r="L2321" s="12">
        <v>623.15</v>
      </c>
      <c r="M2321" s="12">
        <v>297.34464966508671</v>
      </c>
      <c r="N2321" s="12">
        <v>3469.3655058838581</v>
      </c>
      <c r="O2321" s="12">
        <v>750.21412814444864</v>
      </c>
      <c r="P2321" s="12">
        <v>0.5</v>
      </c>
      <c r="Q2321" s="12">
        <v>0.75777010522606625</v>
      </c>
      <c r="R2321" s="12">
        <v>0.56717845556595514</v>
      </c>
      <c r="S2321" s="12">
        <v>0.58614022075173822</v>
      </c>
      <c r="T2321" s="12">
        <v>0.48224569570130288</v>
      </c>
      <c r="U2321" s="12">
        <v>0.79455879739030366</v>
      </c>
      <c r="V2321" s="12">
        <v>297.34464966508671</v>
      </c>
      <c r="W2321" s="12">
        <v>8.9523168507535811</v>
      </c>
      <c r="X2321" s="12">
        <v>122.4259062127758</v>
      </c>
      <c r="Y2321" s="12">
        <v>2719.1513777394089</v>
      </c>
      <c r="Z2321" s="12">
        <v>4.6245003602702814</v>
      </c>
      <c r="AA2321" s="12" t="s">
        <v>1268</v>
      </c>
      <c r="AB2321" s="12"/>
    </row>
    <row r="2322" spans="1:28" x14ac:dyDescent="0.3">
      <c r="A2322" s="12" t="s">
        <v>4236</v>
      </c>
      <c r="B2322" s="12" t="s">
        <v>180</v>
      </c>
      <c r="C2322" s="12" t="s">
        <v>180</v>
      </c>
      <c r="D2322" s="12" t="s">
        <v>181</v>
      </c>
      <c r="E2322" s="12" t="s">
        <v>1886</v>
      </c>
      <c r="F2322" s="12" t="s">
        <v>32</v>
      </c>
      <c r="G2322" s="12" t="s">
        <v>32</v>
      </c>
      <c r="H2322" s="12" t="b">
        <v>1</v>
      </c>
      <c r="I2322" s="12" t="b">
        <v>1</v>
      </c>
      <c r="J2322" s="12" t="b">
        <v>0</v>
      </c>
      <c r="K2322" s="12" t="b">
        <v>0</v>
      </c>
      <c r="L2322" s="12">
        <v>400</v>
      </c>
      <c r="M2322" s="12">
        <v>278.14999999999998</v>
      </c>
      <c r="N2322" s="12">
        <v>3000</v>
      </c>
      <c r="O2322" s="12">
        <v>400</v>
      </c>
      <c r="P2322" s="12">
        <v>0.5</v>
      </c>
      <c r="Q2322" s="12">
        <v>0.85</v>
      </c>
      <c r="R2322" s="12">
        <v>0.75</v>
      </c>
      <c r="S2322" s="12">
        <v>0.85</v>
      </c>
      <c r="T2322" s="12">
        <v>0.75</v>
      </c>
      <c r="U2322" s="12">
        <v>0.85</v>
      </c>
      <c r="V2322" s="12">
        <v>278.14999999999998</v>
      </c>
      <c r="W2322" s="12">
        <v>7.98825020763136</v>
      </c>
      <c r="X2322" s="12">
        <v>24.266784821195159</v>
      </c>
      <c r="Y2322" s="12">
        <v>2600</v>
      </c>
      <c r="Z2322" s="12">
        <v>7.5</v>
      </c>
      <c r="AA2322" s="12"/>
      <c r="AB2322" s="12"/>
    </row>
    <row r="2323" spans="1:28" x14ac:dyDescent="0.3">
      <c r="A2323" s="12" t="s">
        <v>4237</v>
      </c>
      <c r="B2323" s="12" t="s">
        <v>180</v>
      </c>
      <c r="C2323" s="12" t="s">
        <v>180</v>
      </c>
      <c r="D2323" s="12" t="s">
        <v>181</v>
      </c>
      <c r="E2323" s="12" t="s">
        <v>1886</v>
      </c>
      <c r="F2323" s="12" t="s">
        <v>32</v>
      </c>
      <c r="G2323" s="12" t="s">
        <v>32</v>
      </c>
      <c r="H2323" s="12" t="b">
        <v>1</v>
      </c>
      <c r="I2323" s="12" t="b">
        <v>1</v>
      </c>
      <c r="J2323" s="12" t="b">
        <v>0</v>
      </c>
      <c r="K2323" s="12" t="b">
        <v>0</v>
      </c>
      <c r="L2323" s="12">
        <v>397.5</v>
      </c>
      <c r="M2323" s="12">
        <v>278.14999999999998</v>
      </c>
      <c r="N2323" s="12">
        <v>3000</v>
      </c>
      <c r="O2323" s="12">
        <v>400</v>
      </c>
      <c r="P2323" s="12">
        <v>0.5</v>
      </c>
      <c r="Q2323" s="12">
        <v>0.85</v>
      </c>
      <c r="R2323" s="12">
        <v>0.75</v>
      </c>
      <c r="S2323" s="12">
        <v>0.85</v>
      </c>
      <c r="T2323" s="12">
        <v>0.75</v>
      </c>
      <c r="U2323" s="12">
        <v>0.85</v>
      </c>
      <c r="V2323" s="12">
        <v>278.14999999999998</v>
      </c>
      <c r="W2323" s="12">
        <v>7.0702725385744101</v>
      </c>
      <c r="X2323" s="12">
        <v>19.21153877713304</v>
      </c>
      <c r="Y2323" s="12">
        <v>2600</v>
      </c>
      <c r="Z2323" s="12">
        <v>7.5</v>
      </c>
      <c r="AA2323" s="12"/>
      <c r="AB2323" s="12"/>
    </row>
    <row r="2324" spans="1:28" x14ac:dyDescent="0.3">
      <c r="A2324" s="12" t="s">
        <v>4238</v>
      </c>
      <c r="B2324" s="12" t="s">
        <v>180</v>
      </c>
      <c r="C2324" s="12" t="s">
        <v>180</v>
      </c>
      <c r="D2324" s="12" t="s">
        <v>181</v>
      </c>
      <c r="E2324" s="12" t="s">
        <v>1886</v>
      </c>
      <c r="F2324" s="12" t="s">
        <v>32</v>
      </c>
      <c r="G2324" s="12" t="s">
        <v>32</v>
      </c>
      <c r="H2324" s="12" t="b">
        <v>1</v>
      </c>
      <c r="I2324" s="12" t="b">
        <v>1</v>
      </c>
      <c r="J2324" s="12" t="b">
        <v>0</v>
      </c>
      <c r="K2324" s="12" t="b">
        <v>0</v>
      </c>
      <c r="L2324" s="12">
        <v>395</v>
      </c>
      <c r="M2324" s="12">
        <v>278.14999999999998</v>
      </c>
      <c r="N2324" s="12">
        <v>3000</v>
      </c>
      <c r="O2324" s="12">
        <v>400</v>
      </c>
      <c r="P2324" s="12">
        <v>0.5</v>
      </c>
      <c r="Q2324" s="12">
        <v>0.85</v>
      </c>
      <c r="R2324" s="12">
        <v>0.75</v>
      </c>
      <c r="S2324" s="12">
        <v>0.85</v>
      </c>
      <c r="T2324" s="12">
        <v>0.75</v>
      </c>
      <c r="U2324" s="12">
        <v>0.85</v>
      </c>
      <c r="V2324" s="12">
        <v>278.14999999999998</v>
      </c>
      <c r="W2324" s="12">
        <v>5.8805437730862398</v>
      </c>
      <c r="X2324" s="12">
        <v>14.047047820030439</v>
      </c>
      <c r="Y2324" s="12">
        <v>2600</v>
      </c>
      <c r="Z2324" s="12">
        <v>7.5</v>
      </c>
      <c r="AA2324" s="12"/>
      <c r="AB2324" s="12"/>
    </row>
    <row r="2325" spans="1:28" x14ac:dyDescent="0.3">
      <c r="A2325" s="12" t="s">
        <v>4239</v>
      </c>
      <c r="B2325" s="12" t="s">
        <v>180</v>
      </c>
      <c r="C2325" s="12" t="s">
        <v>180</v>
      </c>
      <c r="D2325" s="12" t="s">
        <v>181</v>
      </c>
      <c r="E2325" s="12" t="s">
        <v>1886</v>
      </c>
      <c r="F2325" s="12" t="s">
        <v>32</v>
      </c>
      <c r="G2325" s="12" t="s">
        <v>32</v>
      </c>
      <c r="H2325" s="12" t="b">
        <v>1</v>
      </c>
      <c r="I2325" s="12" t="b">
        <v>1</v>
      </c>
      <c r="J2325" s="12" t="b">
        <v>0</v>
      </c>
      <c r="K2325" s="12" t="b">
        <v>0</v>
      </c>
      <c r="L2325" s="12">
        <v>392.5</v>
      </c>
      <c r="M2325" s="12">
        <v>278.14999999999998</v>
      </c>
      <c r="N2325" s="12">
        <v>3000</v>
      </c>
      <c r="O2325" s="12">
        <v>400</v>
      </c>
      <c r="P2325" s="12">
        <v>0.5</v>
      </c>
      <c r="Q2325" s="12">
        <v>0.85</v>
      </c>
      <c r="R2325" s="12">
        <v>0.75</v>
      </c>
      <c r="S2325" s="12">
        <v>0.85</v>
      </c>
      <c r="T2325" s="12">
        <v>0.75</v>
      </c>
      <c r="U2325" s="12">
        <v>0.85</v>
      </c>
      <c r="V2325" s="12">
        <v>278.14999999999998</v>
      </c>
      <c r="W2325" s="12">
        <v>4.26525717612299</v>
      </c>
      <c r="X2325" s="12">
        <v>8.7444001748422231</v>
      </c>
      <c r="Y2325" s="12">
        <v>2600</v>
      </c>
      <c r="Z2325" s="12">
        <v>7.5</v>
      </c>
      <c r="AA2325" s="12"/>
      <c r="AB2325" s="12"/>
    </row>
    <row r="2326" spans="1:28" x14ac:dyDescent="0.3">
      <c r="A2326" s="12" t="s">
        <v>4240</v>
      </c>
      <c r="B2326" s="12" t="s">
        <v>180</v>
      </c>
      <c r="C2326" s="12" t="s">
        <v>180</v>
      </c>
      <c r="D2326" s="12" t="s">
        <v>181</v>
      </c>
      <c r="E2326" s="12" t="s">
        <v>1886</v>
      </c>
      <c r="F2326" s="12" t="s">
        <v>1862</v>
      </c>
      <c r="G2326" s="12" t="s">
        <v>1862</v>
      </c>
      <c r="H2326" s="12" t="b">
        <v>1</v>
      </c>
      <c r="I2326" s="12" t="b">
        <v>0</v>
      </c>
      <c r="J2326" s="12" t="b">
        <v>0</v>
      </c>
      <c r="K2326" s="12" t="b">
        <v>0</v>
      </c>
      <c r="L2326" s="12">
        <v>387.5</v>
      </c>
      <c r="M2326" s="12">
        <v>278.14999999999998</v>
      </c>
      <c r="N2326" s="12">
        <v>3000</v>
      </c>
      <c r="O2326" s="12">
        <v>400</v>
      </c>
      <c r="P2326" s="12">
        <v>0.5</v>
      </c>
      <c r="Q2326" s="12">
        <v>0.85</v>
      </c>
      <c r="R2326" s="12">
        <v>0.75</v>
      </c>
      <c r="S2326" s="12">
        <v>0.85</v>
      </c>
      <c r="T2326" s="12">
        <v>0.75</v>
      </c>
      <c r="U2326" s="12">
        <v>0.85</v>
      </c>
      <c r="V2326" s="12">
        <v>278.14999999999998</v>
      </c>
      <c r="W2326" s="12">
        <v>-1.8124878574613299</v>
      </c>
      <c r="X2326" s="12">
        <v>-2.4147415339986509</v>
      </c>
      <c r="Y2326" s="12">
        <v>2600</v>
      </c>
      <c r="Z2326" s="12">
        <v>7.5</v>
      </c>
      <c r="AA2326" s="12" t="s">
        <v>1696</v>
      </c>
      <c r="AB2326" s="12"/>
    </row>
    <row r="2327" spans="1:28" x14ac:dyDescent="0.3">
      <c r="A2327" s="12" t="s">
        <v>4241</v>
      </c>
      <c r="B2327" s="12" t="s">
        <v>180</v>
      </c>
      <c r="C2327" s="12" t="s">
        <v>180</v>
      </c>
      <c r="D2327" s="12" t="s">
        <v>181</v>
      </c>
      <c r="E2327" s="12" t="s">
        <v>1886</v>
      </c>
      <c r="F2327" s="12" t="s">
        <v>32</v>
      </c>
      <c r="G2327" s="12" t="s">
        <v>32</v>
      </c>
      <c r="H2327" s="12" t="b">
        <v>1</v>
      </c>
      <c r="I2327" s="12" t="b">
        <v>1</v>
      </c>
      <c r="J2327" s="12" t="b">
        <v>0</v>
      </c>
      <c r="K2327" s="12" t="b">
        <v>0</v>
      </c>
      <c r="L2327" s="12">
        <v>390</v>
      </c>
      <c r="M2327" s="12">
        <v>278.14999999999998</v>
      </c>
      <c r="N2327" s="12">
        <v>3000</v>
      </c>
      <c r="O2327" s="12">
        <v>400</v>
      </c>
      <c r="P2327" s="12">
        <v>0.5</v>
      </c>
      <c r="Q2327" s="12">
        <v>0.85</v>
      </c>
      <c r="R2327" s="12">
        <v>0.75</v>
      </c>
      <c r="S2327" s="12">
        <v>0.85</v>
      </c>
      <c r="T2327" s="12">
        <v>0.75</v>
      </c>
      <c r="U2327" s="12">
        <v>0.85</v>
      </c>
      <c r="V2327" s="12">
        <v>278.14999999999998</v>
      </c>
      <c r="W2327" s="12">
        <v>1.92486772162567</v>
      </c>
      <c r="X2327" s="12">
        <v>3.270273060813778</v>
      </c>
      <c r="Y2327" s="12">
        <v>2600</v>
      </c>
      <c r="Z2327" s="12">
        <v>7.5</v>
      </c>
      <c r="AA2327" s="12"/>
      <c r="AB2327" s="12"/>
    </row>
    <row r="2328" spans="1:28" x14ac:dyDescent="0.3">
      <c r="A2328" s="12" t="s">
        <v>4242</v>
      </c>
      <c r="B2328" s="12" t="s">
        <v>180</v>
      </c>
      <c r="C2328" s="12" t="s">
        <v>180</v>
      </c>
      <c r="D2328" s="12" t="s">
        <v>181</v>
      </c>
      <c r="E2328" s="12" t="s">
        <v>1886</v>
      </c>
      <c r="F2328" s="12" t="s">
        <v>832</v>
      </c>
      <c r="G2328" s="12" t="s">
        <v>832</v>
      </c>
      <c r="H2328" s="12" t="b">
        <v>0</v>
      </c>
      <c r="I2328" s="12" t="b">
        <v>0</v>
      </c>
      <c r="J2328" s="12" t="b">
        <v>0</v>
      </c>
      <c r="K2328" s="12" t="b">
        <v>0</v>
      </c>
      <c r="L2328" s="12">
        <v>410</v>
      </c>
      <c r="M2328" s="12">
        <v>278.14999999999998</v>
      </c>
      <c r="N2328" s="12">
        <v>3000</v>
      </c>
      <c r="O2328" s="12">
        <v>400</v>
      </c>
      <c r="P2328" s="12">
        <v>0.5</v>
      </c>
      <c r="Q2328" s="12">
        <v>0.85</v>
      </c>
      <c r="R2328" s="12">
        <v>0.75</v>
      </c>
      <c r="S2328" s="12">
        <v>0.85</v>
      </c>
      <c r="T2328" s="12">
        <v>0.75</v>
      </c>
      <c r="U2328" s="12">
        <v>0.85</v>
      </c>
      <c r="V2328" s="12">
        <v>278.14999999999998</v>
      </c>
      <c r="W2328" s="12"/>
      <c r="X2328" s="12"/>
      <c r="Y2328" s="12">
        <v>2600</v>
      </c>
      <c r="Z2328" s="12">
        <v>7.5</v>
      </c>
      <c r="AA2328" s="12"/>
      <c r="AB2328" s="12"/>
    </row>
    <row r="2329" spans="1:28" x14ac:dyDescent="0.3">
      <c r="A2329" s="12" t="s">
        <v>4243</v>
      </c>
      <c r="B2329" s="12" t="s">
        <v>180</v>
      </c>
      <c r="C2329" s="12" t="s">
        <v>180</v>
      </c>
      <c r="D2329" s="12" t="s">
        <v>181</v>
      </c>
      <c r="E2329" s="12" t="s">
        <v>1886</v>
      </c>
      <c r="F2329" s="12" t="s">
        <v>1863</v>
      </c>
      <c r="G2329" s="12" t="s">
        <v>832</v>
      </c>
      <c r="H2329" s="12" t="b">
        <v>0</v>
      </c>
      <c r="I2329" s="12" t="b">
        <v>0</v>
      </c>
      <c r="J2329" s="12" t="b">
        <v>0</v>
      </c>
      <c r="K2329" s="12" t="b">
        <v>0</v>
      </c>
      <c r="L2329" s="12">
        <v>385</v>
      </c>
      <c r="M2329" s="12">
        <v>278.14999999999998</v>
      </c>
      <c r="N2329" s="12">
        <v>3000</v>
      </c>
      <c r="O2329" s="12">
        <v>400</v>
      </c>
      <c r="P2329" s="12">
        <v>0.5</v>
      </c>
      <c r="Q2329" s="12">
        <v>0.85</v>
      </c>
      <c r="R2329" s="12">
        <v>0.75</v>
      </c>
      <c r="S2329" s="12">
        <v>0.85</v>
      </c>
      <c r="T2329" s="12">
        <v>0.75</v>
      </c>
      <c r="U2329" s="12">
        <v>0.85</v>
      </c>
      <c r="V2329" s="12">
        <v>278.14999999999998</v>
      </c>
      <c r="W2329" s="12">
        <v>-16.200894460609788</v>
      </c>
      <c r="X2329" s="12">
        <v>-16.14503100698526</v>
      </c>
      <c r="Y2329" s="12">
        <v>2600</v>
      </c>
      <c r="Z2329" s="12">
        <v>7.5</v>
      </c>
      <c r="AA2329" s="12" t="s">
        <v>2846</v>
      </c>
      <c r="AB2329" s="12"/>
    </row>
    <row r="2330" spans="1:28" x14ac:dyDescent="0.3">
      <c r="A2330" s="12" t="s">
        <v>4244</v>
      </c>
      <c r="B2330" s="12" t="s">
        <v>180</v>
      </c>
      <c r="C2330" s="12" t="s">
        <v>180</v>
      </c>
      <c r="D2330" s="12" t="s">
        <v>181</v>
      </c>
      <c r="E2330" s="12" t="s">
        <v>1886</v>
      </c>
      <c r="F2330" s="12" t="s">
        <v>32</v>
      </c>
      <c r="G2330" s="12" t="s">
        <v>32</v>
      </c>
      <c r="H2330" s="12" t="b">
        <v>1</v>
      </c>
      <c r="I2330" s="12" t="b">
        <v>1</v>
      </c>
      <c r="J2330" s="12" t="b">
        <v>0</v>
      </c>
      <c r="K2330" s="12" t="b">
        <v>0</v>
      </c>
      <c r="L2330" s="12">
        <v>405</v>
      </c>
      <c r="M2330" s="12">
        <v>278.14999999999998</v>
      </c>
      <c r="N2330" s="12">
        <v>3000</v>
      </c>
      <c r="O2330" s="12">
        <v>400</v>
      </c>
      <c r="P2330" s="12">
        <v>0.5</v>
      </c>
      <c r="Q2330" s="12">
        <v>0.85</v>
      </c>
      <c r="R2330" s="12">
        <v>0.75</v>
      </c>
      <c r="S2330" s="12">
        <v>0.85</v>
      </c>
      <c r="T2330" s="12">
        <v>0.75</v>
      </c>
      <c r="U2330" s="12">
        <v>0.85</v>
      </c>
      <c r="V2330" s="12">
        <v>278.14999999999998</v>
      </c>
      <c r="W2330" s="12">
        <v>9.3231390136139094</v>
      </c>
      <c r="X2330" s="12">
        <v>34.149711022618867</v>
      </c>
      <c r="Y2330" s="12">
        <v>2600</v>
      </c>
      <c r="Z2330" s="12">
        <v>7.5</v>
      </c>
      <c r="AA2330" s="12"/>
      <c r="AB2330" s="12"/>
    </row>
    <row r="2331" spans="1:28" x14ac:dyDescent="0.3">
      <c r="A2331" s="12" t="s">
        <v>4245</v>
      </c>
      <c r="B2331" s="12" t="s">
        <v>180</v>
      </c>
      <c r="C2331" s="12" t="s">
        <v>180</v>
      </c>
      <c r="D2331" s="12" t="s">
        <v>181</v>
      </c>
      <c r="E2331" s="12" t="s">
        <v>1886</v>
      </c>
      <c r="F2331" s="12" t="s">
        <v>32</v>
      </c>
      <c r="G2331" s="12" t="s">
        <v>32</v>
      </c>
      <c r="H2331" s="12" t="b">
        <v>1</v>
      </c>
      <c r="I2331" s="12" t="b">
        <v>1</v>
      </c>
      <c r="J2331" s="12" t="b">
        <v>0</v>
      </c>
      <c r="K2331" s="12" t="b">
        <v>0</v>
      </c>
      <c r="L2331" s="12">
        <v>402.5</v>
      </c>
      <c r="M2331" s="12">
        <v>278.14999999999998</v>
      </c>
      <c r="N2331" s="12">
        <v>3000</v>
      </c>
      <c r="O2331" s="12">
        <v>400</v>
      </c>
      <c r="P2331" s="12">
        <v>0.5</v>
      </c>
      <c r="Q2331" s="12">
        <v>0.85</v>
      </c>
      <c r="R2331" s="12">
        <v>0.75</v>
      </c>
      <c r="S2331" s="12">
        <v>0.85</v>
      </c>
      <c r="T2331" s="12">
        <v>0.75</v>
      </c>
      <c r="U2331" s="12">
        <v>0.85</v>
      </c>
      <c r="V2331" s="12">
        <v>278.14999999999998</v>
      </c>
      <c r="W2331" s="12">
        <v>8.7215240101758305</v>
      </c>
      <c r="X2331" s="12">
        <v>29.23839937149199</v>
      </c>
      <c r="Y2331" s="12">
        <v>2600</v>
      </c>
      <c r="Z2331" s="12">
        <v>7.5</v>
      </c>
      <c r="AA2331" s="12"/>
      <c r="AB2331" s="12"/>
    </row>
    <row r="2332" spans="1:28" x14ac:dyDescent="0.3">
      <c r="A2332" s="12" t="s">
        <v>4246</v>
      </c>
      <c r="B2332" s="12" t="s">
        <v>180</v>
      </c>
      <c r="C2332" s="12" t="s">
        <v>180</v>
      </c>
      <c r="D2332" s="12" t="s">
        <v>181</v>
      </c>
      <c r="E2332" s="12" t="s">
        <v>1886</v>
      </c>
      <c r="F2332" s="12" t="s">
        <v>32</v>
      </c>
      <c r="G2332" s="12" t="s">
        <v>32</v>
      </c>
      <c r="H2332" s="12" t="b">
        <v>1</v>
      </c>
      <c r="I2332" s="12" t="b">
        <v>1</v>
      </c>
      <c r="J2332" s="12" t="b">
        <v>0</v>
      </c>
      <c r="K2332" s="12" t="b">
        <v>0</v>
      </c>
      <c r="L2332" s="12">
        <v>407.5</v>
      </c>
      <c r="M2332" s="12">
        <v>278.14999999999998</v>
      </c>
      <c r="N2332" s="12">
        <v>3000</v>
      </c>
      <c r="O2332" s="12">
        <v>400</v>
      </c>
      <c r="P2332" s="12">
        <v>0.5</v>
      </c>
      <c r="Q2332" s="12">
        <v>0.85</v>
      </c>
      <c r="R2332" s="12">
        <v>0.75</v>
      </c>
      <c r="S2332" s="12">
        <v>0.85</v>
      </c>
      <c r="T2332" s="12">
        <v>0.75</v>
      </c>
      <c r="U2332" s="12">
        <v>0.85</v>
      </c>
      <c r="V2332" s="12">
        <v>278.14999999999998</v>
      </c>
      <c r="W2332" s="12">
        <v>9.8272764045361392</v>
      </c>
      <c r="X2332" s="12">
        <v>39.022457605506851</v>
      </c>
      <c r="Y2332" s="12">
        <v>2600</v>
      </c>
      <c r="Z2332" s="12">
        <v>7.5</v>
      </c>
      <c r="AA2332" s="12"/>
      <c r="AB2332" s="12"/>
    </row>
    <row r="2333" spans="1:28" x14ac:dyDescent="0.3">
      <c r="A2333" s="12" t="s">
        <v>4247</v>
      </c>
      <c r="B2333" s="12" t="s">
        <v>180</v>
      </c>
      <c r="C2333" s="12" t="s">
        <v>180</v>
      </c>
      <c r="D2333" s="12" t="s">
        <v>181</v>
      </c>
      <c r="E2333" s="12" t="s">
        <v>1886</v>
      </c>
      <c r="F2333" s="12" t="s">
        <v>1862</v>
      </c>
      <c r="G2333" s="12" t="s">
        <v>1862</v>
      </c>
      <c r="H2333" s="12" t="b">
        <v>1</v>
      </c>
      <c r="I2333" s="12" t="b">
        <v>0</v>
      </c>
      <c r="J2333" s="12" t="b">
        <v>0</v>
      </c>
      <c r="K2333" s="12" t="b">
        <v>0</v>
      </c>
      <c r="L2333" s="12">
        <v>387.5</v>
      </c>
      <c r="M2333" s="12">
        <v>278.14999999999998</v>
      </c>
      <c r="N2333" s="12">
        <v>3000</v>
      </c>
      <c r="O2333" s="12">
        <v>400</v>
      </c>
      <c r="P2333" s="12">
        <v>0.5</v>
      </c>
      <c r="Q2333" s="12">
        <v>0.85</v>
      </c>
      <c r="R2333" s="12">
        <v>0.75</v>
      </c>
      <c r="S2333" s="12">
        <v>0.85</v>
      </c>
      <c r="T2333" s="12">
        <v>0.75</v>
      </c>
      <c r="U2333" s="12">
        <v>0.875</v>
      </c>
      <c r="V2333" s="12">
        <v>278.14999999999998</v>
      </c>
      <c r="W2333" s="12">
        <v>-1.81606668289421</v>
      </c>
      <c r="X2333" s="12">
        <v>-2.4368554189142788</v>
      </c>
      <c r="Y2333" s="12">
        <v>2600</v>
      </c>
      <c r="Z2333" s="12">
        <v>7.5</v>
      </c>
      <c r="AA2333" s="12" t="s">
        <v>1696</v>
      </c>
      <c r="AB2333" s="12"/>
    </row>
    <row r="2334" spans="1:28" x14ac:dyDescent="0.3">
      <c r="A2334" s="12" t="s">
        <v>4248</v>
      </c>
      <c r="B2334" s="12" t="s">
        <v>180</v>
      </c>
      <c r="C2334" s="12" t="s">
        <v>180</v>
      </c>
      <c r="D2334" s="12" t="s">
        <v>181</v>
      </c>
      <c r="E2334" s="12" t="s">
        <v>1886</v>
      </c>
      <c r="F2334" s="12" t="s">
        <v>32</v>
      </c>
      <c r="G2334" s="12" t="s">
        <v>32</v>
      </c>
      <c r="H2334" s="12" t="b">
        <v>1</v>
      </c>
      <c r="I2334" s="12" t="b">
        <v>1</v>
      </c>
      <c r="J2334" s="12" t="b">
        <v>0</v>
      </c>
      <c r="K2334" s="12" t="b">
        <v>0</v>
      </c>
      <c r="L2334" s="12">
        <v>390</v>
      </c>
      <c r="M2334" s="12">
        <v>278.14999999999998</v>
      </c>
      <c r="N2334" s="12">
        <v>3000</v>
      </c>
      <c r="O2334" s="12">
        <v>400</v>
      </c>
      <c r="P2334" s="12">
        <v>0.5</v>
      </c>
      <c r="Q2334" s="12">
        <v>0.85</v>
      </c>
      <c r="R2334" s="12">
        <v>0.75</v>
      </c>
      <c r="S2334" s="12">
        <v>0.85</v>
      </c>
      <c r="T2334" s="12">
        <v>0.75</v>
      </c>
      <c r="U2334" s="12">
        <v>0.875</v>
      </c>
      <c r="V2334" s="12">
        <v>278.14999999999998</v>
      </c>
      <c r="W2334" s="12">
        <v>1.89343193015721</v>
      </c>
      <c r="X2334" s="12">
        <v>3.2407521501706942</v>
      </c>
      <c r="Y2334" s="12">
        <v>2600</v>
      </c>
      <c r="Z2334" s="12">
        <v>7.5</v>
      </c>
      <c r="AA2334" s="12"/>
      <c r="AB2334" s="12"/>
    </row>
    <row r="2335" spans="1:28" x14ac:dyDescent="0.3">
      <c r="A2335" s="12" t="s">
        <v>4249</v>
      </c>
      <c r="B2335" s="12" t="s">
        <v>180</v>
      </c>
      <c r="C2335" s="12" t="s">
        <v>180</v>
      </c>
      <c r="D2335" s="12" t="s">
        <v>181</v>
      </c>
      <c r="E2335" s="12" t="s">
        <v>1886</v>
      </c>
      <c r="F2335" s="12" t="s">
        <v>1863</v>
      </c>
      <c r="G2335" s="12" t="s">
        <v>832</v>
      </c>
      <c r="H2335" s="12" t="b">
        <v>0</v>
      </c>
      <c r="I2335" s="12" t="b">
        <v>0</v>
      </c>
      <c r="J2335" s="12" t="b">
        <v>0</v>
      </c>
      <c r="K2335" s="12" t="b">
        <v>0</v>
      </c>
      <c r="L2335" s="12">
        <v>385</v>
      </c>
      <c r="M2335" s="12">
        <v>278.14999999999998</v>
      </c>
      <c r="N2335" s="12">
        <v>3000</v>
      </c>
      <c r="O2335" s="12">
        <v>400</v>
      </c>
      <c r="P2335" s="12">
        <v>0.5</v>
      </c>
      <c r="Q2335" s="12">
        <v>0.85</v>
      </c>
      <c r="R2335" s="12">
        <v>0.75</v>
      </c>
      <c r="S2335" s="12">
        <v>0.85</v>
      </c>
      <c r="T2335" s="12">
        <v>0.75</v>
      </c>
      <c r="U2335" s="12">
        <v>0.875</v>
      </c>
      <c r="V2335" s="12">
        <v>278.14999999999998</v>
      </c>
      <c r="W2335" s="12">
        <v>-16.181322487894828</v>
      </c>
      <c r="X2335" s="12">
        <v>-16.179848988476721</v>
      </c>
      <c r="Y2335" s="12">
        <v>2600</v>
      </c>
      <c r="Z2335" s="12">
        <v>7.5</v>
      </c>
      <c r="AA2335" s="12" t="s">
        <v>2846</v>
      </c>
      <c r="AB2335" s="12"/>
    </row>
    <row r="2336" spans="1:28" x14ac:dyDescent="0.3">
      <c r="A2336" s="12" t="s">
        <v>4250</v>
      </c>
      <c r="B2336" s="12" t="s">
        <v>180</v>
      </c>
      <c r="C2336" s="12" t="s">
        <v>180</v>
      </c>
      <c r="D2336" s="12" t="s">
        <v>181</v>
      </c>
      <c r="E2336" s="12" t="s">
        <v>1886</v>
      </c>
      <c r="F2336" s="12" t="s">
        <v>32</v>
      </c>
      <c r="G2336" s="12" t="s">
        <v>32</v>
      </c>
      <c r="H2336" s="12" t="b">
        <v>1</v>
      </c>
      <c r="I2336" s="12" t="b">
        <v>1</v>
      </c>
      <c r="J2336" s="12" t="b">
        <v>0</v>
      </c>
      <c r="K2336" s="12" t="b">
        <v>0</v>
      </c>
      <c r="L2336" s="12">
        <v>392.5</v>
      </c>
      <c r="M2336" s="12">
        <v>278.14999999999998</v>
      </c>
      <c r="N2336" s="12">
        <v>3000</v>
      </c>
      <c r="O2336" s="12">
        <v>400</v>
      </c>
      <c r="P2336" s="12">
        <v>0.5</v>
      </c>
      <c r="Q2336" s="12">
        <v>0.85</v>
      </c>
      <c r="R2336" s="12">
        <v>0.75</v>
      </c>
      <c r="S2336" s="12">
        <v>0.85</v>
      </c>
      <c r="T2336" s="12">
        <v>0.75</v>
      </c>
      <c r="U2336" s="12">
        <v>0.875</v>
      </c>
      <c r="V2336" s="12">
        <v>278.14999999999998</v>
      </c>
      <c r="W2336" s="12">
        <v>4.2144660082949601</v>
      </c>
      <c r="X2336" s="12">
        <v>8.7070181623713587</v>
      </c>
      <c r="Y2336" s="12">
        <v>2600</v>
      </c>
      <c r="Z2336" s="12">
        <v>7.5</v>
      </c>
      <c r="AA2336" s="12"/>
      <c r="AB2336" s="12"/>
    </row>
    <row r="2337" spans="1:28" x14ac:dyDescent="0.3">
      <c r="A2337" s="12" t="s">
        <v>4251</v>
      </c>
      <c r="B2337" s="12" t="s">
        <v>180</v>
      </c>
      <c r="C2337" s="12" t="s">
        <v>180</v>
      </c>
      <c r="D2337" s="12" t="s">
        <v>181</v>
      </c>
      <c r="E2337" s="12" t="s">
        <v>1886</v>
      </c>
      <c r="F2337" s="12" t="s">
        <v>32</v>
      </c>
      <c r="G2337" s="12" t="s">
        <v>32</v>
      </c>
      <c r="H2337" s="12" t="b">
        <v>1</v>
      </c>
      <c r="I2337" s="12" t="b">
        <v>1</v>
      </c>
      <c r="J2337" s="12" t="b">
        <v>0</v>
      </c>
      <c r="K2337" s="12" t="b">
        <v>0</v>
      </c>
      <c r="L2337" s="12">
        <v>400</v>
      </c>
      <c r="M2337" s="12">
        <v>278.14999999999998</v>
      </c>
      <c r="N2337" s="12">
        <v>3000</v>
      </c>
      <c r="O2337" s="12">
        <v>400</v>
      </c>
      <c r="P2337" s="12">
        <v>0.5</v>
      </c>
      <c r="Q2337" s="12">
        <v>0.85</v>
      </c>
      <c r="R2337" s="12">
        <v>0.75</v>
      </c>
      <c r="S2337" s="12">
        <v>0.85</v>
      </c>
      <c r="T2337" s="12">
        <v>0.75</v>
      </c>
      <c r="U2337" s="12">
        <v>0.875</v>
      </c>
      <c r="V2337" s="12">
        <v>278.14999999999998</v>
      </c>
      <c r="W2337" s="12">
        <v>7.8989651942045009</v>
      </c>
      <c r="X2337" s="12">
        <v>24.203519495812301</v>
      </c>
      <c r="Y2337" s="12">
        <v>2600</v>
      </c>
      <c r="Z2337" s="12">
        <v>7.5</v>
      </c>
      <c r="AA2337" s="12"/>
      <c r="AB2337" s="12"/>
    </row>
    <row r="2338" spans="1:28" x14ac:dyDescent="0.3">
      <c r="A2338" s="12" t="s">
        <v>4252</v>
      </c>
      <c r="B2338" s="12" t="s">
        <v>180</v>
      </c>
      <c r="C2338" s="12" t="s">
        <v>180</v>
      </c>
      <c r="D2338" s="12" t="s">
        <v>181</v>
      </c>
      <c r="E2338" s="12" t="s">
        <v>1886</v>
      </c>
      <c r="F2338" s="12" t="s">
        <v>32</v>
      </c>
      <c r="G2338" s="12" t="s">
        <v>32</v>
      </c>
      <c r="H2338" s="12" t="b">
        <v>1</v>
      </c>
      <c r="I2338" s="12" t="b">
        <v>1</v>
      </c>
      <c r="J2338" s="12" t="b">
        <v>0</v>
      </c>
      <c r="K2338" s="12" t="b">
        <v>0</v>
      </c>
      <c r="L2338" s="12">
        <v>395</v>
      </c>
      <c r="M2338" s="12">
        <v>278.14999999999998</v>
      </c>
      <c r="N2338" s="12">
        <v>3000</v>
      </c>
      <c r="O2338" s="12">
        <v>400</v>
      </c>
      <c r="P2338" s="12">
        <v>0.5</v>
      </c>
      <c r="Q2338" s="12">
        <v>0.85</v>
      </c>
      <c r="R2338" s="12">
        <v>0.75</v>
      </c>
      <c r="S2338" s="12">
        <v>0.85</v>
      </c>
      <c r="T2338" s="12">
        <v>0.75</v>
      </c>
      <c r="U2338" s="12">
        <v>0.875</v>
      </c>
      <c r="V2338" s="12">
        <v>278.14999999999998</v>
      </c>
      <c r="W2338" s="12">
        <v>5.81467000740549</v>
      </c>
      <c r="X2338" s="12">
        <v>14.0013830732883</v>
      </c>
      <c r="Y2338" s="12">
        <v>2600</v>
      </c>
      <c r="Z2338" s="12">
        <v>7.5</v>
      </c>
      <c r="AA2338" s="12"/>
      <c r="AB2338" s="12"/>
    </row>
    <row r="2339" spans="1:28" x14ac:dyDescent="0.3">
      <c r="A2339" s="12" t="s">
        <v>4253</v>
      </c>
      <c r="B2339" s="12" t="s">
        <v>180</v>
      </c>
      <c r="C2339" s="12" t="s">
        <v>180</v>
      </c>
      <c r="D2339" s="12" t="s">
        <v>181</v>
      </c>
      <c r="E2339" s="12" t="s">
        <v>1886</v>
      </c>
      <c r="F2339" s="12" t="s">
        <v>32</v>
      </c>
      <c r="G2339" s="12" t="s">
        <v>32</v>
      </c>
      <c r="H2339" s="12" t="b">
        <v>1</v>
      </c>
      <c r="I2339" s="12" t="b">
        <v>1</v>
      </c>
      <c r="J2339" s="12" t="b">
        <v>0</v>
      </c>
      <c r="K2339" s="12" t="b">
        <v>0</v>
      </c>
      <c r="L2339" s="12">
        <v>397.5</v>
      </c>
      <c r="M2339" s="12">
        <v>278.14999999999998</v>
      </c>
      <c r="N2339" s="12">
        <v>3000</v>
      </c>
      <c r="O2339" s="12">
        <v>400</v>
      </c>
      <c r="P2339" s="12">
        <v>0.5</v>
      </c>
      <c r="Q2339" s="12">
        <v>0.85</v>
      </c>
      <c r="R2339" s="12">
        <v>0.75</v>
      </c>
      <c r="S2339" s="12">
        <v>0.85</v>
      </c>
      <c r="T2339" s="12">
        <v>0.75</v>
      </c>
      <c r="U2339" s="12">
        <v>0.875</v>
      </c>
      <c r="V2339" s="12">
        <v>278.14999999999998</v>
      </c>
      <c r="W2339" s="12">
        <v>6.9918714987777006</v>
      </c>
      <c r="X2339" s="12">
        <v>19.157246425059672</v>
      </c>
      <c r="Y2339" s="12">
        <v>2600</v>
      </c>
      <c r="Z2339" s="12">
        <v>7.5</v>
      </c>
      <c r="AA2339" s="12"/>
      <c r="AB2339" s="12"/>
    </row>
    <row r="2340" spans="1:28" x14ac:dyDescent="0.3">
      <c r="A2340" s="12" t="s">
        <v>4254</v>
      </c>
      <c r="B2340" s="12" t="s">
        <v>180</v>
      </c>
      <c r="C2340" s="12" t="s">
        <v>180</v>
      </c>
      <c r="D2340" s="12" t="s">
        <v>181</v>
      </c>
      <c r="E2340" s="12" t="s">
        <v>1886</v>
      </c>
      <c r="F2340" s="12" t="s">
        <v>32</v>
      </c>
      <c r="G2340" s="12" t="s">
        <v>32</v>
      </c>
      <c r="H2340" s="12" t="b">
        <v>1</v>
      </c>
      <c r="I2340" s="12" t="b">
        <v>1</v>
      </c>
      <c r="J2340" s="12" t="b">
        <v>0</v>
      </c>
      <c r="K2340" s="12" t="b">
        <v>0</v>
      </c>
      <c r="L2340" s="12">
        <v>405</v>
      </c>
      <c r="M2340" s="12">
        <v>278.14999999999998</v>
      </c>
      <c r="N2340" s="12">
        <v>3000</v>
      </c>
      <c r="O2340" s="12">
        <v>400</v>
      </c>
      <c r="P2340" s="12">
        <v>0.5</v>
      </c>
      <c r="Q2340" s="12">
        <v>0.85</v>
      </c>
      <c r="R2340" s="12">
        <v>0.75</v>
      </c>
      <c r="S2340" s="12">
        <v>0.85</v>
      </c>
      <c r="T2340" s="12">
        <v>0.75</v>
      </c>
      <c r="U2340" s="12">
        <v>0.875</v>
      </c>
      <c r="V2340" s="12">
        <v>278.14999999999998</v>
      </c>
      <c r="W2340" s="12">
        <v>9.2152641363363799</v>
      </c>
      <c r="X2340" s="12">
        <v>34.067519661911263</v>
      </c>
      <c r="Y2340" s="12">
        <v>2600</v>
      </c>
      <c r="Z2340" s="12">
        <v>7.5</v>
      </c>
      <c r="AA2340" s="12"/>
      <c r="AB2340" s="12"/>
    </row>
    <row r="2341" spans="1:28" x14ac:dyDescent="0.3">
      <c r="A2341" s="12" t="s">
        <v>4255</v>
      </c>
      <c r="B2341" s="12" t="s">
        <v>180</v>
      </c>
      <c r="C2341" s="12" t="s">
        <v>180</v>
      </c>
      <c r="D2341" s="12" t="s">
        <v>181</v>
      </c>
      <c r="E2341" s="12" t="s">
        <v>1886</v>
      </c>
      <c r="F2341" s="12" t="s">
        <v>32</v>
      </c>
      <c r="G2341" s="12" t="s">
        <v>32</v>
      </c>
      <c r="H2341" s="12" t="b">
        <v>1</v>
      </c>
      <c r="I2341" s="12" t="b">
        <v>1</v>
      </c>
      <c r="J2341" s="12" t="b">
        <v>0</v>
      </c>
      <c r="K2341" s="12" t="b">
        <v>0</v>
      </c>
      <c r="L2341" s="12">
        <v>402.5</v>
      </c>
      <c r="M2341" s="12">
        <v>278.14999999999998</v>
      </c>
      <c r="N2341" s="12">
        <v>3000</v>
      </c>
      <c r="O2341" s="12">
        <v>400</v>
      </c>
      <c r="P2341" s="12">
        <v>0.5</v>
      </c>
      <c r="Q2341" s="12">
        <v>0.85</v>
      </c>
      <c r="R2341" s="12">
        <v>0.75</v>
      </c>
      <c r="S2341" s="12">
        <v>0.85</v>
      </c>
      <c r="T2341" s="12">
        <v>0.75</v>
      </c>
      <c r="U2341" s="12">
        <v>0.875</v>
      </c>
      <c r="V2341" s="12">
        <v>278.14999999999998</v>
      </c>
      <c r="W2341" s="12">
        <v>8.6225396120447897</v>
      </c>
      <c r="X2341" s="12">
        <v>29.1658544481487</v>
      </c>
      <c r="Y2341" s="12">
        <v>2600</v>
      </c>
      <c r="Z2341" s="12">
        <v>7.5</v>
      </c>
      <c r="AA2341" s="12"/>
      <c r="AB2341" s="12"/>
    </row>
    <row r="2342" spans="1:28" x14ac:dyDescent="0.3">
      <c r="A2342" s="12" t="s">
        <v>4256</v>
      </c>
      <c r="B2342" s="12" t="s">
        <v>180</v>
      </c>
      <c r="C2342" s="12" t="s">
        <v>180</v>
      </c>
      <c r="D2342" s="12" t="s">
        <v>181</v>
      </c>
      <c r="E2342" s="12" t="s">
        <v>1886</v>
      </c>
      <c r="F2342" s="12" t="s">
        <v>32</v>
      </c>
      <c r="G2342" s="12" t="s">
        <v>32</v>
      </c>
      <c r="H2342" s="12" t="b">
        <v>1</v>
      </c>
      <c r="I2342" s="12" t="b">
        <v>1</v>
      </c>
      <c r="J2342" s="12" t="b">
        <v>0</v>
      </c>
      <c r="K2342" s="12" t="b">
        <v>0</v>
      </c>
      <c r="L2342" s="12">
        <v>407.5</v>
      </c>
      <c r="M2342" s="12">
        <v>278.14999999999998</v>
      </c>
      <c r="N2342" s="12">
        <v>3000</v>
      </c>
      <c r="O2342" s="12">
        <v>400</v>
      </c>
      <c r="P2342" s="12">
        <v>0.5</v>
      </c>
      <c r="Q2342" s="12">
        <v>0.85</v>
      </c>
      <c r="R2342" s="12">
        <v>0.75</v>
      </c>
      <c r="S2342" s="12">
        <v>0.85</v>
      </c>
      <c r="T2342" s="12">
        <v>0.75</v>
      </c>
      <c r="U2342" s="12">
        <v>0.875</v>
      </c>
      <c r="V2342" s="12">
        <v>278.14999999999998</v>
      </c>
      <c r="W2342" s="12">
        <v>9.7112591128073706</v>
      </c>
      <c r="X2342" s="12">
        <v>38.930357883137091</v>
      </c>
      <c r="Y2342" s="12">
        <v>2600</v>
      </c>
      <c r="Z2342" s="12">
        <v>7.5</v>
      </c>
      <c r="AA2342" s="12"/>
      <c r="AB2342" s="12"/>
    </row>
    <row r="2343" spans="1:28" x14ac:dyDescent="0.3">
      <c r="A2343" s="12" t="s">
        <v>4257</v>
      </c>
      <c r="B2343" s="12" t="s">
        <v>180</v>
      </c>
      <c r="C2343" s="12" t="s">
        <v>180</v>
      </c>
      <c r="D2343" s="12" t="s">
        <v>181</v>
      </c>
      <c r="E2343" s="12" t="s">
        <v>1886</v>
      </c>
      <c r="F2343" s="12" t="s">
        <v>32</v>
      </c>
      <c r="G2343" s="12" t="s">
        <v>32</v>
      </c>
      <c r="H2343" s="12" t="b">
        <v>1</v>
      </c>
      <c r="I2343" s="12" t="b">
        <v>1</v>
      </c>
      <c r="J2343" s="12" t="b">
        <v>0</v>
      </c>
      <c r="K2343" s="12" t="b">
        <v>0</v>
      </c>
      <c r="L2343" s="12">
        <v>410</v>
      </c>
      <c r="M2343" s="12">
        <v>278.14999999999998</v>
      </c>
      <c r="N2343" s="12">
        <v>3000</v>
      </c>
      <c r="O2343" s="12">
        <v>400</v>
      </c>
      <c r="P2343" s="12">
        <v>0.5</v>
      </c>
      <c r="Q2343" s="12">
        <v>0.85</v>
      </c>
      <c r="R2343" s="12">
        <v>0.75</v>
      </c>
      <c r="S2343" s="12">
        <v>0.85</v>
      </c>
      <c r="T2343" s="12">
        <v>0.75</v>
      </c>
      <c r="U2343" s="12">
        <v>0.875</v>
      </c>
      <c r="V2343" s="12">
        <v>278.14999999999998</v>
      </c>
      <c r="W2343" s="12">
        <v>10.13331419447346</v>
      </c>
      <c r="X2343" s="12">
        <v>43.774974935107913</v>
      </c>
      <c r="Y2343" s="12">
        <v>2600</v>
      </c>
      <c r="Z2343" s="12">
        <v>7.5</v>
      </c>
      <c r="AA2343" s="12"/>
      <c r="AB2343" s="12"/>
    </row>
    <row r="2344" spans="1:28" x14ac:dyDescent="0.3">
      <c r="A2344" s="12" t="s">
        <v>4258</v>
      </c>
      <c r="B2344" s="12" t="s">
        <v>180</v>
      </c>
      <c r="C2344" s="12" t="s">
        <v>180</v>
      </c>
      <c r="D2344" s="12" t="s">
        <v>181</v>
      </c>
      <c r="E2344" s="12" t="s">
        <v>1886</v>
      </c>
      <c r="F2344" s="12" t="s">
        <v>1862</v>
      </c>
      <c r="G2344" s="12" t="s">
        <v>1862</v>
      </c>
      <c r="H2344" s="12" t="b">
        <v>1</v>
      </c>
      <c r="I2344" s="12" t="b">
        <v>0</v>
      </c>
      <c r="J2344" s="12" t="b">
        <v>0</v>
      </c>
      <c r="K2344" s="12" t="b">
        <v>0</v>
      </c>
      <c r="L2344" s="12">
        <v>387.5</v>
      </c>
      <c r="M2344" s="12">
        <v>278.14999999999998</v>
      </c>
      <c r="N2344" s="12">
        <v>3000</v>
      </c>
      <c r="O2344" s="12">
        <v>400</v>
      </c>
      <c r="P2344" s="12">
        <v>0.5</v>
      </c>
      <c r="Q2344" s="12">
        <v>0.85</v>
      </c>
      <c r="R2344" s="12">
        <v>0.75</v>
      </c>
      <c r="S2344" s="12">
        <v>0.85</v>
      </c>
      <c r="T2344" s="12">
        <v>0.75</v>
      </c>
      <c r="U2344" s="12">
        <v>0.9</v>
      </c>
      <c r="V2344" s="12">
        <v>278.14999999999998</v>
      </c>
      <c r="W2344" s="12">
        <v>-1.8194535115572901</v>
      </c>
      <c r="X2344" s="12">
        <v>-2.4580336502977391</v>
      </c>
      <c r="Y2344" s="12">
        <v>2600</v>
      </c>
      <c r="Z2344" s="12">
        <v>7.5</v>
      </c>
      <c r="AA2344" s="12" t="s">
        <v>1696</v>
      </c>
      <c r="AB2344" s="12"/>
    </row>
    <row r="2345" spans="1:28" x14ac:dyDescent="0.3">
      <c r="A2345" s="12" t="s">
        <v>4259</v>
      </c>
      <c r="B2345" s="12" t="s">
        <v>180</v>
      </c>
      <c r="C2345" s="12" t="s">
        <v>180</v>
      </c>
      <c r="D2345" s="12" t="s">
        <v>181</v>
      </c>
      <c r="E2345" s="12" t="s">
        <v>1886</v>
      </c>
      <c r="F2345" s="12" t="s">
        <v>32</v>
      </c>
      <c r="G2345" s="12" t="s">
        <v>32</v>
      </c>
      <c r="H2345" s="12" t="b">
        <v>1</v>
      </c>
      <c r="I2345" s="12" t="b">
        <v>1</v>
      </c>
      <c r="J2345" s="12" t="b">
        <v>0</v>
      </c>
      <c r="K2345" s="12" t="b">
        <v>0</v>
      </c>
      <c r="L2345" s="12">
        <v>390</v>
      </c>
      <c r="M2345" s="12">
        <v>278.14999999999998</v>
      </c>
      <c r="N2345" s="12">
        <v>3000</v>
      </c>
      <c r="O2345" s="12">
        <v>400</v>
      </c>
      <c r="P2345" s="12">
        <v>0.5</v>
      </c>
      <c r="Q2345" s="12">
        <v>0.85</v>
      </c>
      <c r="R2345" s="12">
        <v>0.75</v>
      </c>
      <c r="S2345" s="12">
        <v>0.85</v>
      </c>
      <c r="T2345" s="12">
        <v>0.75</v>
      </c>
      <c r="U2345" s="12">
        <v>0.9</v>
      </c>
      <c r="V2345" s="12">
        <v>278.14999999999998</v>
      </c>
      <c r="W2345" s="12">
        <v>1.8637082939979099</v>
      </c>
      <c r="X2345" s="12">
        <v>3.2124227745233691</v>
      </c>
      <c r="Y2345" s="12">
        <v>2600</v>
      </c>
      <c r="Z2345" s="12">
        <v>7.5</v>
      </c>
      <c r="AA2345" s="12"/>
      <c r="AB2345" s="12"/>
    </row>
    <row r="2346" spans="1:28" x14ac:dyDescent="0.3">
      <c r="A2346" s="12" t="s">
        <v>4260</v>
      </c>
      <c r="B2346" s="12" t="s">
        <v>180</v>
      </c>
      <c r="C2346" s="12" t="s">
        <v>180</v>
      </c>
      <c r="D2346" s="12" t="s">
        <v>181</v>
      </c>
      <c r="E2346" s="12" t="s">
        <v>1886</v>
      </c>
      <c r="F2346" s="12" t="s">
        <v>1863</v>
      </c>
      <c r="G2346" s="12" t="s">
        <v>832</v>
      </c>
      <c r="H2346" s="12" t="b">
        <v>0</v>
      </c>
      <c r="I2346" s="12" t="b">
        <v>0</v>
      </c>
      <c r="J2346" s="12" t="b">
        <v>0</v>
      </c>
      <c r="K2346" s="12" t="b">
        <v>0</v>
      </c>
      <c r="L2346" s="12">
        <v>385</v>
      </c>
      <c r="M2346" s="12">
        <v>278.14999999999998</v>
      </c>
      <c r="N2346" s="12">
        <v>3000</v>
      </c>
      <c r="O2346" s="12">
        <v>400</v>
      </c>
      <c r="P2346" s="12">
        <v>0.5</v>
      </c>
      <c r="Q2346" s="12">
        <v>0.85</v>
      </c>
      <c r="R2346" s="12">
        <v>0.75</v>
      </c>
      <c r="S2346" s="12">
        <v>0.85</v>
      </c>
      <c r="T2346" s="12">
        <v>0.75</v>
      </c>
      <c r="U2346" s="12">
        <v>0.9</v>
      </c>
      <c r="V2346" s="12">
        <v>278.14999999999998</v>
      </c>
      <c r="W2346" s="12">
        <v>-16.162887167644669</v>
      </c>
      <c r="X2346" s="12">
        <v>-16.212889508002831</v>
      </c>
      <c r="Y2346" s="12">
        <v>2600</v>
      </c>
      <c r="Z2346" s="12">
        <v>7.5</v>
      </c>
      <c r="AA2346" s="12" t="s">
        <v>2846</v>
      </c>
      <c r="AB2346" s="12"/>
    </row>
    <row r="2347" spans="1:28" x14ac:dyDescent="0.3">
      <c r="A2347" s="12" t="s">
        <v>4261</v>
      </c>
      <c r="B2347" s="12" t="s">
        <v>180</v>
      </c>
      <c r="C2347" s="12" t="s">
        <v>180</v>
      </c>
      <c r="D2347" s="12" t="s">
        <v>181</v>
      </c>
      <c r="E2347" s="12" t="s">
        <v>1886</v>
      </c>
      <c r="F2347" s="12" t="s">
        <v>32</v>
      </c>
      <c r="G2347" s="12" t="s">
        <v>32</v>
      </c>
      <c r="H2347" s="12" t="b">
        <v>1</v>
      </c>
      <c r="I2347" s="12" t="b">
        <v>1</v>
      </c>
      <c r="J2347" s="12" t="b">
        <v>0</v>
      </c>
      <c r="K2347" s="12" t="b">
        <v>0</v>
      </c>
      <c r="L2347" s="12">
        <v>392.5</v>
      </c>
      <c r="M2347" s="12">
        <v>278.14999999999998</v>
      </c>
      <c r="N2347" s="12">
        <v>3000</v>
      </c>
      <c r="O2347" s="12">
        <v>400</v>
      </c>
      <c r="P2347" s="12">
        <v>0.5</v>
      </c>
      <c r="Q2347" s="12">
        <v>0.85</v>
      </c>
      <c r="R2347" s="12">
        <v>0.75</v>
      </c>
      <c r="S2347" s="12">
        <v>0.85</v>
      </c>
      <c r="T2347" s="12">
        <v>0.75</v>
      </c>
      <c r="U2347" s="12">
        <v>0.9</v>
      </c>
      <c r="V2347" s="12">
        <v>278.14999999999998</v>
      </c>
      <c r="W2347" s="12">
        <v>4.1664422580124798</v>
      </c>
      <c r="X2347" s="12">
        <v>8.6711183530848039</v>
      </c>
      <c r="Y2347" s="12">
        <v>2600</v>
      </c>
      <c r="Z2347" s="12">
        <v>7.5</v>
      </c>
      <c r="AA2347" s="12"/>
      <c r="AB2347" s="12"/>
    </row>
    <row r="2348" spans="1:28" x14ac:dyDescent="0.3">
      <c r="A2348" s="12" t="s">
        <v>4262</v>
      </c>
      <c r="B2348" s="12" t="s">
        <v>180</v>
      </c>
      <c r="C2348" s="12" t="s">
        <v>180</v>
      </c>
      <c r="D2348" s="12" t="s">
        <v>181</v>
      </c>
      <c r="E2348" s="12" t="s">
        <v>1886</v>
      </c>
      <c r="F2348" s="12" t="s">
        <v>32</v>
      </c>
      <c r="G2348" s="12" t="s">
        <v>32</v>
      </c>
      <c r="H2348" s="12" t="b">
        <v>1</v>
      </c>
      <c r="I2348" s="12" t="b">
        <v>1</v>
      </c>
      <c r="J2348" s="12" t="b">
        <v>0</v>
      </c>
      <c r="K2348" s="12" t="b">
        <v>0</v>
      </c>
      <c r="L2348" s="12">
        <v>395</v>
      </c>
      <c r="M2348" s="12">
        <v>278.14999999999998</v>
      </c>
      <c r="N2348" s="12">
        <v>3000</v>
      </c>
      <c r="O2348" s="12">
        <v>400</v>
      </c>
      <c r="P2348" s="12">
        <v>0.5</v>
      </c>
      <c r="Q2348" s="12">
        <v>0.85</v>
      </c>
      <c r="R2348" s="12">
        <v>0.75</v>
      </c>
      <c r="S2348" s="12">
        <v>0.85</v>
      </c>
      <c r="T2348" s="12">
        <v>0.75</v>
      </c>
      <c r="U2348" s="12">
        <v>0.9</v>
      </c>
      <c r="V2348" s="12">
        <v>278.14999999999998</v>
      </c>
      <c r="W2348" s="12">
        <v>5.7523975901603697</v>
      </c>
      <c r="X2348" s="12">
        <v>13.95750773978707</v>
      </c>
      <c r="Y2348" s="12">
        <v>2600</v>
      </c>
      <c r="Z2348" s="12">
        <v>7.5</v>
      </c>
      <c r="AA2348" s="12"/>
      <c r="AB2348" s="12"/>
    </row>
    <row r="2349" spans="1:28" x14ac:dyDescent="0.3">
      <c r="A2349" s="12" t="s">
        <v>4263</v>
      </c>
      <c r="B2349" s="12" t="s">
        <v>180</v>
      </c>
      <c r="C2349" s="12" t="s">
        <v>180</v>
      </c>
      <c r="D2349" s="12" t="s">
        <v>181</v>
      </c>
      <c r="E2349" s="12" t="s">
        <v>1886</v>
      </c>
      <c r="F2349" s="12" t="s">
        <v>32</v>
      </c>
      <c r="G2349" s="12" t="s">
        <v>32</v>
      </c>
      <c r="H2349" s="12" t="b">
        <v>1</v>
      </c>
      <c r="I2349" s="12" t="b">
        <v>1</v>
      </c>
      <c r="J2349" s="12" t="b">
        <v>0</v>
      </c>
      <c r="K2349" s="12" t="b">
        <v>0</v>
      </c>
      <c r="L2349" s="12">
        <v>397.5</v>
      </c>
      <c r="M2349" s="12">
        <v>278.14999999999998</v>
      </c>
      <c r="N2349" s="12">
        <v>3000</v>
      </c>
      <c r="O2349" s="12">
        <v>400</v>
      </c>
      <c r="P2349" s="12">
        <v>0.5</v>
      </c>
      <c r="Q2349" s="12">
        <v>0.85</v>
      </c>
      <c r="R2349" s="12">
        <v>0.75</v>
      </c>
      <c r="S2349" s="12">
        <v>0.85</v>
      </c>
      <c r="T2349" s="12">
        <v>0.75</v>
      </c>
      <c r="U2349" s="12">
        <v>0.9</v>
      </c>
      <c r="V2349" s="12">
        <v>278.14999999999998</v>
      </c>
      <c r="W2349" s="12">
        <v>6.9177368104112098</v>
      </c>
      <c r="X2349" s="12">
        <v>19.105031609121731</v>
      </c>
      <c r="Y2349" s="12">
        <v>2600</v>
      </c>
      <c r="Z2349" s="12">
        <v>7.5</v>
      </c>
      <c r="AA2349" s="12"/>
      <c r="AB2349" s="12"/>
    </row>
    <row r="2350" spans="1:28" x14ac:dyDescent="0.3">
      <c r="A2350" s="12" t="s">
        <v>4264</v>
      </c>
      <c r="B2350" s="12" t="s">
        <v>180</v>
      </c>
      <c r="C2350" s="12" t="s">
        <v>180</v>
      </c>
      <c r="D2350" s="12" t="s">
        <v>181</v>
      </c>
      <c r="E2350" s="12" t="s">
        <v>1886</v>
      </c>
      <c r="F2350" s="12" t="s">
        <v>32</v>
      </c>
      <c r="G2350" s="12" t="s">
        <v>32</v>
      </c>
      <c r="H2350" s="12" t="b">
        <v>1</v>
      </c>
      <c r="I2350" s="12" t="b">
        <v>1</v>
      </c>
      <c r="J2350" s="12" t="b">
        <v>0</v>
      </c>
      <c r="K2350" s="12" t="b">
        <v>0</v>
      </c>
      <c r="L2350" s="12">
        <v>400</v>
      </c>
      <c r="M2350" s="12">
        <v>278.14999999999998</v>
      </c>
      <c r="N2350" s="12">
        <v>3000</v>
      </c>
      <c r="O2350" s="12">
        <v>400</v>
      </c>
      <c r="P2350" s="12">
        <v>0.5</v>
      </c>
      <c r="Q2350" s="12">
        <v>0.85</v>
      </c>
      <c r="R2350" s="12">
        <v>0.75</v>
      </c>
      <c r="S2350" s="12">
        <v>0.85</v>
      </c>
      <c r="T2350" s="12">
        <v>0.75</v>
      </c>
      <c r="U2350" s="12">
        <v>0.9</v>
      </c>
      <c r="V2350" s="12">
        <v>278.14999999999998</v>
      </c>
      <c r="W2350" s="12">
        <v>7.8145300622520892</v>
      </c>
      <c r="X2350" s="12">
        <v>24.142628852170802</v>
      </c>
      <c r="Y2350" s="12">
        <v>2600</v>
      </c>
      <c r="Z2350" s="12">
        <v>7.5</v>
      </c>
      <c r="AA2350" s="12"/>
      <c r="AB2350" s="12"/>
    </row>
    <row r="2351" spans="1:28" x14ac:dyDescent="0.3">
      <c r="A2351" s="12" t="s">
        <v>4265</v>
      </c>
      <c r="B2351" s="12" t="s">
        <v>180</v>
      </c>
      <c r="C2351" s="12" t="s">
        <v>180</v>
      </c>
      <c r="D2351" s="12" t="s">
        <v>181</v>
      </c>
      <c r="E2351" s="12" t="s">
        <v>1886</v>
      </c>
      <c r="F2351" s="12" t="s">
        <v>32</v>
      </c>
      <c r="G2351" s="12" t="s">
        <v>32</v>
      </c>
      <c r="H2351" s="12" t="b">
        <v>1</v>
      </c>
      <c r="I2351" s="12" t="b">
        <v>1</v>
      </c>
      <c r="J2351" s="12" t="b">
        <v>0</v>
      </c>
      <c r="K2351" s="12" t="b">
        <v>0</v>
      </c>
      <c r="L2351" s="12">
        <v>402.5</v>
      </c>
      <c r="M2351" s="12">
        <v>278.14999999999998</v>
      </c>
      <c r="N2351" s="12">
        <v>3000</v>
      </c>
      <c r="O2351" s="12">
        <v>400</v>
      </c>
      <c r="P2351" s="12">
        <v>0.5</v>
      </c>
      <c r="Q2351" s="12">
        <v>0.85</v>
      </c>
      <c r="R2351" s="12">
        <v>0.75</v>
      </c>
      <c r="S2351" s="12">
        <v>0.85</v>
      </c>
      <c r="T2351" s="12">
        <v>0.75</v>
      </c>
      <c r="U2351" s="12">
        <v>0.9</v>
      </c>
      <c r="V2351" s="12">
        <v>278.14999999999998</v>
      </c>
      <c r="W2351" s="12">
        <v>8.5288929553631689</v>
      </c>
      <c r="X2351" s="12">
        <v>29.09595635059733</v>
      </c>
      <c r="Y2351" s="12">
        <v>2600</v>
      </c>
      <c r="Z2351" s="12">
        <v>7.5</v>
      </c>
      <c r="AA2351" s="12"/>
      <c r="AB2351" s="12"/>
    </row>
    <row r="2352" spans="1:28" x14ac:dyDescent="0.3">
      <c r="A2352" s="12" t="s">
        <v>4266</v>
      </c>
      <c r="B2352" s="12" t="s">
        <v>180</v>
      </c>
      <c r="C2352" s="12" t="s">
        <v>180</v>
      </c>
      <c r="D2352" s="12" t="s">
        <v>181</v>
      </c>
      <c r="E2352" s="12" t="s">
        <v>1886</v>
      </c>
      <c r="F2352" s="12" t="s">
        <v>32</v>
      </c>
      <c r="G2352" s="12" t="s">
        <v>32</v>
      </c>
      <c r="H2352" s="12" t="b">
        <v>1</v>
      </c>
      <c r="I2352" s="12" t="b">
        <v>1</v>
      </c>
      <c r="J2352" s="12" t="b">
        <v>0</v>
      </c>
      <c r="K2352" s="12" t="b">
        <v>0</v>
      </c>
      <c r="L2352" s="12">
        <v>405</v>
      </c>
      <c r="M2352" s="12">
        <v>278.14999999999998</v>
      </c>
      <c r="N2352" s="12">
        <v>3000</v>
      </c>
      <c r="O2352" s="12">
        <v>400</v>
      </c>
      <c r="P2352" s="12">
        <v>0.5</v>
      </c>
      <c r="Q2352" s="12">
        <v>0.85</v>
      </c>
      <c r="R2352" s="12">
        <v>0.75</v>
      </c>
      <c r="S2352" s="12">
        <v>0.85</v>
      </c>
      <c r="T2352" s="12">
        <v>0.75</v>
      </c>
      <c r="U2352" s="12">
        <v>0.9</v>
      </c>
      <c r="V2352" s="12">
        <v>278.14999999999998</v>
      </c>
      <c r="W2352" s="12">
        <v>9.1132692079719604</v>
      </c>
      <c r="X2352" s="12">
        <v>33.988331943403537</v>
      </c>
      <c r="Y2352" s="12">
        <v>2600</v>
      </c>
      <c r="Z2352" s="12">
        <v>7.5</v>
      </c>
      <c r="AA2352" s="12"/>
      <c r="AB2352" s="12"/>
    </row>
    <row r="2353" spans="1:28" x14ac:dyDescent="0.3">
      <c r="A2353" s="12" t="s">
        <v>4267</v>
      </c>
      <c r="B2353" s="12" t="s">
        <v>180</v>
      </c>
      <c r="C2353" s="12" t="s">
        <v>180</v>
      </c>
      <c r="D2353" s="12" t="s">
        <v>181</v>
      </c>
      <c r="E2353" s="12" t="s">
        <v>1886</v>
      </c>
      <c r="F2353" s="12" t="s">
        <v>32</v>
      </c>
      <c r="G2353" s="12" t="s">
        <v>32</v>
      </c>
      <c r="H2353" s="12" t="b">
        <v>1</v>
      </c>
      <c r="I2353" s="12" t="b">
        <v>1</v>
      </c>
      <c r="J2353" s="12" t="b">
        <v>0</v>
      </c>
      <c r="K2353" s="12" t="b">
        <v>0</v>
      </c>
      <c r="L2353" s="12">
        <v>407.5</v>
      </c>
      <c r="M2353" s="12">
        <v>278.14999999999998</v>
      </c>
      <c r="N2353" s="12">
        <v>3000</v>
      </c>
      <c r="O2353" s="12">
        <v>400</v>
      </c>
      <c r="P2353" s="12">
        <v>0.5</v>
      </c>
      <c r="Q2353" s="12">
        <v>0.85</v>
      </c>
      <c r="R2353" s="12">
        <v>0.75</v>
      </c>
      <c r="S2353" s="12">
        <v>0.85</v>
      </c>
      <c r="T2353" s="12">
        <v>0.75</v>
      </c>
      <c r="U2353" s="12">
        <v>0.9</v>
      </c>
      <c r="V2353" s="12">
        <v>278.14999999999998</v>
      </c>
      <c r="W2353" s="12">
        <v>9.6014527834509291</v>
      </c>
      <c r="X2353" s="12">
        <v>38.841470261177548</v>
      </c>
      <c r="Y2353" s="12">
        <v>2600</v>
      </c>
      <c r="Z2353" s="12">
        <v>7.5</v>
      </c>
      <c r="AA2353" s="12"/>
      <c r="AB2353" s="12"/>
    </row>
    <row r="2354" spans="1:28" x14ac:dyDescent="0.3">
      <c r="A2354" s="12" t="s">
        <v>4268</v>
      </c>
      <c r="B2354" s="12" t="s">
        <v>180</v>
      </c>
      <c r="C2354" s="12" t="s">
        <v>180</v>
      </c>
      <c r="D2354" s="12" t="s">
        <v>181</v>
      </c>
      <c r="E2354" s="12" t="s">
        <v>1886</v>
      </c>
      <c r="F2354" s="12" t="s">
        <v>32</v>
      </c>
      <c r="G2354" s="12" t="s">
        <v>32</v>
      </c>
      <c r="H2354" s="12" t="b">
        <v>1</v>
      </c>
      <c r="I2354" s="12" t="b">
        <v>1</v>
      </c>
      <c r="J2354" s="12" t="b">
        <v>0</v>
      </c>
      <c r="K2354" s="12" t="b">
        <v>0</v>
      </c>
      <c r="L2354" s="12">
        <v>410</v>
      </c>
      <c r="M2354" s="12">
        <v>278.14999999999998</v>
      </c>
      <c r="N2354" s="12">
        <v>3000</v>
      </c>
      <c r="O2354" s="12">
        <v>400</v>
      </c>
      <c r="P2354" s="12">
        <v>0.5</v>
      </c>
      <c r="Q2354" s="12">
        <v>0.85</v>
      </c>
      <c r="R2354" s="12">
        <v>0.75</v>
      </c>
      <c r="S2354" s="12">
        <v>0.85</v>
      </c>
      <c r="T2354" s="12">
        <v>0.75</v>
      </c>
      <c r="U2354" s="12">
        <v>0.9</v>
      </c>
      <c r="V2354" s="12">
        <v>278.14999999999998</v>
      </c>
      <c r="W2354" s="12">
        <v>10.016226068243011</v>
      </c>
      <c r="X2354" s="12">
        <v>43.676059552698383</v>
      </c>
      <c r="Y2354" s="12">
        <v>2600</v>
      </c>
      <c r="Z2354" s="12">
        <v>7.5</v>
      </c>
      <c r="AA2354" s="12"/>
      <c r="AB2354" s="12"/>
    </row>
    <row r="2355" spans="1:28" x14ac:dyDescent="0.3">
      <c r="A2355" s="12" t="s">
        <v>4269</v>
      </c>
      <c r="B2355" s="12" t="s">
        <v>180</v>
      </c>
      <c r="C2355" s="12" t="s">
        <v>180</v>
      </c>
      <c r="D2355" s="12" t="s">
        <v>181</v>
      </c>
      <c r="E2355" s="12" t="s">
        <v>1886</v>
      </c>
      <c r="F2355" s="12" t="s">
        <v>1862</v>
      </c>
      <c r="G2355" s="12" t="s">
        <v>1862</v>
      </c>
      <c r="H2355" s="12" t="b">
        <v>1</v>
      </c>
      <c r="I2355" s="12" t="b">
        <v>0</v>
      </c>
      <c r="J2355" s="12" t="b">
        <v>0</v>
      </c>
      <c r="K2355" s="12" t="b">
        <v>0</v>
      </c>
      <c r="L2355" s="12">
        <v>387.5</v>
      </c>
      <c r="M2355" s="12">
        <v>278.14999999999998</v>
      </c>
      <c r="N2355" s="12">
        <v>3000</v>
      </c>
      <c r="O2355" s="12">
        <v>400</v>
      </c>
      <c r="P2355" s="12">
        <v>0.5</v>
      </c>
      <c r="Q2355" s="12">
        <v>0.85</v>
      </c>
      <c r="R2355" s="12">
        <v>0.75</v>
      </c>
      <c r="S2355" s="12">
        <v>0.85</v>
      </c>
      <c r="T2355" s="12">
        <v>0.75</v>
      </c>
      <c r="U2355" s="12">
        <v>0.92500000000000004</v>
      </c>
      <c r="V2355" s="12">
        <v>278.14999999999998</v>
      </c>
      <c r="W2355" s="12">
        <v>-1.8226621000363199</v>
      </c>
      <c r="X2355" s="12">
        <v>-2.478331470535835</v>
      </c>
      <c r="Y2355" s="12">
        <v>2600</v>
      </c>
      <c r="Z2355" s="12">
        <v>7.5</v>
      </c>
      <c r="AA2355" s="12" t="s">
        <v>1696</v>
      </c>
      <c r="AB2355" s="12"/>
    </row>
    <row r="2356" spans="1:28" x14ac:dyDescent="0.3">
      <c r="A2356" s="12" t="s">
        <v>4270</v>
      </c>
      <c r="B2356" s="12" t="s">
        <v>180</v>
      </c>
      <c r="C2356" s="12" t="s">
        <v>180</v>
      </c>
      <c r="D2356" s="12" t="s">
        <v>181</v>
      </c>
      <c r="E2356" s="12" t="s">
        <v>1886</v>
      </c>
      <c r="F2356" s="12" t="s">
        <v>32</v>
      </c>
      <c r="G2356" s="12" t="s">
        <v>32</v>
      </c>
      <c r="H2356" s="12" t="b">
        <v>1</v>
      </c>
      <c r="I2356" s="12" t="b">
        <v>1</v>
      </c>
      <c r="J2356" s="12" t="b">
        <v>0</v>
      </c>
      <c r="K2356" s="12" t="b">
        <v>0</v>
      </c>
      <c r="L2356" s="12">
        <v>390</v>
      </c>
      <c r="M2356" s="12">
        <v>278.14999999999998</v>
      </c>
      <c r="N2356" s="12">
        <v>3000</v>
      </c>
      <c r="O2356" s="12">
        <v>400</v>
      </c>
      <c r="P2356" s="12">
        <v>0.5</v>
      </c>
      <c r="Q2356" s="12">
        <v>0.85</v>
      </c>
      <c r="R2356" s="12">
        <v>0.75</v>
      </c>
      <c r="S2356" s="12">
        <v>0.85</v>
      </c>
      <c r="T2356" s="12">
        <v>0.75</v>
      </c>
      <c r="U2356" s="12">
        <v>0.92500000000000004</v>
      </c>
      <c r="V2356" s="12">
        <v>278.14999999999998</v>
      </c>
      <c r="W2356" s="12">
        <v>1.8356071110783001</v>
      </c>
      <c r="X2356" s="12">
        <v>3.1852629814414808</v>
      </c>
      <c r="Y2356" s="12">
        <v>2600</v>
      </c>
      <c r="Z2356" s="12">
        <v>7.5</v>
      </c>
      <c r="AA2356" s="12"/>
      <c r="AB2356" s="12"/>
    </row>
    <row r="2357" spans="1:28" x14ac:dyDescent="0.3">
      <c r="A2357" s="12" t="s">
        <v>4271</v>
      </c>
      <c r="B2357" s="12" t="s">
        <v>180</v>
      </c>
      <c r="C2357" s="12" t="s">
        <v>180</v>
      </c>
      <c r="D2357" s="12" t="s">
        <v>181</v>
      </c>
      <c r="E2357" s="12" t="s">
        <v>1886</v>
      </c>
      <c r="F2357" s="12" t="s">
        <v>1863</v>
      </c>
      <c r="G2357" s="12" t="s">
        <v>832</v>
      </c>
      <c r="H2357" s="12" t="b">
        <v>0</v>
      </c>
      <c r="I2357" s="12" t="b">
        <v>0</v>
      </c>
      <c r="J2357" s="12" t="b">
        <v>0</v>
      </c>
      <c r="K2357" s="12" t="b">
        <v>0</v>
      </c>
      <c r="L2357" s="12">
        <v>385</v>
      </c>
      <c r="M2357" s="12">
        <v>278.14999999999998</v>
      </c>
      <c r="N2357" s="12">
        <v>3000</v>
      </c>
      <c r="O2357" s="12">
        <v>400</v>
      </c>
      <c r="P2357" s="12">
        <v>0.5</v>
      </c>
      <c r="Q2357" s="12">
        <v>0.85</v>
      </c>
      <c r="R2357" s="12">
        <v>0.75</v>
      </c>
      <c r="S2357" s="12">
        <v>0.85</v>
      </c>
      <c r="T2357" s="12">
        <v>0.75</v>
      </c>
      <c r="U2357" s="12">
        <v>0.92500000000000004</v>
      </c>
      <c r="V2357" s="12">
        <v>278.14999999999998</v>
      </c>
      <c r="W2357" s="12">
        <v>-16.1454711309228</v>
      </c>
      <c r="X2357" s="12">
        <v>-16.244330320353949</v>
      </c>
      <c r="Y2357" s="12">
        <v>2600</v>
      </c>
      <c r="Z2357" s="12">
        <v>7.5</v>
      </c>
      <c r="AA2357" s="12" t="s">
        <v>2846</v>
      </c>
      <c r="AB2357" s="12"/>
    </row>
    <row r="2358" spans="1:28" x14ac:dyDescent="0.3">
      <c r="A2358" s="12" t="s">
        <v>4272</v>
      </c>
      <c r="B2358" s="12" t="s">
        <v>180</v>
      </c>
      <c r="C2358" s="12" t="s">
        <v>180</v>
      </c>
      <c r="D2358" s="12" t="s">
        <v>181</v>
      </c>
      <c r="E2358" s="12" t="s">
        <v>1886</v>
      </c>
      <c r="F2358" s="12" t="s">
        <v>32</v>
      </c>
      <c r="G2358" s="12" t="s">
        <v>32</v>
      </c>
      <c r="H2358" s="12" t="b">
        <v>1</v>
      </c>
      <c r="I2358" s="12" t="b">
        <v>1</v>
      </c>
      <c r="J2358" s="12" t="b">
        <v>0</v>
      </c>
      <c r="K2358" s="12" t="b">
        <v>0</v>
      </c>
      <c r="L2358" s="12">
        <v>392.5</v>
      </c>
      <c r="M2358" s="12">
        <v>278.14999999999998</v>
      </c>
      <c r="N2358" s="12">
        <v>3000</v>
      </c>
      <c r="O2358" s="12">
        <v>400</v>
      </c>
      <c r="P2358" s="12">
        <v>0.5</v>
      </c>
      <c r="Q2358" s="12">
        <v>0.85</v>
      </c>
      <c r="R2358" s="12">
        <v>0.75</v>
      </c>
      <c r="S2358" s="12">
        <v>0.85</v>
      </c>
      <c r="T2358" s="12">
        <v>0.75</v>
      </c>
      <c r="U2358" s="12">
        <v>0.92500000000000004</v>
      </c>
      <c r="V2358" s="12">
        <v>278.14999999999998</v>
      </c>
      <c r="W2358" s="12">
        <v>4.1209883715690196</v>
      </c>
      <c r="X2358" s="12">
        <v>8.6366338308644313</v>
      </c>
      <c r="Y2358" s="12">
        <v>2600</v>
      </c>
      <c r="Z2358" s="12">
        <v>7.5</v>
      </c>
      <c r="AA2358" s="12"/>
      <c r="AB2358" s="12"/>
    </row>
    <row r="2359" spans="1:28" x14ac:dyDescent="0.3">
      <c r="A2359" s="12" t="s">
        <v>4273</v>
      </c>
      <c r="B2359" s="12" t="s">
        <v>180</v>
      </c>
      <c r="C2359" s="12" t="s">
        <v>180</v>
      </c>
      <c r="D2359" s="12" t="s">
        <v>181</v>
      </c>
      <c r="E2359" s="12" t="s">
        <v>1886</v>
      </c>
      <c r="F2359" s="12" t="s">
        <v>32</v>
      </c>
      <c r="G2359" s="12" t="s">
        <v>32</v>
      </c>
      <c r="H2359" s="12" t="b">
        <v>1</v>
      </c>
      <c r="I2359" s="12" t="b">
        <v>1</v>
      </c>
      <c r="J2359" s="12" t="b">
        <v>0</v>
      </c>
      <c r="K2359" s="12" t="b">
        <v>0</v>
      </c>
      <c r="L2359" s="12">
        <v>395</v>
      </c>
      <c r="M2359" s="12">
        <v>278.14999999999998</v>
      </c>
      <c r="N2359" s="12">
        <v>3000</v>
      </c>
      <c r="O2359" s="12">
        <v>400</v>
      </c>
      <c r="P2359" s="12">
        <v>0.5</v>
      </c>
      <c r="Q2359" s="12">
        <v>0.85</v>
      </c>
      <c r="R2359" s="12">
        <v>0.75</v>
      </c>
      <c r="S2359" s="12">
        <v>0.85</v>
      </c>
      <c r="T2359" s="12">
        <v>0.75</v>
      </c>
      <c r="U2359" s="12">
        <v>0.92500000000000004</v>
      </c>
      <c r="V2359" s="12">
        <v>278.14999999999998</v>
      </c>
      <c r="W2359" s="12">
        <v>5.6934260497178304</v>
      </c>
      <c r="X2359" s="12">
        <v>13.915309224710411</v>
      </c>
      <c r="Y2359" s="12">
        <v>2600</v>
      </c>
      <c r="Z2359" s="12">
        <v>7.5</v>
      </c>
      <c r="AA2359" s="12"/>
      <c r="AB2359" s="12"/>
    </row>
    <row r="2360" spans="1:28" x14ac:dyDescent="0.3">
      <c r="A2360" s="12" t="s">
        <v>4274</v>
      </c>
      <c r="B2360" s="12" t="s">
        <v>180</v>
      </c>
      <c r="C2360" s="12" t="s">
        <v>180</v>
      </c>
      <c r="D2360" s="12" t="s">
        <v>181</v>
      </c>
      <c r="E2360" s="12" t="s">
        <v>1886</v>
      </c>
      <c r="F2360" s="12" t="s">
        <v>32</v>
      </c>
      <c r="G2360" s="12" t="s">
        <v>32</v>
      </c>
      <c r="H2360" s="12" t="b">
        <v>1</v>
      </c>
      <c r="I2360" s="12" t="b">
        <v>1</v>
      </c>
      <c r="J2360" s="12" t="b">
        <v>0</v>
      </c>
      <c r="K2360" s="12" t="b">
        <v>0</v>
      </c>
      <c r="L2360" s="12">
        <v>397.5</v>
      </c>
      <c r="M2360" s="12">
        <v>278.14999999999998</v>
      </c>
      <c r="N2360" s="12">
        <v>3000</v>
      </c>
      <c r="O2360" s="12">
        <v>400</v>
      </c>
      <c r="P2360" s="12">
        <v>0.5</v>
      </c>
      <c r="Q2360" s="12">
        <v>0.85</v>
      </c>
      <c r="R2360" s="12">
        <v>0.75</v>
      </c>
      <c r="S2360" s="12">
        <v>0.85</v>
      </c>
      <c r="T2360" s="12">
        <v>0.75</v>
      </c>
      <c r="U2360" s="12">
        <v>0.92500000000000004</v>
      </c>
      <c r="V2360" s="12">
        <v>278.14999999999998</v>
      </c>
      <c r="W2360" s="12">
        <v>6.8475061534427297</v>
      </c>
      <c r="X2360" s="12">
        <v>19.054759410900971</v>
      </c>
      <c r="Y2360" s="12">
        <v>2600</v>
      </c>
      <c r="Z2360" s="12">
        <v>7.5</v>
      </c>
      <c r="AA2360" s="12"/>
      <c r="AB2360" s="12"/>
    </row>
    <row r="2361" spans="1:28" x14ac:dyDescent="0.3">
      <c r="A2361" s="12" t="s">
        <v>4275</v>
      </c>
      <c r="B2361" s="12" t="s">
        <v>180</v>
      </c>
      <c r="C2361" s="12" t="s">
        <v>180</v>
      </c>
      <c r="D2361" s="12" t="s">
        <v>181</v>
      </c>
      <c r="E2361" s="12" t="s">
        <v>1886</v>
      </c>
      <c r="F2361" s="12" t="s">
        <v>32</v>
      </c>
      <c r="G2361" s="12" t="s">
        <v>32</v>
      </c>
      <c r="H2361" s="12" t="b">
        <v>1</v>
      </c>
      <c r="I2361" s="12" t="b">
        <v>1</v>
      </c>
      <c r="J2361" s="12" t="b">
        <v>0</v>
      </c>
      <c r="K2361" s="12" t="b">
        <v>0</v>
      </c>
      <c r="L2361" s="12">
        <v>400</v>
      </c>
      <c r="M2361" s="12">
        <v>278.14999999999998</v>
      </c>
      <c r="N2361" s="12">
        <v>3000</v>
      </c>
      <c r="O2361" s="12">
        <v>400</v>
      </c>
      <c r="P2361" s="12">
        <v>0.5</v>
      </c>
      <c r="Q2361" s="12">
        <v>0.85</v>
      </c>
      <c r="R2361" s="12">
        <v>0.75</v>
      </c>
      <c r="S2361" s="12">
        <v>0.85</v>
      </c>
      <c r="T2361" s="12">
        <v>0.75</v>
      </c>
      <c r="U2361" s="12">
        <v>0.92500000000000004</v>
      </c>
      <c r="V2361" s="12">
        <v>278.14999999999998</v>
      </c>
      <c r="W2361" s="12">
        <v>7.7345151666621108</v>
      </c>
      <c r="X2361" s="12">
        <v>24.083945336404259</v>
      </c>
      <c r="Y2361" s="12">
        <v>2600</v>
      </c>
      <c r="Z2361" s="12">
        <v>7.5</v>
      </c>
      <c r="AA2361" s="12"/>
      <c r="AB2361" s="12"/>
    </row>
    <row r="2362" spans="1:28" x14ac:dyDescent="0.3">
      <c r="A2362" s="12" t="s">
        <v>4276</v>
      </c>
      <c r="B2362" s="12" t="s">
        <v>180</v>
      </c>
      <c r="C2362" s="12" t="s">
        <v>180</v>
      </c>
      <c r="D2362" s="12" t="s">
        <v>181</v>
      </c>
      <c r="E2362" s="12" t="s">
        <v>1886</v>
      </c>
      <c r="F2362" s="12" t="s">
        <v>32</v>
      </c>
      <c r="G2362" s="12" t="s">
        <v>32</v>
      </c>
      <c r="H2362" s="12" t="b">
        <v>1</v>
      </c>
      <c r="I2362" s="12" t="b">
        <v>1</v>
      </c>
      <c r="J2362" s="12" t="b">
        <v>0</v>
      </c>
      <c r="K2362" s="12" t="b">
        <v>0</v>
      </c>
      <c r="L2362" s="12">
        <v>402.5</v>
      </c>
      <c r="M2362" s="12">
        <v>278.14999999999998</v>
      </c>
      <c r="N2362" s="12">
        <v>3000</v>
      </c>
      <c r="O2362" s="12">
        <v>400</v>
      </c>
      <c r="P2362" s="12">
        <v>0.5</v>
      </c>
      <c r="Q2362" s="12">
        <v>0.85</v>
      </c>
      <c r="R2362" s="12">
        <v>0.75</v>
      </c>
      <c r="S2362" s="12">
        <v>0.85</v>
      </c>
      <c r="T2362" s="12">
        <v>0.75</v>
      </c>
      <c r="U2362" s="12">
        <v>0.92500000000000004</v>
      </c>
      <c r="V2362" s="12">
        <v>278.14999999999998</v>
      </c>
      <c r="W2362" s="12">
        <v>8.4401300034781706</v>
      </c>
      <c r="X2362" s="12">
        <v>29.028535147028212</v>
      </c>
      <c r="Y2362" s="12">
        <v>2600</v>
      </c>
      <c r="Z2362" s="12">
        <v>7.5</v>
      </c>
      <c r="AA2362" s="12"/>
      <c r="AB2362" s="12"/>
    </row>
    <row r="2363" spans="1:28" x14ac:dyDescent="0.3">
      <c r="A2363" s="12" t="s">
        <v>4277</v>
      </c>
      <c r="B2363" s="12" t="s">
        <v>180</v>
      </c>
      <c r="C2363" s="12" t="s">
        <v>180</v>
      </c>
      <c r="D2363" s="12" t="s">
        <v>181</v>
      </c>
      <c r="E2363" s="12" t="s">
        <v>1886</v>
      </c>
      <c r="F2363" s="12" t="s">
        <v>32</v>
      </c>
      <c r="G2363" s="12" t="s">
        <v>32</v>
      </c>
      <c r="H2363" s="12" t="b">
        <v>1</v>
      </c>
      <c r="I2363" s="12" t="b">
        <v>1</v>
      </c>
      <c r="J2363" s="12" t="b">
        <v>0</v>
      </c>
      <c r="K2363" s="12" t="b">
        <v>0</v>
      </c>
      <c r="L2363" s="12">
        <v>405</v>
      </c>
      <c r="M2363" s="12">
        <v>278.14999999999998</v>
      </c>
      <c r="N2363" s="12">
        <v>3000</v>
      </c>
      <c r="O2363" s="12">
        <v>400</v>
      </c>
      <c r="P2363" s="12">
        <v>0.5</v>
      </c>
      <c r="Q2363" s="12">
        <v>0.85</v>
      </c>
      <c r="R2363" s="12">
        <v>0.75</v>
      </c>
      <c r="S2363" s="12">
        <v>0.85</v>
      </c>
      <c r="T2363" s="12">
        <v>0.75</v>
      </c>
      <c r="U2363" s="12">
        <v>0.92500000000000004</v>
      </c>
      <c r="V2363" s="12">
        <v>278.14999999999998</v>
      </c>
      <c r="W2363" s="12">
        <v>9.0165197896760105</v>
      </c>
      <c r="X2363" s="12">
        <v>33.911841423198382</v>
      </c>
      <c r="Y2363" s="12">
        <v>2600</v>
      </c>
      <c r="Z2363" s="12">
        <v>7.5</v>
      </c>
      <c r="AA2363" s="12"/>
      <c r="AB2363" s="12"/>
    </row>
    <row r="2364" spans="1:28" x14ac:dyDescent="0.3">
      <c r="A2364" s="12" t="s">
        <v>4278</v>
      </c>
      <c r="B2364" s="12" t="s">
        <v>180</v>
      </c>
      <c r="C2364" s="12" t="s">
        <v>180</v>
      </c>
      <c r="D2364" s="12" t="s">
        <v>181</v>
      </c>
      <c r="E2364" s="12" t="s">
        <v>1886</v>
      </c>
      <c r="F2364" s="12" t="s">
        <v>32</v>
      </c>
      <c r="G2364" s="12" t="s">
        <v>32</v>
      </c>
      <c r="H2364" s="12" t="b">
        <v>1</v>
      </c>
      <c r="I2364" s="12" t="b">
        <v>1</v>
      </c>
      <c r="J2364" s="12" t="b">
        <v>0</v>
      </c>
      <c r="K2364" s="12" t="b">
        <v>0</v>
      </c>
      <c r="L2364" s="12">
        <v>407.5</v>
      </c>
      <c r="M2364" s="12">
        <v>278.14999999999998</v>
      </c>
      <c r="N2364" s="12">
        <v>3000</v>
      </c>
      <c r="O2364" s="12">
        <v>400</v>
      </c>
      <c r="P2364" s="12">
        <v>0.5</v>
      </c>
      <c r="Q2364" s="12">
        <v>0.85</v>
      </c>
      <c r="R2364" s="12">
        <v>0.75</v>
      </c>
      <c r="S2364" s="12">
        <v>0.85</v>
      </c>
      <c r="T2364" s="12">
        <v>0.75</v>
      </c>
      <c r="U2364" s="12">
        <v>0.92500000000000004</v>
      </c>
      <c r="V2364" s="12">
        <v>278.14999999999998</v>
      </c>
      <c r="W2364" s="12">
        <v>9.4973135929842201</v>
      </c>
      <c r="X2364" s="12">
        <v>38.755578349838324</v>
      </c>
      <c r="Y2364" s="12">
        <v>2600</v>
      </c>
      <c r="Z2364" s="12">
        <v>7.5</v>
      </c>
      <c r="AA2364" s="12"/>
      <c r="AB2364" s="12"/>
    </row>
    <row r="2365" spans="1:28" x14ac:dyDescent="0.3">
      <c r="A2365" s="12" t="s">
        <v>4279</v>
      </c>
      <c r="B2365" s="12" t="s">
        <v>180</v>
      </c>
      <c r="C2365" s="12" t="s">
        <v>180</v>
      </c>
      <c r="D2365" s="12" t="s">
        <v>181</v>
      </c>
      <c r="E2365" s="12" t="s">
        <v>1886</v>
      </c>
      <c r="F2365" s="12" t="s">
        <v>32</v>
      </c>
      <c r="G2365" s="12" t="s">
        <v>32</v>
      </c>
      <c r="H2365" s="12" t="b">
        <v>1</v>
      </c>
      <c r="I2365" s="12" t="b">
        <v>1</v>
      </c>
      <c r="J2365" s="12" t="b">
        <v>0</v>
      </c>
      <c r="K2365" s="12" t="b">
        <v>0</v>
      </c>
      <c r="L2365" s="12">
        <v>410</v>
      </c>
      <c r="M2365" s="12">
        <v>278.14999999999998</v>
      </c>
      <c r="N2365" s="12">
        <v>3000</v>
      </c>
      <c r="O2365" s="12">
        <v>400</v>
      </c>
      <c r="P2365" s="12">
        <v>0.5</v>
      </c>
      <c r="Q2365" s="12">
        <v>0.85</v>
      </c>
      <c r="R2365" s="12">
        <v>0.75</v>
      </c>
      <c r="S2365" s="12">
        <v>0.85</v>
      </c>
      <c r="T2365" s="12">
        <v>0.75</v>
      </c>
      <c r="U2365" s="12">
        <v>0.92500000000000004</v>
      </c>
      <c r="V2365" s="12">
        <v>278.14999999999998</v>
      </c>
      <c r="W2365" s="12">
        <v>9.9051629134848405</v>
      </c>
      <c r="X2365" s="12">
        <v>43.580406850640777</v>
      </c>
      <c r="Y2365" s="12">
        <v>2600</v>
      </c>
      <c r="Z2365" s="12">
        <v>7.5</v>
      </c>
      <c r="AA2365" s="12"/>
      <c r="AB2365" s="12"/>
    </row>
    <row r="2366" spans="1:28" x14ac:dyDescent="0.3">
      <c r="A2366" s="12" t="s">
        <v>4280</v>
      </c>
      <c r="B2366" s="12" t="s">
        <v>180</v>
      </c>
      <c r="C2366" s="12" t="s">
        <v>180</v>
      </c>
      <c r="D2366" s="12" t="s">
        <v>181</v>
      </c>
      <c r="E2366" s="12" t="s">
        <v>1886</v>
      </c>
      <c r="F2366" s="12" t="s">
        <v>1862</v>
      </c>
      <c r="G2366" s="12" t="s">
        <v>1862</v>
      </c>
      <c r="H2366" s="12" t="b">
        <v>1</v>
      </c>
      <c r="I2366" s="12" t="b">
        <v>0</v>
      </c>
      <c r="J2366" s="12" t="b">
        <v>0</v>
      </c>
      <c r="K2366" s="12" t="b">
        <v>0</v>
      </c>
      <c r="L2366" s="12">
        <v>387.5</v>
      </c>
      <c r="M2366" s="12">
        <v>278.14999999999998</v>
      </c>
      <c r="N2366" s="12">
        <v>3000</v>
      </c>
      <c r="O2366" s="12">
        <v>400</v>
      </c>
      <c r="P2366" s="12">
        <v>0.5</v>
      </c>
      <c r="Q2366" s="12">
        <v>0.85</v>
      </c>
      <c r="R2366" s="12">
        <v>0.75</v>
      </c>
      <c r="S2366" s="12">
        <v>0.85</v>
      </c>
      <c r="T2366" s="12">
        <v>0.75</v>
      </c>
      <c r="U2366" s="12">
        <v>0.95</v>
      </c>
      <c r="V2366" s="12">
        <v>278.14999999999998</v>
      </c>
      <c r="W2366" s="12">
        <v>-1.8257102934990199</v>
      </c>
      <c r="X2366" s="12">
        <v>-2.497810902963832</v>
      </c>
      <c r="Y2366" s="12">
        <v>2600</v>
      </c>
      <c r="Z2366" s="12">
        <v>7.5</v>
      </c>
      <c r="AA2366" s="12" t="s">
        <v>1696</v>
      </c>
      <c r="AB2366" s="12"/>
    </row>
    <row r="2367" spans="1:28" x14ac:dyDescent="0.3">
      <c r="A2367" s="12" t="s">
        <v>4281</v>
      </c>
      <c r="B2367" s="12" t="s">
        <v>180</v>
      </c>
      <c r="C2367" s="12" t="s">
        <v>180</v>
      </c>
      <c r="D2367" s="12" t="s">
        <v>181</v>
      </c>
      <c r="E2367" s="12" t="s">
        <v>1886</v>
      </c>
      <c r="F2367" s="12" t="s">
        <v>1863</v>
      </c>
      <c r="G2367" s="12" t="s">
        <v>832</v>
      </c>
      <c r="H2367" s="12" t="b">
        <v>0</v>
      </c>
      <c r="I2367" s="12" t="b">
        <v>0</v>
      </c>
      <c r="J2367" s="12" t="b">
        <v>0</v>
      </c>
      <c r="K2367" s="12" t="b">
        <v>0</v>
      </c>
      <c r="L2367" s="12">
        <v>385</v>
      </c>
      <c r="M2367" s="12">
        <v>278.14999999999998</v>
      </c>
      <c r="N2367" s="12">
        <v>3000</v>
      </c>
      <c r="O2367" s="12">
        <v>400</v>
      </c>
      <c r="P2367" s="12">
        <v>0.5</v>
      </c>
      <c r="Q2367" s="12">
        <v>0.85</v>
      </c>
      <c r="R2367" s="12">
        <v>0.75</v>
      </c>
      <c r="S2367" s="12">
        <v>0.85</v>
      </c>
      <c r="T2367" s="12">
        <v>0.75</v>
      </c>
      <c r="U2367" s="12">
        <v>0.95</v>
      </c>
      <c r="V2367" s="12">
        <v>278.14999999999998</v>
      </c>
      <c r="W2367" s="12">
        <v>-16.12900867820796</v>
      </c>
      <c r="X2367" s="12">
        <v>-16.274249872690021</v>
      </c>
      <c r="Y2367" s="12">
        <v>2600</v>
      </c>
      <c r="Z2367" s="12">
        <v>7.5</v>
      </c>
      <c r="AA2367" s="12" t="s">
        <v>2846</v>
      </c>
      <c r="AB2367" s="12"/>
    </row>
    <row r="2368" spans="1:28" x14ac:dyDescent="0.3">
      <c r="A2368" s="12" t="s">
        <v>4282</v>
      </c>
      <c r="B2368" s="12" t="s">
        <v>180</v>
      </c>
      <c r="C2368" s="12" t="s">
        <v>180</v>
      </c>
      <c r="D2368" s="12" t="s">
        <v>181</v>
      </c>
      <c r="E2368" s="12" t="s">
        <v>1886</v>
      </c>
      <c r="F2368" s="12" t="s">
        <v>32</v>
      </c>
      <c r="G2368" s="12" t="s">
        <v>32</v>
      </c>
      <c r="H2368" s="12" t="b">
        <v>1</v>
      </c>
      <c r="I2368" s="12" t="b">
        <v>1</v>
      </c>
      <c r="J2368" s="12" t="b">
        <v>0</v>
      </c>
      <c r="K2368" s="12" t="b">
        <v>0</v>
      </c>
      <c r="L2368" s="12">
        <v>390</v>
      </c>
      <c r="M2368" s="12">
        <v>278.14999999999998</v>
      </c>
      <c r="N2368" s="12">
        <v>3000</v>
      </c>
      <c r="O2368" s="12">
        <v>400</v>
      </c>
      <c r="P2368" s="12">
        <v>0.5</v>
      </c>
      <c r="Q2368" s="12">
        <v>0.85</v>
      </c>
      <c r="R2368" s="12">
        <v>0.75</v>
      </c>
      <c r="S2368" s="12">
        <v>0.85</v>
      </c>
      <c r="T2368" s="12">
        <v>0.75</v>
      </c>
      <c r="U2368" s="12">
        <v>0.95</v>
      </c>
      <c r="V2368" s="12">
        <v>278.14999999999998</v>
      </c>
      <c r="W2368" s="12">
        <v>1.80895792289542</v>
      </c>
      <c r="X2368" s="12">
        <v>3.1591597044651478</v>
      </c>
      <c r="Y2368" s="12">
        <v>2600</v>
      </c>
      <c r="Z2368" s="12">
        <v>7.5</v>
      </c>
      <c r="AA2368" s="12"/>
      <c r="AB2368" s="12"/>
    </row>
    <row r="2369" spans="1:28" x14ac:dyDescent="0.3">
      <c r="A2369" s="12" t="s">
        <v>4283</v>
      </c>
      <c r="B2369" s="12" t="s">
        <v>180</v>
      </c>
      <c r="C2369" s="12" t="s">
        <v>180</v>
      </c>
      <c r="D2369" s="12" t="s">
        <v>181</v>
      </c>
      <c r="E2369" s="12" t="s">
        <v>1886</v>
      </c>
      <c r="F2369" s="12" t="s">
        <v>32</v>
      </c>
      <c r="G2369" s="12" t="s">
        <v>32</v>
      </c>
      <c r="H2369" s="12" t="b">
        <v>1</v>
      </c>
      <c r="I2369" s="12" t="b">
        <v>1</v>
      </c>
      <c r="J2369" s="12" t="b">
        <v>0</v>
      </c>
      <c r="K2369" s="12" t="b">
        <v>0</v>
      </c>
      <c r="L2369" s="12">
        <v>392.5</v>
      </c>
      <c r="M2369" s="12">
        <v>278.14999999999998</v>
      </c>
      <c r="N2369" s="12">
        <v>3000</v>
      </c>
      <c r="O2369" s="12">
        <v>400</v>
      </c>
      <c r="P2369" s="12">
        <v>0.5</v>
      </c>
      <c r="Q2369" s="12">
        <v>0.85</v>
      </c>
      <c r="R2369" s="12">
        <v>0.75</v>
      </c>
      <c r="S2369" s="12">
        <v>0.85</v>
      </c>
      <c r="T2369" s="12">
        <v>0.75</v>
      </c>
      <c r="U2369" s="12">
        <v>0.95</v>
      </c>
      <c r="V2369" s="12">
        <v>278.14999999999998</v>
      </c>
      <c r="W2369" s="12">
        <v>4.0778944671959598</v>
      </c>
      <c r="X2369" s="12">
        <v>8.6034768778440469</v>
      </c>
      <c r="Y2369" s="12">
        <v>2600</v>
      </c>
      <c r="Z2369" s="12">
        <v>7.5</v>
      </c>
      <c r="AA2369" s="12"/>
      <c r="AB2369" s="12"/>
    </row>
    <row r="2370" spans="1:28" x14ac:dyDescent="0.3">
      <c r="A2370" s="12" t="s">
        <v>4284</v>
      </c>
      <c r="B2370" s="12" t="s">
        <v>180</v>
      </c>
      <c r="C2370" s="12" t="s">
        <v>180</v>
      </c>
      <c r="D2370" s="12" t="s">
        <v>181</v>
      </c>
      <c r="E2370" s="12" t="s">
        <v>1886</v>
      </c>
      <c r="F2370" s="12" t="s">
        <v>32</v>
      </c>
      <c r="G2370" s="12" t="s">
        <v>32</v>
      </c>
      <c r="H2370" s="12" t="b">
        <v>1</v>
      </c>
      <c r="I2370" s="12" t="b">
        <v>1</v>
      </c>
      <c r="J2370" s="12" t="b">
        <v>0</v>
      </c>
      <c r="K2370" s="12" t="b">
        <v>0</v>
      </c>
      <c r="L2370" s="12">
        <v>395</v>
      </c>
      <c r="M2370" s="12">
        <v>278.14999999999998</v>
      </c>
      <c r="N2370" s="12">
        <v>3000</v>
      </c>
      <c r="O2370" s="12">
        <v>400</v>
      </c>
      <c r="P2370" s="12">
        <v>0.5</v>
      </c>
      <c r="Q2370" s="12">
        <v>0.85</v>
      </c>
      <c r="R2370" s="12">
        <v>0.75</v>
      </c>
      <c r="S2370" s="12">
        <v>0.85</v>
      </c>
      <c r="T2370" s="12">
        <v>0.75</v>
      </c>
      <c r="U2370" s="12">
        <v>0.95</v>
      </c>
      <c r="V2370" s="12">
        <v>278.14999999999998</v>
      </c>
      <c r="W2370" s="12">
        <v>5.6374982667508498</v>
      </c>
      <c r="X2370" s="12">
        <v>13.874694479004861</v>
      </c>
      <c r="Y2370" s="12">
        <v>2600</v>
      </c>
      <c r="Z2370" s="12">
        <v>7.5</v>
      </c>
      <c r="AA2370" s="12"/>
      <c r="AB2370" s="12"/>
    </row>
    <row r="2371" spans="1:28" x14ac:dyDescent="0.3">
      <c r="A2371" s="12" t="s">
        <v>4285</v>
      </c>
      <c r="B2371" s="12" t="s">
        <v>180</v>
      </c>
      <c r="C2371" s="12" t="s">
        <v>180</v>
      </c>
      <c r="D2371" s="12" t="s">
        <v>181</v>
      </c>
      <c r="E2371" s="12" t="s">
        <v>1886</v>
      </c>
      <c r="F2371" s="12" t="s">
        <v>32</v>
      </c>
      <c r="G2371" s="12" t="s">
        <v>32</v>
      </c>
      <c r="H2371" s="12" t="b">
        <v>1</v>
      </c>
      <c r="I2371" s="12" t="b">
        <v>1</v>
      </c>
      <c r="J2371" s="12" t="b">
        <v>0</v>
      </c>
      <c r="K2371" s="12" t="b">
        <v>0</v>
      </c>
      <c r="L2371" s="12">
        <v>397.5</v>
      </c>
      <c r="M2371" s="12">
        <v>278.14999999999998</v>
      </c>
      <c r="N2371" s="12">
        <v>3000</v>
      </c>
      <c r="O2371" s="12">
        <v>400</v>
      </c>
      <c r="P2371" s="12">
        <v>0.5</v>
      </c>
      <c r="Q2371" s="12">
        <v>0.85</v>
      </c>
      <c r="R2371" s="12">
        <v>0.75</v>
      </c>
      <c r="S2371" s="12">
        <v>0.85</v>
      </c>
      <c r="T2371" s="12">
        <v>0.75</v>
      </c>
      <c r="U2371" s="12">
        <v>0.95</v>
      </c>
      <c r="V2371" s="12">
        <v>278.14999999999998</v>
      </c>
      <c r="W2371" s="12">
        <v>6.7808785286539086</v>
      </c>
      <c r="X2371" s="12">
        <v>19.006323861217151</v>
      </c>
      <c r="Y2371" s="12">
        <v>2600</v>
      </c>
      <c r="Z2371" s="12">
        <v>7.5</v>
      </c>
      <c r="AA2371" s="12"/>
      <c r="AB2371" s="12"/>
    </row>
    <row r="2372" spans="1:28" x14ac:dyDescent="0.3">
      <c r="A2372" s="12" t="s">
        <v>4286</v>
      </c>
      <c r="B2372" s="12" t="s">
        <v>180</v>
      </c>
      <c r="C2372" s="12" t="s">
        <v>180</v>
      </c>
      <c r="D2372" s="12" t="s">
        <v>181</v>
      </c>
      <c r="E2372" s="12" t="s">
        <v>1886</v>
      </c>
      <c r="F2372" s="12" t="s">
        <v>32</v>
      </c>
      <c r="G2372" s="12" t="s">
        <v>32</v>
      </c>
      <c r="H2372" s="12" t="b">
        <v>1</v>
      </c>
      <c r="I2372" s="12" t="b">
        <v>1</v>
      </c>
      <c r="J2372" s="12" t="b">
        <v>0</v>
      </c>
      <c r="K2372" s="12" t="b">
        <v>0</v>
      </c>
      <c r="L2372" s="12">
        <v>400</v>
      </c>
      <c r="M2372" s="12">
        <v>278.14999999999998</v>
      </c>
      <c r="N2372" s="12">
        <v>3000</v>
      </c>
      <c r="O2372" s="12">
        <v>400</v>
      </c>
      <c r="P2372" s="12">
        <v>0.5</v>
      </c>
      <c r="Q2372" s="12">
        <v>0.85</v>
      </c>
      <c r="R2372" s="12">
        <v>0.75</v>
      </c>
      <c r="S2372" s="12">
        <v>0.85</v>
      </c>
      <c r="T2372" s="12">
        <v>0.75</v>
      </c>
      <c r="U2372" s="12">
        <v>0.95</v>
      </c>
      <c r="V2372" s="12">
        <v>278.14999999999998</v>
      </c>
      <c r="W2372" s="12">
        <v>7.6585838916597986</v>
      </c>
      <c r="X2372" s="12">
        <v>24.02735386677956</v>
      </c>
      <c r="Y2372" s="12">
        <v>2600</v>
      </c>
      <c r="Z2372" s="12">
        <v>7.5</v>
      </c>
      <c r="AA2372" s="12"/>
      <c r="AB2372" s="12"/>
    </row>
    <row r="2373" spans="1:28" x14ac:dyDescent="0.3">
      <c r="A2373" s="12" t="s">
        <v>4287</v>
      </c>
      <c r="B2373" s="12" t="s">
        <v>180</v>
      </c>
      <c r="C2373" s="12" t="s">
        <v>180</v>
      </c>
      <c r="D2373" s="12" t="s">
        <v>181</v>
      </c>
      <c r="E2373" s="12" t="s">
        <v>1886</v>
      </c>
      <c r="F2373" s="12" t="s">
        <v>32</v>
      </c>
      <c r="G2373" s="12" t="s">
        <v>32</v>
      </c>
      <c r="H2373" s="12" t="b">
        <v>1</v>
      </c>
      <c r="I2373" s="12" t="b">
        <v>1</v>
      </c>
      <c r="J2373" s="12" t="b">
        <v>0</v>
      </c>
      <c r="K2373" s="12" t="b">
        <v>0</v>
      </c>
      <c r="L2373" s="12">
        <v>407.5</v>
      </c>
      <c r="M2373" s="12">
        <v>278.14999999999998</v>
      </c>
      <c r="N2373" s="12">
        <v>3000</v>
      </c>
      <c r="O2373" s="12">
        <v>400</v>
      </c>
      <c r="P2373" s="12">
        <v>0.5</v>
      </c>
      <c r="Q2373" s="12">
        <v>0.85</v>
      </c>
      <c r="R2373" s="12">
        <v>0.75</v>
      </c>
      <c r="S2373" s="12">
        <v>0.85</v>
      </c>
      <c r="T2373" s="12">
        <v>0.75</v>
      </c>
      <c r="U2373" s="12">
        <v>0.95</v>
      </c>
      <c r="V2373" s="12">
        <v>278.14999999999998</v>
      </c>
      <c r="W2373" s="12">
        <v>9.3984314135311209</v>
      </c>
      <c r="X2373" s="12">
        <v>38.672550869587837</v>
      </c>
      <c r="Y2373" s="12">
        <v>2600</v>
      </c>
      <c r="Z2373" s="12">
        <v>7.5</v>
      </c>
      <c r="AA2373" s="12"/>
      <c r="AB2373" s="12"/>
    </row>
    <row r="2374" spans="1:28" x14ac:dyDescent="0.3">
      <c r="A2374" s="12" t="s">
        <v>4288</v>
      </c>
      <c r="B2374" s="12" t="s">
        <v>180</v>
      </c>
      <c r="C2374" s="12" t="s">
        <v>180</v>
      </c>
      <c r="D2374" s="12" t="s">
        <v>181</v>
      </c>
      <c r="E2374" s="12" t="s">
        <v>1886</v>
      </c>
      <c r="F2374" s="12" t="s">
        <v>32</v>
      </c>
      <c r="G2374" s="12" t="s">
        <v>32</v>
      </c>
      <c r="H2374" s="12" t="b">
        <v>1</v>
      </c>
      <c r="I2374" s="12" t="b">
        <v>1</v>
      </c>
      <c r="J2374" s="12" t="b">
        <v>0</v>
      </c>
      <c r="K2374" s="12" t="b">
        <v>0</v>
      </c>
      <c r="L2374" s="12">
        <v>402.5</v>
      </c>
      <c r="M2374" s="12">
        <v>278.14999999999998</v>
      </c>
      <c r="N2374" s="12">
        <v>3000</v>
      </c>
      <c r="O2374" s="12">
        <v>400</v>
      </c>
      <c r="P2374" s="12">
        <v>0.5</v>
      </c>
      <c r="Q2374" s="12">
        <v>0.85</v>
      </c>
      <c r="R2374" s="12">
        <v>0.75</v>
      </c>
      <c r="S2374" s="12">
        <v>0.85</v>
      </c>
      <c r="T2374" s="12">
        <v>0.75</v>
      </c>
      <c r="U2374" s="12">
        <v>0.95</v>
      </c>
      <c r="V2374" s="12">
        <v>278.14999999999998</v>
      </c>
      <c r="W2374" s="12">
        <v>8.3558753263186194</v>
      </c>
      <c r="X2374" s="12">
        <v>28.963460245202992</v>
      </c>
      <c r="Y2374" s="12">
        <v>2600</v>
      </c>
      <c r="Z2374" s="12">
        <v>7.5</v>
      </c>
      <c r="AA2374" s="12"/>
      <c r="AB2374" s="12"/>
    </row>
    <row r="2375" spans="1:28" x14ac:dyDescent="0.3">
      <c r="A2375" s="12" t="s">
        <v>4289</v>
      </c>
      <c r="B2375" s="12" t="s">
        <v>180</v>
      </c>
      <c r="C2375" s="12" t="s">
        <v>180</v>
      </c>
      <c r="D2375" s="12" t="s">
        <v>181</v>
      </c>
      <c r="E2375" s="12" t="s">
        <v>1886</v>
      </c>
      <c r="F2375" s="12" t="s">
        <v>32</v>
      </c>
      <c r="G2375" s="12" t="s">
        <v>32</v>
      </c>
      <c r="H2375" s="12" t="b">
        <v>1</v>
      </c>
      <c r="I2375" s="12" t="b">
        <v>1</v>
      </c>
      <c r="J2375" s="12" t="b">
        <v>0</v>
      </c>
      <c r="K2375" s="12" t="b">
        <v>0</v>
      </c>
      <c r="L2375" s="12">
        <v>405</v>
      </c>
      <c r="M2375" s="12">
        <v>278.14999999999998</v>
      </c>
      <c r="N2375" s="12">
        <v>3000</v>
      </c>
      <c r="O2375" s="12">
        <v>400</v>
      </c>
      <c r="P2375" s="12">
        <v>0.5</v>
      </c>
      <c r="Q2375" s="12">
        <v>0.85</v>
      </c>
      <c r="R2375" s="12">
        <v>0.75</v>
      </c>
      <c r="S2375" s="12">
        <v>0.85</v>
      </c>
      <c r="T2375" s="12">
        <v>0.75</v>
      </c>
      <c r="U2375" s="12">
        <v>0.95</v>
      </c>
      <c r="V2375" s="12">
        <v>278.14999999999998</v>
      </c>
      <c r="W2375" s="12">
        <v>8.9246764521110098</v>
      </c>
      <c r="X2375" s="12">
        <v>33.837963111824664</v>
      </c>
      <c r="Y2375" s="12">
        <v>2600</v>
      </c>
      <c r="Z2375" s="12">
        <v>7.5</v>
      </c>
      <c r="AA2375" s="12"/>
      <c r="AB2375" s="12"/>
    </row>
    <row r="2376" spans="1:28" x14ac:dyDescent="0.3">
      <c r="A2376" s="12" t="s">
        <v>4290</v>
      </c>
      <c r="B2376" s="12" t="s">
        <v>180</v>
      </c>
      <c r="C2376" s="12" t="s">
        <v>180</v>
      </c>
      <c r="D2376" s="12" t="s">
        <v>181</v>
      </c>
      <c r="E2376" s="12" t="s">
        <v>1886</v>
      </c>
      <c r="F2376" s="12" t="s">
        <v>32</v>
      </c>
      <c r="G2376" s="12" t="s">
        <v>32</v>
      </c>
      <c r="H2376" s="12" t="b">
        <v>1</v>
      </c>
      <c r="I2376" s="12" t="b">
        <v>1</v>
      </c>
      <c r="J2376" s="12" t="b">
        <v>0</v>
      </c>
      <c r="K2376" s="12" t="b">
        <v>0</v>
      </c>
      <c r="L2376" s="12">
        <v>410</v>
      </c>
      <c r="M2376" s="12">
        <v>278.14999999999998</v>
      </c>
      <c r="N2376" s="12">
        <v>3000</v>
      </c>
      <c r="O2376" s="12">
        <v>400</v>
      </c>
      <c r="P2376" s="12">
        <v>0.5</v>
      </c>
      <c r="Q2376" s="12">
        <v>0.85</v>
      </c>
      <c r="R2376" s="12">
        <v>0.75</v>
      </c>
      <c r="S2376" s="12">
        <v>0.85</v>
      </c>
      <c r="T2376" s="12">
        <v>0.75</v>
      </c>
      <c r="U2376" s="12">
        <v>0.95</v>
      </c>
      <c r="V2376" s="12">
        <v>278.14999999999998</v>
      </c>
      <c r="W2376" s="12">
        <v>9.7996835468074597</v>
      </c>
      <c r="X2376" s="12">
        <v>43.487871175049222</v>
      </c>
      <c r="Y2376" s="12">
        <v>2600</v>
      </c>
      <c r="Z2376" s="12">
        <v>7.5</v>
      </c>
      <c r="AA2376" s="12"/>
      <c r="AB2376" s="12"/>
    </row>
    <row r="2377" spans="1:28" x14ac:dyDescent="0.3">
      <c r="A2377" s="12" t="s">
        <v>4291</v>
      </c>
      <c r="B2377" s="12" t="s">
        <v>180</v>
      </c>
      <c r="C2377" s="12" t="s">
        <v>180</v>
      </c>
      <c r="D2377" s="12" t="s">
        <v>181</v>
      </c>
      <c r="E2377" s="12" t="s">
        <v>1886</v>
      </c>
      <c r="F2377" s="12" t="s">
        <v>1862</v>
      </c>
      <c r="G2377" s="12" t="s">
        <v>1862</v>
      </c>
      <c r="H2377" s="12" t="b">
        <v>1</v>
      </c>
      <c r="I2377" s="12" t="b">
        <v>0</v>
      </c>
      <c r="J2377" s="12" t="b">
        <v>0</v>
      </c>
      <c r="K2377" s="12" t="b">
        <v>0</v>
      </c>
      <c r="L2377" s="12">
        <v>387.5</v>
      </c>
      <c r="M2377" s="12">
        <v>290.64999999999998</v>
      </c>
      <c r="N2377" s="12">
        <v>3000</v>
      </c>
      <c r="O2377" s="12">
        <v>400</v>
      </c>
      <c r="P2377" s="12">
        <v>0.5</v>
      </c>
      <c r="Q2377" s="12">
        <v>0.85</v>
      </c>
      <c r="R2377" s="12">
        <v>0.75</v>
      </c>
      <c r="S2377" s="12">
        <v>0.85</v>
      </c>
      <c r="T2377" s="12">
        <v>0.75</v>
      </c>
      <c r="U2377" s="12">
        <v>0.85</v>
      </c>
      <c r="V2377" s="12">
        <v>290.64999999999998</v>
      </c>
      <c r="W2377" s="12">
        <v>-1.76406653769385</v>
      </c>
      <c r="X2377" s="12">
        <v>-2.1401231905724392</v>
      </c>
      <c r="Y2377" s="12">
        <v>2600</v>
      </c>
      <c r="Z2377" s="12">
        <v>7.5</v>
      </c>
      <c r="AA2377" s="12" t="s">
        <v>1696</v>
      </c>
      <c r="AB2377" s="12"/>
    </row>
    <row r="2378" spans="1:28" x14ac:dyDescent="0.3">
      <c r="A2378" s="12" t="s">
        <v>4292</v>
      </c>
      <c r="B2378" s="12" t="s">
        <v>180</v>
      </c>
      <c r="C2378" s="12" t="s">
        <v>180</v>
      </c>
      <c r="D2378" s="12" t="s">
        <v>181</v>
      </c>
      <c r="E2378" s="12" t="s">
        <v>1886</v>
      </c>
      <c r="F2378" s="12" t="s">
        <v>1863</v>
      </c>
      <c r="G2378" s="12" t="s">
        <v>832</v>
      </c>
      <c r="H2378" s="12" t="b">
        <v>0</v>
      </c>
      <c r="I2378" s="12" t="b">
        <v>0</v>
      </c>
      <c r="J2378" s="12" t="b">
        <v>0</v>
      </c>
      <c r="K2378" s="12" t="b">
        <v>0</v>
      </c>
      <c r="L2378" s="12">
        <v>385</v>
      </c>
      <c r="M2378" s="12">
        <v>290.64999999999998</v>
      </c>
      <c r="N2378" s="12">
        <v>3000</v>
      </c>
      <c r="O2378" s="12">
        <v>400</v>
      </c>
      <c r="P2378" s="12">
        <v>0.5</v>
      </c>
      <c r="Q2378" s="12">
        <v>0.85</v>
      </c>
      <c r="R2378" s="12">
        <v>0.75</v>
      </c>
      <c r="S2378" s="12">
        <v>0.85</v>
      </c>
      <c r="T2378" s="12">
        <v>0.75</v>
      </c>
      <c r="U2378" s="12">
        <v>0.85</v>
      </c>
      <c r="V2378" s="12">
        <v>290.64999999999998</v>
      </c>
      <c r="W2378" s="12">
        <v>-16.833252669845439</v>
      </c>
      <c r="X2378" s="12">
        <v>-15.14741228362821</v>
      </c>
      <c r="Y2378" s="12">
        <v>2600</v>
      </c>
      <c r="Z2378" s="12">
        <v>7.5</v>
      </c>
      <c r="AA2378" s="12" t="s">
        <v>2846</v>
      </c>
      <c r="AB2378" s="12"/>
    </row>
    <row r="2379" spans="1:28" x14ac:dyDescent="0.3">
      <c r="A2379" s="12" t="s">
        <v>4293</v>
      </c>
      <c r="B2379" s="12" t="s">
        <v>180</v>
      </c>
      <c r="C2379" s="12" t="s">
        <v>180</v>
      </c>
      <c r="D2379" s="12" t="s">
        <v>181</v>
      </c>
      <c r="E2379" s="12" t="s">
        <v>1886</v>
      </c>
      <c r="F2379" s="12" t="s">
        <v>32</v>
      </c>
      <c r="G2379" s="12" t="s">
        <v>32</v>
      </c>
      <c r="H2379" s="12" t="b">
        <v>1</v>
      </c>
      <c r="I2379" s="12" t="b">
        <v>1</v>
      </c>
      <c r="J2379" s="12" t="b">
        <v>0</v>
      </c>
      <c r="K2379" s="12" t="b">
        <v>0</v>
      </c>
      <c r="L2379" s="12">
        <v>390</v>
      </c>
      <c r="M2379" s="12">
        <v>290.64999999999998</v>
      </c>
      <c r="N2379" s="12">
        <v>3000</v>
      </c>
      <c r="O2379" s="12">
        <v>400</v>
      </c>
      <c r="P2379" s="12">
        <v>0.5</v>
      </c>
      <c r="Q2379" s="12">
        <v>0.85</v>
      </c>
      <c r="R2379" s="12">
        <v>0.75</v>
      </c>
      <c r="S2379" s="12">
        <v>0.85</v>
      </c>
      <c r="T2379" s="12">
        <v>0.75</v>
      </c>
      <c r="U2379" s="12">
        <v>0.85</v>
      </c>
      <c r="V2379" s="12">
        <v>290.64999999999998</v>
      </c>
      <c r="W2379" s="12">
        <v>2.2714124833023099</v>
      </c>
      <c r="X2379" s="12">
        <v>3.5684465232809348</v>
      </c>
      <c r="Y2379" s="12">
        <v>2600</v>
      </c>
      <c r="Z2379" s="12">
        <v>7.5</v>
      </c>
      <c r="AA2379" s="12"/>
      <c r="AB2379" s="12"/>
    </row>
    <row r="2380" spans="1:28" x14ac:dyDescent="0.3">
      <c r="A2380" s="12" t="s">
        <v>4294</v>
      </c>
      <c r="B2380" s="12" t="s">
        <v>180</v>
      </c>
      <c r="C2380" s="12" t="s">
        <v>180</v>
      </c>
      <c r="D2380" s="12" t="s">
        <v>181</v>
      </c>
      <c r="E2380" s="12" t="s">
        <v>1886</v>
      </c>
      <c r="F2380" s="12" t="s">
        <v>32</v>
      </c>
      <c r="G2380" s="12" t="s">
        <v>32</v>
      </c>
      <c r="H2380" s="12" t="b">
        <v>1</v>
      </c>
      <c r="I2380" s="12" t="b">
        <v>1</v>
      </c>
      <c r="J2380" s="12" t="b">
        <v>0</v>
      </c>
      <c r="K2380" s="12" t="b">
        <v>0</v>
      </c>
      <c r="L2380" s="12">
        <v>392.5</v>
      </c>
      <c r="M2380" s="12">
        <v>290.64999999999998</v>
      </c>
      <c r="N2380" s="12">
        <v>3000</v>
      </c>
      <c r="O2380" s="12">
        <v>400</v>
      </c>
      <c r="P2380" s="12">
        <v>0.5</v>
      </c>
      <c r="Q2380" s="12">
        <v>0.85</v>
      </c>
      <c r="R2380" s="12">
        <v>0.75</v>
      </c>
      <c r="S2380" s="12">
        <v>0.85</v>
      </c>
      <c r="T2380" s="12">
        <v>0.75</v>
      </c>
      <c r="U2380" s="12">
        <v>0.85</v>
      </c>
      <c r="V2380" s="12">
        <v>290.64999999999998</v>
      </c>
      <c r="W2380" s="12">
        <v>4.7361803101952402</v>
      </c>
      <c r="X2380" s="12">
        <v>9.0646890825246924</v>
      </c>
      <c r="Y2380" s="12">
        <v>2600</v>
      </c>
      <c r="Z2380" s="12">
        <v>7.5</v>
      </c>
      <c r="AA2380" s="12"/>
      <c r="AB2380" s="12"/>
    </row>
    <row r="2381" spans="1:28" x14ac:dyDescent="0.3">
      <c r="A2381" s="12" t="s">
        <v>4295</v>
      </c>
      <c r="B2381" s="12" t="s">
        <v>180</v>
      </c>
      <c r="C2381" s="12" t="s">
        <v>180</v>
      </c>
      <c r="D2381" s="12" t="s">
        <v>181</v>
      </c>
      <c r="E2381" s="12" t="s">
        <v>1886</v>
      </c>
      <c r="F2381" s="12" t="s">
        <v>32</v>
      </c>
      <c r="G2381" s="12" t="s">
        <v>32</v>
      </c>
      <c r="H2381" s="12" t="b">
        <v>1</v>
      </c>
      <c r="I2381" s="12" t="b">
        <v>1</v>
      </c>
      <c r="J2381" s="12" t="b">
        <v>0</v>
      </c>
      <c r="K2381" s="12" t="b">
        <v>0</v>
      </c>
      <c r="L2381" s="12">
        <v>397.5</v>
      </c>
      <c r="M2381" s="12">
        <v>290.64999999999998</v>
      </c>
      <c r="N2381" s="12">
        <v>3000</v>
      </c>
      <c r="O2381" s="12">
        <v>400</v>
      </c>
      <c r="P2381" s="12">
        <v>0.5</v>
      </c>
      <c r="Q2381" s="12">
        <v>0.85</v>
      </c>
      <c r="R2381" s="12">
        <v>0.75</v>
      </c>
      <c r="S2381" s="12">
        <v>0.85</v>
      </c>
      <c r="T2381" s="12">
        <v>0.75</v>
      </c>
      <c r="U2381" s="12">
        <v>0.85</v>
      </c>
      <c r="V2381" s="12">
        <v>290.64999999999998</v>
      </c>
      <c r="W2381" s="12">
        <v>7.6282530056865809</v>
      </c>
      <c r="X2381" s="12">
        <v>19.572362281899839</v>
      </c>
      <c r="Y2381" s="12">
        <v>2600</v>
      </c>
      <c r="Z2381" s="12">
        <v>7.5</v>
      </c>
      <c r="AA2381" s="12"/>
      <c r="AB2381" s="12"/>
    </row>
    <row r="2382" spans="1:28" x14ac:dyDescent="0.3">
      <c r="A2382" s="12" t="s">
        <v>4296</v>
      </c>
      <c r="B2382" s="12" t="s">
        <v>180</v>
      </c>
      <c r="C2382" s="12" t="s">
        <v>180</v>
      </c>
      <c r="D2382" s="12" t="s">
        <v>181</v>
      </c>
      <c r="E2382" s="12" t="s">
        <v>1886</v>
      </c>
      <c r="F2382" s="12" t="s">
        <v>32</v>
      </c>
      <c r="G2382" s="12" t="s">
        <v>32</v>
      </c>
      <c r="H2382" s="12" t="b">
        <v>1</v>
      </c>
      <c r="I2382" s="12" t="b">
        <v>1</v>
      </c>
      <c r="J2382" s="12" t="b">
        <v>0</v>
      </c>
      <c r="K2382" s="12" t="b">
        <v>0</v>
      </c>
      <c r="L2382" s="12">
        <v>395</v>
      </c>
      <c r="M2382" s="12">
        <v>290.64999999999998</v>
      </c>
      <c r="N2382" s="12">
        <v>3000</v>
      </c>
      <c r="O2382" s="12">
        <v>400</v>
      </c>
      <c r="P2382" s="12">
        <v>0.5</v>
      </c>
      <c r="Q2382" s="12">
        <v>0.85</v>
      </c>
      <c r="R2382" s="12">
        <v>0.75</v>
      </c>
      <c r="S2382" s="12">
        <v>0.85</v>
      </c>
      <c r="T2382" s="12">
        <v>0.75</v>
      </c>
      <c r="U2382" s="12">
        <v>0.85</v>
      </c>
      <c r="V2382" s="12">
        <v>290.64999999999998</v>
      </c>
      <c r="W2382" s="12">
        <v>6.4098517679165399</v>
      </c>
      <c r="X2382" s="12">
        <v>14.38816515089936</v>
      </c>
      <c r="Y2382" s="12">
        <v>2600</v>
      </c>
      <c r="Z2382" s="12">
        <v>7.5</v>
      </c>
      <c r="AA2382" s="12"/>
      <c r="AB2382" s="12"/>
    </row>
    <row r="2383" spans="1:28" x14ac:dyDescent="0.3">
      <c r="A2383" s="12" t="s">
        <v>4297</v>
      </c>
      <c r="B2383" s="12" t="s">
        <v>180</v>
      </c>
      <c r="C2383" s="12" t="s">
        <v>180</v>
      </c>
      <c r="D2383" s="12" t="s">
        <v>181</v>
      </c>
      <c r="E2383" s="12" t="s">
        <v>1886</v>
      </c>
      <c r="F2383" s="12" t="s">
        <v>32</v>
      </c>
      <c r="G2383" s="12" t="s">
        <v>32</v>
      </c>
      <c r="H2383" s="12" t="b">
        <v>1</v>
      </c>
      <c r="I2383" s="12" t="b">
        <v>1</v>
      </c>
      <c r="J2383" s="12" t="b">
        <v>0</v>
      </c>
      <c r="K2383" s="12" t="b">
        <v>0</v>
      </c>
      <c r="L2383" s="12">
        <v>400</v>
      </c>
      <c r="M2383" s="12">
        <v>290.64999999999998</v>
      </c>
      <c r="N2383" s="12">
        <v>3000</v>
      </c>
      <c r="O2383" s="12">
        <v>400</v>
      </c>
      <c r="P2383" s="12">
        <v>0.5</v>
      </c>
      <c r="Q2383" s="12">
        <v>0.85</v>
      </c>
      <c r="R2383" s="12">
        <v>0.75</v>
      </c>
      <c r="S2383" s="12">
        <v>0.85</v>
      </c>
      <c r="T2383" s="12">
        <v>0.75</v>
      </c>
      <c r="U2383" s="12">
        <v>0.85</v>
      </c>
      <c r="V2383" s="12">
        <v>290.64999999999998</v>
      </c>
      <c r="W2383" s="12">
        <v>8.5598544810122199</v>
      </c>
      <c r="X2383" s="12">
        <v>24.64629010461304</v>
      </c>
      <c r="Y2383" s="12">
        <v>2600</v>
      </c>
      <c r="Z2383" s="12">
        <v>7.5</v>
      </c>
      <c r="AA2383" s="12"/>
      <c r="AB2383" s="12"/>
    </row>
    <row r="2384" spans="1:28" x14ac:dyDescent="0.3">
      <c r="A2384" s="12" t="s">
        <v>4298</v>
      </c>
      <c r="B2384" s="12" t="s">
        <v>180</v>
      </c>
      <c r="C2384" s="12" t="s">
        <v>180</v>
      </c>
      <c r="D2384" s="12" t="s">
        <v>181</v>
      </c>
      <c r="E2384" s="12" t="s">
        <v>1886</v>
      </c>
      <c r="F2384" s="12" t="s">
        <v>32</v>
      </c>
      <c r="G2384" s="12" t="s">
        <v>32</v>
      </c>
      <c r="H2384" s="12" t="b">
        <v>1</v>
      </c>
      <c r="I2384" s="12" t="b">
        <v>1</v>
      </c>
      <c r="J2384" s="12" t="b">
        <v>0</v>
      </c>
      <c r="K2384" s="12" t="b">
        <v>0</v>
      </c>
      <c r="L2384" s="12">
        <v>402.5</v>
      </c>
      <c r="M2384" s="12">
        <v>290.64999999999998</v>
      </c>
      <c r="N2384" s="12">
        <v>3000</v>
      </c>
      <c r="O2384" s="12">
        <v>400</v>
      </c>
      <c r="P2384" s="12">
        <v>0.5</v>
      </c>
      <c r="Q2384" s="12">
        <v>0.85</v>
      </c>
      <c r="R2384" s="12">
        <v>0.75</v>
      </c>
      <c r="S2384" s="12">
        <v>0.85</v>
      </c>
      <c r="T2384" s="12">
        <v>0.75</v>
      </c>
      <c r="U2384" s="12">
        <v>0.85</v>
      </c>
      <c r="V2384" s="12">
        <v>290.64999999999998</v>
      </c>
      <c r="W2384" s="12">
        <v>9.2984936607332802</v>
      </c>
      <c r="X2384" s="12">
        <v>29.63569572559188</v>
      </c>
      <c r="Y2384" s="12">
        <v>2600</v>
      </c>
      <c r="Z2384" s="12">
        <v>7.5</v>
      </c>
      <c r="AA2384" s="12"/>
      <c r="AB2384" s="12"/>
    </row>
    <row r="2385" spans="1:28" x14ac:dyDescent="0.3">
      <c r="A2385" s="12" t="s">
        <v>4299</v>
      </c>
      <c r="B2385" s="12" t="s">
        <v>180</v>
      </c>
      <c r="C2385" s="12" t="s">
        <v>180</v>
      </c>
      <c r="D2385" s="12" t="s">
        <v>181</v>
      </c>
      <c r="E2385" s="12" t="s">
        <v>1886</v>
      </c>
      <c r="F2385" s="12" t="s">
        <v>32</v>
      </c>
      <c r="G2385" s="12" t="s">
        <v>32</v>
      </c>
      <c r="H2385" s="12" t="b">
        <v>1</v>
      </c>
      <c r="I2385" s="12" t="b">
        <v>1</v>
      </c>
      <c r="J2385" s="12" t="b">
        <v>0</v>
      </c>
      <c r="K2385" s="12" t="b">
        <v>0</v>
      </c>
      <c r="L2385" s="12">
        <v>407.5</v>
      </c>
      <c r="M2385" s="12">
        <v>290.64999999999998</v>
      </c>
      <c r="N2385" s="12">
        <v>3000</v>
      </c>
      <c r="O2385" s="12">
        <v>400</v>
      </c>
      <c r="P2385" s="12">
        <v>0.5</v>
      </c>
      <c r="Q2385" s="12">
        <v>0.85</v>
      </c>
      <c r="R2385" s="12">
        <v>0.75</v>
      </c>
      <c r="S2385" s="12">
        <v>0.85</v>
      </c>
      <c r="T2385" s="12">
        <v>0.75</v>
      </c>
      <c r="U2385" s="12">
        <v>0.85</v>
      </c>
      <c r="V2385" s="12">
        <v>290.64999999999998</v>
      </c>
      <c r="W2385" s="12">
        <v>10.402266062496549</v>
      </c>
      <c r="X2385" s="12">
        <v>39.453083710248521</v>
      </c>
      <c r="Y2385" s="12">
        <v>2600</v>
      </c>
      <c r="Z2385" s="12">
        <v>7.5</v>
      </c>
      <c r="AA2385" s="12"/>
      <c r="AB2385" s="12"/>
    </row>
    <row r="2386" spans="1:28" x14ac:dyDescent="0.3">
      <c r="A2386" s="12" t="s">
        <v>4300</v>
      </c>
      <c r="B2386" s="12" t="s">
        <v>180</v>
      </c>
      <c r="C2386" s="12" t="s">
        <v>180</v>
      </c>
      <c r="D2386" s="12" t="s">
        <v>181</v>
      </c>
      <c r="E2386" s="12" t="s">
        <v>1886</v>
      </c>
      <c r="F2386" s="12" t="s">
        <v>32</v>
      </c>
      <c r="G2386" s="12" t="s">
        <v>32</v>
      </c>
      <c r="H2386" s="12" t="b">
        <v>1</v>
      </c>
      <c r="I2386" s="12" t="b">
        <v>1</v>
      </c>
      <c r="J2386" s="12" t="b">
        <v>0</v>
      </c>
      <c r="K2386" s="12" t="b">
        <v>0</v>
      </c>
      <c r="L2386" s="12">
        <v>405</v>
      </c>
      <c r="M2386" s="12">
        <v>290.64999999999998</v>
      </c>
      <c r="N2386" s="12">
        <v>3000</v>
      </c>
      <c r="O2386" s="12">
        <v>400</v>
      </c>
      <c r="P2386" s="12">
        <v>0.5</v>
      </c>
      <c r="Q2386" s="12">
        <v>0.85</v>
      </c>
      <c r="R2386" s="12">
        <v>0.75</v>
      </c>
      <c r="S2386" s="12">
        <v>0.85</v>
      </c>
      <c r="T2386" s="12">
        <v>0.75</v>
      </c>
      <c r="U2386" s="12">
        <v>0.85</v>
      </c>
      <c r="V2386" s="12">
        <v>290.64999999999998</v>
      </c>
      <c r="W2386" s="12">
        <v>9.9006196469704797</v>
      </c>
      <c r="X2386" s="12">
        <v>34.564010358995937</v>
      </c>
      <c r="Y2386" s="12">
        <v>2600</v>
      </c>
      <c r="Z2386" s="12">
        <v>7.5</v>
      </c>
      <c r="AA2386" s="12"/>
      <c r="AB2386" s="12"/>
    </row>
    <row r="2387" spans="1:28" x14ac:dyDescent="0.3">
      <c r="A2387" s="12" t="s">
        <v>4301</v>
      </c>
      <c r="B2387" s="12" t="s">
        <v>180</v>
      </c>
      <c r="C2387" s="12" t="s">
        <v>180</v>
      </c>
      <c r="D2387" s="12" t="s">
        <v>181</v>
      </c>
      <c r="E2387" s="12" t="s">
        <v>1886</v>
      </c>
      <c r="F2387" s="12" t="s">
        <v>1861</v>
      </c>
      <c r="G2387" s="12" t="s">
        <v>1861</v>
      </c>
      <c r="H2387" s="12" t="b">
        <v>1</v>
      </c>
      <c r="I2387" s="12" t="b">
        <v>0</v>
      </c>
      <c r="J2387" s="12" t="b">
        <v>0</v>
      </c>
      <c r="K2387" s="12" t="b">
        <v>0</v>
      </c>
      <c r="L2387" s="12">
        <v>410</v>
      </c>
      <c r="M2387" s="12">
        <v>290.64999999999998</v>
      </c>
      <c r="N2387" s="12">
        <v>3000</v>
      </c>
      <c r="O2387" s="12">
        <v>400</v>
      </c>
      <c r="P2387" s="12">
        <v>0.5</v>
      </c>
      <c r="Q2387" s="12">
        <v>0.85</v>
      </c>
      <c r="R2387" s="12">
        <v>0.75</v>
      </c>
      <c r="S2387" s="12">
        <v>0.85</v>
      </c>
      <c r="T2387" s="12">
        <v>0.75</v>
      </c>
      <c r="U2387" s="12">
        <v>0.85</v>
      </c>
      <c r="V2387" s="12">
        <v>290.64999999999998</v>
      </c>
      <c r="W2387" s="12">
        <v>10.82754455641104</v>
      </c>
      <c r="X2387" s="12">
        <v>44.323741392410199</v>
      </c>
      <c r="Y2387" s="12">
        <v>2600</v>
      </c>
      <c r="Z2387" s="12">
        <v>7.5</v>
      </c>
      <c r="AA2387" s="12" t="s">
        <v>1268</v>
      </c>
      <c r="AB2387" s="12"/>
    </row>
    <row r="2388" spans="1:28" x14ac:dyDescent="0.3">
      <c r="A2388" s="12" t="s">
        <v>4302</v>
      </c>
      <c r="B2388" s="12" t="s">
        <v>180</v>
      </c>
      <c r="C2388" s="12" t="s">
        <v>180</v>
      </c>
      <c r="D2388" s="12" t="s">
        <v>181</v>
      </c>
      <c r="E2388" s="12" t="s">
        <v>1886</v>
      </c>
      <c r="F2388" s="12" t="s">
        <v>1862</v>
      </c>
      <c r="G2388" s="12" t="s">
        <v>1862</v>
      </c>
      <c r="H2388" s="12" t="b">
        <v>1</v>
      </c>
      <c r="I2388" s="12" t="b">
        <v>0</v>
      </c>
      <c r="J2388" s="12" t="b">
        <v>0</v>
      </c>
      <c r="K2388" s="12" t="b">
        <v>0</v>
      </c>
      <c r="L2388" s="12">
        <v>387.5</v>
      </c>
      <c r="M2388" s="12">
        <v>290.64999999999998</v>
      </c>
      <c r="N2388" s="12">
        <v>3000</v>
      </c>
      <c r="O2388" s="12">
        <v>400</v>
      </c>
      <c r="P2388" s="12">
        <v>0.5</v>
      </c>
      <c r="Q2388" s="12">
        <v>0.85</v>
      </c>
      <c r="R2388" s="12">
        <v>0.75</v>
      </c>
      <c r="S2388" s="12">
        <v>0.85</v>
      </c>
      <c r="T2388" s="12">
        <v>0.75</v>
      </c>
      <c r="U2388" s="12">
        <v>0.875</v>
      </c>
      <c r="V2388" s="12">
        <v>290.64999999999998</v>
      </c>
      <c r="W2388" s="12">
        <v>-1.7678956179899099</v>
      </c>
      <c r="X2388" s="12">
        <v>-2.1602736757264989</v>
      </c>
      <c r="Y2388" s="12">
        <v>2600</v>
      </c>
      <c r="Z2388" s="12">
        <v>7.5</v>
      </c>
      <c r="AA2388" s="12" t="s">
        <v>1696</v>
      </c>
      <c r="AB2388" s="12"/>
    </row>
    <row r="2389" spans="1:28" x14ac:dyDescent="0.3">
      <c r="A2389" s="12" t="s">
        <v>4303</v>
      </c>
      <c r="B2389" s="12" t="s">
        <v>180</v>
      </c>
      <c r="C2389" s="12" t="s">
        <v>180</v>
      </c>
      <c r="D2389" s="12" t="s">
        <v>181</v>
      </c>
      <c r="E2389" s="12" t="s">
        <v>1886</v>
      </c>
      <c r="F2389" s="12" t="s">
        <v>32</v>
      </c>
      <c r="G2389" s="12" t="s">
        <v>32</v>
      </c>
      <c r="H2389" s="12" t="b">
        <v>1</v>
      </c>
      <c r="I2389" s="12" t="b">
        <v>1</v>
      </c>
      <c r="J2389" s="12" t="b">
        <v>0</v>
      </c>
      <c r="K2389" s="12" t="b">
        <v>0</v>
      </c>
      <c r="L2389" s="12">
        <v>390</v>
      </c>
      <c r="M2389" s="12">
        <v>290.64999999999998</v>
      </c>
      <c r="N2389" s="12">
        <v>3000</v>
      </c>
      <c r="O2389" s="12">
        <v>400</v>
      </c>
      <c r="P2389" s="12">
        <v>0.5</v>
      </c>
      <c r="Q2389" s="12">
        <v>0.85</v>
      </c>
      <c r="R2389" s="12">
        <v>0.75</v>
      </c>
      <c r="S2389" s="12">
        <v>0.85</v>
      </c>
      <c r="T2389" s="12">
        <v>0.75</v>
      </c>
      <c r="U2389" s="12">
        <v>0.875</v>
      </c>
      <c r="V2389" s="12">
        <v>290.64999999999998</v>
      </c>
      <c r="W2389" s="12">
        <v>2.2373865871468501</v>
      </c>
      <c r="X2389" s="12">
        <v>3.5412156862371931</v>
      </c>
      <c r="Y2389" s="12">
        <v>2600</v>
      </c>
      <c r="Z2389" s="12">
        <v>7.5</v>
      </c>
      <c r="AA2389" s="12"/>
      <c r="AB2389" s="12"/>
    </row>
    <row r="2390" spans="1:28" x14ac:dyDescent="0.3">
      <c r="A2390" s="12" t="s">
        <v>4304</v>
      </c>
      <c r="B2390" s="12" t="s">
        <v>180</v>
      </c>
      <c r="C2390" s="12" t="s">
        <v>180</v>
      </c>
      <c r="D2390" s="12" t="s">
        <v>181</v>
      </c>
      <c r="E2390" s="12" t="s">
        <v>1886</v>
      </c>
      <c r="F2390" s="12" t="s">
        <v>1863</v>
      </c>
      <c r="G2390" s="12" t="s">
        <v>832</v>
      </c>
      <c r="H2390" s="12" t="b">
        <v>0</v>
      </c>
      <c r="I2390" s="12" t="b">
        <v>0</v>
      </c>
      <c r="J2390" s="12" t="b">
        <v>0</v>
      </c>
      <c r="K2390" s="12" t="b">
        <v>0</v>
      </c>
      <c r="L2390" s="12">
        <v>385</v>
      </c>
      <c r="M2390" s="12">
        <v>290.64999999999998</v>
      </c>
      <c r="N2390" s="12">
        <v>3000</v>
      </c>
      <c r="O2390" s="12">
        <v>400</v>
      </c>
      <c r="P2390" s="12">
        <v>0.5</v>
      </c>
      <c r="Q2390" s="12">
        <v>0.85</v>
      </c>
      <c r="R2390" s="12">
        <v>0.75</v>
      </c>
      <c r="S2390" s="12">
        <v>0.85</v>
      </c>
      <c r="T2390" s="12">
        <v>0.75</v>
      </c>
      <c r="U2390" s="12">
        <v>0.875</v>
      </c>
      <c r="V2390" s="12">
        <v>290.64999999999998</v>
      </c>
      <c r="W2390" s="12">
        <v>-16.810251088615601</v>
      </c>
      <c r="X2390" s="12">
        <v>-15.17987663792853</v>
      </c>
      <c r="Y2390" s="12">
        <v>2600</v>
      </c>
      <c r="Z2390" s="12">
        <v>7.5</v>
      </c>
      <c r="AA2390" s="12" t="s">
        <v>2846</v>
      </c>
      <c r="AB2390" s="12"/>
    </row>
    <row r="2391" spans="1:28" x14ac:dyDescent="0.3">
      <c r="A2391" s="12" t="s">
        <v>4305</v>
      </c>
      <c r="B2391" s="12" t="s">
        <v>180</v>
      </c>
      <c r="C2391" s="12" t="s">
        <v>180</v>
      </c>
      <c r="D2391" s="12" t="s">
        <v>181</v>
      </c>
      <c r="E2391" s="12" t="s">
        <v>1886</v>
      </c>
      <c r="F2391" s="12" t="s">
        <v>32</v>
      </c>
      <c r="G2391" s="12" t="s">
        <v>32</v>
      </c>
      <c r="H2391" s="12" t="b">
        <v>1</v>
      </c>
      <c r="I2391" s="12" t="b">
        <v>1</v>
      </c>
      <c r="J2391" s="12" t="b">
        <v>0</v>
      </c>
      <c r="K2391" s="12" t="b">
        <v>0</v>
      </c>
      <c r="L2391" s="12">
        <v>397.5</v>
      </c>
      <c r="M2391" s="12">
        <v>290.64999999999998</v>
      </c>
      <c r="N2391" s="12">
        <v>3000</v>
      </c>
      <c r="O2391" s="12">
        <v>400</v>
      </c>
      <c r="P2391" s="12">
        <v>0.5</v>
      </c>
      <c r="Q2391" s="12">
        <v>0.85</v>
      </c>
      <c r="R2391" s="12">
        <v>0.75</v>
      </c>
      <c r="S2391" s="12">
        <v>0.85</v>
      </c>
      <c r="T2391" s="12">
        <v>0.75</v>
      </c>
      <c r="U2391" s="12">
        <v>0.875</v>
      </c>
      <c r="V2391" s="12">
        <v>290.64999999999998</v>
      </c>
      <c r="W2391" s="12">
        <v>7.5455097602973291</v>
      </c>
      <c r="X2391" s="12">
        <v>19.521528058778049</v>
      </c>
      <c r="Y2391" s="12">
        <v>2600</v>
      </c>
      <c r="Z2391" s="12">
        <v>7.5</v>
      </c>
      <c r="AA2391" s="12"/>
      <c r="AB2391" s="12"/>
    </row>
    <row r="2392" spans="1:28" x14ac:dyDescent="0.3">
      <c r="A2392" s="12" t="s">
        <v>4306</v>
      </c>
      <c r="B2392" s="12" t="s">
        <v>180</v>
      </c>
      <c r="C2392" s="12" t="s">
        <v>180</v>
      </c>
      <c r="D2392" s="12" t="s">
        <v>181</v>
      </c>
      <c r="E2392" s="12" t="s">
        <v>1886</v>
      </c>
      <c r="F2392" s="12" t="s">
        <v>32</v>
      </c>
      <c r="G2392" s="12" t="s">
        <v>32</v>
      </c>
      <c r="H2392" s="12" t="b">
        <v>1</v>
      </c>
      <c r="I2392" s="12" t="b">
        <v>1</v>
      </c>
      <c r="J2392" s="12" t="b">
        <v>0</v>
      </c>
      <c r="K2392" s="12" t="b">
        <v>0</v>
      </c>
      <c r="L2392" s="12">
        <v>392.5</v>
      </c>
      <c r="M2392" s="12">
        <v>290.64999999999998</v>
      </c>
      <c r="N2392" s="12">
        <v>3000</v>
      </c>
      <c r="O2392" s="12">
        <v>400</v>
      </c>
      <c r="P2392" s="12">
        <v>0.5</v>
      </c>
      <c r="Q2392" s="12">
        <v>0.85</v>
      </c>
      <c r="R2392" s="12">
        <v>0.75</v>
      </c>
      <c r="S2392" s="12">
        <v>0.85</v>
      </c>
      <c r="T2392" s="12">
        <v>0.75</v>
      </c>
      <c r="U2392" s="12">
        <v>0.875</v>
      </c>
      <c r="V2392" s="12">
        <v>290.64999999999998</v>
      </c>
      <c r="W2392" s="12">
        <v>4.6817789228921107</v>
      </c>
      <c r="X2392" s="12">
        <v>9.0299503865249555</v>
      </c>
      <c r="Y2392" s="12">
        <v>2600</v>
      </c>
      <c r="Z2392" s="12">
        <v>7.5</v>
      </c>
      <c r="AA2392" s="12"/>
      <c r="AB2392" s="12"/>
    </row>
    <row r="2393" spans="1:28" x14ac:dyDescent="0.3">
      <c r="A2393" s="12" t="s">
        <v>4307</v>
      </c>
      <c r="B2393" s="12" t="s">
        <v>180</v>
      </c>
      <c r="C2393" s="12" t="s">
        <v>180</v>
      </c>
      <c r="D2393" s="12" t="s">
        <v>181</v>
      </c>
      <c r="E2393" s="12" t="s">
        <v>1886</v>
      </c>
      <c r="F2393" s="12" t="s">
        <v>32</v>
      </c>
      <c r="G2393" s="12" t="s">
        <v>32</v>
      </c>
      <c r="H2393" s="12" t="b">
        <v>1</v>
      </c>
      <c r="I2393" s="12" t="b">
        <v>1</v>
      </c>
      <c r="J2393" s="12" t="b">
        <v>0</v>
      </c>
      <c r="K2393" s="12" t="b">
        <v>0</v>
      </c>
      <c r="L2393" s="12">
        <v>395</v>
      </c>
      <c r="M2393" s="12">
        <v>290.64999999999998</v>
      </c>
      <c r="N2393" s="12">
        <v>3000</v>
      </c>
      <c r="O2393" s="12">
        <v>400</v>
      </c>
      <c r="P2393" s="12">
        <v>0.5</v>
      </c>
      <c r="Q2393" s="12">
        <v>0.85</v>
      </c>
      <c r="R2393" s="12">
        <v>0.75</v>
      </c>
      <c r="S2393" s="12">
        <v>0.85</v>
      </c>
      <c r="T2393" s="12">
        <v>0.75</v>
      </c>
      <c r="U2393" s="12">
        <v>0.875</v>
      </c>
      <c r="V2393" s="12">
        <v>290.64999999999998</v>
      </c>
      <c r="W2393" s="12">
        <v>6.3399369944152699</v>
      </c>
      <c r="X2393" s="12">
        <v>14.34557910050073</v>
      </c>
      <c r="Y2393" s="12">
        <v>2600</v>
      </c>
      <c r="Z2393" s="12">
        <v>7.5</v>
      </c>
      <c r="AA2393" s="12"/>
      <c r="AB2393" s="12"/>
    </row>
    <row r="2394" spans="1:28" x14ac:dyDescent="0.3">
      <c r="A2394" s="12" t="s">
        <v>4308</v>
      </c>
      <c r="B2394" s="12" t="s">
        <v>180</v>
      </c>
      <c r="C2394" s="12" t="s">
        <v>180</v>
      </c>
      <c r="D2394" s="12" t="s">
        <v>181</v>
      </c>
      <c r="E2394" s="12" t="s">
        <v>1886</v>
      </c>
      <c r="F2394" s="12" t="s">
        <v>32</v>
      </c>
      <c r="G2394" s="12" t="s">
        <v>32</v>
      </c>
      <c r="H2394" s="12" t="b">
        <v>1</v>
      </c>
      <c r="I2394" s="12" t="b">
        <v>1</v>
      </c>
      <c r="J2394" s="12" t="b">
        <v>0</v>
      </c>
      <c r="K2394" s="12" t="b">
        <v>0</v>
      </c>
      <c r="L2394" s="12">
        <v>400</v>
      </c>
      <c r="M2394" s="12">
        <v>290.64999999999998</v>
      </c>
      <c r="N2394" s="12">
        <v>3000</v>
      </c>
      <c r="O2394" s="12">
        <v>400</v>
      </c>
      <c r="P2394" s="12">
        <v>0.5</v>
      </c>
      <c r="Q2394" s="12">
        <v>0.85</v>
      </c>
      <c r="R2394" s="12">
        <v>0.75</v>
      </c>
      <c r="S2394" s="12">
        <v>0.85</v>
      </c>
      <c r="T2394" s="12">
        <v>0.75</v>
      </c>
      <c r="U2394" s="12">
        <v>0.875</v>
      </c>
      <c r="V2394" s="12">
        <v>290.64999999999998</v>
      </c>
      <c r="W2394" s="12">
        <v>8.4660467655150793</v>
      </c>
      <c r="X2394" s="12">
        <v>24.58687504077966</v>
      </c>
      <c r="Y2394" s="12">
        <v>2600</v>
      </c>
      <c r="Z2394" s="12">
        <v>7.5</v>
      </c>
      <c r="AA2394" s="12"/>
      <c r="AB2394" s="12"/>
    </row>
    <row r="2395" spans="1:28" x14ac:dyDescent="0.3">
      <c r="A2395" s="12" t="s">
        <v>4309</v>
      </c>
      <c r="B2395" s="12" t="s">
        <v>180</v>
      </c>
      <c r="C2395" s="12" t="s">
        <v>180</v>
      </c>
      <c r="D2395" s="12" t="s">
        <v>181</v>
      </c>
      <c r="E2395" s="12" t="s">
        <v>1886</v>
      </c>
      <c r="F2395" s="12" t="s">
        <v>32</v>
      </c>
      <c r="G2395" s="12" t="s">
        <v>32</v>
      </c>
      <c r="H2395" s="12" t="b">
        <v>1</v>
      </c>
      <c r="I2395" s="12" t="b">
        <v>1</v>
      </c>
      <c r="J2395" s="12" t="b">
        <v>0</v>
      </c>
      <c r="K2395" s="12" t="b">
        <v>0</v>
      </c>
      <c r="L2395" s="12">
        <v>405</v>
      </c>
      <c r="M2395" s="12">
        <v>290.64999999999998</v>
      </c>
      <c r="N2395" s="12">
        <v>3000</v>
      </c>
      <c r="O2395" s="12">
        <v>400</v>
      </c>
      <c r="P2395" s="12">
        <v>0.5</v>
      </c>
      <c r="Q2395" s="12">
        <v>0.85</v>
      </c>
      <c r="R2395" s="12">
        <v>0.75</v>
      </c>
      <c r="S2395" s="12">
        <v>0.85</v>
      </c>
      <c r="T2395" s="12">
        <v>0.75</v>
      </c>
      <c r="U2395" s="12">
        <v>0.875</v>
      </c>
      <c r="V2395" s="12">
        <v>290.64999999999998</v>
      </c>
      <c r="W2395" s="12">
        <v>9.7880231043521206</v>
      </c>
      <c r="X2395" s="12">
        <v>34.486463608174788</v>
      </c>
      <c r="Y2395" s="12">
        <v>2600</v>
      </c>
      <c r="Z2395" s="12">
        <v>7.5</v>
      </c>
      <c r="AA2395" s="12"/>
      <c r="AB2395" s="12"/>
    </row>
    <row r="2396" spans="1:28" x14ac:dyDescent="0.3">
      <c r="A2396" s="12" t="s">
        <v>4310</v>
      </c>
      <c r="B2396" s="12" t="s">
        <v>180</v>
      </c>
      <c r="C2396" s="12" t="s">
        <v>180</v>
      </c>
      <c r="D2396" s="12" t="s">
        <v>181</v>
      </c>
      <c r="E2396" s="12" t="s">
        <v>1886</v>
      </c>
      <c r="F2396" s="12" t="s">
        <v>32</v>
      </c>
      <c r="G2396" s="12" t="s">
        <v>32</v>
      </c>
      <c r="H2396" s="12" t="b">
        <v>1</v>
      </c>
      <c r="I2396" s="12" t="b">
        <v>1</v>
      </c>
      <c r="J2396" s="12" t="b">
        <v>0</v>
      </c>
      <c r="K2396" s="12" t="b">
        <v>0</v>
      </c>
      <c r="L2396" s="12">
        <v>402.5</v>
      </c>
      <c r="M2396" s="12">
        <v>290.64999999999998</v>
      </c>
      <c r="N2396" s="12">
        <v>3000</v>
      </c>
      <c r="O2396" s="12">
        <v>400</v>
      </c>
      <c r="P2396" s="12">
        <v>0.5</v>
      </c>
      <c r="Q2396" s="12">
        <v>0.85</v>
      </c>
      <c r="R2396" s="12">
        <v>0.75</v>
      </c>
      <c r="S2396" s="12">
        <v>0.85</v>
      </c>
      <c r="T2396" s="12">
        <v>0.75</v>
      </c>
      <c r="U2396" s="12">
        <v>0.875</v>
      </c>
      <c r="V2396" s="12">
        <v>290.64999999999998</v>
      </c>
      <c r="W2396" s="12">
        <v>9.1948439821991101</v>
      </c>
      <c r="X2396" s="12">
        <v>29.567377096697211</v>
      </c>
      <c r="Y2396" s="12">
        <v>2600</v>
      </c>
      <c r="Z2396" s="12">
        <v>7.5</v>
      </c>
      <c r="AA2396" s="12"/>
      <c r="AB2396" s="12"/>
    </row>
    <row r="2397" spans="1:28" x14ac:dyDescent="0.3">
      <c r="A2397" s="12" t="s">
        <v>4311</v>
      </c>
      <c r="B2397" s="12" t="s">
        <v>180</v>
      </c>
      <c r="C2397" s="12" t="s">
        <v>180</v>
      </c>
      <c r="D2397" s="12" t="s">
        <v>181</v>
      </c>
      <c r="E2397" s="12" t="s">
        <v>1886</v>
      </c>
      <c r="F2397" s="12" t="s">
        <v>32</v>
      </c>
      <c r="G2397" s="12" t="s">
        <v>32</v>
      </c>
      <c r="H2397" s="12" t="b">
        <v>1</v>
      </c>
      <c r="I2397" s="12" t="b">
        <v>1</v>
      </c>
      <c r="J2397" s="12" t="b">
        <v>0</v>
      </c>
      <c r="K2397" s="12" t="b">
        <v>0</v>
      </c>
      <c r="L2397" s="12">
        <v>407.5</v>
      </c>
      <c r="M2397" s="12">
        <v>290.64999999999998</v>
      </c>
      <c r="N2397" s="12">
        <v>3000</v>
      </c>
      <c r="O2397" s="12">
        <v>400</v>
      </c>
      <c r="P2397" s="12">
        <v>0.5</v>
      </c>
      <c r="Q2397" s="12">
        <v>0.85</v>
      </c>
      <c r="R2397" s="12">
        <v>0.75</v>
      </c>
      <c r="S2397" s="12">
        <v>0.85</v>
      </c>
      <c r="T2397" s="12">
        <v>0.75</v>
      </c>
      <c r="U2397" s="12">
        <v>0.875</v>
      </c>
      <c r="V2397" s="12">
        <v>290.64999999999998</v>
      </c>
      <c r="W2397" s="12">
        <v>10.281404216932421</v>
      </c>
      <c r="X2397" s="12">
        <v>39.365971038546</v>
      </c>
      <c r="Y2397" s="12">
        <v>2600</v>
      </c>
      <c r="Z2397" s="12">
        <v>7.5</v>
      </c>
      <c r="AA2397" s="12"/>
      <c r="AB2397" s="12"/>
    </row>
    <row r="2398" spans="1:28" x14ac:dyDescent="0.3">
      <c r="A2398" s="12" t="s">
        <v>4312</v>
      </c>
      <c r="B2398" s="12" t="s">
        <v>180</v>
      </c>
      <c r="C2398" s="12" t="s">
        <v>180</v>
      </c>
      <c r="D2398" s="12" t="s">
        <v>181</v>
      </c>
      <c r="E2398" s="12" t="s">
        <v>1886</v>
      </c>
      <c r="F2398" s="12" t="s">
        <v>32</v>
      </c>
      <c r="G2398" s="12" t="s">
        <v>32</v>
      </c>
      <c r="H2398" s="12" t="b">
        <v>1</v>
      </c>
      <c r="I2398" s="12" t="b">
        <v>1</v>
      </c>
      <c r="J2398" s="12" t="b">
        <v>0</v>
      </c>
      <c r="K2398" s="12" t="b">
        <v>0</v>
      </c>
      <c r="L2398" s="12">
        <v>410</v>
      </c>
      <c r="M2398" s="12">
        <v>290.64999999999998</v>
      </c>
      <c r="N2398" s="12">
        <v>3000</v>
      </c>
      <c r="O2398" s="12">
        <v>400</v>
      </c>
      <c r="P2398" s="12">
        <v>0.5</v>
      </c>
      <c r="Q2398" s="12">
        <v>0.85</v>
      </c>
      <c r="R2398" s="12">
        <v>0.75</v>
      </c>
      <c r="S2398" s="12">
        <v>0.85</v>
      </c>
      <c r="T2398" s="12">
        <v>0.75</v>
      </c>
      <c r="U2398" s="12">
        <v>0.875</v>
      </c>
      <c r="V2398" s="12">
        <v>290.64999999999998</v>
      </c>
      <c r="W2398" s="12">
        <v>10.69895603715694</v>
      </c>
      <c r="X2398" s="12">
        <v>44.226722403416687</v>
      </c>
      <c r="Y2398" s="12">
        <v>2600</v>
      </c>
      <c r="Z2398" s="12">
        <v>7.5</v>
      </c>
      <c r="AA2398" s="12"/>
      <c r="AB2398" s="12"/>
    </row>
    <row r="2399" spans="1:28" x14ac:dyDescent="0.3">
      <c r="A2399" s="12" t="s">
        <v>4313</v>
      </c>
      <c r="B2399" s="12" t="s">
        <v>180</v>
      </c>
      <c r="C2399" s="12" t="s">
        <v>180</v>
      </c>
      <c r="D2399" s="12" t="s">
        <v>181</v>
      </c>
      <c r="E2399" s="12" t="s">
        <v>1886</v>
      </c>
      <c r="F2399" s="12" t="s">
        <v>1862</v>
      </c>
      <c r="G2399" s="12" t="s">
        <v>1862</v>
      </c>
      <c r="H2399" s="12" t="b">
        <v>1</v>
      </c>
      <c r="I2399" s="12" t="b">
        <v>0</v>
      </c>
      <c r="J2399" s="12" t="b">
        <v>0</v>
      </c>
      <c r="K2399" s="12" t="b">
        <v>0</v>
      </c>
      <c r="L2399" s="12">
        <v>387.5</v>
      </c>
      <c r="M2399" s="12">
        <v>290.64999999999998</v>
      </c>
      <c r="N2399" s="12">
        <v>3000</v>
      </c>
      <c r="O2399" s="12">
        <v>400</v>
      </c>
      <c r="P2399" s="12">
        <v>0.5</v>
      </c>
      <c r="Q2399" s="12">
        <v>0.85</v>
      </c>
      <c r="R2399" s="12">
        <v>0.75</v>
      </c>
      <c r="S2399" s="12">
        <v>0.85</v>
      </c>
      <c r="T2399" s="12">
        <v>0.75</v>
      </c>
      <c r="U2399" s="12">
        <v>0.9</v>
      </c>
      <c r="V2399" s="12">
        <v>290.64999999999998</v>
      </c>
      <c r="W2399" s="12">
        <v>-1.77151115386042</v>
      </c>
      <c r="X2399" s="12">
        <v>-2.1795476863566172</v>
      </c>
      <c r="Y2399" s="12">
        <v>2600</v>
      </c>
      <c r="Z2399" s="12">
        <v>7.5</v>
      </c>
      <c r="AA2399" s="12" t="s">
        <v>1696</v>
      </c>
      <c r="AB2399" s="12"/>
    </row>
    <row r="2400" spans="1:28" x14ac:dyDescent="0.3">
      <c r="A2400" s="12" t="s">
        <v>4314</v>
      </c>
      <c r="B2400" s="12" t="s">
        <v>180</v>
      </c>
      <c r="C2400" s="12" t="s">
        <v>180</v>
      </c>
      <c r="D2400" s="12" t="s">
        <v>181</v>
      </c>
      <c r="E2400" s="12" t="s">
        <v>1886</v>
      </c>
      <c r="F2400" s="12" t="s">
        <v>1863</v>
      </c>
      <c r="G2400" s="12" t="s">
        <v>832</v>
      </c>
      <c r="H2400" s="12" t="b">
        <v>0</v>
      </c>
      <c r="I2400" s="12" t="b">
        <v>0</v>
      </c>
      <c r="J2400" s="12" t="b">
        <v>0</v>
      </c>
      <c r="K2400" s="12" t="b">
        <v>0</v>
      </c>
      <c r="L2400" s="12">
        <v>385</v>
      </c>
      <c r="M2400" s="12">
        <v>290.64999999999998</v>
      </c>
      <c r="N2400" s="12">
        <v>3000</v>
      </c>
      <c r="O2400" s="12">
        <v>400</v>
      </c>
      <c r="P2400" s="12">
        <v>0.5</v>
      </c>
      <c r="Q2400" s="12">
        <v>0.85</v>
      </c>
      <c r="R2400" s="12">
        <v>0.75</v>
      </c>
      <c r="S2400" s="12">
        <v>0.85</v>
      </c>
      <c r="T2400" s="12">
        <v>0.75</v>
      </c>
      <c r="U2400" s="12">
        <v>0.9</v>
      </c>
      <c r="V2400" s="12">
        <v>290.64999999999998</v>
      </c>
      <c r="W2400" s="12">
        <v>-16.788576162545692</v>
      </c>
      <c r="X2400" s="12">
        <v>-15.210702143828181</v>
      </c>
      <c r="Y2400" s="12">
        <v>2600</v>
      </c>
      <c r="Z2400" s="12">
        <v>7.5</v>
      </c>
      <c r="AA2400" s="12" t="s">
        <v>2846</v>
      </c>
      <c r="AB2400" s="12"/>
    </row>
    <row r="2401" spans="1:28" x14ac:dyDescent="0.3">
      <c r="A2401" s="12" t="s">
        <v>4315</v>
      </c>
      <c r="B2401" s="12" t="s">
        <v>180</v>
      </c>
      <c r="C2401" s="12" t="s">
        <v>180</v>
      </c>
      <c r="D2401" s="12" t="s">
        <v>181</v>
      </c>
      <c r="E2401" s="12" t="s">
        <v>1886</v>
      </c>
      <c r="F2401" s="12" t="s">
        <v>32</v>
      </c>
      <c r="G2401" s="12" t="s">
        <v>32</v>
      </c>
      <c r="H2401" s="12" t="b">
        <v>1</v>
      </c>
      <c r="I2401" s="12" t="b">
        <v>1</v>
      </c>
      <c r="J2401" s="12" t="b">
        <v>0</v>
      </c>
      <c r="K2401" s="12" t="b">
        <v>0</v>
      </c>
      <c r="L2401" s="12">
        <v>390</v>
      </c>
      <c r="M2401" s="12">
        <v>290.64999999999998</v>
      </c>
      <c r="N2401" s="12">
        <v>3000</v>
      </c>
      <c r="O2401" s="12">
        <v>400</v>
      </c>
      <c r="P2401" s="12">
        <v>0.5</v>
      </c>
      <c r="Q2401" s="12">
        <v>0.85</v>
      </c>
      <c r="R2401" s="12">
        <v>0.75</v>
      </c>
      <c r="S2401" s="12">
        <v>0.85</v>
      </c>
      <c r="T2401" s="12">
        <v>0.75</v>
      </c>
      <c r="U2401" s="12">
        <v>0.9</v>
      </c>
      <c r="V2401" s="12">
        <v>290.64999999999998</v>
      </c>
      <c r="W2401" s="12">
        <v>2.2053029986249899</v>
      </c>
      <c r="X2401" s="12">
        <v>3.5151600721926002</v>
      </c>
      <c r="Y2401" s="12">
        <v>2600</v>
      </c>
      <c r="Z2401" s="12">
        <v>7.5</v>
      </c>
      <c r="AA2401" s="12"/>
      <c r="AB2401" s="12"/>
    </row>
    <row r="2402" spans="1:28" x14ac:dyDescent="0.3">
      <c r="A2402" s="12" t="s">
        <v>4316</v>
      </c>
      <c r="B2402" s="12" t="s">
        <v>180</v>
      </c>
      <c r="C2402" s="12" t="s">
        <v>180</v>
      </c>
      <c r="D2402" s="12" t="s">
        <v>181</v>
      </c>
      <c r="E2402" s="12" t="s">
        <v>1886</v>
      </c>
      <c r="F2402" s="12" t="s">
        <v>32</v>
      </c>
      <c r="G2402" s="12" t="s">
        <v>32</v>
      </c>
      <c r="H2402" s="12" t="b">
        <v>1</v>
      </c>
      <c r="I2402" s="12" t="b">
        <v>1</v>
      </c>
      <c r="J2402" s="12" t="b">
        <v>0</v>
      </c>
      <c r="K2402" s="12" t="b">
        <v>0</v>
      </c>
      <c r="L2402" s="12">
        <v>392.5</v>
      </c>
      <c r="M2402" s="12">
        <v>290.64999999999998</v>
      </c>
      <c r="N2402" s="12">
        <v>3000</v>
      </c>
      <c r="O2402" s="12">
        <v>400</v>
      </c>
      <c r="P2402" s="12">
        <v>0.5</v>
      </c>
      <c r="Q2402" s="12">
        <v>0.85</v>
      </c>
      <c r="R2402" s="12">
        <v>0.75</v>
      </c>
      <c r="S2402" s="12">
        <v>0.85</v>
      </c>
      <c r="T2402" s="12">
        <v>0.75</v>
      </c>
      <c r="U2402" s="12">
        <v>0.9</v>
      </c>
      <c r="V2402" s="12">
        <v>290.64999999999998</v>
      </c>
      <c r="W2402" s="12">
        <v>4.6304590991604799</v>
      </c>
      <c r="X2402" s="12">
        <v>8.9966722926150116</v>
      </c>
      <c r="Y2402" s="12">
        <v>2600</v>
      </c>
      <c r="Z2402" s="12">
        <v>7.5</v>
      </c>
      <c r="AA2402" s="12"/>
      <c r="AB2402" s="12"/>
    </row>
    <row r="2403" spans="1:28" x14ac:dyDescent="0.3">
      <c r="A2403" s="12" t="s">
        <v>4317</v>
      </c>
      <c r="B2403" s="12" t="s">
        <v>180</v>
      </c>
      <c r="C2403" s="12" t="s">
        <v>180</v>
      </c>
      <c r="D2403" s="12" t="s">
        <v>181</v>
      </c>
      <c r="E2403" s="12" t="s">
        <v>1886</v>
      </c>
      <c r="F2403" s="12" t="s">
        <v>32</v>
      </c>
      <c r="G2403" s="12" t="s">
        <v>32</v>
      </c>
      <c r="H2403" s="12" t="b">
        <v>1</v>
      </c>
      <c r="I2403" s="12" t="b">
        <v>1</v>
      </c>
      <c r="J2403" s="12" t="b">
        <v>0</v>
      </c>
      <c r="K2403" s="12" t="b">
        <v>0</v>
      </c>
      <c r="L2403" s="12">
        <v>395</v>
      </c>
      <c r="M2403" s="12">
        <v>290.64999999999998</v>
      </c>
      <c r="N2403" s="12">
        <v>3000</v>
      </c>
      <c r="O2403" s="12">
        <v>400</v>
      </c>
      <c r="P2403" s="12">
        <v>0.5</v>
      </c>
      <c r="Q2403" s="12">
        <v>0.85</v>
      </c>
      <c r="R2403" s="12">
        <v>0.75</v>
      </c>
      <c r="S2403" s="12">
        <v>0.85</v>
      </c>
      <c r="T2403" s="12">
        <v>0.75</v>
      </c>
      <c r="U2403" s="12">
        <v>0.9</v>
      </c>
      <c r="V2403" s="12">
        <v>290.64999999999998</v>
      </c>
      <c r="W2403" s="12">
        <v>6.2738039834836599</v>
      </c>
      <c r="X2403" s="12">
        <v>14.30463372446134</v>
      </c>
      <c r="Y2403" s="12">
        <v>2600</v>
      </c>
      <c r="Z2403" s="12">
        <v>7.5</v>
      </c>
      <c r="AA2403" s="12"/>
      <c r="AB2403" s="12"/>
    </row>
    <row r="2404" spans="1:28" x14ac:dyDescent="0.3">
      <c r="A2404" s="12" t="s">
        <v>4318</v>
      </c>
      <c r="B2404" s="12" t="s">
        <v>180</v>
      </c>
      <c r="C2404" s="12" t="s">
        <v>180</v>
      </c>
      <c r="D2404" s="12" t="s">
        <v>181</v>
      </c>
      <c r="E2404" s="12" t="s">
        <v>1886</v>
      </c>
      <c r="F2404" s="12" t="s">
        <v>32</v>
      </c>
      <c r="G2404" s="12" t="s">
        <v>32</v>
      </c>
      <c r="H2404" s="12" t="b">
        <v>1</v>
      </c>
      <c r="I2404" s="12" t="b">
        <v>1</v>
      </c>
      <c r="J2404" s="12" t="b">
        <v>0</v>
      </c>
      <c r="K2404" s="12" t="b">
        <v>0</v>
      </c>
      <c r="L2404" s="12">
        <v>397.5</v>
      </c>
      <c r="M2404" s="12">
        <v>290.64999999999998</v>
      </c>
      <c r="N2404" s="12">
        <v>3000</v>
      </c>
      <c r="O2404" s="12">
        <v>400</v>
      </c>
      <c r="P2404" s="12">
        <v>0.5</v>
      </c>
      <c r="Q2404" s="12">
        <v>0.85</v>
      </c>
      <c r="R2404" s="12">
        <v>0.75</v>
      </c>
      <c r="S2404" s="12">
        <v>0.85</v>
      </c>
      <c r="T2404" s="12">
        <v>0.75</v>
      </c>
      <c r="U2404" s="12">
        <v>0.9</v>
      </c>
      <c r="V2404" s="12">
        <v>290.64999999999998</v>
      </c>
      <c r="W2404" s="12">
        <v>7.4672213103753489</v>
      </c>
      <c r="X2404" s="12">
        <v>19.472606139928349</v>
      </c>
      <c r="Y2404" s="12">
        <v>2600</v>
      </c>
      <c r="Z2404" s="12">
        <v>7.5</v>
      </c>
      <c r="AA2404" s="12"/>
      <c r="AB2404" s="12"/>
    </row>
    <row r="2405" spans="1:28" x14ac:dyDescent="0.3">
      <c r="A2405" s="12" t="s">
        <v>4319</v>
      </c>
      <c r="B2405" s="12" t="s">
        <v>180</v>
      </c>
      <c r="C2405" s="12" t="s">
        <v>180</v>
      </c>
      <c r="D2405" s="12" t="s">
        <v>181</v>
      </c>
      <c r="E2405" s="12" t="s">
        <v>1886</v>
      </c>
      <c r="F2405" s="12" t="s">
        <v>32</v>
      </c>
      <c r="G2405" s="12" t="s">
        <v>32</v>
      </c>
      <c r="H2405" s="12" t="b">
        <v>1</v>
      </c>
      <c r="I2405" s="12" t="b">
        <v>1</v>
      </c>
      <c r="J2405" s="12" t="b">
        <v>0</v>
      </c>
      <c r="K2405" s="12" t="b">
        <v>0</v>
      </c>
      <c r="L2405" s="12">
        <v>400</v>
      </c>
      <c r="M2405" s="12">
        <v>290.64999999999998</v>
      </c>
      <c r="N2405" s="12">
        <v>3000</v>
      </c>
      <c r="O2405" s="12">
        <v>400</v>
      </c>
      <c r="P2405" s="12">
        <v>0.5</v>
      </c>
      <c r="Q2405" s="12">
        <v>0.85</v>
      </c>
      <c r="R2405" s="12">
        <v>0.75</v>
      </c>
      <c r="S2405" s="12">
        <v>0.85</v>
      </c>
      <c r="T2405" s="12">
        <v>0.75</v>
      </c>
      <c r="U2405" s="12">
        <v>0.9</v>
      </c>
      <c r="V2405" s="12">
        <v>290.64999999999998</v>
      </c>
      <c r="W2405" s="12">
        <v>8.3772690579772</v>
      </c>
      <c r="X2405" s="12">
        <v>24.529643972072328</v>
      </c>
      <c r="Y2405" s="12">
        <v>2600</v>
      </c>
      <c r="Z2405" s="12">
        <v>7.5</v>
      </c>
      <c r="AA2405" s="12"/>
      <c r="AB2405" s="12"/>
    </row>
    <row r="2406" spans="1:28" x14ac:dyDescent="0.3">
      <c r="A2406" s="12" t="s">
        <v>4320</v>
      </c>
      <c r="B2406" s="12" t="s">
        <v>180</v>
      </c>
      <c r="C2406" s="12" t="s">
        <v>180</v>
      </c>
      <c r="D2406" s="12" t="s">
        <v>181</v>
      </c>
      <c r="E2406" s="12" t="s">
        <v>1886</v>
      </c>
      <c r="F2406" s="12" t="s">
        <v>32</v>
      </c>
      <c r="G2406" s="12" t="s">
        <v>32</v>
      </c>
      <c r="H2406" s="12" t="b">
        <v>1</v>
      </c>
      <c r="I2406" s="12" t="b">
        <v>1</v>
      </c>
      <c r="J2406" s="12" t="b">
        <v>0</v>
      </c>
      <c r="K2406" s="12" t="b">
        <v>0</v>
      </c>
      <c r="L2406" s="12">
        <v>402.5</v>
      </c>
      <c r="M2406" s="12">
        <v>290.64999999999998</v>
      </c>
      <c r="N2406" s="12">
        <v>3000</v>
      </c>
      <c r="O2406" s="12">
        <v>400</v>
      </c>
      <c r="P2406" s="12">
        <v>0.5</v>
      </c>
      <c r="Q2406" s="12">
        <v>0.85</v>
      </c>
      <c r="R2406" s="12">
        <v>0.75</v>
      </c>
      <c r="S2406" s="12">
        <v>0.85</v>
      </c>
      <c r="T2406" s="12">
        <v>0.75</v>
      </c>
      <c r="U2406" s="12">
        <v>0.9</v>
      </c>
      <c r="V2406" s="12">
        <v>290.64999999999998</v>
      </c>
      <c r="W2406" s="12">
        <v>9.0967332955762306</v>
      </c>
      <c r="X2406" s="12">
        <v>29.50151486396636</v>
      </c>
      <c r="Y2406" s="12">
        <v>2600</v>
      </c>
      <c r="Z2406" s="12">
        <v>7.5</v>
      </c>
      <c r="AA2406" s="12"/>
      <c r="AB2406" s="12"/>
    </row>
    <row r="2407" spans="1:28" x14ac:dyDescent="0.3">
      <c r="A2407" s="12" t="s">
        <v>4321</v>
      </c>
      <c r="B2407" s="12" t="s">
        <v>180</v>
      </c>
      <c r="C2407" s="12" t="s">
        <v>180</v>
      </c>
      <c r="D2407" s="12" t="s">
        <v>181</v>
      </c>
      <c r="E2407" s="12" t="s">
        <v>1886</v>
      </c>
      <c r="F2407" s="12" t="s">
        <v>32</v>
      </c>
      <c r="G2407" s="12" t="s">
        <v>32</v>
      </c>
      <c r="H2407" s="12" t="b">
        <v>1</v>
      </c>
      <c r="I2407" s="12" t="b">
        <v>1</v>
      </c>
      <c r="J2407" s="12" t="b">
        <v>0</v>
      </c>
      <c r="K2407" s="12" t="b">
        <v>0</v>
      </c>
      <c r="L2407" s="12">
        <v>407.5</v>
      </c>
      <c r="M2407" s="12">
        <v>290.64999999999998</v>
      </c>
      <c r="N2407" s="12">
        <v>3000</v>
      </c>
      <c r="O2407" s="12">
        <v>400</v>
      </c>
      <c r="P2407" s="12">
        <v>0.5</v>
      </c>
      <c r="Q2407" s="12">
        <v>0.85</v>
      </c>
      <c r="R2407" s="12">
        <v>0.75</v>
      </c>
      <c r="S2407" s="12">
        <v>0.85</v>
      </c>
      <c r="T2407" s="12">
        <v>0.75</v>
      </c>
      <c r="U2407" s="12">
        <v>0.9</v>
      </c>
      <c r="V2407" s="12">
        <v>290.64999999999998</v>
      </c>
      <c r="W2407" s="12">
        <v>10.166969277917611</v>
      </c>
      <c r="X2407" s="12">
        <v>39.281863543016577</v>
      </c>
      <c r="Y2407" s="12">
        <v>2600</v>
      </c>
      <c r="Z2407" s="12">
        <v>7.5</v>
      </c>
      <c r="AA2407" s="12"/>
      <c r="AB2407" s="12"/>
    </row>
    <row r="2408" spans="1:28" x14ac:dyDescent="0.3">
      <c r="A2408" s="12" t="s">
        <v>4322</v>
      </c>
      <c r="B2408" s="12" t="s">
        <v>180</v>
      </c>
      <c r="C2408" s="12" t="s">
        <v>180</v>
      </c>
      <c r="D2408" s="12" t="s">
        <v>181</v>
      </c>
      <c r="E2408" s="12" t="s">
        <v>1886</v>
      </c>
      <c r="F2408" s="12" t="s">
        <v>32</v>
      </c>
      <c r="G2408" s="12" t="s">
        <v>32</v>
      </c>
      <c r="H2408" s="12" t="b">
        <v>1</v>
      </c>
      <c r="I2408" s="12" t="b">
        <v>1</v>
      </c>
      <c r="J2408" s="12" t="b">
        <v>0</v>
      </c>
      <c r="K2408" s="12" t="b">
        <v>0</v>
      </c>
      <c r="L2408" s="12">
        <v>405</v>
      </c>
      <c r="M2408" s="12">
        <v>290.64999999999998</v>
      </c>
      <c r="N2408" s="12">
        <v>3000</v>
      </c>
      <c r="O2408" s="12">
        <v>400</v>
      </c>
      <c r="P2408" s="12">
        <v>0.5</v>
      </c>
      <c r="Q2408" s="12">
        <v>0.85</v>
      </c>
      <c r="R2408" s="12">
        <v>0.75</v>
      </c>
      <c r="S2408" s="12">
        <v>0.85</v>
      </c>
      <c r="T2408" s="12">
        <v>0.75</v>
      </c>
      <c r="U2408" s="12">
        <v>0.9</v>
      </c>
      <c r="V2408" s="12">
        <v>290.64999999999998</v>
      </c>
      <c r="W2408" s="12">
        <v>9.6814272020524008</v>
      </c>
      <c r="X2408" s="12">
        <v>34.411646811336517</v>
      </c>
      <c r="Y2408" s="12">
        <v>2600</v>
      </c>
      <c r="Z2408" s="12">
        <v>7.5</v>
      </c>
      <c r="AA2408" s="12"/>
      <c r="AB2408" s="12"/>
    </row>
    <row r="2409" spans="1:28" x14ac:dyDescent="0.3">
      <c r="A2409" s="12" t="s">
        <v>4323</v>
      </c>
      <c r="B2409" s="12" t="s">
        <v>180</v>
      </c>
      <c r="C2409" s="12" t="s">
        <v>180</v>
      </c>
      <c r="D2409" s="12" t="s">
        <v>181</v>
      </c>
      <c r="E2409" s="12" t="s">
        <v>1886</v>
      </c>
      <c r="F2409" s="12" t="s">
        <v>32</v>
      </c>
      <c r="G2409" s="12" t="s">
        <v>32</v>
      </c>
      <c r="H2409" s="12" t="b">
        <v>1</v>
      </c>
      <c r="I2409" s="12" t="b">
        <v>1</v>
      </c>
      <c r="J2409" s="12" t="b">
        <v>0</v>
      </c>
      <c r="K2409" s="12" t="b">
        <v>0</v>
      </c>
      <c r="L2409" s="12">
        <v>410</v>
      </c>
      <c r="M2409" s="12">
        <v>290.64999999999998</v>
      </c>
      <c r="N2409" s="12">
        <v>3000</v>
      </c>
      <c r="O2409" s="12">
        <v>400</v>
      </c>
      <c r="P2409" s="12">
        <v>0.5</v>
      </c>
      <c r="Q2409" s="12">
        <v>0.85</v>
      </c>
      <c r="R2409" s="12">
        <v>0.75</v>
      </c>
      <c r="S2409" s="12">
        <v>0.85</v>
      </c>
      <c r="T2409" s="12">
        <v>0.75</v>
      </c>
      <c r="U2409" s="12">
        <v>0.9</v>
      </c>
      <c r="V2409" s="12">
        <v>290.64999999999998</v>
      </c>
      <c r="W2409" s="12">
        <v>10.57718772500044</v>
      </c>
      <c r="X2409" s="12">
        <v>44.13296432211532</v>
      </c>
      <c r="Y2409" s="12">
        <v>2600</v>
      </c>
      <c r="Z2409" s="12">
        <v>7.5</v>
      </c>
      <c r="AA2409" s="12"/>
      <c r="AB2409" s="12"/>
    </row>
    <row r="2410" spans="1:28" x14ac:dyDescent="0.3">
      <c r="A2410" s="12" t="s">
        <v>4324</v>
      </c>
      <c r="B2410" s="12" t="s">
        <v>180</v>
      </c>
      <c r="C2410" s="12" t="s">
        <v>180</v>
      </c>
      <c r="D2410" s="12" t="s">
        <v>181</v>
      </c>
      <c r="E2410" s="12" t="s">
        <v>1886</v>
      </c>
      <c r="F2410" s="12" t="s">
        <v>1863</v>
      </c>
      <c r="G2410" s="12" t="s">
        <v>832</v>
      </c>
      <c r="H2410" s="12" t="b">
        <v>0</v>
      </c>
      <c r="I2410" s="12" t="b">
        <v>0</v>
      </c>
      <c r="J2410" s="12" t="b">
        <v>0</v>
      </c>
      <c r="K2410" s="12" t="b">
        <v>0</v>
      </c>
      <c r="L2410" s="12">
        <v>385</v>
      </c>
      <c r="M2410" s="12">
        <v>290.64999999999998</v>
      </c>
      <c r="N2410" s="12">
        <v>3000</v>
      </c>
      <c r="O2410" s="12">
        <v>400</v>
      </c>
      <c r="P2410" s="12">
        <v>0.5</v>
      </c>
      <c r="Q2410" s="12">
        <v>0.85</v>
      </c>
      <c r="R2410" s="12">
        <v>0.75</v>
      </c>
      <c r="S2410" s="12">
        <v>0.85</v>
      </c>
      <c r="T2410" s="12">
        <v>0.75</v>
      </c>
      <c r="U2410" s="12">
        <v>0.92500000000000004</v>
      </c>
      <c r="V2410" s="12">
        <v>290.64999999999998</v>
      </c>
      <c r="W2410" s="12">
        <v>-16.768098465948679</v>
      </c>
      <c r="X2410" s="12">
        <v>-15.240039810636921</v>
      </c>
      <c r="Y2410" s="12">
        <v>2600</v>
      </c>
      <c r="Z2410" s="12">
        <v>7.5</v>
      </c>
      <c r="AA2410" s="12" t="s">
        <v>2846</v>
      </c>
      <c r="AB2410" s="12"/>
    </row>
    <row r="2411" spans="1:28" x14ac:dyDescent="0.3">
      <c r="A2411" s="12" t="s">
        <v>4325</v>
      </c>
      <c r="B2411" s="12" t="s">
        <v>180</v>
      </c>
      <c r="C2411" s="12" t="s">
        <v>180</v>
      </c>
      <c r="D2411" s="12" t="s">
        <v>181</v>
      </c>
      <c r="E2411" s="12" t="s">
        <v>1886</v>
      </c>
      <c r="F2411" s="12" t="s">
        <v>32</v>
      </c>
      <c r="G2411" s="12" t="s">
        <v>32</v>
      </c>
      <c r="H2411" s="12" t="b">
        <v>1</v>
      </c>
      <c r="I2411" s="12" t="b">
        <v>1</v>
      </c>
      <c r="J2411" s="12" t="b">
        <v>0</v>
      </c>
      <c r="K2411" s="12" t="b">
        <v>0</v>
      </c>
      <c r="L2411" s="12">
        <v>390</v>
      </c>
      <c r="M2411" s="12">
        <v>290.64999999999998</v>
      </c>
      <c r="N2411" s="12">
        <v>3000</v>
      </c>
      <c r="O2411" s="12">
        <v>400</v>
      </c>
      <c r="P2411" s="12">
        <v>0.5</v>
      </c>
      <c r="Q2411" s="12">
        <v>0.85</v>
      </c>
      <c r="R2411" s="12">
        <v>0.75</v>
      </c>
      <c r="S2411" s="12">
        <v>0.85</v>
      </c>
      <c r="T2411" s="12">
        <v>0.75</v>
      </c>
      <c r="U2411" s="12">
        <v>0.92500000000000004</v>
      </c>
      <c r="V2411" s="12">
        <v>290.64999999999998</v>
      </c>
      <c r="W2411" s="12">
        <v>2.1749310151655998</v>
      </c>
      <c r="X2411" s="12">
        <v>3.4901433819236209</v>
      </c>
      <c r="Y2411" s="12">
        <v>2600</v>
      </c>
      <c r="Z2411" s="12">
        <v>7.5</v>
      </c>
      <c r="AA2411" s="12"/>
      <c r="AB2411" s="12"/>
    </row>
    <row r="2412" spans="1:28" x14ac:dyDescent="0.3">
      <c r="A2412" s="12" t="s">
        <v>4326</v>
      </c>
      <c r="B2412" s="12" t="s">
        <v>180</v>
      </c>
      <c r="C2412" s="12" t="s">
        <v>180</v>
      </c>
      <c r="D2412" s="12" t="s">
        <v>181</v>
      </c>
      <c r="E2412" s="12" t="s">
        <v>1886</v>
      </c>
      <c r="F2412" s="12" t="s">
        <v>1862</v>
      </c>
      <c r="G2412" s="12" t="s">
        <v>1862</v>
      </c>
      <c r="H2412" s="12" t="b">
        <v>1</v>
      </c>
      <c r="I2412" s="12" t="b">
        <v>0</v>
      </c>
      <c r="J2412" s="12" t="b">
        <v>0</v>
      </c>
      <c r="K2412" s="12" t="b">
        <v>0</v>
      </c>
      <c r="L2412" s="12">
        <v>387.5</v>
      </c>
      <c r="M2412" s="12">
        <v>290.64999999999998</v>
      </c>
      <c r="N2412" s="12">
        <v>3000</v>
      </c>
      <c r="O2412" s="12">
        <v>400</v>
      </c>
      <c r="P2412" s="12">
        <v>0.5</v>
      </c>
      <c r="Q2412" s="12">
        <v>0.85</v>
      </c>
      <c r="R2412" s="12">
        <v>0.75</v>
      </c>
      <c r="S2412" s="12">
        <v>0.85</v>
      </c>
      <c r="T2412" s="12">
        <v>0.75</v>
      </c>
      <c r="U2412" s="12">
        <v>0.92500000000000004</v>
      </c>
      <c r="V2412" s="12">
        <v>290.64999999999998</v>
      </c>
      <c r="W2412" s="12">
        <v>-1.77494262001425</v>
      </c>
      <c r="X2412" s="12">
        <v>-2.1980423986060829</v>
      </c>
      <c r="Y2412" s="12">
        <v>2600</v>
      </c>
      <c r="Z2412" s="12">
        <v>7.5</v>
      </c>
      <c r="AA2412" s="12" t="s">
        <v>1696</v>
      </c>
      <c r="AB2412" s="12"/>
    </row>
    <row r="2413" spans="1:28" x14ac:dyDescent="0.3">
      <c r="A2413" s="12" t="s">
        <v>4327</v>
      </c>
      <c r="B2413" s="12" t="s">
        <v>180</v>
      </c>
      <c r="C2413" s="12" t="s">
        <v>180</v>
      </c>
      <c r="D2413" s="12" t="s">
        <v>181</v>
      </c>
      <c r="E2413" s="12" t="s">
        <v>1886</v>
      </c>
      <c r="F2413" s="12" t="s">
        <v>32</v>
      </c>
      <c r="G2413" s="12" t="s">
        <v>32</v>
      </c>
      <c r="H2413" s="12" t="b">
        <v>1</v>
      </c>
      <c r="I2413" s="12" t="b">
        <v>1</v>
      </c>
      <c r="J2413" s="12" t="b">
        <v>0</v>
      </c>
      <c r="K2413" s="12" t="b">
        <v>0</v>
      </c>
      <c r="L2413" s="12">
        <v>397.5</v>
      </c>
      <c r="M2413" s="12">
        <v>290.64999999999998</v>
      </c>
      <c r="N2413" s="12">
        <v>3000</v>
      </c>
      <c r="O2413" s="12">
        <v>400</v>
      </c>
      <c r="P2413" s="12">
        <v>0.5</v>
      </c>
      <c r="Q2413" s="12">
        <v>0.85</v>
      </c>
      <c r="R2413" s="12">
        <v>0.75</v>
      </c>
      <c r="S2413" s="12">
        <v>0.85</v>
      </c>
      <c r="T2413" s="12">
        <v>0.75</v>
      </c>
      <c r="U2413" s="12">
        <v>0.92500000000000004</v>
      </c>
      <c r="V2413" s="12">
        <v>290.64999999999998</v>
      </c>
      <c r="W2413" s="12">
        <v>7.3931365418405006</v>
      </c>
      <c r="X2413" s="12">
        <v>19.425561795238199</v>
      </c>
      <c r="Y2413" s="12">
        <v>2600</v>
      </c>
      <c r="Z2413" s="12">
        <v>7.5</v>
      </c>
      <c r="AA2413" s="12"/>
      <c r="AB2413" s="12"/>
    </row>
    <row r="2414" spans="1:28" x14ac:dyDescent="0.3">
      <c r="A2414" s="12" t="s">
        <v>4328</v>
      </c>
      <c r="B2414" s="12" t="s">
        <v>180</v>
      </c>
      <c r="C2414" s="12" t="s">
        <v>180</v>
      </c>
      <c r="D2414" s="12" t="s">
        <v>181</v>
      </c>
      <c r="E2414" s="12" t="s">
        <v>1886</v>
      </c>
      <c r="F2414" s="12" t="s">
        <v>32</v>
      </c>
      <c r="G2414" s="12" t="s">
        <v>32</v>
      </c>
      <c r="H2414" s="12" t="b">
        <v>1</v>
      </c>
      <c r="I2414" s="12" t="b">
        <v>1</v>
      </c>
      <c r="J2414" s="12" t="b">
        <v>0</v>
      </c>
      <c r="K2414" s="12" t="b">
        <v>0</v>
      </c>
      <c r="L2414" s="12">
        <v>395</v>
      </c>
      <c r="M2414" s="12">
        <v>290.64999999999998</v>
      </c>
      <c r="N2414" s="12">
        <v>3000</v>
      </c>
      <c r="O2414" s="12">
        <v>400</v>
      </c>
      <c r="P2414" s="12">
        <v>0.5</v>
      </c>
      <c r="Q2414" s="12">
        <v>0.85</v>
      </c>
      <c r="R2414" s="12">
        <v>0.75</v>
      </c>
      <c r="S2414" s="12">
        <v>0.85</v>
      </c>
      <c r="T2414" s="12">
        <v>0.75</v>
      </c>
      <c r="U2414" s="12">
        <v>0.92500000000000004</v>
      </c>
      <c r="V2414" s="12">
        <v>290.64999999999998</v>
      </c>
      <c r="W2414" s="12">
        <v>6.2112388471587696</v>
      </c>
      <c r="X2414" s="12">
        <v>14.265296361736469</v>
      </c>
      <c r="Y2414" s="12">
        <v>2600</v>
      </c>
      <c r="Z2414" s="12">
        <v>7.5</v>
      </c>
      <c r="AA2414" s="12"/>
      <c r="AB2414" s="12"/>
    </row>
    <row r="2415" spans="1:28" x14ac:dyDescent="0.3">
      <c r="A2415" s="12" t="s">
        <v>4329</v>
      </c>
      <c r="B2415" s="12" t="s">
        <v>180</v>
      </c>
      <c r="C2415" s="12" t="s">
        <v>180</v>
      </c>
      <c r="D2415" s="12" t="s">
        <v>181</v>
      </c>
      <c r="E2415" s="12" t="s">
        <v>1886</v>
      </c>
      <c r="F2415" s="12" t="s">
        <v>32</v>
      </c>
      <c r="G2415" s="12" t="s">
        <v>32</v>
      </c>
      <c r="H2415" s="12" t="b">
        <v>1</v>
      </c>
      <c r="I2415" s="12" t="b">
        <v>1</v>
      </c>
      <c r="J2415" s="12" t="b">
        <v>0</v>
      </c>
      <c r="K2415" s="12" t="b">
        <v>0</v>
      </c>
      <c r="L2415" s="12">
        <v>392.5</v>
      </c>
      <c r="M2415" s="12">
        <v>290.64999999999998</v>
      </c>
      <c r="N2415" s="12">
        <v>3000</v>
      </c>
      <c r="O2415" s="12">
        <v>400</v>
      </c>
      <c r="P2415" s="12">
        <v>0.5</v>
      </c>
      <c r="Q2415" s="12">
        <v>0.85</v>
      </c>
      <c r="R2415" s="12">
        <v>0.75</v>
      </c>
      <c r="S2415" s="12">
        <v>0.85</v>
      </c>
      <c r="T2415" s="12">
        <v>0.75</v>
      </c>
      <c r="U2415" s="12">
        <v>0.92500000000000004</v>
      </c>
      <c r="V2415" s="12">
        <v>290.64999999999998</v>
      </c>
      <c r="W2415" s="12">
        <v>4.5818623676494301</v>
      </c>
      <c r="X2415" s="12">
        <v>8.9646884353256393</v>
      </c>
      <c r="Y2415" s="12">
        <v>2600</v>
      </c>
      <c r="Z2415" s="12">
        <v>7.5</v>
      </c>
      <c r="AA2415" s="12"/>
      <c r="AB2415" s="12"/>
    </row>
    <row r="2416" spans="1:28" x14ac:dyDescent="0.3">
      <c r="A2416" s="12" t="s">
        <v>4330</v>
      </c>
      <c r="B2416" s="12" t="s">
        <v>180</v>
      </c>
      <c r="C2416" s="12" t="s">
        <v>180</v>
      </c>
      <c r="D2416" s="12" t="s">
        <v>181</v>
      </c>
      <c r="E2416" s="12" t="s">
        <v>1886</v>
      </c>
      <c r="F2416" s="12" t="s">
        <v>32</v>
      </c>
      <c r="G2416" s="12" t="s">
        <v>32</v>
      </c>
      <c r="H2416" s="12" t="b">
        <v>1</v>
      </c>
      <c r="I2416" s="12" t="b">
        <v>1</v>
      </c>
      <c r="J2416" s="12" t="b">
        <v>0</v>
      </c>
      <c r="K2416" s="12" t="b">
        <v>0</v>
      </c>
      <c r="L2416" s="12">
        <v>400</v>
      </c>
      <c r="M2416" s="12">
        <v>290.64999999999998</v>
      </c>
      <c r="N2416" s="12">
        <v>3000</v>
      </c>
      <c r="O2416" s="12">
        <v>400</v>
      </c>
      <c r="P2416" s="12">
        <v>0.5</v>
      </c>
      <c r="Q2416" s="12">
        <v>0.85</v>
      </c>
      <c r="R2416" s="12">
        <v>0.75</v>
      </c>
      <c r="S2416" s="12">
        <v>0.85</v>
      </c>
      <c r="T2416" s="12">
        <v>0.75</v>
      </c>
      <c r="U2416" s="12">
        <v>0.92500000000000004</v>
      </c>
      <c r="V2416" s="12">
        <v>290.64999999999998</v>
      </c>
      <c r="W2416" s="12">
        <v>8.2932359636886002</v>
      </c>
      <c r="X2416" s="12">
        <v>24.474559245684361</v>
      </c>
      <c r="Y2416" s="12">
        <v>2600</v>
      </c>
      <c r="Z2416" s="12">
        <v>7.5</v>
      </c>
      <c r="AA2416" s="12"/>
      <c r="AB2416" s="12"/>
    </row>
    <row r="2417" spans="1:28" x14ac:dyDescent="0.3">
      <c r="A2417" s="12" t="s">
        <v>4331</v>
      </c>
      <c r="B2417" s="12" t="s">
        <v>180</v>
      </c>
      <c r="C2417" s="12" t="s">
        <v>180</v>
      </c>
      <c r="D2417" s="12" t="s">
        <v>181</v>
      </c>
      <c r="E2417" s="12" t="s">
        <v>1886</v>
      </c>
      <c r="F2417" s="12" t="s">
        <v>32</v>
      </c>
      <c r="G2417" s="12" t="s">
        <v>32</v>
      </c>
      <c r="H2417" s="12" t="b">
        <v>1</v>
      </c>
      <c r="I2417" s="12" t="b">
        <v>1</v>
      </c>
      <c r="J2417" s="12" t="b">
        <v>0</v>
      </c>
      <c r="K2417" s="12" t="b">
        <v>0</v>
      </c>
      <c r="L2417" s="12">
        <v>405</v>
      </c>
      <c r="M2417" s="12">
        <v>290.64999999999998</v>
      </c>
      <c r="N2417" s="12">
        <v>3000</v>
      </c>
      <c r="O2417" s="12">
        <v>400</v>
      </c>
      <c r="P2417" s="12">
        <v>0.5</v>
      </c>
      <c r="Q2417" s="12">
        <v>0.85</v>
      </c>
      <c r="R2417" s="12">
        <v>0.75</v>
      </c>
      <c r="S2417" s="12">
        <v>0.85</v>
      </c>
      <c r="T2417" s="12">
        <v>0.75</v>
      </c>
      <c r="U2417" s="12">
        <v>0.92500000000000004</v>
      </c>
      <c r="V2417" s="12">
        <v>290.64999999999998</v>
      </c>
      <c r="W2417" s="12">
        <v>9.5804776017444908</v>
      </c>
      <c r="X2417" s="12">
        <v>34.339509771766657</v>
      </c>
      <c r="Y2417" s="12">
        <v>2600</v>
      </c>
      <c r="Z2417" s="12">
        <v>7.5</v>
      </c>
      <c r="AA2417" s="12"/>
      <c r="AB2417" s="12"/>
    </row>
    <row r="2418" spans="1:28" x14ac:dyDescent="0.3">
      <c r="A2418" s="12" t="s">
        <v>4332</v>
      </c>
      <c r="B2418" s="12" t="s">
        <v>180</v>
      </c>
      <c r="C2418" s="12" t="s">
        <v>180</v>
      </c>
      <c r="D2418" s="12" t="s">
        <v>181</v>
      </c>
      <c r="E2418" s="12" t="s">
        <v>1886</v>
      </c>
      <c r="F2418" s="12" t="s">
        <v>32</v>
      </c>
      <c r="G2418" s="12" t="s">
        <v>32</v>
      </c>
      <c r="H2418" s="12" t="b">
        <v>1</v>
      </c>
      <c r="I2418" s="12" t="b">
        <v>1</v>
      </c>
      <c r="J2418" s="12" t="b">
        <v>0</v>
      </c>
      <c r="K2418" s="12" t="b">
        <v>0</v>
      </c>
      <c r="L2418" s="12">
        <v>402.5</v>
      </c>
      <c r="M2418" s="12">
        <v>290.64999999999998</v>
      </c>
      <c r="N2418" s="12">
        <v>3000</v>
      </c>
      <c r="O2418" s="12">
        <v>400</v>
      </c>
      <c r="P2418" s="12">
        <v>0.5</v>
      </c>
      <c r="Q2418" s="12">
        <v>0.85</v>
      </c>
      <c r="R2418" s="12">
        <v>0.75</v>
      </c>
      <c r="S2418" s="12">
        <v>0.85</v>
      </c>
      <c r="T2418" s="12">
        <v>0.75</v>
      </c>
      <c r="U2418" s="12">
        <v>0.92500000000000004</v>
      </c>
      <c r="V2418" s="12">
        <v>290.64999999999998</v>
      </c>
      <c r="W2418" s="12">
        <v>9.0038402346567903</v>
      </c>
      <c r="X2418" s="12">
        <v>29.438064854857391</v>
      </c>
      <c r="Y2418" s="12">
        <v>2600</v>
      </c>
      <c r="Z2418" s="12">
        <v>7.5</v>
      </c>
      <c r="AA2418" s="12"/>
      <c r="AB2418" s="12"/>
    </row>
    <row r="2419" spans="1:28" x14ac:dyDescent="0.3">
      <c r="A2419" s="12" t="s">
        <v>4333</v>
      </c>
      <c r="B2419" s="12" t="s">
        <v>180</v>
      </c>
      <c r="C2419" s="12" t="s">
        <v>180</v>
      </c>
      <c r="D2419" s="12" t="s">
        <v>181</v>
      </c>
      <c r="E2419" s="12" t="s">
        <v>1886</v>
      </c>
      <c r="F2419" s="12" t="s">
        <v>32</v>
      </c>
      <c r="G2419" s="12" t="s">
        <v>32</v>
      </c>
      <c r="H2419" s="12" t="b">
        <v>1</v>
      </c>
      <c r="I2419" s="12" t="b">
        <v>1</v>
      </c>
      <c r="J2419" s="12" t="b">
        <v>0</v>
      </c>
      <c r="K2419" s="12" t="b">
        <v>0</v>
      </c>
      <c r="L2419" s="12">
        <v>407.5</v>
      </c>
      <c r="M2419" s="12">
        <v>290.64999999999998</v>
      </c>
      <c r="N2419" s="12">
        <v>3000</v>
      </c>
      <c r="O2419" s="12">
        <v>400</v>
      </c>
      <c r="P2419" s="12">
        <v>0.5</v>
      </c>
      <c r="Q2419" s="12">
        <v>0.85</v>
      </c>
      <c r="R2419" s="12">
        <v>0.75</v>
      </c>
      <c r="S2419" s="12">
        <v>0.85</v>
      </c>
      <c r="T2419" s="12">
        <v>0.75</v>
      </c>
      <c r="U2419" s="12">
        <v>0.92500000000000004</v>
      </c>
      <c r="V2419" s="12">
        <v>290.64999999999998</v>
      </c>
      <c r="W2419" s="12">
        <v>10.058567220805569</v>
      </c>
      <c r="X2419" s="12">
        <v>39.200697994687388</v>
      </c>
      <c r="Y2419" s="12">
        <v>2600</v>
      </c>
      <c r="Z2419" s="12">
        <v>7.5</v>
      </c>
      <c r="AA2419" s="12"/>
      <c r="AB2419" s="12"/>
    </row>
    <row r="2420" spans="1:28" x14ac:dyDescent="0.3">
      <c r="A2420" s="12" t="s">
        <v>4334</v>
      </c>
      <c r="B2420" s="12" t="s">
        <v>180</v>
      </c>
      <c r="C2420" s="12" t="s">
        <v>180</v>
      </c>
      <c r="D2420" s="12" t="s">
        <v>181</v>
      </c>
      <c r="E2420" s="12" t="s">
        <v>1886</v>
      </c>
      <c r="F2420" s="12" t="s">
        <v>32</v>
      </c>
      <c r="G2420" s="12" t="s">
        <v>32</v>
      </c>
      <c r="H2420" s="12" t="b">
        <v>1</v>
      </c>
      <c r="I2420" s="12" t="b">
        <v>1</v>
      </c>
      <c r="J2420" s="12" t="b">
        <v>0</v>
      </c>
      <c r="K2420" s="12" t="b">
        <v>0</v>
      </c>
      <c r="L2420" s="12">
        <v>410</v>
      </c>
      <c r="M2420" s="12">
        <v>290.64999999999998</v>
      </c>
      <c r="N2420" s="12">
        <v>3000</v>
      </c>
      <c r="O2420" s="12">
        <v>400</v>
      </c>
      <c r="P2420" s="12">
        <v>0.5</v>
      </c>
      <c r="Q2420" s="12">
        <v>0.85</v>
      </c>
      <c r="R2420" s="12">
        <v>0.75</v>
      </c>
      <c r="S2420" s="12">
        <v>0.85</v>
      </c>
      <c r="T2420" s="12">
        <v>0.75</v>
      </c>
      <c r="U2420" s="12">
        <v>0.92500000000000004</v>
      </c>
      <c r="V2420" s="12">
        <v>290.64999999999998</v>
      </c>
      <c r="W2420" s="12">
        <v>10.461798302806461</v>
      </c>
      <c r="X2420" s="12">
        <v>44.042399351764892</v>
      </c>
      <c r="Y2420" s="12">
        <v>2600</v>
      </c>
      <c r="Z2420" s="12">
        <v>7.5</v>
      </c>
      <c r="AA2420" s="12"/>
      <c r="AB2420" s="12"/>
    </row>
    <row r="2421" spans="1:28" x14ac:dyDescent="0.3">
      <c r="A2421" s="12" t="s">
        <v>4335</v>
      </c>
      <c r="B2421" s="12" t="s">
        <v>180</v>
      </c>
      <c r="C2421" s="12" t="s">
        <v>180</v>
      </c>
      <c r="D2421" s="12" t="s">
        <v>181</v>
      </c>
      <c r="E2421" s="12" t="s">
        <v>1886</v>
      </c>
      <c r="F2421" s="12" t="s">
        <v>1862</v>
      </c>
      <c r="G2421" s="12" t="s">
        <v>1862</v>
      </c>
      <c r="H2421" s="12" t="b">
        <v>1</v>
      </c>
      <c r="I2421" s="12" t="b">
        <v>0</v>
      </c>
      <c r="J2421" s="12" t="b">
        <v>0</v>
      </c>
      <c r="K2421" s="12" t="b">
        <v>0</v>
      </c>
      <c r="L2421" s="12">
        <v>387.5</v>
      </c>
      <c r="M2421" s="12">
        <v>290.64999999999998</v>
      </c>
      <c r="N2421" s="12">
        <v>3000</v>
      </c>
      <c r="O2421" s="12">
        <v>400</v>
      </c>
      <c r="P2421" s="12">
        <v>0.5</v>
      </c>
      <c r="Q2421" s="12">
        <v>0.85</v>
      </c>
      <c r="R2421" s="12">
        <v>0.75</v>
      </c>
      <c r="S2421" s="12">
        <v>0.85</v>
      </c>
      <c r="T2421" s="12">
        <v>0.75</v>
      </c>
      <c r="U2421" s="12">
        <v>0.95</v>
      </c>
      <c r="V2421" s="12">
        <v>290.64999999999998</v>
      </c>
      <c r="W2421" s="12">
        <v>-1.7781982732741</v>
      </c>
      <c r="X2421" s="12">
        <v>-2.2157848194283498</v>
      </c>
      <c r="Y2421" s="12">
        <v>2600</v>
      </c>
      <c r="Z2421" s="12">
        <v>7.5</v>
      </c>
      <c r="AA2421" s="12" t="s">
        <v>1696</v>
      </c>
      <c r="AB2421" s="12"/>
    </row>
    <row r="2422" spans="1:28" x14ac:dyDescent="0.3">
      <c r="A2422" s="12" t="s">
        <v>4336</v>
      </c>
      <c r="B2422" s="12" t="s">
        <v>180</v>
      </c>
      <c r="C2422" s="12" t="s">
        <v>180</v>
      </c>
      <c r="D2422" s="12" t="s">
        <v>181</v>
      </c>
      <c r="E2422" s="12" t="s">
        <v>1886</v>
      </c>
      <c r="F2422" s="12" t="s">
        <v>32</v>
      </c>
      <c r="G2422" s="12" t="s">
        <v>32</v>
      </c>
      <c r="H2422" s="12" t="b">
        <v>1</v>
      </c>
      <c r="I2422" s="12" t="b">
        <v>1</v>
      </c>
      <c r="J2422" s="12" t="b">
        <v>0</v>
      </c>
      <c r="K2422" s="12" t="b">
        <v>0</v>
      </c>
      <c r="L2422" s="12">
        <v>390</v>
      </c>
      <c r="M2422" s="12">
        <v>290.64999999999998</v>
      </c>
      <c r="N2422" s="12">
        <v>3000</v>
      </c>
      <c r="O2422" s="12">
        <v>400</v>
      </c>
      <c r="P2422" s="12">
        <v>0.5</v>
      </c>
      <c r="Q2422" s="12">
        <v>0.85</v>
      </c>
      <c r="R2422" s="12">
        <v>0.75</v>
      </c>
      <c r="S2422" s="12">
        <v>0.85</v>
      </c>
      <c r="T2422" s="12">
        <v>0.75</v>
      </c>
      <c r="U2422" s="12">
        <v>0.95</v>
      </c>
      <c r="V2422" s="12">
        <v>290.64999999999998</v>
      </c>
      <c r="W2422" s="12">
        <v>2.1461418345076702</v>
      </c>
      <c r="X2422" s="12">
        <v>3.466109107623113</v>
      </c>
      <c r="Y2422" s="12">
        <v>2600</v>
      </c>
      <c r="Z2422" s="12">
        <v>7.5</v>
      </c>
      <c r="AA2422" s="12"/>
      <c r="AB2422" s="12"/>
    </row>
    <row r="2423" spans="1:28" x14ac:dyDescent="0.3">
      <c r="A2423" s="12" t="s">
        <v>4337</v>
      </c>
      <c r="B2423" s="12" t="s">
        <v>180</v>
      </c>
      <c r="C2423" s="12" t="s">
        <v>180</v>
      </c>
      <c r="D2423" s="12" t="s">
        <v>181</v>
      </c>
      <c r="E2423" s="12" t="s">
        <v>1886</v>
      </c>
      <c r="F2423" s="12" t="s">
        <v>1863</v>
      </c>
      <c r="G2423" s="12" t="s">
        <v>832</v>
      </c>
      <c r="H2423" s="12" t="b">
        <v>0</v>
      </c>
      <c r="I2423" s="12" t="b">
        <v>0</v>
      </c>
      <c r="J2423" s="12" t="b">
        <v>0</v>
      </c>
      <c r="K2423" s="12" t="b">
        <v>0</v>
      </c>
      <c r="L2423" s="12">
        <v>385</v>
      </c>
      <c r="M2423" s="12">
        <v>290.64999999999998</v>
      </c>
      <c r="N2423" s="12">
        <v>3000</v>
      </c>
      <c r="O2423" s="12">
        <v>400</v>
      </c>
      <c r="P2423" s="12">
        <v>0.5</v>
      </c>
      <c r="Q2423" s="12">
        <v>0.85</v>
      </c>
      <c r="R2423" s="12">
        <v>0.75</v>
      </c>
      <c r="S2423" s="12">
        <v>0.85</v>
      </c>
      <c r="T2423" s="12">
        <v>0.75</v>
      </c>
      <c r="U2423" s="12">
        <v>0.95</v>
      </c>
      <c r="V2423" s="12">
        <v>290.64999999999998</v>
      </c>
      <c r="W2423" s="12">
        <v>-16.748716708665231</v>
      </c>
      <c r="X2423" s="12">
        <v>-15.26800305231027</v>
      </c>
      <c r="Y2423" s="12">
        <v>2600</v>
      </c>
      <c r="Z2423" s="12">
        <v>7.5</v>
      </c>
      <c r="AA2423" s="12" t="s">
        <v>2846</v>
      </c>
      <c r="AB2423" s="12"/>
    </row>
    <row r="2424" spans="1:28" x14ac:dyDescent="0.3">
      <c r="A2424" s="12" t="s">
        <v>4338</v>
      </c>
      <c r="B2424" s="12" t="s">
        <v>180</v>
      </c>
      <c r="C2424" s="12" t="s">
        <v>180</v>
      </c>
      <c r="D2424" s="12" t="s">
        <v>181</v>
      </c>
      <c r="E2424" s="12" t="s">
        <v>1886</v>
      </c>
      <c r="F2424" s="12" t="s">
        <v>32</v>
      </c>
      <c r="G2424" s="12" t="s">
        <v>32</v>
      </c>
      <c r="H2424" s="12" t="b">
        <v>1</v>
      </c>
      <c r="I2424" s="12" t="b">
        <v>1</v>
      </c>
      <c r="J2424" s="12" t="b">
        <v>0</v>
      </c>
      <c r="K2424" s="12" t="b">
        <v>0</v>
      </c>
      <c r="L2424" s="12">
        <v>392.5</v>
      </c>
      <c r="M2424" s="12">
        <v>290.64999999999998</v>
      </c>
      <c r="N2424" s="12">
        <v>3000</v>
      </c>
      <c r="O2424" s="12">
        <v>400</v>
      </c>
      <c r="P2424" s="12">
        <v>0.5</v>
      </c>
      <c r="Q2424" s="12">
        <v>0.85</v>
      </c>
      <c r="R2424" s="12">
        <v>0.75</v>
      </c>
      <c r="S2424" s="12">
        <v>0.85</v>
      </c>
      <c r="T2424" s="12">
        <v>0.75</v>
      </c>
      <c r="U2424" s="12">
        <v>0.95</v>
      </c>
      <c r="V2424" s="12">
        <v>290.64999999999998</v>
      </c>
      <c r="W2424" s="12">
        <v>4.5357834723513486</v>
      </c>
      <c r="X2424" s="12">
        <v>8.9339294355282028</v>
      </c>
      <c r="Y2424" s="12">
        <v>2600</v>
      </c>
      <c r="Z2424" s="12">
        <v>7.5</v>
      </c>
      <c r="AA2424" s="12"/>
      <c r="AB2424" s="12"/>
    </row>
    <row r="2425" spans="1:28" x14ac:dyDescent="0.3">
      <c r="A2425" s="12" t="s">
        <v>4339</v>
      </c>
      <c r="B2425" s="12" t="s">
        <v>180</v>
      </c>
      <c r="C2425" s="12" t="s">
        <v>180</v>
      </c>
      <c r="D2425" s="12" t="s">
        <v>181</v>
      </c>
      <c r="E2425" s="12" t="s">
        <v>1886</v>
      </c>
      <c r="F2425" s="12" t="s">
        <v>32</v>
      </c>
      <c r="G2425" s="12" t="s">
        <v>32</v>
      </c>
      <c r="H2425" s="12" t="b">
        <v>1</v>
      </c>
      <c r="I2425" s="12" t="b">
        <v>1</v>
      </c>
      <c r="J2425" s="12" t="b">
        <v>0</v>
      </c>
      <c r="K2425" s="12" t="b">
        <v>0</v>
      </c>
      <c r="L2425" s="12">
        <v>395</v>
      </c>
      <c r="M2425" s="12">
        <v>290.64999999999998</v>
      </c>
      <c r="N2425" s="12">
        <v>3000</v>
      </c>
      <c r="O2425" s="12">
        <v>400</v>
      </c>
      <c r="P2425" s="12">
        <v>0.5</v>
      </c>
      <c r="Q2425" s="12">
        <v>0.85</v>
      </c>
      <c r="R2425" s="12">
        <v>0.75</v>
      </c>
      <c r="S2425" s="12">
        <v>0.85</v>
      </c>
      <c r="T2425" s="12">
        <v>0.75</v>
      </c>
      <c r="U2425" s="12">
        <v>0.95</v>
      </c>
      <c r="V2425" s="12">
        <v>290.64999999999998</v>
      </c>
      <c r="W2425" s="12">
        <v>6.15189984360015</v>
      </c>
      <c r="X2425" s="12">
        <v>14.227431111630469</v>
      </c>
      <c r="Y2425" s="12">
        <v>2600</v>
      </c>
      <c r="Z2425" s="12">
        <v>7.5</v>
      </c>
      <c r="AA2425" s="12"/>
      <c r="AB2425" s="12"/>
    </row>
    <row r="2426" spans="1:28" x14ac:dyDescent="0.3">
      <c r="A2426" s="12" t="s">
        <v>4340</v>
      </c>
      <c r="B2426" s="12" t="s">
        <v>180</v>
      </c>
      <c r="C2426" s="12" t="s">
        <v>180</v>
      </c>
      <c r="D2426" s="12" t="s">
        <v>181</v>
      </c>
      <c r="E2426" s="12" t="s">
        <v>1886</v>
      </c>
      <c r="F2426" s="12" t="s">
        <v>32</v>
      </c>
      <c r="G2426" s="12" t="s">
        <v>32</v>
      </c>
      <c r="H2426" s="12" t="b">
        <v>1</v>
      </c>
      <c r="I2426" s="12" t="b">
        <v>1</v>
      </c>
      <c r="J2426" s="12" t="b">
        <v>0</v>
      </c>
      <c r="K2426" s="12" t="b">
        <v>0</v>
      </c>
      <c r="L2426" s="12">
        <v>397.5</v>
      </c>
      <c r="M2426" s="12">
        <v>290.64999999999998</v>
      </c>
      <c r="N2426" s="12">
        <v>3000</v>
      </c>
      <c r="O2426" s="12">
        <v>400</v>
      </c>
      <c r="P2426" s="12">
        <v>0.5</v>
      </c>
      <c r="Q2426" s="12">
        <v>0.85</v>
      </c>
      <c r="R2426" s="12">
        <v>0.75</v>
      </c>
      <c r="S2426" s="12">
        <v>0.85</v>
      </c>
      <c r="T2426" s="12">
        <v>0.75</v>
      </c>
      <c r="U2426" s="12">
        <v>0.95</v>
      </c>
      <c r="V2426" s="12">
        <v>290.64999999999998</v>
      </c>
      <c r="W2426" s="12">
        <v>7.3228529463474894</v>
      </c>
      <c r="X2426" s="12">
        <v>19.380236928654409</v>
      </c>
      <c r="Y2426" s="12">
        <v>2600</v>
      </c>
      <c r="Z2426" s="12">
        <v>7.5</v>
      </c>
      <c r="AA2426" s="12"/>
      <c r="AB2426" s="12"/>
    </row>
    <row r="2427" spans="1:28" x14ac:dyDescent="0.3">
      <c r="A2427" s="12" t="s">
        <v>4341</v>
      </c>
      <c r="B2427" s="12" t="s">
        <v>180</v>
      </c>
      <c r="C2427" s="12" t="s">
        <v>180</v>
      </c>
      <c r="D2427" s="12" t="s">
        <v>181</v>
      </c>
      <c r="E2427" s="12" t="s">
        <v>1886</v>
      </c>
      <c r="F2427" s="12" t="s">
        <v>32</v>
      </c>
      <c r="G2427" s="12" t="s">
        <v>32</v>
      </c>
      <c r="H2427" s="12" t="b">
        <v>1</v>
      </c>
      <c r="I2427" s="12" t="b">
        <v>1</v>
      </c>
      <c r="J2427" s="12" t="b">
        <v>0</v>
      </c>
      <c r="K2427" s="12" t="b">
        <v>0</v>
      </c>
      <c r="L2427" s="12">
        <v>400</v>
      </c>
      <c r="M2427" s="12">
        <v>290.64999999999998</v>
      </c>
      <c r="N2427" s="12">
        <v>3000</v>
      </c>
      <c r="O2427" s="12">
        <v>400</v>
      </c>
      <c r="P2427" s="12">
        <v>0.5</v>
      </c>
      <c r="Q2427" s="12">
        <v>0.85</v>
      </c>
      <c r="R2427" s="12">
        <v>0.75</v>
      </c>
      <c r="S2427" s="12">
        <v>0.85</v>
      </c>
      <c r="T2427" s="12">
        <v>0.75</v>
      </c>
      <c r="U2427" s="12">
        <v>0.95</v>
      </c>
      <c r="V2427" s="12">
        <v>290.64999999999998</v>
      </c>
      <c r="W2427" s="12">
        <v>8.2134952215664203</v>
      </c>
      <c r="X2427" s="12">
        <v>24.42144211059545</v>
      </c>
      <c r="Y2427" s="12">
        <v>2600</v>
      </c>
      <c r="Z2427" s="12">
        <v>7.5</v>
      </c>
      <c r="AA2427" s="12"/>
      <c r="AB2427" s="12"/>
    </row>
    <row r="2428" spans="1:28" x14ac:dyDescent="0.3">
      <c r="A2428" s="12" t="s">
        <v>4342</v>
      </c>
      <c r="B2428" s="12" t="s">
        <v>180</v>
      </c>
      <c r="C2428" s="12" t="s">
        <v>180</v>
      </c>
      <c r="D2428" s="12" t="s">
        <v>181</v>
      </c>
      <c r="E2428" s="12" t="s">
        <v>1886</v>
      </c>
      <c r="F2428" s="12" t="s">
        <v>32</v>
      </c>
      <c r="G2428" s="12" t="s">
        <v>32</v>
      </c>
      <c r="H2428" s="12" t="b">
        <v>1</v>
      </c>
      <c r="I2428" s="12" t="b">
        <v>1</v>
      </c>
      <c r="J2428" s="12" t="b">
        <v>0</v>
      </c>
      <c r="K2428" s="12" t="b">
        <v>0</v>
      </c>
      <c r="L2428" s="12">
        <v>405</v>
      </c>
      <c r="M2428" s="12">
        <v>290.64999999999998</v>
      </c>
      <c r="N2428" s="12">
        <v>3000</v>
      </c>
      <c r="O2428" s="12">
        <v>400</v>
      </c>
      <c r="P2428" s="12">
        <v>0.5</v>
      </c>
      <c r="Q2428" s="12">
        <v>0.85</v>
      </c>
      <c r="R2428" s="12">
        <v>0.75</v>
      </c>
      <c r="S2428" s="12">
        <v>0.85</v>
      </c>
      <c r="T2428" s="12">
        <v>0.75</v>
      </c>
      <c r="U2428" s="12">
        <v>0.95</v>
      </c>
      <c r="V2428" s="12">
        <v>290.64999999999998</v>
      </c>
      <c r="W2428" s="12">
        <v>9.4846272328802392</v>
      </c>
      <c r="X2428" s="12">
        <v>34.269823127440461</v>
      </c>
      <c r="Y2428" s="12">
        <v>2600</v>
      </c>
      <c r="Z2428" s="12">
        <v>7.5</v>
      </c>
      <c r="AA2428" s="12"/>
      <c r="AB2428" s="12"/>
    </row>
    <row r="2429" spans="1:28" x14ac:dyDescent="0.3">
      <c r="A2429" s="12" t="s">
        <v>4343</v>
      </c>
      <c r="B2429" s="12" t="s">
        <v>180</v>
      </c>
      <c r="C2429" s="12" t="s">
        <v>180</v>
      </c>
      <c r="D2429" s="12" t="s">
        <v>181</v>
      </c>
      <c r="E2429" s="12" t="s">
        <v>1886</v>
      </c>
      <c r="F2429" s="12" t="s">
        <v>32</v>
      </c>
      <c r="G2429" s="12" t="s">
        <v>32</v>
      </c>
      <c r="H2429" s="12" t="b">
        <v>1</v>
      </c>
      <c r="I2429" s="12" t="b">
        <v>1</v>
      </c>
      <c r="J2429" s="12" t="b">
        <v>0</v>
      </c>
      <c r="K2429" s="12" t="b">
        <v>0</v>
      </c>
      <c r="L2429" s="12">
        <v>402.5</v>
      </c>
      <c r="M2429" s="12">
        <v>290.64999999999998</v>
      </c>
      <c r="N2429" s="12">
        <v>3000</v>
      </c>
      <c r="O2429" s="12">
        <v>400</v>
      </c>
      <c r="P2429" s="12">
        <v>0.5</v>
      </c>
      <c r="Q2429" s="12">
        <v>0.85</v>
      </c>
      <c r="R2429" s="12">
        <v>0.75</v>
      </c>
      <c r="S2429" s="12">
        <v>0.85</v>
      </c>
      <c r="T2429" s="12">
        <v>0.75</v>
      </c>
      <c r="U2429" s="12">
        <v>0.95</v>
      </c>
      <c r="V2429" s="12">
        <v>290.64999999999998</v>
      </c>
      <c r="W2429" s="12">
        <v>8.9156666053595401</v>
      </c>
      <c r="X2429" s="12">
        <v>29.376825980097909</v>
      </c>
      <c r="Y2429" s="12">
        <v>2600</v>
      </c>
      <c r="Z2429" s="12">
        <v>7.5</v>
      </c>
      <c r="AA2429" s="12"/>
      <c r="AB2429" s="12"/>
    </row>
    <row r="2430" spans="1:28" x14ac:dyDescent="0.3">
      <c r="A2430" s="12" t="s">
        <v>4344</v>
      </c>
      <c r="B2430" s="12" t="s">
        <v>180</v>
      </c>
      <c r="C2430" s="12" t="s">
        <v>180</v>
      </c>
      <c r="D2430" s="12" t="s">
        <v>181</v>
      </c>
      <c r="E2430" s="12" t="s">
        <v>1886</v>
      </c>
      <c r="F2430" s="12" t="s">
        <v>32</v>
      </c>
      <c r="G2430" s="12" t="s">
        <v>32</v>
      </c>
      <c r="H2430" s="12" t="b">
        <v>1</v>
      </c>
      <c r="I2430" s="12" t="b">
        <v>1</v>
      </c>
      <c r="J2430" s="12" t="b">
        <v>0</v>
      </c>
      <c r="K2430" s="12" t="b">
        <v>0</v>
      </c>
      <c r="L2430" s="12">
        <v>407.5</v>
      </c>
      <c r="M2430" s="12">
        <v>290.64999999999998</v>
      </c>
      <c r="N2430" s="12">
        <v>3000</v>
      </c>
      <c r="O2430" s="12">
        <v>400</v>
      </c>
      <c r="P2430" s="12">
        <v>0.5</v>
      </c>
      <c r="Q2430" s="12">
        <v>0.85</v>
      </c>
      <c r="R2430" s="12">
        <v>0.75</v>
      </c>
      <c r="S2430" s="12">
        <v>0.85</v>
      </c>
      <c r="T2430" s="12">
        <v>0.75</v>
      </c>
      <c r="U2430" s="12">
        <v>0.95</v>
      </c>
      <c r="V2430" s="12">
        <v>290.64999999999998</v>
      </c>
      <c r="W2430" s="12">
        <v>9.9556165441715905</v>
      </c>
      <c r="X2430" s="12">
        <v>39.122225544279097</v>
      </c>
      <c r="Y2430" s="12">
        <v>2600</v>
      </c>
      <c r="Z2430" s="12">
        <v>7.5</v>
      </c>
      <c r="AA2430" s="12"/>
      <c r="AB2430" s="12"/>
    </row>
    <row r="2431" spans="1:28" x14ac:dyDescent="0.3">
      <c r="A2431" s="12" t="s">
        <v>4345</v>
      </c>
      <c r="B2431" s="12" t="s">
        <v>180</v>
      </c>
      <c r="C2431" s="12" t="s">
        <v>180</v>
      </c>
      <c r="D2431" s="12" t="s">
        <v>181</v>
      </c>
      <c r="E2431" s="12" t="s">
        <v>1886</v>
      </c>
      <c r="F2431" s="12" t="s">
        <v>32</v>
      </c>
      <c r="G2431" s="12" t="s">
        <v>32</v>
      </c>
      <c r="H2431" s="12" t="b">
        <v>1</v>
      </c>
      <c r="I2431" s="12" t="b">
        <v>1</v>
      </c>
      <c r="J2431" s="12" t="b">
        <v>0</v>
      </c>
      <c r="K2431" s="12" t="b">
        <v>0</v>
      </c>
      <c r="L2431" s="12">
        <v>410</v>
      </c>
      <c r="M2431" s="12">
        <v>290.64999999999998</v>
      </c>
      <c r="N2431" s="12">
        <v>3000</v>
      </c>
      <c r="O2431" s="12">
        <v>400</v>
      </c>
      <c r="P2431" s="12">
        <v>0.5</v>
      </c>
      <c r="Q2431" s="12">
        <v>0.85</v>
      </c>
      <c r="R2431" s="12">
        <v>0.75</v>
      </c>
      <c r="S2431" s="12">
        <v>0.85</v>
      </c>
      <c r="T2431" s="12">
        <v>0.75</v>
      </c>
      <c r="U2431" s="12">
        <v>0.95</v>
      </c>
      <c r="V2431" s="12">
        <v>290.64999999999998</v>
      </c>
      <c r="W2431" s="12">
        <v>10.35220928666172</v>
      </c>
      <c r="X2431" s="12">
        <v>43.954789362464027</v>
      </c>
      <c r="Y2431" s="12">
        <v>2600</v>
      </c>
      <c r="Z2431" s="12">
        <v>7.5</v>
      </c>
      <c r="AA2431" s="12"/>
      <c r="AB2431" s="12"/>
    </row>
    <row r="2432" spans="1:28" x14ac:dyDescent="0.3">
      <c r="A2432" s="12" t="s">
        <v>4346</v>
      </c>
      <c r="B2432" s="12" t="s">
        <v>180</v>
      </c>
      <c r="C2432" s="12" t="s">
        <v>180</v>
      </c>
      <c r="D2432" s="12" t="s">
        <v>181</v>
      </c>
      <c r="E2432" s="12" t="s">
        <v>1886</v>
      </c>
      <c r="F2432" s="12" t="s">
        <v>1863</v>
      </c>
      <c r="G2432" s="12" t="s">
        <v>832</v>
      </c>
      <c r="H2432" s="12" t="b">
        <v>0</v>
      </c>
      <c r="I2432" s="12" t="b">
        <v>0</v>
      </c>
      <c r="J2432" s="12" t="b">
        <v>0</v>
      </c>
      <c r="K2432" s="12" t="b">
        <v>0</v>
      </c>
      <c r="L2432" s="12">
        <v>385</v>
      </c>
      <c r="M2432" s="12">
        <v>300.032917</v>
      </c>
      <c r="N2432" s="12">
        <v>3000</v>
      </c>
      <c r="O2432" s="12">
        <v>400</v>
      </c>
      <c r="P2432" s="12">
        <v>0.5</v>
      </c>
      <c r="Q2432" s="12">
        <v>0.85</v>
      </c>
      <c r="R2432" s="12">
        <v>0.75</v>
      </c>
      <c r="S2432" s="12">
        <v>0.85</v>
      </c>
      <c r="T2432" s="12">
        <v>0.75</v>
      </c>
      <c r="U2432" s="12">
        <v>0.85</v>
      </c>
      <c r="V2432" s="12">
        <v>300.032917</v>
      </c>
      <c r="W2432" s="12">
        <v>-17.442734764907399</v>
      </c>
      <c r="X2432" s="12">
        <v>-14.37099004710249</v>
      </c>
      <c r="Y2432" s="12">
        <v>2600</v>
      </c>
      <c r="Z2432" s="12">
        <v>7.5</v>
      </c>
      <c r="AA2432" s="12" t="s">
        <v>2846</v>
      </c>
      <c r="AB2432" s="12"/>
    </row>
    <row r="2433" spans="1:28" x14ac:dyDescent="0.3">
      <c r="A2433" s="12" t="s">
        <v>4347</v>
      </c>
      <c r="B2433" s="12" t="s">
        <v>180</v>
      </c>
      <c r="C2433" s="12" t="s">
        <v>180</v>
      </c>
      <c r="D2433" s="12" t="s">
        <v>181</v>
      </c>
      <c r="E2433" s="12" t="s">
        <v>1886</v>
      </c>
      <c r="F2433" s="12" t="s">
        <v>1861</v>
      </c>
      <c r="G2433" s="12" t="s">
        <v>1861</v>
      </c>
      <c r="H2433" s="12" t="b">
        <v>1</v>
      </c>
      <c r="I2433" s="12" t="b">
        <v>0</v>
      </c>
      <c r="J2433" s="12" t="b">
        <v>0</v>
      </c>
      <c r="K2433" s="12" t="b">
        <v>0</v>
      </c>
      <c r="L2433" s="12">
        <v>390</v>
      </c>
      <c r="M2433" s="12">
        <v>300.032917</v>
      </c>
      <c r="N2433" s="12">
        <v>3000</v>
      </c>
      <c r="O2433" s="12">
        <v>400</v>
      </c>
      <c r="P2433" s="12">
        <v>0.5</v>
      </c>
      <c r="Q2433" s="12">
        <v>0.85</v>
      </c>
      <c r="R2433" s="12">
        <v>0.75</v>
      </c>
      <c r="S2433" s="12">
        <v>0.85</v>
      </c>
      <c r="T2433" s="12">
        <v>0.75</v>
      </c>
      <c r="U2433" s="12">
        <v>0.85</v>
      </c>
      <c r="V2433" s="12">
        <v>300.032917</v>
      </c>
      <c r="W2433" s="12">
        <v>2.5705954431302702</v>
      </c>
      <c r="X2433" s="12">
        <v>3.7872316516851101</v>
      </c>
      <c r="Y2433" s="12">
        <v>2600</v>
      </c>
      <c r="Z2433" s="12">
        <v>7.5</v>
      </c>
      <c r="AA2433" s="12" t="s">
        <v>1268</v>
      </c>
      <c r="AB2433" s="12"/>
    </row>
    <row r="2434" spans="1:28" x14ac:dyDescent="0.3">
      <c r="A2434" s="12" t="s">
        <v>4348</v>
      </c>
      <c r="B2434" s="12" t="s">
        <v>180</v>
      </c>
      <c r="C2434" s="12" t="s">
        <v>180</v>
      </c>
      <c r="D2434" s="12" t="s">
        <v>181</v>
      </c>
      <c r="E2434" s="12" t="s">
        <v>1886</v>
      </c>
      <c r="F2434" s="12" t="s">
        <v>1862</v>
      </c>
      <c r="G2434" s="12" t="s">
        <v>1862</v>
      </c>
      <c r="H2434" s="12" t="b">
        <v>1</v>
      </c>
      <c r="I2434" s="12" t="b">
        <v>0</v>
      </c>
      <c r="J2434" s="12" t="b">
        <v>0</v>
      </c>
      <c r="K2434" s="12" t="b">
        <v>0</v>
      </c>
      <c r="L2434" s="12">
        <v>387.5</v>
      </c>
      <c r="M2434" s="12">
        <v>300.032917</v>
      </c>
      <c r="N2434" s="12">
        <v>3000</v>
      </c>
      <c r="O2434" s="12">
        <v>400</v>
      </c>
      <c r="P2434" s="12">
        <v>0.5</v>
      </c>
      <c r="Q2434" s="12">
        <v>0.85</v>
      </c>
      <c r="R2434" s="12">
        <v>0.75</v>
      </c>
      <c r="S2434" s="12">
        <v>0.85</v>
      </c>
      <c r="T2434" s="12">
        <v>0.75</v>
      </c>
      <c r="U2434" s="12">
        <v>0.85</v>
      </c>
      <c r="V2434" s="12">
        <v>300.032917</v>
      </c>
      <c r="W2434" s="12">
        <v>-1.72143998139851</v>
      </c>
      <c r="X2434" s="12">
        <v>-1.9316461516984009</v>
      </c>
      <c r="Y2434" s="12">
        <v>2600</v>
      </c>
      <c r="Z2434" s="12">
        <v>7.5</v>
      </c>
      <c r="AA2434" s="12" t="s">
        <v>1696</v>
      </c>
      <c r="AB2434" s="12"/>
    </row>
    <row r="2435" spans="1:28" x14ac:dyDescent="0.3">
      <c r="A2435" s="12" t="s">
        <v>4349</v>
      </c>
      <c r="B2435" s="12" t="s">
        <v>180</v>
      </c>
      <c r="C2435" s="12" t="s">
        <v>180</v>
      </c>
      <c r="D2435" s="12" t="s">
        <v>181</v>
      </c>
      <c r="E2435" s="12" t="s">
        <v>1886</v>
      </c>
      <c r="F2435" s="12" t="s">
        <v>1861</v>
      </c>
      <c r="G2435" s="12" t="s">
        <v>1861</v>
      </c>
      <c r="H2435" s="12" t="b">
        <v>1</v>
      </c>
      <c r="I2435" s="12" t="b">
        <v>0</v>
      </c>
      <c r="J2435" s="12" t="b">
        <v>0</v>
      </c>
      <c r="K2435" s="12" t="b">
        <v>0</v>
      </c>
      <c r="L2435" s="12">
        <v>392.5</v>
      </c>
      <c r="M2435" s="12">
        <v>300.032917</v>
      </c>
      <c r="N2435" s="12">
        <v>3000</v>
      </c>
      <c r="O2435" s="12">
        <v>400</v>
      </c>
      <c r="P2435" s="12">
        <v>0.5</v>
      </c>
      <c r="Q2435" s="12">
        <v>0.85</v>
      </c>
      <c r="R2435" s="12">
        <v>0.75</v>
      </c>
      <c r="S2435" s="12">
        <v>0.85</v>
      </c>
      <c r="T2435" s="12">
        <v>0.75</v>
      </c>
      <c r="U2435" s="12">
        <v>0.85</v>
      </c>
      <c r="V2435" s="12">
        <v>300.032917</v>
      </c>
      <c r="W2435" s="12">
        <v>5.1241926122458201</v>
      </c>
      <c r="X2435" s="12">
        <v>9.274117509264082</v>
      </c>
      <c r="Y2435" s="12">
        <v>2600</v>
      </c>
      <c r="Z2435" s="12">
        <v>7.5</v>
      </c>
      <c r="AA2435" s="12" t="s">
        <v>1268</v>
      </c>
      <c r="AB2435" s="12"/>
    </row>
    <row r="2436" spans="1:28" x14ac:dyDescent="0.3">
      <c r="A2436" s="12" t="s">
        <v>4350</v>
      </c>
      <c r="B2436" s="12" t="s">
        <v>180</v>
      </c>
      <c r="C2436" s="12" t="s">
        <v>180</v>
      </c>
      <c r="D2436" s="12" t="s">
        <v>181</v>
      </c>
      <c r="E2436" s="12" t="s">
        <v>1886</v>
      </c>
      <c r="F2436" s="12" t="s">
        <v>1861</v>
      </c>
      <c r="G2436" s="12" t="s">
        <v>1861</v>
      </c>
      <c r="H2436" s="12" t="b">
        <v>1</v>
      </c>
      <c r="I2436" s="12" t="b">
        <v>0</v>
      </c>
      <c r="J2436" s="12" t="b">
        <v>0</v>
      </c>
      <c r="K2436" s="12" t="b">
        <v>0</v>
      </c>
      <c r="L2436" s="12">
        <v>395</v>
      </c>
      <c r="M2436" s="12">
        <v>300.032917</v>
      </c>
      <c r="N2436" s="12">
        <v>3000</v>
      </c>
      <c r="O2436" s="12">
        <v>400</v>
      </c>
      <c r="P2436" s="12">
        <v>0.5</v>
      </c>
      <c r="Q2436" s="12">
        <v>0.85</v>
      </c>
      <c r="R2436" s="12">
        <v>0.75</v>
      </c>
      <c r="S2436" s="12">
        <v>0.85</v>
      </c>
      <c r="T2436" s="12">
        <v>0.75</v>
      </c>
      <c r="U2436" s="12">
        <v>0.85</v>
      </c>
      <c r="V2436" s="12">
        <v>300.032917</v>
      </c>
      <c r="W2436" s="12">
        <v>6.8258531693862396</v>
      </c>
      <c r="X2436" s="12">
        <v>14.570521919135381</v>
      </c>
      <c r="Y2436" s="12">
        <v>2600</v>
      </c>
      <c r="Z2436" s="12">
        <v>7.5</v>
      </c>
      <c r="AA2436" s="12" t="s">
        <v>1268</v>
      </c>
      <c r="AB2436" s="12"/>
    </row>
    <row r="2437" spans="1:28" x14ac:dyDescent="0.3">
      <c r="A2437" s="12" t="s">
        <v>4351</v>
      </c>
      <c r="B2437" s="12" t="s">
        <v>180</v>
      </c>
      <c r="C2437" s="12" t="s">
        <v>180</v>
      </c>
      <c r="D2437" s="12" t="s">
        <v>181</v>
      </c>
      <c r="E2437" s="12" t="s">
        <v>1886</v>
      </c>
      <c r="F2437" s="12" t="s">
        <v>1861</v>
      </c>
      <c r="G2437" s="12" t="s">
        <v>1861</v>
      </c>
      <c r="H2437" s="12" t="b">
        <v>1</v>
      </c>
      <c r="I2437" s="12" t="b">
        <v>0</v>
      </c>
      <c r="J2437" s="12" t="b">
        <v>0</v>
      </c>
      <c r="K2437" s="12" t="b">
        <v>0</v>
      </c>
      <c r="L2437" s="12">
        <v>397.5</v>
      </c>
      <c r="M2437" s="12">
        <v>300.032917</v>
      </c>
      <c r="N2437" s="12">
        <v>3000</v>
      </c>
      <c r="O2437" s="12">
        <v>400</v>
      </c>
      <c r="P2437" s="12">
        <v>0.5</v>
      </c>
      <c r="Q2437" s="12">
        <v>0.85</v>
      </c>
      <c r="R2437" s="12">
        <v>0.75</v>
      </c>
      <c r="S2437" s="12">
        <v>0.85</v>
      </c>
      <c r="T2437" s="12">
        <v>0.75</v>
      </c>
      <c r="U2437" s="12">
        <v>0.85</v>
      </c>
      <c r="V2437" s="12">
        <v>300.032917</v>
      </c>
      <c r="W2437" s="12">
        <v>8.0458473080193098</v>
      </c>
      <c r="X2437" s="12">
        <v>19.711451731533408</v>
      </c>
      <c r="Y2437" s="12">
        <v>2600</v>
      </c>
      <c r="Z2437" s="12">
        <v>7.5</v>
      </c>
      <c r="AA2437" s="12" t="s">
        <v>1268</v>
      </c>
      <c r="AB2437" s="12"/>
    </row>
    <row r="2438" spans="1:28" x14ac:dyDescent="0.3">
      <c r="A2438" s="12" t="s">
        <v>4352</v>
      </c>
      <c r="B2438" s="12" t="s">
        <v>180</v>
      </c>
      <c r="C2438" s="12" t="s">
        <v>180</v>
      </c>
      <c r="D2438" s="12" t="s">
        <v>181</v>
      </c>
      <c r="E2438" s="12" t="s">
        <v>1886</v>
      </c>
      <c r="F2438" s="12" t="s">
        <v>1861</v>
      </c>
      <c r="G2438" s="12" t="s">
        <v>1861</v>
      </c>
      <c r="H2438" s="12" t="b">
        <v>1</v>
      </c>
      <c r="I2438" s="12" t="b">
        <v>0</v>
      </c>
      <c r="J2438" s="12" t="b">
        <v>0</v>
      </c>
      <c r="K2438" s="12" t="b">
        <v>0</v>
      </c>
      <c r="L2438" s="12">
        <v>400</v>
      </c>
      <c r="M2438" s="12">
        <v>300.032917</v>
      </c>
      <c r="N2438" s="12">
        <v>3000</v>
      </c>
      <c r="O2438" s="12">
        <v>400</v>
      </c>
      <c r="P2438" s="12">
        <v>0.5</v>
      </c>
      <c r="Q2438" s="12">
        <v>0.85</v>
      </c>
      <c r="R2438" s="12">
        <v>0.75</v>
      </c>
      <c r="S2438" s="12">
        <v>0.85</v>
      </c>
      <c r="T2438" s="12">
        <v>0.75</v>
      </c>
      <c r="U2438" s="12">
        <v>0.85</v>
      </c>
      <c r="V2438" s="12">
        <v>300.032917</v>
      </c>
      <c r="W2438" s="12">
        <v>8.9661637380865393</v>
      </c>
      <c r="X2438" s="12">
        <v>24.726947349196841</v>
      </c>
      <c r="Y2438" s="12">
        <v>2600</v>
      </c>
      <c r="Z2438" s="12">
        <v>7.5</v>
      </c>
      <c r="AA2438" s="12" t="s">
        <v>1268</v>
      </c>
      <c r="AB2438" s="12"/>
    </row>
    <row r="2439" spans="1:28" x14ac:dyDescent="0.3">
      <c r="A2439" s="12" t="s">
        <v>4353</v>
      </c>
      <c r="B2439" s="12" t="s">
        <v>180</v>
      </c>
      <c r="C2439" s="12" t="s">
        <v>180</v>
      </c>
      <c r="D2439" s="12" t="s">
        <v>181</v>
      </c>
      <c r="E2439" s="12" t="s">
        <v>1886</v>
      </c>
      <c r="F2439" s="12" t="s">
        <v>1861</v>
      </c>
      <c r="G2439" s="12" t="s">
        <v>1861</v>
      </c>
      <c r="H2439" s="12" t="b">
        <v>1</v>
      </c>
      <c r="I2439" s="12" t="b">
        <v>0</v>
      </c>
      <c r="J2439" s="12" t="b">
        <v>0</v>
      </c>
      <c r="K2439" s="12" t="b">
        <v>0</v>
      </c>
      <c r="L2439" s="12">
        <v>407.5</v>
      </c>
      <c r="M2439" s="12">
        <v>300.032917</v>
      </c>
      <c r="N2439" s="12">
        <v>3000</v>
      </c>
      <c r="O2439" s="12">
        <v>400</v>
      </c>
      <c r="P2439" s="12">
        <v>0.5</v>
      </c>
      <c r="Q2439" s="12">
        <v>0.85</v>
      </c>
      <c r="R2439" s="12">
        <v>0.75</v>
      </c>
      <c r="S2439" s="12">
        <v>0.85</v>
      </c>
      <c r="T2439" s="12">
        <v>0.75</v>
      </c>
      <c r="U2439" s="12">
        <v>0.85</v>
      </c>
      <c r="V2439" s="12">
        <v>300.032917</v>
      </c>
      <c r="W2439" s="12">
        <v>10.74402461100542</v>
      </c>
      <c r="X2439" s="12">
        <v>39.272060215880643</v>
      </c>
      <c r="Y2439" s="12">
        <v>2600</v>
      </c>
      <c r="Z2439" s="12">
        <v>7.5</v>
      </c>
      <c r="AA2439" s="12" t="s">
        <v>1268</v>
      </c>
      <c r="AB2439" s="12"/>
    </row>
    <row r="2440" spans="1:28" x14ac:dyDescent="0.3">
      <c r="A2440" s="12" t="s">
        <v>4354</v>
      </c>
      <c r="B2440" s="12" t="s">
        <v>180</v>
      </c>
      <c r="C2440" s="12" t="s">
        <v>180</v>
      </c>
      <c r="D2440" s="12" t="s">
        <v>181</v>
      </c>
      <c r="E2440" s="12" t="s">
        <v>1886</v>
      </c>
      <c r="F2440" s="12" t="s">
        <v>1861</v>
      </c>
      <c r="G2440" s="12" t="s">
        <v>1861</v>
      </c>
      <c r="H2440" s="12" t="b">
        <v>1</v>
      </c>
      <c r="I2440" s="12" t="b">
        <v>0</v>
      </c>
      <c r="J2440" s="12" t="b">
        <v>0</v>
      </c>
      <c r="K2440" s="12" t="b">
        <v>0</v>
      </c>
      <c r="L2440" s="12">
        <v>402.5</v>
      </c>
      <c r="M2440" s="12">
        <v>300.032917</v>
      </c>
      <c r="N2440" s="12">
        <v>3000</v>
      </c>
      <c r="O2440" s="12">
        <v>400</v>
      </c>
      <c r="P2440" s="12">
        <v>0.5</v>
      </c>
      <c r="Q2440" s="12">
        <v>0.85</v>
      </c>
      <c r="R2440" s="12">
        <v>0.75</v>
      </c>
      <c r="S2440" s="12">
        <v>0.85</v>
      </c>
      <c r="T2440" s="12">
        <v>0.75</v>
      </c>
      <c r="U2440" s="12">
        <v>0.85</v>
      </c>
      <c r="V2440" s="12">
        <v>300.032917</v>
      </c>
      <c r="W2440" s="12">
        <v>9.6866782251352728</v>
      </c>
      <c r="X2440" s="12">
        <v>29.643394110421308</v>
      </c>
      <c r="Y2440" s="12">
        <v>2600</v>
      </c>
      <c r="Z2440" s="12">
        <v>7.5</v>
      </c>
      <c r="AA2440" s="12" t="s">
        <v>1268</v>
      </c>
      <c r="AB2440" s="12"/>
    </row>
    <row r="2441" spans="1:28" x14ac:dyDescent="0.3">
      <c r="A2441" s="12" t="s">
        <v>4355</v>
      </c>
      <c r="B2441" s="12" t="s">
        <v>180</v>
      </c>
      <c r="C2441" s="12" t="s">
        <v>180</v>
      </c>
      <c r="D2441" s="12" t="s">
        <v>181</v>
      </c>
      <c r="E2441" s="12" t="s">
        <v>1886</v>
      </c>
      <c r="F2441" s="12" t="s">
        <v>1861</v>
      </c>
      <c r="G2441" s="12" t="s">
        <v>1861</v>
      </c>
      <c r="H2441" s="12" t="b">
        <v>1</v>
      </c>
      <c r="I2441" s="12" t="b">
        <v>0</v>
      </c>
      <c r="J2441" s="12" t="b">
        <v>0</v>
      </c>
      <c r="K2441" s="12" t="b">
        <v>0</v>
      </c>
      <c r="L2441" s="12">
        <v>405</v>
      </c>
      <c r="M2441" s="12">
        <v>300.032917</v>
      </c>
      <c r="N2441" s="12">
        <v>3000</v>
      </c>
      <c r="O2441" s="12">
        <v>400</v>
      </c>
      <c r="P2441" s="12">
        <v>0.5</v>
      </c>
      <c r="Q2441" s="12">
        <v>0.85</v>
      </c>
      <c r="R2441" s="12">
        <v>0.75</v>
      </c>
      <c r="S2441" s="12">
        <v>0.85</v>
      </c>
      <c r="T2441" s="12">
        <v>0.75</v>
      </c>
      <c r="U2441" s="12">
        <v>0.85</v>
      </c>
      <c r="V2441" s="12">
        <v>300.032917</v>
      </c>
      <c r="W2441" s="12">
        <v>10.26677825002931</v>
      </c>
      <c r="X2441" s="12">
        <v>34.484487667064911</v>
      </c>
      <c r="Y2441" s="12">
        <v>2600</v>
      </c>
      <c r="Z2441" s="12">
        <v>7.5</v>
      </c>
      <c r="AA2441" s="12" t="s">
        <v>1268</v>
      </c>
      <c r="AB2441" s="12"/>
    </row>
    <row r="2442" spans="1:28" x14ac:dyDescent="0.3">
      <c r="A2442" s="12" t="s">
        <v>4356</v>
      </c>
      <c r="B2442" s="12" t="s">
        <v>180</v>
      </c>
      <c r="C2442" s="12" t="s">
        <v>180</v>
      </c>
      <c r="D2442" s="12" t="s">
        <v>181</v>
      </c>
      <c r="E2442" s="12" t="s">
        <v>1886</v>
      </c>
      <c r="F2442" s="12" t="s">
        <v>1861</v>
      </c>
      <c r="G2442" s="12" t="s">
        <v>1861</v>
      </c>
      <c r="H2442" s="12" t="b">
        <v>1</v>
      </c>
      <c r="I2442" s="12" t="b">
        <v>0</v>
      </c>
      <c r="J2442" s="12" t="b">
        <v>0</v>
      </c>
      <c r="K2442" s="12" t="b">
        <v>0</v>
      </c>
      <c r="L2442" s="12">
        <v>410</v>
      </c>
      <c r="M2442" s="12">
        <v>300.032917</v>
      </c>
      <c r="N2442" s="12">
        <v>3000</v>
      </c>
      <c r="O2442" s="12">
        <v>400</v>
      </c>
      <c r="P2442" s="12">
        <v>0.5</v>
      </c>
      <c r="Q2442" s="12">
        <v>0.85</v>
      </c>
      <c r="R2442" s="12">
        <v>0.75</v>
      </c>
      <c r="S2442" s="12">
        <v>0.85</v>
      </c>
      <c r="T2442" s="12">
        <v>0.75</v>
      </c>
      <c r="U2442" s="12">
        <v>0.85</v>
      </c>
      <c r="V2442" s="12">
        <v>300.032917</v>
      </c>
      <c r="W2442" s="12">
        <v>11.14335337860045</v>
      </c>
      <c r="X2442" s="12">
        <v>44.026654544895841</v>
      </c>
      <c r="Y2442" s="12">
        <v>2600</v>
      </c>
      <c r="Z2442" s="12">
        <v>7.5</v>
      </c>
      <c r="AA2442" s="12" t="s">
        <v>1268</v>
      </c>
      <c r="AB2442" s="12"/>
    </row>
    <row r="2443" spans="1:28" x14ac:dyDescent="0.3">
      <c r="A2443" s="12" t="s">
        <v>4357</v>
      </c>
      <c r="B2443" s="12" t="s">
        <v>180</v>
      </c>
      <c r="C2443" s="12" t="s">
        <v>180</v>
      </c>
      <c r="D2443" s="12" t="s">
        <v>181</v>
      </c>
      <c r="E2443" s="12" t="s">
        <v>1886</v>
      </c>
      <c r="F2443" s="12" t="s">
        <v>1863</v>
      </c>
      <c r="G2443" s="12" t="s">
        <v>832</v>
      </c>
      <c r="H2443" s="12" t="b">
        <v>0</v>
      </c>
      <c r="I2443" s="12" t="b">
        <v>0</v>
      </c>
      <c r="J2443" s="12" t="b">
        <v>0</v>
      </c>
      <c r="K2443" s="12" t="b">
        <v>0</v>
      </c>
      <c r="L2443" s="12">
        <v>385</v>
      </c>
      <c r="M2443" s="12">
        <v>300.032917</v>
      </c>
      <c r="N2443" s="12">
        <v>3000</v>
      </c>
      <c r="O2443" s="12">
        <v>400</v>
      </c>
      <c r="P2443" s="12">
        <v>0.5</v>
      </c>
      <c r="Q2443" s="12">
        <v>0.85</v>
      </c>
      <c r="R2443" s="12">
        <v>0.75</v>
      </c>
      <c r="S2443" s="12">
        <v>0.85</v>
      </c>
      <c r="T2443" s="12">
        <v>0.75</v>
      </c>
      <c r="U2443" s="12">
        <v>0.875</v>
      </c>
      <c r="V2443" s="12">
        <v>300.032917</v>
      </c>
      <c r="W2443" s="12">
        <v>-17.416545022786789</v>
      </c>
      <c r="X2443" s="12">
        <v>-14.40135992294992</v>
      </c>
      <c r="Y2443" s="12">
        <v>2600</v>
      </c>
      <c r="Z2443" s="12">
        <v>7.5</v>
      </c>
      <c r="AA2443" s="12" t="s">
        <v>2846</v>
      </c>
      <c r="AB2443" s="12"/>
    </row>
    <row r="2444" spans="1:28" x14ac:dyDescent="0.3">
      <c r="A2444" s="12" t="s">
        <v>4358</v>
      </c>
      <c r="B2444" s="12" t="s">
        <v>180</v>
      </c>
      <c r="C2444" s="12" t="s">
        <v>180</v>
      </c>
      <c r="D2444" s="12" t="s">
        <v>181</v>
      </c>
      <c r="E2444" s="12" t="s">
        <v>1886</v>
      </c>
      <c r="F2444" s="12" t="s">
        <v>32</v>
      </c>
      <c r="G2444" s="12" t="s">
        <v>32</v>
      </c>
      <c r="H2444" s="12" t="b">
        <v>1</v>
      </c>
      <c r="I2444" s="12" t="b">
        <v>1</v>
      </c>
      <c r="J2444" s="12" t="b">
        <v>0</v>
      </c>
      <c r="K2444" s="12" t="b">
        <v>0</v>
      </c>
      <c r="L2444" s="12">
        <v>390</v>
      </c>
      <c r="M2444" s="12">
        <v>300.032917</v>
      </c>
      <c r="N2444" s="12">
        <v>3000</v>
      </c>
      <c r="O2444" s="12">
        <v>400</v>
      </c>
      <c r="P2444" s="12">
        <v>0.5</v>
      </c>
      <c r="Q2444" s="12">
        <v>0.85</v>
      </c>
      <c r="R2444" s="12">
        <v>0.75</v>
      </c>
      <c r="S2444" s="12">
        <v>0.85</v>
      </c>
      <c r="T2444" s="12">
        <v>0.75</v>
      </c>
      <c r="U2444" s="12">
        <v>0.875</v>
      </c>
      <c r="V2444" s="12">
        <v>300.032917</v>
      </c>
      <c r="W2444" s="12">
        <v>2.5393231202259301</v>
      </c>
      <c r="X2444" s="12">
        <v>3.769197404130745</v>
      </c>
      <c r="Y2444" s="12">
        <v>2600</v>
      </c>
      <c r="Z2444" s="12">
        <v>7.5</v>
      </c>
      <c r="AA2444" s="12"/>
      <c r="AB2444" s="12"/>
    </row>
    <row r="2445" spans="1:28" x14ac:dyDescent="0.3">
      <c r="A2445" s="12" t="s">
        <v>4359</v>
      </c>
      <c r="B2445" s="12" t="s">
        <v>180</v>
      </c>
      <c r="C2445" s="12" t="s">
        <v>180</v>
      </c>
      <c r="D2445" s="12" t="s">
        <v>181</v>
      </c>
      <c r="E2445" s="12" t="s">
        <v>1886</v>
      </c>
      <c r="F2445" s="12" t="s">
        <v>1862</v>
      </c>
      <c r="G2445" s="12" t="s">
        <v>1862</v>
      </c>
      <c r="H2445" s="12" t="b">
        <v>1</v>
      </c>
      <c r="I2445" s="12" t="b">
        <v>0</v>
      </c>
      <c r="J2445" s="12" t="b">
        <v>0</v>
      </c>
      <c r="K2445" s="12" t="b">
        <v>0</v>
      </c>
      <c r="L2445" s="12">
        <v>387.5</v>
      </c>
      <c r="M2445" s="12">
        <v>300.032917</v>
      </c>
      <c r="N2445" s="12">
        <v>3000</v>
      </c>
      <c r="O2445" s="12">
        <v>400</v>
      </c>
      <c r="P2445" s="12">
        <v>0.5</v>
      </c>
      <c r="Q2445" s="12">
        <v>0.85</v>
      </c>
      <c r="R2445" s="12">
        <v>0.75</v>
      </c>
      <c r="S2445" s="12">
        <v>0.85</v>
      </c>
      <c r="T2445" s="12">
        <v>0.75</v>
      </c>
      <c r="U2445" s="12">
        <v>0.875</v>
      </c>
      <c r="V2445" s="12">
        <v>300.032917</v>
      </c>
      <c r="W2445" s="12">
        <v>-1.72548853069321</v>
      </c>
      <c r="X2445" s="12">
        <v>-1.950261848976155</v>
      </c>
      <c r="Y2445" s="12">
        <v>2600</v>
      </c>
      <c r="Z2445" s="12">
        <v>7.5</v>
      </c>
      <c r="AA2445" s="12" t="s">
        <v>1696</v>
      </c>
      <c r="AB2445" s="12"/>
    </row>
    <row r="2446" spans="1:28" x14ac:dyDescent="0.3">
      <c r="A2446" s="12" t="s">
        <v>4360</v>
      </c>
      <c r="B2446" s="12" t="s">
        <v>180</v>
      </c>
      <c r="C2446" s="12" t="s">
        <v>180</v>
      </c>
      <c r="D2446" s="12" t="s">
        <v>181</v>
      </c>
      <c r="E2446" s="12" t="s">
        <v>1886</v>
      </c>
      <c r="F2446" s="12" t="s">
        <v>1861</v>
      </c>
      <c r="G2446" s="12" t="s">
        <v>1861</v>
      </c>
      <c r="H2446" s="12" t="b">
        <v>1</v>
      </c>
      <c r="I2446" s="12" t="b">
        <v>0</v>
      </c>
      <c r="J2446" s="12" t="b">
        <v>0</v>
      </c>
      <c r="K2446" s="12" t="b">
        <v>0</v>
      </c>
      <c r="L2446" s="12">
        <v>392.5</v>
      </c>
      <c r="M2446" s="12">
        <v>300.032917</v>
      </c>
      <c r="N2446" s="12">
        <v>3000</v>
      </c>
      <c r="O2446" s="12">
        <v>400</v>
      </c>
      <c r="P2446" s="12">
        <v>0.5</v>
      </c>
      <c r="Q2446" s="12">
        <v>0.85</v>
      </c>
      <c r="R2446" s="12">
        <v>0.75</v>
      </c>
      <c r="S2446" s="12">
        <v>0.85</v>
      </c>
      <c r="T2446" s="12">
        <v>0.75</v>
      </c>
      <c r="U2446" s="12">
        <v>0.875</v>
      </c>
      <c r="V2446" s="12">
        <v>300.032917</v>
      </c>
      <c r="W2446" s="12">
        <v>5.0820024990132504</v>
      </c>
      <c r="X2446" s="12">
        <v>9.2693549069162806</v>
      </c>
      <c r="Y2446" s="12">
        <v>2600</v>
      </c>
      <c r="Z2446" s="12">
        <v>7.5</v>
      </c>
      <c r="AA2446" s="12" t="s">
        <v>1268</v>
      </c>
      <c r="AB2446" s="12"/>
    </row>
    <row r="2447" spans="1:28" x14ac:dyDescent="0.3">
      <c r="A2447" s="12" t="s">
        <v>4361</v>
      </c>
      <c r="B2447" s="12" t="s">
        <v>180</v>
      </c>
      <c r="C2447" s="12" t="s">
        <v>180</v>
      </c>
      <c r="D2447" s="12" t="s">
        <v>181</v>
      </c>
      <c r="E2447" s="12" t="s">
        <v>1886</v>
      </c>
      <c r="F2447" s="12" t="s">
        <v>1861</v>
      </c>
      <c r="G2447" s="12" t="s">
        <v>1861</v>
      </c>
      <c r="H2447" s="12" t="b">
        <v>1</v>
      </c>
      <c r="I2447" s="12" t="b">
        <v>0</v>
      </c>
      <c r="J2447" s="12" t="b">
        <v>0</v>
      </c>
      <c r="K2447" s="12" t="b">
        <v>0</v>
      </c>
      <c r="L2447" s="12">
        <v>395</v>
      </c>
      <c r="M2447" s="12">
        <v>300.032917</v>
      </c>
      <c r="N2447" s="12">
        <v>3000</v>
      </c>
      <c r="O2447" s="12">
        <v>400</v>
      </c>
      <c r="P2447" s="12">
        <v>0.5</v>
      </c>
      <c r="Q2447" s="12">
        <v>0.85</v>
      </c>
      <c r="R2447" s="12">
        <v>0.75</v>
      </c>
      <c r="S2447" s="12">
        <v>0.85</v>
      </c>
      <c r="T2447" s="12">
        <v>0.75</v>
      </c>
      <c r="U2447" s="12">
        <v>0.875</v>
      </c>
      <c r="V2447" s="12">
        <v>300.032917</v>
      </c>
      <c r="W2447" s="12">
        <v>6.7770669627661597</v>
      </c>
      <c r="X2447" s="12">
        <v>14.58370200772919</v>
      </c>
      <c r="Y2447" s="12">
        <v>2600</v>
      </c>
      <c r="Z2447" s="12">
        <v>7.5</v>
      </c>
      <c r="AA2447" s="12" t="s">
        <v>1268</v>
      </c>
      <c r="AB2447" s="12"/>
    </row>
    <row r="2448" spans="1:28" x14ac:dyDescent="0.3">
      <c r="A2448" s="12" t="s">
        <v>4362</v>
      </c>
      <c r="B2448" s="12" t="s">
        <v>180</v>
      </c>
      <c r="C2448" s="12" t="s">
        <v>180</v>
      </c>
      <c r="D2448" s="12" t="s">
        <v>181</v>
      </c>
      <c r="E2448" s="12" t="s">
        <v>1886</v>
      </c>
      <c r="F2448" s="12" t="s">
        <v>1861</v>
      </c>
      <c r="G2448" s="12" t="s">
        <v>1861</v>
      </c>
      <c r="H2448" s="12" t="b">
        <v>1</v>
      </c>
      <c r="I2448" s="12" t="b">
        <v>0</v>
      </c>
      <c r="J2448" s="12" t="b">
        <v>0</v>
      </c>
      <c r="K2448" s="12" t="b">
        <v>0</v>
      </c>
      <c r="L2448" s="12">
        <v>397.5</v>
      </c>
      <c r="M2448" s="12">
        <v>300.032917</v>
      </c>
      <c r="N2448" s="12">
        <v>3000</v>
      </c>
      <c r="O2448" s="12">
        <v>400</v>
      </c>
      <c r="P2448" s="12">
        <v>0.5</v>
      </c>
      <c r="Q2448" s="12">
        <v>0.85</v>
      </c>
      <c r="R2448" s="12">
        <v>0.75</v>
      </c>
      <c r="S2448" s="12">
        <v>0.85</v>
      </c>
      <c r="T2448" s="12">
        <v>0.75</v>
      </c>
      <c r="U2448" s="12">
        <v>0.875</v>
      </c>
      <c r="V2448" s="12">
        <v>300.032917</v>
      </c>
      <c r="W2448" s="12">
        <v>7.9928431343380204</v>
      </c>
      <c r="X2448" s="12">
        <v>19.746925979641809</v>
      </c>
      <c r="Y2448" s="12">
        <v>2600</v>
      </c>
      <c r="Z2448" s="12">
        <v>7.5</v>
      </c>
      <c r="AA2448" s="12" t="s">
        <v>1268</v>
      </c>
      <c r="AB2448" s="12"/>
    </row>
    <row r="2449" spans="1:28" x14ac:dyDescent="0.3">
      <c r="A2449" s="12" t="s">
        <v>4363</v>
      </c>
      <c r="B2449" s="12" t="s">
        <v>180</v>
      </c>
      <c r="C2449" s="12" t="s">
        <v>180</v>
      </c>
      <c r="D2449" s="12" t="s">
        <v>181</v>
      </c>
      <c r="E2449" s="12" t="s">
        <v>1886</v>
      </c>
      <c r="F2449" s="12" t="s">
        <v>1861</v>
      </c>
      <c r="G2449" s="12" t="s">
        <v>1861</v>
      </c>
      <c r="H2449" s="12" t="b">
        <v>1</v>
      </c>
      <c r="I2449" s="12" t="b">
        <v>0</v>
      </c>
      <c r="J2449" s="12" t="b">
        <v>0</v>
      </c>
      <c r="K2449" s="12" t="b">
        <v>0</v>
      </c>
      <c r="L2449" s="12">
        <v>400</v>
      </c>
      <c r="M2449" s="12">
        <v>300.032917</v>
      </c>
      <c r="N2449" s="12">
        <v>3000</v>
      </c>
      <c r="O2449" s="12">
        <v>400</v>
      </c>
      <c r="P2449" s="12">
        <v>0.5</v>
      </c>
      <c r="Q2449" s="12">
        <v>0.85</v>
      </c>
      <c r="R2449" s="12">
        <v>0.75</v>
      </c>
      <c r="S2449" s="12">
        <v>0.85</v>
      </c>
      <c r="T2449" s="12">
        <v>0.75</v>
      </c>
      <c r="U2449" s="12">
        <v>0.875</v>
      </c>
      <c r="V2449" s="12">
        <v>300.032917</v>
      </c>
      <c r="W2449" s="12">
        <v>8.9103869279270711</v>
      </c>
      <c r="X2449" s="12">
        <v>24.78880952369359</v>
      </c>
      <c r="Y2449" s="12">
        <v>2600</v>
      </c>
      <c r="Z2449" s="12">
        <v>7.5</v>
      </c>
      <c r="AA2449" s="12" t="s">
        <v>1268</v>
      </c>
      <c r="AB2449" s="12"/>
    </row>
    <row r="2450" spans="1:28" x14ac:dyDescent="0.3">
      <c r="A2450" s="12" t="s">
        <v>4364</v>
      </c>
      <c r="B2450" s="12" t="s">
        <v>180</v>
      </c>
      <c r="C2450" s="12" t="s">
        <v>180</v>
      </c>
      <c r="D2450" s="12" t="s">
        <v>181</v>
      </c>
      <c r="E2450" s="12" t="s">
        <v>1886</v>
      </c>
      <c r="F2450" s="12" t="s">
        <v>1861</v>
      </c>
      <c r="G2450" s="12" t="s">
        <v>1861</v>
      </c>
      <c r="H2450" s="12" t="b">
        <v>1</v>
      </c>
      <c r="I2450" s="12" t="b">
        <v>0</v>
      </c>
      <c r="J2450" s="12" t="b">
        <v>0</v>
      </c>
      <c r="K2450" s="12" t="b">
        <v>0</v>
      </c>
      <c r="L2450" s="12">
        <v>405</v>
      </c>
      <c r="M2450" s="12">
        <v>300.032917</v>
      </c>
      <c r="N2450" s="12">
        <v>3000</v>
      </c>
      <c r="O2450" s="12">
        <v>400</v>
      </c>
      <c r="P2450" s="12">
        <v>0.5</v>
      </c>
      <c r="Q2450" s="12">
        <v>0.85</v>
      </c>
      <c r="R2450" s="12">
        <v>0.75</v>
      </c>
      <c r="S2450" s="12">
        <v>0.85</v>
      </c>
      <c r="T2450" s="12">
        <v>0.75</v>
      </c>
      <c r="U2450" s="12">
        <v>0.875</v>
      </c>
      <c r="V2450" s="12">
        <v>300.032917</v>
      </c>
      <c r="W2450" s="12">
        <v>10.208105210542</v>
      </c>
      <c r="X2450" s="12">
        <v>34.611023927549077</v>
      </c>
      <c r="Y2450" s="12">
        <v>2600</v>
      </c>
      <c r="Z2450" s="12">
        <v>7.5</v>
      </c>
      <c r="AA2450" s="12" t="s">
        <v>1268</v>
      </c>
      <c r="AB2450" s="12"/>
    </row>
    <row r="2451" spans="1:28" x14ac:dyDescent="0.3">
      <c r="A2451" s="12" t="s">
        <v>4365</v>
      </c>
      <c r="B2451" s="12" t="s">
        <v>180</v>
      </c>
      <c r="C2451" s="12" t="s">
        <v>180</v>
      </c>
      <c r="D2451" s="12" t="s">
        <v>181</v>
      </c>
      <c r="E2451" s="12" t="s">
        <v>1886</v>
      </c>
      <c r="F2451" s="12" t="s">
        <v>1861</v>
      </c>
      <c r="G2451" s="12" t="s">
        <v>1861</v>
      </c>
      <c r="H2451" s="12" t="b">
        <v>1</v>
      </c>
      <c r="I2451" s="12" t="b">
        <v>0</v>
      </c>
      <c r="J2451" s="12" t="b">
        <v>0</v>
      </c>
      <c r="K2451" s="12" t="b">
        <v>0</v>
      </c>
      <c r="L2451" s="12">
        <v>402.5</v>
      </c>
      <c r="M2451" s="12">
        <v>300.032917</v>
      </c>
      <c r="N2451" s="12">
        <v>3000</v>
      </c>
      <c r="O2451" s="12">
        <v>400</v>
      </c>
      <c r="P2451" s="12">
        <v>0.5</v>
      </c>
      <c r="Q2451" s="12">
        <v>0.85</v>
      </c>
      <c r="R2451" s="12">
        <v>0.75</v>
      </c>
      <c r="S2451" s="12">
        <v>0.85</v>
      </c>
      <c r="T2451" s="12">
        <v>0.75</v>
      </c>
      <c r="U2451" s="12">
        <v>0.875</v>
      </c>
      <c r="V2451" s="12">
        <v>300.032917</v>
      </c>
      <c r="W2451" s="12">
        <v>9.6290985813628502</v>
      </c>
      <c r="X2451" s="12">
        <v>29.735611743181899</v>
      </c>
      <c r="Y2451" s="12">
        <v>2600</v>
      </c>
      <c r="Z2451" s="12">
        <v>7.5</v>
      </c>
      <c r="AA2451" s="12" t="s">
        <v>1268</v>
      </c>
      <c r="AB2451" s="12"/>
    </row>
    <row r="2452" spans="1:28" x14ac:dyDescent="0.3">
      <c r="A2452" s="12" t="s">
        <v>4366</v>
      </c>
      <c r="B2452" s="12" t="s">
        <v>180</v>
      </c>
      <c r="C2452" s="12" t="s">
        <v>180</v>
      </c>
      <c r="D2452" s="12" t="s">
        <v>181</v>
      </c>
      <c r="E2452" s="12" t="s">
        <v>1886</v>
      </c>
      <c r="F2452" s="12" t="s">
        <v>1861</v>
      </c>
      <c r="G2452" s="12" t="s">
        <v>1861</v>
      </c>
      <c r="H2452" s="12" t="b">
        <v>1</v>
      </c>
      <c r="I2452" s="12" t="b">
        <v>0</v>
      </c>
      <c r="J2452" s="12" t="b">
        <v>0</v>
      </c>
      <c r="K2452" s="12" t="b">
        <v>0</v>
      </c>
      <c r="L2452" s="12">
        <v>407.5</v>
      </c>
      <c r="M2452" s="12">
        <v>300.032917</v>
      </c>
      <c r="N2452" s="12">
        <v>3000</v>
      </c>
      <c r="O2452" s="12">
        <v>400</v>
      </c>
      <c r="P2452" s="12">
        <v>0.5</v>
      </c>
      <c r="Q2452" s="12">
        <v>0.85</v>
      </c>
      <c r="R2452" s="12">
        <v>0.75</v>
      </c>
      <c r="S2452" s="12">
        <v>0.85</v>
      </c>
      <c r="T2452" s="12">
        <v>0.75</v>
      </c>
      <c r="U2452" s="12">
        <v>0.875</v>
      </c>
      <c r="V2452" s="12">
        <v>300.032917</v>
      </c>
      <c r="W2452" s="12">
        <v>10.68480950202294</v>
      </c>
      <c r="X2452" s="12">
        <v>39.436945976788998</v>
      </c>
      <c r="Y2452" s="12">
        <v>2600</v>
      </c>
      <c r="Z2452" s="12">
        <v>7.5</v>
      </c>
      <c r="AA2452" s="12" t="s">
        <v>1268</v>
      </c>
      <c r="AB2452" s="12"/>
    </row>
    <row r="2453" spans="1:28" x14ac:dyDescent="0.3">
      <c r="A2453" s="12" t="s">
        <v>4367</v>
      </c>
      <c r="B2453" s="12" t="s">
        <v>180</v>
      </c>
      <c r="C2453" s="12" t="s">
        <v>180</v>
      </c>
      <c r="D2453" s="12" t="s">
        <v>181</v>
      </c>
      <c r="E2453" s="12" t="s">
        <v>1886</v>
      </c>
      <c r="F2453" s="12" t="s">
        <v>1861</v>
      </c>
      <c r="G2453" s="12" t="s">
        <v>1861</v>
      </c>
      <c r="H2453" s="12" t="b">
        <v>1</v>
      </c>
      <c r="I2453" s="12" t="b">
        <v>0</v>
      </c>
      <c r="J2453" s="12" t="b">
        <v>0</v>
      </c>
      <c r="K2453" s="12" t="b">
        <v>0</v>
      </c>
      <c r="L2453" s="12">
        <v>410</v>
      </c>
      <c r="M2453" s="12">
        <v>300.032917</v>
      </c>
      <c r="N2453" s="12">
        <v>3000</v>
      </c>
      <c r="O2453" s="12">
        <v>400</v>
      </c>
      <c r="P2453" s="12">
        <v>0.5</v>
      </c>
      <c r="Q2453" s="12">
        <v>0.85</v>
      </c>
      <c r="R2453" s="12">
        <v>0.75</v>
      </c>
      <c r="S2453" s="12">
        <v>0.85</v>
      </c>
      <c r="T2453" s="12">
        <v>0.75</v>
      </c>
      <c r="U2453" s="12">
        <v>0.875</v>
      </c>
      <c r="V2453" s="12">
        <v>300.032917</v>
      </c>
      <c r="W2453" s="12">
        <v>11.08404683595824</v>
      </c>
      <c r="X2453" s="12">
        <v>44.234056498176408</v>
      </c>
      <c r="Y2453" s="12">
        <v>2600</v>
      </c>
      <c r="Z2453" s="12">
        <v>7.5</v>
      </c>
      <c r="AA2453" s="12" t="s">
        <v>1268</v>
      </c>
      <c r="AB2453" s="12"/>
    </row>
    <row r="2454" spans="1:28" x14ac:dyDescent="0.3">
      <c r="A2454" s="12" t="s">
        <v>4368</v>
      </c>
      <c r="B2454" s="12" t="s">
        <v>180</v>
      </c>
      <c r="C2454" s="12" t="s">
        <v>180</v>
      </c>
      <c r="D2454" s="12" t="s">
        <v>181</v>
      </c>
      <c r="E2454" s="12" t="s">
        <v>1886</v>
      </c>
      <c r="F2454" s="12" t="s">
        <v>32</v>
      </c>
      <c r="G2454" s="12" t="s">
        <v>32</v>
      </c>
      <c r="H2454" s="12" t="b">
        <v>1</v>
      </c>
      <c r="I2454" s="12" t="b">
        <v>1</v>
      </c>
      <c r="J2454" s="12" t="b">
        <v>0</v>
      </c>
      <c r="K2454" s="12" t="b">
        <v>0</v>
      </c>
      <c r="L2454" s="12">
        <v>390</v>
      </c>
      <c r="M2454" s="12">
        <v>300.032917</v>
      </c>
      <c r="N2454" s="12">
        <v>3000</v>
      </c>
      <c r="O2454" s="12">
        <v>400</v>
      </c>
      <c r="P2454" s="12">
        <v>0.5</v>
      </c>
      <c r="Q2454" s="12">
        <v>0.85</v>
      </c>
      <c r="R2454" s="12">
        <v>0.75</v>
      </c>
      <c r="S2454" s="12">
        <v>0.85</v>
      </c>
      <c r="T2454" s="12">
        <v>0.75</v>
      </c>
      <c r="U2454" s="12">
        <v>0.9</v>
      </c>
      <c r="V2454" s="12">
        <v>300.032917</v>
      </c>
      <c r="W2454" s="12">
        <v>2.5051309924312801</v>
      </c>
      <c r="X2454" s="12">
        <v>3.744850416839959</v>
      </c>
      <c r="Y2454" s="12">
        <v>2600</v>
      </c>
      <c r="Z2454" s="12">
        <v>7.5</v>
      </c>
      <c r="AA2454" s="12"/>
      <c r="AB2454" s="12"/>
    </row>
    <row r="2455" spans="1:28" x14ac:dyDescent="0.3">
      <c r="A2455" s="12" t="s">
        <v>4369</v>
      </c>
      <c r="B2455" s="12" t="s">
        <v>180</v>
      </c>
      <c r="C2455" s="12" t="s">
        <v>180</v>
      </c>
      <c r="D2455" s="12" t="s">
        <v>181</v>
      </c>
      <c r="E2455" s="12" t="s">
        <v>1886</v>
      </c>
      <c r="F2455" s="12" t="s">
        <v>1862</v>
      </c>
      <c r="G2455" s="12" t="s">
        <v>1862</v>
      </c>
      <c r="H2455" s="12" t="b">
        <v>1</v>
      </c>
      <c r="I2455" s="12" t="b">
        <v>0</v>
      </c>
      <c r="J2455" s="12" t="b">
        <v>0</v>
      </c>
      <c r="K2455" s="12" t="b">
        <v>0</v>
      </c>
      <c r="L2455" s="12">
        <v>387.5</v>
      </c>
      <c r="M2455" s="12">
        <v>300.032917</v>
      </c>
      <c r="N2455" s="12">
        <v>3000</v>
      </c>
      <c r="O2455" s="12">
        <v>400</v>
      </c>
      <c r="P2455" s="12">
        <v>0.5</v>
      </c>
      <c r="Q2455" s="12">
        <v>0.85</v>
      </c>
      <c r="R2455" s="12">
        <v>0.75</v>
      </c>
      <c r="S2455" s="12">
        <v>0.85</v>
      </c>
      <c r="T2455" s="12">
        <v>0.75</v>
      </c>
      <c r="U2455" s="12">
        <v>0.9</v>
      </c>
      <c r="V2455" s="12">
        <v>300.032917</v>
      </c>
      <c r="W2455" s="12">
        <v>-1.7293205296109999</v>
      </c>
      <c r="X2455" s="12">
        <v>-1.968098306121616</v>
      </c>
      <c r="Y2455" s="12">
        <v>2600</v>
      </c>
      <c r="Z2455" s="12">
        <v>7.5</v>
      </c>
      <c r="AA2455" s="12" t="s">
        <v>1696</v>
      </c>
      <c r="AB2455" s="12"/>
    </row>
    <row r="2456" spans="1:28" x14ac:dyDescent="0.3">
      <c r="A2456" s="12" t="s">
        <v>4370</v>
      </c>
      <c r="B2456" s="12" t="s">
        <v>180</v>
      </c>
      <c r="C2456" s="12" t="s">
        <v>180</v>
      </c>
      <c r="D2456" s="12" t="s">
        <v>181</v>
      </c>
      <c r="E2456" s="12" t="s">
        <v>1886</v>
      </c>
      <c r="F2456" s="12" t="s">
        <v>1863</v>
      </c>
      <c r="G2456" s="12" t="s">
        <v>832</v>
      </c>
      <c r="H2456" s="12" t="b">
        <v>0</v>
      </c>
      <c r="I2456" s="12" t="b">
        <v>0</v>
      </c>
      <c r="J2456" s="12" t="b">
        <v>0</v>
      </c>
      <c r="K2456" s="12" t="b">
        <v>0</v>
      </c>
      <c r="L2456" s="12">
        <v>385</v>
      </c>
      <c r="M2456" s="12">
        <v>300.032917</v>
      </c>
      <c r="N2456" s="12">
        <v>3000</v>
      </c>
      <c r="O2456" s="12">
        <v>400</v>
      </c>
      <c r="P2456" s="12">
        <v>0.5</v>
      </c>
      <c r="Q2456" s="12">
        <v>0.85</v>
      </c>
      <c r="R2456" s="12">
        <v>0.75</v>
      </c>
      <c r="S2456" s="12">
        <v>0.85</v>
      </c>
      <c r="T2456" s="12">
        <v>0.75</v>
      </c>
      <c r="U2456" s="12">
        <v>0.9</v>
      </c>
      <c r="V2456" s="12">
        <v>300.032917</v>
      </c>
      <c r="W2456" s="12">
        <v>-17.391769524800019</v>
      </c>
      <c r="X2456" s="12">
        <v>-14.430328554915549</v>
      </c>
      <c r="Y2456" s="12">
        <v>2600</v>
      </c>
      <c r="Z2456" s="12">
        <v>7.5</v>
      </c>
      <c r="AA2456" s="12" t="s">
        <v>2846</v>
      </c>
      <c r="AB2456" s="12"/>
    </row>
    <row r="2457" spans="1:28" x14ac:dyDescent="0.3">
      <c r="A2457" s="12" t="s">
        <v>4371</v>
      </c>
      <c r="B2457" s="12" t="s">
        <v>180</v>
      </c>
      <c r="C2457" s="12" t="s">
        <v>180</v>
      </c>
      <c r="D2457" s="12" t="s">
        <v>181</v>
      </c>
      <c r="E2457" s="12" t="s">
        <v>1886</v>
      </c>
      <c r="F2457" s="12" t="s">
        <v>1861</v>
      </c>
      <c r="G2457" s="12" t="s">
        <v>1861</v>
      </c>
      <c r="H2457" s="12" t="b">
        <v>1</v>
      </c>
      <c r="I2457" s="12" t="b">
        <v>0</v>
      </c>
      <c r="J2457" s="12" t="b">
        <v>0</v>
      </c>
      <c r="K2457" s="12" t="b">
        <v>0</v>
      </c>
      <c r="L2457" s="12">
        <v>395</v>
      </c>
      <c r="M2457" s="12">
        <v>300.032917</v>
      </c>
      <c r="N2457" s="12">
        <v>3000</v>
      </c>
      <c r="O2457" s="12">
        <v>400</v>
      </c>
      <c r="P2457" s="12">
        <v>0.5</v>
      </c>
      <c r="Q2457" s="12">
        <v>0.85</v>
      </c>
      <c r="R2457" s="12">
        <v>0.75</v>
      </c>
      <c r="S2457" s="12">
        <v>0.85</v>
      </c>
      <c r="T2457" s="12">
        <v>0.75</v>
      </c>
      <c r="U2457" s="12">
        <v>0.9</v>
      </c>
      <c r="V2457" s="12">
        <v>300.032917</v>
      </c>
      <c r="W2457" s="12">
        <v>6.7176241948318101</v>
      </c>
      <c r="X2457" s="12">
        <v>14.56682777841254</v>
      </c>
      <c r="Y2457" s="12">
        <v>2600</v>
      </c>
      <c r="Z2457" s="12">
        <v>7.5</v>
      </c>
      <c r="AA2457" s="12" t="s">
        <v>1268</v>
      </c>
      <c r="AB2457" s="12"/>
    </row>
    <row r="2458" spans="1:28" x14ac:dyDescent="0.3">
      <c r="A2458" s="12" t="s">
        <v>4372</v>
      </c>
      <c r="B2458" s="12" t="s">
        <v>180</v>
      </c>
      <c r="C2458" s="12" t="s">
        <v>180</v>
      </c>
      <c r="D2458" s="12" t="s">
        <v>181</v>
      </c>
      <c r="E2458" s="12" t="s">
        <v>1886</v>
      </c>
      <c r="F2458" s="12" t="s">
        <v>1861</v>
      </c>
      <c r="G2458" s="12" t="s">
        <v>1861</v>
      </c>
      <c r="H2458" s="12" t="b">
        <v>1</v>
      </c>
      <c r="I2458" s="12" t="b">
        <v>0</v>
      </c>
      <c r="J2458" s="12" t="b">
        <v>0</v>
      </c>
      <c r="K2458" s="12" t="b">
        <v>0</v>
      </c>
      <c r="L2458" s="12">
        <v>397.5</v>
      </c>
      <c r="M2458" s="12">
        <v>300.032917</v>
      </c>
      <c r="N2458" s="12">
        <v>3000</v>
      </c>
      <c r="O2458" s="12">
        <v>400</v>
      </c>
      <c r="P2458" s="12">
        <v>0.5</v>
      </c>
      <c r="Q2458" s="12">
        <v>0.85</v>
      </c>
      <c r="R2458" s="12">
        <v>0.75</v>
      </c>
      <c r="S2458" s="12">
        <v>0.85</v>
      </c>
      <c r="T2458" s="12">
        <v>0.75</v>
      </c>
      <c r="U2458" s="12">
        <v>0.9</v>
      </c>
      <c r="V2458" s="12">
        <v>300.032917</v>
      </c>
      <c r="W2458" s="12">
        <v>7.9279624926411296</v>
      </c>
      <c r="X2458" s="12">
        <v>19.743227143030929</v>
      </c>
      <c r="Y2458" s="12">
        <v>2600</v>
      </c>
      <c r="Z2458" s="12">
        <v>7.5</v>
      </c>
      <c r="AA2458" s="12" t="s">
        <v>1268</v>
      </c>
      <c r="AB2458" s="12"/>
    </row>
    <row r="2459" spans="1:28" x14ac:dyDescent="0.3">
      <c r="A2459" s="12" t="s">
        <v>4373</v>
      </c>
      <c r="B2459" s="12" t="s">
        <v>180</v>
      </c>
      <c r="C2459" s="12" t="s">
        <v>180</v>
      </c>
      <c r="D2459" s="12" t="s">
        <v>181</v>
      </c>
      <c r="E2459" s="12" t="s">
        <v>1886</v>
      </c>
      <c r="F2459" s="12" t="s">
        <v>32</v>
      </c>
      <c r="G2459" s="12" t="s">
        <v>32</v>
      </c>
      <c r="H2459" s="12" t="b">
        <v>1</v>
      </c>
      <c r="I2459" s="12" t="b">
        <v>1</v>
      </c>
      <c r="J2459" s="12" t="b">
        <v>0</v>
      </c>
      <c r="K2459" s="12" t="b">
        <v>0</v>
      </c>
      <c r="L2459" s="12">
        <v>392.5</v>
      </c>
      <c r="M2459" s="12">
        <v>300.032917</v>
      </c>
      <c r="N2459" s="12">
        <v>3000</v>
      </c>
      <c r="O2459" s="12">
        <v>400</v>
      </c>
      <c r="P2459" s="12">
        <v>0.5</v>
      </c>
      <c r="Q2459" s="12">
        <v>0.85</v>
      </c>
      <c r="R2459" s="12">
        <v>0.75</v>
      </c>
      <c r="S2459" s="12">
        <v>0.85</v>
      </c>
      <c r="T2459" s="12">
        <v>0.75</v>
      </c>
      <c r="U2459" s="12">
        <v>0.9</v>
      </c>
      <c r="V2459" s="12">
        <v>300.032917</v>
      </c>
      <c r="W2459" s="12">
        <v>5.0306967974417898</v>
      </c>
      <c r="X2459" s="12">
        <v>9.2435261264499236</v>
      </c>
      <c r="Y2459" s="12">
        <v>2600</v>
      </c>
      <c r="Z2459" s="12">
        <v>7.5</v>
      </c>
      <c r="AA2459" s="12"/>
      <c r="AB2459" s="12"/>
    </row>
    <row r="2460" spans="1:28" x14ac:dyDescent="0.3">
      <c r="A2460" s="12" t="s">
        <v>4374</v>
      </c>
      <c r="B2460" s="12" t="s">
        <v>180</v>
      </c>
      <c r="C2460" s="12" t="s">
        <v>180</v>
      </c>
      <c r="D2460" s="12" t="s">
        <v>181</v>
      </c>
      <c r="E2460" s="12" t="s">
        <v>1886</v>
      </c>
      <c r="F2460" s="12" t="s">
        <v>1861</v>
      </c>
      <c r="G2460" s="12" t="s">
        <v>1861</v>
      </c>
      <c r="H2460" s="12" t="b">
        <v>1</v>
      </c>
      <c r="I2460" s="12" t="b">
        <v>0</v>
      </c>
      <c r="J2460" s="12" t="b">
        <v>0</v>
      </c>
      <c r="K2460" s="12" t="b">
        <v>0</v>
      </c>
      <c r="L2460" s="12">
        <v>400</v>
      </c>
      <c r="M2460" s="12">
        <v>300.032917</v>
      </c>
      <c r="N2460" s="12">
        <v>3000</v>
      </c>
      <c r="O2460" s="12">
        <v>400</v>
      </c>
      <c r="P2460" s="12">
        <v>0.5</v>
      </c>
      <c r="Q2460" s="12">
        <v>0.85</v>
      </c>
      <c r="R2460" s="12">
        <v>0.75</v>
      </c>
      <c r="S2460" s="12">
        <v>0.85</v>
      </c>
      <c r="T2460" s="12">
        <v>0.75</v>
      </c>
      <c r="U2460" s="12">
        <v>0.9</v>
      </c>
      <c r="V2460" s="12">
        <v>300.032917</v>
      </c>
      <c r="W2460" s="12">
        <v>8.8414842180584188</v>
      </c>
      <c r="X2460" s="12">
        <v>24.80149985170236</v>
      </c>
      <c r="Y2460" s="12">
        <v>2600</v>
      </c>
      <c r="Z2460" s="12">
        <v>7.5</v>
      </c>
      <c r="AA2460" s="12" t="s">
        <v>1268</v>
      </c>
      <c r="AB2460" s="12"/>
    </row>
    <row r="2461" spans="1:28" x14ac:dyDescent="0.3">
      <c r="A2461" s="12" t="s">
        <v>4375</v>
      </c>
      <c r="B2461" s="12" t="s">
        <v>180</v>
      </c>
      <c r="C2461" s="12" t="s">
        <v>180</v>
      </c>
      <c r="D2461" s="12" t="s">
        <v>181</v>
      </c>
      <c r="E2461" s="12" t="s">
        <v>1886</v>
      </c>
      <c r="F2461" s="12" t="s">
        <v>1861</v>
      </c>
      <c r="G2461" s="12" t="s">
        <v>1861</v>
      </c>
      <c r="H2461" s="12" t="b">
        <v>1</v>
      </c>
      <c r="I2461" s="12" t="b">
        <v>0</v>
      </c>
      <c r="J2461" s="12" t="b">
        <v>0</v>
      </c>
      <c r="K2461" s="12" t="b">
        <v>0</v>
      </c>
      <c r="L2461" s="12">
        <v>402.5</v>
      </c>
      <c r="M2461" s="12">
        <v>300.032917</v>
      </c>
      <c r="N2461" s="12">
        <v>3000</v>
      </c>
      <c r="O2461" s="12">
        <v>400</v>
      </c>
      <c r="P2461" s="12">
        <v>0.5</v>
      </c>
      <c r="Q2461" s="12">
        <v>0.85</v>
      </c>
      <c r="R2461" s="12">
        <v>0.75</v>
      </c>
      <c r="S2461" s="12">
        <v>0.85</v>
      </c>
      <c r="T2461" s="12">
        <v>0.75</v>
      </c>
      <c r="U2461" s="12">
        <v>0.9</v>
      </c>
      <c r="V2461" s="12">
        <v>300.032917</v>
      </c>
      <c r="W2461" s="12">
        <v>9.5571365036635498</v>
      </c>
      <c r="X2461" s="12">
        <v>29.76782087944019</v>
      </c>
      <c r="Y2461" s="12">
        <v>2600</v>
      </c>
      <c r="Z2461" s="12">
        <v>7.5</v>
      </c>
      <c r="AA2461" s="12" t="s">
        <v>1268</v>
      </c>
      <c r="AB2461" s="12"/>
    </row>
    <row r="2462" spans="1:28" x14ac:dyDescent="0.3">
      <c r="A2462" s="12" t="s">
        <v>4376</v>
      </c>
      <c r="B2462" s="12" t="s">
        <v>180</v>
      </c>
      <c r="C2462" s="12" t="s">
        <v>180</v>
      </c>
      <c r="D2462" s="12" t="s">
        <v>181</v>
      </c>
      <c r="E2462" s="12" t="s">
        <v>1886</v>
      </c>
      <c r="F2462" s="12" t="s">
        <v>1861</v>
      </c>
      <c r="G2462" s="12" t="s">
        <v>1861</v>
      </c>
      <c r="H2462" s="12" t="b">
        <v>1</v>
      </c>
      <c r="I2462" s="12" t="b">
        <v>0</v>
      </c>
      <c r="J2462" s="12" t="b">
        <v>0</v>
      </c>
      <c r="K2462" s="12" t="b">
        <v>0</v>
      </c>
      <c r="L2462" s="12">
        <v>405</v>
      </c>
      <c r="M2462" s="12">
        <v>300.032917</v>
      </c>
      <c r="N2462" s="12">
        <v>3000</v>
      </c>
      <c r="O2462" s="12">
        <v>400</v>
      </c>
      <c r="P2462" s="12">
        <v>0.5</v>
      </c>
      <c r="Q2462" s="12">
        <v>0.85</v>
      </c>
      <c r="R2462" s="12">
        <v>0.75</v>
      </c>
      <c r="S2462" s="12">
        <v>0.85</v>
      </c>
      <c r="T2462" s="12">
        <v>0.75</v>
      </c>
      <c r="U2462" s="12">
        <v>0.9</v>
      </c>
      <c r="V2462" s="12">
        <v>300.032917</v>
      </c>
      <c r="W2462" s="12">
        <v>10.13378009899356</v>
      </c>
      <c r="X2462" s="12">
        <v>34.665839753917098</v>
      </c>
      <c r="Y2462" s="12">
        <v>2600</v>
      </c>
      <c r="Z2462" s="12">
        <v>7.5</v>
      </c>
      <c r="AA2462" s="12" t="s">
        <v>1268</v>
      </c>
      <c r="AB2462" s="12"/>
    </row>
    <row r="2463" spans="1:28" x14ac:dyDescent="0.3">
      <c r="A2463" s="12" t="s">
        <v>4377</v>
      </c>
      <c r="B2463" s="12" t="s">
        <v>180</v>
      </c>
      <c r="C2463" s="12" t="s">
        <v>180</v>
      </c>
      <c r="D2463" s="12" t="s">
        <v>181</v>
      </c>
      <c r="E2463" s="12" t="s">
        <v>1886</v>
      </c>
      <c r="F2463" s="12" t="s">
        <v>1861</v>
      </c>
      <c r="G2463" s="12" t="s">
        <v>1861</v>
      </c>
      <c r="H2463" s="12" t="b">
        <v>1</v>
      </c>
      <c r="I2463" s="12" t="b">
        <v>0</v>
      </c>
      <c r="J2463" s="12" t="b">
        <v>0</v>
      </c>
      <c r="K2463" s="12" t="b">
        <v>0</v>
      </c>
      <c r="L2463" s="12">
        <v>407.5</v>
      </c>
      <c r="M2463" s="12">
        <v>300.032917</v>
      </c>
      <c r="N2463" s="12">
        <v>3000</v>
      </c>
      <c r="O2463" s="12">
        <v>400</v>
      </c>
      <c r="P2463" s="12">
        <v>0.5</v>
      </c>
      <c r="Q2463" s="12">
        <v>0.85</v>
      </c>
      <c r="R2463" s="12">
        <v>0.75</v>
      </c>
      <c r="S2463" s="12">
        <v>0.85</v>
      </c>
      <c r="T2463" s="12">
        <v>0.75</v>
      </c>
      <c r="U2463" s="12">
        <v>0.9</v>
      </c>
      <c r="V2463" s="12">
        <v>300.032917</v>
      </c>
      <c r="W2463" s="12">
        <v>10.608659513745931</v>
      </c>
      <c r="X2463" s="12">
        <v>39.517494608120508</v>
      </c>
      <c r="Y2463" s="12">
        <v>2600</v>
      </c>
      <c r="Z2463" s="12">
        <v>7.5</v>
      </c>
      <c r="AA2463" s="12" t="s">
        <v>1268</v>
      </c>
      <c r="AB2463" s="12"/>
    </row>
    <row r="2464" spans="1:28" x14ac:dyDescent="0.3">
      <c r="A2464" s="12" t="s">
        <v>4378</v>
      </c>
      <c r="B2464" s="12" t="s">
        <v>180</v>
      </c>
      <c r="C2464" s="12" t="s">
        <v>180</v>
      </c>
      <c r="D2464" s="12" t="s">
        <v>181</v>
      </c>
      <c r="E2464" s="12" t="s">
        <v>1886</v>
      </c>
      <c r="F2464" s="12" t="s">
        <v>1861</v>
      </c>
      <c r="G2464" s="12" t="s">
        <v>1861</v>
      </c>
      <c r="H2464" s="12" t="b">
        <v>1</v>
      </c>
      <c r="I2464" s="12" t="b">
        <v>0</v>
      </c>
      <c r="J2464" s="12" t="b">
        <v>0</v>
      </c>
      <c r="K2464" s="12" t="b">
        <v>0</v>
      </c>
      <c r="L2464" s="12">
        <v>410</v>
      </c>
      <c r="M2464" s="12">
        <v>300.032917</v>
      </c>
      <c r="N2464" s="12">
        <v>3000</v>
      </c>
      <c r="O2464" s="12">
        <v>400</v>
      </c>
      <c r="P2464" s="12">
        <v>0.5</v>
      </c>
      <c r="Q2464" s="12">
        <v>0.85</v>
      </c>
      <c r="R2464" s="12">
        <v>0.75</v>
      </c>
      <c r="S2464" s="12">
        <v>0.85</v>
      </c>
      <c r="T2464" s="12">
        <v>0.75</v>
      </c>
      <c r="U2464" s="12">
        <v>0.9</v>
      </c>
      <c r="V2464" s="12">
        <v>300.032917</v>
      </c>
      <c r="W2464" s="12">
        <v>11.006511047172889</v>
      </c>
      <c r="X2464" s="12">
        <v>44.343569587022607</v>
      </c>
      <c r="Y2464" s="12">
        <v>2600</v>
      </c>
      <c r="Z2464" s="12">
        <v>7.5</v>
      </c>
      <c r="AA2464" s="12" t="s">
        <v>1268</v>
      </c>
      <c r="AB2464" s="12"/>
    </row>
    <row r="2465" spans="1:28" x14ac:dyDescent="0.3">
      <c r="A2465" s="12" t="s">
        <v>4379</v>
      </c>
      <c r="B2465" s="12" t="s">
        <v>180</v>
      </c>
      <c r="C2465" s="12" t="s">
        <v>180</v>
      </c>
      <c r="D2465" s="12" t="s">
        <v>181</v>
      </c>
      <c r="E2465" s="12" t="s">
        <v>1886</v>
      </c>
      <c r="F2465" s="12" t="s">
        <v>1862</v>
      </c>
      <c r="G2465" s="12" t="s">
        <v>1862</v>
      </c>
      <c r="H2465" s="12" t="b">
        <v>1</v>
      </c>
      <c r="I2465" s="12" t="b">
        <v>0</v>
      </c>
      <c r="J2465" s="12" t="b">
        <v>0</v>
      </c>
      <c r="K2465" s="12" t="b">
        <v>0</v>
      </c>
      <c r="L2465" s="12">
        <v>387.5</v>
      </c>
      <c r="M2465" s="12">
        <v>300.032917</v>
      </c>
      <c r="N2465" s="12">
        <v>3000</v>
      </c>
      <c r="O2465" s="12">
        <v>400</v>
      </c>
      <c r="P2465" s="12">
        <v>0.5</v>
      </c>
      <c r="Q2465" s="12">
        <v>0.85</v>
      </c>
      <c r="R2465" s="12">
        <v>0.75</v>
      </c>
      <c r="S2465" s="12">
        <v>0.85</v>
      </c>
      <c r="T2465" s="12">
        <v>0.75</v>
      </c>
      <c r="U2465" s="12">
        <v>0.92500000000000004</v>
      </c>
      <c r="V2465" s="12">
        <v>300.032917</v>
      </c>
      <c r="W2465" s="12">
        <v>-1.73295061259835</v>
      </c>
      <c r="X2465" s="12">
        <v>-1.985195986767009</v>
      </c>
      <c r="Y2465" s="12">
        <v>2600</v>
      </c>
      <c r="Z2465" s="12">
        <v>7.5</v>
      </c>
      <c r="AA2465" s="12" t="s">
        <v>1696</v>
      </c>
      <c r="AB2465" s="12"/>
    </row>
    <row r="2466" spans="1:28" x14ac:dyDescent="0.3">
      <c r="A2466" s="12" t="s">
        <v>4380</v>
      </c>
      <c r="B2466" s="12" t="s">
        <v>180</v>
      </c>
      <c r="C2466" s="12" t="s">
        <v>180</v>
      </c>
      <c r="D2466" s="12" t="s">
        <v>181</v>
      </c>
      <c r="E2466" s="12" t="s">
        <v>1886</v>
      </c>
      <c r="F2466" s="12" t="s">
        <v>1863</v>
      </c>
      <c r="G2466" s="12" t="s">
        <v>832</v>
      </c>
      <c r="H2466" s="12" t="b">
        <v>0</v>
      </c>
      <c r="I2466" s="12" t="b">
        <v>0</v>
      </c>
      <c r="J2466" s="12" t="b">
        <v>0</v>
      </c>
      <c r="K2466" s="12" t="b">
        <v>0</v>
      </c>
      <c r="L2466" s="12">
        <v>385</v>
      </c>
      <c r="M2466" s="12">
        <v>300.032917</v>
      </c>
      <c r="N2466" s="12">
        <v>3000</v>
      </c>
      <c r="O2466" s="12">
        <v>400</v>
      </c>
      <c r="P2466" s="12">
        <v>0.5</v>
      </c>
      <c r="Q2466" s="12">
        <v>0.85</v>
      </c>
      <c r="R2466" s="12">
        <v>0.75</v>
      </c>
      <c r="S2466" s="12">
        <v>0.85</v>
      </c>
      <c r="T2466" s="12">
        <v>0.75</v>
      </c>
      <c r="U2466" s="12">
        <v>0.92500000000000004</v>
      </c>
      <c r="V2466" s="12">
        <v>300.032917</v>
      </c>
      <c r="W2466" s="12">
        <v>-17.368505764442499</v>
      </c>
      <c r="X2466" s="12">
        <v>-14.457707318865159</v>
      </c>
      <c r="Y2466" s="12">
        <v>2600</v>
      </c>
      <c r="Z2466" s="12">
        <v>7.5</v>
      </c>
      <c r="AA2466" s="12" t="s">
        <v>2846</v>
      </c>
      <c r="AB2466" s="12"/>
    </row>
    <row r="2467" spans="1:28" x14ac:dyDescent="0.3">
      <c r="A2467" s="12" t="s">
        <v>4381</v>
      </c>
      <c r="B2467" s="12" t="s">
        <v>180</v>
      </c>
      <c r="C2467" s="12" t="s">
        <v>180</v>
      </c>
      <c r="D2467" s="12" t="s">
        <v>181</v>
      </c>
      <c r="E2467" s="12" t="s">
        <v>1886</v>
      </c>
      <c r="F2467" s="12" t="s">
        <v>32</v>
      </c>
      <c r="G2467" s="12" t="s">
        <v>32</v>
      </c>
      <c r="H2467" s="12" t="b">
        <v>1</v>
      </c>
      <c r="I2467" s="12" t="b">
        <v>1</v>
      </c>
      <c r="J2467" s="12" t="b">
        <v>0</v>
      </c>
      <c r="K2467" s="12" t="b">
        <v>0</v>
      </c>
      <c r="L2467" s="12">
        <v>390</v>
      </c>
      <c r="M2467" s="12">
        <v>300.032917</v>
      </c>
      <c r="N2467" s="12">
        <v>3000</v>
      </c>
      <c r="O2467" s="12">
        <v>400</v>
      </c>
      <c r="P2467" s="12">
        <v>0.5</v>
      </c>
      <c r="Q2467" s="12">
        <v>0.85</v>
      </c>
      <c r="R2467" s="12">
        <v>0.75</v>
      </c>
      <c r="S2467" s="12">
        <v>0.85</v>
      </c>
      <c r="T2467" s="12">
        <v>0.75</v>
      </c>
      <c r="U2467" s="12">
        <v>0.92500000000000004</v>
      </c>
      <c r="V2467" s="12">
        <v>300.032917</v>
      </c>
      <c r="W2467" s="12">
        <v>2.4727695881038398</v>
      </c>
      <c r="X2467" s="12">
        <v>3.721478139534681</v>
      </c>
      <c r="Y2467" s="12">
        <v>2600</v>
      </c>
      <c r="Z2467" s="12">
        <v>7.5</v>
      </c>
      <c r="AA2467" s="12"/>
      <c r="AB2467" s="12"/>
    </row>
    <row r="2468" spans="1:28" x14ac:dyDescent="0.3">
      <c r="A2468" s="12" t="s">
        <v>4382</v>
      </c>
      <c r="B2468" s="12" t="s">
        <v>180</v>
      </c>
      <c r="C2468" s="12" t="s">
        <v>180</v>
      </c>
      <c r="D2468" s="12" t="s">
        <v>181</v>
      </c>
      <c r="E2468" s="12" t="s">
        <v>1886</v>
      </c>
      <c r="F2468" s="12" t="s">
        <v>32</v>
      </c>
      <c r="G2468" s="12" t="s">
        <v>32</v>
      </c>
      <c r="H2468" s="12" t="b">
        <v>1</v>
      </c>
      <c r="I2468" s="12" t="b">
        <v>1</v>
      </c>
      <c r="J2468" s="12" t="b">
        <v>0</v>
      </c>
      <c r="K2468" s="12" t="b">
        <v>0</v>
      </c>
      <c r="L2468" s="12">
        <v>392.5</v>
      </c>
      <c r="M2468" s="12">
        <v>300.032917</v>
      </c>
      <c r="N2468" s="12">
        <v>3000</v>
      </c>
      <c r="O2468" s="12">
        <v>400</v>
      </c>
      <c r="P2468" s="12">
        <v>0.5</v>
      </c>
      <c r="Q2468" s="12">
        <v>0.85</v>
      </c>
      <c r="R2468" s="12">
        <v>0.75</v>
      </c>
      <c r="S2468" s="12">
        <v>0.85</v>
      </c>
      <c r="T2468" s="12">
        <v>0.75</v>
      </c>
      <c r="U2468" s="12">
        <v>0.92500000000000004</v>
      </c>
      <c r="V2468" s="12">
        <v>300.032917</v>
      </c>
      <c r="W2468" s="12">
        <v>4.9793682214517698</v>
      </c>
      <c r="X2468" s="12">
        <v>9.2134311366995796</v>
      </c>
      <c r="Y2468" s="12">
        <v>2600</v>
      </c>
      <c r="Z2468" s="12">
        <v>7.5</v>
      </c>
      <c r="AA2468" s="12"/>
      <c r="AB2468" s="12"/>
    </row>
    <row r="2469" spans="1:28" x14ac:dyDescent="0.3">
      <c r="A2469" s="12" t="s">
        <v>4383</v>
      </c>
      <c r="B2469" s="12" t="s">
        <v>180</v>
      </c>
      <c r="C2469" s="12" t="s">
        <v>180</v>
      </c>
      <c r="D2469" s="12" t="s">
        <v>181</v>
      </c>
      <c r="E2469" s="12" t="s">
        <v>1886</v>
      </c>
      <c r="F2469" s="12" t="s">
        <v>1861</v>
      </c>
      <c r="G2469" s="12" t="s">
        <v>1861</v>
      </c>
      <c r="H2469" s="12" t="b">
        <v>1</v>
      </c>
      <c r="I2469" s="12" t="b">
        <v>0</v>
      </c>
      <c r="J2469" s="12" t="b">
        <v>0</v>
      </c>
      <c r="K2469" s="12" t="b">
        <v>0</v>
      </c>
      <c r="L2469" s="12">
        <v>400</v>
      </c>
      <c r="M2469" s="12">
        <v>300.032917</v>
      </c>
      <c r="N2469" s="12">
        <v>3000</v>
      </c>
      <c r="O2469" s="12">
        <v>400</v>
      </c>
      <c r="P2469" s="12">
        <v>0.5</v>
      </c>
      <c r="Q2469" s="12">
        <v>0.85</v>
      </c>
      <c r="R2469" s="12">
        <v>0.75</v>
      </c>
      <c r="S2469" s="12">
        <v>0.85</v>
      </c>
      <c r="T2469" s="12">
        <v>0.75</v>
      </c>
      <c r="U2469" s="12">
        <v>0.92500000000000004</v>
      </c>
      <c r="V2469" s="12">
        <v>300.032917</v>
      </c>
      <c r="W2469" s="12">
        <v>8.761314683736229</v>
      </c>
      <c r="X2469" s="12">
        <v>24.7703499573587</v>
      </c>
      <c r="Y2469" s="12">
        <v>2600</v>
      </c>
      <c r="Z2469" s="12">
        <v>7.5</v>
      </c>
      <c r="AA2469" s="12" t="s">
        <v>1268</v>
      </c>
      <c r="AB2469" s="12"/>
    </row>
    <row r="2470" spans="1:28" x14ac:dyDescent="0.3">
      <c r="A2470" s="12" t="s">
        <v>4384</v>
      </c>
      <c r="B2470" s="12" t="s">
        <v>180</v>
      </c>
      <c r="C2470" s="12" t="s">
        <v>180</v>
      </c>
      <c r="D2470" s="12" t="s">
        <v>181</v>
      </c>
      <c r="E2470" s="12" t="s">
        <v>1886</v>
      </c>
      <c r="F2470" s="12" t="s">
        <v>32</v>
      </c>
      <c r="G2470" s="12" t="s">
        <v>32</v>
      </c>
      <c r="H2470" s="12" t="b">
        <v>1</v>
      </c>
      <c r="I2470" s="12" t="b">
        <v>1</v>
      </c>
      <c r="J2470" s="12" t="b">
        <v>0</v>
      </c>
      <c r="K2470" s="12" t="b">
        <v>0</v>
      </c>
      <c r="L2470" s="12">
        <v>395</v>
      </c>
      <c r="M2470" s="12">
        <v>300.032917</v>
      </c>
      <c r="N2470" s="12">
        <v>3000</v>
      </c>
      <c r="O2470" s="12">
        <v>400</v>
      </c>
      <c r="P2470" s="12">
        <v>0.5</v>
      </c>
      <c r="Q2470" s="12">
        <v>0.85</v>
      </c>
      <c r="R2470" s="12">
        <v>0.75</v>
      </c>
      <c r="S2470" s="12">
        <v>0.85</v>
      </c>
      <c r="T2470" s="12">
        <v>0.75</v>
      </c>
      <c r="U2470" s="12">
        <v>0.92500000000000004</v>
      </c>
      <c r="V2470" s="12">
        <v>300.032917</v>
      </c>
      <c r="W2470" s="12">
        <v>6.6523253404369296</v>
      </c>
      <c r="X2470" s="12">
        <v>14.53053450803232</v>
      </c>
      <c r="Y2470" s="12">
        <v>2600</v>
      </c>
      <c r="Z2470" s="12">
        <v>7.5</v>
      </c>
      <c r="AA2470" s="12"/>
      <c r="AB2470" s="12"/>
    </row>
    <row r="2471" spans="1:28" x14ac:dyDescent="0.3">
      <c r="A2471" s="12" t="s">
        <v>4385</v>
      </c>
      <c r="B2471" s="12" t="s">
        <v>180</v>
      </c>
      <c r="C2471" s="12" t="s">
        <v>180</v>
      </c>
      <c r="D2471" s="12" t="s">
        <v>181</v>
      </c>
      <c r="E2471" s="12" t="s">
        <v>1886</v>
      </c>
      <c r="F2471" s="12" t="s">
        <v>32</v>
      </c>
      <c r="G2471" s="12" t="s">
        <v>32</v>
      </c>
      <c r="H2471" s="12" t="b">
        <v>1</v>
      </c>
      <c r="I2471" s="12" t="b">
        <v>1</v>
      </c>
      <c r="J2471" s="12" t="b">
        <v>0</v>
      </c>
      <c r="K2471" s="12" t="b">
        <v>0</v>
      </c>
      <c r="L2471" s="12">
        <v>397.5</v>
      </c>
      <c r="M2471" s="12">
        <v>300.032917</v>
      </c>
      <c r="N2471" s="12">
        <v>3000</v>
      </c>
      <c r="O2471" s="12">
        <v>400</v>
      </c>
      <c r="P2471" s="12">
        <v>0.5</v>
      </c>
      <c r="Q2471" s="12">
        <v>0.85</v>
      </c>
      <c r="R2471" s="12">
        <v>0.75</v>
      </c>
      <c r="S2471" s="12">
        <v>0.85</v>
      </c>
      <c r="T2471" s="12">
        <v>0.75</v>
      </c>
      <c r="U2471" s="12">
        <v>0.92500000000000004</v>
      </c>
      <c r="V2471" s="12">
        <v>300.032917</v>
      </c>
      <c r="W2471" s="12">
        <v>7.8535957676847596</v>
      </c>
      <c r="X2471" s="12">
        <v>19.706450405160869</v>
      </c>
      <c r="Y2471" s="12">
        <v>2600</v>
      </c>
      <c r="Z2471" s="12">
        <v>7.5</v>
      </c>
      <c r="AA2471" s="12"/>
      <c r="AB2471" s="12"/>
    </row>
    <row r="2472" spans="1:28" x14ac:dyDescent="0.3">
      <c r="A2472" s="12" t="s">
        <v>4386</v>
      </c>
      <c r="B2472" s="12" t="s">
        <v>180</v>
      </c>
      <c r="C2472" s="12" t="s">
        <v>180</v>
      </c>
      <c r="D2472" s="12" t="s">
        <v>181</v>
      </c>
      <c r="E2472" s="12" t="s">
        <v>1886</v>
      </c>
      <c r="F2472" s="12" t="s">
        <v>1861</v>
      </c>
      <c r="G2472" s="12" t="s">
        <v>1861</v>
      </c>
      <c r="H2472" s="12" t="b">
        <v>1</v>
      </c>
      <c r="I2472" s="12" t="b">
        <v>0</v>
      </c>
      <c r="J2472" s="12" t="b">
        <v>0</v>
      </c>
      <c r="K2472" s="12" t="b">
        <v>0</v>
      </c>
      <c r="L2472" s="12">
        <v>402.5</v>
      </c>
      <c r="M2472" s="12">
        <v>300.032917</v>
      </c>
      <c r="N2472" s="12">
        <v>3000</v>
      </c>
      <c r="O2472" s="12">
        <v>400</v>
      </c>
      <c r="P2472" s="12">
        <v>0.5</v>
      </c>
      <c r="Q2472" s="12">
        <v>0.85</v>
      </c>
      <c r="R2472" s="12">
        <v>0.75</v>
      </c>
      <c r="S2472" s="12">
        <v>0.85</v>
      </c>
      <c r="T2472" s="12">
        <v>0.75</v>
      </c>
      <c r="U2472" s="12">
        <v>0.92500000000000004</v>
      </c>
      <c r="V2472" s="12">
        <v>300.032917</v>
      </c>
      <c r="W2472" s="12">
        <v>9.4727899936297106</v>
      </c>
      <c r="X2472" s="12">
        <v>29.746359779649051</v>
      </c>
      <c r="Y2472" s="12">
        <v>2600</v>
      </c>
      <c r="Z2472" s="12">
        <v>7.5</v>
      </c>
      <c r="AA2472" s="12" t="s">
        <v>1268</v>
      </c>
      <c r="AB2472" s="12"/>
    </row>
    <row r="2473" spans="1:28" x14ac:dyDescent="0.3">
      <c r="A2473" s="12" t="s">
        <v>4387</v>
      </c>
      <c r="B2473" s="12" t="s">
        <v>180</v>
      </c>
      <c r="C2473" s="12" t="s">
        <v>180</v>
      </c>
      <c r="D2473" s="12" t="s">
        <v>181</v>
      </c>
      <c r="E2473" s="12" t="s">
        <v>1886</v>
      </c>
      <c r="F2473" s="12" t="s">
        <v>1861</v>
      </c>
      <c r="G2473" s="12" t="s">
        <v>1861</v>
      </c>
      <c r="H2473" s="12" t="b">
        <v>1</v>
      </c>
      <c r="I2473" s="12" t="b">
        <v>0</v>
      </c>
      <c r="J2473" s="12" t="b">
        <v>0</v>
      </c>
      <c r="K2473" s="12" t="b">
        <v>0</v>
      </c>
      <c r="L2473" s="12">
        <v>405</v>
      </c>
      <c r="M2473" s="12">
        <v>300.032917</v>
      </c>
      <c r="N2473" s="12">
        <v>3000</v>
      </c>
      <c r="O2473" s="12">
        <v>400</v>
      </c>
      <c r="P2473" s="12">
        <v>0.5</v>
      </c>
      <c r="Q2473" s="12">
        <v>0.85</v>
      </c>
      <c r="R2473" s="12">
        <v>0.75</v>
      </c>
      <c r="S2473" s="12">
        <v>0.85</v>
      </c>
      <c r="T2473" s="12">
        <v>0.75</v>
      </c>
      <c r="U2473" s="12">
        <v>0.92500000000000004</v>
      </c>
      <c r="V2473" s="12">
        <v>300.032917</v>
      </c>
      <c r="W2473" s="12">
        <v>10.04594616129781</v>
      </c>
      <c r="X2473" s="12">
        <v>34.656347237362901</v>
      </c>
      <c r="Y2473" s="12">
        <v>2600</v>
      </c>
      <c r="Z2473" s="12">
        <v>7.5</v>
      </c>
      <c r="AA2473" s="12" t="s">
        <v>1268</v>
      </c>
      <c r="AB2473" s="12"/>
    </row>
    <row r="2474" spans="1:28" x14ac:dyDescent="0.3">
      <c r="A2474" s="12" t="s">
        <v>4388</v>
      </c>
      <c r="B2474" s="12" t="s">
        <v>180</v>
      </c>
      <c r="C2474" s="12" t="s">
        <v>180</v>
      </c>
      <c r="D2474" s="12" t="s">
        <v>181</v>
      </c>
      <c r="E2474" s="12" t="s">
        <v>1886</v>
      </c>
      <c r="F2474" s="12" t="s">
        <v>1861</v>
      </c>
      <c r="G2474" s="12" t="s">
        <v>1861</v>
      </c>
      <c r="H2474" s="12" t="b">
        <v>1</v>
      </c>
      <c r="I2474" s="12" t="b">
        <v>0</v>
      </c>
      <c r="J2474" s="12" t="b">
        <v>0</v>
      </c>
      <c r="K2474" s="12" t="b">
        <v>0</v>
      </c>
      <c r="L2474" s="12">
        <v>407.5</v>
      </c>
      <c r="M2474" s="12">
        <v>300.032917</v>
      </c>
      <c r="N2474" s="12">
        <v>3000</v>
      </c>
      <c r="O2474" s="12">
        <v>400</v>
      </c>
      <c r="P2474" s="12">
        <v>0.5</v>
      </c>
      <c r="Q2474" s="12">
        <v>0.85</v>
      </c>
      <c r="R2474" s="12">
        <v>0.75</v>
      </c>
      <c r="S2474" s="12">
        <v>0.85</v>
      </c>
      <c r="T2474" s="12">
        <v>0.75</v>
      </c>
      <c r="U2474" s="12">
        <v>0.92500000000000004</v>
      </c>
      <c r="V2474" s="12">
        <v>300.032917</v>
      </c>
      <c r="W2474" s="12">
        <v>10.517870547071929</v>
      </c>
      <c r="X2474" s="12">
        <v>39.522269516997397</v>
      </c>
      <c r="Y2474" s="12">
        <v>2600</v>
      </c>
      <c r="Z2474" s="12">
        <v>7.5</v>
      </c>
      <c r="AA2474" s="12" t="s">
        <v>1268</v>
      </c>
      <c r="AB2474" s="12"/>
    </row>
    <row r="2475" spans="1:28" x14ac:dyDescent="0.3">
      <c r="A2475" s="12" t="s">
        <v>4389</v>
      </c>
      <c r="B2475" s="12" t="s">
        <v>180</v>
      </c>
      <c r="C2475" s="12" t="s">
        <v>180</v>
      </c>
      <c r="D2475" s="12" t="s">
        <v>181</v>
      </c>
      <c r="E2475" s="12" t="s">
        <v>1886</v>
      </c>
      <c r="F2475" s="12" t="s">
        <v>1861</v>
      </c>
      <c r="G2475" s="12" t="s">
        <v>1861</v>
      </c>
      <c r="H2475" s="12" t="b">
        <v>1</v>
      </c>
      <c r="I2475" s="12" t="b">
        <v>0</v>
      </c>
      <c r="J2475" s="12" t="b">
        <v>0</v>
      </c>
      <c r="K2475" s="12" t="b">
        <v>0</v>
      </c>
      <c r="L2475" s="12">
        <v>410</v>
      </c>
      <c r="M2475" s="12">
        <v>300.032917</v>
      </c>
      <c r="N2475" s="12">
        <v>3000</v>
      </c>
      <c r="O2475" s="12">
        <v>400</v>
      </c>
      <c r="P2475" s="12">
        <v>0.5</v>
      </c>
      <c r="Q2475" s="12">
        <v>0.85</v>
      </c>
      <c r="R2475" s="12">
        <v>0.75</v>
      </c>
      <c r="S2475" s="12">
        <v>0.85</v>
      </c>
      <c r="T2475" s="12">
        <v>0.75</v>
      </c>
      <c r="U2475" s="12">
        <v>0.92500000000000004</v>
      </c>
      <c r="V2475" s="12">
        <v>300.032917</v>
      </c>
      <c r="W2475" s="12">
        <v>10.91319668505189</v>
      </c>
      <c r="X2475" s="12">
        <v>44.364974066714552</v>
      </c>
      <c r="Y2475" s="12">
        <v>2600</v>
      </c>
      <c r="Z2475" s="12">
        <v>7.5</v>
      </c>
      <c r="AA2475" s="12" t="s">
        <v>1268</v>
      </c>
      <c r="AB2475" s="12"/>
    </row>
    <row r="2476" spans="1:28" x14ac:dyDescent="0.3">
      <c r="A2476" s="12" t="s">
        <v>4390</v>
      </c>
      <c r="B2476" s="12" t="s">
        <v>180</v>
      </c>
      <c r="C2476" s="12" t="s">
        <v>180</v>
      </c>
      <c r="D2476" s="12" t="s">
        <v>181</v>
      </c>
      <c r="E2476" s="12" t="s">
        <v>1886</v>
      </c>
      <c r="F2476" s="12" t="s">
        <v>1862</v>
      </c>
      <c r="G2476" s="12" t="s">
        <v>1862</v>
      </c>
      <c r="H2476" s="12" t="b">
        <v>1</v>
      </c>
      <c r="I2476" s="12" t="b">
        <v>0</v>
      </c>
      <c r="J2476" s="12" t="b">
        <v>0</v>
      </c>
      <c r="K2476" s="12" t="b">
        <v>0</v>
      </c>
      <c r="L2476" s="12">
        <v>387.5</v>
      </c>
      <c r="M2476" s="12">
        <v>300.032917</v>
      </c>
      <c r="N2476" s="12">
        <v>3000</v>
      </c>
      <c r="O2476" s="12">
        <v>400</v>
      </c>
      <c r="P2476" s="12">
        <v>0.5</v>
      </c>
      <c r="Q2476" s="12">
        <v>0.85</v>
      </c>
      <c r="R2476" s="12">
        <v>0.75</v>
      </c>
      <c r="S2476" s="12">
        <v>0.85</v>
      </c>
      <c r="T2476" s="12">
        <v>0.75</v>
      </c>
      <c r="U2476" s="12">
        <v>0.95</v>
      </c>
      <c r="V2476" s="12">
        <v>300.032917</v>
      </c>
      <c r="W2476" s="12">
        <v>-1.73640133275227</v>
      </c>
      <c r="X2476" s="12">
        <v>-2.0016214488536441</v>
      </c>
      <c r="Y2476" s="12">
        <v>2600</v>
      </c>
      <c r="Z2476" s="12">
        <v>7.5</v>
      </c>
      <c r="AA2476" s="12" t="s">
        <v>1696</v>
      </c>
      <c r="AB2476" s="12"/>
    </row>
    <row r="2477" spans="1:28" x14ac:dyDescent="0.3">
      <c r="A2477" s="12" t="s">
        <v>4391</v>
      </c>
      <c r="B2477" s="12" t="s">
        <v>180</v>
      </c>
      <c r="C2477" s="12" t="s">
        <v>180</v>
      </c>
      <c r="D2477" s="12" t="s">
        <v>181</v>
      </c>
      <c r="E2477" s="12" t="s">
        <v>1886</v>
      </c>
      <c r="F2477" s="12" t="s">
        <v>32</v>
      </c>
      <c r="G2477" s="12" t="s">
        <v>32</v>
      </c>
      <c r="H2477" s="12" t="b">
        <v>1</v>
      </c>
      <c r="I2477" s="12" t="b">
        <v>1</v>
      </c>
      <c r="J2477" s="12" t="b">
        <v>0</v>
      </c>
      <c r="K2477" s="12" t="b">
        <v>0</v>
      </c>
      <c r="L2477" s="12">
        <v>390</v>
      </c>
      <c r="M2477" s="12">
        <v>300.032917</v>
      </c>
      <c r="N2477" s="12">
        <v>3000</v>
      </c>
      <c r="O2477" s="12">
        <v>400</v>
      </c>
      <c r="P2477" s="12">
        <v>0.5</v>
      </c>
      <c r="Q2477" s="12">
        <v>0.85</v>
      </c>
      <c r="R2477" s="12">
        <v>0.75</v>
      </c>
      <c r="S2477" s="12">
        <v>0.85</v>
      </c>
      <c r="T2477" s="12">
        <v>0.75</v>
      </c>
      <c r="U2477" s="12">
        <v>0.95</v>
      </c>
      <c r="V2477" s="12">
        <v>300.032917</v>
      </c>
      <c r="W2477" s="12">
        <v>2.4420791897284002</v>
      </c>
      <c r="X2477" s="12">
        <v>3.6990100573560478</v>
      </c>
      <c r="Y2477" s="12">
        <v>2600</v>
      </c>
      <c r="Z2477" s="12">
        <v>7.5</v>
      </c>
      <c r="AA2477" s="12"/>
      <c r="AB2477" s="12"/>
    </row>
    <row r="2478" spans="1:28" x14ac:dyDescent="0.3">
      <c r="A2478" s="12" t="s">
        <v>4392</v>
      </c>
      <c r="B2478" s="12" t="s">
        <v>180</v>
      </c>
      <c r="C2478" s="12" t="s">
        <v>180</v>
      </c>
      <c r="D2478" s="12" t="s">
        <v>181</v>
      </c>
      <c r="E2478" s="12" t="s">
        <v>1886</v>
      </c>
      <c r="F2478" s="12" t="s">
        <v>1863</v>
      </c>
      <c r="G2478" s="12" t="s">
        <v>832</v>
      </c>
      <c r="H2478" s="12" t="b">
        <v>0</v>
      </c>
      <c r="I2478" s="12" t="b">
        <v>0</v>
      </c>
      <c r="J2478" s="12" t="b">
        <v>0</v>
      </c>
      <c r="K2478" s="12" t="b">
        <v>0</v>
      </c>
      <c r="L2478" s="12">
        <v>385</v>
      </c>
      <c r="M2478" s="12">
        <v>300.032917</v>
      </c>
      <c r="N2478" s="12">
        <v>3000</v>
      </c>
      <c r="O2478" s="12">
        <v>400</v>
      </c>
      <c r="P2478" s="12">
        <v>0.5</v>
      </c>
      <c r="Q2478" s="12">
        <v>0.85</v>
      </c>
      <c r="R2478" s="12">
        <v>0.75</v>
      </c>
      <c r="S2478" s="12">
        <v>0.85</v>
      </c>
      <c r="T2478" s="12">
        <v>0.75</v>
      </c>
      <c r="U2478" s="12">
        <v>0.95</v>
      </c>
      <c r="V2478" s="12">
        <v>300.032917</v>
      </c>
      <c r="W2478" s="12">
        <v>-17.346436343355471</v>
      </c>
      <c r="X2478" s="12">
        <v>-14.483873713454029</v>
      </c>
      <c r="Y2478" s="12">
        <v>2600</v>
      </c>
      <c r="Z2478" s="12">
        <v>7.5</v>
      </c>
      <c r="AA2478" s="12" t="s">
        <v>2846</v>
      </c>
      <c r="AB2478" s="12"/>
    </row>
    <row r="2479" spans="1:28" x14ac:dyDescent="0.3">
      <c r="A2479" s="12" t="s">
        <v>4393</v>
      </c>
      <c r="B2479" s="12" t="s">
        <v>180</v>
      </c>
      <c r="C2479" s="12" t="s">
        <v>180</v>
      </c>
      <c r="D2479" s="12" t="s">
        <v>181</v>
      </c>
      <c r="E2479" s="12" t="s">
        <v>1886</v>
      </c>
      <c r="F2479" s="12" t="s">
        <v>32</v>
      </c>
      <c r="G2479" s="12" t="s">
        <v>32</v>
      </c>
      <c r="H2479" s="12" t="b">
        <v>1</v>
      </c>
      <c r="I2479" s="12" t="b">
        <v>1</v>
      </c>
      <c r="J2479" s="12" t="b">
        <v>0</v>
      </c>
      <c r="K2479" s="12" t="b">
        <v>0</v>
      </c>
      <c r="L2479" s="12">
        <v>392.5</v>
      </c>
      <c r="M2479" s="12">
        <v>300.032917</v>
      </c>
      <c r="N2479" s="12">
        <v>3000</v>
      </c>
      <c r="O2479" s="12">
        <v>400</v>
      </c>
      <c r="P2479" s="12">
        <v>0.5</v>
      </c>
      <c r="Q2479" s="12">
        <v>0.85</v>
      </c>
      <c r="R2479" s="12">
        <v>0.75</v>
      </c>
      <c r="S2479" s="12">
        <v>0.85</v>
      </c>
      <c r="T2479" s="12">
        <v>0.75</v>
      </c>
      <c r="U2479" s="12">
        <v>0.95</v>
      </c>
      <c r="V2479" s="12">
        <v>300.032917</v>
      </c>
      <c r="W2479" s="12">
        <v>4.9307179928396101</v>
      </c>
      <c r="X2479" s="12">
        <v>9.1845009038874004</v>
      </c>
      <c r="Y2479" s="12">
        <v>2600</v>
      </c>
      <c r="Z2479" s="12">
        <v>7.5</v>
      </c>
      <c r="AA2479" s="12"/>
      <c r="AB2479" s="12"/>
    </row>
    <row r="2480" spans="1:28" x14ac:dyDescent="0.3">
      <c r="A2480" s="12" t="s">
        <v>4394</v>
      </c>
      <c r="B2480" s="12" t="s">
        <v>180</v>
      </c>
      <c r="C2480" s="12" t="s">
        <v>180</v>
      </c>
      <c r="D2480" s="12" t="s">
        <v>181</v>
      </c>
      <c r="E2480" s="12" t="s">
        <v>1886</v>
      </c>
      <c r="F2480" s="12" t="s">
        <v>32</v>
      </c>
      <c r="G2480" s="12" t="s">
        <v>32</v>
      </c>
      <c r="H2480" s="12" t="b">
        <v>1</v>
      </c>
      <c r="I2480" s="12" t="b">
        <v>1</v>
      </c>
      <c r="J2480" s="12" t="b">
        <v>0</v>
      </c>
      <c r="K2480" s="12" t="b">
        <v>0</v>
      </c>
      <c r="L2480" s="12">
        <v>395</v>
      </c>
      <c r="M2480" s="12">
        <v>300.032917</v>
      </c>
      <c r="N2480" s="12">
        <v>3000</v>
      </c>
      <c r="O2480" s="12">
        <v>400</v>
      </c>
      <c r="P2480" s="12">
        <v>0.5</v>
      </c>
      <c r="Q2480" s="12">
        <v>0.85</v>
      </c>
      <c r="R2480" s="12">
        <v>0.75</v>
      </c>
      <c r="S2480" s="12">
        <v>0.85</v>
      </c>
      <c r="T2480" s="12">
        <v>0.75</v>
      </c>
      <c r="U2480" s="12">
        <v>0.95</v>
      </c>
      <c r="V2480" s="12">
        <v>300.032917</v>
      </c>
      <c r="W2480" s="12">
        <v>6.5900475759214094</v>
      </c>
      <c r="X2480" s="12">
        <v>14.49473499955584</v>
      </c>
      <c r="Y2480" s="12">
        <v>2600</v>
      </c>
      <c r="Z2480" s="12">
        <v>7.5</v>
      </c>
      <c r="AA2480" s="12"/>
      <c r="AB2480" s="12"/>
    </row>
    <row r="2481" spans="1:28" x14ac:dyDescent="0.3">
      <c r="A2481" s="12" t="s">
        <v>4395</v>
      </c>
      <c r="B2481" s="12" t="s">
        <v>180</v>
      </c>
      <c r="C2481" s="12" t="s">
        <v>180</v>
      </c>
      <c r="D2481" s="12" t="s">
        <v>181</v>
      </c>
      <c r="E2481" s="12" t="s">
        <v>1886</v>
      </c>
      <c r="F2481" s="12" t="s">
        <v>32</v>
      </c>
      <c r="G2481" s="12" t="s">
        <v>32</v>
      </c>
      <c r="H2481" s="12" t="b">
        <v>1</v>
      </c>
      <c r="I2481" s="12" t="b">
        <v>1</v>
      </c>
      <c r="J2481" s="12" t="b">
        <v>0</v>
      </c>
      <c r="K2481" s="12" t="b">
        <v>0</v>
      </c>
      <c r="L2481" s="12">
        <v>397.5</v>
      </c>
      <c r="M2481" s="12">
        <v>300.032917</v>
      </c>
      <c r="N2481" s="12">
        <v>3000</v>
      </c>
      <c r="O2481" s="12">
        <v>400</v>
      </c>
      <c r="P2481" s="12">
        <v>0.5</v>
      </c>
      <c r="Q2481" s="12">
        <v>0.85</v>
      </c>
      <c r="R2481" s="12">
        <v>0.75</v>
      </c>
      <c r="S2481" s="12">
        <v>0.85</v>
      </c>
      <c r="T2481" s="12">
        <v>0.75</v>
      </c>
      <c r="U2481" s="12">
        <v>0.95</v>
      </c>
      <c r="V2481" s="12">
        <v>300.032917</v>
      </c>
      <c r="W2481" s="12">
        <v>7.7801793062458797</v>
      </c>
      <c r="X2481" s="12">
        <v>19.66344790150421</v>
      </c>
      <c r="Y2481" s="12">
        <v>2600</v>
      </c>
      <c r="Z2481" s="12">
        <v>7.5</v>
      </c>
      <c r="AA2481" s="12"/>
      <c r="AB2481" s="12"/>
    </row>
    <row r="2482" spans="1:28" x14ac:dyDescent="0.3">
      <c r="A2482" s="12" t="s">
        <v>4396</v>
      </c>
      <c r="B2482" s="12" t="s">
        <v>180</v>
      </c>
      <c r="C2482" s="12" t="s">
        <v>180</v>
      </c>
      <c r="D2482" s="12" t="s">
        <v>181</v>
      </c>
      <c r="E2482" s="12" t="s">
        <v>1886</v>
      </c>
      <c r="F2482" s="12" t="s">
        <v>32</v>
      </c>
      <c r="G2482" s="12" t="s">
        <v>32</v>
      </c>
      <c r="H2482" s="12" t="b">
        <v>1</v>
      </c>
      <c r="I2482" s="12" t="b">
        <v>1</v>
      </c>
      <c r="J2482" s="12" t="b">
        <v>0</v>
      </c>
      <c r="K2482" s="12" t="b">
        <v>0</v>
      </c>
      <c r="L2482" s="12">
        <v>400</v>
      </c>
      <c r="M2482" s="12">
        <v>300.032917</v>
      </c>
      <c r="N2482" s="12">
        <v>3000</v>
      </c>
      <c r="O2482" s="12">
        <v>400</v>
      </c>
      <c r="P2482" s="12">
        <v>0.5</v>
      </c>
      <c r="Q2482" s="12">
        <v>0.85</v>
      </c>
      <c r="R2482" s="12">
        <v>0.75</v>
      </c>
      <c r="S2482" s="12">
        <v>0.85</v>
      </c>
      <c r="T2482" s="12">
        <v>0.75</v>
      </c>
      <c r="U2482" s="12">
        <v>0.95</v>
      </c>
      <c r="V2482" s="12">
        <v>300.032917</v>
      </c>
      <c r="W2482" s="12">
        <v>8.6783283824072708</v>
      </c>
      <c r="X2482" s="12">
        <v>24.719821481395069</v>
      </c>
      <c r="Y2482" s="12">
        <v>2600</v>
      </c>
      <c r="Z2482" s="12">
        <v>7.5</v>
      </c>
      <c r="AA2482" s="12"/>
      <c r="AB2482" s="12"/>
    </row>
    <row r="2483" spans="1:28" x14ac:dyDescent="0.3">
      <c r="A2483" s="12" t="s">
        <v>4397</v>
      </c>
      <c r="B2483" s="12" t="s">
        <v>180</v>
      </c>
      <c r="C2483" s="12" t="s">
        <v>180</v>
      </c>
      <c r="D2483" s="12" t="s">
        <v>181</v>
      </c>
      <c r="E2483" s="12" t="s">
        <v>1886</v>
      </c>
      <c r="F2483" s="12" t="s">
        <v>32</v>
      </c>
      <c r="G2483" s="12" t="s">
        <v>32</v>
      </c>
      <c r="H2483" s="12" t="b">
        <v>1</v>
      </c>
      <c r="I2483" s="12" t="b">
        <v>1</v>
      </c>
      <c r="J2483" s="12" t="b">
        <v>0</v>
      </c>
      <c r="K2483" s="12" t="b">
        <v>0</v>
      </c>
      <c r="L2483" s="12">
        <v>402.5</v>
      </c>
      <c r="M2483" s="12">
        <v>300.032917</v>
      </c>
      <c r="N2483" s="12">
        <v>3000</v>
      </c>
      <c r="O2483" s="12">
        <v>400</v>
      </c>
      <c r="P2483" s="12">
        <v>0.5</v>
      </c>
      <c r="Q2483" s="12">
        <v>0.85</v>
      </c>
      <c r="R2483" s="12">
        <v>0.75</v>
      </c>
      <c r="S2483" s="12">
        <v>0.85</v>
      </c>
      <c r="T2483" s="12">
        <v>0.75</v>
      </c>
      <c r="U2483" s="12">
        <v>0.95</v>
      </c>
      <c r="V2483" s="12">
        <v>300.032917</v>
      </c>
      <c r="W2483" s="12">
        <v>9.3818290681964207</v>
      </c>
      <c r="X2483" s="12">
        <v>29.68971006541539</v>
      </c>
      <c r="Y2483" s="12">
        <v>2600</v>
      </c>
      <c r="Z2483" s="12">
        <v>7.5</v>
      </c>
      <c r="AA2483" s="12"/>
      <c r="AB2483" s="12"/>
    </row>
    <row r="2484" spans="1:28" x14ac:dyDescent="0.3">
      <c r="A2484" s="12" t="s">
        <v>4398</v>
      </c>
      <c r="B2484" s="12" t="s">
        <v>180</v>
      </c>
      <c r="C2484" s="12" t="s">
        <v>180</v>
      </c>
      <c r="D2484" s="12" t="s">
        <v>181</v>
      </c>
      <c r="E2484" s="12" t="s">
        <v>1886</v>
      </c>
      <c r="F2484" s="12" t="s">
        <v>32</v>
      </c>
      <c r="G2484" s="12" t="s">
        <v>32</v>
      </c>
      <c r="H2484" s="12" t="b">
        <v>1</v>
      </c>
      <c r="I2484" s="12" t="b">
        <v>1</v>
      </c>
      <c r="J2484" s="12" t="b">
        <v>0</v>
      </c>
      <c r="K2484" s="12" t="b">
        <v>0</v>
      </c>
      <c r="L2484" s="12">
        <v>405</v>
      </c>
      <c r="M2484" s="12">
        <v>300.032917</v>
      </c>
      <c r="N2484" s="12">
        <v>3000</v>
      </c>
      <c r="O2484" s="12">
        <v>400</v>
      </c>
      <c r="P2484" s="12">
        <v>0.5</v>
      </c>
      <c r="Q2484" s="12">
        <v>0.85</v>
      </c>
      <c r="R2484" s="12">
        <v>0.75</v>
      </c>
      <c r="S2484" s="12">
        <v>0.85</v>
      </c>
      <c r="T2484" s="12">
        <v>0.75</v>
      </c>
      <c r="U2484" s="12">
        <v>0.95</v>
      </c>
      <c r="V2484" s="12">
        <v>300.032917</v>
      </c>
      <c r="W2484" s="12">
        <v>9.9486326535448608</v>
      </c>
      <c r="X2484" s="12">
        <v>34.596625880899538</v>
      </c>
      <c r="Y2484" s="12">
        <v>2600</v>
      </c>
      <c r="Z2484" s="12">
        <v>7.5</v>
      </c>
      <c r="AA2484" s="12"/>
      <c r="AB2484" s="12"/>
    </row>
    <row r="2485" spans="1:28" x14ac:dyDescent="0.3">
      <c r="A2485" s="12" t="s">
        <v>4399</v>
      </c>
      <c r="B2485" s="12" t="s">
        <v>180</v>
      </c>
      <c r="C2485" s="12" t="s">
        <v>180</v>
      </c>
      <c r="D2485" s="12" t="s">
        <v>181</v>
      </c>
      <c r="E2485" s="12" t="s">
        <v>1886</v>
      </c>
      <c r="F2485" s="12" t="s">
        <v>32</v>
      </c>
      <c r="G2485" s="12" t="s">
        <v>32</v>
      </c>
      <c r="H2485" s="12" t="b">
        <v>1</v>
      </c>
      <c r="I2485" s="12" t="b">
        <v>1</v>
      </c>
      <c r="J2485" s="12" t="b">
        <v>0</v>
      </c>
      <c r="K2485" s="12" t="b">
        <v>0</v>
      </c>
      <c r="L2485" s="12">
        <v>407.5</v>
      </c>
      <c r="M2485" s="12">
        <v>300.032917</v>
      </c>
      <c r="N2485" s="12">
        <v>3000</v>
      </c>
      <c r="O2485" s="12">
        <v>400</v>
      </c>
      <c r="P2485" s="12">
        <v>0.5</v>
      </c>
      <c r="Q2485" s="12">
        <v>0.85</v>
      </c>
      <c r="R2485" s="12">
        <v>0.75</v>
      </c>
      <c r="S2485" s="12">
        <v>0.85</v>
      </c>
      <c r="T2485" s="12">
        <v>0.75</v>
      </c>
      <c r="U2485" s="12">
        <v>0.95</v>
      </c>
      <c r="V2485" s="12">
        <v>300.032917</v>
      </c>
      <c r="W2485" s="12">
        <v>10.41540869428664</v>
      </c>
      <c r="X2485" s="12">
        <v>39.462452384574583</v>
      </c>
      <c r="Y2485" s="12">
        <v>2600</v>
      </c>
      <c r="Z2485" s="12">
        <v>7.5</v>
      </c>
      <c r="AA2485" s="12"/>
      <c r="AB2485" s="12"/>
    </row>
    <row r="2486" spans="1:28" x14ac:dyDescent="0.3">
      <c r="A2486" s="12" t="s">
        <v>4400</v>
      </c>
      <c r="B2486" s="12" t="s">
        <v>180</v>
      </c>
      <c r="C2486" s="12" t="s">
        <v>180</v>
      </c>
      <c r="D2486" s="12" t="s">
        <v>181</v>
      </c>
      <c r="E2486" s="12" t="s">
        <v>1886</v>
      </c>
      <c r="F2486" s="12" t="s">
        <v>32</v>
      </c>
      <c r="G2486" s="12" t="s">
        <v>32</v>
      </c>
      <c r="H2486" s="12" t="b">
        <v>1</v>
      </c>
      <c r="I2486" s="12" t="b">
        <v>1</v>
      </c>
      <c r="J2486" s="12" t="b">
        <v>0</v>
      </c>
      <c r="K2486" s="12" t="b">
        <v>0</v>
      </c>
      <c r="L2486" s="12">
        <v>410</v>
      </c>
      <c r="M2486" s="12">
        <v>300.032917</v>
      </c>
      <c r="N2486" s="12">
        <v>3000</v>
      </c>
      <c r="O2486" s="12">
        <v>400</v>
      </c>
      <c r="P2486" s="12">
        <v>0.5</v>
      </c>
      <c r="Q2486" s="12">
        <v>0.85</v>
      </c>
      <c r="R2486" s="12">
        <v>0.75</v>
      </c>
      <c r="S2486" s="12">
        <v>0.85</v>
      </c>
      <c r="T2486" s="12">
        <v>0.75</v>
      </c>
      <c r="U2486" s="12">
        <v>0.95</v>
      </c>
      <c r="V2486" s="12">
        <v>300.032917</v>
      </c>
      <c r="W2486" s="12">
        <v>10.80651724015787</v>
      </c>
      <c r="X2486" s="12">
        <v>44.308027208977308</v>
      </c>
      <c r="Y2486" s="12">
        <v>2600</v>
      </c>
      <c r="Z2486" s="12">
        <v>7.5</v>
      </c>
      <c r="AA2486" s="12"/>
      <c r="AB2486" s="12"/>
    </row>
    <row r="2487" spans="1:28" x14ac:dyDescent="0.3">
      <c r="A2487" s="12" t="s">
        <v>4401</v>
      </c>
      <c r="B2487" s="12" t="s">
        <v>198</v>
      </c>
      <c r="C2487" s="12" t="s">
        <v>474</v>
      </c>
      <c r="D2487" s="12" t="s">
        <v>4402</v>
      </c>
      <c r="E2487" s="12" t="s">
        <v>4403</v>
      </c>
      <c r="F2487" s="12" t="s">
        <v>32</v>
      </c>
      <c r="G2487" s="12" t="s">
        <v>32</v>
      </c>
      <c r="H2487" s="12" t="b">
        <v>1</v>
      </c>
      <c r="I2487" s="12" t="b">
        <v>1</v>
      </c>
      <c r="J2487" s="12" t="b">
        <v>0</v>
      </c>
      <c r="K2487" s="12" t="b">
        <v>0</v>
      </c>
      <c r="L2487" s="12">
        <v>436.09695310912758</v>
      </c>
      <c r="M2487" s="12">
        <v>279.09770132054479</v>
      </c>
      <c r="N2487" s="12">
        <v>3481.8230245237678</v>
      </c>
      <c r="O2487" s="12">
        <v>808.34025773909616</v>
      </c>
      <c r="P2487" s="12">
        <v>0.63474897094989513</v>
      </c>
      <c r="Q2487" s="12">
        <v>0.91848298050287225</v>
      </c>
      <c r="R2487" s="12">
        <v>0.74608148390036433</v>
      </c>
      <c r="S2487" s="12">
        <v>0.67773110852065166</v>
      </c>
      <c r="T2487" s="12">
        <v>0.94152981924933021</v>
      </c>
      <c r="U2487" s="12">
        <v>0.84182625850716208</v>
      </c>
      <c r="V2487" s="12">
        <v>279.09770132054479</v>
      </c>
      <c r="W2487" s="12">
        <v>12.30159889633283</v>
      </c>
      <c r="X2487" s="12">
        <v>91.418211123925843</v>
      </c>
      <c r="Y2487" s="12">
        <v>2673.4827667846721</v>
      </c>
      <c r="Z2487" s="12">
        <v>4.3073730291032692</v>
      </c>
      <c r="AA2487" s="12"/>
      <c r="AB2487" s="12"/>
    </row>
    <row r="2488" spans="1:28" x14ac:dyDescent="0.3">
      <c r="A2488" s="12" t="s">
        <v>4404</v>
      </c>
      <c r="B2488" s="12" t="s">
        <v>198</v>
      </c>
      <c r="C2488" s="12" t="s">
        <v>474</v>
      </c>
      <c r="D2488" s="12" t="s">
        <v>4402</v>
      </c>
      <c r="E2488" s="12" t="s">
        <v>4403</v>
      </c>
      <c r="F2488" s="12" t="s">
        <v>1861</v>
      </c>
      <c r="G2488" s="12" t="s">
        <v>1861</v>
      </c>
      <c r="H2488" s="12" t="b">
        <v>1</v>
      </c>
      <c r="I2488" s="12" t="b">
        <v>0</v>
      </c>
      <c r="J2488" s="12" t="b">
        <v>1</v>
      </c>
      <c r="K2488" s="12" t="b">
        <v>0</v>
      </c>
      <c r="L2488" s="12">
        <v>448.09695310912758</v>
      </c>
      <c r="M2488" s="12">
        <v>279.09770132054479</v>
      </c>
      <c r="N2488" s="12">
        <v>3481.8230245237678</v>
      </c>
      <c r="O2488" s="12">
        <v>808.34025773909616</v>
      </c>
      <c r="P2488" s="12">
        <v>0.63474897094989513</v>
      </c>
      <c r="Q2488" s="12">
        <v>0.91848298050287225</v>
      </c>
      <c r="R2488" s="12">
        <v>0.74608148390036444</v>
      </c>
      <c r="S2488" s="12">
        <v>0.67773110852065166</v>
      </c>
      <c r="T2488" s="12">
        <v>0.94152981924933021</v>
      </c>
      <c r="U2488" s="12">
        <v>0.84182625850716208</v>
      </c>
      <c r="V2488" s="12">
        <v>279.09770132054479</v>
      </c>
      <c r="W2488" s="12">
        <v>12.445887730834</v>
      </c>
      <c r="X2488" s="12">
        <v>113.1741443576212</v>
      </c>
      <c r="Y2488" s="12">
        <v>2673.4827667846721</v>
      </c>
      <c r="Z2488" s="12">
        <v>4.3073730291032692</v>
      </c>
      <c r="AA2488" s="12" t="s">
        <v>1268</v>
      </c>
      <c r="AB2488" s="12"/>
    </row>
    <row r="2489" spans="1:28" x14ac:dyDescent="0.3">
      <c r="A2489" s="12" t="s">
        <v>4405</v>
      </c>
      <c r="B2489" s="12" t="s">
        <v>198</v>
      </c>
      <c r="C2489" s="12" t="s">
        <v>474</v>
      </c>
      <c r="D2489" s="12" t="s">
        <v>4402</v>
      </c>
      <c r="E2489" s="12" t="s">
        <v>4403</v>
      </c>
      <c r="F2489" s="12" t="s">
        <v>32</v>
      </c>
      <c r="G2489" s="12" t="s">
        <v>32</v>
      </c>
      <c r="H2489" s="12" t="b">
        <v>1</v>
      </c>
      <c r="I2489" s="12" t="b">
        <v>1</v>
      </c>
      <c r="J2489" s="12" t="b">
        <v>0</v>
      </c>
      <c r="K2489" s="12" t="b">
        <v>0</v>
      </c>
      <c r="L2489" s="12">
        <v>424.09695310912758</v>
      </c>
      <c r="M2489" s="12">
        <v>279.09770132054479</v>
      </c>
      <c r="N2489" s="12">
        <v>3481.8230245237678</v>
      </c>
      <c r="O2489" s="12">
        <v>808.34025773909616</v>
      </c>
      <c r="P2489" s="12">
        <v>0.63474897094989513</v>
      </c>
      <c r="Q2489" s="12">
        <v>0.91848298050287225</v>
      </c>
      <c r="R2489" s="12">
        <v>0.74608148390036444</v>
      </c>
      <c r="S2489" s="12">
        <v>0.67773110852065166</v>
      </c>
      <c r="T2489" s="12">
        <v>0.94152981924933021</v>
      </c>
      <c r="U2489" s="12">
        <v>0.84182625850716208</v>
      </c>
      <c r="V2489" s="12">
        <v>279.09770132054479</v>
      </c>
      <c r="W2489" s="12">
        <v>12.03318097317471</v>
      </c>
      <c r="X2489" s="12">
        <v>73.344419332330773</v>
      </c>
      <c r="Y2489" s="12">
        <v>2673.4827667846721</v>
      </c>
      <c r="Z2489" s="12">
        <v>4.3073730291032692</v>
      </c>
      <c r="AA2489" s="12"/>
      <c r="AB2489" s="12"/>
    </row>
    <row r="2490" spans="1:28" x14ac:dyDescent="0.3">
      <c r="A2490" s="12" t="s">
        <v>4406</v>
      </c>
      <c r="B2490" s="12" t="s">
        <v>198</v>
      </c>
      <c r="C2490" s="12" t="s">
        <v>474</v>
      </c>
      <c r="D2490" s="12" t="s">
        <v>4402</v>
      </c>
      <c r="E2490" s="12" t="s">
        <v>4403</v>
      </c>
      <c r="F2490" s="12" t="s">
        <v>32</v>
      </c>
      <c r="G2490" s="12" t="s">
        <v>32</v>
      </c>
      <c r="H2490" s="12" t="b">
        <v>1</v>
      </c>
      <c r="I2490" s="12" t="b">
        <v>1</v>
      </c>
      <c r="J2490" s="12" t="b">
        <v>0</v>
      </c>
      <c r="K2490" s="12" t="b">
        <v>0</v>
      </c>
      <c r="L2490" s="12">
        <v>436.09695310912758</v>
      </c>
      <c r="M2490" s="12">
        <v>281.63770132054481</v>
      </c>
      <c r="N2490" s="12">
        <v>3481.8230245237678</v>
      </c>
      <c r="O2490" s="12">
        <v>808.34025773909616</v>
      </c>
      <c r="P2490" s="12">
        <v>0.63474897094989513</v>
      </c>
      <c r="Q2490" s="12">
        <v>0.91848298050287225</v>
      </c>
      <c r="R2490" s="12">
        <v>0.74608148390036444</v>
      </c>
      <c r="S2490" s="12">
        <v>0.67773110852065166</v>
      </c>
      <c r="T2490" s="12">
        <v>0.94152981924933021</v>
      </c>
      <c r="U2490" s="12">
        <v>0.84182625850716208</v>
      </c>
      <c r="V2490" s="12">
        <v>281.63770132054481</v>
      </c>
      <c r="W2490" s="12">
        <v>12.39294749092153</v>
      </c>
      <c r="X2490" s="12">
        <v>91.638834363570325</v>
      </c>
      <c r="Y2490" s="12">
        <v>2673.4827667846721</v>
      </c>
      <c r="Z2490" s="12">
        <v>4.3073730291032692</v>
      </c>
      <c r="AA2490" s="12"/>
      <c r="AB2490" s="12"/>
    </row>
    <row r="2491" spans="1:28" x14ac:dyDescent="0.3">
      <c r="A2491" s="12" t="s">
        <v>4407</v>
      </c>
      <c r="B2491" s="12" t="s">
        <v>198</v>
      </c>
      <c r="C2491" s="12" t="s">
        <v>474</v>
      </c>
      <c r="D2491" s="12" t="s">
        <v>4402</v>
      </c>
      <c r="E2491" s="12" t="s">
        <v>4403</v>
      </c>
      <c r="F2491" s="12" t="s">
        <v>32</v>
      </c>
      <c r="G2491" s="12" t="s">
        <v>32</v>
      </c>
      <c r="H2491" s="12" t="b">
        <v>1</v>
      </c>
      <c r="I2491" s="12" t="b">
        <v>1</v>
      </c>
      <c r="J2491" s="12" t="b">
        <v>0</v>
      </c>
      <c r="K2491" s="12" t="b">
        <v>0</v>
      </c>
      <c r="L2491" s="12">
        <v>436.09695310912758</v>
      </c>
      <c r="M2491" s="12">
        <v>278.14999999999998</v>
      </c>
      <c r="N2491" s="12">
        <v>3481.8230245237678</v>
      </c>
      <c r="O2491" s="12">
        <v>808.34025773909616</v>
      </c>
      <c r="P2491" s="12">
        <v>0.63474897094989513</v>
      </c>
      <c r="Q2491" s="12">
        <v>0.91848298050287225</v>
      </c>
      <c r="R2491" s="12">
        <v>0.74608148390036444</v>
      </c>
      <c r="S2491" s="12">
        <v>0.67773110852065166</v>
      </c>
      <c r="T2491" s="12">
        <v>0.94152981924933021</v>
      </c>
      <c r="U2491" s="12">
        <v>0.84182625850716208</v>
      </c>
      <c r="V2491" s="12">
        <v>278.14999999999998</v>
      </c>
      <c r="W2491" s="12">
        <v>12.26785002752522</v>
      </c>
      <c r="X2491" s="12">
        <v>91.336111188074085</v>
      </c>
      <c r="Y2491" s="12">
        <v>2673.4827667846721</v>
      </c>
      <c r="Z2491" s="12">
        <v>4.3073730291032692</v>
      </c>
      <c r="AA2491" s="12"/>
      <c r="AB2491" s="12"/>
    </row>
    <row r="2492" spans="1:28" x14ac:dyDescent="0.3">
      <c r="A2492" s="12" t="s">
        <v>4408</v>
      </c>
      <c r="B2492" s="12" t="s">
        <v>198</v>
      </c>
      <c r="C2492" s="12" t="s">
        <v>474</v>
      </c>
      <c r="D2492" s="12" t="s">
        <v>4402</v>
      </c>
      <c r="E2492" s="12" t="s">
        <v>4403</v>
      </c>
      <c r="F2492" s="12" t="s">
        <v>32</v>
      </c>
      <c r="G2492" s="12" t="s">
        <v>32</v>
      </c>
      <c r="H2492" s="12" t="b">
        <v>1</v>
      </c>
      <c r="I2492" s="12" t="b">
        <v>1</v>
      </c>
      <c r="J2492" s="12" t="b">
        <v>0</v>
      </c>
      <c r="K2492" s="12" t="b">
        <v>0</v>
      </c>
      <c r="L2492" s="12">
        <v>436.09695310912758</v>
      </c>
      <c r="M2492" s="12">
        <v>279.09770132054479</v>
      </c>
      <c r="N2492" s="12">
        <v>3781.8230245237678</v>
      </c>
      <c r="O2492" s="12">
        <v>808.34025773909616</v>
      </c>
      <c r="P2492" s="12">
        <v>0.63474897094989513</v>
      </c>
      <c r="Q2492" s="12">
        <v>0.91848298050287225</v>
      </c>
      <c r="R2492" s="12">
        <v>0.74608148390036444</v>
      </c>
      <c r="S2492" s="12">
        <v>0.67773110852065166</v>
      </c>
      <c r="T2492" s="12">
        <v>0.94152981924933021</v>
      </c>
      <c r="U2492" s="12">
        <v>0.84182625850716208</v>
      </c>
      <c r="V2492" s="12">
        <v>279.09770132054479</v>
      </c>
      <c r="W2492" s="12">
        <v>12.79776015044396</v>
      </c>
      <c r="X2492" s="12">
        <v>89.199446768525306</v>
      </c>
      <c r="Y2492" s="12">
        <v>2973.4827667846721</v>
      </c>
      <c r="Z2492" s="12">
        <v>4.6785038705129143</v>
      </c>
      <c r="AA2492" s="12"/>
      <c r="AB2492" s="12"/>
    </row>
    <row r="2493" spans="1:28" x14ac:dyDescent="0.3">
      <c r="A2493" s="12" t="s">
        <v>4409</v>
      </c>
      <c r="B2493" s="12" t="s">
        <v>198</v>
      </c>
      <c r="C2493" s="12" t="s">
        <v>474</v>
      </c>
      <c r="D2493" s="12" t="s">
        <v>4402</v>
      </c>
      <c r="E2493" s="12" t="s">
        <v>4403</v>
      </c>
      <c r="F2493" s="12" t="s">
        <v>32</v>
      </c>
      <c r="G2493" s="12" t="s">
        <v>32</v>
      </c>
      <c r="H2493" s="12" t="b">
        <v>1</v>
      </c>
      <c r="I2493" s="12" t="b">
        <v>1</v>
      </c>
      <c r="J2493" s="12" t="b">
        <v>0</v>
      </c>
      <c r="K2493" s="12" t="b">
        <v>0</v>
      </c>
      <c r="L2493" s="12">
        <v>436.09695310912758</v>
      </c>
      <c r="M2493" s="12">
        <v>279.09770132054479</v>
      </c>
      <c r="N2493" s="12">
        <v>3181.8230245237678</v>
      </c>
      <c r="O2493" s="12">
        <v>808.34025773909616</v>
      </c>
      <c r="P2493" s="12">
        <v>0.63474897094989513</v>
      </c>
      <c r="Q2493" s="12">
        <v>0.91848298050287225</v>
      </c>
      <c r="R2493" s="12">
        <v>0.74608148390036444</v>
      </c>
      <c r="S2493" s="12">
        <v>0.67773110852065166</v>
      </c>
      <c r="T2493" s="12">
        <v>0.94152981924933021</v>
      </c>
      <c r="U2493" s="12">
        <v>0.84182625850716208</v>
      </c>
      <c r="V2493" s="12">
        <v>279.09770132054479</v>
      </c>
      <c r="W2493" s="12">
        <v>11.71086746636211</v>
      </c>
      <c r="X2493" s="12">
        <v>93.077121560381684</v>
      </c>
      <c r="Y2493" s="12">
        <v>2373.4827667846721</v>
      </c>
      <c r="Z2493" s="12">
        <v>3.9362421876936251</v>
      </c>
      <c r="AA2493" s="12"/>
      <c r="AB2493" s="12"/>
    </row>
    <row r="2494" spans="1:28" x14ac:dyDescent="0.3">
      <c r="A2494" s="12" t="s">
        <v>4410</v>
      </c>
      <c r="B2494" s="12" t="s">
        <v>198</v>
      </c>
      <c r="C2494" s="12" t="s">
        <v>474</v>
      </c>
      <c r="D2494" s="12" t="s">
        <v>4402</v>
      </c>
      <c r="E2494" s="12" t="s">
        <v>4403</v>
      </c>
      <c r="F2494" s="12" t="s">
        <v>32</v>
      </c>
      <c r="G2494" s="12" t="s">
        <v>32</v>
      </c>
      <c r="H2494" s="12" t="b">
        <v>1</v>
      </c>
      <c r="I2494" s="12" t="b">
        <v>1</v>
      </c>
      <c r="J2494" s="12" t="b">
        <v>0</v>
      </c>
      <c r="K2494" s="12" t="b">
        <v>0</v>
      </c>
      <c r="L2494" s="12">
        <v>436.09695310912758</v>
      </c>
      <c r="M2494" s="12">
        <v>279.09770132054479</v>
      </c>
      <c r="N2494" s="12">
        <v>3481.8230245237678</v>
      </c>
      <c r="O2494" s="12">
        <v>1028.3402577390959</v>
      </c>
      <c r="P2494" s="12">
        <v>0.63474897094989513</v>
      </c>
      <c r="Q2494" s="12">
        <v>0.91848298050287225</v>
      </c>
      <c r="R2494" s="12">
        <v>0.74608148390036444</v>
      </c>
      <c r="S2494" s="12">
        <v>0.67773110852065166</v>
      </c>
      <c r="T2494" s="12">
        <v>0.94152981924933021</v>
      </c>
      <c r="U2494" s="12">
        <v>0.84182625850716208</v>
      </c>
      <c r="V2494" s="12">
        <v>279.09770132054479</v>
      </c>
      <c r="W2494" s="12">
        <v>10.377005057146629</v>
      </c>
      <c r="X2494" s="12">
        <v>77.035081788550983</v>
      </c>
      <c r="Y2494" s="12">
        <v>2453.4827667846721</v>
      </c>
      <c r="Z2494" s="12">
        <v>3.3858666898628358</v>
      </c>
      <c r="AA2494" s="12"/>
      <c r="AB2494" s="12"/>
    </row>
    <row r="2495" spans="1:28" x14ac:dyDescent="0.3">
      <c r="A2495" s="12" t="s">
        <v>4411</v>
      </c>
      <c r="B2495" s="12" t="s">
        <v>198</v>
      </c>
      <c r="C2495" s="12" t="s">
        <v>474</v>
      </c>
      <c r="D2495" s="12" t="s">
        <v>4402</v>
      </c>
      <c r="E2495" s="12" t="s">
        <v>4403</v>
      </c>
      <c r="F2495" s="12" t="s">
        <v>1861</v>
      </c>
      <c r="G2495" s="12" t="s">
        <v>1861</v>
      </c>
      <c r="H2495" s="12" t="b">
        <v>1</v>
      </c>
      <c r="I2495" s="12" t="b">
        <v>0</v>
      </c>
      <c r="J2495" s="12" t="b">
        <v>0</v>
      </c>
      <c r="K2495" s="12" t="b">
        <v>0</v>
      </c>
      <c r="L2495" s="12">
        <v>436.09695310912758</v>
      </c>
      <c r="M2495" s="12">
        <v>279.09770132054479</v>
      </c>
      <c r="N2495" s="12">
        <v>3481.8230245237678</v>
      </c>
      <c r="O2495" s="12">
        <v>588.34025773909616</v>
      </c>
      <c r="P2495" s="12">
        <v>0.63474897094989513</v>
      </c>
      <c r="Q2495" s="12">
        <v>0.91848298050287225</v>
      </c>
      <c r="R2495" s="12">
        <v>0.74608148390036444</v>
      </c>
      <c r="S2495" s="12">
        <v>0.67773110852065166</v>
      </c>
      <c r="T2495" s="12">
        <v>0.94152981924933021</v>
      </c>
      <c r="U2495" s="12">
        <v>0.84182625850716208</v>
      </c>
      <c r="V2495" s="12">
        <v>279.09770132054479</v>
      </c>
      <c r="W2495" s="12">
        <v>14.742506929351631</v>
      </c>
      <c r="X2495" s="12">
        <v>109.698157994205</v>
      </c>
      <c r="Y2495" s="12">
        <v>2893.4827667846721</v>
      </c>
      <c r="Z2495" s="12">
        <v>5.9180431369831714</v>
      </c>
      <c r="AA2495" s="12" t="s">
        <v>1268</v>
      </c>
      <c r="AB2495" s="12"/>
    </row>
    <row r="2496" spans="1:28" x14ac:dyDescent="0.3">
      <c r="A2496" s="12" t="s">
        <v>4412</v>
      </c>
      <c r="B2496" s="12" t="s">
        <v>198</v>
      </c>
      <c r="C2496" s="12" t="s">
        <v>474</v>
      </c>
      <c r="D2496" s="12" t="s">
        <v>4402</v>
      </c>
      <c r="E2496" s="12" t="s">
        <v>4403</v>
      </c>
      <c r="F2496" s="12" t="s">
        <v>32</v>
      </c>
      <c r="G2496" s="12" t="s">
        <v>32</v>
      </c>
      <c r="H2496" s="12" t="b">
        <v>1</v>
      </c>
      <c r="I2496" s="12" t="b">
        <v>1</v>
      </c>
      <c r="J2496" s="12" t="b">
        <v>0</v>
      </c>
      <c r="K2496" s="12" t="b">
        <v>0</v>
      </c>
      <c r="L2496" s="12">
        <v>436.09695310912758</v>
      </c>
      <c r="M2496" s="12">
        <v>279.09770132054479</v>
      </c>
      <c r="N2496" s="12">
        <v>3481.8230245237678</v>
      </c>
      <c r="O2496" s="12">
        <v>808.34025773909616</v>
      </c>
      <c r="P2496" s="12">
        <v>0.66974897094989516</v>
      </c>
      <c r="Q2496" s="12">
        <v>0.91848298050287225</v>
      </c>
      <c r="R2496" s="12">
        <v>0.74608148390036444</v>
      </c>
      <c r="S2496" s="12">
        <v>0.67773110852065166</v>
      </c>
      <c r="T2496" s="12">
        <v>0.94152981924933021</v>
      </c>
      <c r="U2496" s="12">
        <v>0.84182625850716208</v>
      </c>
      <c r="V2496" s="12">
        <v>279.09770132054479</v>
      </c>
      <c r="W2496" s="12">
        <v>12.67836413546399</v>
      </c>
      <c r="X2496" s="12">
        <v>102.014461913424</v>
      </c>
      <c r="Y2496" s="12">
        <v>2673.4827667846721</v>
      </c>
      <c r="Z2496" s="12">
        <v>4.3073730291032692</v>
      </c>
      <c r="AA2496" s="12"/>
      <c r="AB2496" s="12"/>
    </row>
    <row r="2497" spans="1:28" x14ac:dyDescent="0.3">
      <c r="A2497" s="12" t="s">
        <v>4413</v>
      </c>
      <c r="B2497" s="12" t="s">
        <v>198</v>
      </c>
      <c r="C2497" s="12" t="s">
        <v>474</v>
      </c>
      <c r="D2497" s="12" t="s">
        <v>4402</v>
      </c>
      <c r="E2497" s="12" t="s">
        <v>4403</v>
      </c>
      <c r="F2497" s="12" t="s">
        <v>32</v>
      </c>
      <c r="G2497" s="12" t="s">
        <v>32</v>
      </c>
      <c r="H2497" s="12" t="b">
        <v>1</v>
      </c>
      <c r="I2497" s="12" t="b">
        <v>1</v>
      </c>
      <c r="J2497" s="12" t="b">
        <v>0</v>
      </c>
      <c r="K2497" s="12" t="b">
        <v>0</v>
      </c>
      <c r="L2497" s="12">
        <v>436.09695310912758</v>
      </c>
      <c r="M2497" s="12">
        <v>279.09770132054479</v>
      </c>
      <c r="N2497" s="12">
        <v>3481.8230245237678</v>
      </c>
      <c r="O2497" s="12">
        <v>808.34025773909616</v>
      </c>
      <c r="P2497" s="12">
        <v>0.5997489709498951</v>
      </c>
      <c r="Q2497" s="12">
        <v>0.91848298050287225</v>
      </c>
      <c r="R2497" s="12">
        <v>0.74608148390036444</v>
      </c>
      <c r="S2497" s="12">
        <v>0.67773110852065166</v>
      </c>
      <c r="T2497" s="12">
        <v>0.94152981924933021</v>
      </c>
      <c r="U2497" s="12">
        <v>0.84182625850716208</v>
      </c>
      <c r="V2497" s="12">
        <v>279.09770132054479</v>
      </c>
      <c r="W2497" s="12">
        <v>11.90375535398265</v>
      </c>
      <c r="X2497" s="12">
        <v>80.843214821194209</v>
      </c>
      <c r="Y2497" s="12">
        <v>2673.4827667846721</v>
      </c>
      <c r="Z2497" s="12">
        <v>4.3073730291032692</v>
      </c>
      <c r="AA2497" s="12"/>
      <c r="AB2497" s="12"/>
    </row>
    <row r="2498" spans="1:28" x14ac:dyDescent="0.3">
      <c r="A2498" s="12" t="s">
        <v>4414</v>
      </c>
      <c r="B2498" s="12" t="s">
        <v>198</v>
      </c>
      <c r="C2498" s="12" t="s">
        <v>474</v>
      </c>
      <c r="D2498" s="12" t="s">
        <v>4402</v>
      </c>
      <c r="E2498" s="12" t="s">
        <v>4403</v>
      </c>
      <c r="F2498" s="12" t="s">
        <v>32</v>
      </c>
      <c r="G2498" s="12" t="s">
        <v>32</v>
      </c>
      <c r="H2498" s="12" t="b">
        <v>1</v>
      </c>
      <c r="I2498" s="12" t="b">
        <v>1</v>
      </c>
      <c r="J2498" s="12" t="b">
        <v>0</v>
      </c>
      <c r="K2498" s="12" t="b">
        <v>0</v>
      </c>
      <c r="L2498" s="12">
        <v>436.09695310912758</v>
      </c>
      <c r="M2498" s="12">
        <v>279.09770132054479</v>
      </c>
      <c r="N2498" s="12">
        <v>3481.8230245237678</v>
      </c>
      <c r="O2498" s="12">
        <v>808.34025773909616</v>
      </c>
      <c r="P2498" s="12">
        <v>0.63474897094989513</v>
      </c>
      <c r="Q2498" s="12">
        <v>0.95</v>
      </c>
      <c r="R2498" s="12">
        <v>0.74608148390036444</v>
      </c>
      <c r="S2498" s="12">
        <v>0.67773110852065166</v>
      </c>
      <c r="T2498" s="12">
        <v>0.94152981924933021</v>
      </c>
      <c r="U2498" s="12">
        <v>0.84182625850716208</v>
      </c>
      <c r="V2498" s="12">
        <v>279.09770132054479</v>
      </c>
      <c r="W2498" s="12">
        <v>12.74050241318179</v>
      </c>
      <c r="X2498" s="12">
        <v>94.704425505552393</v>
      </c>
      <c r="Y2498" s="12">
        <v>2673.4827667846721</v>
      </c>
      <c r="Z2498" s="12">
        <v>4.3073730291032692</v>
      </c>
      <c r="AA2498" s="12"/>
      <c r="AB2498" s="12"/>
    </row>
    <row r="2499" spans="1:28" x14ac:dyDescent="0.3">
      <c r="A2499" s="12" t="s">
        <v>4415</v>
      </c>
      <c r="B2499" s="12" t="s">
        <v>198</v>
      </c>
      <c r="C2499" s="12" t="s">
        <v>474</v>
      </c>
      <c r="D2499" s="12" t="s">
        <v>4402</v>
      </c>
      <c r="E2499" s="12" t="s">
        <v>4403</v>
      </c>
      <c r="F2499" s="12" t="s">
        <v>32</v>
      </c>
      <c r="G2499" s="12" t="s">
        <v>32</v>
      </c>
      <c r="H2499" s="12" t="b">
        <v>1</v>
      </c>
      <c r="I2499" s="12" t="b">
        <v>1</v>
      </c>
      <c r="J2499" s="12" t="b">
        <v>0</v>
      </c>
      <c r="K2499" s="12" t="b">
        <v>0</v>
      </c>
      <c r="L2499" s="12">
        <v>436.09695310912758</v>
      </c>
      <c r="M2499" s="12">
        <v>279.09770132054479</v>
      </c>
      <c r="N2499" s="12">
        <v>3481.8230245237678</v>
      </c>
      <c r="O2499" s="12">
        <v>808.34025773909616</v>
      </c>
      <c r="P2499" s="12">
        <v>0.63474897094989513</v>
      </c>
      <c r="Q2499" s="12">
        <v>0.86348298050287231</v>
      </c>
      <c r="R2499" s="12">
        <v>0.74608148390036444</v>
      </c>
      <c r="S2499" s="12">
        <v>0.67773110852065166</v>
      </c>
      <c r="T2499" s="12">
        <v>0.94152981924933021</v>
      </c>
      <c r="U2499" s="12">
        <v>0.84182625850716208</v>
      </c>
      <c r="V2499" s="12">
        <v>279.09770132054479</v>
      </c>
      <c r="W2499" s="12">
        <v>11.534855769198909</v>
      </c>
      <c r="X2499" s="12">
        <v>85.681448927575516</v>
      </c>
      <c r="Y2499" s="12">
        <v>2673.4827667846721</v>
      </c>
      <c r="Z2499" s="12">
        <v>4.3073730291032692</v>
      </c>
      <c r="AA2499" s="12"/>
      <c r="AB2499" s="12"/>
    </row>
    <row r="2500" spans="1:28" x14ac:dyDescent="0.3">
      <c r="A2500" s="12" t="s">
        <v>4416</v>
      </c>
      <c r="B2500" s="12" t="s">
        <v>198</v>
      </c>
      <c r="C2500" s="12" t="s">
        <v>474</v>
      </c>
      <c r="D2500" s="12" t="s">
        <v>4402</v>
      </c>
      <c r="E2500" s="12" t="s">
        <v>4403</v>
      </c>
      <c r="F2500" s="12" t="s">
        <v>32</v>
      </c>
      <c r="G2500" s="12" t="s">
        <v>32</v>
      </c>
      <c r="H2500" s="12" t="b">
        <v>1</v>
      </c>
      <c r="I2500" s="12" t="b">
        <v>1</v>
      </c>
      <c r="J2500" s="12" t="b">
        <v>0</v>
      </c>
      <c r="K2500" s="12" t="b">
        <v>0</v>
      </c>
      <c r="L2500" s="12">
        <v>436.09695310912758</v>
      </c>
      <c r="M2500" s="12">
        <v>279.09770132054479</v>
      </c>
      <c r="N2500" s="12">
        <v>3481.8230245237678</v>
      </c>
      <c r="O2500" s="12">
        <v>808.34025773909616</v>
      </c>
      <c r="P2500" s="12">
        <v>0.63474897094989513</v>
      </c>
      <c r="Q2500" s="12">
        <v>0.91848298050287225</v>
      </c>
      <c r="R2500" s="12">
        <v>0.80108148390036438</v>
      </c>
      <c r="S2500" s="12">
        <v>0.67773110852065166</v>
      </c>
      <c r="T2500" s="12">
        <v>0.94152981924933021</v>
      </c>
      <c r="U2500" s="12">
        <v>0.84182625850716208</v>
      </c>
      <c r="V2500" s="12">
        <v>279.09770132054479</v>
      </c>
      <c r="W2500" s="12">
        <v>12.3420055976041</v>
      </c>
      <c r="X2500" s="12">
        <v>91.733169902835584</v>
      </c>
      <c r="Y2500" s="12">
        <v>2673.4827667846721</v>
      </c>
      <c r="Z2500" s="12">
        <v>4.3073730291032692</v>
      </c>
      <c r="AA2500" s="12"/>
      <c r="AB2500" s="12"/>
    </row>
    <row r="2501" spans="1:28" x14ac:dyDescent="0.3">
      <c r="A2501" s="12" t="s">
        <v>4417</v>
      </c>
      <c r="B2501" s="12" t="s">
        <v>198</v>
      </c>
      <c r="C2501" s="12" t="s">
        <v>474</v>
      </c>
      <c r="D2501" s="12" t="s">
        <v>4402</v>
      </c>
      <c r="E2501" s="12" t="s">
        <v>4403</v>
      </c>
      <c r="F2501" s="12" t="s">
        <v>32</v>
      </c>
      <c r="G2501" s="12" t="s">
        <v>32</v>
      </c>
      <c r="H2501" s="12" t="b">
        <v>1</v>
      </c>
      <c r="I2501" s="12" t="b">
        <v>1</v>
      </c>
      <c r="J2501" s="12" t="b">
        <v>0</v>
      </c>
      <c r="K2501" s="12" t="b">
        <v>0</v>
      </c>
      <c r="L2501" s="12">
        <v>436.09695310912758</v>
      </c>
      <c r="M2501" s="12">
        <v>279.09770132054479</v>
      </c>
      <c r="N2501" s="12">
        <v>3481.8230245237678</v>
      </c>
      <c r="O2501" s="12">
        <v>808.34025773909616</v>
      </c>
      <c r="P2501" s="12">
        <v>0.63474897094989513</v>
      </c>
      <c r="Q2501" s="12">
        <v>0.91848298050287225</v>
      </c>
      <c r="R2501" s="12">
        <v>0.69108148390036439</v>
      </c>
      <c r="S2501" s="12">
        <v>0.67773110852065166</v>
      </c>
      <c r="T2501" s="12">
        <v>0.94152981924933021</v>
      </c>
      <c r="U2501" s="12">
        <v>0.84182625850716208</v>
      </c>
      <c r="V2501" s="12">
        <v>279.09770132054479</v>
      </c>
      <c r="W2501" s="12">
        <v>12.254739396269191</v>
      </c>
      <c r="X2501" s="12">
        <v>91.053101304474922</v>
      </c>
      <c r="Y2501" s="12">
        <v>2673.4827667846721</v>
      </c>
      <c r="Z2501" s="12">
        <v>4.3073730291032692</v>
      </c>
      <c r="AA2501" s="12"/>
      <c r="AB2501" s="12"/>
    </row>
    <row r="2502" spans="1:28" x14ac:dyDescent="0.3">
      <c r="A2502" s="12" t="s">
        <v>4418</v>
      </c>
      <c r="B2502" s="12" t="s">
        <v>198</v>
      </c>
      <c r="C2502" s="12" t="s">
        <v>474</v>
      </c>
      <c r="D2502" s="12" t="s">
        <v>4402</v>
      </c>
      <c r="E2502" s="12" t="s">
        <v>4403</v>
      </c>
      <c r="F2502" s="12" t="s">
        <v>32</v>
      </c>
      <c r="G2502" s="12" t="s">
        <v>32</v>
      </c>
      <c r="H2502" s="12" t="b">
        <v>1</v>
      </c>
      <c r="I2502" s="12" t="b">
        <v>1</v>
      </c>
      <c r="J2502" s="12" t="b">
        <v>0</v>
      </c>
      <c r="K2502" s="12" t="b">
        <v>0</v>
      </c>
      <c r="L2502" s="12">
        <v>436.09695310912758</v>
      </c>
      <c r="M2502" s="12">
        <v>279.09770132054479</v>
      </c>
      <c r="N2502" s="12">
        <v>3481.8230245237678</v>
      </c>
      <c r="O2502" s="12">
        <v>808.34025773909616</v>
      </c>
      <c r="P2502" s="12">
        <v>0.63474897094989513</v>
      </c>
      <c r="Q2502" s="12">
        <v>0.91848298050287225</v>
      </c>
      <c r="R2502" s="12">
        <v>0.74608148390036444</v>
      </c>
      <c r="S2502" s="12">
        <v>0.7327311085206516</v>
      </c>
      <c r="T2502" s="12">
        <v>0.94152981924933021</v>
      </c>
      <c r="U2502" s="12">
        <v>0.84182625850716208</v>
      </c>
      <c r="V2502" s="12">
        <v>279.09770132054479</v>
      </c>
      <c r="W2502" s="12">
        <v>12.37329773969334</v>
      </c>
      <c r="X2502" s="12">
        <v>99.469310490607384</v>
      </c>
      <c r="Y2502" s="12">
        <v>2673.4827667846721</v>
      </c>
      <c r="Z2502" s="12">
        <v>4.3073730291032692</v>
      </c>
      <c r="AA2502" s="12"/>
      <c r="AB2502" s="12"/>
    </row>
    <row r="2503" spans="1:28" x14ac:dyDescent="0.3">
      <c r="A2503" s="12" t="s">
        <v>4419</v>
      </c>
      <c r="B2503" s="12" t="s">
        <v>198</v>
      </c>
      <c r="C2503" s="12" t="s">
        <v>474</v>
      </c>
      <c r="D2503" s="12" t="s">
        <v>4402</v>
      </c>
      <c r="E2503" s="12" t="s">
        <v>4403</v>
      </c>
      <c r="F2503" s="12" t="s">
        <v>32</v>
      </c>
      <c r="G2503" s="12" t="s">
        <v>32</v>
      </c>
      <c r="H2503" s="12" t="b">
        <v>1</v>
      </c>
      <c r="I2503" s="12" t="b">
        <v>1</v>
      </c>
      <c r="J2503" s="12" t="b">
        <v>0</v>
      </c>
      <c r="K2503" s="12" t="b">
        <v>0</v>
      </c>
      <c r="L2503" s="12">
        <v>436.09695310912758</v>
      </c>
      <c r="M2503" s="12">
        <v>279.09770132054479</v>
      </c>
      <c r="N2503" s="12">
        <v>3481.8230245237678</v>
      </c>
      <c r="O2503" s="12">
        <v>808.34025773909616</v>
      </c>
      <c r="P2503" s="12">
        <v>0.63474897094989513</v>
      </c>
      <c r="Q2503" s="12">
        <v>0.91848298050287225</v>
      </c>
      <c r="R2503" s="12">
        <v>0.74608148390036444</v>
      </c>
      <c r="S2503" s="12">
        <v>0.62273110852065172</v>
      </c>
      <c r="T2503" s="12">
        <v>0.94152981924933021</v>
      </c>
      <c r="U2503" s="12">
        <v>0.84182625850716208</v>
      </c>
      <c r="V2503" s="12">
        <v>279.09770132054479</v>
      </c>
      <c r="W2503" s="12">
        <v>12.201596129986109</v>
      </c>
      <c r="X2503" s="12">
        <v>83.297817140098459</v>
      </c>
      <c r="Y2503" s="12">
        <v>2673.4827667846721</v>
      </c>
      <c r="Z2503" s="12">
        <v>4.3073730291032692</v>
      </c>
      <c r="AA2503" s="12"/>
      <c r="AB2503" s="12"/>
    </row>
    <row r="2504" spans="1:28" x14ac:dyDescent="0.3">
      <c r="A2504" s="12" t="s">
        <v>4420</v>
      </c>
      <c r="B2504" s="12" t="s">
        <v>198</v>
      </c>
      <c r="C2504" s="12" t="s">
        <v>474</v>
      </c>
      <c r="D2504" s="12" t="s">
        <v>4402</v>
      </c>
      <c r="E2504" s="12" t="s">
        <v>4403</v>
      </c>
      <c r="F2504" s="12" t="s">
        <v>32</v>
      </c>
      <c r="G2504" s="12" t="s">
        <v>32</v>
      </c>
      <c r="H2504" s="12" t="b">
        <v>1</v>
      </c>
      <c r="I2504" s="12" t="b">
        <v>1</v>
      </c>
      <c r="J2504" s="12" t="b">
        <v>0</v>
      </c>
      <c r="K2504" s="12" t="b">
        <v>0</v>
      </c>
      <c r="L2504" s="12">
        <v>436.09695310912758</v>
      </c>
      <c r="M2504" s="12">
        <v>279.09770132054479</v>
      </c>
      <c r="N2504" s="12">
        <v>3481.8230245237678</v>
      </c>
      <c r="O2504" s="12">
        <v>808.34025773909616</v>
      </c>
      <c r="P2504" s="12">
        <v>0.63474897094989513</v>
      </c>
      <c r="Q2504" s="12">
        <v>0.91848298050287225</v>
      </c>
      <c r="R2504" s="12">
        <v>0.74608148390036444</v>
      </c>
      <c r="S2504" s="12">
        <v>0.67773110852065166</v>
      </c>
      <c r="T2504" s="12">
        <v>0.95</v>
      </c>
      <c r="U2504" s="12">
        <v>0.84182625850716208</v>
      </c>
      <c r="V2504" s="12">
        <v>279.09770132054479</v>
      </c>
      <c r="W2504" s="12">
        <v>12.339489333111819</v>
      </c>
      <c r="X2504" s="12">
        <v>91.514642581488445</v>
      </c>
      <c r="Y2504" s="12">
        <v>2673.4827667846721</v>
      </c>
      <c r="Z2504" s="12">
        <v>4.3073730291032692</v>
      </c>
      <c r="AA2504" s="12"/>
      <c r="AB2504" s="12"/>
    </row>
    <row r="2505" spans="1:28" x14ac:dyDescent="0.3">
      <c r="A2505" s="12" t="s">
        <v>4421</v>
      </c>
      <c r="B2505" s="12" t="s">
        <v>198</v>
      </c>
      <c r="C2505" s="12" t="s">
        <v>474</v>
      </c>
      <c r="D2505" s="12" t="s">
        <v>4402</v>
      </c>
      <c r="E2505" s="12" t="s">
        <v>4403</v>
      </c>
      <c r="F2505" s="12" t="s">
        <v>32</v>
      </c>
      <c r="G2505" s="12" t="s">
        <v>32</v>
      </c>
      <c r="H2505" s="12" t="b">
        <v>1</v>
      </c>
      <c r="I2505" s="12" t="b">
        <v>1</v>
      </c>
      <c r="J2505" s="12" t="b">
        <v>0</v>
      </c>
      <c r="K2505" s="12" t="b">
        <v>0</v>
      </c>
      <c r="L2505" s="12">
        <v>436.09695310912758</v>
      </c>
      <c r="M2505" s="12">
        <v>279.09770132054479</v>
      </c>
      <c r="N2505" s="12">
        <v>3481.8230245237678</v>
      </c>
      <c r="O2505" s="12">
        <v>808.34025773909616</v>
      </c>
      <c r="P2505" s="12">
        <v>0.63474897094989513</v>
      </c>
      <c r="Q2505" s="12">
        <v>0.91848298050287225</v>
      </c>
      <c r="R2505" s="12">
        <v>0.74608148390036444</v>
      </c>
      <c r="S2505" s="12">
        <v>0.67773110852065166</v>
      </c>
      <c r="T2505" s="12">
        <v>0.88652981924933028</v>
      </c>
      <c r="U2505" s="12">
        <v>0.84182625850716208</v>
      </c>
      <c r="V2505" s="12">
        <v>279.09770132054479</v>
      </c>
      <c r="W2505" s="12">
        <v>12.059656139808631</v>
      </c>
      <c r="X2505" s="12">
        <v>90.793007591265123</v>
      </c>
      <c r="Y2505" s="12">
        <v>2673.4827667846721</v>
      </c>
      <c r="Z2505" s="12">
        <v>4.3073730291032692</v>
      </c>
      <c r="AA2505" s="12"/>
      <c r="AB2505" s="12"/>
    </row>
    <row r="2506" spans="1:28" x14ac:dyDescent="0.3">
      <c r="A2506" s="12" t="s">
        <v>4422</v>
      </c>
      <c r="B2506" s="12" t="s">
        <v>198</v>
      </c>
      <c r="C2506" s="12" t="s">
        <v>474</v>
      </c>
      <c r="D2506" s="12" t="s">
        <v>4402</v>
      </c>
      <c r="E2506" s="12" t="s">
        <v>4403</v>
      </c>
      <c r="F2506" s="12" t="s">
        <v>32</v>
      </c>
      <c r="G2506" s="12" t="s">
        <v>32</v>
      </c>
      <c r="H2506" s="12" t="b">
        <v>1</v>
      </c>
      <c r="I2506" s="12" t="b">
        <v>1</v>
      </c>
      <c r="J2506" s="12" t="b">
        <v>0</v>
      </c>
      <c r="K2506" s="12" t="b">
        <v>0</v>
      </c>
      <c r="L2506" s="12">
        <v>436.09695310912758</v>
      </c>
      <c r="M2506" s="12">
        <v>279.09770132054479</v>
      </c>
      <c r="N2506" s="12">
        <v>3481.8230245237678</v>
      </c>
      <c r="O2506" s="12">
        <v>808.34025773909616</v>
      </c>
      <c r="P2506" s="12">
        <v>0.63474897094989513</v>
      </c>
      <c r="Q2506" s="12">
        <v>0.91848298050287225</v>
      </c>
      <c r="R2506" s="12">
        <v>0.74608148390036444</v>
      </c>
      <c r="S2506" s="12">
        <v>0.67773110852065166</v>
      </c>
      <c r="T2506" s="12">
        <v>0.94152981924933021</v>
      </c>
      <c r="U2506" s="12">
        <v>0.89682625850716202</v>
      </c>
      <c r="V2506" s="12">
        <v>279.09770132054479</v>
      </c>
      <c r="W2506" s="12">
        <v>11.93890468037676</v>
      </c>
      <c r="X2506" s="12">
        <v>90.518783381486244</v>
      </c>
      <c r="Y2506" s="12">
        <v>2673.4827667846721</v>
      </c>
      <c r="Z2506" s="12">
        <v>4.3073730291032692</v>
      </c>
      <c r="AA2506" s="12"/>
      <c r="AB2506" s="12"/>
    </row>
    <row r="2507" spans="1:28" x14ac:dyDescent="0.3">
      <c r="A2507" s="12" t="s">
        <v>4423</v>
      </c>
      <c r="B2507" s="12" t="s">
        <v>198</v>
      </c>
      <c r="C2507" s="12" t="s">
        <v>474</v>
      </c>
      <c r="D2507" s="12" t="s">
        <v>4402</v>
      </c>
      <c r="E2507" s="12" t="s">
        <v>4403</v>
      </c>
      <c r="F2507" s="12" t="s">
        <v>1861</v>
      </c>
      <c r="G2507" s="12" t="s">
        <v>1861</v>
      </c>
      <c r="H2507" s="12" t="b">
        <v>1</v>
      </c>
      <c r="I2507" s="12" t="b">
        <v>0</v>
      </c>
      <c r="J2507" s="12" t="b">
        <v>0</v>
      </c>
      <c r="K2507" s="12" t="b">
        <v>0</v>
      </c>
      <c r="L2507" s="12">
        <v>436.09695310912758</v>
      </c>
      <c r="M2507" s="12">
        <v>279.09770132054479</v>
      </c>
      <c r="N2507" s="12">
        <v>3481.8230245237678</v>
      </c>
      <c r="O2507" s="12">
        <v>808.34025773909616</v>
      </c>
      <c r="P2507" s="12">
        <v>0.63474897094989513</v>
      </c>
      <c r="Q2507" s="12">
        <v>0.91848298050287225</v>
      </c>
      <c r="R2507" s="12">
        <v>0.74608148390036444</v>
      </c>
      <c r="S2507" s="12">
        <v>0.67773110852065166</v>
      </c>
      <c r="T2507" s="12">
        <v>0.94152981924933021</v>
      </c>
      <c r="U2507" s="12">
        <v>0.78682625850716215</v>
      </c>
      <c r="V2507" s="12">
        <v>279.09770132054479</v>
      </c>
      <c r="W2507" s="12">
        <v>12.68920264600564</v>
      </c>
      <c r="X2507" s="12">
        <v>92.197391396954018</v>
      </c>
      <c r="Y2507" s="12">
        <v>2673.4827667846721</v>
      </c>
      <c r="Z2507" s="12">
        <v>4.3073730291032692</v>
      </c>
      <c r="AA2507" s="12" t="s">
        <v>1268</v>
      </c>
      <c r="AB2507" s="12"/>
    </row>
    <row r="2508" spans="1:28" x14ac:dyDescent="0.3">
      <c r="A2508" s="12" t="s">
        <v>4424</v>
      </c>
      <c r="B2508" s="12" t="s">
        <v>198</v>
      </c>
      <c r="C2508" s="12" t="s">
        <v>474</v>
      </c>
      <c r="D2508" s="12" t="s">
        <v>4402</v>
      </c>
      <c r="E2508" s="12" t="s">
        <v>4403</v>
      </c>
      <c r="F2508" s="12" t="s">
        <v>32</v>
      </c>
      <c r="G2508" s="12" t="s">
        <v>32</v>
      </c>
      <c r="H2508" s="12" t="b">
        <v>1</v>
      </c>
      <c r="I2508" s="12" t="b">
        <v>0</v>
      </c>
      <c r="J2508" s="12" t="b">
        <v>1</v>
      </c>
      <c r="K2508" s="12" t="b">
        <v>0</v>
      </c>
      <c r="L2508" s="12">
        <v>448.09695310912758</v>
      </c>
      <c r="M2508" s="12">
        <v>279.09770132054479</v>
      </c>
      <c r="N2508" s="12">
        <v>3781.8230245237678</v>
      </c>
      <c r="O2508" s="12">
        <v>808.34025773909616</v>
      </c>
      <c r="P2508" s="12">
        <v>0.63474897094989513</v>
      </c>
      <c r="Q2508" s="12">
        <v>0.91848298050287225</v>
      </c>
      <c r="R2508" s="12">
        <v>0.74608148390036444</v>
      </c>
      <c r="S2508" s="12">
        <v>0.67773110852065166</v>
      </c>
      <c r="T2508" s="12">
        <v>0.94152981924933021</v>
      </c>
      <c r="U2508" s="12">
        <v>0.84182625850716208</v>
      </c>
      <c r="V2508" s="12">
        <v>279.09770132054479</v>
      </c>
      <c r="W2508" s="12">
        <v>13.002031915031081</v>
      </c>
      <c r="X2508" s="12">
        <v>110.7738147168991</v>
      </c>
      <c r="Y2508" s="12">
        <v>2973.4827667846721</v>
      </c>
      <c r="Z2508" s="12">
        <v>4.6785038705129143</v>
      </c>
      <c r="AA2508" s="12"/>
      <c r="AB2508" s="12"/>
    </row>
    <row r="2509" spans="1:28" x14ac:dyDescent="0.3">
      <c r="A2509" s="12" t="s">
        <v>4425</v>
      </c>
      <c r="B2509" s="12" t="s">
        <v>198</v>
      </c>
      <c r="C2509" s="12" t="s">
        <v>474</v>
      </c>
      <c r="D2509" s="12" t="s">
        <v>4402</v>
      </c>
      <c r="E2509" s="12" t="s">
        <v>4403</v>
      </c>
      <c r="F2509" s="12" t="s">
        <v>32</v>
      </c>
      <c r="G2509" s="12" t="s">
        <v>32</v>
      </c>
      <c r="H2509" s="12" t="b">
        <v>1</v>
      </c>
      <c r="I2509" s="12" t="b">
        <v>1</v>
      </c>
      <c r="J2509" s="12" t="b">
        <v>0</v>
      </c>
      <c r="K2509" s="12" t="b">
        <v>0</v>
      </c>
      <c r="L2509" s="12">
        <v>424.09695310912758</v>
      </c>
      <c r="M2509" s="12">
        <v>279.09770132054479</v>
      </c>
      <c r="N2509" s="12">
        <v>3781.8230245237678</v>
      </c>
      <c r="O2509" s="12">
        <v>808.34025773909616</v>
      </c>
      <c r="P2509" s="12">
        <v>0.63474897094989513</v>
      </c>
      <c r="Q2509" s="12">
        <v>0.91848298050287225</v>
      </c>
      <c r="R2509" s="12">
        <v>0.74608148390036444</v>
      </c>
      <c r="S2509" s="12">
        <v>0.67773110852065166</v>
      </c>
      <c r="T2509" s="12">
        <v>0.94152981924933021</v>
      </c>
      <c r="U2509" s="12">
        <v>0.84182625850716208</v>
      </c>
      <c r="V2509" s="12">
        <v>279.09770132054479</v>
      </c>
      <c r="W2509" s="12">
        <v>12.454407612276089</v>
      </c>
      <c r="X2509" s="12">
        <v>70.772200624442419</v>
      </c>
      <c r="Y2509" s="12">
        <v>2973.4827667846721</v>
      </c>
      <c r="Z2509" s="12">
        <v>4.6785038705129143</v>
      </c>
      <c r="AA2509" s="12"/>
      <c r="AB2509" s="12"/>
    </row>
    <row r="2510" spans="1:28" x14ac:dyDescent="0.3">
      <c r="A2510" s="12" t="s">
        <v>4426</v>
      </c>
      <c r="B2510" s="12" t="s">
        <v>198</v>
      </c>
      <c r="C2510" s="12" t="s">
        <v>474</v>
      </c>
      <c r="D2510" s="12" t="s">
        <v>4402</v>
      </c>
      <c r="E2510" s="12" t="s">
        <v>4403</v>
      </c>
      <c r="F2510" s="12" t="s">
        <v>32</v>
      </c>
      <c r="G2510" s="12" t="s">
        <v>32</v>
      </c>
      <c r="H2510" s="12" t="b">
        <v>1</v>
      </c>
      <c r="I2510" s="12" t="b">
        <v>1</v>
      </c>
      <c r="J2510" s="12" t="b">
        <v>0</v>
      </c>
      <c r="K2510" s="12" t="b">
        <v>0</v>
      </c>
      <c r="L2510" s="12">
        <v>436.09695310912758</v>
      </c>
      <c r="M2510" s="12">
        <v>281.63770132054481</v>
      </c>
      <c r="N2510" s="12">
        <v>3781.8230245237678</v>
      </c>
      <c r="O2510" s="12">
        <v>808.34025773909616</v>
      </c>
      <c r="P2510" s="12">
        <v>0.63474897094989513</v>
      </c>
      <c r="Q2510" s="12">
        <v>0.91848298050287225</v>
      </c>
      <c r="R2510" s="12">
        <v>0.74608148390036444</v>
      </c>
      <c r="S2510" s="12">
        <v>0.67773110852065166</v>
      </c>
      <c r="T2510" s="12">
        <v>0.94152981924933021</v>
      </c>
      <c r="U2510" s="12">
        <v>0.84182625850716208</v>
      </c>
      <c r="V2510" s="12">
        <v>281.63770132054481</v>
      </c>
      <c r="W2510" s="12">
        <v>12.894687795915461</v>
      </c>
      <c r="X2510" s="12">
        <v>89.422582536435797</v>
      </c>
      <c r="Y2510" s="12">
        <v>2973.4827667846721</v>
      </c>
      <c r="Z2510" s="12">
        <v>4.6785038705129143</v>
      </c>
      <c r="AA2510" s="12"/>
      <c r="AB2510" s="12"/>
    </row>
    <row r="2511" spans="1:28" x14ac:dyDescent="0.3">
      <c r="A2511" s="12" t="s">
        <v>4427</v>
      </c>
      <c r="B2511" s="12" t="s">
        <v>198</v>
      </c>
      <c r="C2511" s="12" t="s">
        <v>474</v>
      </c>
      <c r="D2511" s="12" t="s">
        <v>4402</v>
      </c>
      <c r="E2511" s="12" t="s">
        <v>4403</v>
      </c>
      <c r="F2511" s="12" t="s">
        <v>32</v>
      </c>
      <c r="G2511" s="12" t="s">
        <v>32</v>
      </c>
      <c r="H2511" s="12" t="b">
        <v>1</v>
      </c>
      <c r="I2511" s="12" t="b">
        <v>1</v>
      </c>
      <c r="J2511" s="12" t="b">
        <v>0</v>
      </c>
      <c r="K2511" s="12" t="b">
        <v>0</v>
      </c>
      <c r="L2511" s="12">
        <v>436.09695310912758</v>
      </c>
      <c r="M2511" s="12">
        <v>278.14999999999998</v>
      </c>
      <c r="N2511" s="12">
        <v>3781.8230245237678</v>
      </c>
      <c r="O2511" s="12">
        <v>808.34025773909616</v>
      </c>
      <c r="P2511" s="12">
        <v>0.63474897094989513</v>
      </c>
      <c r="Q2511" s="12">
        <v>0.91848298050287225</v>
      </c>
      <c r="R2511" s="12">
        <v>0.74608148390036444</v>
      </c>
      <c r="S2511" s="12">
        <v>0.67773110852065166</v>
      </c>
      <c r="T2511" s="12">
        <v>0.94152981924933021</v>
      </c>
      <c r="U2511" s="12">
        <v>0.84182625850716208</v>
      </c>
      <c r="V2511" s="12">
        <v>278.14999999999998</v>
      </c>
      <c r="W2511" s="12">
        <v>12.76195569084965</v>
      </c>
      <c r="X2511" s="12">
        <v>89.116415653662145</v>
      </c>
      <c r="Y2511" s="12">
        <v>2973.4827667846721</v>
      </c>
      <c r="Z2511" s="12">
        <v>4.6785038705129143</v>
      </c>
      <c r="AA2511" s="12"/>
      <c r="AB2511" s="12"/>
    </row>
    <row r="2512" spans="1:28" x14ac:dyDescent="0.3">
      <c r="A2512" s="12" t="s">
        <v>4428</v>
      </c>
      <c r="B2512" s="12" t="s">
        <v>198</v>
      </c>
      <c r="C2512" s="12" t="s">
        <v>474</v>
      </c>
      <c r="D2512" s="12" t="s">
        <v>4402</v>
      </c>
      <c r="E2512" s="12" t="s">
        <v>4403</v>
      </c>
      <c r="F2512" s="12" t="s">
        <v>32</v>
      </c>
      <c r="G2512" s="12" t="s">
        <v>32</v>
      </c>
      <c r="H2512" s="12" t="b">
        <v>1</v>
      </c>
      <c r="I2512" s="12" t="b">
        <v>1</v>
      </c>
      <c r="J2512" s="12" t="b">
        <v>0</v>
      </c>
      <c r="K2512" s="12" t="b">
        <v>0</v>
      </c>
      <c r="L2512" s="12">
        <v>436.09695310912758</v>
      </c>
      <c r="M2512" s="12">
        <v>279.09770132054479</v>
      </c>
      <c r="N2512" s="12">
        <v>4081.8230245237678</v>
      </c>
      <c r="O2512" s="12">
        <v>808.34025773909616</v>
      </c>
      <c r="P2512" s="12">
        <v>0.63474897094989513</v>
      </c>
      <c r="Q2512" s="12">
        <v>0.91848298050287225</v>
      </c>
      <c r="R2512" s="12">
        <v>0.74608148390036444</v>
      </c>
      <c r="S2512" s="12">
        <v>0.67773110852065166</v>
      </c>
      <c r="T2512" s="12">
        <v>0.94152981924933021</v>
      </c>
      <c r="U2512" s="12">
        <v>0.84182625850716208</v>
      </c>
      <c r="V2512" s="12">
        <v>279.09770132054479</v>
      </c>
      <c r="W2512" s="12">
        <v>13.209914268553639</v>
      </c>
      <c r="X2512" s="12">
        <v>86.498342183769807</v>
      </c>
      <c r="Y2512" s="12">
        <v>3273.4827667846721</v>
      </c>
      <c r="Z2512" s="12">
        <v>5.0496347119225584</v>
      </c>
      <c r="AA2512" s="12"/>
      <c r="AB2512" s="12"/>
    </row>
    <row r="2513" spans="1:28" x14ac:dyDescent="0.3">
      <c r="A2513" s="12" t="s">
        <v>4429</v>
      </c>
      <c r="B2513" s="12" t="s">
        <v>198</v>
      </c>
      <c r="C2513" s="12" t="s">
        <v>474</v>
      </c>
      <c r="D2513" s="12" t="s">
        <v>4402</v>
      </c>
      <c r="E2513" s="12" t="s">
        <v>4403</v>
      </c>
      <c r="F2513" s="12" t="s">
        <v>32</v>
      </c>
      <c r="G2513" s="12" t="s">
        <v>32</v>
      </c>
      <c r="H2513" s="12" t="b">
        <v>1</v>
      </c>
      <c r="I2513" s="12" t="b">
        <v>1</v>
      </c>
      <c r="J2513" s="12" t="b">
        <v>0</v>
      </c>
      <c r="K2513" s="12" t="b">
        <v>0</v>
      </c>
      <c r="L2513" s="12">
        <v>436.09695310912758</v>
      </c>
      <c r="M2513" s="12">
        <v>279.09770132054479</v>
      </c>
      <c r="N2513" s="12">
        <v>3481.8230245237678</v>
      </c>
      <c r="O2513" s="12">
        <v>808.34025773909616</v>
      </c>
      <c r="P2513" s="12">
        <v>0.63474897094989513</v>
      </c>
      <c r="Q2513" s="12">
        <v>0.91848298050287225</v>
      </c>
      <c r="R2513" s="12">
        <v>0.74608148390036444</v>
      </c>
      <c r="S2513" s="12">
        <v>0.67773110852065166</v>
      </c>
      <c r="T2513" s="12">
        <v>0.94152981924933021</v>
      </c>
      <c r="U2513" s="12">
        <v>0.84182625850716208</v>
      </c>
      <c r="V2513" s="12">
        <v>279.09770132054479</v>
      </c>
      <c r="W2513" s="12">
        <v>12.30159889633283</v>
      </c>
      <c r="X2513" s="12">
        <v>91.418211123925843</v>
      </c>
      <c r="Y2513" s="12">
        <v>2673.4827667846721</v>
      </c>
      <c r="Z2513" s="12">
        <v>4.3073730291032692</v>
      </c>
      <c r="AA2513" s="12"/>
      <c r="AB2513" s="12"/>
    </row>
    <row r="2514" spans="1:28" x14ac:dyDescent="0.3">
      <c r="A2514" s="12" t="s">
        <v>4430</v>
      </c>
      <c r="B2514" s="12" t="s">
        <v>198</v>
      </c>
      <c r="C2514" s="12" t="s">
        <v>474</v>
      </c>
      <c r="D2514" s="12" t="s">
        <v>4402</v>
      </c>
      <c r="E2514" s="12" t="s">
        <v>4403</v>
      </c>
      <c r="F2514" s="12" t="s">
        <v>32</v>
      </c>
      <c r="G2514" s="12" t="s">
        <v>32</v>
      </c>
      <c r="H2514" s="12" t="b">
        <v>1</v>
      </c>
      <c r="I2514" s="12" t="b">
        <v>1</v>
      </c>
      <c r="J2514" s="12" t="b">
        <v>0</v>
      </c>
      <c r="K2514" s="12" t="b">
        <v>0</v>
      </c>
      <c r="L2514" s="12">
        <v>436.09695310912758</v>
      </c>
      <c r="M2514" s="12">
        <v>279.09770132054479</v>
      </c>
      <c r="N2514" s="12">
        <v>3781.8230245237678</v>
      </c>
      <c r="O2514" s="12">
        <v>1028.3402577390959</v>
      </c>
      <c r="P2514" s="12">
        <v>0.63474897094989513</v>
      </c>
      <c r="Q2514" s="12">
        <v>0.91848298050287225</v>
      </c>
      <c r="R2514" s="12">
        <v>0.74608148390036444</v>
      </c>
      <c r="S2514" s="12">
        <v>0.67773110852065166</v>
      </c>
      <c r="T2514" s="12">
        <v>0.94152981924933021</v>
      </c>
      <c r="U2514" s="12">
        <v>0.84182625850716208</v>
      </c>
      <c r="V2514" s="12">
        <v>279.09770132054479</v>
      </c>
      <c r="W2514" s="12">
        <v>10.903198051836981</v>
      </c>
      <c r="X2514" s="12">
        <v>75.920710480302404</v>
      </c>
      <c r="Y2514" s="12">
        <v>2753.4827667846721</v>
      </c>
      <c r="Z2514" s="12">
        <v>3.6775989231798292</v>
      </c>
      <c r="AA2514" s="12"/>
      <c r="AB2514" s="12"/>
    </row>
    <row r="2515" spans="1:28" x14ac:dyDescent="0.3">
      <c r="A2515" s="12" t="s">
        <v>4431</v>
      </c>
      <c r="B2515" s="12" t="s">
        <v>198</v>
      </c>
      <c r="C2515" s="12" t="s">
        <v>474</v>
      </c>
      <c r="D2515" s="12" t="s">
        <v>4402</v>
      </c>
      <c r="E2515" s="12" t="s">
        <v>4403</v>
      </c>
      <c r="F2515" s="12" t="s">
        <v>1861</v>
      </c>
      <c r="G2515" s="12" t="s">
        <v>1861</v>
      </c>
      <c r="H2515" s="12" t="b">
        <v>1</v>
      </c>
      <c r="I2515" s="12" t="b">
        <v>0</v>
      </c>
      <c r="J2515" s="12" t="b">
        <v>0</v>
      </c>
      <c r="K2515" s="12" t="b">
        <v>0</v>
      </c>
      <c r="L2515" s="12">
        <v>436.09695310912758</v>
      </c>
      <c r="M2515" s="12">
        <v>279.09770132054479</v>
      </c>
      <c r="N2515" s="12">
        <v>3781.8230245237678</v>
      </c>
      <c r="O2515" s="12">
        <v>588.34025773909616</v>
      </c>
      <c r="P2515" s="12">
        <v>0.63474897094989513</v>
      </c>
      <c r="Q2515" s="12">
        <v>0.91848298050287225</v>
      </c>
      <c r="R2515" s="12">
        <v>0.74608148390036444</v>
      </c>
      <c r="S2515" s="12">
        <v>0.67773110852065166</v>
      </c>
      <c r="T2515" s="12">
        <v>0.94152981924933021</v>
      </c>
      <c r="U2515" s="12">
        <v>0.84182625850716208</v>
      </c>
      <c r="V2515" s="12">
        <v>279.09770132054479</v>
      </c>
      <c r="W2515" s="12">
        <v>15.21315249897212</v>
      </c>
      <c r="X2515" s="12">
        <v>106.1659439173819</v>
      </c>
      <c r="Y2515" s="12">
        <v>3193.4827667846721</v>
      </c>
      <c r="Z2515" s="12">
        <v>6.4279521497589656</v>
      </c>
      <c r="AA2515" s="12" t="s">
        <v>1268</v>
      </c>
      <c r="AB2515" s="12"/>
    </row>
    <row r="2516" spans="1:28" x14ac:dyDescent="0.3">
      <c r="A2516" s="12" t="s">
        <v>4432</v>
      </c>
      <c r="B2516" s="12" t="s">
        <v>198</v>
      </c>
      <c r="C2516" s="12" t="s">
        <v>474</v>
      </c>
      <c r="D2516" s="12" t="s">
        <v>4402</v>
      </c>
      <c r="E2516" s="12" t="s">
        <v>4403</v>
      </c>
      <c r="F2516" s="12" t="s">
        <v>32</v>
      </c>
      <c r="G2516" s="12" t="s">
        <v>32</v>
      </c>
      <c r="H2516" s="12" t="b">
        <v>1</v>
      </c>
      <c r="I2516" s="12" t="b">
        <v>1</v>
      </c>
      <c r="J2516" s="12" t="b">
        <v>0</v>
      </c>
      <c r="K2516" s="12" t="b">
        <v>0</v>
      </c>
      <c r="L2516" s="12">
        <v>436.09695310912758</v>
      </c>
      <c r="M2516" s="12">
        <v>279.09770132054479</v>
      </c>
      <c r="N2516" s="12">
        <v>3781.8230245237678</v>
      </c>
      <c r="O2516" s="12">
        <v>808.34025773909616</v>
      </c>
      <c r="P2516" s="12">
        <v>0.66974897094989516</v>
      </c>
      <c r="Q2516" s="12">
        <v>0.91848298050287225</v>
      </c>
      <c r="R2516" s="12">
        <v>0.74608148390036444</v>
      </c>
      <c r="S2516" s="12">
        <v>0.67773110852065166</v>
      </c>
      <c r="T2516" s="12">
        <v>0.94152981924933021</v>
      </c>
      <c r="U2516" s="12">
        <v>0.84182625850716208</v>
      </c>
      <c r="V2516" s="12">
        <v>279.09770132054479</v>
      </c>
      <c r="W2516" s="12">
        <v>13.205949530629489</v>
      </c>
      <c r="X2516" s="12">
        <v>100.2666282590297</v>
      </c>
      <c r="Y2516" s="12">
        <v>2973.4827667846721</v>
      </c>
      <c r="Z2516" s="12">
        <v>4.6785038705129143</v>
      </c>
      <c r="AA2516" s="12"/>
      <c r="AB2516" s="12"/>
    </row>
    <row r="2517" spans="1:28" x14ac:dyDescent="0.3">
      <c r="A2517" s="12" t="s">
        <v>4433</v>
      </c>
      <c r="B2517" s="12" t="s">
        <v>198</v>
      </c>
      <c r="C2517" s="12" t="s">
        <v>474</v>
      </c>
      <c r="D2517" s="12" t="s">
        <v>4402</v>
      </c>
      <c r="E2517" s="12" t="s">
        <v>4403</v>
      </c>
      <c r="F2517" s="12" t="s">
        <v>32</v>
      </c>
      <c r="G2517" s="12" t="s">
        <v>32</v>
      </c>
      <c r="H2517" s="12" t="b">
        <v>1</v>
      </c>
      <c r="I2517" s="12" t="b">
        <v>1</v>
      </c>
      <c r="J2517" s="12" t="b">
        <v>0</v>
      </c>
      <c r="K2517" s="12" t="b">
        <v>0</v>
      </c>
      <c r="L2517" s="12">
        <v>436.09695310912758</v>
      </c>
      <c r="M2517" s="12">
        <v>279.09770132054479</v>
      </c>
      <c r="N2517" s="12">
        <v>3781.8230245237678</v>
      </c>
      <c r="O2517" s="12">
        <v>808.34025773909616</v>
      </c>
      <c r="P2517" s="12">
        <v>0.5997489709498951</v>
      </c>
      <c r="Q2517" s="12">
        <v>0.91848298050287225</v>
      </c>
      <c r="R2517" s="12">
        <v>0.74608148390036444</v>
      </c>
      <c r="S2517" s="12">
        <v>0.67773110852065166</v>
      </c>
      <c r="T2517" s="12">
        <v>0.94152981924933021</v>
      </c>
      <c r="U2517" s="12">
        <v>0.84182625850716208</v>
      </c>
      <c r="V2517" s="12">
        <v>279.09770132054479</v>
      </c>
      <c r="W2517" s="12">
        <v>12.35989091930802</v>
      </c>
      <c r="X2517" s="12">
        <v>78.140596408844004</v>
      </c>
      <c r="Y2517" s="12">
        <v>2973.4827667846721</v>
      </c>
      <c r="Z2517" s="12">
        <v>4.6785038705129143</v>
      </c>
      <c r="AA2517" s="12"/>
      <c r="AB2517" s="12"/>
    </row>
    <row r="2518" spans="1:28" x14ac:dyDescent="0.3">
      <c r="A2518" s="12" t="s">
        <v>4434</v>
      </c>
      <c r="B2518" s="12" t="s">
        <v>198</v>
      </c>
      <c r="C2518" s="12" t="s">
        <v>474</v>
      </c>
      <c r="D2518" s="12" t="s">
        <v>4402</v>
      </c>
      <c r="E2518" s="12" t="s">
        <v>4403</v>
      </c>
      <c r="F2518" s="12" t="s">
        <v>32</v>
      </c>
      <c r="G2518" s="12" t="s">
        <v>32</v>
      </c>
      <c r="H2518" s="12" t="b">
        <v>1</v>
      </c>
      <c r="I2518" s="12" t="b">
        <v>1</v>
      </c>
      <c r="J2518" s="12" t="b">
        <v>0</v>
      </c>
      <c r="K2518" s="12" t="b">
        <v>0</v>
      </c>
      <c r="L2518" s="12">
        <v>436.09695310912758</v>
      </c>
      <c r="M2518" s="12">
        <v>279.09770132054479</v>
      </c>
      <c r="N2518" s="12">
        <v>3781.8230245237678</v>
      </c>
      <c r="O2518" s="12">
        <v>808.34025773909616</v>
      </c>
      <c r="P2518" s="12">
        <v>0.63474897094989513</v>
      </c>
      <c r="Q2518" s="12">
        <v>0.95</v>
      </c>
      <c r="R2518" s="12">
        <v>0.74608148390036444</v>
      </c>
      <c r="S2518" s="12">
        <v>0.67773110852065166</v>
      </c>
      <c r="T2518" s="12">
        <v>0.94152981924933021</v>
      </c>
      <c r="U2518" s="12">
        <v>0.84182625850716208</v>
      </c>
      <c r="V2518" s="12">
        <v>279.09770132054479</v>
      </c>
      <c r="W2518" s="12">
        <v>13.2574465374705</v>
      </c>
      <c r="X2518" s="12">
        <v>92.427230445826964</v>
      </c>
      <c r="Y2518" s="12">
        <v>2973.4827667846721</v>
      </c>
      <c r="Z2518" s="12">
        <v>4.6785038705129143</v>
      </c>
      <c r="AA2518" s="12"/>
      <c r="AB2518" s="12"/>
    </row>
    <row r="2519" spans="1:28" x14ac:dyDescent="0.3">
      <c r="A2519" s="12" t="s">
        <v>4435</v>
      </c>
      <c r="B2519" s="12" t="s">
        <v>198</v>
      </c>
      <c r="C2519" s="12" t="s">
        <v>474</v>
      </c>
      <c r="D2519" s="12" t="s">
        <v>4402</v>
      </c>
      <c r="E2519" s="12" t="s">
        <v>4403</v>
      </c>
      <c r="F2519" s="12" t="s">
        <v>32</v>
      </c>
      <c r="G2519" s="12" t="s">
        <v>32</v>
      </c>
      <c r="H2519" s="12" t="b">
        <v>1</v>
      </c>
      <c r="I2519" s="12" t="b">
        <v>1</v>
      </c>
      <c r="J2519" s="12" t="b">
        <v>0</v>
      </c>
      <c r="K2519" s="12" t="b">
        <v>0</v>
      </c>
      <c r="L2519" s="12">
        <v>436.09695310912758</v>
      </c>
      <c r="M2519" s="12">
        <v>279.09770132054479</v>
      </c>
      <c r="N2519" s="12">
        <v>3781.8230245237678</v>
      </c>
      <c r="O2519" s="12">
        <v>808.34025773909616</v>
      </c>
      <c r="P2519" s="12">
        <v>0.63474897094989513</v>
      </c>
      <c r="Q2519" s="12">
        <v>0.86348298050287231</v>
      </c>
      <c r="R2519" s="12">
        <v>0.74608148390036444</v>
      </c>
      <c r="S2519" s="12">
        <v>0.67773110852065166</v>
      </c>
      <c r="T2519" s="12">
        <v>0.94152981924933021</v>
      </c>
      <c r="U2519" s="12">
        <v>0.84182625850716208</v>
      </c>
      <c r="V2519" s="12">
        <v>279.09770132054479</v>
      </c>
      <c r="W2519" s="12">
        <v>11.994712973214289</v>
      </c>
      <c r="X2519" s="12">
        <v>83.564661947100277</v>
      </c>
      <c r="Y2519" s="12">
        <v>2973.4827667846721</v>
      </c>
      <c r="Z2519" s="12">
        <v>4.6785038705129143</v>
      </c>
      <c r="AA2519" s="12"/>
      <c r="AB2519" s="12"/>
    </row>
    <row r="2520" spans="1:28" x14ac:dyDescent="0.3">
      <c r="A2520" s="12" t="s">
        <v>4436</v>
      </c>
      <c r="B2520" s="12" t="s">
        <v>198</v>
      </c>
      <c r="C2520" s="12" t="s">
        <v>474</v>
      </c>
      <c r="D2520" s="12" t="s">
        <v>4402</v>
      </c>
      <c r="E2520" s="12" t="s">
        <v>4403</v>
      </c>
      <c r="F2520" s="12" t="s">
        <v>32</v>
      </c>
      <c r="G2520" s="12" t="s">
        <v>32</v>
      </c>
      <c r="H2520" s="12" t="b">
        <v>1</v>
      </c>
      <c r="I2520" s="12" t="b">
        <v>1</v>
      </c>
      <c r="J2520" s="12" t="b">
        <v>0</v>
      </c>
      <c r="K2520" s="12" t="b">
        <v>0</v>
      </c>
      <c r="L2520" s="12">
        <v>436.09695310912758</v>
      </c>
      <c r="M2520" s="12">
        <v>279.09770132054479</v>
      </c>
      <c r="N2520" s="12">
        <v>3781.8230245237678</v>
      </c>
      <c r="O2520" s="12">
        <v>808.34025773909616</v>
      </c>
      <c r="P2520" s="12">
        <v>0.63474897094989513</v>
      </c>
      <c r="Q2520" s="12">
        <v>0.91848298050287225</v>
      </c>
      <c r="R2520" s="12">
        <v>0.80108148390036438</v>
      </c>
      <c r="S2520" s="12">
        <v>0.67773110852065166</v>
      </c>
      <c r="T2520" s="12">
        <v>0.94152981924933021</v>
      </c>
      <c r="U2520" s="12">
        <v>0.84182625850716208</v>
      </c>
      <c r="V2520" s="12">
        <v>279.09770132054479</v>
      </c>
      <c r="W2520" s="12">
        <v>12.845562908715671</v>
      </c>
      <c r="X2520" s="12">
        <v>89.548709508804436</v>
      </c>
      <c r="Y2520" s="12">
        <v>2973.4827667846721</v>
      </c>
      <c r="Z2520" s="12">
        <v>4.6785038705129143</v>
      </c>
      <c r="AA2520" s="12"/>
      <c r="AB2520" s="12"/>
    </row>
    <row r="2521" spans="1:28" x14ac:dyDescent="0.3">
      <c r="A2521" s="12" t="s">
        <v>4437</v>
      </c>
      <c r="B2521" s="12" t="s">
        <v>198</v>
      </c>
      <c r="C2521" s="12" t="s">
        <v>474</v>
      </c>
      <c r="D2521" s="12" t="s">
        <v>4402</v>
      </c>
      <c r="E2521" s="12" t="s">
        <v>4403</v>
      </c>
      <c r="F2521" s="12" t="s">
        <v>32</v>
      </c>
      <c r="G2521" s="12" t="s">
        <v>32</v>
      </c>
      <c r="H2521" s="12" t="b">
        <v>1</v>
      </c>
      <c r="I2521" s="12" t="b">
        <v>1</v>
      </c>
      <c r="J2521" s="12" t="b">
        <v>0</v>
      </c>
      <c r="K2521" s="12" t="b">
        <v>0</v>
      </c>
      <c r="L2521" s="12">
        <v>436.09695310912758</v>
      </c>
      <c r="M2521" s="12">
        <v>279.09770132054479</v>
      </c>
      <c r="N2521" s="12">
        <v>3781.8230245237678</v>
      </c>
      <c r="O2521" s="12">
        <v>808.34025773909616</v>
      </c>
      <c r="P2521" s="12">
        <v>0.63474897094989513</v>
      </c>
      <c r="Q2521" s="12">
        <v>0.91848298050287225</v>
      </c>
      <c r="R2521" s="12">
        <v>0.69108148390036439</v>
      </c>
      <c r="S2521" s="12">
        <v>0.67773110852065166</v>
      </c>
      <c r="T2521" s="12">
        <v>0.94152981924933021</v>
      </c>
      <c r="U2521" s="12">
        <v>0.84182625850716208</v>
      </c>
      <c r="V2521" s="12">
        <v>279.09770132054479</v>
      </c>
      <c r="W2521" s="12">
        <v>12.74232601404055</v>
      </c>
      <c r="X2521" s="12">
        <v>88.794581522319547</v>
      </c>
      <c r="Y2521" s="12">
        <v>2973.4827667846721</v>
      </c>
      <c r="Z2521" s="12">
        <v>4.6785038705129143</v>
      </c>
      <c r="AA2521" s="12"/>
      <c r="AB2521" s="12"/>
    </row>
    <row r="2522" spans="1:28" x14ac:dyDescent="0.3">
      <c r="A2522" s="12" t="s">
        <v>4438</v>
      </c>
      <c r="B2522" s="12" t="s">
        <v>198</v>
      </c>
      <c r="C2522" s="12" t="s">
        <v>474</v>
      </c>
      <c r="D2522" s="12" t="s">
        <v>4402</v>
      </c>
      <c r="E2522" s="12" t="s">
        <v>4403</v>
      </c>
      <c r="F2522" s="12" t="s">
        <v>32</v>
      </c>
      <c r="G2522" s="12" t="s">
        <v>32</v>
      </c>
      <c r="H2522" s="12" t="b">
        <v>1</v>
      </c>
      <c r="I2522" s="12" t="b">
        <v>1</v>
      </c>
      <c r="J2522" s="12" t="b">
        <v>0</v>
      </c>
      <c r="K2522" s="12" t="b">
        <v>0</v>
      </c>
      <c r="L2522" s="12">
        <v>436.09695310912758</v>
      </c>
      <c r="M2522" s="12">
        <v>279.09770132054479</v>
      </c>
      <c r="N2522" s="12">
        <v>3781.8230245237678</v>
      </c>
      <c r="O2522" s="12">
        <v>808.34025773909616</v>
      </c>
      <c r="P2522" s="12">
        <v>0.63474897094989513</v>
      </c>
      <c r="Q2522" s="12">
        <v>0.91848298050287225</v>
      </c>
      <c r="R2522" s="12">
        <v>0.74608148390036444</v>
      </c>
      <c r="S2522" s="12">
        <v>0.7327311085206516</v>
      </c>
      <c r="T2522" s="12">
        <v>0.94152981924933021</v>
      </c>
      <c r="U2522" s="12">
        <v>0.84182625850716208</v>
      </c>
      <c r="V2522" s="12">
        <v>279.09770132054479</v>
      </c>
      <c r="W2522" s="12">
        <v>12.894631313136131</v>
      </c>
      <c r="X2522" s="12">
        <v>97.27420223465262</v>
      </c>
      <c r="Y2522" s="12">
        <v>2973.4827667846721</v>
      </c>
      <c r="Z2522" s="12">
        <v>4.6785038705129143</v>
      </c>
      <c r="AA2522" s="12"/>
      <c r="AB2522" s="12"/>
    </row>
    <row r="2523" spans="1:28" x14ac:dyDescent="0.3">
      <c r="A2523" s="12" t="s">
        <v>4439</v>
      </c>
      <c r="B2523" s="12" t="s">
        <v>198</v>
      </c>
      <c r="C2523" s="12" t="s">
        <v>474</v>
      </c>
      <c r="D2523" s="12" t="s">
        <v>4402</v>
      </c>
      <c r="E2523" s="12" t="s">
        <v>4403</v>
      </c>
      <c r="F2523" s="12" t="s">
        <v>32</v>
      </c>
      <c r="G2523" s="12" t="s">
        <v>32</v>
      </c>
      <c r="H2523" s="12" t="b">
        <v>1</v>
      </c>
      <c r="I2523" s="12" t="b">
        <v>1</v>
      </c>
      <c r="J2523" s="12" t="b">
        <v>0</v>
      </c>
      <c r="K2523" s="12" t="b">
        <v>0</v>
      </c>
      <c r="L2523" s="12">
        <v>436.09695310912758</v>
      </c>
      <c r="M2523" s="12">
        <v>279.09770132054479</v>
      </c>
      <c r="N2523" s="12">
        <v>3781.8230245237678</v>
      </c>
      <c r="O2523" s="12">
        <v>808.34025773909616</v>
      </c>
      <c r="P2523" s="12">
        <v>0.63474897094989513</v>
      </c>
      <c r="Q2523" s="12">
        <v>0.91848298050287225</v>
      </c>
      <c r="R2523" s="12">
        <v>0.74608148390036444</v>
      </c>
      <c r="S2523" s="12">
        <v>0.62273110852065172</v>
      </c>
      <c r="T2523" s="12">
        <v>0.94152981924933021</v>
      </c>
      <c r="U2523" s="12">
        <v>0.84182625850716208</v>
      </c>
      <c r="V2523" s="12">
        <v>279.09770132054479</v>
      </c>
      <c r="W2523" s="12">
        <v>12.66958142774679</v>
      </c>
      <c r="X2523" s="12">
        <v>81.067184272889847</v>
      </c>
      <c r="Y2523" s="12">
        <v>2973.4827667846721</v>
      </c>
      <c r="Z2523" s="12">
        <v>4.6785038705129143</v>
      </c>
      <c r="AA2523" s="12"/>
      <c r="AB2523" s="12"/>
    </row>
    <row r="2524" spans="1:28" x14ac:dyDescent="0.3">
      <c r="A2524" s="12" t="s">
        <v>4440</v>
      </c>
      <c r="B2524" s="12" t="s">
        <v>198</v>
      </c>
      <c r="C2524" s="12" t="s">
        <v>474</v>
      </c>
      <c r="D2524" s="12" t="s">
        <v>4402</v>
      </c>
      <c r="E2524" s="12" t="s">
        <v>4403</v>
      </c>
      <c r="F2524" s="12" t="s">
        <v>32</v>
      </c>
      <c r="G2524" s="12" t="s">
        <v>32</v>
      </c>
      <c r="H2524" s="12" t="b">
        <v>1</v>
      </c>
      <c r="I2524" s="12" t="b">
        <v>1</v>
      </c>
      <c r="J2524" s="12" t="b">
        <v>0</v>
      </c>
      <c r="K2524" s="12" t="b">
        <v>0</v>
      </c>
      <c r="L2524" s="12">
        <v>436.09695310912758</v>
      </c>
      <c r="M2524" s="12">
        <v>279.09770132054479</v>
      </c>
      <c r="N2524" s="12">
        <v>3781.8230245237678</v>
      </c>
      <c r="O2524" s="12">
        <v>808.34025773909616</v>
      </c>
      <c r="P2524" s="12">
        <v>0.63474897094989513</v>
      </c>
      <c r="Q2524" s="12">
        <v>0.91848298050287225</v>
      </c>
      <c r="R2524" s="12">
        <v>0.74608148390036444</v>
      </c>
      <c r="S2524" s="12">
        <v>0.67773110852065166</v>
      </c>
      <c r="T2524" s="12">
        <v>0.95</v>
      </c>
      <c r="U2524" s="12">
        <v>0.84182625850716208</v>
      </c>
      <c r="V2524" s="12">
        <v>279.09770132054479</v>
      </c>
      <c r="W2524" s="12">
        <v>12.84351626374689</v>
      </c>
      <c r="X2524" s="12">
        <v>89.310837541191972</v>
      </c>
      <c r="Y2524" s="12">
        <v>2973.4827667846721</v>
      </c>
      <c r="Z2524" s="12">
        <v>4.6785038705129143</v>
      </c>
      <c r="AA2524" s="12"/>
      <c r="AB2524" s="12"/>
    </row>
    <row r="2525" spans="1:28" x14ac:dyDescent="0.3">
      <c r="A2525" s="12" t="s">
        <v>4441</v>
      </c>
      <c r="B2525" s="12" t="s">
        <v>198</v>
      </c>
      <c r="C2525" s="12" t="s">
        <v>474</v>
      </c>
      <c r="D2525" s="12" t="s">
        <v>4402</v>
      </c>
      <c r="E2525" s="12" t="s">
        <v>4403</v>
      </c>
      <c r="F2525" s="12" t="s">
        <v>32</v>
      </c>
      <c r="G2525" s="12" t="s">
        <v>32</v>
      </c>
      <c r="H2525" s="12" t="b">
        <v>1</v>
      </c>
      <c r="I2525" s="12" t="b">
        <v>1</v>
      </c>
      <c r="J2525" s="12" t="b">
        <v>0</v>
      </c>
      <c r="K2525" s="12" t="b">
        <v>0</v>
      </c>
      <c r="L2525" s="12">
        <v>436.09695310912758</v>
      </c>
      <c r="M2525" s="12">
        <v>279.09770132054479</v>
      </c>
      <c r="N2525" s="12">
        <v>3781.8230245237678</v>
      </c>
      <c r="O2525" s="12">
        <v>808.34025773909616</v>
      </c>
      <c r="P2525" s="12">
        <v>0.63474897094989513</v>
      </c>
      <c r="Q2525" s="12">
        <v>0.91848298050287225</v>
      </c>
      <c r="R2525" s="12">
        <v>0.74608148390036444</v>
      </c>
      <c r="S2525" s="12">
        <v>0.67773110852065166</v>
      </c>
      <c r="T2525" s="12">
        <v>0.88652981924933028</v>
      </c>
      <c r="U2525" s="12">
        <v>0.84182625850716208</v>
      </c>
      <c r="V2525" s="12">
        <v>279.09770132054479</v>
      </c>
      <c r="W2525" s="12">
        <v>12.506259094167071</v>
      </c>
      <c r="X2525" s="12">
        <v>88.477275639927939</v>
      </c>
      <c r="Y2525" s="12">
        <v>2973.4827667846721</v>
      </c>
      <c r="Z2525" s="12">
        <v>4.6785038705129143</v>
      </c>
      <c r="AA2525" s="12"/>
      <c r="AB2525" s="12"/>
    </row>
    <row r="2526" spans="1:28" x14ac:dyDescent="0.3">
      <c r="A2526" s="12" t="s">
        <v>4442</v>
      </c>
      <c r="B2526" s="12" t="s">
        <v>198</v>
      </c>
      <c r="C2526" s="12" t="s">
        <v>474</v>
      </c>
      <c r="D2526" s="12" t="s">
        <v>4402</v>
      </c>
      <c r="E2526" s="12" t="s">
        <v>4403</v>
      </c>
      <c r="F2526" s="12" t="s">
        <v>32</v>
      </c>
      <c r="G2526" s="12" t="s">
        <v>32</v>
      </c>
      <c r="H2526" s="12" t="b">
        <v>1</v>
      </c>
      <c r="I2526" s="12" t="b">
        <v>1</v>
      </c>
      <c r="J2526" s="12" t="b">
        <v>0</v>
      </c>
      <c r="K2526" s="12" t="b">
        <v>0</v>
      </c>
      <c r="L2526" s="12">
        <v>436.09695310912758</v>
      </c>
      <c r="M2526" s="12">
        <v>279.09770132054479</v>
      </c>
      <c r="N2526" s="12">
        <v>3781.8230245237678</v>
      </c>
      <c r="O2526" s="12">
        <v>808.34025773909616</v>
      </c>
      <c r="P2526" s="12">
        <v>0.63474897094989513</v>
      </c>
      <c r="Q2526" s="12">
        <v>0.91848298050287225</v>
      </c>
      <c r="R2526" s="12">
        <v>0.74608148390036444</v>
      </c>
      <c r="S2526" s="12">
        <v>0.67773110852065166</v>
      </c>
      <c r="T2526" s="12">
        <v>0.94152981924933021</v>
      </c>
      <c r="U2526" s="12">
        <v>0.89682625850716202</v>
      </c>
      <c r="V2526" s="12">
        <v>279.09770132054479</v>
      </c>
      <c r="W2526" s="12">
        <v>12.438864975458561</v>
      </c>
      <c r="X2526" s="12">
        <v>88.352023494842683</v>
      </c>
      <c r="Y2526" s="12">
        <v>2973.4827667846721</v>
      </c>
      <c r="Z2526" s="12">
        <v>4.6785038705129143</v>
      </c>
      <c r="AA2526" s="12"/>
      <c r="AB2526" s="12"/>
    </row>
    <row r="2527" spans="1:28" x14ac:dyDescent="0.3">
      <c r="A2527" s="12" t="s">
        <v>4443</v>
      </c>
      <c r="B2527" s="12" t="s">
        <v>198</v>
      </c>
      <c r="C2527" s="12" t="s">
        <v>474</v>
      </c>
      <c r="D2527" s="12" t="s">
        <v>4402</v>
      </c>
      <c r="E2527" s="12" t="s">
        <v>4403</v>
      </c>
      <c r="F2527" s="12" t="s">
        <v>1861</v>
      </c>
      <c r="G2527" s="12" t="s">
        <v>1861</v>
      </c>
      <c r="H2527" s="12" t="b">
        <v>1</v>
      </c>
      <c r="I2527" s="12" t="b">
        <v>0</v>
      </c>
      <c r="J2527" s="12" t="b">
        <v>0</v>
      </c>
      <c r="K2527" s="12" t="b">
        <v>0</v>
      </c>
      <c r="L2527" s="12">
        <v>436.09695310912758</v>
      </c>
      <c r="M2527" s="12">
        <v>279.09770132054479</v>
      </c>
      <c r="N2527" s="12">
        <v>3781.8230245237678</v>
      </c>
      <c r="O2527" s="12">
        <v>808.34025773909616</v>
      </c>
      <c r="P2527" s="12">
        <v>0.63474897094989513</v>
      </c>
      <c r="Q2527" s="12">
        <v>0.91848298050287225</v>
      </c>
      <c r="R2527" s="12">
        <v>0.74608148390036444</v>
      </c>
      <c r="S2527" s="12">
        <v>0.67773110852065166</v>
      </c>
      <c r="T2527" s="12">
        <v>0.94152981924933021</v>
      </c>
      <c r="U2527" s="12">
        <v>0.78682625850716215</v>
      </c>
      <c r="V2527" s="12">
        <v>279.09770132054479</v>
      </c>
      <c r="W2527" s="12">
        <v>13.20031115251013</v>
      </c>
      <c r="X2527" s="12">
        <v>90.075472680951236</v>
      </c>
      <c r="Y2527" s="12">
        <v>2973.4827667846721</v>
      </c>
      <c r="Z2527" s="12">
        <v>4.6785038705129143</v>
      </c>
      <c r="AA2527" s="12" t="s">
        <v>1268</v>
      </c>
      <c r="AB2527" s="12"/>
    </row>
    <row r="2528" spans="1:28" x14ac:dyDescent="0.3">
      <c r="A2528" s="12" t="s">
        <v>4444</v>
      </c>
      <c r="B2528" s="12" t="s">
        <v>198</v>
      </c>
      <c r="C2528" s="12" t="s">
        <v>474</v>
      </c>
      <c r="D2528" s="12" t="s">
        <v>4402</v>
      </c>
      <c r="E2528" s="12" t="s">
        <v>4403</v>
      </c>
      <c r="F2528" s="12" t="s">
        <v>32</v>
      </c>
      <c r="G2528" s="12" t="s">
        <v>32</v>
      </c>
      <c r="H2528" s="12" t="b">
        <v>1</v>
      </c>
      <c r="I2528" s="12" t="b">
        <v>0</v>
      </c>
      <c r="J2528" s="12" t="b">
        <v>1</v>
      </c>
      <c r="K2528" s="12" t="b">
        <v>0</v>
      </c>
      <c r="L2528" s="12">
        <v>448.09695310912758</v>
      </c>
      <c r="M2528" s="12">
        <v>279.09770132054479</v>
      </c>
      <c r="N2528" s="12">
        <v>3781.8230245237678</v>
      </c>
      <c r="O2528" s="12">
        <v>808.34025773909616</v>
      </c>
      <c r="P2528" s="12">
        <v>0.63474897094989513</v>
      </c>
      <c r="Q2528" s="12">
        <v>0.95</v>
      </c>
      <c r="R2528" s="12">
        <v>0.74608148390036444</v>
      </c>
      <c r="S2528" s="12">
        <v>0.67773110852065166</v>
      </c>
      <c r="T2528" s="12">
        <v>0.94152981924933021</v>
      </c>
      <c r="U2528" s="12">
        <v>0.84182625850716208</v>
      </c>
      <c r="V2528" s="12">
        <v>279.09770132054479</v>
      </c>
      <c r="W2528" s="12">
        <v>13.46342439501073</v>
      </c>
      <c r="X2528" s="12">
        <v>114.73866543221079</v>
      </c>
      <c r="Y2528" s="12">
        <v>2973.4827667846721</v>
      </c>
      <c r="Z2528" s="12">
        <v>4.6785038705129143</v>
      </c>
      <c r="AA2528" s="12"/>
      <c r="AB2528" s="12"/>
    </row>
    <row r="2529" spans="1:28" x14ac:dyDescent="0.3">
      <c r="A2529" s="12" t="s">
        <v>4445</v>
      </c>
      <c r="B2529" s="12" t="s">
        <v>198</v>
      </c>
      <c r="C2529" s="12" t="s">
        <v>474</v>
      </c>
      <c r="D2529" s="12" t="s">
        <v>4402</v>
      </c>
      <c r="E2529" s="12" t="s">
        <v>4403</v>
      </c>
      <c r="F2529" s="12" t="s">
        <v>32</v>
      </c>
      <c r="G2529" s="12" t="s">
        <v>32</v>
      </c>
      <c r="H2529" s="12" t="b">
        <v>1</v>
      </c>
      <c r="I2529" s="12" t="b">
        <v>1</v>
      </c>
      <c r="J2529" s="12" t="b">
        <v>0</v>
      </c>
      <c r="K2529" s="12" t="b">
        <v>0</v>
      </c>
      <c r="L2529" s="12">
        <v>424.09695310912758</v>
      </c>
      <c r="M2529" s="12">
        <v>279.09770132054479</v>
      </c>
      <c r="N2529" s="12">
        <v>3781.8230245237678</v>
      </c>
      <c r="O2529" s="12">
        <v>808.34025773909616</v>
      </c>
      <c r="P2529" s="12">
        <v>0.63474897094989513</v>
      </c>
      <c r="Q2529" s="12">
        <v>0.95</v>
      </c>
      <c r="R2529" s="12">
        <v>0.74608148390036444</v>
      </c>
      <c r="S2529" s="12">
        <v>0.67773110852065166</v>
      </c>
      <c r="T2529" s="12">
        <v>0.94152981924933021</v>
      </c>
      <c r="U2529" s="12">
        <v>0.84182625850716208</v>
      </c>
      <c r="V2529" s="12">
        <v>279.09770132054479</v>
      </c>
      <c r="W2529" s="12">
        <v>12.908757503034931</v>
      </c>
      <c r="X2529" s="12">
        <v>73.370114356858167</v>
      </c>
      <c r="Y2529" s="12">
        <v>2973.4827667846721</v>
      </c>
      <c r="Z2529" s="12">
        <v>4.6785038705129143</v>
      </c>
      <c r="AA2529" s="12"/>
      <c r="AB2529" s="12"/>
    </row>
    <row r="2530" spans="1:28" x14ac:dyDescent="0.3">
      <c r="A2530" s="12" t="s">
        <v>4446</v>
      </c>
      <c r="B2530" s="12" t="s">
        <v>198</v>
      </c>
      <c r="C2530" s="12" t="s">
        <v>474</v>
      </c>
      <c r="D2530" s="12" t="s">
        <v>4402</v>
      </c>
      <c r="E2530" s="12" t="s">
        <v>4403</v>
      </c>
      <c r="F2530" s="12" t="s">
        <v>32</v>
      </c>
      <c r="G2530" s="12" t="s">
        <v>32</v>
      </c>
      <c r="H2530" s="12" t="b">
        <v>1</v>
      </c>
      <c r="I2530" s="12" t="b">
        <v>1</v>
      </c>
      <c r="J2530" s="12" t="b">
        <v>0</v>
      </c>
      <c r="K2530" s="12" t="b">
        <v>0</v>
      </c>
      <c r="L2530" s="12">
        <v>436.09695310912758</v>
      </c>
      <c r="M2530" s="12">
        <v>281.63770132054481</v>
      </c>
      <c r="N2530" s="12">
        <v>3781.8230245237678</v>
      </c>
      <c r="O2530" s="12">
        <v>808.34025773909616</v>
      </c>
      <c r="P2530" s="12">
        <v>0.63474897094989513</v>
      </c>
      <c r="Q2530" s="12">
        <v>0.95</v>
      </c>
      <c r="R2530" s="12">
        <v>0.74608148390036444</v>
      </c>
      <c r="S2530" s="12">
        <v>0.67773110852065166</v>
      </c>
      <c r="T2530" s="12">
        <v>0.94152981924933021</v>
      </c>
      <c r="U2530" s="12">
        <v>0.84182625850716208</v>
      </c>
      <c r="V2530" s="12">
        <v>281.63770132054481</v>
      </c>
      <c r="W2530" s="12">
        <v>13.35783826414325</v>
      </c>
      <c r="X2530" s="12">
        <v>92.658572724944577</v>
      </c>
      <c r="Y2530" s="12">
        <v>2973.4827667846721</v>
      </c>
      <c r="Z2530" s="12">
        <v>4.6785038705129143</v>
      </c>
      <c r="AA2530" s="12"/>
      <c r="AB2530" s="12"/>
    </row>
    <row r="2531" spans="1:28" x14ac:dyDescent="0.3">
      <c r="A2531" s="12" t="s">
        <v>4447</v>
      </c>
      <c r="B2531" s="12" t="s">
        <v>198</v>
      </c>
      <c r="C2531" s="12" t="s">
        <v>474</v>
      </c>
      <c r="D2531" s="12" t="s">
        <v>4402</v>
      </c>
      <c r="E2531" s="12" t="s">
        <v>4403</v>
      </c>
      <c r="F2531" s="12" t="s">
        <v>32</v>
      </c>
      <c r="G2531" s="12" t="s">
        <v>32</v>
      </c>
      <c r="H2531" s="12" t="b">
        <v>1</v>
      </c>
      <c r="I2531" s="12" t="b">
        <v>1</v>
      </c>
      <c r="J2531" s="12" t="b">
        <v>0</v>
      </c>
      <c r="K2531" s="12" t="b">
        <v>0</v>
      </c>
      <c r="L2531" s="12">
        <v>436.09695310912758</v>
      </c>
      <c r="M2531" s="12">
        <v>278.14999999999998</v>
      </c>
      <c r="N2531" s="12">
        <v>3781.8230245237678</v>
      </c>
      <c r="O2531" s="12">
        <v>808.34025773909616</v>
      </c>
      <c r="P2531" s="12">
        <v>0.63474897094989513</v>
      </c>
      <c r="Q2531" s="12">
        <v>0.95</v>
      </c>
      <c r="R2531" s="12">
        <v>0.74608148390036444</v>
      </c>
      <c r="S2531" s="12">
        <v>0.67773110852065166</v>
      </c>
      <c r="T2531" s="12">
        <v>0.94152981924933021</v>
      </c>
      <c r="U2531" s="12">
        <v>0.84182625850716208</v>
      </c>
      <c r="V2531" s="12">
        <v>278.14999999999998</v>
      </c>
      <c r="W2531" s="12">
        <v>13.22036228470146</v>
      </c>
      <c r="X2531" s="12">
        <v>92.341146460117358</v>
      </c>
      <c r="Y2531" s="12">
        <v>2973.4827667846721</v>
      </c>
      <c r="Z2531" s="12">
        <v>4.6785038705129143</v>
      </c>
      <c r="AA2531" s="12"/>
      <c r="AB2531" s="12"/>
    </row>
    <row r="2532" spans="1:28" x14ac:dyDescent="0.3">
      <c r="A2532" s="12" t="s">
        <v>4448</v>
      </c>
      <c r="B2532" s="12" t="s">
        <v>198</v>
      </c>
      <c r="C2532" s="12" t="s">
        <v>474</v>
      </c>
      <c r="D2532" s="12" t="s">
        <v>4402</v>
      </c>
      <c r="E2532" s="12" t="s">
        <v>4403</v>
      </c>
      <c r="F2532" s="12" t="s">
        <v>32</v>
      </c>
      <c r="G2532" s="12" t="s">
        <v>32</v>
      </c>
      <c r="H2532" s="12" t="b">
        <v>1</v>
      </c>
      <c r="I2532" s="12" t="b">
        <v>1</v>
      </c>
      <c r="J2532" s="12" t="b">
        <v>0</v>
      </c>
      <c r="K2532" s="12" t="b">
        <v>0</v>
      </c>
      <c r="L2532" s="12">
        <v>436.09695310912758</v>
      </c>
      <c r="M2532" s="12">
        <v>279.09770132054479</v>
      </c>
      <c r="N2532" s="12">
        <v>4081.8230245237678</v>
      </c>
      <c r="O2532" s="12">
        <v>808.34025773909616</v>
      </c>
      <c r="P2532" s="12">
        <v>0.63474897094989513</v>
      </c>
      <c r="Q2532" s="12">
        <v>0.95</v>
      </c>
      <c r="R2532" s="12">
        <v>0.74608148390036444</v>
      </c>
      <c r="S2532" s="12">
        <v>0.67773110852065166</v>
      </c>
      <c r="T2532" s="12">
        <v>0.94152981924933021</v>
      </c>
      <c r="U2532" s="12">
        <v>0.84182625850716208</v>
      </c>
      <c r="V2532" s="12">
        <v>279.09770132054479</v>
      </c>
      <c r="W2532" s="12">
        <v>13.687946280368671</v>
      </c>
      <c r="X2532" s="12">
        <v>89.651257916252476</v>
      </c>
      <c r="Y2532" s="12">
        <v>3273.4827667846721</v>
      </c>
      <c r="Z2532" s="12">
        <v>5.0496347119225584</v>
      </c>
      <c r="AA2532" s="12"/>
      <c r="AB2532" s="12"/>
    </row>
    <row r="2533" spans="1:28" x14ac:dyDescent="0.3">
      <c r="A2533" s="12" t="s">
        <v>4449</v>
      </c>
      <c r="B2533" s="12" t="s">
        <v>198</v>
      </c>
      <c r="C2533" s="12" t="s">
        <v>474</v>
      </c>
      <c r="D2533" s="12" t="s">
        <v>4402</v>
      </c>
      <c r="E2533" s="12" t="s">
        <v>4403</v>
      </c>
      <c r="F2533" s="12" t="s">
        <v>32</v>
      </c>
      <c r="G2533" s="12" t="s">
        <v>32</v>
      </c>
      <c r="H2533" s="12" t="b">
        <v>1</v>
      </c>
      <c r="I2533" s="12" t="b">
        <v>1</v>
      </c>
      <c r="J2533" s="12" t="b">
        <v>0</v>
      </c>
      <c r="K2533" s="12" t="b">
        <v>0</v>
      </c>
      <c r="L2533" s="12">
        <v>436.09695310912758</v>
      </c>
      <c r="M2533" s="12">
        <v>279.09770132054479</v>
      </c>
      <c r="N2533" s="12">
        <v>3481.8230245237678</v>
      </c>
      <c r="O2533" s="12">
        <v>808.34025773909616</v>
      </c>
      <c r="P2533" s="12">
        <v>0.63474897094989513</v>
      </c>
      <c r="Q2533" s="12">
        <v>0.95</v>
      </c>
      <c r="R2533" s="12">
        <v>0.74608148390036444</v>
      </c>
      <c r="S2533" s="12">
        <v>0.67773110852065166</v>
      </c>
      <c r="T2533" s="12">
        <v>0.94152981924933021</v>
      </c>
      <c r="U2533" s="12">
        <v>0.84182625850716208</v>
      </c>
      <c r="V2533" s="12">
        <v>279.09770132054479</v>
      </c>
      <c r="W2533" s="12">
        <v>12.74050241318179</v>
      </c>
      <c r="X2533" s="12">
        <v>94.704425505552393</v>
      </c>
      <c r="Y2533" s="12">
        <v>2673.4827667846721</v>
      </c>
      <c r="Z2533" s="12">
        <v>4.3073730291032692</v>
      </c>
      <c r="AA2533" s="12"/>
      <c r="AB2533" s="12"/>
    </row>
    <row r="2534" spans="1:28" x14ac:dyDescent="0.3">
      <c r="A2534" s="12" t="s">
        <v>4450</v>
      </c>
      <c r="B2534" s="12" t="s">
        <v>198</v>
      </c>
      <c r="C2534" s="12" t="s">
        <v>474</v>
      </c>
      <c r="D2534" s="12" t="s">
        <v>4402</v>
      </c>
      <c r="E2534" s="12" t="s">
        <v>4403</v>
      </c>
      <c r="F2534" s="12" t="s">
        <v>32</v>
      </c>
      <c r="G2534" s="12" t="s">
        <v>32</v>
      </c>
      <c r="H2534" s="12" t="b">
        <v>1</v>
      </c>
      <c r="I2534" s="12" t="b">
        <v>1</v>
      </c>
      <c r="J2534" s="12" t="b">
        <v>0</v>
      </c>
      <c r="K2534" s="12" t="b">
        <v>0</v>
      </c>
      <c r="L2534" s="12">
        <v>436.09695310912758</v>
      </c>
      <c r="M2534" s="12">
        <v>279.09770132054479</v>
      </c>
      <c r="N2534" s="12">
        <v>3781.8230245237678</v>
      </c>
      <c r="O2534" s="12">
        <v>1028.3402577390959</v>
      </c>
      <c r="P2534" s="12">
        <v>0.63474897094989513</v>
      </c>
      <c r="Q2534" s="12">
        <v>0.95</v>
      </c>
      <c r="R2534" s="12">
        <v>0.74608148390036444</v>
      </c>
      <c r="S2534" s="12">
        <v>0.67773110852065166</v>
      </c>
      <c r="T2534" s="12">
        <v>0.94152981924933021</v>
      </c>
      <c r="U2534" s="12">
        <v>0.84182625850716208</v>
      </c>
      <c r="V2534" s="12">
        <v>279.09770132054479</v>
      </c>
      <c r="W2534" s="12">
        <v>11.29740160250169</v>
      </c>
      <c r="X2534" s="12">
        <v>78.682980235445996</v>
      </c>
      <c r="Y2534" s="12">
        <v>2753.4827667846721</v>
      </c>
      <c r="Z2534" s="12">
        <v>3.6775989231798292</v>
      </c>
      <c r="AA2534" s="12"/>
      <c r="AB2534" s="12"/>
    </row>
    <row r="2535" spans="1:28" x14ac:dyDescent="0.3">
      <c r="A2535" s="12" t="s">
        <v>4451</v>
      </c>
      <c r="B2535" s="12" t="s">
        <v>198</v>
      </c>
      <c r="C2535" s="12" t="s">
        <v>474</v>
      </c>
      <c r="D2535" s="12" t="s">
        <v>4402</v>
      </c>
      <c r="E2535" s="12" t="s">
        <v>4403</v>
      </c>
      <c r="F2535" s="12" t="s">
        <v>1861</v>
      </c>
      <c r="G2535" s="12" t="s">
        <v>1861</v>
      </c>
      <c r="H2535" s="12" t="b">
        <v>1</v>
      </c>
      <c r="I2535" s="12" t="b">
        <v>0</v>
      </c>
      <c r="J2535" s="12" t="b">
        <v>0</v>
      </c>
      <c r="K2535" s="12" t="b">
        <v>0</v>
      </c>
      <c r="L2535" s="12">
        <v>436.09695310912758</v>
      </c>
      <c r="M2535" s="12">
        <v>279.09770132054479</v>
      </c>
      <c r="N2535" s="12">
        <v>3781.8230245237678</v>
      </c>
      <c r="O2535" s="12">
        <v>588.34025773909616</v>
      </c>
      <c r="P2535" s="12">
        <v>0.63474897094989513</v>
      </c>
      <c r="Q2535" s="12">
        <v>0.95</v>
      </c>
      <c r="R2535" s="12">
        <v>0.74608148390036444</v>
      </c>
      <c r="S2535" s="12">
        <v>0.67773110852065166</v>
      </c>
      <c r="T2535" s="12">
        <v>0.94152981924933021</v>
      </c>
      <c r="U2535" s="12">
        <v>0.84182625850716208</v>
      </c>
      <c r="V2535" s="12">
        <v>279.09770132054479</v>
      </c>
      <c r="W2535" s="12">
        <v>15.756641649751909</v>
      </c>
      <c r="X2535" s="12">
        <v>109.9925456274698</v>
      </c>
      <c r="Y2535" s="12">
        <v>3193.4827667846721</v>
      </c>
      <c r="Z2535" s="12">
        <v>6.4279521497589656</v>
      </c>
      <c r="AA2535" s="12" t="s">
        <v>1268</v>
      </c>
      <c r="AB2535" s="12"/>
    </row>
    <row r="2536" spans="1:28" x14ac:dyDescent="0.3">
      <c r="A2536" s="12" t="s">
        <v>4452</v>
      </c>
      <c r="B2536" s="12" t="s">
        <v>198</v>
      </c>
      <c r="C2536" s="12" t="s">
        <v>474</v>
      </c>
      <c r="D2536" s="12" t="s">
        <v>4402</v>
      </c>
      <c r="E2536" s="12" t="s">
        <v>4403</v>
      </c>
      <c r="F2536" s="12" t="s">
        <v>32</v>
      </c>
      <c r="G2536" s="12" t="s">
        <v>32</v>
      </c>
      <c r="H2536" s="12" t="b">
        <v>1</v>
      </c>
      <c r="I2536" s="12" t="b">
        <v>1</v>
      </c>
      <c r="J2536" s="12" t="b">
        <v>0</v>
      </c>
      <c r="K2536" s="12" t="b">
        <v>0</v>
      </c>
      <c r="L2536" s="12">
        <v>436.09695310912758</v>
      </c>
      <c r="M2536" s="12">
        <v>279.09770132054479</v>
      </c>
      <c r="N2536" s="12">
        <v>3781.8230245237678</v>
      </c>
      <c r="O2536" s="12">
        <v>808.34025773909616</v>
      </c>
      <c r="P2536" s="12">
        <v>0.66974897094989516</v>
      </c>
      <c r="Q2536" s="12">
        <v>0.95</v>
      </c>
      <c r="R2536" s="12">
        <v>0.74608148390036444</v>
      </c>
      <c r="S2536" s="12">
        <v>0.67773110852065166</v>
      </c>
      <c r="T2536" s="12">
        <v>0.94152981924933021</v>
      </c>
      <c r="U2536" s="12">
        <v>0.84182625850716208</v>
      </c>
      <c r="V2536" s="12">
        <v>279.09770132054479</v>
      </c>
      <c r="W2536" s="12">
        <v>13.6772989134413</v>
      </c>
      <c r="X2536" s="12">
        <v>103.8753862965861</v>
      </c>
      <c r="Y2536" s="12">
        <v>2973.4827667846721</v>
      </c>
      <c r="Z2536" s="12">
        <v>4.6785038705129143</v>
      </c>
      <c r="AA2536" s="12"/>
      <c r="AB2536" s="12"/>
    </row>
    <row r="2537" spans="1:28" x14ac:dyDescent="0.3">
      <c r="A2537" s="12" t="s">
        <v>4453</v>
      </c>
      <c r="B2537" s="12" t="s">
        <v>198</v>
      </c>
      <c r="C2537" s="12" t="s">
        <v>474</v>
      </c>
      <c r="D2537" s="12" t="s">
        <v>4402</v>
      </c>
      <c r="E2537" s="12" t="s">
        <v>4403</v>
      </c>
      <c r="F2537" s="12" t="s">
        <v>32</v>
      </c>
      <c r="G2537" s="12" t="s">
        <v>32</v>
      </c>
      <c r="H2537" s="12" t="b">
        <v>1</v>
      </c>
      <c r="I2537" s="12" t="b">
        <v>1</v>
      </c>
      <c r="J2537" s="12" t="b">
        <v>0</v>
      </c>
      <c r="K2537" s="12" t="b">
        <v>0</v>
      </c>
      <c r="L2537" s="12">
        <v>436.09695310912758</v>
      </c>
      <c r="M2537" s="12">
        <v>279.09770132054479</v>
      </c>
      <c r="N2537" s="12">
        <v>3781.8230245237678</v>
      </c>
      <c r="O2537" s="12">
        <v>808.34025773909616</v>
      </c>
      <c r="P2537" s="12">
        <v>0.5997489709498951</v>
      </c>
      <c r="Q2537" s="12">
        <v>0.95</v>
      </c>
      <c r="R2537" s="12">
        <v>0.74608148390036444</v>
      </c>
      <c r="S2537" s="12">
        <v>0.67773110852065166</v>
      </c>
      <c r="T2537" s="12">
        <v>0.94152981924933021</v>
      </c>
      <c r="U2537" s="12">
        <v>0.84182625850716208</v>
      </c>
      <c r="V2537" s="12">
        <v>279.09770132054479</v>
      </c>
      <c r="W2537" s="12">
        <v>12.80731155557322</v>
      </c>
      <c r="X2537" s="12">
        <v>80.987623009130999</v>
      </c>
      <c r="Y2537" s="12">
        <v>2973.4827667846721</v>
      </c>
      <c r="Z2537" s="12">
        <v>4.6785038705129143</v>
      </c>
      <c r="AA2537" s="12"/>
      <c r="AB2537" s="12"/>
    </row>
    <row r="2538" spans="1:28" x14ac:dyDescent="0.3">
      <c r="A2538" s="12" t="s">
        <v>4454</v>
      </c>
      <c r="B2538" s="12" t="s">
        <v>198</v>
      </c>
      <c r="C2538" s="12" t="s">
        <v>474</v>
      </c>
      <c r="D2538" s="12" t="s">
        <v>4402</v>
      </c>
      <c r="E2538" s="12" t="s">
        <v>4403</v>
      </c>
      <c r="F2538" s="12" t="s">
        <v>32</v>
      </c>
      <c r="G2538" s="12" t="s">
        <v>32</v>
      </c>
      <c r="H2538" s="12" t="b">
        <v>1</v>
      </c>
      <c r="I2538" s="12" t="b">
        <v>1</v>
      </c>
      <c r="J2538" s="12" t="b">
        <v>0</v>
      </c>
      <c r="K2538" s="12" t="b">
        <v>0</v>
      </c>
      <c r="L2538" s="12">
        <v>436.09695310912758</v>
      </c>
      <c r="M2538" s="12">
        <v>279.09770132054479</v>
      </c>
      <c r="N2538" s="12">
        <v>3781.8230245237678</v>
      </c>
      <c r="O2538" s="12">
        <v>808.34025773909616</v>
      </c>
      <c r="P2538" s="12">
        <v>0.63474897094989513</v>
      </c>
      <c r="Q2538" s="12">
        <v>0.89500000000000002</v>
      </c>
      <c r="R2538" s="12">
        <v>0.74608148390036444</v>
      </c>
      <c r="S2538" s="12">
        <v>0.67773110852065166</v>
      </c>
      <c r="T2538" s="12">
        <v>0.94152981924933021</v>
      </c>
      <c r="U2538" s="12">
        <v>0.84182625850716208</v>
      </c>
      <c r="V2538" s="12">
        <v>279.09770132054479</v>
      </c>
      <c r="W2538" s="12">
        <v>12.455021274516421</v>
      </c>
      <c r="X2538" s="12">
        <v>86.793913921061502</v>
      </c>
      <c r="Y2538" s="12">
        <v>2973.4827667846721</v>
      </c>
      <c r="Z2538" s="12">
        <v>4.6785038705129143</v>
      </c>
      <c r="AA2538" s="12"/>
      <c r="AB2538" s="12"/>
    </row>
    <row r="2539" spans="1:28" x14ac:dyDescent="0.3">
      <c r="A2539" s="12" t="s">
        <v>4455</v>
      </c>
      <c r="B2539" s="12" t="s">
        <v>198</v>
      </c>
      <c r="C2539" s="12" t="s">
        <v>474</v>
      </c>
      <c r="D2539" s="12" t="s">
        <v>4402</v>
      </c>
      <c r="E2539" s="12" t="s">
        <v>4403</v>
      </c>
      <c r="F2539" s="12" t="s">
        <v>32</v>
      </c>
      <c r="G2539" s="12" t="s">
        <v>32</v>
      </c>
      <c r="H2539" s="12" t="b">
        <v>1</v>
      </c>
      <c r="I2539" s="12" t="b">
        <v>1</v>
      </c>
      <c r="J2539" s="12" t="b">
        <v>0</v>
      </c>
      <c r="K2539" s="12" t="b">
        <v>0</v>
      </c>
      <c r="L2539" s="12">
        <v>436.09695310912758</v>
      </c>
      <c r="M2539" s="12">
        <v>279.09770132054479</v>
      </c>
      <c r="N2539" s="12">
        <v>3781.8230245237678</v>
      </c>
      <c r="O2539" s="12">
        <v>808.34025773909616</v>
      </c>
      <c r="P2539" s="12">
        <v>0.63474897094989513</v>
      </c>
      <c r="Q2539" s="12">
        <v>0.95</v>
      </c>
      <c r="R2539" s="12">
        <v>0.80108148390036438</v>
      </c>
      <c r="S2539" s="12">
        <v>0.67773110852065166</v>
      </c>
      <c r="T2539" s="12">
        <v>0.94152981924933021</v>
      </c>
      <c r="U2539" s="12">
        <v>0.84182625850716208</v>
      </c>
      <c r="V2539" s="12">
        <v>279.09770132054479</v>
      </c>
      <c r="W2539" s="12">
        <v>13.305104947649699</v>
      </c>
      <c r="X2539" s="12">
        <v>92.77614047170816</v>
      </c>
      <c r="Y2539" s="12">
        <v>2973.4827667846721</v>
      </c>
      <c r="Z2539" s="12">
        <v>4.6785038705129143</v>
      </c>
      <c r="AA2539" s="12"/>
      <c r="AB2539" s="12"/>
    </row>
    <row r="2540" spans="1:28" x14ac:dyDescent="0.3">
      <c r="A2540" s="12" t="s">
        <v>4456</v>
      </c>
      <c r="B2540" s="12" t="s">
        <v>198</v>
      </c>
      <c r="C2540" s="12" t="s">
        <v>474</v>
      </c>
      <c r="D2540" s="12" t="s">
        <v>4402</v>
      </c>
      <c r="E2540" s="12" t="s">
        <v>4403</v>
      </c>
      <c r="F2540" s="12" t="s">
        <v>32</v>
      </c>
      <c r="G2540" s="12" t="s">
        <v>32</v>
      </c>
      <c r="H2540" s="12" t="b">
        <v>1</v>
      </c>
      <c r="I2540" s="12" t="b">
        <v>1</v>
      </c>
      <c r="J2540" s="12" t="b">
        <v>0</v>
      </c>
      <c r="K2540" s="12" t="b">
        <v>0</v>
      </c>
      <c r="L2540" s="12">
        <v>436.09695310912758</v>
      </c>
      <c r="M2540" s="12">
        <v>279.09770132054479</v>
      </c>
      <c r="N2540" s="12">
        <v>3781.8230245237678</v>
      </c>
      <c r="O2540" s="12">
        <v>808.34025773909616</v>
      </c>
      <c r="P2540" s="12">
        <v>0.63474897094989513</v>
      </c>
      <c r="Q2540" s="12">
        <v>0.95</v>
      </c>
      <c r="R2540" s="12">
        <v>0.69108148390036439</v>
      </c>
      <c r="S2540" s="12">
        <v>0.67773110852065166</v>
      </c>
      <c r="T2540" s="12">
        <v>0.94152981924933021</v>
      </c>
      <c r="U2540" s="12">
        <v>0.84182625850716208</v>
      </c>
      <c r="V2540" s="12">
        <v>279.09770132054479</v>
      </c>
      <c r="W2540" s="12">
        <v>13.20217982655779</v>
      </c>
      <c r="X2540" s="12">
        <v>92.022774117585399</v>
      </c>
      <c r="Y2540" s="12">
        <v>2973.4827667846721</v>
      </c>
      <c r="Z2540" s="12">
        <v>4.6785038705129143</v>
      </c>
      <c r="AA2540" s="12"/>
      <c r="AB2540" s="12"/>
    </row>
    <row r="2541" spans="1:28" x14ac:dyDescent="0.3">
      <c r="A2541" s="12" t="s">
        <v>4457</v>
      </c>
      <c r="B2541" s="12" t="s">
        <v>198</v>
      </c>
      <c r="C2541" s="12" t="s">
        <v>474</v>
      </c>
      <c r="D2541" s="12" t="s">
        <v>4402</v>
      </c>
      <c r="E2541" s="12" t="s">
        <v>4403</v>
      </c>
      <c r="F2541" s="12" t="s">
        <v>32</v>
      </c>
      <c r="G2541" s="12" t="s">
        <v>32</v>
      </c>
      <c r="H2541" s="12" t="b">
        <v>1</v>
      </c>
      <c r="I2541" s="12" t="b">
        <v>1</v>
      </c>
      <c r="J2541" s="12" t="b">
        <v>0</v>
      </c>
      <c r="K2541" s="12" t="b">
        <v>0</v>
      </c>
      <c r="L2541" s="12">
        <v>436.09695310912758</v>
      </c>
      <c r="M2541" s="12">
        <v>279.09770132054479</v>
      </c>
      <c r="N2541" s="12">
        <v>3781.8230245237678</v>
      </c>
      <c r="O2541" s="12">
        <v>808.34025773909616</v>
      </c>
      <c r="P2541" s="12">
        <v>0.63474897094989513</v>
      </c>
      <c r="Q2541" s="12">
        <v>0.95</v>
      </c>
      <c r="R2541" s="12">
        <v>0.74608148390036444</v>
      </c>
      <c r="S2541" s="12">
        <v>0.7327311085206516</v>
      </c>
      <c r="T2541" s="12">
        <v>0.94152981924933021</v>
      </c>
      <c r="U2541" s="12">
        <v>0.84182625850716208</v>
      </c>
      <c r="V2541" s="12">
        <v>279.09770132054479</v>
      </c>
      <c r="W2541" s="12">
        <v>13.355463075012191</v>
      </c>
      <c r="X2541" s="12">
        <v>100.78035350356861</v>
      </c>
      <c r="Y2541" s="12">
        <v>2973.4827667846721</v>
      </c>
      <c r="Z2541" s="12">
        <v>4.6785038705129143</v>
      </c>
      <c r="AA2541" s="12"/>
      <c r="AB2541" s="12"/>
    </row>
    <row r="2542" spans="1:28" x14ac:dyDescent="0.3">
      <c r="A2542" s="12" t="s">
        <v>4458</v>
      </c>
      <c r="B2542" s="12" t="s">
        <v>198</v>
      </c>
      <c r="C2542" s="12" t="s">
        <v>474</v>
      </c>
      <c r="D2542" s="12" t="s">
        <v>4402</v>
      </c>
      <c r="E2542" s="12" t="s">
        <v>4403</v>
      </c>
      <c r="F2542" s="12" t="s">
        <v>32</v>
      </c>
      <c r="G2542" s="12" t="s">
        <v>32</v>
      </c>
      <c r="H2542" s="12" t="b">
        <v>1</v>
      </c>
      <c r="I2542" s="12" t="b">
        <v>1</v>
      </c>
      <c r="J2542" s="12" t="b">
        <v>0</v>
      </c>
      <c r="K2542" s="12" t="b">
        <v>0</v>
      </c>
      <c r="L2542" s="12">
        <v>436.09695310912758</v>
      </c>
      <c r="M2542" s="12">
        <v>279.09770132054479</v>
      </c>
      <c r="N2542" s="12">
        <v>3781.8230245237678</v>
      </c>
      <c r="O2542" s="12">
        <v>808.34025773909616</v>
      </c>
      <c r="P2542" s="12">
        <v>0.63474897094989513</v>
      </c>
      <c r="Q2542" s="12">
        <v>0.95</v>
      </c>
      <c r="R2542" s="12">
        <v>0.74608148390036444</v>
      </c>
      <c r="S2542" s="12">
        <v>0.62273110852065172</v>
      </c>
      <c r="T2542" s="12">
        <v>0.94152981924933021</v>
      </c>
      <c r="U2542" s="12">
        <v>0.84182625850716208</v>
      </c>
      <c r="V2542" s="12">
        <v>279.09770132054479</v>
      </c>
      <c r="W2542" s="12">
        <v>13.12739762535092</v>
      </c>
      <c r="X2542" s="12">
        <v>84.015161265836483</v>
      </c>
      <c r="Y2542" s="12">
        <v>2973.4827667846721</v>
      </c>
      <c r="Z2542" s="12">
        <v>4.6785038705129143</v>
      </c>
      <c r="AA2542" s="12"/>
      <c r="AB2542" s="12"/>
    </row>
    <row r="2543" spans="1:28" x14ac:dyDescent="0.3">
      <c r="A2543" s="12" t="s">
        <v>4459</v>
      </c>
      <c r="B2543" s="12" t="s">
        <v>198</v>
      </c>
      <c r="C2543" s="12" t="s">
        <v>474</v>
      </c>
      <c r="D2543" s="12" t="s">
        <v>4402</v>
      </c>
      <c r="E2543" s="12" t="s">
        <v>4403</v>
      </c>
      <c r="F2543" s="12" t="s">
        <v>32</v>
      </c>
      <c r="G2543" s="12" t="s">
        <v>32</v>
      </c>
      <c r="H2543" s="12" t="b">
        <v>1</v>
      </c>
      <c r="I2543" s="12" t="b">
        <v>1</v>
      </c>
      <c r="J2543" s="12" t="b">
        <v>0</v>
      </c>
      <c r="K2543" s="12" t="b">
        <v>0</v>
      </c>
      <c r="L2543" s="12">
        <v>436.09695310912758</v>
      </c>
      <c r="M2543" s="12">
        <v>279.09770132054479</v>
      </c>
      <c r="N2543" s="12">
        <v>3781.8230245237678</v>
      </c>
      <c r="O2543" s="12">
        <v>808.34025773909616</v>
      </c>
      <c r="P2543" s="12">
        <v>0.63474897094989513</v>
      </c>
      <c r="Q2543" s="12">
        <v>0.95</v>
      </c>
      <c r="R2543" s="12">
        <v>0.74608148390036444</v>
      </c>
      <c r="S2543" s="12">
        <v>0.67773110852065166</v>
      </c>
      <c r="T2543" s="12">
        <v>0.95</v>
      </c>
      <c r="U2543" s="12">
        <v>0.84182625850716208</v>
      </c>
      <c r="V2543" s="12">
        <v>279.09770132054479</v>
      </c>
      <c r="W2543" s="12">
        <v>13.30484648410884</v>
      </c>
      <c r="X2543" s="12">
        <v>92.542526382087559</v>
      </c>
      <c r="Y2543" s="12">
        <v>2973.4827667846721</v>
      </c>
      <c r="Z2543" s="12">
        <v>4.6785038705129143</v>
      </c>
      <c r="AA2543" s="12"/>
      <c r="AB2543" s="12"/>
    </row>
    <row r="2544" spans="1:28" x14ac:dyDescent="0.3">
      <c r="A2544" s="12" t="s">
        <v>4460</v>
      </c>
      <c r="B2544" s="12" t="s">
        <v>198</v>
      </c>
      <c r="C2544" s="12" t="s">
        <v>474</v>
      </c>
      <c r="D2544" s="12" t="s">
        <v>4402</v>
      </c>
      <c r="E2544" s="12" t="s">
        <v>4403</v>
      </c>
      <c r="F2544" s="12" t="s">
        <v>32</v>
      </c>
      <c r="G2544" s="12" t="s">
        <v>32</v>
      </c>
      <c r="H2544" s="12" t="b">
        <v>1</v>
      </c>
      <c r="I2544" s="12" t="b">
        <v>1</v>
      </c>
      <c r="J2544" s="12" t="b">
        <v>0</v>
      </c>
      <c r="K2544" s="12" t="b">
        <v>0</v>
      </c>
      <c r="L2544" s="12">
        <v>436.09695310912758</v>
      </c>
      <c r="M2544" s="12">
        <v>279.09770132054479</v>
      </c>
      <c r="N2544" s="12">
        <v>3781.8230245237678</v>
      </c>
      <c r="O2544" s="12">
        <v>808.34025773909616</v>
      </c>
      <c r="P2544" s="12">
        <v>0.63474897094989513</v>
      </c>
      <c r="Q2544" s="12">
        <v>0.95</v>
      </c>
      <c r="R2544" s="12">
        <v>0.74608148390036444</v>
      </c>
      <c r="S2544" s="12">
        <v>0.67773110852065166</v>
      </c>
      <c r="T2544" s="12">
        <v>0.88652981924933028</v>
      </c>
      <c r="U2544" s="12">
        <v>0.84182625850716208</v>
      </c>
      <c r="V2544" s="12">
        <v>279.09770132054479</v>
      </c>
      <c r="W2544" s="12">
        <v>12.95547744378875</v>
      </c>
      <c r="X2544" s="12">
        <v>91.679744398430202</v>
      </c>
      <c r="Y2544" s="12">
        <v>2973.4827667846721</v>
      </c>
      <c r="Z2544" s="12">
        <v>4.6785038705129143</v>
      </c>
      <c r="AA2544" s="12"/>
      <c r="AB2544" s="12"/>
    </row>
    <row r="2545" spans="1:28" x14ac:dyDescent="0.3">
      <c r="A2545" s="12" t="s">
        <v>4461</v>
      </c>
      <c r="B2545" s="12" t="s">
        <v>198</v>
      </c>
      <c r="C2545" s="12" t="s">
        <v>474</v>
      </c>
      <c r="D2545" s="12" t="s">
        <v>4402</v>
      </c>
      <c r="E2545" s="12" t="s">
        <v>4403</v>
      </c>
      <c r="F2545" s="12" t="s">
        <v>32</v>
      </c>
      <c r="G2545" s="12" t="s">
        <v>32</v>
      </c>
      <c r="H2545" s="12" t="b">
        <v>1</v>
      </c>
      <c r="I2545" s="12" t="b">
        <v>1</v>
      </c>
      <c r="J2545" s="12" t="b">
        <v>0</v>
      </c>
      <c r="K2545" s="12" t="b">
        <v>0</v>
      </c>
      <c r="L2545" s="12">
        <v>436.09695310912758</v>
      </c>
      <c r="M2545" s="12">
        <v>279.09770132054479</v>
      </c>
      <c r="N2545" s="12">
        <v>3781.8230245237678</v>
      </c>
      <c r="O2545" s="12">
        <v>808.34025773909616</v>
      </c>
      <c r="P2545" s="12">
        <v>0.63474897094989513</v>
      </c>
      <c r="Q2545" s="12">
        <v>0.95</v>
      </c>
      <c r="R2545" s="12">
        <v>0.74608148390036444</v>
      </c>
      <c r="S2545" s="12">
        <v>0.67773110852065166</v>
      </c>
      <c r="T2545" s="12">
        <v>0.94152981924933021</v>
      </c>
      <c r="U2545" s="12">
        <v>0.89682625850716202</v>
      </c>
      <c r="V2545" s="12">
        <v>279.09770132054479</v>
      </c>
      <c r="W2545" s="12">
        <v>12.88752548482112</v>
      </c>
      <c r="X2545" s="12">
        <v>91.553026390827483</v>
      </c>
      <c r="Y2545" s="12">
        <v>2973.4827667846721</v>
      </c>
      <c r="Z2545" s="12">
        <v>4.6785038705129143</v>
      </c>
      <c r="AA2545" s="12"/>
      <c r="AB2545" s="12"/>
    </row>
    <row r="2546" spans="1:28" x14ac:dyDescent="0.3">
      <c r="A2546" s="12" t="s">
        <v>4462</v>
      </c>
      <c r="B2546" s="12" t="s">
        <v>198</v>
      </c>
      <c r="C2546" s="12" t="s">
        <v>474</v>
      </c>
      <c r="D2546" s="12" t="s">
        <v>4402</v>
      </c>
      <c r="E2546" s="12" t="s">
        <v>4403</v>
      </c>
      <c r="F2546" s="12" t="s">
        <v>1861</v>
      </c>
      <c r="G2546" s="12" t="s">
        <v>1861</v>
      </c>
      <c r="H2546" s="12" t="b">
        <v>1</v>
      </c>
      <c r="I2546" s="12" t="b">
        <v>0</v>
      </c>
      <c r="J2546" s="12" t="b">
        <v>0</v>
      </c>
      <c r="K2546" s="12" t="b">
        <v>0</v>
      </c>
      <c r="L2546" s="12">
        <v>436.09695310912758</v>
      </c>
      <c r="M2546" s="12">
        <v>279.09770132054479</v>
      </c>
      <c r="N2546" s="12">
        <v>3781.8230245237678</v>
      </c>
      <c r="O2546" s="12">
        <v>808.34025773909616</v>
      </c>
      <c r="P2546" s="12">
        <v>0.63474897094989513</v>
      </c>
      <c r="Q2546" s="12">
        <v>0.95</v>
      </c>
      <c r="R2546" s="12">
        <v>0.74608148390036444</v>
      </c>
      <c r="S2546" s="12">
        <v>0.67773110852065166</v>
      </c>
      <c r="T2546" s="12">
        <v>0.94152981924933021</v>
      </c>
      <c r="U2546" s="12">
        <v>0.78682625850716215</v>
      </c>
      <c r="V2546" s="12">
        <v>279.09770132054479</v>
      </c>
      <c r="W2546" s="12">
        <v>13.67342017979734</v>
      </c>
      <c r="X2546" s="12">
        <v>93.339505631146764</v>
      </c>
      <c r="Y2546" s="12">
        <v>2973.4827667846721</v>
      </c>
      <c r="Z2546" s="12">
        <v>4.6785038705129143</v>
      </c>
      <c r="AA2546" s="12" t="s">
        <v>1268</v>
      </c>
      <c r="AB2546" s="12"/>
    </row>
    <row r="2547" spans="1:28" x14ac:dyDescent="0.3">
      <c r="A2547" s="12" t="s">
        <v>4463</v>
      </c>
      <c r="B2547" s="12" t="s">
        <v>198</v>
      </c>
      <c r="C2547" s="12" t="s">
        <v>474</v>
      </c>
      <c r="D2547" s="12" t="s">
        <v>4402</v>
      </c>
      <c r="E2547" s="12" t="s">
        <v>4403</v>
      </c>
      <c r="F2547" s="12" t="s">
        <v>32</v>
      </c>
      <c r="G2547" s="12" t="s">
        <v>32</v>
      </c>
      <c r="H2547" s="12" t="b">
        <v>1</v>
      </c>
      <c r="I2547" s="12" t="b">
        <v>0</v>
      </c>
      <c r="J2547" s="12" t="b">
        <v>1</v>
      </c>
      <c r="K2547" s="12" t="b">
        <v>0</v>
      </c>
      <c r="L2547" s="12">
        <v>448.09695310912758</v>
      </c>
      <c r="M2547" s="12">
        <v>279.09770132054479</v>
      </c>
      <c r="N2547" s="12">
        <v>4081.8230245237678</v>
      </c>
      <c r="O2547" s="12">
        <v>808.34025773909616</v>
      </c>
      <c r="P2547" s="12">
        <v>0.63474897094989513</v>
      </c>
      <c r="Q2547" s="12">
        <v>0.95</v>
      </c>
      <c r="R2547" s="12">
        <v>0.74608148390036444</v>
      </c>
      <c r="S2547" s="12">
        <v>0.67773110852065166</v>
      </c>
      <c r="T2547" s="12">
        <v>0.94152981924933021</v>
      </c>
      <c r="U2547" s="12">
        <v>0.84182625850716208</v>
      </c>
      <c r="V2547" s="12">
        <v>279.09770132054479</v>
      </c>
      <c r="W2547" s="12">
        <v>13.959515074713931</v>
      </c>
      <c r="X2547" s="12">
        <v>111.9291351197226</v>
      </c>
      <c r="Y2547" s="12">
        <v>3273.4827667846721</v>
      </c>
      <c r="Z2547" s="12">
        <v>5.0496347119225584</v>
      </c>
      <c r="AA2547" s="12"/>
      <c r="AB2547" s="12"/>
    </row>
    <row r="2548" spans="1:28" x14ac:dyDescent="0.3">
      <c r="A2548" s="12" t="s">
        <v>4464</v>
      </c>
      <c r="B2548" s="12" t="s">
        <v>198</v>
      </c>
      <c r="C2548" s="12" t="s">
        <v>474</v>
      </c>
      <c r="D2548" s="12" t="s">
        <v>4402</v>
      </c>
      <c r="E2548" s="12" t="s">
        <v>4403</v>
      </c>
      <c r="F2548" s="12" t="s">
        <v>32</v>
      </c>
      <c r="G2548" s="12" t="s">
        <v>32</v>
      </c>
      <c r="H2548" s="12" t="b">
        <v>1</v>
      </c>
      <c r="I2548" s="12" t="b">
        <v>1</v>
      </c>
      <c r="J2548" s="12" t="b">
        <v>0</v>
      </c>
      <c r="K2548" s="12" t="b">
        <v>0</v>
      </c>
      <c r="L2548" s="12">
        <v>424.09695310912758</v>
      </c>
      <c r="M2548" s="12">
        <v>279.09770132054479</v>
      </c>
      <c r="N2548" s="12">
        <v>4081.8230245237678</v>
      </c>
      <c r="O2548" s="12">
        <v>808.34025773909616</v>
      </c>
      <c r="P2548" s="12">
        <v>0.63474897094989513</v>
      </c>
      <c r="Q2548" s="12">
        <v>0.95</v>
      </c>
      <c r="R2548" s="12">
        <v>0.74608148390036444</v>
      </c>
      <c r="S2548" s="12">
        <v>0.67773110852065166</v>
      </c>
      <c r="T2548" s="12">
        <v>0.94152981924933021</v>
      </c>
      <c r="U2548" s="12">
        <v>0.84182625850716208</v>
      </c>
      <c r="V2548" s="12">
        <v>279.09770132054479</v>
      </c>
      <c r="W2548" s="12">
        <v>13.252167615349761</v>
      </c>
      <c r="X2548" s="12">
        <v>70.13682128520243</v>
      </c>
      <c r="Y2548" s="12">
        <v>3273.4827667846721</v>
      </c>
      <c r="Z2548" s="12">
        <v>5.0496347119225584</v>
      </c>
      <c r="AA2548" s="12"/>
      <c r="AB2548" s="12"/>
    </row>
    <row r="2549" spans="1:28" x14ac:dyDescent="0.3">
      <c r="A2549" s="12" t="s">
        <v>4465</v>
      </c>
      <c r="B2549" s="12" t="s">
        <v>198</v>
      </c>
      <c r="C2549" s="12" t="s">
        <v>474</v>
      </c>
      <c r="D2549" s="12" t="s">
        <v>4402</v>
      </c>
      <c r="E2549" s="12" t="s">
        <v>4403</v>
      </c>
      <c r="F2549" s="12" t="s">
        <v>32</v>
      </c>
      <c r="G2549" s="12" t="s">
        <v>32</v>
      </c>
      <c r="H2549" s="12" t="b">
        <v>1</v>
      </c>
      <c r="I2549" s="12" t="b">
        <v>1</v>
      </c>
      <c r="J2549" s="12" t="b">
        <v>0</v>
      </c>
      <c r="K2549" s="12" t="b">
        <v>0</v>
      </c>
      <c r="L2549" s="12">
        <v>436.09695310912758</v>
      </c>
      <c r="M2549" s="12">
        <v>281.63770132054481</v>
      </c>
      <c r="N2549" s="12">
        <v>4081.8230245237678</v>
      </c>
      <c r="O2549" s="12">
        <v>808.34025773909616</v>
      </c>
      <c r="P2549" s="12">
        <v>0.63474897094989513</v>
      </c>
      <c r="Q2549" s="12">
        <v>0.95</v>
      </c>
      <c r="R2549" s="12">
        <v>0.74608148390036444</v>
      </c>
      <c r="S2549" s="12">
        <v>0.67773110852065166</v>
      </c>
      <c r="T2549" s="12">
        <v>0.94152981924933021</v>
      </c>
      <c r="U2549" s="12">
        <v>0.84182625850716208</v>
      </c>
      <c r="V2549" s="12">
        <v>281.63770132054481</v>
      </c>
      <c r="W2549" s="12">
        <v>13.793481825889989</v>
      </c>
      <c r="X2549" s="12">
        <v>89.883535686158893</v>
      </c>
      <c r="Y2549" s="12">
        <v>3273.4827667846721</v>
      </c>
      <c r="Z2549" s="12">
        <v>5.0496347119225584</v>
      </c>
      <c r="AA2549" s="12"/>
      <c r="AB2549" s="12"/>
    </row>
    <row r="2550" spans="1:28" x14ac:dyDescent="0.3">
      <c r="A2550" s="12" t="s">
        <v>4466</v>
      </c>
      <c r="B2550" s="12" t="s">
        <v>198</v>
      </c>
      <c r="C2550" s="12" t="s">
        <v>474</v>
      </c>
      <c r="D2550" s="12" t="s">
        <v>4402</v>
      </c>
      <c r="E2550" s="12" t="s">
        <v>4403</v>
      </c>
      <c r="F2550" s="12" t="s">
        <v>32</v>
      </c>
      <c r="G2550" s="12" t="s">
        <v>32</v>
      </c>
      <c r="H2550" s="12" t="b">
        <v>1</v>
      </c>
      <c r="I2550" s="12" t="b">
        <v>1</v>
      </c>
      <c r="J2550" s="12" t="b">
        <v>0</v>
      </c>
      <c r="K2550" s="12" t="b">
        <v>0</v>
      </c>
      <c r="L2550" s="12">
        <v>436.09695310912758</v>
      </c>
      <c r="M2550" s="12">
        <v>278.14999999999998</v>
      </c>
      <c r="N2550" s="12">
        <v>4081.8230245237678</v>
      </c>
      <c r="O2550" s="12">
        <v>808.34025773909616</v>
      </c>
      <c r="P2550" s="12">
        <v>0.63474897094989513</v>
      </c>
      <c r="Q2550" s="12">
        <v>0.95</v>
      </c>
      <c r="R2550" s="12">
        <v>0.74608148390036444</v>
      </c>
      <c r="S2550" s="12">
        <v>0.67773110852065166</v>
      </c>
      <c r="T2550" s="12">
        <v>0.94152981924933021</v>
      </c>
      <c r="U2550" s="12">
        <v>0.84182625850716208</v>
      </c>
      <c r="V2550" s="12">
        <v>278.14999999999998</v>
      </c>
      <c r="W2550" s="12">
        <v>13.64896985230811</v>
      </c>
      <c r="X2550" s="12">
        <v>89.564836222154867</v>
      </c>
      <c r="Y2550" s="12">
        <v>3273.4827667846721</v>
      </c>
      <c r="Z2550" s="12">
        <v>5.0496347119225584</v>
      </c>
      <c r="AA2550" s="12"/>
      <c r="AB2550" s="12"/>
    </row>
    <row r="2551" spans="1:28" x14ac:dyDescent="0.3">
      <c r="A2551" s="12" t="s">
        <v>4467</v>
      </c>
      <c r="B2551" s="12" t="s">
        <v>198</v>
      </c>
      <c r="C2551" s="12" t="s">
        <v>474</v>
      </c>
      <c r="D2551" s="12" t="s">
        <v>4402</v>
      </c>
      <c r="E2551" s="12" t="s">
        <v>4403</v>
      </c>
      <c r="F2551" s="12" t="s">
        <v>32</v>
      </c>
      <c r="G2551" s="12" t="s">
        <v>32</v>
      </c>
      <c r="H2551" s="12" t="b">
        <v>1</v>
      </c>
      <c r="I2551" s="12" t="b">
        <v>1</v>
      </c>
      <c r="J2551" s="12" t="b">
        <v>0</v>
      </c>
      <c r="K2551" s="12" t="b">
        <v>0</v>
      </c>
      <c r="L2551" s="12">
        <v>436.09695310912758</v>
      </c>
      <c r="M2551" s="12">
        <v>279.09770132054479</v>
      </c>
      <c r="N2551" s="12">
        <v>4381.8230245237683</v>
      </c>
      <c r="O2551" s="12">
        <v>808.34025773909616</v>
      </c>
      <c r="P2551" s="12">
        <v>0.63474897094989513</v>
      </c>
      <c r="Q2551" s="12">
        <v>0.95</v>
      </c>
      <c r="R2551" s="12">
        <v>0.74608148390036444</v>
      </c>
      <c r="S2551" s="12">
        <v>0.67773110852065166</v>
      </c>
      <c r="T2551" s="12">
        <v>0.94152981924933021</v>
      </c>
      <c r="U2551" s="12">
        <v>0.84182625850716208</v>
      </c>
      <c r="V2551" s="12">
        <v>279.09770132054479</v>
      </c>
      <c r="W2551" s="12">
        <v>14.03959682892471</v>
      </c>
      <c r="X2551" s="12">
        <v>86.433791022310729</v>
      </c>
      <c r="Y2551" s="12">
        <v>3573.4827667846721</v>
      </c>
      <c r="Z2551" s="12">
        <v>5.4207655533322043</v>
      </c>
      <c r="AA2551" s="12"/>
      <c r="AB2551" s="12"/>
    </row>
    <row r="2552" spans="1:28" x14ac:dyDescent="0.3">
      <c r="A2552" s="12" t="s">
        <v>4468</v>
      </c>
      <c r="B2552" s="12" t="s">
        <v>198</v>
      </c>
      <c r="C2552" s="12" t="s">
        <v>474</v>
      </c>
      <c r="D2552" s="12" t="s">
        <v>4402</v>
      </c>
      <c r="E2552" s="12" t="s">
        <v>4403</v>
      </c>
      <c r="F2552" s="12" t="s">
        <v>32</v>
      </c>
      <c r="G2552" s="12" t="s">
        <v>32</v>
      </c>
      <c r="H2552" s="12" t="b">
        <v>1</v>
      </c>
      <c r="I2552" s="12" t="b">
        <v>1</v>
      </c>
      <c r="J2552" s="12" t="b">
        <v>0</v>
      </c>
      <c r="K2552" s="12" t="b">
        <v>0</v>
      </c>
      <c r="L2552" s="12">
        <v>436.09695310912758</v>
      </c>
      <c r="M2552" s="12">
        <v>279.09770132054479</v>
      </c>
      <c r="N2552" s="12">
        <v>3781.8230245237678</v>
      </c>
      <c r="O2552" s="12">
        <v>808.34025773909616</v>
      </c>
      <c r="P2552" s="12">
        <v>0.63474897094989513</v>
      </c>
      <c r="Q2552" s="12">
        <v>0.95</v>
      </c>
      <c r="R2552" s="12">
        <v>0.74608148390036444</v>
      </c>
      <c r="S2552" s="12">
        <v>0.67773110852065166</v>
      </c>
      <c r="T2552" s="12">
        <v>0.94152981924933021</v>
      </c>
      <c r="U2552" s="12">
        <v>0.84182625850716208</v>
      </c>
      <c r="V2552" s="12">
        <v>279.09770132054479</v>
      </c>
      <c r="W2552" s="12">
        <v>13.2574465374705</v>
      </c>
      <c r="X2552" s="12">
        <v>92.427230445826964</v>
      </c>
      <c r="Y2552" s="12">
        <v>2973.4827667846721</v>
      </c>
      <c r="Z2552" s="12">
        <v>4.6785038705129143</v>
      </c>
      <c r="AA2552" s="12"/>
      <c r="AB2552" s="12"/>
    </row>
    <row r="2553" spans="1:28" x14ac:dyDescent="0.3">
      <c r="A2553" s="12" t="s">
        <v>4469</v>
      </c>
      <c r="B2553" s="12" t="s">
        <v>198</v>
      </c>
      <c r="C2553" s="12" t="s">
        <v>474</v>
      </c>
      <c r="D2553" s="12" t="s">
        <v>4402</v>
      </c>
      <c r="E2553" s="12" t="s">
        <v>4403</v>
      </c>
      <c r="F2553" s="12" t="s">
        <v>32</v>
      </c>
      <c r="G2553" s="12" t="s">
        <v>32</v>
      </c>
      <c r="H2553" s="12" t="b">
        <v>1</v>
      </c>
      <c r="I2553" s="12" t="b">
        <v>1</v>
      </c>
      <c r="J2553" s="12" t="b">
        <v>0</v>
      </c>
      <c r="K2553" s="12" t="b">
        <v>0</v>
      </c>
      <c r="L2553" s="12">
        <v>436.09695310912758</v>
      </c>
      <c r="M2553" s="12">
        <v>279.09770132054479</v>
      </c>
      <c r="N2553" s="12">
        <v>4081.8230245237678</v>
      </c>
      <c r="O2553" s="12">
        <v>1028.3402577390959</v>
      </c>
      <c r="P2553" s="12">
        <v>0.63474897094989513</v>
      </c>
      <c r="Q2553" s="12">
        <v>0.95</v>
      </c>
      <c r="R2553" s="12">
        <v>0.74608148390036444</v>
      </c>
      <c r="S2553" s="12">
        <v>0.67773110852065166</v>
      </c>
      <c r="T2553" s="12">
        <v>0.94152981924933021</v>
      </c>
      <c r="U2553" s="12">
        <v>0.84182625850716208</v>
      </c>
      <c r="V2553" s="12">
        <v>279.09770132054479</v>
      </c>
      <c r="W2553" s="12">
        <v>11.75868375146699</v>
      </c>
      <c r="X2553" s="12">
        <v>76.943305003572519</v>
      </c>
      <c r="Y2553" s="12">
        <v>3053.4827667846721</v>
      </c>
      <c r="Z2553" s="12">
        <v>3.969331156496823</v>
      </c>
      <c r="AA2553" s="12"/>
      <c r="AB2553" s="12"/>
    </row>
    <row r="2554" spans="1:28" x14ac:dyDescent="0.3">
      <c r="A2554" s="12" t="s">
        <v>4470</v>
      </c>
      <c r="B2554" s="12" t="s">
        <v>198</v>
      </c>
      <c r="C2554" s="12" t="s">
        <v>474</v>
      </c>
      <c r="D2554" s="12" t="s">
        <v>4402</v>
      </c>
      <c r="E2554" s="12" t="s">
        <v>4403</v>
      </c>
      <c r="F2554" s="12" t="s">
        <v>1861</v>
      </c>
      <c r="G2554" s="12" t="s">
        <v>1861</v>
      </c>
      <c r="H2554" s="12" t="b">
        <v>1</v>
      </c>
      <c r="I2554" s="12" t="b">
        <v>0</v>
      </c>
      <c r="J2554" s="12" t="b">
        <v>0</v>
      </c>
      <c r="K2554" s="12" t="b">
        <v>0</v>
      </c>
      <c r="L2554" s="12">
        <v>436.09695310912758</v>
      </c>
      <c r="M2554" s="12">
        <v>279.09770132054479</v>
      </c>
      <c r="N2554" s="12">
        <v>4081.8230245237678</v>
      </c>
      <c r="O2554" s="12">
        <v>588.34025773909616</v>
      </c>
      <c r="P2554" s="12">
        <v>0.63474897094989513</v>
      </c>
      <c r="Q2554" s="12">
        <v>0.95</v>
      </c>
      <c r="R2554" s="12">
        <v>0.74608148390036444</v>
      </c>
      <c r="S2554" s="12">
        <v>0.67773110852065166</v>
      </c>
      <c r="T2554" s="12">
        <v>0.94152981924933021</v>
      </c>
      <c r="U2554" s="12">
        <v>0.84182625850716208</v>
      </c>
      <c r="V2554" s="12">
        <v>279.09770132054479</v>
      </c>
      <c r="W2554" s="12">
        <v>16.153992271212399</v>
      </c>
      <c r="X2554" s="12">
        <v>105.9319127632258</v>
      </c>
      <c r="Y2554" s="12">
        <v>3493.4827667846721</v>
      </c>
      <c r="Z2554" s="12">
        <v>6.9378611625347633</v>
      </c>
      <c r="AA2554" s="12" t="s">
        <v>1268</v>
      </c>
      <c r="AB2554" s="12"/>
    </row>
    <row r="2555" spans="1:28" x14ac:dyDescent="0.3">
      <c r="A2555" s="12" t="s">
        <v>4471</v>
      </c>
      <c r="B2555" s="12" t="s">
        <v>198</v>
      </c>
      <c r="C2555" s="12" t="s">
        <v>474</v>
      </c>
      <c r="D2555" s="12" t="s">
        <v>4402</v>
      </c>
      <c r="E2555" s="12" t="s">
        <v>4403</v>
      </c>
      <c r="F2555" s="12" t="s">
        <v>32</v>
      </c>
      <c r="G2555" s="12" t="s">
        <v>32</v>
      </c>
      <c r="H2555" s="12" t="b">
        <v>1</v>
      </c>
      <c r="I2555" s="12" t="b">
        <v>1</v>
      </c>
      <c r="J2555" s="12" t="b">
        <v>0</v>
      </c>
      <c r="K2555" s="12" t="b">
        <v>0</v>
      </c>
      <c r="L2555" s="12">
        <v>436.09695310912758</v>
      </c>
      <c r="M2555" s="12">
        <v>279.09770132054479</v>
      </c>
      <c r="N2555" s="12">
        <v>4081.8230245237678</v>
      </c>
      <c r="O2555" s="12">
        <v>808.34025773909616</v>
      </c>
      <c r="P2555" s="12">
        <v>0.66974897094989516</v>
      </c>
      <c r="Q2555" s="12">
        <v>0.95</v>
      </c>
      <c r="R2555" s="12">
        <v>0.74608148390036444</v>
      </c>
      <c r="S2555" s="12">
        <v>0.67773110852065166</v>
      </c>
      <c r="T2555" s="12">
        <v>0.94152981924933021</v>
      </c>
      <c r="U2555" s="12">
        <v>0.84182625850716208</v>
      </c>
      <c r="V2555" s="12">
        <v>279.09770132054479</v>
      </c>
      <c r="W2555" s="12">
        <v>14.14165667155382</v>
      </c>
      <c r="X2555" s="12">
        <v>101.56640304871171</v>
      </c>
      <c r="Y2555" s="12">
        <v>3273.4827667846721</v>
      </c>
      <c r="Z2555" s="12">
        <v>5.0496347119225584</v>
      </c>
      <c r="AA2555" s="12"/>
      <c r="AB2555" s="12"/>
    </row>
    <row r="2556" spans="1:28" x14ac:dyDescent="0.3">
      <c r="A2556" s="12" t="s">
        <v>4472</v>
      </c>
      <c r="B2556" s="12" t="s">
        <v>198</v>
      </c>
      <c r="C2556" s="12" t="s">
        <v>474</v>
      </c>
      <c r="D2556" s="12" t="s">
        <v>4402</v>
      </c>
      <c r="E2556" s="12" t="s">
        <v>4403</v>
      </c>
      <c r="F2556" s="12" t="s">
        <v>32</v>
      </c>
      <c r="G2556" s="12" t="s">
        <v>32</v>
      </c>
      <c r="H2556" s="12" t="b">
        <v>1</v>
      </c>
      <c r="I2556" s="12" t="b">
        <v>1</v>
      </c>
      <c r="J2556" s="12" t="b">
        <v>0</v>
      </c>
      <c r="K2556" s="12" t="b">
        <v>0</v>
      </c>
      <c r="L2556" s="12">
        <v>436.09695310912758</v>
      </c>
      <c r="M2556" s="12">
        <v>279.09770132054479</v>
      </c>
      <c r="N2556" s="12">
        <v>4081.8230245237678</v>
      </c>
      <c r="O2556" s="12">
        <v>808.34025773909616</v>
      </c>
      <c r="P2556" s="12">
        <v>0.5997489709498951</v>
      </c>
      <c r="Q2556" s="12">
        <v>0.95</v>
      </c>
      <c r="R2556" s="12">
        <v>0.74608148390036444</v>
      </c>
      <c r="S2556" s="12">
        <v>0.67773110852065166</v>
      </c>
      <c r="T2556" s="12">
        <v>0.94152981924933021</v>
      </c>
      <c r="U2556" s="12">
        <v>0.84182625850716208</v>
      </c>
      <c r="V2556" s="12">
        <v>279.09770132054479</v>
      </c>
      <c r="W2556" s="12">
        <v>13.1928790237575</v>
      </c>
      <c r="X2556" s="12">
        <v>77.731624365994392</v>
      </c>
      <c r="Y2556" s="12">
        <v>3273.4827667846721</v>
      </c>
      <c r="Z2556" s="12">
        <v>5.0496347119225584</v>
      </c>
      <c r="AA2556" s="12"/>
      <c r="AB2556" s="12"/>
    </row>
    <row r="2557" spans="1:28" x14ac:dyDescent="0.3">
      <c r="A2557" s="12" t="s">
        <v>4473</v>
      </c>
      <c r="B2557" s="12" t="s">
        <v>198</v>
      </c>
      <c r="C2557" s="12" t="s">
        <v>474</v>
      </c>
      <c r="D2557" s="12" t="s">
        <v>4402</v>
      </c>
      <c r="E2557" s="12" t="s">
        <v>4403</v>
      </c>
      <c r="F2557" s="12" t="s">
        <v>32</v>
      </c>
      <c r="G2557" s="12" t="s">
        <v>32</v>
      </c>
      <c r="H2557" s="12" t="b">
        <v>1</v>
      </c>
      <c r="I2557" s="12" t="b">
        <v>1</v>
      </c>
      <c r="J2557" s="12" t="b">
        <v>0</v>
      </c>
      <c r="K2557" s="12" t="b">
        <v>0</v>
      </c>
      <c r="L2557" s="12">
        <v>436.09695310912758</v>
      </c>
      <c r="M2557" s="12">
        <v>279.09770132054479</v>
      </c>
      <c r="N2557" s="12">
        <v>4081.8230245237678</v>
      </c>
      <c r="O2557" s="12">
        <v>808.34025773909616</v>
      </c>
      <c r="P2557" s="12">
        <v>0.63474897094989513</v>
      </c>
      <c r="Q2557" s="12">
        <v>0.89500000000000002</v>
      </c>
      <c r="R2557" s="12">
        <v>0.74608148390036444</v>
      </c>
      <c r="S2557" s="12">
        <v>0.67773110852065166</v>
      </c>
      <c r="T2557" s="12">
        <v>0.94152981924933021</v>
      </c>
      <c r="U2557" s="12">
        <v>0.84182625850716208</v>
      </c>
      <c r="V2557" s="12">
        <v>279.09770132054479</v>
      </c>
      <c r="W2557" s="12">
        <v>12.853498411101381</v>
      </c>
      <c r="X2557" s="12">
        <v>84.148599771624234</v>
      </c>
      <c r="Y2557" s="12">
        <v>3273.4827667846721</v>
      </c>
      <c r="Z2557" s="12">
        <v>5.0496347119225584</v>
      </c>
      <c r="AA2557" s="12"/>
      <c r="AB2557" s="12"/>
    </row>
    <row r="2558" spans="1:28" x14ac:dyDescent="0.3">
      <c r="A2558" s="12" t="s">
        <v>4474</v>
      </c>
      <c r="B2558" s="12" t="s">
        <v>198</v>
      </c>
      <c r="C2558" s="12" t="s">
        <v>474</v>
      </c>
      <c r="D2558" s="12" t="s">
        <v>4402</v>
      </c>
      <c r="E2558" s="12" t="s">
        <v>4403</v>
      </c>
      <c r="F2558" s="12" t="s">
        <v>32</v>
      </c>
      <c r="G2558" s="12" t="s">
        <v>32</v>
      </c>
      <c r="H2558" s="12" t="b">
        <v>1</v>
      </c>
      <c r="I2558" s="12" t="b">
        <v>1</v>
      </c>
      <c r="J2558" s="12" t="b">
        <v>0</v>
      </c>
      <c r="K2558" s="12" t="b">
        <v>0</v>
      </c>
      <c r="L2558" s="12">
        <v>436.09695310912758</v>
      </c>
      <c r="M2558" s="12">
        <v>279.09770132054479</v>
      </c>
      <c r="N2558" s="12">
        <v>4081.8230245237678</v>
      </c>
      <c r="O2558" s="12">
        <v>808.34025773909616</v>
      </c>
      <c r="P2558" s="12">
        <v>0.63474897094989513</v>
      </c>
      <c r="Q2558" s="12">
        <v>0.95</v>
      </c>
      <c r="R2558" s="12">
        <v>0.80108148390036438</v>
      </c>
      <c r="S2558" s="12">
        <v>0.67773110852065166</v>
      </c>
      <c r="T2558" s="12">
        <v>0.94152981924933021</v>
      </c>
      <c r="U2558" s="12">
        <v>0.84182625850716208</v>
      </c>
      <c r="V2558" s="12">
        <v>279.09770132054479</v>
      </c>
      <c r="W2558" s="12">
        <v>13.743709147388399</v>
      </c>
      <c r="X2558" s="12">
        <v>90.034397533562952</v>
      </c>
      <c r="Y2558" s="12">
        <v>3273.4827667846721</v>
      </c>
      <c r="Z2558" s="12">
        <v>5.0496347119225584</v>
      </c>
      <c r="AA2558" s="12"/>
      <c r="AB2558" s="12"/>
    </row>
    <row r="2559" spans="1:28" x14ac:dyDescent="0.3">
      <c r="A2559" s="12" t="s">
        <v>4475</v>
      </c>
      <c r="B2559" s="12" t="s">
        <v>198</v>
      </c>
      <c r="C2559" s="12" t="s">
        <v>474</v>
      </c>
      <c r="D2559" s="12" t="s">
        <v>4402</v>
      </c>
      <c r="E2559" s="12" t="s">
        <v>4403</v>
      </c>
      <c r="F2559" s="12" t="s">
        <v>32</v>
      </c>
      <c r="G2559" s="12" t="s">
        <v>32</v>
      </c>
      <c r="H2559" s="12" t="b">
        <v>1</v>
      </c>
      <c r="I2559" s="12" t="b">
        <v>1</v>
      </c>
      <c r="J2559" s="12" t="b">
        <v>0</v>
      </c>
      <c r="K2559" s="12" t="b">
        <v>0</v>
      </c>
      <c r="L2559" s="12">
        <v>436.09695310912758</v>
      </c>
      <c r="M2559" s="12">
        <v>279.09770132054479</v>
      </c>
      <c r="N2559" s="12">
        <v>4081.8230245237678</v>
      </c>
      <c r="O2559" s="12">
        <v>808.34025773909616</v>
      </c>
      <c r="P2559" s="12">
        <v>0.63474897094989513</v>
      </c>
      <c r="Q2559" s="12">
        <v>0.95</v>
      </c>
      <c r="R2559" s="12">
        <v>0.69108148390036439</v>
      </c>
      <c r="S2559" s="12">
        <v>0.67773110852065166</v>
      </c>
      <c r="T2559" s="12">
        <v>0.94152981924933021</v>
      </c>
      <c r="U2559" s="12">
        <v>0.84182625850716208</v>
      </c>
      <c r="V2559" s="12">
        <v>279.09770132054479</v>
      </c>
      <c r="W2559" s="12">
        <v>13.62327843491286</v>
      </c>
      <c r="X2559" s="12">
        <v>89.207121375823476</v>
      </c>
      <c r="Y2559" s="12">
        <v>3273.4827667846721</v>
      </c>
      <c r="Z2559" s="12">
        <v>5.0496347119225584</v>
      </c>
      <c r="AA2559" s="12"/>
      <c r="AB2559" s="12"/>
    </row>
    <row r="2560" spans="1:28" x14ac:dyDescent="0.3">
      <c r="A2560" s="12" t="s">
        <v>4476</v>
      </c>
      <c r="B2560" s="12" t="s">
        <v>198</v>
      </c>
      <c r="C2560" s="12" t="s">
        <v>474</v>
      </c>
      <c r="D2560" s="12" t="s">
        <v>4402</v>
      </c>
      <c r="E2560" s="12" t="s">
        <v>4403</v>
      </c>
      <c r="F2560" s="12" t="s">
        <v>32</v>
      </c>
      <c r="G2560" s="12" t="s">
        <v>32</v>
      </c>
      <c r="H2560" s="12" t="b">
        <v>1</v>
      </c>
      <c r="I2560" s="12" t="b">
        <v>1</v>
      </c>
      <c r="J2560" s="12" t="b">
        <v>0</v>
      </c>
      <c r="K2560" s="12" t="b">
        <v>0</v>
      </c>
      <c r="L2560" s="12">
        <v>436.09695310912758</v>
      </c>
      <c r="M2560" s="12">
        <v>279.09770132054479</v>
      </c>
      <c r="N2560" s="12">
        <v>4081.8230245237678</v>
      </c>
      <c r="O2560" s="12">
        <v>808.34025773909616</v>
      </c>
      <c r="P2560" s="12">
        <v>0.63474897094989513</v>
      </c>
      <c r="Q2560" s="12">
        <v>0.95</v>
      </c>
      <c r="R2560" s="12">
        <v>0.74608148390036444</v>
      </c>
      <c r="S2560" s="12">
        <v>0.7327311085206516</v>
      </c>
      <c r="T2560" s="12">
        <v>0.94152981924933021</v>
      </c>
      <c r="U2560" s="12">
        <v>0.84182625850716208</v>
      </c>
      <c r="V2560" s="12">
        <v>279.09770132054479</v>
      </c>
      <c r="W2560" s="12">
        <v>13.81269063587785</v>
      </c>
      <c r="X2560" s="12">
        <v>97.983216314163343</v>
      </c>
      <c r="Y2560" s="12">
        <v>3273.4827667846721</v>
      </c>
      <c r="Z2560" s="12">
        <v>5.0496347119225584</v>
      </c>
      <c r="AA2560" s="12"/>
      <c r="AB2560" s="12"/>
    </row>
    <row r="2561" spans="1:28" x14ac:dyDescent="0.3">
      <c r="A2561" s="12" t="s">
        <v>4477</v>
      </c>
      <c r="B2561" s="12" t="s">
        <v>198</v>
      </c>
      <c r="C2561" s="12" t="s">
        <v>474</v>
      </c>
      <c r="D2561" s="12" t="s">
        <v>4402</v>
      </c>
      <c r="E2561" s="12" t="s">
        <v>4403</v>
      </c>
      <c r="F2561" s="12" t="s">
        <v>32</v>
      </c>
      <c r="G2561" s="12" t="s">
        <v>32</v>
      </c>
      <c r="H2561" s="12" t="b">
        <v>1</v>
      </c>
      <c r="I2561" s="12" t="b">
        <v>1</v>
      </c>
      <c r="J2561" s="12" t="b">
        <v>0</v>
      </c>
      <c r="K2561" s="12" t="b">
        <v>0</v>
      </c>
      <c r="L2561" s="12">
        <v>436.09695310912758</v>
      </c>
      <c r="M2561" s="12">
        <v>279.09770132054479</v>
      </c>
      <c r="N2561" s="12">
        <v>4081.8230245237678</v>
      </c>
      <c r="O2561" s="12">
        <v>808.34025773909616</v>
      </c>
      <c r="P2561" s="12">
        <v>0.63474897094989513</v>
      </c>
      <c r="Q2561" s="12">
        <v>0.95</v>
      </c>
      <c r="R2561" s="12">
        <v>0.74608148390036444</v>
      </c>
      <c r="S2561" s="12">
        <v>0.62273110852065172</v>
      </c>
      <c r="T2561" s="12">
        <v>0.94152981924933021</v>
      </c>
      <c r="U2561" s="12">
        <v>0.84182625850716208</v>
      </c>
      <c r="V2561" s="12">
        <v>279.09770132054479</v>
      </c>
      <c r="W2561" s="12">
        <v>13.52840241146454</v>
      </c>
      <c r="X2561" s="12">
        <v>81.27671595801155</v>
      </c>
      <c r="Y2561" s="12">
        <v>3273.4827667846721</v>
      </c>
      <c r="Z2561" s="12">
        <v>5.0496347119225584</v>
      </c>
      <c r="AA2561" s="12"/>
      <c r="AB2561" s="12"/>
    </row>
    <row r="2562" spans="1:28" x14ac:dyDescent="0.3">
      <c r="A2562" s="12" t="s">
        <v>4478</v>
      </c>
      <c r="B2562" s="12" t="s">
        <v>198</v>
      </c>
      <c r="C2562" s="12" t="s">
        <v>474</v>
      </c>
      <c r="D2562" s="12" t="s">
        <v>4402</v>
      </c>
      <c r="E2562" s="12" t="s">
        <v>4403</v>
      </c>
      <c r="F2562" s="12" t="s">
        <v>32</v>
      </c>
      <c r="G2562" s="12" t="s">
        <v>32</v>
      </c>
      <c r="H2562" s="12" t="b">
        <v>1</v>
      </c>
      <c r="I2562" s="12" t="b">
        <v>1</v>
      </c>
      <c r="J2562" s="12" t="b">
        <v>0</v>
      </c>
      <c r="K2562" s="12" t="b">
        <v>0</v>
      </c>
      <c r="L2562" s="12">
        <v>436.09695310912758</v>
      </c>
      <c r="M2562" s="12">
        <v>279.09770132054479</v>
      </c>
      <c r="N2562" s="12">
        <v>4081.8230245237678</v>
      </c>
      <c r="O2562" s="12">
        <v>808.34025773909616</v>
      </c>
      <c r="P2562" s="12">
        <v>0.63474897094989513</v>
      </c>
      <c r="Q2562" s="12">
        <v>0.95</v>
      </c>
      <c r="R2562" s="12">
        <v>0.74608148390036444</v>
      </c>
      <c r="S2562" s="12">
        <v>0.67773110852065166</v>
      </c>
      <c r="T2562" s="12">
        <v>0.95</v>
      </c>
      <c r="U2562" s="12">
        <v>0.84182625850716208</v>
      </c>
      <c r="V2562" s="12">
        <v>279.09770132054479</v>
      </c>
      <c r="W2562" s="12">
        <v>13.74430678815094</v>
      </c>
      <c r="X2562" s="12">
        <v>89.782656227051163</v>
      </c>
      <c r="Y2562" s="12">
        <v>3273.4827667846721</v>
      </c>
      <c r="Z2562" s="12">
        <v>5.0496347119225584</v>
      </c>
      <c r="AA2562" s="12"/>
      <c r="AB2562" s="12"/>
    </row>
    <row r="2563" spans="1:28" x14ac:dyDescent="0.3">
      <c r="A2563" s="12" t="s">
        <v>4479</v>
      </c>
      <c r="B2563" s="12" t="s">
        <v>198</v>
      </c>
      <c r="C2563" s="12" t="s">
        <v>474</v>
      </c>
      <c r="D2563" s="12" t="s">
        <v>4402</v>
      </c>
      <c r="E2563" s="12" t="s">
        <v>4403</v>
      </c>
      <c r="F2563" s="12" t="s">
        <v>32</v>
      </c>
      <c r="G2563" s="12" t="s">
        <v>32</v>
      </c>
      <c r="H2563" s="12" t="b">
        <v>1</v>
      </c>
      <c r="I2563" s="12" t="b">
        <v>1</v>
      </c>
      <c r="J2563" s="12" t="b">
        <v>0</v>
      </c>
      <c r="K2563" s="12" t="b">
        <v>0</v>
      </c>
      <c r="L2563" s="12">
        <v>436.09695310912758</v>
      </c>
      <c r="M2563" s="12">
        <v>279.09770132054479</v>
      </c>
      <c r="N2563" s="12">
        <v>4081.8230245237678</v>
      </c>
      <c r="O2563" s="12">
        <v>808.34025773909616</v>
      </c>
      <c r="P2563" s="12">
        <v>0.63474897094989513</v>
      </c>
      <c r="Q2563" s="12">
        <v>0.95</v>
      </c>
      <c r="R2563" s="12">
        <v>0.74608148390036444</v>
      </c>
      <c r="S2563" s="12">
        <v>0.67773110852065166</v>
      </c>
      <c r="T2563" s="12">
        <v>0.88652981924933028</v>
      </c>
      <c r="U2563" s="12">
        <v>0.84182625850716208</v>
      </c>
      <c r="V2563" s="12">
        <v>279.09770132054479</v>
      </c>
      <c r="W2563" s="12">
        <v>13.329741130904271</v>
      </c>
      <c r="X2563" s="12">
        <v>88.799334636264334</v>
      </c>
      <c r="Y2563" s="12">
        <v>3273.4827667846721</v>
      </c>
      <c r="Z2563" s="12">
        <v>5.0496347119225584</v>
      </c>
      <c r="AA2563" s="12"/>
      <c r="AB2563" s="12"/>
    </row>
    <row r="2564" spans="1:28" x14ac:dyDescent="0.3">
      <c r="A2564" s="12" t="s">
        <v>4480</v>
      </c>
      <c r="B2564" s="12" t="s">
        <v>198</v>
      </c>
      <c r="C2564" s="12" t="s">
        <v>474</v>
      </c>
      <c r="D2564" s="12" t="s">
        <v>4402</v>
      </c>
      <c r="E2564" s="12" t="s">
        <v>4403</v>
      </c>
      <c r="F2564" s="12" t="s">
        <v>32</v>
      </c>
      <c r="G2564" s="12" t="s">
        <v>32</v>
      </c>
      <c r="H2564" s="12" t="b">
        <v>1</v>
      </c>
      <c r="I2564" s="12" t="b">
        <v>1</v>
      </c>
      <c r="J2564" s="12" t="b">
        <v>0</v>
      </c>
      <c r="K2564" s="12" t="b">
        <v>0</v>
      </c>
      <c r="L2564" s="12">
        <v>436.09695310912758</v>
      </c>
      <c r="M2564" s="12">
        <v>279.09770132054479</v>
      </c>
      <c r="N2564" s="12">
        <v>4081.8230245237678</v>
      </c>
      <c r="O2564" s="12">
        <v>808.34025773909616</v>
      </c>
      <c r="P2564" s="12">
        <v>0.63474897094989513</v>
      </c>
      <c r="Q2564" s="12">
        <v>0.95</v>
      </c>
      <c r="R2564" s="12">
        <v>0.74608148390036444</v>
      </c>
      <c r="S2564" s="12">
        <v>0.67773110852065166</v>
      </c>
      <c r="T2564" s="12">
        <v>0.94152981924933021</v>
      </c>
      <c r="U2564" s="12">
        <v>0.89682625850716202</v>
      </c>
      <c r="V2564" s="12">
        <v>279.09770132054479</v>
      </c>
      <c r="W2564" s="12">
        <v>13.32447965364104</v>
      </c>
      <c r="X2564" s="12">
        <v>88.831710857378653</v>
      </c>
      <c r="Y2564" s="12">
        <v>3273.4827667846721</v>
      </c>
      <c r="Z2564" s="12">
        <v>5.0496347119225584</v>
      </c>
      <c r="AA2564" s="12"/>
      <c r="AB2564" s="12"/>
    </row>
    <row r="2565" spans="1:28" x14ac:dyDescent="0.3">
      <c r="A2565" s="12" t="s">
        <v>4481</v>
      </c>
      <c r="B2565" s="12" t="s">
        <v>198</v>
      </c>
      <c r="C2565" s="12" t="s">
        <v>474</v>
      </c>
      <c r="D2565" s="12" t="s">
        <v>4402</v>
      </c>
      <c r="E2565" s="12" t="s">
        <v>4403</v>
      </c>
      <c r="F2565" s="12" t="s">
        <v>1861</v>
      </c>
      <c r="G2565" s="12" t="s">
        <v>1861</v>
      </c>
      <c r="H2565" s="12" t="b">
        <v>1</v>
      </c>
      <c r="I2565" s="12" t="b">
        <v>0</v>
      </c>
      <c r="J2565" s="12" t="b">
        <v>0</v>
      </c>
      <c r="K2565" s="12" t="b">
        <v>0</v>
      </c>
      <c r="L2565" s="12">
        <v>436.09695310912758</v>
      </c>
      <c r="M2565" s="12">
        <v>279.09770132054479</v>
      </c>
      <c r="N2565" s="12">
        <v>4081.8230245237678</v>
      </c>
      <c r="O2565" s="12">
        <v>808.34025773909616</v>
      </c>
      <c r="P2565" s="12">
        <v>0.63474897094989513</v>
      </c>
      <c r="Q2565" s="12">
        <v>0.95</v>
      </c>
      <c r="R2565" s="12">
        <v>0.74608148390036444</v>
      </c>
      <c r="S2565" s="12">
        <v>0.67773110852065166</v>
      </c>
      <c r="T2565" s="12">
        <v>0.94152981924933021</v>
      </c>
      <c r="U2565" s="12">
        <v>0.78682625850716215</v>
      </c>
      <c r="V2565" s="12">
        <v>279.09770132054479</v>
      </c>
      <c r="W2565" s="12">
        <v>14.102643295618281</v>
      </c>
      <c r="X2565" s="12">
        <v>90.549737355412958</v>
      </c>
      <c r="Y2565" s="12">
        <v>3273.4827667846721</v>
      </c>
      <c r="Z2565" s="12">
        <v>5.0496347119225584</v>
      </c>
      <c r="AA2565" s="12" t="s">
        <v>1268</v>
      </c>
      <c r="AB2565" s="12"/>
    </row>
    <row r="2566" spans="1:28" x14ac:dyDescent="0.3">
      <c r="A2566" s="12" t="s">
        <v>4482</v>
      </c>
      <c r="B2566" s="12" t="s">
        <v>198</v>
      </c>
      <c r="C2566" s="12" t="s">
        <v>474</v>
      </c>
      <c r="D2566" s="12" t="s">
        <v>4402</v>
      </c>
      <c r="E2566" s="12" t="s">
        <v>4403</v>
      </c>
      <c r="F2566" s="12" t="s">
        <v>1861</v>
      </c>
      <c r="G2566" s="12" t="s">
        <v>1861</v>
      </c>
      <c r="H2566" s="12" t="b">
        <v>1</v>
      </c>
      <c r="I2566" s="12" t="b">
        <v>0</v>
      </c>
      <c r="J2566" s="12" t="b">
        <v>1</v>
      </c>
      <c r="K2566" s="12" t="b">
        <v>0</v>
      </c>
      <c r="L2566" s="12">
        <v>448.09695310912758</v>
      </c>
      <c r="M2566" s="12">
        <v>279.09770132054479</v>
      </c>
      <c r="N2566" s="12">
        <v>4081.8230245237678</v>
      </c>
      <c r="O2566" s="12">
        <v>808.34025773909616</v>
      </c>
      <c r="P2566" s="12">
        <v>0.66974897094989516</v>
      </c>
      <c r="Q2566" s="12">
        <v>0.95</v>
      </c>
      <c r="R2566" s="12">
        <v>0.74608148390036444</v>
      </c>
      <c r="S2566" s="12">
        <v>0.67773110852065166</v>
      </c>
      <c r="T2566" s="12">
        <v>0.94152981924933021</v>
      </c>
      <c r="U2566" s="12">
        <v>0.84182625850716208</v>
      </c>
      <c r="V2566" s="12">
        <v>279.09770132054479</v>
      </c>
      <c r="W2566" s="12">
        <v>14.38283975765372</v>
      </c>
      <c r="X2566" s="12">
        <v>124.6308760898454</v>
      </c>
      <c r="Y2566" s="12">
        <v>3273.4827667846721</v>
      </c>
      <c r="Z2566" s="12">
        <v>5.0496347119225584</v>
      </c>
      <c r="AA2566" s="12" t="s">
        <v>1268</v>
      </c>
      <c r="AB2566" s="12"/>
    </row>
    <row r="2567" spans="1:28" x14ac:dyDescent="0.3">
      <c r="A2567" s="12" t="s">
        <v>4483</v>
      </c>
      <c r="B2567" s="12" t="s">
        <v>198</v>
      </c>
      <c r="C2567" s="12" t="s">
        <v>474</v>
      </c>
      <c r="D2567" s="12" t="s">
        <v>4402</v>
      </c>
      <c r="E2567" s="12" t="s">
        <v>4403</v>
      </c>
      <c r="F2567" s="12" t="s">
        <v>32</v>
      </c>
      <c r="G2567" s="12" t="s">
        <v>32</v>
      </c>
      <c r="H2567" s="12" t="b">
        <v>1</v>
      </c>
      <c r="I2567" s="12" t="b">
        <v>1</v>
      </c>
      <c r="J2567" s="12" t="b">
        <v>0</v>
      </c>
      <c r="K2567" s="12" t="b">
        <v>0</v>
      </c>
      <c r="L2567" s="12">
        <v>424.09695310912758</v>
      </c>
      <c r="M2567" s="12">
        <v>279.09770132054479</v>
      </c>
      <c r="N2567" s="12">
        <v>4081.8230245237678</v>
      </c>
      <c r="O2567" s="12">
        <v>808.34025773909616</v>
      </c>
      <c r="P2567" s="12">
        <v>0.66974897094989516</v>
      </c>
      <c r="Q2567" s="12">
        <v>0.95</v>
      </c>
      <c r="R2567" s="12">
        <v>0.74608148390036444</v>
      </c>
      <c r="S2567" s="12">
        <v>0.67773110852065166</v>
      </c>
      <c r="T2567" s="12">
        <v>0.94152981924933021</v>
      </c>
      <c r="U2567" s="12">
        <v>0.84182625850716208</v>
      </c>
      <c r="V2567" s="12">
        <v>279.09770132054479</v>
      </c>
      <c r="W2567" s="12">
        <v>13.75105607966179</v>
      </c>
      <c r="X2567" s="12">
        <v>81.562198425122503</v>
      </c>
      <c r="Y2567" s="12">
        <v>3273.4827667846721</v>
      </c>
      <c r="Z2567" s="12">
        <v>5.0496347119225584</v>
      </c>
      <c r="AA2567" s="12"/>
      <c r="AB2567" s="12"/>
    </row>
    <row r="2568" spans="1:28" x14ac:dyDescent="0.3">
      <c r="A2568" s="12" t="s">
        <v>4484</v>
      </c>
      <c r="B2568" s="12" t="s">
        <v>198</v>
      </c>
      <c r="C2568" s="12" t="s">
        <v>474</v>
      </c>
      <c r="D2568" s="12" t="s">
        <v>4402</v>
      </c>
      <c r="E2568" s="12" t="s">
        <v>4403</v>
      </c>
      <c r="F2568" s="12" t="s">
        <v>32</v>
      </c>
      <c r="G2568" s="12" t="s">
        <v>32</v>
      </c>
      <c r="H2568" s="12" t="b">
        <v>1</v>
      </c>
      <c r="I2568" s="12" t="b">
        <v>1</v>
      </c>
      <c r="J2568" s="12" t="b">
        <v>0</v>
      </c>
      <c r="K2568" s="12" t="b">
        <v>0</v>
      </c>
      <c r="L2568" s="12">
        <v>436.09695310912758</v>
      </c>
      <c r="M2568" s="12">
        <v>281.63770132054481</v>
      </c>
      <c r="N2568" s="12">
        <v>4081.8230245237678</v>
      </c>
      <c r="O2568" s="12">
        <v>808.34025773909616</v>
      </c>
      <c r="P2568" s="12">
        <v>0.66974897094989516</v>
      </c>
      <c r="Q2568" s="12">
        <v>0.95</v>
      </c>
      <c r="R2568" s="12">
        <v>0.74608148390036444</v>
      </c>
      <c r="S2568" s="12">
        <v>0.67773110852065166</v>
      </c>
      <c r="T2568" s="12">
        <v>0.94152981924933021</v>
      </c>
      <c r="U2568" s="12">
        <v>0.84182625850716208</v>
      </c>
      <c r="V2568" s="12">
        <v>281.63770132054481</v>
      </c>
      <c r="W2568" s="12">
        <v>14.25098841403692</v>
      </c>
      <c r="X2568" s="12">
        <v>101.8288712960333</v>
      </c>
      <c r="Y2568" s="12">
        <v>3273.4827667846721</v>
      </c>
      <c r="Z2568" s="12">
        <v>5.0496347119225584</v>
      </c>
      <c r="AA2568" s="12"/>
      <c r="AB2568" s="12"/>
    </row>
    <row r="2569" spans="1:28" x14ac:dyDescent="0.3">
      <c r="A2569" s="12" t="s">
        <v>4485</v>
      </c>
      <c r="B2569" s="12" t="s">
        <v>198</v>
      </c>
      <c r="C2569" s="12" t="s">
        <v>474</v>
      </c>
      <c r="D2569" s="12" t="s">
        <v>4402</v>
      </c>
      <c r="E2569" s="12" t="s">
        <v>4403</v>
      </c>
      <c r="F2569" s="12" t="s">
        <v>32</v>
      </c>
      <c r="G2569" s="12" t="s">
        <v>32</v>
      </c>
      <c r="H2569" s="12" t="b">
        <v>1</v>
      </c>
      <c r="I2569" s="12" t="b">
        <v>1</v>
      </c>
      <c r="J2569" s="12" t="b">
        <v>0</v>
      </c>
      <c r="K2569" s="12" t="b">
        <v>0</v>
      </c>
      <c r="L2569" s="12">
        <v>436.09695310912758</v>
      </c>
      <c r="M2569" s="12">
        <v>278.14999999999998</v>
      </c>
      <c r="N2569" s="12">
        <v>4081.8230245237678</v>
      </c>
      <c r="O2569" s="12">
        <v>808.34025773909616</v>
      </c>
      <c r="P2569" s="12">
        <v>0.66974897094989516</v>
      </c>
      <c r="Q2569" s="12">
        <v>0.95</v>
      </c>
      <c r="R2569" s="12">
        <v>0.74608148390036444</v>
      </c>
      <c r="S2569" s="12">
        <v>0.67773110852065166</v>
      </c>
      <c r="T2569" s="12">
        <v>0.94152981924933021</v>
      </c>
      <c r="U2569" s="12">
        <v>0.84182625850716208</v>
      </c>
      <c r="V2569" s="12">
        <v>278.14999999999998</v>
      </c>
      <c r="W2569" s="12">
        <v>14.10128497805661</v>
      </c>
      <c r="X2569" s="12">
        <v>101.46875709026131</v>
      </c>
      <c r="Y2569" s="12">
        <v>3273.4827667846721</v>
      </c>
      <c r="Z2569" s="12">
        <v>5.0496347119225584</v>
      </c>
      <c r="AA2569" s="12"/>
      <c r="AB2569" s="12"/>
    </row>
    <row r="2570" spans="1:28" x14ac:dyDescent="0.3">
      <c r="A2570" s="12" t="s">
        <v>4486</v>
      </c>
      <c r="B2570" s="12" t="s">
        <v>198</v>
      </c>
      <c r="C2570" s="12" t="s">
        <v>474</v>
      </c>
      <c r="D2570" s="12" t="s">
        <v>4402</v>
      </c>
      <c r="E2570" s="12" t="s">
        <v>4403</v>
      </c>
      <c r="F2570" s="12" t="s">
        <v>32</v>
      </c>
      <c r="G2570" s="12" t="s">
        <v>32</v>
      </c>
      <c r="H2570" s="12" t="b">
        <v>1</v>
      </c>
      <c r="I2570" s="12" t="b">
        <v>1</v>
      </c>
      <c r="J2570" s="12" t="b">
        <v>0</v>
      </c>
      <c r="K2570" s="12" t="b">
        <v>0</v>
      </c>
      <c r="L2570" s="12">
        <v>436.09695310912758</v>
      </c>
      <c r="M2570" s="12">
        <v>279.09770132054479</v>
      </c>
      <c r="N2570" s="12">
        <v>4381.8230245237683</v>
      </c>
      <c r="O2570" s="12">
        <v>808.34025773909616</v>
      </c>
      <c r="P2570" s="12">
        <v>0.66974897094989516</v>
      </c>
      <c r="Q2570" s="12">
        <v>0.95</v>
      </c>
      <c r="R2570" s="12">
        <v>0.74608148390036444</v>
      </c>
      <c r="S2570" s="12">
        <v>0.67773110852065166</v>
      </c>
      <c r="T2570" s="12">
        <v>0.94152981924933021</v>
      </c>
      <c r="U2570" s="12">
        <v>0.84182625850716208</v>
      </c>
      <c r="V2570" s="12">
        <v>279.09770132054479</v>
      </c>
      <c r="W2570" s="12">
        <v>14.530540889507011</v>
      </c>
      <c r="X2570" s="12">
        <v>98.801628500241094</v>
      </c>
      <c r="Y2570" s="12">
        <v>3573.4827667846721</v>
      </c>
      <c r="Z2570" s="12">
        <v>5.4207655533322043</v>
      </c>
      <c r="AA2570" s="12"/>
      <c r="AB2570" s="12"/>
    </row>
    <row r="2571" spans="1:28" x14ac:dyDescent="0.3">
      <c r="A2571" s="12" t="s">
        <v>4487</v>
      </c>
      <c r="B2571" s="12" t="s">
        <v>198</v>
      </c>
      <c r="C2571" s="12" t="s">
        <v>474</v>
      </c>
      <c r="D2571" s="12" t="s">
        <v>4402</v>
      </c>
      <c r="E2571" s="12" t="s">
        <v>4403</v>
      </c>
      <c r="F2571" s="12" t="s">
        <v>32</v>
      </c>
      <c r="G2571" s="12" t="s">
        <v>32</v>
      </c>
      <c r="H2571" s="12" t="b">
        <v>1</v>
      </c>
      <c r="I2571" s="12" t="b">
        <v>1</v>
      </c>
      <c r="J2571" s="12" t="b">
        <v>0</v>
      </c>
      <c r="K2571" s="12" t="b">
        <v>0</v>
      </c>
      <c r="L2571" s="12">
        <v>436.09695310912758</v>
      </c>
      <c r="M2571" s="12">
        <v>279.09770132054479</v>
      </c>
      <c r="N2571" s="12">
        <v>3781.8230245237678</v>
      </c>
      <c r="O2571" s="12">
        <v>808.34025773909616</v>
      </c>
      <c r="P2571" s="12">
        <v>0.66974897094989516</v>
      </c>
      <c r="Q2571" s="12">
        <v>0.95</v>
      </c>
      <c r="R2571" s="12">
        <v>0.74608148390036444</v>
      </c>
      <c r="S2571" s="12">
        <v>0.67773110852065166</v>
      </c>
      <c r="T2571" s="12">
        <v>0.94152981924933021</v>
      </c>
      <c r="U2571" s="12">
        <v>0.84182625850716208</v>
      </c>
      <c r="V2571" s="12">
        <v>279.09770132054479</v>
      </c>
      <c r="W2571" s="12">
        <v>13.6772989134413</v>
      </c>
      <c r="X2571" s="12">
        <v>103.8753862965861</v>
      </c>
      <c r="Y2571" s="12">
        <v>2973.4827667846721</v>
      </c>
      <c r="Z2571" s="12">
        <v>4.6785038705129143</v>
      </c>
      <c r="AA2571" s="12"/>
      <c r="AB2571" s="12"/>
    </row>
    <row r="2572" spans="1:28" x14ac:dyDescent="0.3">
      <c r="A2572" s="12" t="s">
        <v>4488</v>
      </c>
      <c r="B2572" s="12" t="s">
        <v>198</v>
      </c>
      <c r="C2572" s="12" t="s">
        <v>474</v>
      </c>
      <c r="D2572" s="12" t="s">
        <v>4402</v>
      </c>
      <c r="E2572" s="12" t="s">
        <v>4403</v>
      </c>
      <c r="F2572" s="12" t="s">
        <v>32</v>
      </c>
      <c r="G2572" s="12" t="s">
        <v>32</v>
      </c>
      <c r="H2572" s="12" t="b">
        <v>1</v>
      </c>
      <c r="I2572" s="12" t="b">
        <v>1</v>
      </c>
      <c r="J2572" s="12" t="b">
        <v>0</v>
      </c>
      <c r="K2572" s="12" t="b">
        <v>0</v>
      </c>
      <c r="L2572" s="12">
        <v>436.09695310912758</v>
      </c>
      <c r="M2572" s="12">
        <v>279.09770132054479</v>
      </c>
      <c r="N2572" s="12">
        <v>4081.8230245237678</v>
      </c>
      <c r="O2572" s="12">
        <v>1028.3402577390959</v>
      </c>
      <c r="P2572" s="12">
        <v>0.66974897094989516</v>
      </c>
      <c r="Q2572" s="12">
        <v>0.95</v>
      </c>
      <c r="R2572" s="12">
        <v>0.74608148390036444</v>
      </c>
      <c r="S2572" s="12">
        <v>0.67773110852065166</v>
      </c>
      <c r="T2572" s="12">
        <v>0.94152981924933021</v>
      </c>
      <c r="U2572" s="12">
        <v>0.84182625850716208</v>
      </c>
      <c r="V2572" s="12">
        <v>279.09770132054479</v>
      </c>
      <c r="W2572" s="12">
        <v>12.159534226411539</v>
      </c>
      <c r="X2572" s="12">
        <v>87.23779455317117</v>
      </c>
      <c r="Y2572" s="12">
        <v>3053.4827667846721</v>
      </c>
      <c r="Z2572" s="12">
        <v>3.969331156496823</v>
      </c>
      <c r="AA2572" s="12"/>
      <c r="AB2572" s="12"/>
    </row>
    <row r="2573" spans="1:28" x14ac:dyDescent="0.3">
      <c r="A2573" s="12" t="s">
        <v>4489</v>
      </c>
      <c r="B2573" s="12" t="s">
        <v>198</v>
      </c>
      <c r="C2573" s="12" t="s">
        <v>474</v>
      </c>
      <c r="D2573" s="12" t="s">
        <v>4402</v>
      </c>
      <c r="E2573" s="12" t="s">
        <v>4403</v>
      </c>
      <c r="F2573" s="12" t="s">
        <v>1861</v>
      </c>
      <c r="G2573" s="12" t="s">
        <v>1861</v>
      </c>
      <c r="H2573" s="12" t="b">
        <v>1</v>
      </c>
      <c r="I2573" s="12" t="b">
        <v>0</v>
      </c>
      <c r="J2573" s="12" t="b">
        <v>0</v>
      </c>
      <c r="K2573" s="12" t="b">
        <v>0</v>
      </c>
      <c r="L2573" s="12">
        <v>436.09695310912758</v>
      </c>
      <c r="M2573" s="12">
        <v>279.09770132054479</v>
      </c>
      <c r="N2573" s="12">
        <v>4081.8230245237678</v>
      </c>
      <c r="O2573" s="12">
        <v>588.34025773909616</v>
      </c>
      <c r="P2573" s="12">
        <v>0.66974897094989516</v>
      </c>
      <c r="Q2573" s="12">
        <v>0.95</v>
      </c>
      <c r="R2573" s="12">
        <v>0.74608148390036444</v>
      </c>
      <c r="S2573" s="12">
        <v>0.67773110852065166</v>
      </c>
      <c r="T2573" s="12">
        <v>0.94152981924933021</v>
      </c>
      <c r="U2573" s="12">
        <v>0.84182625850716208</v>
      </c>
      <c r="V2573" s="12">
        <v>279.09770132054479</v>
      </c>
      <c r="W2573" s="12">
        <v>16.62823818621716</v>
      </c>
      <c r="X2573" s="12">
        <v>119.5700378956093</v>
      </c>
      <c r="Y2573" s="12">
        <v>3493.4827667846721</v>
      </c>
      <c r="Z2573" s="12">
        <v>6.9378611625347633</v>
      </c>
      <c r="AA2573" s="12" t="s">
        <v>1268</v>
      </c>
      <c r="AB2573" s="12"/>
    </row>
    <row r="2574" spans="1:28" x14ac:dyDescent="0.3">
      <c r="A2574" s="12" t="s">
        <v>4490</v>
      </c>
      <c r="B2574" s="12" t="s">
        <v>198</v>
      </c>
      <c r="C2574" s="12" t="s">
        <v>474</v>
      </c>
      <c r="D2574" s="12" t="s">
        <v>4402</v>
      </c>
      <c r="E2574" s="12" t="s">
        <v>4403</v>
      </c>
      <c r="F2574" s="12" t="s">
        <v>1861</v>
      </c>
      <c r="G2574" s="12" t="s">
        <v>1861</v>
      </c>
      <c r="H2574" s="12" t="b">
        <v>1</v>
      </c>
      <c r="I2574" s="12" t="b">
        <v>0</v>
      </c>
      <c r="J2574" s="12" t="b">
        <v>0</v>
      </c>
      <c r="K2574" s="12" t="b">
        <v>0</v>
      </c>
      <c r="L2574" s="12">
        <v>436.09695310912758</v>
      </c>
      <c r="M2574" s="12">
        <v>279.09770132054479</v>
      </c>
      <c r="N2574" s="12">
        <v>4081.8230245237678</v>
      </c>
      <c r="O2574" s="12">
        <v>808.34025773909616</v>
      </c>
      <c r="P2574" s="12">
        <v>0.70474897094989508</v>
      </c>
      <c r="Q2574" s="12">
        <v>0.95</v>
      </c>
      <c r="R2574" s="12">
        <v>0.74608148390036444</v>
      </c>
      <c r="S2574" s="12">
        <v>0.67773110852065166</v>
      </c>
      <c r="T2574" s="12">
        <v>0.94152981924933021</v>
      </c>
      <c r="U2574" s="12">
        <v>0.84182625850716208</v>
      </c>
      <c r="V2574" s="12">
        <v>279.09770132054479</v>
      </c>
      <c r="W2574" s="12">
        <v>14.560851301941909</v>
      </c>
      <c r="X2574" s="12">
        <v>113.4404723678731</v>
      </c>
      <c r="Y2574" s="12">
        <v>3273.4827667846721</v>
      </c>
      <c r="Z2574" s="12">
        <v>5.0496347119225584</v>
      </c>
      <c r="AA2574" s="12" t="s">
        <v>1268</v>
      </c>
      <c r="AB2574" s="12"/>
    </row>
    <row r="2575" spans="1:28" x14ac:dyDescent="0.3">
      <c r="A2575" s="12" t="s">
        <v>4491</v>
      </c>
      <c r="B2575" s="12" t="s">
        <v>198</v>
      </c>
      <c r="C2575" s="12" t="s">
        <v>474</v>
      </c>
      <c r="D2575" s="12" t="s">
        <v>4402</v>
      </c>
      <c r="E2575" s="12" t="s">
        <v>4403</v>
      </c>
      <c r="F2575" s="12" t="s">
        <v>32</v>
      </c>
      <c r="G2575" s="12" t="s">
        <v>32</v>
      </c>
      <c r="H2575" s="12" t="b">
        <v>1</v>
      </c>
      <c r="I2575" s="12" t="b">
        <v>1</v>
      </c>
      <c r="J2575" s="12" t="b">
        <v>0</v>
      </c>
      <c r="K2575" s="12" t="b">
        <v>0</v>
      </c>
      <c r="L2575" s="12">
        <v>436.09695310912758</v>
      </c>
      <c r="M2575" s="12">
        <v>279.09770132054479</v>
      </c>
      <c r="N2575" s="12">
        <v>4081.8230245237678</v>
      </c>
      <c r="O2575" s="12">
        <v>808.34025773909616</v>
      </c>
      <c r="P2575" s="12">
        <v>0.63474897094989513</v>
      </c>
      <c r="Q2575" s="12">
        <v>0.95</v>
      </c>
      <c r="R2575" s="12">
        <v>0.74608148390036444</v>
      </c>
      <c r="S2575" s="12">
        <v>0.67773110852065166</v>
      </c>
      <c r="T2575" s="12">
        <v>0.94152981924933021</v>
      </c>
      <c r="U2575" s="12">
        <v>0.84182625850716208</v>
      </c>
      <c r="V2575" s="12">
        <v>279.09770132054479</v>
      </c>
      <c r="W2575" s="12">
        <v>13.687946280368671</v>
      </c>
      <c r="X2575" s="12">
        <v>89.651257916252476</v>
      </c>
      <c r="Y2575" s="12">
        <v>3273.4827667846721</v>
      </c>
      <c r="Z2575" s="12">
        <v>5.0496347119225584</v>
      </c>
      <c r="AA2575" s="12"/>
      <c r="AB2575" s="12"/>
    </row>
    <row r="2576" spans="1:28" x14ac:dyDescent="0.3">
      <c r="A2576" s="12" t="s">
        <v>4492</v>
      </c>
      <c r="B2576" s="12" t="s">
        <v>198</v>
      </c>
      <c r="C2576" s="12" t="s">
        <v>474</v>
      </c>
      <c r="D2576" s="12" t="s">
        <v>4402</v>
      </c>
      <c r="E2576" s="12" t="s">
        <v>4403</v>
      </c>
      <c r="F2576" s="12" t="s">
        <v>32</v>
      </c>
      <c r="G2576" s="12" t="s">
        <v>32</v>
      </c>
      <c r="H2576" s="12" t="b">
        <v>1</v>
      </c>
      <c r="I2576" s="12" t="b">
        <v>1</v>
      </c>
      <c r="J2576" s="12" t="b">
        <v>0</v>
      </c>
      <c r="K2576" s="12" t="b">
        <v>0</v>
      </c>
      <c r="L2576" s="12">
        <v>436.09695310912758</v>
      </c>
      <c r="M2576" s="12">
        <v>279.09770132054479</v>
      </c>
      <c r="N2576" s="12">
        <v>4081.8230245237678</v>
      </c>
      <c r="O2576" s="12">
        <v>808.34025773909616</v>
      </c>
      <c r="P2576" s="12">
        <v>0.66974897094989516</v>
      </c>
      <c r="Q2576" s="12">
        <v>0.89500000000000002</v>
      </c>
      <c r="R2576" s="12">
        <v>0.74608148390036444</v>
      </c>
      <c r="S2576" s="12">
        <v>0.67773110852065166</v>
      </c>
      <c r="T2576" s="12">
        <v>0.94152981924933021</v>
      </c>
      <c r="U2576" s="12">
        <v>0.84182625850716208</v>
      </c>
      <c r="V2576" s="12">
        <v>279.09770132054479</v>
      </c>
      <c r="W2576" s="12">
        <v>13.28573013684065</v>
      </c>
      <c r="X2576" s="12">
        <v>95.371329433370718</v>
      </c>
      <c r="Y2576" s="12">
        <v>3273.4827667846721</v>
      </c>
      <c r="Z2576" s="12">
        <v>5.0496347119225584</v>
      </c>
      <c r="AA2576" s="12"/>
      <c r="AB2576" s="12"/>
    </row>
    <row r="2577" spans="1:28" x14ac:dyDescent="0.3">
      <c r="A2577" s="12" t="s">
        <v>4493</v>
      </c>
      <c r="B2577" s="12" t="s">
        <v>198</v>
      </c>
      <c r="C2577" s="12" t="s">
        <v>474</v>
      </c>
      <c r="D2577" s="12" t="s">
        <v>4402</v>
      </c>
      <c r="E2577" s="12" t="s">
        <v>4403</v>
      </c>
      <c r="F2577" s="12" t="s">
        <v>32</v>
      </c>
      <c r="G2577" s="12" t="s">
        <v>32</v>
      </c>
      <c r="H2577" s="12" t="b">
        <v>1</v>
      </c>
      <c r="I2577" s="12" t="b">
        <v>1</v>
      </c>
      <c r="J2577" s="12" t="b">
        <v>0</v>
      </c>
      <c r="K2577" s="12" t="b">
        <v>0</v>
      </c>
      <c r="L2577" s="12">
        <v>436.09695310912758</v>
      </c>
      <c r="M2577" s="12">
        <v>279.09770132054479</v>
      </c>
      <c r="N2577" s="12">
        <v>4081.8230245237678</v>
      </c>
      <c r="O2577" s="12">
        <v>808.34025773909616</v>
      </c>
      <c r="P2577" s="12">
        <v>0.66974897094989516</v>
      </c>
      <c r="Q2577" s="12">
        <v>0.95</v>
      </c>
      <c r="R2577" s="12">
        <v>0.80108148390036438</v>
      </c>
      <c r="S2577" s="12">
        <v>0.67773110852065166</v>
      </c>
      <c r="T2577" s="12">
        <v>0.94152981924933021</v>
      </c>
      <c r="U2577" s="12">
        <v>0.84182625850716208</v>
      </c>
      <c r="V2577" s="12">
        <v>279.09770132054479</v>
      </c>
      <c r="W2577" s="12">
        <v>14.19317411018851</v>
      </c>
      <c r="X2577" s="12">
        <v>101.9572130862894</v>
      </c>
      <c r="Y2577" s="12">
        <v>3273.4827667846721</v>
      </c>
      <c r="Z2577" s="12">
        <v>5.0496347119225584</v>
      </c>
      <c r="AA2577" s="12"/>
      <c r="AB2577" s="12"/>
    </row>
    <row r="2578" spans="1:28" x14ac:dyDescent="0.3">
      <c r="A2578" s="12" t="s">
        <v>4494</v>
      </c>
      <c r="B2578" s="12" t="s">
        <v>198</v>
      </c>
      <c r="C2578" s="12" t="s">
        <v>474</v>
      </c>
      <c r="D2578" s="12" t="s">
        <v>4402</v>
      </c>
      <c r="E2578" s="12" t="s">
        <v>4403</v>
      </c>
      <c r="F2578" s="12" t="s">
        <v>32</v>
      </c>
      <c r="G2578" s="12" t="s">
        <v>32</v>
      </c>
      <c r="H2578" s="12" t="b">
        <v>1</v>
      </c>
      <c r="I2578" s="12" t="b">
        <v>1</v>
      </c>
      <c r="J2578" s="12" t="b">
        <v>0</v>
      </c>
      <c r="K2578" s="12" t="b">
        <v>0</v>
      </c>
      <c r="L2578" s="12">
        <v>436.09695310912758</v>
      </c>
      <c r="M2578" s="12">
        <v>279.09770132054479</v>
      </c>
      <c r="N2578" s="12">
        <v>4081.8230245237678</v>
      </c>
      <c r="O2578" s="12">
        <v>808.34025773909616</v>
      </c>
      <c r="P2578" s="12">
        <v>0.66974897094989516</v>
      </c>
      <c r="Q2578" s="12">
        <v>0.95</v>
      </c>
      <c r="R2578" s="12">
        <v>0.69108148390036439</v>
      </c>
      <c r="S2578" s="12">
        <v>0.67773110852065166</v>
      </c>
      <c r="T2578" s="12">
        <v>0.94152981924933021</v>
      </c>
      <c r="U2578" s="12">
        <v>0.84182625850716208</v>
      </c>
      <c r="V2578" s="12">
        <v>279.09770132054479</v>
      </c>
      <c r="W2578" s="12">
        <v>14.081911659251491</v>
      </c>
      <c r="X2578" s="12">
        <v>101.1133748968718</v>
      </c>
      <c r="Y2578" s="12">
        <v>3273.4827667846721</v>
      </c>
      <c r="Z2578" s="12">
        <v>5.0496347119225584</v>
      </c>
      <c r="AA2578" s="12"/>
      <c r="AB2578" s="12"/>
    </row>
    <row r="2579" spans="1:28" x14ac:dyDescent="0.3">
      <c r="A2579" s="12" t="s">
        <v>4495</v>
      </c>
      <c r="B2579" s="12" t="s">
        <v>198</v>
      </c>
      <c r="C2579" s="12" t="s">
        <v>474</v>
      </c>
      <c r="D2579" s="12" t="s">
        <v>4402</v>
      </c>
      <c r="E2579" s="12" t="s">
        <v>4403</v>
      </c>
      <c r="F2579" s="12" t="s">
        <v>32</v>
      </c>
      <c r="G2579" s="12" t="s">
        <v>32</v>
      </c>
      <c r="H2579" s="12" t="b">
        <v>1</v>
      </c>
      <c r="I2579" s="12" t="b">
        <v>1</v>
      </c>
      <c r="J2579" s="12" t="b">
        <v>0</v>
      </c>
      <c r="K2579" s="12" t="b">
        <v>0</v>
      </c>
      <c r="L2579" s="12">
        <v>436.09695310912758</v>
      </c>
      <c r="M2579" s="12">
        <v>279.09770132054479</v>
      </c>
      <c r="N2579" s="12">
        <v>4081.8230245237678</v>
      </c>
      <c r="O2579" s="12">
        <v>808.34025773909616</v>
      </c>
      <c r="P2579" s="12">
        <v>0.66974897094989516</v>
      </c>
      <c r="Q2579" s="12">
        <v>0.95</v>
      </c>
      <c r="R2579" s="12">
        <v>0.74608148390036444</v>
      </c>
      <c r="S2579" s="12">
        <v>0.7327311085206516</v>
      </c>
      <c r="T2579" s="12">
        <v>0.94152981924933021</v>
      </c>
      <c r="U2579" s="12">
        <v>0.84182625850716208</v>
      </c>
      <c r="V2579" s="12">
        <v>279.09770132054479</v>
      </c>
      <c r="W2579" s="12">
        <v>14.262813787257389</v>
      </c>
      <c r="X2579" s="12">
        <v>110.9042907194865</v>
      </c>
      <c r="Y2579" s="12">
        <v>3273.4827667846721</v>
      </c>
      <c r="Z2579" s="12">
        <v>5.0496347119225584</v>
      </c>
      <c r="AA2579" s="12"/>
      <c r="AB2579" s="12"/>
    </row>
    <row r="2580" spans="1:28" x14ac:dyDescent="0.3">
      <c r="A2580" s="12" t="s">
        <v>4496</v>
      </c>
      <c r="B2580" s="12" t="s">
        <v>198</v>
      </c>
      <c r="C2580" s="12" t="s">
        <v>474</v>
      </c>
      <c r="D2580" s="12" t="s">
        <v>4402</v>
      </c>
      <c r="E2580" s="12" t="s">
        <v>4403</v>
      </c>
      <c r="F2580" s="12" t="s">
        <v>32</v>
      </c>
      <c r="G2580" s="12" t="s">
        <v>32</v>
      </c>
      <c r="H2580" s="12" t="b">
        <v>1</v>
      </c>
      <c r="I2580" s="12" t="b">
        <v>1</v>
      </c>
      <c r="J2580" s="12" t="b">
        <v>0</v>
      </c>
      <c r="K2580" s="12" t="b">
        <v>0</v>
      </c>
      <c r="L2580" s="12">
        <v>436.09695310912758</v>
      </c>
      <c r="M2580" s="12">
        <v>279.09770132054479</v>
      </c>
      <c r="N2580" s="12">
        <v>4081.8230245237678</v>
      </c>
      <c r="O2580" s="12">
        <v>808.34025773909616</v>
      </c>
      <c r="P2580" s="12">
        <v>0.66974897094989516</v>
      </c>
      <c r="Q2580" s="12">
        <v>0.95</v>
      </c>
      <c r="R2580" s="12">
        <v>0.74608148390036444</v>
      </c>
      <c r="S2580" s="12">
        <v>0.62273110852065172</v>
      </c>
      <c r="T2580" s="12">
        <v>0.94152981924933021</v>
      </c>
      <c r="U2580" s="12">
        <v>0.84182625850716208</v>
      </c>
      <c r="V2580" s="12">
        <v>279.09770132054479</v>
      </c>
      <c r="W2580" s="12">
        <v>13.98198341276855</v>
      </c>
      <c r="X2580" s="12">
        <v>92.148887646887061</v>
      </c>
      <c r="Y2580" s="12">
        <v>3273.4827667846721</v>
      </c>
      <c r="Z2580" s="12">
        <v>5.0496347119225584</v>
      </c>
      <c r="AA2580" s="12"/>
      <c r="AB2580" s="12"/>
    </row>
    <row r="2581" spans="1:28" x14ac:dyDescent="0.3">
      <c r="A2581" s="12" t="s">
        <v>4497</v>
      </c>
      <c r="B2581" s="12" t="s">
        <v>198</v>
      </c>
      <c r="C2581" s="12" t="s">
        <v>474</v>
      </c>
      <c r="D2581" s="12" t="s">
        <v>4402</v>
      </c>
      <c r="E2581" s="12" t="s">
        <v>4403</v>
      </c>
      <c r="F2581" s="12" t="s">
        <v>32</v>
      </c>
      <c r="G2581" s="12" t="s">
        <v>32</v>
      </c>
      <c r="H2581" s="12" t="b">
        <v>1</v>
      </c>
      <c r="I2581" s="12" t="b">
        <v>1</v>
      </c>
      <c r="J2581" s="12" t="b">
        <v>0</v>
      </c>
      <c r="K2581" s="12" t="b">
        <v>0</v>
      </c>
      <c r="L2581" s="12">
        <v>436.09695310912758</v>
      </c>
      <c r="M2581" s="12">
        <v>279.09770132054479</v>
      </c>
      <c r="N2581" s="12">
        <v>4081.8230245237678</v>
      </c>
      <c r="O2581" s="12">
        <v>808.34025773909616</v>
      </c>
      <c r="P2581" s="12">
        <v>0.66974897094989516</v>
      </c>
      <c r="Q2581" s="12">
        <v>0.95</v>
      </c>
      <c r="R2581" s="12">
        <v>0.74608148390036444</v>
      </c>
      <c r="S2581" s="12">
        <v>0.67773110852065166</v>
      </c>
      <c r="T2581" s="12">
        <v>0.95</v>
      </c>
      <c r="U2581" s="12">
        <v>0.84182625850716208</v>
      </c>
      <c r="V2581" s="12">
        <v>279.09770132054479</v>
      </c>
      <c r="W2581" s="12">
        <v>14.18786987958668</v>
      </c>
      <c r="X2581" s="12">
        <v>101.68377740510439</v>
      </c>
      <c r="Y2581" s="12">
        <v>3273.4827667846721</v>
      </c>
      <c r="Z2581" s="12">
        <v>5.0496347119225584</v>
      </c>
      <c r="AA2581" s="12"/>
      <c r="AB2581" s="12"/>
    </row>
    <row r="2582" spans="1:28" x14ac:dyDescent="0.3">
      <c r="A2582" s="12" t="s">
        <v>4498</v>
      </c>
      <c r="B2582" s="12" t="s">
        <v>198</v>
      </c>
      <c r="C2582" s="12" t="s">
        <v>474</v>
      </c>
      <c r="D2582" s="12" t="s">
        <v>4402</v>
      </c>
      <c r="E2582" s="12" t="s">
        <v>4403</v>
      </c>
      <c r="F2582" s="12" t="s">
        <v>32</v>
      </c>
      <c r="G2582" s="12" t="s">
        <v>32</v>
      </c>
      <c r="H2582" s="12" t="b">
        <v>1</v>
      </c>
      <c r="I2582" s="12" t="b">
        <v>1</v>
      </c>
      <c r="J2582" s="12" t="b">
        <v>0</v>
      </c>
      <c r="K2582" s="12" t="b">
        <v>0</v>
      </c>
      <c r="L2582" s="12">
        <v>436.09695310912758</v>
      </c>
      <c r="M2582" s="12">
        <v>279.09770132054479</v>
      </c>
      <c r="N2582" s="12">
        <v>4081.8230245237678</v>
      </c>
      <c r="O2582" s="12">
        <v>808.34025773909616</v>
      </c>
      <c r="P2582" s="12">
        <v>0.66974897094989516</v>
      </c>
      <c r="Q2582" s="12">
        <v>0.95</v>
      </c>
      <c r="R2582" s="12">
        <v>0.74608148390036444</v>
      </c>
      <c r="S2582" s="12">
        <v>0.67773110852065166</v>
      </c>
      <c r="T2582" s="12">
        <v>0.88652981924933028</v>
      </c>
      <c r="U2582" s="12">
        <v>0.84182625850716208</v>
      </c>
      <c r="V2582" s="12">
        <v>279.09770132054479</v>
      </c>
      <c r="W2582" s="12">
        <v>13.846676495397899</v>
      </c>
      <c r="X2582" s="12">
        <v>100.8051236649019</v>
      </c>
      <c r="Y2582" s="12">
        <v>3273.4827667846721</v>
      </c>
      <c r="Z2582" s="12">
        <v>5.0496347119225584</v>
      </c>
      <c r="AA2582" s="12"/>
      <c r="AB2582" s="12"/>
    </row>
    <row r="2583" spans="1:28" x14ac:dyDescent="0.3">
      <c r="A2583" s="12" t="s">
        <v>4499</v>
      </c>
      <c r="B2583" s="12" t="s">
        <v>198</v>
      </c>
      <c r="C2583" s="12" t="s">
        <v>474</v>
      </c>
      <c r="D2583" s="12" t="s">
        <v>4402</v>
      </c>
      <c r="E2583" s="12" t="s">
        <v>4403</v>
      </c>
      <c r="F2583" s="12" t="s">
        <v>32</v>
      </c>
      <c r="G2583" s="12" t="s">
        <v>32</v>
      </c>
      <c r="H2583" s="12" t="b">
        <v>1</v>
      </c>
      <c r="I2583" s="12" t="b">
        <v>1</v>
      </c>
      <c r="J2583" s="12" t="b">
        <v>0</v>
      </c>
      <c r="K2583" s="12" t="b">
        <v>0</v>
      </c>
      <c r="L2583" s="12">
        <v>436.09695310912758</v>
      </c>
      <c r="M2583" s="12">
        <v>279.09770132054479</v>
      </c>
      <c r="N2583" s="12">
        <v>4081.8230245237678</v>
      </c>
      <c r="O2583" s="12">
        <v>808.34025773909616</v>
      </c>
      <c r="P2583" s="12">
        <v>0.66974897094989516</v>
      </c>
      <c r="Q2583" s="12">
        <v>0.95</v>
      </c>
      <c r="R2583" s="12">
        <v>0.74608148390036444</v>
      </c>
      <c r="S2583" s="12">
        <v>0.67773110852065166</v>
      </c>
      <c r="T2583" s="12">
        <v>0.94152981924933021</v>
      </c>
      <c r="U2583" s="12">
        <v>0.89682625850716202</v>
      </c>
      <c r="V2583" s="12">
        <v>279.09770132054479</v>
      </c>
      <c r="W2583" s="12">
        <v>13.732202273451881</v>
      </c>
      <c r="X2583" s="12">
        <v>100.55743096444461</v>
      </c>
      <c r="Y2583" s="12">
        <v>3273.4827667846721</v>
      </c>
      <c r="Z2583" s="12">
        <v>5.0496347119225584</v>
      </c>
      <c r="AA2583" s="12"/>
      <c r="AB2583" s="12"/>
    </row>
    <row r="2584" spans="1:28" x14ac:dyDescent="0.3">
      <c r="A2584" s="12" t="s">
        <v>4500</v>
      </c>
      <c r="B2584" s="12" t="s">
        <v>198</v>
      </c>
      <c r="C2584" s="12" t="s">
        <v>474</v>
      </c>
      <c r="D2584" s="12" t="s">
        <v>4402</v>
      </c>
      <c r="E2584" s="12" t="s">
        <v>4403</v>
      </c>
      <c r="F2584" s="12" t="s">
        <v>1861</v>
      </c>
      <c r="G2584" s="12" t="s">
        <v>1861</v>
      </c>
      <c r="H2584" s="12" t="b">
        <v>1</v>
      </c>
      <c r="I2584" s="12" t="b">
        <v>0</v>
      </c>
      <c r="J2584" s="12" t="b">
        <v>0</v>
      </c>
      <c r="K2584" s="12" t="b">
        <v>0</v>
      </c>
      <c r="L2584" s="12">
        <v>436.09695310912758</v>
      </c>
      <c r="M2584" s="12">
        <v>279.09770132054479</v>
      </c>
      <c r="N2584" s="12">
        <v>4081.8230245237678</v>
      </c>
      <c r="O2584" s="12">
        <v>808.34025773909616</v>
      </c>
      <c r="P2584" s="12">
        <v>0.66974897094989516</v>
      </c>
      <c r="Q2584" s="12">
        <v>0.95</v>
      </c>
      <c r="R2584" s="12">
        <v>0.74608148390036444</v>
      </c>
      <c r="S2584" s="12">
        <v>0.67773110852065166</v>
      </c>
      <c r="T2584" s="12">
        <v>0.94152981924933021</v>
      </c>
      <c r="U2584" s="12">
        <v>0.78682625850716215</v>
      </c>
      <c r="V2584" s="12">
        <v>279.09770132054479</v>
      </c>
      <c r="W2584" s="12">
        <v>14.56465090437648</v>
      </c>
      <c r="X2584" s="12">
        <v>102.33720429231479</v>
      </c>
      <c r="Y2584" s="12">
        <v>3273.4827667846721</v>
      </c>
      <c r="Z2584" s="12">
        <v>5.0496347119225584</v>
      </c>
      <c r="AA2584" s="12" t="s">
        <v>1268</v>
      </c>
      <c r="AB2584" s="12"/>
    </row>
    <row r="2585" spans="1:28" x14ac:dyDescent="0.3">
      <c r="A2585" s="12" t="s">
        <v>4501</v>
      </c>
      <c r="B2585" s="12" t="s">
        <v>198</v>
      </c>
      <c r="C2585" s="12" t="s">
        <v>474</v>
      </c>
      <c r="D2585" s="12" t="s">
        <v>4402</v>
      </c>
      <c r="E2585" s="12" t="s">
        <v>4403</v>
      </c>
      <c r="F2585" s="12" t="s">
        <v>32</v>
      </c>
      <c r="G2585" s="12" t="s">
        <v>32</v>
      </c>
      <c r="H2585" s="12" t="b">
        <v>1</v>
      </c>
      <c r="I2585" s="12" t="b">
        <v>0</v>
      </c>
      <c r="J2585" s="12" t="b">
        <v>1</v>
      </c>
      <c r="K2585" s="12" t="b">
        <v>0</v>
      </c>
      <c r="L2585" s="12">
        <v>448.09695310912758</v>
      </c>
      <c r="M2585" s="12">
        <v>279.09770132054479</v>
      </c>
      <c r="N2585" s="12">
        <v>4381.8230245237683</v>
      </c>
      <c r="O2585" s="12">
        <v>808.34025773909616</v>
      </c>
      <c r="P2585" s="12">
        <v>0.66974897094989516</v>
      </c>
      <c r="Q2585" s="12">
        <v>0.95</v>
      </c>
      <c r="R2585" s="12">
        <v>0.74608148390036444</v>
      </c>
      <c r="S2585" s="12">
        <v>0.67773110852065166</v>
      </c>
      <c r="T2585" s="12">
        <v>0.94152981924933021</v>
      </c>
      <c r="U2585" s="12">
        <v>0.84182625850716208</v>
      </c>
      <c r="V2585" s="12">
        <v>279.09770132054479</v>
      </c>
      <c r="W2585" s="12">
        <v>14.83744144512735</v>
      </c>
      <c r="X2585" s="12">
        <v>121.9172359410215</v>
      </c>
      <c r="Y2585" s="12">
        <v>3573.4827667846721</v>
      </c>
      <c r="Z2585" s="12">
        <v>5.4207655533322043</v>
      </c>
      <c r="AA2585" s="12"/>
      <c r="AB2585" s="12"/>
    </row>
    <row r="2586" spans="1:28" x14ac:dyDescent="0.3">
      <c r="A2586" s="12" t="s">
        <v>4502</v>
      </c>
      <c r="B2586" s="12" t="s">
        <v>198</v>
      </c>
      <c r="C2586" s="12" t="s">
        <v>474</v>
      </c>
      <c r="D2586" s="12" t="s">
        <v>4402</v>
      </c>
      <c r="E2586" s="12" t="s">
        <v>4403</v>
      </c>
      <c r="F2586" s="12" t="s">
        <v>32</v>
      </c>
      <c r="G2586" s="12" t="s">
        <v>32</v>
      </c>
      <c r="H2586" s="12" t="b">
        <v>1</v>
      </c>
      <c r="I2586" s="12" t="b">
        <v>1</v>
      </c>
      <c r="J2586" s="12" t="b">
        <v>0</v>
      </c>
      <c r="K2586" s="12" t="b">
        <v>0</v>
      </c>
      <c r="L2586" s="12">
        <v>424.09695310912758</v>
      </c>
      <c r="M2586" s="12">
        <v>279.09770132054479</v>
      </c>
      <c r="N2586" s="12">
        <v>4381.8230245237683</v>
      </c>
      <c r="O2586" s="12">
        <v>808.34025773909616</v>
      </c>
      <c r="P2586" s="12">
        <v>0.66974897094989516</v>
      </c>
      <c r="Q2586" s="12">
        <v>0.95</v>
      </c>
      <c r="R2586" s="12">
        <v>0.74608148390036444</v>
      </c>
      <c r="S2586" s="12">
        <v>0.67773110852065166</v>
      </c>
      <c r="T2586" s="12">
        <v>0.94152981924933021</v>
      </c>
      <c r="U2586" s="12">
        <v>0.84182625850716208</v>
      </c>
      <c r="V2586" s="12">
        <v>279.09770132054479</v>
      </c>
      <c r="W2586" s="12">
        <v>14.059168918436351</v>
      </c>
      <c r="X2586" s="12">
        <v>78.316618669155176</v>
      </c>
      <c r="Y2586" s="12">
        <v>3573.4827667846721</v>
      </c>
      <c r="Z2586" s="12">
        <v>5.4207655533322043</v>
      </c>
      <c r="AA2586" s="12"/>
      <c r="AB2586" s="12"/>
    </row>
    <row r="2587" spans="1:28" x14ac:dyDescent="0.3">
      <c r="A2587" s="12" t="s">
        <v>4503</v>
      </c>
      <c r="B2587" s="12" t="s">
        <v>198</v>
      </c>
      <c r="C2587" s="12" t="s">
        <v>474</v>
      </c>
      <c r="D2587" s="12" t="s">
        <v>4402</v>
      </c>
      <c r="E2587" s="12" t="s">
        <v>4403</v>
      </c>
      <c r="F2587" s="12" t="s">
        <v>32</v>
      </c>
      <c r="G2587" s="12" t="s">
        <v>32</v>
      </c>
      <c r="H2587" s="12" t="b">
        <v>1</v>
      </c>
      <c r="I2587" s="12" t="b">
        <v>1</v>
      </c>
      <c r="J2587" s="12" t="b">
        <v>0</v>
      </c>
      <c r="K2587" s="12" t="b">
        <v>0</v>
      </c>
      <c r="L2587" s="12">
        <v>436.09695310912758</v>
      </c>
      <c r="M2587" s="12">
        <v>281.63770132054481</v>
      </c>
      <c r="N2587" s="12">
        <v>4381.8230245237683</v>
      </c>
      <c r="O2587" s="12">
        <v>808.34025773909616</v>
      </c>
      <c r="P2587" s="12">
        <v>0.66974897094989516</v>
      </c>
      <c r="Q2587" s="12">
        <v>0.95</v>
      </c>
      <c r="R2587" s="12">
        <v>0.74608148390036444</v>
      </c>
      <c r="S2587" s="12">
        <v>0.67773110852065166</v>
      </c>
      <c r="T2587" s="12">
        <v>0.94152981924933021</v>
      </c>
      <c r="U2587" s="12">
        <v>0.84182625850716208</v>
      </c>
      <c r="V2587" s="12">
        <v>281.63770132054481</v>
      </c>
      <c r="W2587" s="12">
        <v>14.644669449230779</v>
      </c>
      <c r="X2587" s="12">
        <v>99.065417622167161</v>
      </c>
      <c r="Y2587" s="12">
        <v>3573.4827667846721</v>
      </c>
      <c r="Z2587" s="12">
        <v>5.4207655533322043</v>
      </c>
      <c r="AA2587" s="12"/>
      <c r="AB2587" s="12"/>
    </row>
    <row r="2588" spans="1:28" x14ac:dyDescent="0.3">
      <c r="A2588" s="12" t="s">
        <v>4504</v>
      </c>
      <c r="B2588" s="12" t="s">
        <v>198</v>
      </c>
      <c r="C2588" s="12" t="s">
        <v>474</v>
      </c>
      <c r="D2588" s="12" t="s">
        <v>4402</v>
      </c>
      <c r="E2588" s="12" t="s">
        <v>4403</v>
      </c>
      <c r="F2588" s="12" t="s">
        <v>32</v>
      </c>
      <c r="G2588" s="12" t="s">
        <v>32</v>
      </c>
      <c r="H2588" s="12" t="b">
        <v>1</v>
      </c>
      <c r="I2588" s="12" t="b">
        <v>1</v>
      </c>
      <c r="J2588" s="12" t="b">
        <v>0</v>
      </c>
      <c r="K2588" s="12" t="b">
        <v>0</v>
      </c>
      <c r="L2588" s="12">
        <v>436.09695310912758</v>
      </c>
      <c r="M2588" s="12">
        <v>278.14999999999998</v>
      </c>
      <c r="N2588" s="12">
        <v>4381.8230245237683</v>
      </c>
      <c r="O2588" s="12">
        <v>808.34025773909616</v>
      </c>
      <c r="P2588" s="12">
        <v>0.66974897094989516</v>
      </c>
      <c r="Q2588" s="12">
        <v>0.95</v>
      </c>
      <c r="R2588" s="12">
        <v>0.74608148390036444</v>
      </c>
      <c r="S2588" s="12">
        <v>0.67773110852065166</v>
      </c>
      <c r="T2588" s="12">
        <v>0.94152981924933021</v>
      </c>
      <c r="U2588" s="12">
        <v>0.84182625850716208</v>
      </c>
      <c r="V2588" s="12">
        <v>278.14999999999998</v>
      </c>
      <c r="W2588" s="12">
        <v>14.48840468674088</v>
      </c>
      <c r="X2588" s="12">
        <v>98.70350101241938</v>
      </c>
      <c r="Y2588" s="12">
        <v>3573.4827667846721</v>
      </c>
      <c r="Z2588" s="12">
        <v>5.4207655533322043</v>
      </c>
      <c r="AA2588" s="12"/>
      <c r="AB2588" s="12"/>
    </row>
    <row r="2589" spans="1:28" x14ac:dyDescent="0.3">
      <c r="A2589" s="12" t="s">
        <v>4505</v>
      </c>
      <c r="B2589" s="12" t="s">
        <v>198</v>
      </c>
      <c r="C2589" s="12" t="s">
        <v>474</v>
      </c>
      <c r="D2589" s="12" t="s">
        <v>4402</v>
      </c>
      <c r="E2589" s="12" t="s">
        <v>4403</v>
      </c>
      <c r="F2589" s="12" t="s">
        <v>32</v>
      </c>
      <c r="G2589" s="12" t="s">
        <v>32</v>
      </c>
      <c r="H2589" s="12" t="b">
        <v>1</v>
      </c>
      <c r="I2589" s="12" t="b">
        <v>1</v>
      </c>
      <c r="J2589" s="12" t="b">
        <v>0</v>
      </c>
      <c r="K2589" s="12" t="b">
        <v>0</v>
      </c>
      <c r="L2589" s="12">
        <v>436.09695310912758</v>
      </c>
      <c r="M2589" s="12">
        <v>279.09770132054479</v>
      </c>
      <c r="N2589" s="12">
        <v>4681.8230245237683</v>
      </c>
      <c r="O2589" s="12">
        <v>808.34025773909616</v>
      </c>
      <c r="P2589" s="12">
        <v>0.66974897094989516</v>
      </c>
      <c r="Q2589" s="12">
        <v>0.95</v>
      </c>
      <c r="R2589" s="12">
        <v>0.74608148390036444</v>
      </c>
      <c r="S2589" s="12">
        <v>0.67773110852065166</v>
      </c>
      <c r="T2589" s="12">
        <v>0.94152981924933021</v>
      </c>
      <c r="U2589" s="12">
        <v>0.84182625850716208</v>
      </c>
      <c r="V2589" s="12">
        <v>279.09770132054479</v>
      </c>
      <c r="W2589" s="12">
        <v>14.85046010808612</v>
      </c>
      <c r="X2589" s="12">
        <v>95.626821695078675</v>
      </c>
      <c r="Y2589" s="12">
        <v>3873.4827667846721</v>
      </c>
      <c r="Z2589" s="12">
        <v>5.7918963947418494</v>
      </c>
      <c r="AA2589" s="12"/>
      <c r="AB2589" s="12"/>
    </row>
    <row r="2590" spans="1:28" x14ac:dyDescent="0.3">
      <c r="A2590" s="12" t="s">
        <v>4506</v>
      </c>
      <c r="B2590" s="12" t="s">
        <v>198</v>
      </c>
      <c r="C2590" s="12" t="s">
        <v>474</v>
      </c>
      <c r="D2590" s="12" t="s">
        <v>4402</v>
      </c>
      <c r="E2590" s="12" t="s">
        <v>4403</v>
      </c>
      <c r="F2590" s="12" t="s">
        <v>32</v>
      </c>
      <c r="G2590" s="12" t="s">
        <v>32</v>
      </c>
      <c r="H2590" s="12" t="b">
        <v>1</v>
      </c>
      <c r="I2590" s="12" t="b">
        <v>1</v>
      </c>
      <c r="J2590" s="12" t="b">
        <v>0</v>
      </c>
      <c r="K2590" s="12" t="b">
        <v>0</v>
      </c>
      <c r="L2590" s="12">
        <v>436.09695310912758</v>
      </c>
      <c r="M2590" s="12">
        <v>279.09770132054479</v>
      </c>
      <c r="N2590" s="12">
        <v>4081.8230245237678</v>
      </c>
      <c r="O2590" s="12">
        <v>808.34025773909616</v>
      </c>
      <c r="P2590" s="12">
        <v>0.66974897094989516</v>
      </c>
      <c r="Q2590" s="12">
        <v>0.95</v>
      </c>
      <c r="R2590" s="12">
        <v>0.74608148390036444</v>
      </c>
      <c r="S2590" s="12">
        <v>0.67773110852065166</v>
      </c>
      <c r="T2590" s="12">
        <v>0.94152981924933021</v>
      </c>
      <c r="U2590" s="12">
        <v>0.84182625850716208</v>
      </c>
      <c r="V2590" s="12">
        <v>279.09770132054479</v>
      </c>
      <c r="W2590" s="12">
        <v>14.14165667155382</v>
      </c>
      <c r="X2590" s="12">
        <v>101.56640304871171</v>
      </c>
      <c r="Y2590" s="12">
        <v>3273.4827667846721</v>
      </c>
      <c r="Z2590" s="12">
        <v>5.0496347119225584</v>
      </c>
      <c r="AA2590" s="12"/>
      <c r="AB2590" s="12"/>
    </row>
    <row r="2591" spans="1:28" x14ac:dyDescent="0.3">
      <c r="A2591" s="12" t="s">
        <v>4507</v>
      </c>
      <c r="B2591" s="12" t="s">
        <v>198</v>
      </c>
      <c r="C2591" s="12" t="s">
        <v>474</v>
      </c>
      <c r="D2591" s="12" t="s">
        <v>4402</v>
      </c>
      <c r="E2591" s="12" t="s">
        <v>4403</v>
      </c>
      <c r="F2591" s="12" t="s">
        <v>32</v>
      </c>
      <c r="G2591" s="12" t="s">
        <v>32</v>
      </c>
      <c r="H2591" s="12" t="b">
        <v>1</v>
      </c>
      <c r="I2591" s="12" t="b">
        <v>1</v>
      </c>
      <c r="J2591" s="12" t="b">
        <v>0</v>
      </c>
      <c r="K2591" s="12" t="b">
        <v>0</v>
      </c>
      <c r="L2591" s="12">
        <v>436.09695310912758</v>
      </c>
      <c r="M2591" s="12">
        <v>279.09770132054479</v>
      </c>
      <c r="N2591" s="12">
        <v>4381.8230245237683</v>
      </c>
      <c r="O2591" s="12">
        <v>1028.3402577390959</v>
      </c>
      <c r="P2591" s="12">
        <v>0.66974897094989516</v>
      </c>
      <c r="Q2591" s="12">
        <v>0.95</v>
      </c>
      <c r="R2591" s="12">
        <v>0.74608148390036444</v>
      </c>
      <c r="S2591" s="12">
        <v>0.67773110852065166</v>
      </c>
      <c r="T2591" s="12">
        <v>0.94152981924933021</v>
      </c>
      <c r="U2591" s="12">
        <v>0.84182625850716208</v>
      </c>
      <c r="V2591" s="12">
        <v>279.09770132054479</v>
      </c>
      <c r="W2591" s="12">
        <v>12.57879252283329</v>
      </c>
      <c r="X2591" s="12">
        <v>85.445679112165422</v>
      </c>
      <c r="Y2591" s="12">
        <v>3353.4827667846721</v>
      </c>
      <c r="Z2591" s="12">
        <v>4.2610633898138177</v>
      </c>
      <c r="AA2591" s="12"/>
      <c r="AB2591" s="12"/>
    </row>
    <row r="2592" spans="1:28" x14ac:dyDescent="0.3">
      <c r="A2592" s="12" t="s">
        <v>4508</v>
      </c>
      <c r="B2592" s="12" t="s">
        <v>198</v>
      </c>
      <c r="C2592" s="12" t="s">
        <v>474</v>
      </c>
      <c r="D2592" s="12" t="s">
        <v>4402</v>
      </c>
      <c r="E2592" s="12" t="s">
        <v>4403</v>
      </c>
      <c r="F2592" s="12" t="s">
        <v>1861</v>
      </c>
      <c r="G2592" s="12" t="s">
        <v>1861</v>
      </c>
      <c r="H2592" s="12" t="b">
        <v>1</v>
      </c>
      <c r="I2592" s="12" t="b">
        <v>0</v>
      </c>
      <c r="J2592" s="12" t="b">
        <v>0</v>
      </c>
      <c r="K2592" s="12" t="b">
        <v>0</v>
      </c>
      <c r="L2592" s="12">
        <v>436.09695310912758</v>
      </c>
      <c r="M2592" s="12">
        <v>279.09770132054479</v>
      </c>
      <c r="N2592" s="12">
        <v>4381.8230245237683</v>
      </c>
      <c r="O2592" s="12">
        <v>588.34025773909616</v>
      </c>
      <c r="P2592" s="12">
        <v>0.66974897094989516</v>
      </c>
      <c r="Q2592" s="12">
        <v>0.95</v>
      </c>
      <c r="R2592" s="12">
        <v>0.74608148390036444</v>
      </c>
      <c r="S2592" s="12">
        <v>0.67773110852065166</v>
      </c>
      <c r="T2592" s="12">
        <v>0.94152981924933021</v>
      </c>
      <c r="U2592" s="12">
        <v>0.84182625850716208</v>
      </c>
      <c r="V2592" s="12">
        <v>279.09770132054479</v>
      </c>
      <c r="W2592" s="12">
        <v>16.99429361408021</v>
      </c>
      <c r="X2592" s="12">
        <v>115.6917674296044</v>
      </c>
      <c r="Y2592" s="12">
        <v>3793.4827667846721</v>
      </c>
      <c r="Z2592" s="12">
        <v>7.4477701753105601</v>
      </c>
      <c r="AA2592" s="12" t="s">
        <v>1268</v>
      </c>
      <c r="AB2592" s="12"/>
    </row>
    <row r="2593" spans="1:28" x14ac:dyDescent="0.3">
      <c r="A2593" s="12" t="s">
        <v>4509</v>
      </c>
      <c r="B2593" s="12" t="s">
        <v>198</v>
      </c>
      <c r="C2593" s="12" t="s">
        <v>474</v>
      </c>
      <c r="D2593" s="12" t="s">
        <v>4402</v>
      </c>
      <c r="E2593" s="12" t="s">
        <v>4403</v>
      </c>
      <c r="F2593" s="12" t="s">
        <v>32</v>
      </c>
      <c r="G2593" s="12" t="s">
        <v>32</v>
      </c>
      <c r="H2593" s="12" t="b">
        <v>1</v>
      </c>
      <c r="I2593" s="12" t="b">
        <v>1</v>
      </c>
      <c r="J2593" s="12" t="b">
        <v>0</v>
      </c>
      <c r="K2593" s="12" t="b">
        <v>0</v>
      </c>
      <c r="L2593" s="12">
        <v>436.09695310912758</v>
      </c>
      <c r="M2593" s="12">
        <v>279.09770132054479</v>
      </c>
      <c r="N2593" s="12">
        <v>4381.8230245237683</v>
      </c>
      <c r="O2593" s="12">
        <v>808.34025773909616</v>
      </c>
      <c r="P2593" s="12">
        <v>0.70474897094989508</v>
      </c>
      <c r="Q2593" s="12">
        <v>0.95</v>
      </c>
      <c r="R2593" s="12">
        <v>0.74608148390036444</v>
      </c>
      <c r="S2593" s="12">
        <v>0.67773110852065166</v>
      </c>
      <c r="T2593" s="12">
        <v>0.94152981924933021</v>
      </c>
      <c r="U2593" s="12">
        <v>0.84182625850716208</v>
      </c>
      <c r="V2593" s="12">
        <v>279.09770132054479</v>
      </c>
      <c r="W2593" s="12">
        <v>14.977938638259451</v>
      </c>
      <c r="X2593" s="12">
        <v>111.1205978072659</v>
      </c>
      <c r="Y2593" s="12">
        <v>3573.4827667846721</v>
      </c>
      <c r="Z2593" s="12">
        <v>5.4207655533322043</v>
      </c>
      <c r="AA2593" s="12"/>
      <c r="AB2593" s="12"/>
    </row>
    <row r="2594" spans="1:28" x14ac:dyDescent="0.3">
      <c r="A2594" s="12" t="s">
        <v>4510</v>
      </c>
      <c r="B2594" s="12" t="s">
        <v>198</v>
      </c>
      <c r="C2594" s="12" t="s">
        <v>474</v>
      </c>
      <c r="D2594" s="12" t="s">
        <v>4402</v>
      </c>
      <c r="E2594" s="12" t="s">
        <v>4403</v>
      </c>
      <c r="F2594" s="12" t="s">
        <v>32</v>
      </c>
      <c r="G2594" s="12" t="s">
        <v>32</v>
      </c>
      <c r="H2594" s="12" t="b">
        <v>1</v>
      </c>
      <c r="I2594" s="12" t="b">
        <v>1</v>
      </c>
      <c r="J2594" s="12" t="b">
        <v>0</v>
      </c>
      <c r="K2594" s="12" t="b">
        <v>0</v>
      </c>
      <c r="L2594" s="12">
        <v>436.09695310912758</v>
      </c>
      <c r="M2594" s="12">
        <v>279.09770132054479</v>
      </c>
      <c r="N2594" s="12">
        <v>4381.8230245237683</v>
      </c>
      <c r="O2594" s="12">
        <v>808.34025773909616</v>
      </c>
      <c r="P2594" s="12">
        <v>0.63474897094989513</v>
      </c>
      <c r="Q2594" s="12">
        <v>0.95</v>
      </c>
      <c r="R2594" s="12">
        <v>0.74608148390036444</v>
      </c>
      <c r="S2594" s="12">
        <v>0.67773110852065166</v>
      </c>
      <c r="T2594" s="12">
        <v>0.94152981924933021</v>
      </c>
      <c r="U2594" s="12">
        <v>0.84182625850716208</v>
      </c>
      <c r="V2594" s="12">
        <v>279.09770132054479</v>
      </c>
      <c r="W2594" s="12">
        <v>14.03959682892471</v>
      </c>
      <c r="X2594" s="12">
        <v>86.433791022310729</v>
      </c>
      <c r="Y2594" s="12">
        <v>3573.4827667846721</v>
      </c>
      <c r="Z2594" s="12">
        <v>5.4207655533322043</v>
      </c>
      <c r="AA2594" s="12"/>
      <c r="AB2594" s="12"/>
    </row>
    <row r="2595" spans="1:28" x14ac:dyDescent="0.3">
      <c r="A2595" s="12" t="s">
        <v>4511</v>
      </c>
      <c r="B2595" s="12" t="s">
        <v>198</v>
      </c>
      <c r="C2595" s="12" t="s">
        <v>474</v>
      </c>
      <c r="D2595" s="12" t="s">
        <v>4402</v>
      </c>
      <c r="E2595" s="12" t="s">
        <v>4403</v>
      </c>
      <c r="F2595" s="12" t="s">
        <v>32</v>
      </c>
      <c r="G2595" s="12" t="s">
        <v>32</v>
      </c>
      <c r="H2595" s="12" t="b">
        <v>1</v>
      </c>
      <c r="I2595" s="12" t="b">
        <v>1</v>
      </c>
      <c r="J2595" s="12" t="b">
        <v>0</v>
      </c>
      <c r="K2595" s="12" t="b">
        <v>0</v>
      </c>
      <c r="L2595" s="12">
        <v>436.09695310912758</v>
      </c>
      <c r="M2595" s="12">
        <v>279.09770132054479</v>
      </c>
      <c r="N2595" s="12">
        <v>4381.8230245237683</v>
      </c>
      <c r="O2595" s="12">
        <v>808.34025773909616</v>
      </c>
      <c r="P2595" s="12">
        <v>0.66974897094989516</v>
      </c>
      <c r="Q2595" s="12">
        <v>0.89500000000000002</v>
      </c>
      <c r="R2595" s="12">
        <v>0.74608148390036444</v>
      </c>
      <c r="S2595" s="12">
        <v>0.67773110852065166</v>
      </c>
      <c r="T2595" s="12">
        <v>0.94152981924933021</v>
      </c>
      <c r="U2595" s="12">
        <v>0.84182625850716208</v>
      </c>
      <c r="V2595" s="12">
        <v>279.09770132054479</v>
      </c>
      <c r="W2595" s="12">
        <v>13.645214305800829</v>
      </c>
      <c r="X2595" s="12">
        <v>92.735975099505396</v>
      </c>
      <c r="Y2595" s="12">
        <v>3573.4827667846721</v>
      </c>
      <c r="Z2595" s="12">
        <v>5.4207655533322043</v>
      </c>
      <c r="AA2595" s="12"/>
      <c r="AB2595" s="12"/>
    </row>
    <row r="2596" spans="1:28" x14ac:dyDescent="0.3">
      <c r="A2596" s="12" t="s">
        <v>4512</v>
      </c>
      <c r="B2596" s="12" t="s">
        <v>198</v>
      </c>
      <c r="C2596" s="12" t="s">
        <v>474</v>
      </c>
      <c r="D2596" s="12" t="s">
        <v>4402</v>
      </c>
      <c r="E2596" s="12" t="s">
        <v>4403</v>
      </c>
      <c r="F2596" s="12" t="s">
        <v>32</v>
      </c>
      <c r="G2596" s="12" t="s">
        <v>32</v>
      </c>
      <c r="H2596" s="12" t="b">
        <v>1</v>
      </c>
      <c r="I2596" s="12" t="b">
        <v>1</v>
      </c>
      <c r="J2596" s="12" t="b">
        <v>0</v>
      </c>
      <c r="K2596" s="12" t="b">
        <v>0</v>
      </c>
      <c r="L2596" s="12">
        <v>436.09695310912758</v>
      </c>
      <c r="M2596" s="12">
        <v>279.09770132054479</v>
      </c>
      <c r="N2596" s="12">
        <v>4381.8230245237683</v>
      </c>
      <c r="O2596" s="12">
        <v>808.34025773909616</v>
      </c>
      <c r="P2596" s="12">
        <v>0.66974897094989516</v>
      </c>
      <c r="Q2596" s="12">
        <v>0.95</v>
      </c>
      <c r="R2596" s="12">
        <v>0.80108148390036438</v>
      </c>
      <c r="S2596" s="12">
        <v>0.67773110852065166</v>
      </c>
      <c r="T2596" s="12">
        <v>0.94152981924933021</v>
      </c>
      <c r="U2596" s="12">
        <v>0.84182625850716208</v>
      </c>
      <c r="V2596" s="12">
        <v>279.09770132054479</v>
      </c>
      <c r="W2596" s="12">
        <v>14.589862125731431</v>
      </c>
      <c r="X2596" s="12">
        <v>99.227198775491161</v>
      </c>
      <c r="Y2596" s="12">
        <v>3573.4827667846721</v>
      </c>
      <c r="Z2596" s="12">
        <v>5.4207655533322043</v>
      </c>
      <c r="AA2596" s="12"/>
      <c r="AB2596" s="12"/>
    </row>
    <row r="2597" spans="1:28" x14ac:dyDescent="0.3">
      <c r="A2597" s="12" t="s">
        <v>4513</v>
      </c>
      <c r="B2597" s="12" t="s">
        <v>198</v>
      </c>
      <c r="C2597" s="12" t="s">
        <v>474</v>
      </c>
      <c r="D2597" s="12" t="s">
        <v>4402</v>
      </c>
      <c r="E2597" s="12" t="s">
        <v>4403</v>
      </c>
      <c r="F2597" s="12" t="s">
        <v>32</v>
      </c>
      <c r="G2597" s="12" t="s">
        <v>32</v>
      </c>
      <c r="H2597" s="12" t="b">
        <v>1</v>
      </c>
      <c r="I2597" s="12" t="b">
        <v>1</v>
      </c>
      <c r="J2597" s="12" t="b">
        <v>0</v>
      </c>
      <c r="K2597" s="12" t="b">
        <v>0</v>
      </c>
      <c r="L2597" s="12">
        <v>436.09695310912758</v>
      </c>
      <c r="M2597" s="12">
        <v>279.09770132054479</v>
      </c>
      <c r="N2597" s="12">
        <v>4381.8230245237683</v>
      </c>
      <c r="O2597" s="12">
        <v>808.34025773909616</v>
      </c>
      <c r="P2597" s="12">
        <v>0.66974897094989516</v>
      </c>
      <c r="Q2597" s="12">
        <v>0.95</v>
      </c>
      <c r="R2597" s="12">
        <v>0.69108148390036439</v>
      </c>
      <c r="S2597" s="12">
        <v>0.67773110852065166</v>
      </c>
      <c r="T2597" s="12">
        <v>0.94152981924933021</v>
      </c>
      <c r="U2597" s="12">
        <v>0.84182625850716208</v>
      </c>
      <c r="V2597" s="12">
        <v>279.09770132054479</v>
      </c>
      <c r="W2597" s="12">
        <v>14.46174271250011</v>
      </c>
      <c r="X2597" s="12">
        <v>98.308304737567838</v>
      </c>
      <c r="Y2597" s="12">
        <v>3573.4827667846721</v>
      </c>
      <c r="Z2597" s="12">
        <v>5.4207655533322043</v>
      </c>
      <c r="AA2597" s="12"/>
      <c r="AB2597" s="12"/>
    </row>
    <row r="2598" spans="1:28" x14ac:dyDescent="0.3">
      <c r="A2598" s="12" t="s">
        <v>4514</v>
      </c>
      <c r="B2598" s="12" t="s">
        <v>198</v>
      </c>
      <c r="C2598" s="12" t="s">
        <v>474</v>
      </c>
      <c r="D2598" s="12" t="s">
        <v>4402</v>
      </c>
      <c r="E2598" s="12" t="s">
        <v>4403</v>
      </c>
      <c r="F2598" s="12" t="s">
        <v>32</v>
      </c>
      <c r="G2598" s="12" t="s">
        <v>32</v>
      </c>
      <c r="H2598" s="12" t="b">
        <v>1</v>
      </c>
      <c r="I2598" s="12" t="b">
        <v>1</v>
      </c>
      <c r="J2598" s="12" t="b">
        <v>0</v>
      </c>
      <c r="K2598" s="12" t="b">
        <v>0</v>
      </c>
      <c r="L2598" s="12">
        <v>436.09695310912758</v>
      </c>
      <c r="M2598" s="12">
        <v>279.09770132054479</v>
      </c>
      <c r="N2598" s="12">
        <v>4381.8230245237683</v>
      </c>
      <c r="O2598" s="12">
        <v>808.34025773909616</v>
      </c>
      <c r="P2598" s="12">
        <v>0.66974897094989516</v>
      </c>
      <c r="Q2598" s="12">
        <v>0.95</v>
      </c>
      <c r="R2598" s="12">
        <v>0.74608148390036444</v>
      </c>
      <c r="S2598" s="12">
        <v>0.7327311085206516</v>
      </c>
      <c r="T2598" s="12">
        <v>0.94152981924933021</v>
      </c>
      <c r="U2598" s="12">
        <v>0.84182625850716208</v>
      </c>
      <c r="V2598" s="12">
        <v>279.09770132054479</v>
      </c>
      <c r="W2598" s="12">
        <v>14.67927656777835</v>
      </c>
      <c r="X2598" s="12">
        <v>108.14173590667281</v>
      </c>
      <c r="Y2598" s="12">
        <v>3573.4827667846721</v>
      </c>
      <c r="Z2598" s="12">
        <v>5.4207655533322043</v>
      </c>
      <c r="AA2598" s="12"/>
      <c r="AB2598" s="12"/>
    </row>
    <row r="2599" spans="1:28" x14ac:dyDescent="0.3">
      <c r="A2599" s="12" t="s">
        <v>4515</v>
      </c>
      <c r="B2599" s="12" t="s">
        <v>198</v>
      </c>
      <c r="C2599" s="12" t="s">
        <v>474</v>
      </c>
      <c r="D2599" s="12" t="s">
        <v>4402</v>
      </c>
      <c r="E2599" s="12" t="s">
        <v>4403</v>
      </c>
      <c r="F2599" s="12" t="s">
        <v>32</v>
      </c>
      <c r="G2599" s="12" t="s">
        <v>32</v>
      </c>
      <c r="H2599" s="12" t="b">
        <v>1</v>
      </c>
      <c r="I2599" s="12" t="b">
        <v>1</v>
      </c>
      <c r="J2599" s="12" t="b">
        <v>0</v>
      </c>
      <c r="K2599" s="12" t="b">
        <v>0</v>
      </c>
      <c r="L2599" s="12">
        <v>436.09695310912758</v>
      </c>
      <c r="M2599" s="12">
        <v>279.09770132054479</v>
      </c>
      <c r="N2599" s="12">
        <v>4381.8230245237683</v>
      </c>
      <c r="O2599" s="12">
        <v>808.34025773909616</v>
      </c>
      <c r="P2599" s="12">
        <v>0.66974897094989516</v>
      </c>
      <c r="Q2599" s="12">
        <v>0.95</v>
      </c>
      <c r="R2599" s="12">
        <v>0.74608148390036444</v>
      </c>
      <c r="S2599" s="12">
        <v>0.62273110852065172</v>
      </c>
      <c r="T2599" s="12">
        <v>0.94152981924933021</v>
      </c>
      <c r="U2599" s="12">
        <v>0.84182625850716208</v>
      </c>
      <c r="V2599" s="12">
        <v>279.09770132054479</v>
      </c>
      <c r="W2599" s="12">
        <v>14.341347051730249</v>
      </c>
      <c r="X2599" s="12">
        <v>89.406358865903513</v>
      </c>
      <c r="Y2599" s="12">
        <v>3573.4827667846721</v>
      </c>
      <c r="Z2599" s="12">
        <v>5.4207655533322043</v>
      </c>
      <c r="AA2599" s="12"/>
      <c r="AB2599" s="12"/>
    </row>
    <row r="2600" spans="1:28" x14ac:dyDescent="0.3">
      <c r="A2600" s="12" t="s">
        <v>4516</v>
      </c>
      <c r="B2600" s="12" t="s">
        <v>198</v>
      </c>
      <c r="C2600" s="12" t="s">
        <v>474</v>
      </c>
      <c r="D2600" s="12" t="s">
        <v>4402</v>
      </c>
      <c r="E2600" s="12" t="s">
        <v>4403</v>
      </c>
      <c r="F2600" s="12" t="s">
        <v>32</v>
      </c>
      <c r="G2600" s="12" t="s">
        <v>32</v>
      </c>
      <c r="H2600" s="12" t="b">
        <v>1</v>
      </c>
      <c r="I2600" s="12" t="b">
        <v>1</v>
      </c>
      <c r="J2600" s="12" t="b">
        <v>0</v>
      </c>
      <c r="K2600" s="12" t="b">
        <v>0</v>
      </c>
      <c r="L2600" s="12">
        <v>436.09695310912758</v>
      </c>
      <c r="M2600" s="12">
        <v>279.09770132054479</v>
      </c>
      <c r="N2600" s="12">
        <v>4381.8230245237683</v>
      </c>
      <c r="O2600" s="12">
        <v>808.34025773909616</v>
      </c>
      <c r="P2600" s="12">
        <v>0.66974897094989516</v>
      </c>
      <c r="Q2600" s="12">
        <v>0.95</v>
      </c>
      <c r="R2600" s="12">
        <v>0.74608148390036444</v>
      </c>
      <c r="S2600" s="12">
        <v>0.67773110852065166</v>
      </c>
      <c r="T2600" s="12">
        <v>0.95</v>
      </c>
      <c r="U2600" s="12">
        <v>0.84182625850716208</v>
      </c>
      <c r="V2600" s="12">
        <v>279.09770132054479</v>
      </c>
      <c r="W2600" s="12">
        <v>14.58466394170047</v>
      </c>
      <c r="X2600" s="12">
        <v>98.934398556831042</v>
      </c>
      <c r="Y2600" s="12">
        <v>3573.4827667846721</v>
      </c>
      <c r="Z2600" s="12">
        <v>5.4207655533322043</v>
      </c>
      <c r="AA2600" s="12"/>
      <c r="AB2600" s="12"/>
    </row>
    <row r="2601" spans="1:28" x14ac:dyDescent="0.3">
      <c r="A2601" s="12" t="s">
        <v>4517</v>
      </c>
      <c r="B2601" s="12" t="s">
        <v>198</v>
      </c>
      <c r="C2601" s="12" t="s">
        <v>474</v>
      </c>
      <c r="D2601" s="12" t="s">
        <v>4402</v>
      </c>
      <c r="E2601" s="12" t="s">
        <v>4403</v>
      </c>
      <c r="F2601" s="12" t="s">
        <v>32</v>
      </c>
      <c r="G2601" s="12" t="s">
        <v>32</v>
      </c>
      <c r="H2601" s="12" t="b">
        <v>1</v>
      </c>
      <c r="I2601" s="12" t="b">
        <v>1</v>
      </c>
      <c r="J2601" s="12" t="b">
        <v>0</v>
      </c>
      <c r="K2601" s="12" t="b">
        <v>0</v>
      </c>
      <c r="L2601" s="12">
        <v>436.09695310912758</v>
      </c>
      <c r="M2601" s="12">
        <v>279.09770132054479</v>
      </c>
      <c r="N2601" s="12">
        <v>4381.8230245237683</v>
      </c>
      <c r="O2601" s="12">
        <v>808.34025773909616</v>
      </c>
      <c r="P2601" s="12">
        <v>0.66974897094989516</v>
      </c>
      <c r="Q2601" s="12">
        <v>0.95</v>
      </c>
      <c r="R2601" s="12">
        <v>0.74608148390036444</v>
      </c>
      <c r="S2601" s="12">
        <v>0.67773110852065166</v>
      </c>
      <c r="T2601" s="12">
        <v>0.88652981924933028</v>
      </c>
      <c r="U2601" s="12">
        <v>0.84182625850716208</v>
      </c>
      <c r="V2601" s="12">
        <v>279.09770132054479</v>
      </c>
      <c r="W2601" s="12">
        <v>14.185743484127141</v>
      </c>
      <c r="X2601" s="12">
        <v>97.940442388262738</v>
      </c>
      <c r="Y2601" s="12">
        <v>3573.4827667846721</v>
      </c>
      <c r="Z2601" s="12">
        <v>5.4207655533322043</v>
      </c>
      <c r="AA2601" s="12"/>
      <c r="AB2601" s="12"/>
    </row>
    <row r="2602" spans="1:28" x14ac:dyDescent="0.3">
      <c r="A2602" s="12" t="s">
        <v>4518</v>
      </c>
      <c r="B2602" s="12" t="s">
        <v>198</v>
      </c>
      <c r="C2602" s="12" t="s">
        <v>474</v>
      </c>
      <c r="D2602" s="12" t="s">
        <v>4402</v>
      </c>
      <c r="E2602" s="12" t="s">
        <v>4403</v>
      </c>
      <c r="F2602" s="12" t="s">
        <v>32</v>
      </c>
      <c r="G2602" s="12" t="s">
        <v>32</v>
      </c>
      <c r="H2602" s="12" t="b">
        <v>1</v>
      </c>
      <c r="I2602" s="12" t="b">
        <v>1</v>
      </c>
      <c r="J2602" s="12" t="b">
        <v>0</v>
      </c>
      <c r="K2602" s="12" t="b">
        <v>0</v>
      </c>
      <c r="L2602" s="12">
        <v>436.09695310912758</v>
      </c>
      <c r="M2602" s="12">
        <v>279.09770132054479</v>
      </c>
      <c r="N2602" s="12">
        <v>4381.8230245237683</v>
      </c>
      <c r="O2602" s="12">
        <v>808.34025773909616</v>
      </c>
      <c r="P2602" s="12">
        <v>0.66974897094989516</v>
      </c>
      <c r="Q2602" s="12">
        <v>0.95</v>
      </c>
      <c r="R2602" s="12">
        <v>0.74608148390036444</v>
      </c>
      <c r="S2602" s="12">
        <v>0.67773110852065166</v>
      </c>
      <c r="T2602" s="12">
        <v>0.94152981924933021</v>
      </c>
      <c r="U2602" s="12">
        <v>0.89682625850716202</v>
      </c>
      <c r="V2602" s="12">
        <v>279.09770132054479</v>
      </c>
      <c r="W2602" s="12">
        <v>14.12779212816193</v>
      </c>
      <c r="X2602" s="12">
        <v>97.847071633009477</v>
      </c>
      <c r="Y2602" s="12">
        <v>3573.4827667846721</v>
      </c>
      <c r="Z2602" s="12">
        <v>5.4207655533322043</v>
      </c>
      <c r="AA2602" s="12"/>
      <c r="AB2602" s="12"/>
    </row>
    <row r="2603" spans="1:28" x14ac:dyDescent="0.3">
      <c r="A2603" s="12" t="s">
        <v>4519</v>
      </c>
      <c r="B2603" s="12" t="s">
        <v>198</v>
      </c>
      <c r="C2603" s="12" t="s">
        <v>474</v>
      </c>
      <c r="D2603" s="12" t="s">
        <v>4402</v>
      </c>
      <c r="E2603" s="12" t="s">
        <v>4403</v>
      </c>
      <c r="F2603" s="12" t="s">
        <v>1861</v>
      </c>
      <c r="G2603" s="12" t="s">
        <v>1861</v>
      </c>
      <c r="H2603" s="12" t="b">
        <v>1</v>
      </c>
      <c r="I2603" s="12" t="b">
        <v>0</v>
      </c>
      <c r="J2603" s="12" t="b">
        <v>0</v>
      </c>
      <c r="K2603" s="12" t="b">
        <v>0</v>
      </c>
      <c r="L2603" s="12">
        <v>436.09695310912758</v>
      </c>
      <c r="M2603" s="12">
        <v>279.09770132054479</v>
      </c>
      <c r="N2603" s="12">
        <v>4381.8230245237683</v>
      </c>
      <c r="O2603" s="12">
        <v>808.34025773909616</v>
      </c>
      <c r="P2603" s="12">
        <v>0.66974897094989516</v>
      </c>
      <c r="Q2603" s="12">
        <v>0.95</v>
      </c>
      <c r="R2603" s="12">
        <v>0.74608148390036444</v>
      </c>
      <c r="S2603" s="12">
        <v>0.67773110852065166</v>
      </c>
      <c r="T2603" s="12">
        <v>0.94152981924933021</v>
      </c>
      <c r="U2603" s="12">
        <v>0.78682625850716215</v>
      </c>
      <c r="V2603" s="12">
        <v>279.09770132054479</v>
      </c>
      <c r="W2603" s="12">
        <v>14.968641503017819</v>
      </c>
      <c r="X2603" s="12">
        <v>99.693397882757182</v>
      </c>
      <c r="Y2603" s="12">
        <v>3573.4827667846721</v>
      </c>
      <c r="Z2603" s="12">
        <v>5.4207655533322043</v>
      </c>
      <c r="AA2603" s="12" t="s">
        <v>1268</v>
      </c>
      <c r="AB2603" s="12"/>
    </row>
    <row r="2604" spans="1:28" x14ac:dyDescent="0.3">
      <c r="A2604" s="12" t="s">
        <v>4520</v>
      </c>
      <c r="B2604" s="12" t="s">
        <v>198</v>
      </c>
      <c r="C2604" s="12" t="s">
        <v>485</v>
      </c>
      <c r="D2604" s="12" t="s">
        <v>4521</v>
      </c>
      <c r="E2604" s="12" t="s">
        <v>4403</v>
      </c>
      <c r="F2604" s="12" t="s">
        <v>32</v>
      </c>
      <c r="G2604" s="12" t="s">
        <v>32</v>
      </c>
      <c r="H2604" s="12" t="b">
        <v>1</v>
      </c>
      <c r="I2604" s="12" t="b">
        <v>1</v>
      </c>
      <c r="J2604" s="12" t="b">
        <v>0</v>
      </c>
      <c r="K2604" s="12" t="b">
        <v>0</v>
      </c>
      <c r="L2604" s="12">
        <v>420</v>
      </c>
      <c r="M2604" s="12">
        <v>278.14999999999998</v>
      </c>
      <c r="N2604" s="12">
        <v>3000</v>
      </c>
      <c r="O2604" s="12">
        <v>393.75</v>
      </c>
      <c r="P2604" s="12">
        <v>0.5</v>
      </c>
      <c r="Q2604" s="12">
        <v>0.85</v>
      </c>
      <c r="R2604" s="12">
        <v>0.75</v>
      </c>
      <c r="S2604" s="12">
        <v>0.85</v>
      </c>
      <c r="T2604" s="12">
        <v>0.75</v>
      </c>
      <c r="U2604" s="12">
        <v>0.8</v>
      </c>
      <c r="V2604" s="12">
        <v>278.14999999999998</v>
      </c>
      <c r="W2604" s="12">
        <v>11.90841397447066</v>
      </c>
      <c r="X2604" s="12">
        <v>64.294341119429092</v>
      </c>
      <c r="Y2604" s="12">
        <v>2606.25</v>
      </c>
      <c r="Z2604" s="12">
        <v>7.6190476190476186</v>
      </c>
      <c r="AA2604" s="12"/>
      <c r="AB2604" s="12"/>
    </row>
    <row r="2605" spans="1:28" x14ac:dyDescent="0.3">
      <c r="A2605" s="12" t="s">
        <v>4522</v>
      </c>
      <c r="B2605" s="12" t="s">
        <v>198</v>
      </c>
      <c r="C2605" s="12" t="s">
        <v>485</v>
      </c>
      <c r="D2605" s="12" t="s">
        <v>4521</v>
      </c>
      <c r="E2605" s="12" t="s">
        <v>4403</v>
      </c>
      <c r="F2605" s="12" t="s">
        <v>1861</v>
      </c>
      <c r="G2605" s="12" t="s">
        <v>1861</v>
      </c>
      <c r="H2605" s="12" t="b">
        <v>1</v>
      </c>
      <c r="I2605" s="12" t="b">
        <v>0</v>
      </c>
      <c r="J2605" s="12" t="b">
        <v>1</v>
      </c>
      <c r="K2605" s="12" t="b">
        <v>0</v>
      </c>
      <c r="L2605" s="12">
        <v>432</v>
      </c>
      <c r="M2605" s="12">
        <v>278.14999999999998</v>
      </c>
      <c r="N2605" s="12">
        <v>3000</v>
      </c>
      <c r="O2605" s="12">
        <v>393.75</v>
      </c>
      <c r="P2605" s="12">
        <v>0.5</v>
      </c>
      <c r="Q2605" s="12">
        <v>0.85</v>
      </c>
      <c r="R2605" s="12">
        <v>0.75</v>
      </c>
      <c r="S2605" s="12">
        <v>0.85</v>
      </c>
      <c r="T2605" s="12">
        <v>0.75</v>
      </c>
      <c r="U2605" s="12">
        <v>0.8</v>
      </c>
      <c r="V2605" s="12">
        <v>278.14999999999998</v>
      </c>
      <c r="W2605" s="12">
        <v>12.84161975052354</v>
      </c>
      <c r="X2605" s="12">
        <v>89.728926533097138</v>
      </c>
      <c r="Y2605" s="12">
        <v>2606.25</v>
      </c>
      <c r="Z2605" s="12">
        <v>7.6190476190476186</v>
      </c>
      <c r="AA2605" s="12" t="s">
        <v>1268</v>
      </c>
      <c r="AB2605" s="12"/>
    </row>
    <row r="2606" spans="1:28" x14ac:dyDescent="0.3">
      <c r="A2606" s="12" t="s">
        <v>4523</v>
      </c>
      <c r="B2606" s="12" t="s">
        <v>198</v>
      </c>
      <c r="C2606" s="12" t="s">
        <v>485</v>
      </c>
      <c r="D2606" s="12" t="s">
        <v>4521</v>
      </c>
      <c r="E2606" s="12" t="s">
        <v>4403</v>
      </c>
      <c r="F2606" s="12" t="s">
        <v>32</v>
      </c>
      <c r="G2606" s="12" t="s">
        <v>32</v>
      </c>
      <c r="H2606" s="12" t="b">
        <v>1</v>
      </c>
      <c r="I2606" s="12" t="b">
        <v>1</v>
      </c>
      <c r="J2606" s="12" t="b">
        <v>0</v>
      </c>
      <c r="K2606" s="12" t="b">
        <v>0</v>
      </c>
      <c r="L2606" s="12">
        <v>408</v>
      </c>
      <c r="M2606" s="12">
        <v>278.14999999999998</v>
      </c>
      <c r="N2606" s="12">
        <v>3000</v>
      </c>
      <c r="O2606" s="12">
        <v>393.75</v>
      </c>
      <c r="P2606" s="12">
        <v>0.5</v>
      </c>
      <c r="Q2606" s="12">
        <v>0.85</v>
      </c>
      <c r="R2606" s="12">
        <v>0.75</v>
      </c>
      <c r="S2606" s="12">
        <v>0.85</v>
      </c>
      <c r="T2606" s="12">
        <v>0.75</v>
      </c>
      <c r="U2606" s="12">
        <v>0.8</v>
      </c>
      <c r="V2606" s="12">
        <v>278.14999999999998</v>
      </c>
      <c r="W2606" s="12">
        <v>10.248868027904081</v>
      </c>
      <c r="X2606" s="12">
        <v>40.487749612508729</v>
      </c>
      <c r="Y2606" s="12">
        <v>2606.25</v>
      </c>
      <c r="Z2606" s="12">
        <v>7.6190476190476186</v>
      </c>
      <c r="AA2606" s="12"/>
      <c r="AB2606" s="12"/>
    </row>
    <row r="2607" spans="1:28" x14ac:dyDescent="0.3">
      <c r="A2607" s="12" t="s">
        <v>4524</v>
      </c>
      <c r="B2607" s="12" t="s">
        <v>198</v>
      </c>
      <c r="C2607" s="12" t="s">
        <v>485</v>
      </c>
      <c r="D2607" s="12" t="s">
        <v>4521</v>
      </c>
      <c r="E2607" s="12" t="s">
        <v>4403</v>
      </c>
      <c r="F2607" s="12" t="s">
        <v>1861</v>
      </c>
      <c r="G2607" s="12" t="s">
        <v>1861</v>
      </c>
      <c r="H2607" s="12" t="b">
        <v>1</v>
      </c>
      <c r="I2607" s="12" t="b">
        <v>0</v>
      </c>
      <c r="J2607" s="12" t="b">
        <v>0</v>
      </c>
      <c r="K2607" s="12" t="b">
        <v>0</v>
      </c>
      <c r="L2607" s="12">
        <v>420</v>
      </c>
      <c r="M2607" s="12">
        <v>280.69</v>
      </c>
      <c r="N2607" s="12">
        <v>3000</v>
      </c>
      <c r="O2607" s="12">
        <v>393.75</v>
      </c>
      <c r="P2607" s="12">
        <v>0.5</v>
      </c>
      <c r="Q2607" s="12">
        <v>0.85</v>
      </c>
      <c r="R2607" s="12">
        <v>0.75</v>
      </c>
      <c r="S2607" s="12">
        <v>0.85</v>
      </c>
      <c r="T2607" s="12">
        <v>0.75</v>
      </c>
      <c r="U2607" s="12">
        <v>0.8</v>
      </c>
      <c r="V2607" s="12">
        <v>280.69</v>
      </c>
      <c r="W2607" s="12">
        <v>12.010549324584931</v>
      </c>
      <c r="X2607" s="12">
        <v>64.353703624587496</v>
      </c>
      <c r="Y2607" s="12">
        <v>2606.25</v>
      </c>
      <c r="Z2607" s="12">
        <v>7.6190476190476186</v>
      </c>
      <c r="AA2607" s="12" t="s">
        <v>1268</v>
      </c>
      <c r="AB2607" s="12"/>
    </row>
    <row r="2608" spans="1:28" x14ac:dyDescent="0.3">
      <c r="A2608" s="12" t="s">
        <v>4525</v>
      </c>
      <c r="B2608" s="12" t="s">
        <v>198</v>
      </c>
      <c r="C2608" s="12" t="s">
        <v>485</v>
      </c>
      <c r="D2608" s="12" t="s">
        <v>4521</v>
      </c>
      <c r="E2608" s="12" t="s">
        <v>4403</v>
      </c>
      <c r="F2608" s="12" t="s">
        <v>32</v>
      </c>
      <c r="G2608" s="12" t="s">
        <v>32</v>
      </c>
      <c r="H2608" s="12" t="b">
        <v>1</v>
      </c>
      <c r="I2608" s="12" t="b">
        <v>1</v>
      </c>
      <c r="J2608" s="12" t="b">
        <v>0</v>
      </c>
      <c r="K2608" s="12" t="b">
        <v>0</v>
      </c>
      <c r="L2608" s="12">
        <v>420</v>
      </c>
      <c r="M2608" s="12">
        <v>278.14999999999998</v>
      </c>
      <c r="N2608" s="12">
        <v>3300</v>
      </c>
      <c r="O2608" s="12">
        <v>393.75</v>
      </c>
      <c r="P2608" s="12">
        <v>0.5</v>
      </c>
      <c r="Q2608" s="12">
        <v>0.85</v>
      </c>
      <c r="R2608" s="12">
        <v>0.75</v>
      </c>
      <c r="S2608" s="12">
        <v>0.85</v>
      </c>
      <c r="T2608" s="12">
        <v>0.75</v>
      </c>
      <c r="U2608" s="12">
        <v>0.8</v>
      </c>
      <c r="V2608" s="12">
        <v>278.14999999999998</v>
      </c>
      <c r="W2608" s="12">
        <v>11.63475772669044</v>
      </c>
      <c r="X2608" s="12">
        <v>56.27608581842766</v>
      </c>
      <c r="Y2608" s="12">
        <v>2906.25</v>
      </c>
      <c r="Z2608" s="12">
        <v>8.3809523809523814</v>
      </c>
      <c r="AA2608" s="12"/>
      <c r="AB2608" s="12"/>
    </row>
    <row r="2609" spans="1:28" x14ac:dyDescent="0.3">
      <c r="A2609" s="12" t="s">
        <v>4526</v>
      </c>
      <c r="B2609" s="12" t="s">
        <v>198</v>
      </c>
      <c r="C2609" s="12" t="s">
        <v>485</v>
      </c>
      <c r="D2609" s="12" t="s">
        <v>4521</v>
      </c>
      <c r="E2609" s="12" t="s">
        <v>4403</v>
      </c>
      <c r="F2609" s="12" t="s">
        <v>1861</v>
      </c>
      <c r="G2609" s="12" t="s">
        <v>1861</v>
      </c>
      <c r="H2609" s="12" t="b">
        <v>1</v>
      </c>
      <c r="I2609" s="12" t="b">
        <v>0</v>
      </c>
      <c r="J2609" s="12" t="b">
        <v>0</v>
      </c>
      <c r="K2609" s="12" t="b">
        <v>0</v>
      </c>
      <c r="L2609" s="12">
        <v>420</v>
      </c>
      <c r="M2609" s="12">
        <v>278.14999999999998</v>
      </c>
      <c r="N2609" s="12">
        <v>2700</v>
      </c>
      <c r="O2609" s="12">
        <v>393.75</v>
      </c>
      <c r="P2609" s="12">
        <v>0.5</v>
      </c>
      <c r="Q2609" s="12">
        <v>0.85</v>
      </c>
      <c r="R2609" s="12">
        <v>0.75</v>
      </c>
      <c r="S2609" s="12">
        <v>0.85</v>
      </c>
      <c r="T2609" s="12">
        <v>0.75</v>
      </c>
      <c r="U2609" s="12">
        <v>0.8</v>
      </c>
      <c r="V2609" s="12">
        <v>278.14999999999998</v>
      </c>
      <c r="W2609" s="12">
        <v>11.932814666968961</v>
      </c>
      <c r="X2609" s="12">
        <v>71.677534729262675</v>
      </c>
      <c r="Y2609" s="12">
        <v>2306.25</v>
      </c>
      <c r="Z2609" s="12">
        <v>6.8571428571428568</v>
      </c>
      <c r="AA2609" s="12" t="s">
        <v>1268</v>
      </c>
      <c r="AB2609" s="12"/>
    </row>
    <row r="2610" spans="1:28" x14ac:dyDescent="0.3">
      <c r="A2610" s="12" t="s">
        <v>4527</v>
      </c>
      <c r="B2610" s="12" t="s">
        <v>198</v>
      </c>
      <c r="C2610" s="12" t="s">
        <v>485</v>
      </c>
      <c r="D2610" s="12" t="s">
        <v>4521</v>
      </c>
      <c r="E2610" s="12" t="s">
        <v>4403</v>
      </c>
      <c r="F2610" s="12" t="s">
        <v>32</v>
      </c>
      <c r="G2610" s="12" t="s">
        <v>32</v>
      </c>
      <c r="H2610" s="12" t="b">
        <v>1</v>
      </c>
      <c r="I2610" s="12" t="b">
        <v>1</v>
      </c>
      <c r="J2610" s="12" t="b">
        <v>0</v>
      </c>
      <c r="K2610" s="12" t="b">
        <v>0</v>
      </c>
      <c r="L2610" s="12">
        <v>420</v>
      </c>
      <c r="M2610" s="12">
        <v>278.14999999999998</v>
      </c>
      <c r="N2610" s="12">
        <v>3000</v>
      </c>
      <c r="O2610" s="12">
        <v>613.75</v>
      </c>
      <c r="P2610" s="12">
        <v>0.5</v>
      </c>
      <c r="Q2610" s="12">
        <v>0.85</v>
      </c>
      <c r="R2610" s="12">
        <v>0.75</v>
      </c>
      <c r="S2610" s="12">
        <v>0.85</v>
      </c>
      <c r="T2610" s="12">
        <v>0.75</v>
      </c>
      <c r="U2610" s="12">
        <v>0.8</v>
      </c>
      <c r="V2610" s="12">
        <v>278.14999999999998</v>
      </c>
      <c r="W2610" s="12">
        <v>9.46707066539871</v>
      </c>
      <c r="X2610" s="12">
        <v>51.007667681359848</v>
      </c>
      <c r="Y2610" s="12">
        <v>2386.25</v>
      </c>
      <c r="Z2610" s="12">
        <v>4.8879837067209779</v>
      </c>
      <c r="AA2610" s="12"/>
      <c r="AB2610" s="12"/>
    </row>
    <row r="2611" spans="1:28" x14ac:dyDescent="0.3">
      <c r="A2611" s="12" t="s">
        <v>4528</v>
      </c>
      <c r="B2611" s="12" t="s">
        <v>198</v>
      </c>
      <c r="C2611" s="12" t="s">
        <v>485</v>
      </c>
      <c r="D2611" s="12" t="s">
        <v>4521</v>
      </c>
      <c r="E2611" s="12" t="s">
        <v>4403</v>
      </c>
      <c r="F2611" s="12" t="s">
        <v>1861</v>
      </c>
      <c r="G2611" s="12" t="s">
        <v>1861</v>
      </c>
      <c r="H2611" s="12" t="b">
        <v>1</v>
      </c>
      <c r="I2611" s="12" t="b">
        <v>0</v>
      </c>
      <c r="J2611" s="12" t="b">
        <v>0</v>
      </c>
      <c r="K2611" s="12" t="b">
        <v>0</v>
      </c>
      <c r="L2611" s="12">
        <v>420</v>
      </c>
      <c r="M2611" s="12">
        <v>278.14999999999998</v>
      </c>
      <c r="N2611" s="12">
        <v>3000</v>
      </c>
      <c r="O2611" s="12">
        <v>300</v>
      </c>
      <c r="P2611" s="12">
        <v>0.5</v>
      </c>
      <c r="Q2611" s="12">
        <v>0.85</v>
      </c>
      <c r="R2611" s="12">
        <v>0.75</v>
      </c>
      <c r="S2611" s="12">
        <v>0.85</v>
      </c>
      <c r="T2611" s="12">
        <v>0.75</v>
      </c>
      <c r="U2611" s="12">
        <v>0.8</v>
      </c>
      <c r="V2611" s="12">
        <v>278.14999999999998</v>
      </c>
      <c r="W2611" s="12">
        <v>13.26199479913055</v>
      </c>
      <c r="X2611" s="12">
        <v>71.66275833828891</v>
      </c>
      <c r="Y2611" s="12">
        <v>2700</v>
      </c>
      <c r="Z2611" s="12">
        <v>10</v>
      </c>
      <c r="AA2611" s="12" t="s">
        <v>1268</v>
      </c>
      <c r="AB2611" s="12"/>
    </row>
    <row r="2612" spans="1:28" x14ac:dyDescent="0.3">
      <c r="A2612" s="12" t="s">
        <v>4529</v>
      </c>
      <c r="B2612" s="12" t="s">
        <v>198</v>
      </c>
      <c r="C2612" s="12" t="s">
        <v>485</v>
      </c>
      <c r="D2612" s="12" t="s">
        <v>4521</v>
      </c>
      <c r="E2612" s="12" t="s">
        <v>4403</v>
      </c>
      <c r="F2612" s="12" t="s">
        <v>1861</v>
      </c>
      <c r="G2612" s="12" t="s">
        <v>1861</v>
      </c>
      <c r="H2612" s="12" t="b">
        <v>1</v>
      </c>
      <c r="I2612" s="12" t="b">
        <v>0</v>
      </c>
      <c r="J2612" s="12" t="b">
        <v>0</v>
      </c>
      <c r="K2612" s="12" t="b">
        <v>0</v>
      </c>
      <c r="L2612" s="12">
        <v>420</v>
      </c>
      <c r="M2612" s="12">
        <v>278.14999999999998</v>
      </c>
      <c r="N2612" s="12">
        <v>3000</v>
      </c>
      <c r="O2612" s="12">
        <v>393.75</v>
      </c>
      <c r="P2612" s="12">
        <v>0.53500000000000003</v>
      </c>
      <c r="Q2612" s="12">
        <v>0.85</v>
      </c>
      <c r="R2612" s="12">
        <v>0.75</v>
      </c>
      <c r="S2612" s="12">
        <v>0.85</v>
      </c>
      <c r="T2612" s="12">
        <v>0.75</v>
      </c>
      <c r="U2612" s="12">
        <v>0.8</v>
      </c>
      <c r="V2612" s="12">
        <v>278.14999999999998</v>
      </c>
      <c r="W2612" s="12">
        <v>12.842235247271089</v>
      </c>
      <c r="X2612" s="12">
        <v>79.283777749153742</v>
      </c>
      <c r="Y2612" s="12">
        <v>2606.25</v>
      </c>
      <c r="Z2612" s="12">
        <v>7.6190476190476186</v>
      </c>
      <c r="AA2612" s="12" t="s">
        <v>1268</v>
      </c>
      <c r="AB2612" s="12"/>
    </row>
    <row r="2613" spans="1:28" x14ac:dyDescent="0.3">
      <c r="A2613" s="12" t="s">
        <v>4530</v>
      </c>
      <c r="B2613" s="12" t="s">
        <v>198</v>
      </c>
      <c r="C2613" s="12" t="s">
        <v>485</v>
      </c>
      <c r="D2613" s="12" t="s">
        <v>4521</v>
      </c>
      <c r="E2613" s="12" t="s">
        <v>4403</v>
      </c>
      <c r="F2613" s="12" t="s">
        <v>32</v>
      </c>
      <c r="G2613" s="12" t="s">
        <v>32</v>
      </c>
      <c r="H2613" s="12" t="b">
        <v>1</v>
      </c>
      <c r="I2613" s="12" t="b">
        <v>1</v>
      </c>
      <c r="J2613" s="12" t="b">
        <v>0</v>
      </c>
      <c r="K2613" s="12" t="b">
        <v>0</v>
      </c>
      <c r="L2613" s="12">
        <v>420</v>
      </c>
      <c r="M2613" s="12">
        <v>278.14999999999998</v>
      </c>
      <c r="N2613" s="12">
        <v>3000</v>
      </c>
      <c r="O2613" s="12">
        <v>393.75</v>
      </c>
      <c r="P2613" s="12">
        <v>0.5</v>
      </c>
      <c r="Q2613" s="12">
        <v>0.90500000000000003</v>
      </c>
      <c r="R2613" s="12">
        <v>0.75</v>
      </c>
      <c r="S2613" s="12">
        <v>0.85</v>
      </c>
      <c r="T2613" s="12">
        <v>0.75</v>
      </c>
      <c r="U2613" s="12">
        <v>0.8</v>
      </c>
      <c r="V2613" s="12">
        <v>278.14999999999998</v>
      </c>
      <c r="W2613" s="12">
        <v>12.71872263705213</v>
      </c>
      <c r="X2613" s="12">
        <v>68.719160572516373</v>
      </c>
      <c r="Y2613" s="12">
        <v>2606.25</v>
      </c>
      <c r="Z2613" s="12">
        <v>7.6190476190476186</v>
      </c>
      <c r="AA2613" s="12"/>
      <c r="AB2613" s="12"/>
    </row>
    <row r="2614" spans="1:28" x14ac:dyDescent="0.3">
      <c r="A2614" s="12" t="s">
        <v>4531</v>
      </c>
      <c r="B2614" s="12" t="s">
        <v>198</v>
      </c>
      <c r="C2614" s="12" t="s">
        <v>485</v>
      </c>
      <c r="D2614" s="12" t="s">
        <v>4521</v>
      </c>
      <c r="E2614" s="12" t="s">
        <v>4403</v>
      </c>
      <c r="F2614" s="12" t="s">
        <v>1861</v>
      </c>
      <c r="G2614" s="12" t="s">
        <v>1861</v>
      </c>
      <c r="H2614" s="12" t="b">
        <v>1</v>
      </c>
      <c r="I2614" s="12" t="b">
        <v>0</v>
      </c>
      <c r="J2614" s="12" t="b">
        <v>0</v>
      </c>
      <c r="K2614" s="12" t="b">
        <v>0</v>
      </c>
      <c r="L2614" s="12">
        <v>420</v>
      </c>
      <c r="M2614" s="12">
        <v>278.14999999999998</v>
      </c>
      <c r="N2614" s="12">
        <v>3000</v>
      </c>
      <c r="O2614" s="12">
        <v>393.75</v>
      </c>
      <c r="P2614" s="12">
        <v>0.5</v>
      </c>
      <c r="Q2614" s="12">
        <v>0.79500000000000004</v>
      </c>
      <c r="R2614" s="12">
        <v>0.75</v>
      </c>
      <c r="S2614" s="12">
        <v>0.85</v>
      </c>
      <c r="T2614" s="12">
        <v>0.75</v>
      </c>
      <c r="U2614" s="12">
        <v>0.8</v>
      </c>
      <c r="V2614" s="12">
        <v>278.14999999999998</v>
      </c>
      <c r="W2614" s="12">
        <v>11.09661555726124</v>
      </c>
      <c r="X2614" s="12">
        <v>59.867811442361401</v>
      </c>
      <c r="Y2614" s="12">
        <v>2606.25</v>
      </c>
      <c r="Z2614" s="12">
        <v>7.6190476190476186</v>
      </c>
      <c r="AA2614" s="12" t="s">
        <v>1268</v>
      </c>
      <c r="AB2614" s="12"/>
    </row>
    <row r="2615" spans="1:28" x14ac:dyDescent="0.3">
      <c r="A2615" s="12" t="s">
        <v>4532</v>
      </c>
      <c r="B2615" s="12" t="s">
        <v>198</v>
      </c>
      <c r="C2615" s="12" t="s">
        <v>485</v>
      </c>
      <c r="D2615" s="12" t="s">
        <v>4521</v>
      </c>
      <c r="E2615" s="12" t="s">
        <v>4403</v>
      </c>
      <c r="F2615" s="12" t="s">
        <v>32</v>
      </c>
      <c r="G2615" s="12" t="s">
        <v>32</v>
      </c>
      <c r="H2615" s="12" t="b">
        <v>1</v>
      </c>
      <c r="I2615" s="12" t="b">
        <v>1</v>
      </c>
      <c r="J2615" s="12" t="b">
        <v>0</v>
      </c>
      <c r="K2615" s="12" t="b">
        <v>0</v>
      </c>
      <c r="L2615" s="12">
        <v>420</v>
      </c>
      <c r="M2615" s="12">
        <v>278.14999999999998</v>
      </c>
      <c r="N2615" s="12">
        <v>3000</v>
      </c>
      <c r="O2615" s="12">
        <v>393.75</v>
      </c>
      <c r="P2615" s="12">
        <v>0.5</v>
      </c>
      <c r="Q2615" s="12">
        <v>0.85</v>
      </c>
      <c r="R2615" s="12">
        <v>0.80499999999999994</v>
      </c>
      <c r="S2615" s="12">
        <v>0.85</v>
      </c>
      <c r="T2615" s="12">
        <v>0.75</v>
      </c>
      <c r="U2615" s="12">
        <v>0.8</v>
      </c>
      <c r="V2615" s="12">
        <v>278.14999999999998</v>
      </c>
      <c r="W2615" s="12">
        <v>11.958699959798491</v>
      </c>
      <c r="X2615" s="12">
        <v>64.581182204307055</v>
      </c>
      <c r="Y2615" s="12">
        <v>2606.25</v>
      </c>
      <c r="Z2615" s="12">
        <v>7.6190476190476186</v>
      </c>
      <c r="AA2615" s="12"/>
      <c r="AB2615" s="12"/>
    </row>
    <row r="2616" spans="1:28" x14ac:dyDescent="0.3">
      <c r="A2616" s="12" t="s">
        <v>4533</v>
      </c>
      <c r="B2616" s="12" t="s">
        <v>198</v>
      </c>
      <c r="C2616" s="12" t="s">
        <v>485</v>
      </c>
      <c r="D2616" s="12" t="s">
        <v>4521</v>
      </c>
      <c r="E2616" s="12" t="s">
        <v>4403</v>
      </c>
      <c r="F2616" s="12" t="s">
        <v>32</v>
      </c>
      <c r="G2616" s="12" t="s">
        <v>32</v>
      </c>
      <c r="H2616" s="12" t="b">
        <v>1</v>
      </c>
      <c r="I2616" s="12" t="b">
        <v>1</v>
      </c>
      <c r="J2616" s="12" t="b">
        <v>0</v>
      </c>
      <c r="K2616" s="12" t="b">
        <v>0</v>
      </c>
      <c r="L2616" s="12">
        <v>420</v>
      </c>
      <c r="M2616" s="12">
        <v>278.14999999999998</v>
      </c>
      <c r="N2616" s="12">
        <v>3000</v>
      </c>
      <c r="O2616" s="12">
        <v>393.75</v>
      </c>
      <c r="P2616" s="12">
        <v>0.5</v>
      </c>
      <c r="Q2616" s="12">
        <v>0.85</v>
      </c>
      <c r="R2616" s="12">
        <v>0.69500000000000006</v>
      </c>
      <c r="S2616" s="12">
        <v>0.85</v>
      </c>
      <c r="T2616" s="12">
        <v>0.75</v>
      </c>
      <c r="U2616" s="12">
        <v>0.8</v>
      </c>
      <c r="V2616" s="12">
        <v>278.14999999999998</v>
      </c>
      <c r="W2616" s="12">
        <v>11.85013799202847</v>
      </c>
      <c r="X2616" s="12">
        <v>63.962093657144663</v>
      </c>
      <c r="Y2616" s="12">
        <v>2606.25</v>
      </c>
      <c r="Z2616" s="12">
        <v>7.6190476190476186</v>
      </c>
      <c r="AA2616" s="12"/>
      <c r="AB2616" s="12"/>
    </row>
    <row r="2617" spans="1:28" x14ac:dyDescent="0.3">
      <c r="A2617" s="12" t="s">
        <v>4534</v>
      </c>
      <c r="B2617" s="12" t="s">
        <v>198</v>
      </c>
      <c r="C2617" s="12" t="s">
        <v>485</v>
      </c>
      <c r="D2617" s="12" t="s">
        <v>4521</v>
      </c>
      <c r="E2617" s="12" t="s">
        <v>4403</v>
      </c>
      <c r="F2617" s="12" t="s">
        <v>1861</v>
      </c>
      <c r="G2617" s="12" t="s">
        <v>1861</v>
      </c>
      <c r="H2617" s="12" t="b">
        <v>1</v>
      </c>
      <c r="I2617" s="12" t="b">
        <v>0</v>
      </c>
      <c r="J2617" s="12" t="b">
        <v>0</v>
      </c>
      <c r="K2617" s="12" t="b">
        <v>0</v>
      </c>
      <c r="L2617" s="12">
        <v>420</v>
      </c>
      <c r="M2617" s="12">
        <v>278.14999999999998</v>
      </c>
      <c r="N2617" s="12">
        <v>3000</v>
      </c>
      <c r="O2617" s="12">
        <v>393.75</v>
      </c>
      <c r="P2617" s="12">
        <v>0.5</v>
      </c>
      <c r="Q2617" s="12">
        <v>0.85</v>
      </c>
      <c r="R2617" s="12">
        <v>0.75</v>
      </c>
      <c r="S2617" s="12">
        <v>0.90500000000000003</v>
      </c>
      <c r="T2617" s="12">
        <v>0.75</v>
      </c>
      <c r="U2617" s="12">
        <v>0.8</v>
      </c>
      <c r="V2617" s="12">
        <v>278.14999999999998</v>
      </c>
      <c r="W2617" s="12">
        <v>12.16272633096975</v>
      </c>
      <c r="X2617" s="12">
        <v>69.704797313452474</v>
      </c>
      <c r="Y2617" s="12">
        <v>2606.25</v>
      </c>
      <c r="Z2617" s="12">
        <v>7.6190476190476186</v>
      </c>
      <c r="AA2617" s="12" t="s">
        <v>1268</v>
      </c>
      <c r="AB2617" s="12"/>
    </row>
    <row r="2618" spans="1:28" x14ac:dyDescent="0.3">
      <c r="A2618" s="12" t="s">
        <v>4535</v>
      </c>
      <c r="B2618" s="12" t="s">
        <v>198</v>
      </c>
      <c r="C2618" s="12" t="s">
        <v>485</v>
      </c>
      <c r="D2618" s="12" t="s">
        <v>4521</v>
      </c>
      <c r="E2618" s="12" t="s">
        <v>4403</v>
      </c>
      <c r="F2618" s="12" t="s">
        <v>32</v>
      </c>
      <c r="G2618" s="12" t="s">
        <v>32</v>
      </c>
      <c r="H2618" s="12" t="b">
        <v>1</v>
      </c>
      <c r="I2618" s="12" t="b">
        <v>1</v>
      </c>
      <c r="J2618" s="12" t="b">
        <v>0</v>
      </c>
      <c r="K2618" s="12" t="b">
        <v>0</v>
      </c>
      <c r="L2618" s="12">
        <v>420</v>
      </c>
      <c r="M2618" s="12">
        <v>278.14999999999998</v>
      </c>
      <c r="N2618" s="12">
        <v>3000</v>
      </c>
      <c r="O2618" s="12">
        <v>393.75</v>
      </c>
      <c r="P2618" s="12">
        <v>0.5</v>
      </c>
      <c r="Q2618" s="12">
        <v>0.85</v>
      </c>
      <c r="R2618" s="12">
        <v>0.75</v>
      </c>
      <c r="S2618" s="12">
        <v>0.79500000000000004</v>
      </c>
      <c r="T2618" s="12">
        <v>0.75</v>
      </c>
      <c r="U2618" s="12">
        <v>0.8</v>
      </c>
      <c r="V2618" s="12">
        <v>278.14999999999998</v>
      </c>
      <c r="W2618" s="12">
        <v>11.61319641779901</v>
      </c>
      <c r="X2618" s="12">
        <v>58.82630448573201</v>
      </c>
      <c r="Y2618" s="12">
        <v>2606.25</v>
      </c>
      <c r="Z2618" s="12">
        <v>7.6190476190476186</v>
      </c>
      <c r="AA2618" s="12"/>
      <c r="AB2618" s="12"/>
    </row>
    <row r="2619" spans="1:28" x14ac:dyDescent="0.3">
      <c r="A2619" s="12" t="s">
        <v>4536</v>
      </c>
      <c r="B2619" s="12" t="s">
        <v>198</v>
      </c>
      <c r="C2619" s="12" t="s">
        <v>485</v>
      </c>
      <c r="D2619" s="12" t="s">
        <v>4521</v>
      </c>
      <c r="E2619" s="12" t="s">
        <v>4403</v>
      </c>
      <c r="F2619" s="12" t="s">
        <v>32</v>
      </c>
      <c r="G2619" s="12" t="s">
        <v>32</v>
      </c>
      <c r="H2619" s="12" t="b">
        <v>1</v>
      </c>
      <c r="I2619" s="12" t="b">
        <v>1</v>
      </c>
      <c r="J2619" s="12" t="b">
        <v>0</v>
      </c>
      <c r="K2619" s="12" t="b">
        <v>0</v>
      </c>
      <c r="L2619" s="12">
        <v>420</v>
      </c>
      <c r="M2619" s="12">
        <v>278.14999999999998</v>
      </c>
      <c r="N2619" s="12">
        <v>3000</v>
      </c>
      <c r="O2619" s="12">
        <v>393.75</v>
      </c>
      <c r="P2619" s="12">
        <v>0.5</v>
      </c>
      <c r="Q2619" s="12">
        <v>0.85</v>
      </c>
      <c r="R2619" s="12">
        <v>0.75</v>
      </c>
      <c r="S2619" s="12">
        <v>0.85</v>
      </c>
      <c r="T2619" s="12">
        <v>0.80499999999999994</v>
      </c>
      <c r="U2619" s="12">
        <v>0.8</v>
      </c>
      <c r="V2619" s="12">
        <v>278.14999999999998</v>
      </c>
      <c r="W2619" s="12">
        <v>12.369837462556481</v>
      </c>
      <c r="X2619" s="12">
        <v>64.748792218910296</v>
      </c>
      <c r="Y2619" s="12">
        <v>2606.25</v>
      </c>
      <c r="Z2619" s="12">
        <v>7.6190476190476186</v>
      </c>
      <c r="AA2619" s="12"/>
      <c r="AB2619" s="12"/>
    </row>
    <row r="2620" spans="1:28" x14ac:dyDescent="0.3">
      <c r="A2620" s="12" t="s">
        <v>4537</v>
      </c>
      <c r="B2620" s="12" t="s">
        <v>198</v>
      </c>
      <c r="C2620" s="12" t="s">
        <v>485</v>
      </c>
      <c r="D2620" s="12" t="s">
        <v>4521</v>
      </c>
      <c r="E2620" s="12" t="s">
        <v>4403</v>
      </c>
      <c r="F2620" s="12" t="s">
        <v>1861</v>
      </c>
      <c r="G2620" s="12" t="s">
        <v>1861</v>
      </c>
      <c r="H2620" s="12" t="b">
        <v>1</v>
      </c>
      <c r="I2620" s="12" t="b">
        <v>0</v>
      </c>
      <c r="J2620" s="12" t="b">
        <v>0</v>
      </c>
      <c r="K2620" s="12" t="b">
        <v>0</v>
      </c>
      <c r="L2620" s="12">
        <v>420</v>
      </c>
      <c r="M2620" s="12">
        <v>278.14999999999998</v>
      </c>
      <c r="N2620" s="12">
        <v>3000</v>
      </c>
      <c r="O2620" s="12">
        <v>393.75</v>
      </c>
      <c r="P2620" s="12">
        <v>0.5</v>
      </c>
      <c r="Q2620" s="12">
        <v>0.85</v>
      </c>
      <c r="R2620" s="12">
        <v>0.75</v>
      </c>
      <c r="S2620" s="12">
        <v>0.85</v>
      </c>
      <c r="T2620" s="12">
        <v>0.69500000000000006</v>
      </c>
      <c r="U2620" s="12">
        <v>0.8</v>
      </c>
      <c r="V2620" s="12">
        <v>278.14999999999998</v>
      </c>
      <c r="W2620" s="12">
        <v>11.479227355211041</v>
      </c>
      <c r="X2620" s="12">
        <v>63.840005273705643</v>
      </c>
      <c r="Y2620" s="12">
        <v>2606.25</v>
      </c>
      <c r="Z2620" s="12">
        <v>7.6190476190476186</v>
      </c>
      <c r="AA2620" s="12" t="s">
        <v>1268</v>
      </c>
      <c r="AB2620" s="12"/>
    </row>
    <row r="2621" spans="1:28" x14ac:dyDescent="0.3">
      <c r="A2621" s="12" t="s">
        <v>4538</v>
      </c>
      <c r="B2621" s="12" t="s">
        <v>198</v>
      </c>
      <c r="C2621" s="12" t="s">
        <v>485</v>
      </c>
      <c r="D2621" s="12" t="s">
        <v>4521</v>
      </c>
      <c r="E2621" s="12" t="s">
        <v>4403</v>
      </c>
      <c r="F2621" s="12" t="s">
        <v>32</v>
      </c>
      <c r="G2621" s="12" t="s">
        <v>32</v>
      </c>
      <c r="H2621" s="12" t="b">
        <v>1</v>
      </c>
      <c r="I2621" s="12" t="b">
        <v>1</v>
      </c>
      <c r="J2621" s="12" t="b">
        <v>0</v>
      </c>
      <c r="K2621" s="12" t="b">
        <v>0</v>
      </c>
      <c r="L2621" s="12">
        <v>420</v>
      </c>
      <c r="M2621" s="12">
        <v>278.14999999999998</v>
      </c>
      <c r="N2621" s="12">
        <v>3000</v>
      </c>
      <c r="O2621" s="12">
        <v>393.75</v>
      </c>
      <c r="P2621" s="12">
        <v>0.5</v>
      </c>
      <c r="Q2621" s="12">
        <v>0.85</v>
      </c>
      <c r="R2621" s="12">
        <v>0.75</v>
      </c>
      <c r="S2621" s="12">
        <v>0.85</v>
      </c>
      <c r="T2621" s="12">
        <v>0.75</v>
      </c>
      <c r="U2621" s="12">
        <v>0.85499999999999998</v>
      </c>
      <c r="V2621" s="12">
        <v>278.14999999999998</v>
      </c>
      <c r="W2621" s="12">
        <v>11.54689458987405</v>
      </c>
      <c r="X2621" s="12">
        <v>63.951237606291699</v>
      </c>
      <c r="Y2621" s="12">
        <v>2606.25</v>
      </c>
      <c r="Z2621" s="12">
        <v>7.6190476190476186</v>
      </c>
      <c r="AA2621" s="12"/>
      <c r="AB2621" s="12"/>
    </row>
    <row r="2622" spans="1:28" x14ac:dyDescent="0.3">
      <c r="A2622" s="12" t="s">
        <v>4539</v>
      </c>
      <c r="B2622" s="12" t="s">
        <v>198</v>
      </c>
      <c r="C2622" s="12" t="s">
        <v>485</v>
      </c>
      <c r="D2622" s="12" t="s">
        <v>4521</v>
      </c>
      <c r="E2622" s="12" t="s">
        <v>4403</v>
      </c>
      <c r="F2622" s="12" t="s">
        <v>1861</v>
      </c>
      <c r="G2622" s="12" t="s">
        <v>1861</v>
      </c>
      <c r="H2622" s="12" t="b">
        <v>1</v>
      </c>
      <c r="I2622" s="12" t="b">
        <v>0</v>
      </c>
      <c r="J2622" s="12" t="b">
        <v>0</v>
      </c>
      <c r="K2622" s="12" t="b">
        <v>0</v>
      </c>
      <c r="L2622" s="12">
        <v>420</v>
      </c>
      <c r="M2622" s="12">
        <v>278.14999999999998</v>
      </c>
      <c r="N2622" s="12">
        <v>3000</v>
      </c>
      <c r="O2622" s="12">
        <v>393.75</v>
      </c>
      <c r="P2622" s="12">
        <v>0.5</v>
      </c>
      <c r="Q2622" s="12">
        <v>0.85</v>
      </c>
      <c r="R2622" s="12">
        <v>0.75</v>
      </c>
      <c r="S2622" s="12">
        <v>0.85</v>
      </c>
      <c r="T2622" s="12">
        <v>0.75</v>
      </c>
      <c r="U2622" s="12">
        <v>0.74500000000000011</v>
      </c>
      <c r="V2622" s="12">
        <v>278.14999999999998</v>
      </c>
      <c r="W2622" s="12">
        <v>12.21901858372232</v>
      </c>
      <c r="X2622" s="12">
        <v>64.100566373291286</v>
      </c>
      <c r="Y2622" s="12">
        <v>2606.25</v>
      </c>
      <c r="Z2622" s="12">
        <v>7.6190476190476186</v>
      </c>
      <c r="AA2622" s="12" t="s">
        <v>1268</v>
      </c>
      <c r="AB2622" s="12"/>
    </row>
    <row r="2623" spans="1:28" x14ac:dyDescent="0.3">
      <c r="A2623" s="12" t="s">
        <v>4540</v>
      </c>
      <c r="B2623" s="12" t="s">
        <v>198</v>
      </c>
      <c r="C2623" s="12" t="s">
        <v>485</v>
      </c>
      <c r="D2623" s="12" t="s">
        <v>4521</v>
      </c>
      <c r="E2623" s="12" t="s">
        <v>4403</v>
      </c>
      <c r="F2623" s="12" t="s">
        <v>1861</v>
      </c>
      <c r="G2623" s="12" t="s">
        <v>1861</v>
      </c>
      <c r="H2623" s="12" t="b">
        <v>1</v>
      </c>
      <c r="I2623" s="12" t="b">
        <v>0</v>
      </c>
      <c r="J2623" s="12" t="b">
        <v>1</v>
      </c>
      <c r="K2623" s="12" t="b">
        <v>0</v>
      </c>
      <c r="L2623" s="12">
        <v>432</v>
      </c>
      <c r="M2623" s="12">
        <v>278.14999999999998</v>
      </c>
      <c r="N2623" s="12">
        <v>3000</v>
      </c>
      <c r="O2623" s="12">
        <v>393.75</v>
      </c>
      <c r="P2623" s="12">
        <v>0.5</v>
      </c>
      <c r="Q2623" s="12">
        <v>0.90500000000000003</v>
      </c>
      <c r="R2623" s="12">
        <v>0.75</v>
      </c>
      <c r="S2623" s="12">
        <v>0.85</v>
      </c>
      <c r="T2623" s="12">
        <v>0.75</v>
      </c>
      <c r="U2623" s="12">
        <v>0.8</v>
      </c>
      <c r="V2623" s="12">
        <v>278.14999999999998</v>
      </c>
      <c r="W2623" s="12">
        <v>13.70638239108635</v>
      </c>
      <c r="X2623" s="12">
        <v>95.857081732314143</v>
      </c>
      <c r="Y2623" s="12">
        <v>2606.25</v>
      </c>
      <c r="Z2623" s="12">
        <v>7.6190476190476186</v>
      </c>
      <c r="AA2623" s="12" t="s">
        <v>1268</v>
      </c>
      <c r="AB2623" s="12"/>
    </row>
    <row r="2624" spans="1:28" x14ac:dyDescent="0.3">
      <c r="A2624" s="12" t="s">
        <v>4541</v>
      </c>
      <c r="B2624" s="12" t="s">
        <v>198</v>
      </c>
      <c r="C2624" s="12" t="s">
        <v>485</v>
      </c>
      <c r="D2624" s="12" t="s">
        <v>4521</v>
      </c>
      <c r="E2624" s="12" t="s">
        <v>4403</v>
      </c>
      <c r="F2624" s="12" t="s">
        <v>32</v>
      </c>
      <c r="G2624" s="12" t="s">
        <v>32</v>
      </c>
      <c r="H2624" s="12" t="b">
        <v>1</v>
      </c>
      <c r="I2624" s="12" t="b">
        <v>1</v>
      </c>
      <c r="J2624" s="12" t="b">
        <v>0</v>
      </c>
      <c r="K2624" s="12" t="b">
        <v>0</v>
      </c>
      <c r="L2624" s="12">
        <v>408</v>
      </c>
      <c r="M2624" s="12">
        <v>278.14999999999998</v>
      </c>
      <c r="N2624" s="12">
        <v>3000</v>
      </c>
      <c r="O2624" s="12">
        <v>393.75</v>
      </c>
      <c r="P2624" s="12">
        <v>0.5</v>
      </c>
      <c r="Q2624" s="12">
        <v>0.90500000000000003</v>
      </c>
      <c r="R2624" s="12">
        <v>0.75</v>
      </c>
      <c r="S2624" s="12">
        <v>0.85</v>
      </c>
      <c r="T2624" s="12">
        <v>0.75</v>
      </c>
      <c r="U2624" s="12">
        <v>0.8</v>
      </c>
      <c r="V2624" s="12">
        <v>278.14999999999998</v>
      </c>
      <c r="W2624" s="12">
        <v>10.973458652363201</v>
      </c>
      <c r="X2624" s="12">
        <v>43.374605905583422</v>
      </c>
      <c r="Y2624" s="12">
        <v>2606.25</v>
      </c>
      <c r="Z2624" s="12">
        <v>7.6190476190476186</v>
      </c>
      <c r="AA2624" s="12"/>
      <c r="AB2624" s="12"/>
    </row>
    <row r="2625" spans="1:28" x14ac:dyDescent="0.3">
      <c r="A2625" s="12" t="s">
        <v>4542</v>
      </c>
      <c r="B2625" s="12" t="s">
        <v>198</v>
      </c>
      <c r="C2625" s="12" t="s">
        <v>485</v>
      </c>
      <c r="D2625" s="12" t="s">
        <v>4521</v>
      </c>
      <c r="E2625" s="12" t="s">
        <v>4403</v>
      </c>
      <c r="F2625" s="12" t="s">
        <v>1861</v>
      </c>
      <c r="G2625" s="12" t="s">
        <v>1861</v>
      </c>
      <c r="H2625" s="12" t="b">
        <v>1</v>
      </c>
      <c r="I2625" s="12" t="b">
        <v>0</v>
      </c>
      <c r="J2625" s="12" t="b">
        <v>0</v>
      </c>
      <c r="K2625" s="12" t="b">
        <v>0</v>
      </c>
      <c r="L2625" s="12">
        <v>420</v>
      </c>
      <c r="M2625" s="12">
        <v>280.69</v>
      </c>
      <c r="N2625" s="12">
        <v>3000</v>
      </c>
      <c r="O2625" s="12">
        <v>393.75</v>
      </c>
      <c r="P2625" s="12">
        <v>0.5</v>
      </c>
      <c r="Q2625" s="12">
        <v>0.90500000000000003</v>
      </c>
      <c r="R2625" s="12">
        <v>0.75</v>
      </c>
      <c r="S2625" s="12">
        <v>0.85</v>
      </c>
      <c r="T2625" s="12">
        <v>0.75</v>
      </c>
      <c r="U2625" s="12">
        <v>0.8</v>
      </c>
      <c r="V2625" s="12">
        <v>280.69</v>
      </c>
      <c r="W2625" s="12">
        <v>12.829629781823961</v>
      </c>
      <c r="X2625" s="12">
        <v>68.793304075398481</v>
      </c>
      <c r="Y2625" s="12">
        <v>2606.25</v>
      </c>
      <c r="Z2625" s="12">
        <v>7.6190476190476186</v>
      </c>
      <c r="AA2625" s="12" t="s">
        <v>1268</v>
      </c>
      <c r="AB2625" s="12"/>
    </row>
    <row r="2626" spans="1:28" x14ac:dyDescent="0.3">
      <c r="A2626" s="12" t="s">
        <v>4543</v>
      </c>
      <c r="B2626" s="12" t="s">
        <v>198</v>
      </c>
      <c r="C2626" s="12" t="s">
        <v>485</v>
      </c>
      <c r="D2626" s="12" t="s">
        <v>4521</v>
      </c>
      <c r="E2626" s="12" t="s">
        <v>4403</v>
      </c>
      <c r="F2626" s="12" t="s">
        <v>32</v>
      </c>
      <c r="G2626" s="12" t="s">
        <v>32</v>
      </c>
      <c r="H2626" s="12" t="b">
        <v>1</v>
      </c>
      <c r="I2626" s="12" t="b">
        <v>1</v>
      </c>
      <c r="J2626" s="12" t="b">
        <v>0</v>
      </c>
      <c r="K2626" s="12" t="b">
        <v>0</v>
      </c>
      <c r="L2626" s="12">
        <v>420</v>
      </c>
      <c r="M2626" s="12">
        <v>278.14999999999998</v>
      </c>
      <c r="N2626" s="12">
        <v>3300</v>
      </c>
      <c r="O2626" s="12">
        <v>393.75</v>
      </c>
      <c r="P2626" s="12">
        <v>0.5</v>
      </c>
      <c r="Q2626" s="12">
        <v>0.90500000000000003</v>
      </c>
      <c r="R2626" s="12">
        <v>0.75</v>
      </c>
      <c r="S2626" s="12">
        <v>0.85</v>
      </c>
      <c r="T2626" s="12">
        <v>0.75</v>
      </c>
      <c r="U2626" s="12">
        <v>0.8</v>
      </c>
      <c r="V2626" s="12">
        <v>278.14999999999998</v>
      </c>
      <c r="W2626" s="12">
        <v>12.44043815924933</v>
      </c>
      <c r="X2626" s="12">
        <v>60.214030675710461</v>
      </c>
      <c r="Y2626" s="12">
        <v>2906.25</v>
      </c>
      <c r="Z2626" s="12">
        <v>8.3809523809523814</v>
      </c>
      <c r="AA2626" s="12"/>
      <c r="AB2626" s="12"/>
    </row>
    <row r="2627" spans="1:28" x14ac:dyDescent="0.3">
      <c r="A2627" s="12" t="s">
        <v>4544</v>
      </c>
      <c r="B2627" s="12" t="s">
        <v>198</v>
      </c>
      <c r="C2627" s="12" t="s">
        <v>485</v>
      </c>
      <c r="D2627" s="12" t="s">
        <v>4521</v>
      </c>
      <c r="E2627" s="12" t="s">
        <v>4403</v>
      </c>
      <c r="F2627" s="12" t="s">
        <v>1861</v>
      </c>
      <c r="G2627" s="12" t="s">
        <v>1861</v>
      </c>
      <c r="H2627" s="12" t="b">
        <v>1</v>
      </c>
      <c r="I2627" s="12" t="b">
        <v>0</v>
      </c>
      <c r="J2627" s="12" t="b">
        <v>0</v>
      </c>
      <c r="K2627" s="12" t="b">
        <v>0</v>
      </c>
      <c r="L2627" s="12">
        <v>420</v>
      </c>
      <c r="M2627" s="12">
        <v>278.14999999999998</v>
      </c>
      <c r="N2627" s="12">
        <v>2700</v>
      </c>
      <c r="O2627" s="12">
        <v>393.75</v>
      </c>
      <c r="P2627" s="12">
        <v>0.5</v>
      </c>
      <c r="Q2627" s="12">
        <v>0.90500000000000003</v>
      </c>
      <c r="R2627" s="12">
        <v>0.75</v>
      </c>
      <c r="S2627" s="12">
        <v>0.85</v>
      </c>
      <c r="T2627" s="12">
        <v>0.75</v>
      </c>
      <c r="U2627" s="12">
        <v>0.8</v>
      </c>
      <c r="V2627" s="12">
        <v>278.14999999999998</v>
      </c>
      <c r="W2627" s="12">
        <v>12.73635912497738</v>
      </c>
      <c r="X2627" s="12">
        <v>76.563159565147984</v>
      </c>
      <c r="Y2627" s="12">
        <v>2306.25</v>
      </c>
      <c r="Z2627" s="12">
        <v>6.8571428571428568</v>
      </c>
      <c r="AA2627" s="12" t="s">
        <v>1268</v>
      </c>
      <c r="AB2627" s="12"/>
    </row>
    <row r="2628" spans="1:28" x14ac:dyDescent="0.3">
      <c r="A2628" s="12" t="s">
        <v>4545</v>
      </c>
      <c r="B2628" s="12" t="s">
        <v>198</v>
      </c>
      <c r="C2628" s="12" t="s">
        <v>485</v>
      </c>
      <c r="D2628" s="12" t="s">
        <v>4521</v>
      </c>
      <c r="E2628" s="12" t="s">
        <v>4403</v>
      </c>
      <c r="F2628" s="12" t="s">
        <v>32</v>
      </c>
      <c r="G2628" s="12" t="s">
        <v>32</v>
      </c>
      <c r="H2628" s="12" t="b">
        <v>1</v>
      </c>
      <c r="I2628" s="12" t="b">
        <v>1</v>
      </c>
      <c r="J2628" s="12" t="b">
        <v>0</v>
      </c>
      <c r="K2628" s="12" t="b">
        <v>0</v>
      </c>
      <c r="L2628" s="12">
        <v>420</v>
      </c>
      <c r="M2628" s="12">
        <v>278.14999999999998</v>
      </c>
      <c r="N2628" s="12">
        <v>3000</v>
      </c>
      <c r="O2628" s="12">
        <v>613.75</v>
      </c>
      <c r="P2628" s="12">
        <v>0.5</v>
      </c>
      <c r="Q2628" s="12">
        <v>0.90500000000000003</v>
      </c>
      <c r="R2628" s="12">
        <v>0.75</v>
      </c>
      <c r="S2628" s="12">
        <v>0.85</v>
      </c>
      <c r="T2628" s="12">
        <v>0.75</v>
      </c>
      <c r="U2628" s="12">
        <v>0.8</v>
      </c>
      <c r="V2628" s="12">
        <v>278.14999999999998</v>
      </c>
      <c r="W2628" s="12">
        <v>10.119285241645199</v>
      </c>
      <c r="X2628" s="12">
        <v>54.553559588881328</v>
      </c>
      <c r="Y2628" s="12">
        <v>2386.25</v>
      </c>
      <c r="Z2628" s="12">
        <v>4.8879837067209779</v>
      </c>
      <c r="AA2628" s="12"/>
      <c r="AB2628" s="12"/>
    </row>
    <row r="2629" spans="1:28" x14ac:dyDescent="0.3">
      <c r="A2629" s="12" t="s">
        <v>4546</v>
      </c>
      <c r="B2629" s="12" t="s">
        <v>198</v>
      </c>
      <c r="C2629" s="12" t="s">
        <v>485</v>
      </c>
      <c r="D2629" s="12" t="s">
        <v>4521</v>
      </c>
      <c r="E2629" s="12" t="s">
        <v>4403</v>
      </c>
      <c r="F2629" s="12" t="s">
        <v>1861</v>
      </c>
      <c r="G2629" s="12" t="s">
        <v>1861</v>
      </c>
      <c r="H2629" s="12" t="b">
        <v>1</v>
      </c>
      <c r="I2629" s="12" t="b">
        <v>0</v>
      </c>
      <c r="J2629" s="12" t="b">
        <v>0</v>
      </c>
      <c r="K2629" s="12" t="b">
        <v>0</v>
      </c>
      <c r="L2629" s="12">
        <v>420</v>
      </c>
      <c r="M2629" s="12">
        <v>278.14999999999998</v>
      </c>
      <c r="N2629" s="12">
        <v>3000</v>
      </c>
      <c r="O2629" s="12">
        <v>300</v>
      </c>
      <c r="P2629" s="12">
        <v>0.5</v>
      </c>
      <c r="Q2629" s="12">
        <v>0.90500000000000003</v>
      </c>
      <c r="R2629" s="12">
        <v>0.75</v>
      </c>
      <c r="S2629" s="12">
        <v>0.85</v>
      </c>
      <c r="T2629" s="12">
        <v>0.75</v>
      </c>
      <c r="U2629" s="12">
        <v>0.8</v>
      </c>
      <c r="V2629" s="12">
        <v>278.14999999999998</v>
      </c>
      <c r="W2629" s="12">
        <v>14.170011861867829</v>
      </c>
      <c r="X2629" s="12">
        <v>76.633347121562309</v>
      </c>
      <c r="Y2629" s="12">
        <v>2700</v>
      </c>
      <c r="Z2629" s="12">
        <v>10</v>
      </c>
      <c r="AA2629" s="12" t="s">
        <v>1268</v>
      </c>
      <c r="AB2629" s="12"/>
    </row>
    <row r="2630" spans="1:28" x14ac:dyDescent="0.3">
      <c r="A2630" s="12" t="s">
        <v>4547</v>
      </c>
      <c r="B2630" s="12" t="s">
        <v>198</v>
      </c>
      <c r="C2630" s="12" t="s">
        <v>485</v>
      </c>
      <c r="D2630" s="12" t="s">
        <v>4521</v>
      </c>
      <c r="E2630" s="12" t="s">
        <v>4403</v>
      </c>
      <c r="F2630" s="12" t="s">
        <v>1861</v>
      </c>
      <c r="G2630" s="12" t="s">
        <v>1861</v>
      </c>
      <c r="H2630" s="12" t="b">
        <v>1</v>
      </c>
      <c r="I2630" s="12" t="b">
        <v>0</v>
      </c>
      <c r="J2630" s="12" t="b">
        <v>0</v>
      </c>
      <c r="K2630" s="12" t="b">
        <v>0</v>
      </c>
      <c r="L2630" s="12">
        <v>420</v>
      </c>
      <c r="M2630" s="12">
        <v>278.14999999999998</v>
      </c>
      <c r="N2630" s="12">
        <v>3000</v>
      </c>
      <c r="O2630" s="12">
        <v>393.75</v>
      </c>
      <c r="P2630" s="12">
        <v>0.53500000000000003</v>
      </c>
      <c r="Q2630" s="12">
        <v>0.90500000000000003</v>
      </c>
      <c r="R2630" s="12">
        <v>0.75</v>
      </c>
      <c r="S2630" s="12">
        <v>0.85</v>
      </c>
      <c r="T2630" s="12">
        <v>0.75</v>
      </c>
      <c r="U2630" s="12">
        <v>0.8</v>
      </c>
      <c r="V2630" s="12">
        <v>278.14999999999998</v>
      </c>
      <c r="W2630" s="12">
        <v>13.715758732466821</v>
      </c>
      <c r="X2630" s="12">
        <v>84.750761070523794</v>
      </c>
      <c r="Y2630" s="12">
        <v>2606.25</v>
      </c>
      <c r="Z2630" s="12">
        <v>7.6190476190476186</v>
      </c>
      <c r="AA2630" s="12" t="s">
        <v>1268</v>
      </c>
      <c r="AB2630" s="12"/>
    </row>
    <row r="2631" spans="1:28" x14ac:dyDescent="0.3">
      <c r="A2631" s="12" t="s">
        <v>4548</v>
      </c>
      <c r="B2631" s="12" t="s">
        <v>198</v>
      </c>
      <c r="C2631" s="12" t="s">
        <v>485</v>
      </c>
      <c r="D2631" s="12" t="s">
        <v>4521</v>
      </c>
      <c r="E2631" s="12" t="s">
        <v>4403</v>
      </c>
      <c r="F2631" s="12" t="s">
        <v>32</v>
      </c>
      <c r="G2631" s="12" t="s">
        <v>32</v>
      </c>
      <c r="H2631" s="12" t="b">
        <v>1</v>
      </c>
      <c r="I2631" s="12" t="b">
        <v>1</v>
      </c>
      <c r="J2631" s="12" t="b">
        <v>0</v>
      </c>
      <c r="K2631" s="12" t="b">
        <v>0</v>
      </c>
      <c r="L2631" s="12">
        <v>420</v>
      </c>
      <c r="M2631" s="12">
        <v>278.14999999999998</v>
      </c>
      <c r="N2631" s="12">
        <v>3000</v>
      </c>
      <c r="O2631" s="12">
        <v>393.75</v>
      </c>
      <c r="P2631" s="12">
        <v>0.5</v>
      </c>
      <c r="Q2631" s="12">
        <v>0.95</v>
      </c>
      <c r="R2631" s="12">
        <v>0.75</v>
      </c>
      <c r="S2631" s="12">
        <v>0.85</v>
      </c>
      <c r="T2631" s="12">
        <v>0.75</v>
      </c>
      <c r="U2631" s="12">
        <v>0.8</v>
      </c>
      <c r="V2631" s="12">
        <v>278.14999999999998</v>
      </c>
      <c r="W2631" s="12">
        <v>13.38063968777891</v>
      </c>
      <c r="X2631" s="12">
        <v>72.338437651290363</v>
      </c>
      <c r="Y2631" s="12">
        <v>2606.25</v>
      </c>
      <c r="Z2631" s="12">
        <v>7.6190476190476186</v>
      </c>
      <c r="AA2631" s="12"/>
      <c r="AB2631" s="12"/>
    </row>
    <row r="2632" spans="1:28" x14ac:dyDescent="0.3">
      <c r="A2632" s="12" t="s">
        <v>4549</v>
      </c>
      <c r="B2632" s="12" t="s">
        <v>198</v>
      </c>
      <c r="C2632" s="12" t="s">
        <v>485</v>
      </c>
      <c r="D2632" s="12" t="s">
        <v>4521</v>
      </c>
      <c r="E2632" s="12" t="s">
        <v>4403</v>
      </c>
      <c r="F2632" s="12" t="s">
        <v>32</v>
      </c>
      <c r="G2632" s="12" t="s">
        <v>32</v>
      </c>
      <c r="H2632" s="12" t="b">
        <v>1</v>
      </c>
      <c r="I2632" s="12" t="b">
        <v>1</v>
      </c>
      <c r="J2632" s="12" t="b">
        <v>0</v>
      </c>
      <c r="K2632" s="12" t="b">
        <v>0</v>
      </c>
      <c r="L2632" s="12">
        <v>420</v>
      </c>
      <c r="M2632" s="12">
        <v>278.14999999999998</v>
      </c>
      <c r="N2632" s="12">
        <v>3000</v>
      </c>
      <c r="O2632" s="12">
        <v>393.75</v>
      </c>
      <c r="P2632" s="12">
        <v>0.5</v>
      </c>
      <c r="Q2632" s="12">
        <v>0.85</v>
      </c>
      <c r="R2632" s="12">
        <v>0.75</v>
      </c>
      <c r="S2632" s="12">
        <v>0.85</v>
      </c>
      <c r="T2632" s="12">
        <v>0.75</v>
      </c>
      <c r="U2632" s="12">
        <v>0.8</v>
      </c>
      <c r="V2632" s="12">
        <v>278.14999999999998</v>
      </c>
      <c r="W2632" s="12">
        <v>11.90841397447066</v>
      </c>
      <c r="X2632" s="12">
        <v>64.294341119429092</v>
      </c>
      <c r="Y2632" s="12">
        <v>2606.25</v>
      </c>
      <c r="Z2632" s="12">
        <v>7.6190476190476186</v>
      </c>
      <c r="AA2632" s="12"/>
      <c r="AB2632" s="12"/>
    </row>
    <row r="2633" spans="1:28" x14ac:dyDescent="0.3">
      <c r="A2633" s="12" t="s">
        <v>4550</v>
      </c>
      <c r="B2633" s="12" t="s">
        <v>198</v>
      </c>
      <c r="C2633" s="12" t="s">
        <v>485</v>
      </c>
      <c r="D2633" s="12" t="s">
        <v>4521</v>
      </c>
      <c r="E2633" s="12" t="s">
        <v>4403</v>
      </c>
      <c r="F2633" s="12" t="s">
        <v>32</v>
      </c>
      <c r="G2633" s="12" t="s">
        <v>32</v>
      </c>
      <c r="H2633" s="12" t="b">
        <v>1</v>
      </c>
      <c r="I2633" s="12" t="b">
        <v>1</v>
      </c>
      <c r="J2633" s="12" t="b">
        <v>0</v>
      </c>
      <c r="K2633" s="12" t="b">
        <v>0</v>
      </c>
      <c r="L2633" s="12">
        <v>420</v>
      </c>
      <c r="M2633" s="12">
        <v>278.14999999999998</v>
      </c>
      <c r="N2633" s="12">
        <v>3000</v>
      </c>
      <c r="O2633" s="12">
        <v>393.75</v>
      </c>
      <c r="P2633" s="12">
        <v>0.5</v>
      </c>
      <c r="Q2633" s="12">
        <v>0.90500000000000003</v>
      </c>
      <c r="R2633" s="12">
        <v>0.80499999999999994</v>
      </c>
      <c r="S2633" s="12">
        <v>0.85</v>
      </c>
      <c r="T2633" s="12">
        <v>0.75</v>
      </c>
      <c r="U2633" s="12">
        <v>0.8</v>
      </c>
      <c r="V2633" s="12">
        <v>278.14999999999998</v>
      </c>
      <c r="W2633" s="12">
        <v>12.768725850216949</v>
      </c>
      <c r="X2633" s="12">
        <v>69.005702934530007</v>
      </c>
      <c r="Y2633" s="12">
        <v>2606.25</v>
      </c>
      <c r="Z2633" s="12">
        <v>7.6190476190476186</v>
      </c>
      <c r="AA2633" s="12"/>
      <c r="AB2633" s="12"/>
    </row>
    <row r="2634" spans="1:28" x14ac:dyDescent="0.3">
      <c r="A2634" s="12" t="s">
        <v>4551</v>
      </c>
      <c r="B2634" s="12" t="s">
        <v>198</v>
      </c>
      <c r="C2634" s="12" t="s">
        <v>485</v>
      </c>
      <c r="D2634" s="12" t="s">
        <v>4521</v>
      </c>
      <c r="E2634" s="12" t="s">
        <v>4403</v>
      </c>
      <c r="F2634" s="12" t="s">
        <v>32</v>
      </c>
      <c r="G2634" s="12" t="s">
        <v>32</v>
      </c>
      <c r="H2634" s="12" t="b">
        <v>1</v>
      </c>
      <c r="I2634" s="12" t="b">
        <v>1</v>
      </c>
      <c r="J2634" s="12" t="b">
        <v>0</v>
      </c>
      <c r="K2634" s="12" t="b">
        <v>0</v>
      </c>
      <c r="L2634" s="12">
        <v>420</v>
      </c>
      <c r="M2634" s="12">
        <v>278.14999999999998</v>
      </c>
      <c r="N2634" s="12">
        <v>3000</v>
      </c>
      <c r="O2634" s="12">
        <v>393.75</v>
      </c>
      <c r="P2634" s="12">
        <v>0.5</v>
      </c>
      <c r="Q2634" s="12">
        <v>0.90500000000000003</v>
      </c>
      <c r="R2634" s="12">
        <v>0.69500000000000006</v>
      </c>
      <c r="S2634" s="12">
        <v>0.85</v>
      </c>
      <c r="T2634" s="12">
        <v>0.75</v>
      </c>
      <c r="U2634" s="12">
        <v>0.8</v>
      </c>
      <c r="V2634" s="12">
        <v>278.14999999999998</v>
      </c>
      <c r="W2634" s="12">
        <v>12.660774398488909</v>
      </c>
      <c r="X2634" s="12">
        <v>68.387259136917606</v>
      </c>
      <c r="Y2634" s="12">
        <v>2606.25</v>
      </c>
      <c r="Z2634" s="12">
        <v>7.6190476190476186</v>
      </c>
      <c r="AA2634" s="12"/>
      <c r="AB2634" s="12"/>
    </row>
    <row r="2635" spans="1:28" x14ac:dyDescent="0.3">
      <c r="A2635" s="12" t="s">
        <v>4552</v>
      </c>
      <c r="B2635" s="12" t="s">
        <v>198</v>
      </c>
      <c r="C2635" s="12" t="s">
        <v>485</v>
      </c>
      <c r="D2635" s="12" t="s">
        <v>4521</v>
      </c>
      <c r="E2635" s="12" t="s">
        <v>4403</v>
      </c>
      <c r="F2635" s="12" t="s">
        <v>1861</v>
      </c>
      <c r="G2635" s="12" t="s">
        <v>1861</v>
      </c>
      <c r="H2635" s="12" t="b">
        <v>1</v>
      </c>
      <c r="I2635" s="12" t="b">
        <v>0</v>
      </c>
      <c r="J2635" s="12" t="b">
        <v>0</v>
      </c>
      <c r="K2635" s="12" t="b">
        <v>0</v>
      </c>
      <c r="L2635" s="12">
        <v>420</v>
      </c>
      <c r="M2635" s="12">
        <v>278.14999999999998</v>
      </c>
      <c r="N2635" s="12">
        <v>3000</v>
      </c>
      <c r="O2635" s="12">
        <v>393.75</v>
      </c>
      <c r="P2635" s="12">
        <v>0.5</v>
      </c>
      <c r="Q2635" s="12">
        <v>0.90500000000000003</v>
      </c>
      <c r="R2635" s="12">
        <v>0.75</v>
      </c>
      <c r="S2635" s="12">
        <v>0.90500000000000003</v>
      </c>
      <c r="T2635" s="12">
        <v>0.75</v>
      </c>
      <c r="U2635" s="12">
        <v>0.8</v>
      </c>
      <c r="V2635" s="12">
        <v>278.14999999999998</v>
      </c>
      <c r="W2635" s="12">
        <v>12.987171276099691</v>
      </c>
      <c r="X2635" s="12">
        <v>74.490045115730396</v>
      </c>
      <c r="Y2635" s="12">
        <v>2606.25</v>
      </c>
      <c r="Z2635" s="12">
        <v>7.6190476190476186</v>
      </c>
      <c r="AA2635" s="12" t="s">
        <v>1268</v>
      </c>
      <c r="AB2635" s="12"/>
    </row>
    <row r="2636" spans="1:28" x14ac:dyDescent="0.3">
      <c r="A2636" s="12" t="s">
        <v>4553</v>
      </c>
      <c r="B2636" s="12" t="s">
        <v>198</v>
      </c>
      <c r="C2636" s="12" t="s">
        <v>485</v>
      </c>
      <c r="D2636" s="12" t="s">
        <v>4521</v>
      </c>
      <c r="E2636" s="12" t="s">
        <v>4403</v>
      </c>
      <c r="F2636" s="12" t="s">
        <v>32</v>
      </c>
      <c r="G2636" s="12" t="s">
        <v>32</v>
      </c>
      <c r="H2636" s="12" t="b">
        <v>1</v>
      </c>
      <c r="I2636" s="12" t="b">
        <v>1</v>
      </c>
      <c r="J2636" s="12" t="b">
        <v>0</v>
      </c>
      <c r="K2636" s="12" t="b">
        <v>0</v>
      </c>
      <c r="L2636" s="12">
        <v>420</v>
      </c>
      <c r="M2636" s="12">
        <v>278.14999999999998</v>
      </c>
      <c r="N2636" s="12">
        <v>3000</v>
      </c>
      <c r="O2636" s="12">
        <v>393.75</v>
      </c>
      <c r="P2636" s="12">
        <v>0.5</v>
      </c>
      <c r="Q2636" s="12">
        <v>0.90500000000000003</v>
      </c>
      <c r="R2636" s="12">
        <v>0.75</v>
      </c>
      <c r="S2636" s="12">
        <v>0.79500000000000004</v>
      </c>
      <c r="T2636" s="12">
        <v>0.75</v>
      </c>
      <c r="U2636" s="12">
        <v>0.8</v>
      </c>
      <c r="V2636" s="12">
        <v>278.14999999999998</v>
      </c>
      <c r="W2636" s="12">
        <v>12.408200090121399</v>
      </c>
      <c r="X2636" s="12">
        <v>62.894168974087357</v>
      </c>
      <c r="Y2636" s="12">
        <v>2606.25</v>
      </c>
      <c r="Z2636" s="12">
        <v>7.6190476190476186</v>
      </c>
      <c r="AA2636" s="12"/>
      <c r="AB2636" s="12"/>
    </row>
    <row r="2637" spans="1:28" x14ac:dyDescent="0.3">
      <c r="A2637" s="12" t="s">
        <v>4554</v>
      </c>
      <c r="B2637" s="12" t="s">
        <v>198</v>
      </c>
      <c r="C2637" s="12" t="s">
        <v>485</v>
      </c>
      <c r="D2637" s="12" t="s">
        <v>4521</v>
      </c>
      <c r="E2637" s="12" t="s">
        <v>4403</v>
      </c>
      <c r="F2637" s="12" t="s">
        <v>32</v>
      </c>
      <c r="G2637" s="12" t="s">
        <v>32</v>
      </c>
      <c r="H2637" s="12" t="b">
        <v>1</v>
      </c>
      <c r="I2637" s="12" t="b">
        <v>1</v>
      </c>
      <c r="J2637" s="12" t="b">
        <v>0</v>
      </c>
      <c r="K2637" s="12" t="b">
        <v>0</v>
      </c>
      <c r="L2637" s="12">
        <v>420</v>
      </c>
      <c r="M2637" s="12">
        <v>278.14999999999998</v>
      </c>
      <c r="N2637" s="12">
        <v>3000</v>
      </c>
      <c r="O2637" s="12">
        <v>393.75</v>
      </c>
      <c r="P2637" s="12">
        <v>0.5</v>
      </c>
      <c r="Q2637" s="12">
        <v>0.90500000000000003</v>
      </c>
      <c r="R2637" s="12">
        <v>0.75</v>
      </c>
      <c r="S2637" s="12">
        <v>0.85</v>
      </c>
      <c r="T2637" s="12">
        <v>0.80499999999999994</v>
      </c>
      <c r="U2637" s="12">
        <v>0.8</v>
      </c>
      <c r="V2637" s="12">
        <v>278.14999999999998</v>
      </c>
      <c r="W2637" s="12">
        <v>13.21168397473728</v>
      </c>
      <c r="X2637" s="12">
        <v>69.203543803024303</v>
      </c>
      <c r="Y2637" s="12">
        <v>2606.25</v>
      </c>
      <c r="Z2637" s="12">
        <v>7.6190476190476186</v>
      </c>
      <c r="AA2637" s="12"/>
      <c r="AB2637" s="12"/>
    </row>
    <row r="2638" spans="1:28" x14ac:dyDescent="0.3">
      <c r="A2638" s="12" t="s">
        <v>4555</v>
      </c>
      <c r="B2638" s="12" t="s">
        <v>198</v>
      </c>
      <c r="C2638" s="12" t="s">
        <v>485</v>
      </c>
      <c r="D2638" s="12" t="s">
        <v>4521</v>
      </c>
      <c r="E2638" s="12" t="s">
        <v>4403</v>
      </c>
      <c r="F2638" s="12" t="s">
        <v>1861</v>
      </c>
      <c r="G2638" s="12" t="s">
        <v>1861</v>
      </c>
      <c r="H2638" s="12" t="b">
        <v>1</v>
      </c>
      <c r="I2638" s="12" t="b">
        <v>0</v>
      </c>
      <c r="J2638" s="12" t="b">
        <v>0</v>
      </c>
      <c r="K2638" s="12" t="b">
        <v>0</v>
      </c>
      <c r="L2638" s="12">
        <v>420</v>
      </c>
      <c r="M2638" s="12">
        <v>278.14999999999998</v>
      </c>
      <c r="N2638" s="12">
        <v>3000</v>
      </c>
      <c r="O2638" s="12">
        <v>393.75</v>
      </c>
      <c r="P2638" s="12">
        <v>0.5</v>
      </c>
      <c r="Q2638" s="12">
        <v>0.90500000000000003</v>
      </c>
      <c r="R2638" s="12">
        <v>0.75</v>
      </c>
      <c r="S2638" s="12">
        <v>0.85</v>
      </c>
      <c r="T2638" s="12">
        <v>0.69500000000000006</v>
      </c>
      <c r="U2638" s="12">
        <v>0.8</v>
      </c>
      <c r="V2638" s="12">
        <v>278.14999999999998</v>
      </c>
      <c r="W2638" s="12">
        <v>12.260768649109281</v>
      </c>
      <c r="X2638" s="12">
        <v>68.238019660848096</v>
      </c>
      <c r="Y2638" s="12">
        <v>2606.25</v>
      </c>
      <c r="Z2638" s="12">
        <v>7.6190476190476186</v>
      </c>
      <c r="AA2638" s="12" t="s">
        <v>1268</v>
      </c>
      <c r="AB2638" s="12"/>
    </row>
    <row r="2639" spans="1:28" x14ac:dyDescent="0.3">
      <c r="A2639" s="12" t="s">
        <v>4556</v>
      </c>
      <c r="B2639" s="12" t="s">
        <v>198</v>
      </c>
      <c r="C2639" s="12" t="s">
        <v>485</v>
      </c>
      <c r="D2639" s="12" t="s">
        <v>4521</v>
      </c>
      <c r="E2639" s="12" t="s">
        <v>4403</v>
      </c>
      <c r="F2639" s="12" t="s">
        <v>32</v>
      </c>
      <c r="G2639" s="12" t="s">
        <v>32</v>
      </c>
      <c r="H2639" s="12" t="b">
        <v>1</v>
      </c>
      <c r="I2639" s="12" t="b">
        <v>1</v>
      </c>
      <c r="J2639" s="12" t="b">
        <v>0</v>
      </c>
      <c r="K2639" s="12" t="b">
        <v>0</v>
      </c>
      <c r="L2639" s="12">
        <v>420</v>
      </c>
      <c r="M2639" s="12">
        <v>278.14999999999998</v>
      </c>
      <c r="N2639" s="12">
        <v>3000</v>
      </c>
      <c r="O2639" s="12">
        <v>393.75</v>
      </c>
      <c r="P2639" s="12">
        <v>0.5</v>
      </c>
      <c r="Q2639" s="12">
        <v>0.90500000000000003</v>
      </c>
      <c r="R2639" s="12">
        <v>0.75</v>
      </c>
      <c r="S2639" s="12">
        <v>0.85</v>
      </c>
      <c r="T2639" s="12">
        <v>0.75</v>
      </c>
      <c r="U2639" s="12">
        <v>0.85499999999999998</v>
      </c>
      <c r="V2639" s="12">
        <v>278.14999999999998</v>
      </c>
      <c r="W2639" s="12">
        <v>12.33588410853519</v>
      </c>
      <c r="X2639" s="12">
        <v>68.354563085792691</v>
      </c>
      <c r="Y2639" s="12">
        <v>2606.25</v>
      </c>
      <c r="Z2639" s="12">
        <v>7.6190476190476186</v>
      </c>
      <c r="AA2639" s="12"/>
      <c r="AB2639" s="12"/>
    </row>
    <row r="2640" spans="1:28" x14ac:dyDescent="0.3">
      <c r="A2640" s="12" t="s">
        <v>4557</v>
      </c>
      <c r="B2640" s="12" t="s">
        <v>198</v>
      </c>
      <c r="C2640" s="12" t="s">
        <v>485</v>
      </c>
      <c r="D2640" s="12" t="s">
        <v>4521</v>
      </c>
      <c r="E2640" s="12" t="s">
        <v>4403</v>
      </c>
      <c r="F2640" s="12" t="s">
        <v>1861</v>
      </c>
      <c r="G2640" s="12" t="s">
        <v>1861</v>
      </c>
      <c r="H2640" s="12" t="b">
        <v>1</v>
      </c>
      <c r="I2640" s="12" t="b">
        <v>0</v>
      </c>
      <c r="J2640" s="12" t="b">
        <v>0</v>
      </c>
      <c r="K2640" s="12" t="b">
        <v>0</v>
      </c>
      <c r="L2640" s="12">
        <v>420</v>
      </c>
      <c r="M2640" s="12">
        <v>278.14999999999998</v>
      </c>
      <c r="N2640" s="12">
        <v>3000</v>
      </c>
      <c r="O2640" s="12">
        <v>393.75</v>
      </c>
      <c r="P2640" s="12">
        <v>0.5</v>
      </c>
      <c r="Q2640" s="12">
        <v>0.90500000000000003</v>
      </c>
      <c r="R2640" s="12">
        <v>0.75</v>
      </c>
      <c r="S2640" s="12">
        <v>0.85</v>
      </c>
      <c r="T2640" s="12">
        <v>0.75</v>
      </c>
      <c r="U2640" s="12">
        <v>0.74500000000000011</v>
      </c>
      <c r="V2640" s="12">
        <v>278.14999999999998</v>
      </c>
      <c r="W2640" s="12">
        <v>13.06085748413264</v>
      </c>
      <c r="X2640" s="12">
        <v>68.587635717884268</v>
      </c>
      <c r="Y2640" s="12">
        <v>2606.25</v>
      </c>
      <c r="Z2640" s="12">
        <v>7.6190476190476186</v>
      </c>
      <c r="AA2640" s="12" t="s">
        <v>1268</v>
      </c>
      <c r="AB2640" s="12"/>
    </row>
    <row r="2641" spans="1:28" x14ac:dyDescent="0.3">
      <c r="A2641" s="12" t="s">
        <v>4558</v>
      </c>
      <c r="B2641" s="12" t="s">
        <v>198</v>
      </c>
      <c r="C2641" s="12" t="s">
        <v>485</v>
      </c>
      <c r="D2641" s="12" t="s">
        <v>4521</v>
      </c>
      <c r="E2641" s="12" t="s">
        <v>4403</v>
      </c>
      <c r="F2641" s="12" t="s">
        <v>1861</v>
      </c>
      <c r="G2641" s="12" t="s">
        <v>1861</v>
      </c>
      <c r="H2641" s="12" t="b">
        <v>1</v>
      </c>
      <c r="I2641" s="12" t="b">
        <v>0</v>
      </c>
      <c r="J2641" s="12" t="b">
        <v>1</v>
      </c>
      <c r="K2641" s="12" t="b">
        <v>0</v>
      </c>
      <c r="L2641" s="12">
        <v>432</v>
      </c>
      <c r="M2641" s="12">
        <v>278.14999999999998</v>
      </c>
      <c r="N2641" s="12">
        <v>3000</v>
      </c>
      <c r="O2641" s="12">
        <v>393.75</v>
      </c>
      <c r="P2641" s="12">
        <v>0.5</v>
      </c>
      <c r="Q2641" s="12">
        <v>0.95</v>
      </c>
      <c r="R2641" s="12">
        <v>0.75</v>
      </c>
      <c r="S2641" s="12">
        <v>0.85</v>
      </c>
      <c r="T2641" s="12">
        <v>0.75</v>
      </c>
      <c r="U2641" s="12">
        <v>0.8</v>
      </c>
      <c r="V2641" s="12">
        <v>278.14999999999998</v>
      </c>
      <c r="W2641" s="12">
        <v>14.412393864470371</v>
      </c>
      <c r="X2641" s="12">
        <v>100.86831872412419</v>
      </c>
      <c r="Y2641" s="12">
        <v>2606.25</v>
      </c>
      <c r="Z2641" s="12">
        <v>7.6190476190476186</v>
      </c>
      <c r="AA2641" s="12" t="s">
        <v>1981</v>
      </c>
      <c r="AB2641" s="12"/>
    </row>
    <row r="2642" spans="1:28" x14ac:dyDescent="0.3">
      <c r="A2642" s="12" t="s">
        <v>4559</v>
      </c>
      <c r="B2642" s="12" t="s">
        <v>198</v>
      </c>
      <c r="C2642" s="12" t="s">
        <v>485</v>
      </c>
      <c r="D2642" s="12" t="s">
        <v>4521</v>
      </c>
      <c r="E2642" s="12" t="s">
        <v>4403</v>
      </c>
      <c r="F2642" s="12" t="s">
        <v>32</v>
      </c>
      <c r="G2642" s="12" t="s">
        <v>32</v>
      </c>
      <c r="H2642" s="12" t="b">
        <v>1</v>
      </c>
      <c r="I2642" s="12" t="b">
        <v>1</v>
      </c>
      <c r="J2642" s="12" t="b">
        <v>0</v>
      </c>
      <c r="K2642" s="12" t="b">
        <v>0</v>
      </c>
      <c r="L2642" s="12">
        <v>408</v>
      </c>
      <c r="M2642" s="12">
        <v>278.14999999999998</v>
      </c>
      <c r="N2642" s="12">
        <v>3000</v>
      </c>
      <c r="O2642" s="12">
        <v>393.75</v>
      </c>
      <c r="P2642" s="12">
        <v>0.5</v>
      </c>
      <c r="Q2642" s="12">
        <v>0.95</v>
      </c>
      <c r="R2642" s="12">
        <v>0.75</v>
      </c>
      <c r="S2642" s="12">
        <v>0.85</v>
      </c>
      <c r="T2642" s="12">
        <v>0.75</v>
      </c>
      <c r="U2642" s="12">
        <v>0.8</v>
      </c>
      <c r="V2642" s="12">
        <v>278.14999999999998</v>
      </c>
      <c r="W2642" s="12">
        <v>11.56555679957556</v>
      </c>
      <c r="X2642" s="12">
        <v>45.735995431161399</v>
      </c>
      <c r="Y2642" s="12">
        <v>2606.25</v>
      </c>
      <c r="Z2642" s="12">
        <v>7.6190476190476186</v>
      </c>
      <c r="AA2642" s="12"/>
      <c r="AB2642" s="12"/>
    </row>
    <row r="2643" spans="1:28" x14ac:dyDescent="0.3">
      <c r="A2643" s="12" t="s">
        <v>4560</v>
      </c>
      <c r="B2643" s="12" t="s">
        <v>198</v>
      </c>
      <c r="C2643" s="12" t="s">
        <v>485</v>
      </c>
      <c r="D2643" s="12" t="s">
        <v>4521</v>
      </c>
      <c r="E2643" s="12" t="s">
        <v>4403</v>
      </c>
      <c r="F2643" s="12" t="s">
        <v>1861</v>
      </c>
      <c r="G2643" s="12" t="s">
        <v>1861</v>
      </c>
      <c r="H2643" s="12" t="b">
        <v>1</v>
      </c>
      <c r="I2643" s="12" t="b">
        <v>0</v>
      </c>
      <c r="J2643" s="12" t="b">
        <v>0</v>
      </c>
      <c r="K2643" s="12" t="b">
        <v>0</v>
      </c>
      <c r="L2643" s="12">
        <v>420</v>
      </c>
      <c r="M2643" s="12">
        <v>280.69</v>
      </c>
      <c r="N2643" s="12">
        <v>3000</v>
      </c>
      <c r="O2643" s="12">
        <v>393.75</v>
      </c>
      <c r="P2643" s="12">
        <v>0.5</v>
      </c>
      <c r="Q2643" s="12">
        <v>0.95</v>
      </c>
      <c r="R2643" s="12">
        <v>0.75</v>
      </c>
      <c r="S2643" s="12">
        <v>0.85</v>
      </c>
      <c r="T2643" s="12">
        <v>0.75</v>
      </c>
      <c r="U2643" s="12">
        <v>0.8</v>
      </c>
      <c r="V2643" s="12">
        <v>280.69</v>
      </c>
      <c r="W2643" s="12">
        <v>13.4985938033909</v>
      </c>
      <c r="X2643" s="12">
        <v>72.424088495371791</v>
      </c>
      <c r="Y2643" s="12">
        <v>2606.25</v>
      </c>
      <c r="Z2643" s="12">
        <v>7.6190476190476186</v>
      </c>
      <c r="AA2643" s="12" t="s">
        <v>1268</v>
      </c>
      <c r="AB2643" s="12"/>
    </row>
    <row r="2644" spans="1:28" x14ac:dyDescent="0.3">
      <c r="A2644" s="12" t="s">
        <v>4561</v>
      </c>
      <c r="B2644" s="12" t="s">
        <v>198</v>
      </c>
      <c r="C2644" s="12" t="s">
        <v>485</v>
      </c>
      <c r="D2644" s="12" t="s">
        <v>4521</v>
      </c>
      <c r="E2644" s="12" t="s">
        <v>4403</v>
      </c>
      <c r="F2644" s="12" t="s">
        <v>32</v>
      </c>
      <c r="G2644" s="12" t="s">
        <v>32</v>
      </c>
      <c r="H2644" s="12" t="b">
        <v>1</v>
      </c>
      <c r="I2644" s="12" t="b">
        <v>1</v>
      </c>
      <c r="J2644" s="12" t="b">
        <v>0</v>
      </c>
      <c r="K2644" s="12" t="b">
        <v>0</v>
      </c>
      <c r="L2644" s="12">
        <v>420</v>
      </c>
      <c r="M2644" s="12">
        <v>278.14999999999998</v>
      </c>
      <c r="N2644" s="12">
        <v>3300</v>
      </c>
      <c r="O2644" s="12">
        <v>393.75</v>
      </c>
      <c r="P2644" s="12">
        <v>0.5</v>
      </c>
      <c r="Q2644" s="12">
        <v>0.95</v>
      </c>
      <c r="R2644" s="12">
        <v>0.75</v>
      </c>
      <c r="S2644" s="12">
        <v>0.85</v>
      </c>
      <c r="T2644" s="12">
        <v>0.75</v>
      </c>
      <c r="U2644" s="12">
        <v>0.8</v>
      </c>
      <c r="V2644" s="12">
        <v>278.14999999999998</v>
      </c>
      <c r="W2644" s="12">
        <v>13.09862969189399</v>
      </c>
      <c r="X2644" s="12">
        <v>63.43506931300643</v>
      </c>
      <c r="Y2644" s="12">
        <v>2906.25</v>
      </c>
      <c r="Z2644" s="12">
        <v>8.3809523809523814</v>
      </c>
      <c r="AA2644" s="12"/>
      <c r="AB2644" s="12"/>
    </row>
    <row r="2645" spans="1:28" x14ac:dyDescent="0.3">
      <c r="A2645" s="12" t="s">
        <v>4562</v>
      </c>
      <c r="B2645" s="12" t="s">
        <v>198</v>
      </c>
      <c r="C2645" s="12" t="s">
        <v>485</v>
      </c>
      <c r="D2645" s="12" t="s">
        <v>4521</v>
      </c>
      <c r="E2645" s="12" t="s">
        <v>4403</v>
      </c>
      <c r="F2645" s="12" t="s">
        <v>1861</v>
      </c>
      <c r="G2645" s="12" t="s">
        <v>1861</v>
      </c>
      <c r="H2645" s="12" t="b">
        <v>1</v>
      </c>
      <c r="I2645" s="12" t="b">
        <v>0</v>
      </c>
      <c r="J2645" s="12" t="b">
        <v>0</v>
      </c>
      <c r="K2645" s="12" t="b">
        <v>0</v>
      </c>
      <c r="L2645" s="12">
        <v>420</v>
      </c>
      <c r="M2645" s="12">
        <v>278.14999999999998</v>
      </c>
      <c r="N2645" s="12">
        <v>2700</v>
      </c>
      <c r="O2645" s="12">
        <v>393.75</v>
      </c>
      <c r="P2645" s="12">
        <v>0.5</v>
      </c>
      <c r="Q2645" s="12">
        <v>0.95</v>
      </c>
      <c r="R2645" s="12">
        <v>0.75</v>
      </c>
      <c r="S2645" s="12">
        <v>0.85</v>
      </c>
      <c r="T2645" s="12">
        <v>0.75</v>
      </c>
      <c r="U2645" s="12">
        <v>0.8</v>
      </c>
      <c r="V2645" s="12">
        <v>278.14999999999998</v>
      </c>
      <c r="W2645" s="12">
        <v>13.3925973077306</v>
      </c>
      <c r="X2645" s="12">
        <v>80.558668734225378</v>
      </c>
      <c r="Y2645" s="12">
        <v>2306.25</v>
      </c>
      <c r="Z2645" s="12">
        <v>6.8571428571428568</v>
      </c>
      <c r="AA2645" s="12" t="s">
        <v>1268</v>
      </c>
      <c r="AB2645" s="12"/>
    </row>
    <row r="2646" spans="1:28" x14ac:dyDescent="0.3">
      <c r="A2646" s="12" t="s">
        <v>4563</v>
      </c>
      <c r="B2646" s="12" t="s">
        <v>198</v>
      </c>
      <c r="C2646" s="12" t="s">
        <v>485</v>
      </c>
      <c r="D2646" s="12" t="s">
        <v>4521</v>
      </c>
      <c r="E2646" s="12" t="s">
        <v>4403</v>
      </c>
      <c r="F2646" s="12" t="s">
        <v>32</v>
      </c>
      <c r="G2646" s="12" t="s">
        <v>32</v>
      </c>
      <c r="H2646" s="12" t="b">
        <v>1</v>
      </c>
      <c r="I2646" s="12" t="b">
        <v>1</v>
      </c>
      <c r="J2646" s="12" t="b">
        <v>0</v>
      </c>
      <c r="K2646" s="12" t="b">
        <v>0</v>
      </c>
      <c r="L2646" s="12">
        <v>420</v>
      </c>
      <c r="M2646" s="12">
        <v>278.14999999999998</v>
      </c>
      <c r="N2646" s="12">
        <v>3000</v>
      </c>
      <c r="O2646" s="12">
        <v>613.75</v>
      </c>
      <c r="P2646" s="12">
        <v>0.5</v>
      </c>
      <c r="Q2646" s="12">
        <v>0.95</v>
      </c>
      <c r="R2646" s="12">
        <v>0.75</v>
      </c>
      <c r="S2646" s="12">
        <v>0.85</v>
      </c>
      <c r="T2646" s="12">
        <v>0.75</v>
      </c>
      <c r="U2646" s="12">
        <v>0.8</v>
      </c>
      <c r="V2646" s="12">
        <v>278.14999999999998</v>
      </c>
      <c r="W2646" s="12">
        <v>10.652228808798681</v>
      </c>
      <c r="X2646" s="12">
        <v>57.45408478550366</v>
      </c>
      <c r="Y2646" s="12">
        <v>2386.25</v>
      </c>
      <c r="Z2646" s="12">
        <v>4.8879837067209779</v>
      </c>
      <c r="AA2646" s="12"/>
      <c r="AB2646" s="12"/>
    </row>
    <row r="2647" spans="1:28" x14ac:dyDescent="0.3">
      <c r="A2647" s="12" t="s">
        <v>4564</v>
      </c>
      <c r="B2647" s="12" t="s">
        <v>198</v>
      </c>
      <c r="C2647" s="12" t="s">
        <v>485</v>
      </c>
      <c r="D2647" s="12" t="s">
        <v>4521</v>
      </c>
      <c r="E2647" s="12" t="s">
        <v>4403</v>
      </c>
      <c r="F2647" s="12" t="s">
        <v>1861</v>
      </c>
      <c r="G2647" s="12" t="s">
        <v>1861</v>
      </c>
      <c r="H2647" s="12" t="b">
        <v>1</v>
      </c>
      <c r="I2647" s="12" t="b">
        <v>0</v>
      </c>
      <c r="J2647" s="12" t="b">
        <v>0</v>
      </c>
      <c r="K2647" s="12" t="b">
        <v>0</v>
      </c>
      <c r="L2647" s="12">
        <v>420</v>
      </c>
      <c r="M2647" s="12">
        <v>278.14999999999998</v>
      </c>
      <c r="N2647" s="12">
        <v>3000</v>
      </c>
      <c r="O2647" s="12">
        <v>300</v>
      </c>
      <c r="P2647" s="12">
        <v>0.5</v>
      </c>
      <c r="Q2647" s="12">
        <v>0.95</v>
      </c>
      <c r="R2647" s="12">
        <v>0.75</v>
      </c>
      <c r="S2647" s="12">
        <v>0.85</v>
      </c>
      <c r="T2647" s="12">
        <v>0.75</v>
      </c>
      <c r="U2647" s="12">
        <v>0.8</v>
      </c>
      <c r="V2647" s="12">
        <v>278.14999999999998</v>
      </c>
      <c r="W2647" s="12">
        <v>14.911435895042811</v>
      </c>
      <c r="X2647" s="12">
        <v>80.698111067645513</v>
      </c>
      <c r="Y2647" s="12">
        <v>2700</v>
      </c>
      <c r="Z2647" s="12">
        <v>10</v>
      </c>
      <c r="AA2647" s="12" t="s">
        <v>1981</v>
      </c>
      <c r="AB2647" s="12"/>
    </row>
    <row r="2648" spans="1:28" x14ac:dyDescent="0.3">
      <c r="A2648" s="12" t="s">
        <v>4565</v>
      </c>
      <c r="B2648" s="12" t="s">
        <v>198</v>
      </c>
      <c r="C2648" s="12" t="s">
        <v>485</v>
      </c>
      <c r="D2648" s="12" t="s">
        <v>4521</v>
      </c>
      <c r="E2648" s="12" t="s">
        <v>4403</v>
      </c>
      <c r="F2648" s="12" t="s">
        <v>1861</v>
      </c>
      <c r="G2648" s="12" t="s">
        <v>1861</v>
      </c>
      <c r="H2648" s="12" t="b">
        <v>1</v>
      </c>
      <c r="I2648" s="12" t="b">
        <v>0</v>
      </c>
      <c r="J2648" s="12" t="b">
        <v>0</v>
      </c>
      <c r="K2648" s="12" t="b">
        <v>0</v>
      </c>
      <c r="L2648" s="12">
        <v>420</v>
      </c>
      <c r="M2648" s="12">
        <v>278.14999999999998</v>
      </c>
      <c r="N2648" s="12">
        <v>3000</v>
      </c>
      <c r="O2648" s="12">
        <v>393.75</v>
      </c>
      <c r="P2648" s="12">
        <v>0.53500000000000003</v>
      </c>
      <c r="Q2648" s="12">
        <v>0.95</v>
      </c>
      <c r="R2648" s="12">
        <v>0.75</v>
      </c>
      <c r="S2648" s="12">
        <v>0.85</v>
      </c>
      <c r="T2648" s="12">
        <v>0.75</v>
      </c>
      <c r="U2648" s="12">
        <v>0.8</v>
      </c>
      <c r="V2648" s="12">
        <v>278.14999999999998</v>
      </c>
      <c r="W2648" s="12">
        <v>14.42895588995345</v>
      </c>
      <c r="X2648" s="12">
        <v>89.221409611076751</v>
      </c>
      <c r="Y2648" s="12">
        <v>2606.25</v>
      </c>
      <c r="Z2648" s="12">
        <v>7.6190476190476186</v>
      </c>
      <c r="AA2648" s="12" t="s">
        <v>1268</v>
      </c>
      <c r="AB2648" s="12"/>
    </row>
    <row r="2649" spans="1:28" x14ac:dyDescent="0.3">
      <c r="A2649" s="12" t="s">
        <v>4566</v>
      </c>
      <c r="B2649" s="12" t="s">
        <v>198</v>
      </c>
      <c r="C2649" s="12" t="s">
        <v>485</v>
      </c>
      <c r="D2649" s="12" t="s">
        <v>4521</v>
      </c>
      <c r="E2649" s="12" t="s">
        <v>4403</v>
      </c>
      <c r="F2649" s="12" t="s">
        <v>32</v>
      </c>
      <c r="G2649" s="12" t="s">
        <v>32</v>
      </c>
      <c r="H2649" s="12" t="b">
        <v>1</v>
      </c>
      <c r="I2649" s="12" t="b">
        <v>1</v>
      </c>
      <c r="J2649" s="12" t="b">
        <v>0</v>
      </c>
      <c r="K2649" s="12" t="b">
        <v>0</v>
      </c>
      <c r="L2649" s="12">
        <v>420</v>
      </c>
      <c r="M2649" s="12">
        <v>278.14999999999998</v>
      </c>
      <c r="N2649" s="12">
        <v>3000</v>
      </c>
      <c r="O2649" s="12">
        <v>393.75</v>
      </c>
      <c r="P2649" s="12">
        <v>0.5</v>
      </c>
      <c r="Q2649" s="12">
        <v>0.89500000000000002</v>
      </c>
      <c r="R2649" s="12">
        <v>0.75</v>
      </c>
      <c r="S2649" s="12">
        <v>0.85</v>
      </c>
      <c r="T2649" s="12">
        <v>0.75</v>
      </c>
      <c r="U2649" s="12">
        <v>0.8</v>
      </c>
      <c r="V2649" s="12">
        <v>278.14999999999998</v>
      </c>
      <c r="W2649" s="12">
        <v>12.57150016006878</v>
      </c>
      <c r="X2649" s="12">
        <v>67.914750926317538</v>
      </c>
      <c r="Y2649" s="12">
        <v>2606.25</v>
      </c>
      <c r="Z2649" s="12">
        <v>7.6190476190476186</v>
      </c>
      <c r="AA2649" s="12"/>
      <c r="AB2649" s="12"/>
    </row>
    <row r="2650" spans="1:28" x14ac:dyDescent="0.3">
      <c r="A2650" s="12" t="s">
        <v>4567</v>
      </c>
      <c r="B2650" s="12" t="s">
        <v>198</v>
      </c>
      <c r="C2650" s="12" t="s">
        <v>485</v>
      </c>
      <c r="D2650" s="12" t="s">
        <v>4521</v>
      </c>
      <c r="E2650" s="12" t="s">
        <v>4403</v>
      </c>
      <c r="F2650" s="12" t="s">
        <v>32</v>
      </c>
      <c r="G2650" s="12" t="s">
        <v>32</v>
      </c>
      <c r="H2650" s="12" t="b">
        <v>1</v>
      </c>
      <c r="I2650" s="12" t="b">
        <v>1</v>
      </c>
      <c r="J2650" s="12" t="b">
        <v>0</v>
      </c>
      <c r="K2650" s="12" t="b">
        <v>0</v>
      </c>
      <c r="L2650" s="12">
        <v>420</v>
      </c>
      <c r="M2650" s="12">
        <v>278.14999999999998</v>
      </c>
      <c r="N2650" s="12">
        <v>3000</v>
      </c>
      <c r="O2650" s="12">
        <v>393.75</v>
      </c>
      <c r="P2650" s="12">
        <v>0.5</v>
      </c>
      <c r="Q2650" s="12">
        <v>0.95</v>
      </c>
      <c r="R2650" s="12">
        <v>0.80499999999999994</v>
      </c>
      <c r="S2650" s="12">
        <v>0.85</v>
      </c>
      <c r="T2650" s="12">
        <v>0.75</v>
      </c>
      <c r="U2650" s="12">
        <v>0.8</v>
      </c>
      <c r="V2650" s="12">
        <v>278.14999999999998</v>
      </c>
      <c r="W2650" s="12">
        <v>13.43040904430358</v>
      </c>
      <c r="X2650" s="12">
        <v>72.624733428203953</v>
      </c>
      <c r="Y2650" s="12">
        <v>2606.25</v>
      </c>
      <c r="Z2650" s="12">
        <v>7.6190476190476186</v>
      </c>
      <c r="AA2650" s="12"/>
      <c r="AB2650" s="12"/>
    </row>
    <row r="2651" spans="1:28" x14ac:dyDescent="0.3">
      <c r="A2651" s="12" t="s">
        <v>4568</v>
      </c>
      <c r="B2651" s="12" t="s">
        <v>198</v>
      </c>
      <c r="C2651" s="12" t="s">
        <v>485</v>
      </c>
      <c r="D2651" s="12" t="s">
        <v>4521</v>
      </c>
      <c r="E2651" s="12" t="s">
        <v>4403</v>
      </c>
      <c r="F2651" s="12" t="s">
        <v>32</v>
      </c>
      <c r="G2651" s="12" t="s">
        <v>32</v>
      </c>
      <c r="H2651" s="12" t="b">
        <v>1</v>
      </c>
      <c r="I2651" s="12" t="b">
        <v>1</v>
      </c>
      <c r="J2651" s="12" t="b">
        <v>0</v>
      </c>
      <c r="K2651" s="12" t="b">
        <v>0</v>
      </c>
      <c r="L2651" s="12">
        <v>420</v>
      </c>
      <c r="M2651" s="12">
        <v>278.14999999999998</v>
      </c>
      <c r="N2651" s="12">
        <v>3000</v>
      </c>
      <c r="O2651" s="12">
        <v>393.75</v>
      </c>
      <c r="P2651" s="12">
        <v>0.5</v>
      </c>
      <c r="Q2651" s="12">
        <v>0.95</v>
      </c>
      <c r="R2651" s="12">
        <v>0.69500000000000006</v>
      </c>
      <c r="S2651" s="12">
        <v>0.85</v>
      </c>
      <c r="T2651" s="12">
        <v>0.75</v>
      </c>
      <c r="U2651" s="12">
        <v>0.8</v>
      </c>
      <c r="V2651" s="12">
        <v>278.14999999999998</v>
      </c>
      <c r="W2651" s="12">
        <v>13.32295875442874</v>
      </c>
      <c r="X2651" s="12">
        <v>72.006819102557898</v>
      </c>
      <c r="Y2651" s="12">
        <v>2606.25</v>
      </c>
      <c r="Z2651" s="12">
        <v>7.6190476190476186</v>
      </c>
      <c r="AA2651" s="12"/>
      <c r="AB2651" s="12"/>
    </row>
    <row r="2652" spans="1:28" x14ac:dyDescent="0.3">
      <c r="A2652" s="12" t="s">
        <v>4569</v>
      </c>
      <c r="B2652" s="12" t="s">
        <v>198</v>
      </c>
      <c r="C2652" s="12" t="s">
        <v>485</v>
      </c>
      <c r="D2652" s="12" t="s">
        <v>4521</v>
      </c>
      <c r="E2652" s="12" t="s">
        <v>4403</v>
      </c>
      <c r="F2652" s="12" t="s">
        <v>1861</v>
      </c>
      <c r="G2652" s="12" t="s">
        <v>1861</v>
      </c>
      <c r="H2652" s="12" t="b">
        <v>1</v>
      </c>
      <c r="I2652" s="12" t="b">
        <v>0</v>
      </c>
      <c r="J2652" s="12" t="b">
        <v>0</v>
      </c>
      <c r="K2652" s="12" t="b">
        <v>0</v>
      </c>
      <c r="L2652" s="12">
        <v>420</v>
      </c>
      <c r="M2652" s="12">
        <v>278.14999999999998</v>
      </c>
      <c r="N2652" s="12">
        <v>3000</v>
      </c>
      <c r="O2652" s="12">
        <v>393.75</v>
      </c>
      <c r="P2652" s="12">
        <v>0.5</v>
      </c>
      <c r="Q2652" s="12">
        <v>0.95</v>
      </c>
      <c r="R2652" s="12">
        <v>0.75</v>
      </c>
      <c r="S2652" s="12">
        <v>0.90500000000000003</v>
      </c>
      <c r="T2652" s="12">
        <v>0.75</v>
      </c>
      <c r="U2652" s="12">
        <v>0.8</v>
      </c>
      <c r="V2652" s="12">
        <v>278.14999999999998</v>
      </c>
      <c r="W2652" s="12">
        <v>13.660492170794249</v>
      </c>
      <c r="X2652" s="12">
        <v>78.403861264028535</v>
      </c>
      <c r="Y2652" s="12">
        <v>2606.25</v>
      </c>
      <c r="Z2652" s="12">
        <v>7.6190476190476186</v>
      </c>
      <c r="AA2652" s="12" t="s">
        <v>1268</v>
      </c>
      <c r="AB2652" s="12"/>
    </row>
    <row r="2653" spans="1:28" x14ac:dyDescent="0.3">
      <c r="A2653" s="12" t="s">
        <v>4570</v>
      </c>
      <c r="B2653" s="12" t="s">
        <v>198</v>
      </c>
      <c r="C2653" s="12" t="s">
        <v>485</v>
      </c>
      <c r="D2653" s="12" t="s">
        <v>4521</v>
      </c>
      <c r="E2653" s="12" t="s">
        <v>4403</v>
      </c>
      <c r="F2653" s="12" t="s">
        <v>32</v>
      </c>
      <c r="G2653" s="12" t="s">
        <v>32</v>
      </c>
      <c r="H2653" s="12" t="b">
        <v>1</v>
      </c>
      <c r="I2653" s="12" t="b">
        <v>1</v>
      </c>
      <c r="J2653" s="12" t="b">
        <v>0</v>
      </c>
      <c r="K2653" s="12" t="b">
        <v>0</v>
      </c>
      <c r="L2653" s="12">
        <v>420</v>
      </c>
      <c r="M2653" s="12">
        <v>278.14999999999998</v>
      </c>
      <c r="N2653" s="12">
        <v>3000</v>
      </c>
      <c r="O2653" s="12">
        <v>393.75</v>
      </c>
      <c r="P2653" s="12">
        <v>0.5</v>
      </c>
      <c r="Q2653" s="12">
        <v>0.95</v>
      </c>
      <c r="R2653" s="12">
        <v>0.75</v>
      </c>
      <c r="S2653" s="12">
        <v>0.79500000000000004</v>
      </c>
      <c r="T2653" s="12">
        <v>0.75</v>
      </c>
      <c r="U2653" s="12">
        <v>0.8</v>
      </c>
      <c r="V2653" s="12">
        <v>278.14999999999998</v>
      </c>
      <c r="W2653" s="12">
        <v>13.057639780299301</v>
      </c>
      <c r="X2653" s="12">
        <v>66.221153789363427</v>
      </c>
      <c r="Y2653" s="12">
        <v>2606.25</v>
      </c>
      <c r="Z2653" s="12">
        <v>7.6190476190476186</v>
      </c>
      <c r="AA2653" s="12"/>
      <c r="AB2653" s="12"/>
    </row>
    <row r="2654" spans="1:28" x14ac:dyDescent="0.3">
      <c r="A2654" s="12" t="s">
        <v>4571</v>
      </c>
      <c r="B2654" s="12" t="s">
        <v>198</v>
      </c>
      <c r="C2654" s="12" t="s">
        <v>485</v>
      </c>
      <c r="D2654" s="12" t="s">
        <v>4521</v>
      </c>
      <c r="E2654" s="12" t="s">
        <v>4403</v>
      </c>
      <c r="F2654" s="12" t="s">
        <v>32</v>
      </c>
      <c r="G2654" s="12" t="s">
        <v>32</v>
      </c>
      <c r="H2654" s="12" t="b">
        <v>1</v>
      </c>
      <c r="I2654" s="12" t="b">
        <v>1</v>
      </c>
      <c r="J2654" s="12" t="b">
        <v>0</v>
      </c>
      <c r="K2654" s="12" t="b">
        <v>0</v>
      </c>
      <c r="L2654" s="12">
        <v>420</v>
      </c>
      <c r="M2654" s="12">
        <v>278.14999999999998</v>
      </c>
      <c r="N2654" s="12">
        <v>3000</v>
      </c>
      <c r="O2654" s="12">
        <v>393.75</v>
      </c>
      <c r="P2654" s="12">
        <v>0.5</v>
      </c>
      <c r="Q2654" s="12">
        <v>0.95</v>
      </c>
      <c r="R2654" s="12">
        <v>0.75</v>
      </c>
      <c r="S2654" s="12">
        <v>0.85</v>
      </c>
      <c r="T2654" s="12">
        <v>0.80499999999999994</v>
      </c>
      <c r="U2654" s="12">
        <v>0.8</v>
      </c>
      <c r="V2654" s="12">
        <v>278.14999999999998</v>
      </c>
      <c r="W2654" s="12">
        <v>13.89941578479586</v>
      </c>
      <c r="X2654" s="12">
        <v>72.847383123864788</v>
      </c>
      <c r="Y2654" s="12">
        <v>2606.25</v>
      </c>
      <c r="Z2654" s="12">
        <v>7.6190476190476186</v>
      </c>
      <c r="AA2654" s="12"/>
      <c r="AB2654" s="12"/>
    </row>
    <row r="2655" spans="1:28" x14ac:dyDescent="0.3">
      <c r="A2655" s="12" t="s">
        <v>4572</v>
      </c>
      <c r="B2655" s="12" t="s">
        <v>198</v>
      </c>
      <c r="C2655" s="12" t="s">
        <v>485</v>
      </c>
      <c r="D2655" s="12" t="s">
        <v>4521</v>
      </c>
      <c r="E2655" s="12" t="s">
        <v>4403</v>
      </c>
      <c r="F2655" s="12" t="s">
        <v>1861</v>
      </c>
      <c r="G2655" s="12" t="s">
        <v>1861</v>
      </c>
      <c r="H2655" s="12" t="b">
        <v>1</v>
      </c>
      <c r="I2655" s="12" t="b">
        <v>0</v>
      </c>
      <c r="J2655" s="12" t="b">
        <v>0</v>
      </c>
      <c r="K2655" s="12" t="b">
        <v>0</v>
      </c>
      <c r="L2655" s="12">
        <v>420</v>
      </c>
      <c r="M2655" s="12">
        <v>278.14999999999998</v>
      </c>
      <c r="N2655" s="12">
        <v>3000</v>
      </c>
      <c r="O2655" s="12">
        <v>393.75</v>
      </c>
      <c r="P2655" s="12">
        <v>0.5</v>
      </c>
      <c r="Q2655" s="12">
        <v>0.95</v>
      </c>
      <c r="R2655" s="12">
        <v>0.75</v>
      </c>
      <c r="S2655" s="12">
        <v>0.85</v>
      </c>
      <c r="T2655" s="12">
        <v>0.69500000000000006</v>
      </c>
      <c r="U2655" s="12">
        <v>0.8</v>
      </c>
      <c r="V2655" s="12">
        <v>278.14999999999998</v>
      </c>
      <c r="W2655" s="12">
        <v>12.899045124576521</v>
      </c>
      <c r="X2655" s="12">
        <v>71.834741401136668</v>
      </c>
      <c r="Y2655" s="12">
        <v>2606.25</v>
      </c>
      <c r="Z2655" s="12">
        <v>7.6190476190476186</v>
      </c>
      <c r="AA2655" s="12" t="s">
        <v>1268</v>
      </c>
      <c r="AB2655" s="12"/>
    </row>
    <row r="2656" spans="1:28" x14ac:dyDescent="0.3">
      <c r="A2656" s="12" t="s">
        <v>4573</v>
      </c>
      <c r="B2656" s="12" t="s">
        <v>198</v>
      </c>
      <c r="C2656" s="12" t="s">
        <v>485</v>
      </c>
      <c r="D2656" s="12" t="s">
        <v>4521</v>
      </c>
      <c r="E2656" s="12" t="s">
        <v>4403</v>
      </c>
      <c r="F2656" s="12" t="s">
        <v>32</v>
      </c>
      <c r="G2656" s="12" t="s">
        <v>32</v>
      </c>
      <c r="H2656" s="12" t="b">
        <v>1</v>
      </c>
      <c r="I2656" s="12" t="b">
        <v>1</v>
      </c>
      <c r="J2656" s="12" t="b">
        <v>0</v>
      </c>
      <c r="K2656" s="12" t="b">
        <v>0</v>
      </c>
      <c r="L2656" s="12">
        <v>420</v>
      </c>
      <c r="M2656" s="12">
        <v>278.14999999999998</v>
      </c>
      <c r="N2656" s="12">
        <v>3000</v>
      </c>
      <c r="O2656" s="12">
        <v>393.75</v>
      </c>
      <c r="P2656" s="12">
        <v>0.5</v>
      </c>
      <c r="Q2656" s="12">
        <v>0.95</v>
      </c>
      <c r="R2656" s="12">
        <v>0.75</v>
      </c>
      <c r="S2656" s="12">
        <v>0.85</v>
      </c>
      <c r="T2656" s="12">
        <v>0.75</v>
      </c>
      <c r="U2656" s="12">
        <v>0.85499999999999998</v>
      </c>
      <c r="V2656" s="12">
        <v>278.14999999999998</v>
      </c>
      <c r="W2656" s="12">
        <v>12.98072159203808</v>
      </c>
      <c r="X2656" s="12">
        <v>71.956574016528492</v>
      </c>
      <c r="Y2656" s="12">
        <v>2606.25</v>
      </c>
      <c r="Z2656" s="12">
        <v>7.6190476190476186</v>
      </c>
      <c r="AA2656" s="12"/>
      <c r="AB2656" s="12"/>
    </row>
    <row r="2657" spans="1:28" x14ac:dyDescent="0.3">
      <c r="A2657" s="12" t="s">
        <v>4574</v>
      </c>
      <c r="B2657" s="12" t="s">
        <v>198</v>
      </c>
      <c r="C2657" s="12" t="s">
        <v>485</v>
      </c>
      <c r="D2657" s="12" t="s">
        <v>4521</v>
      </c>
      <c r="E2657" s="12" t="s">
        <v>4403</v>
      </c>
      <c r="F2657" s="12" t="s">
        <v>1861</v>
      </c>
      <c r="G2657" s="12" t="s">
        <v>1861</v>
      </c>
      <c r="H2657" s="12" t="b">
        <v>1</v>
      </c>
      <c r="I2657" s="12" t="b">
        <v>0</v>
      </c>
      <c r="J2657" s="12" t="b">
        <v>0</v>
      </c>
      <c r="K2657" s="12" t="b">
        <v>0</v>
      </c>
      <c r="L2657" s="12">
        <v>420</v>
      </c>
      <c r="M2657" s="12">
        <v>278.14999999999998</v>
      </c>
      <c r="N2657" s="12">
        <v>3000</v>
      </c>
      <c r="O2657" s="12">
        <v>393.75</v>
      </c>
      <c r="P2657" s="12">
        <v>0.5</v>
      </c>
      <c r="Q2657" s="12">
        <v>0.95</v>
      </c>
      <c r="R2657" s="12">
        <v>0.75</v>
      </c>
      <c r="S2657" s="12">
        <v>0.85</v>
      </c>
      <c r="T2657" s="12">
        <v>0.75</v>
      </c>
      <c r="U2657" s="12">
        <v>0.74500000000000011</v>
      </c>
      <c r="V2657" s="12">
        <v>278.14999999999998</v>
      </c>
      <c r="W2657" s="12">
        <v>13.7478936258819</v>
      </c>
      <c r="X2657" s="12">
        <v>72.256418232707361</v>
      </c>
      <c r="Y2657" s="12">
        <v>2606.25</v>
      </c>
      <c r="Z2657" s="12">
        <v>7.6190476190476186</v>
      </c>
      <c r="AA2657" s="12" t="s">
        <v>1268</v>
      </c>
      <c r="AB2657" s="12"/>
    </row>
    <row r="2658" spans="1:28" x14ac:dyDescent="0.3">
      <c r="A2658" s="12" t="s">
        <v>4575</v>
      </c>
      <c r="B2658" s="12" t="s">
        <v>198</v>
      </c>
      <c r="C2658" s="12" t="s">
        <v>485</v>
      </c>
      <c r="D2658" s="12" t="s">
        <v>4521</v>
      </c>
      <c r="E2658" s="12" t="s">
        <v>4403</v>
      </c>
      <c r="F2658" s="12" t="s">
        <v>1861</v>
      </c>
      <c r="G2658" s="12" t="s">
        <v>1861</v>
      </c>
      <c r="H2658" s="12" t="b">
        <v>1</v>
      </c>
      <c r="I2658" s="12" t="b">
        <v>0</v>
      </c>
      <c r="J2658" s="12" t="b">
        <v>1</v>
      </c>
      <c r="K2658" s="12" t="b">
        <v>0</v>
      </c>
      <c r="L2658" s="12">
        <v>432</v>
      </c>
      <c r="M2658" s="12">
        <v>278.14999999999998</v>
      </c>
      <c r="N2658" s="12">
        <v>3000</v>
      </c>
      <c r="O2658" s="12">
        <v>393.75</v>
      </c>
      <c r="P2658" s="12">
        <v>0.5</v>
      </c>
      <c r="Q2658" s="12">
        <v>0.95</v>
      </c>
      <c r="R2658" s="12">
        <v>0.75</v>
      </c>
      <c r="S2658" s="12">
        <v>0.85</v>
      </c>
      <c r="T2658" s="12">
        <v>0.80499999999999994</v>
      </c>
      <c r="U2658" s="12">
        <v>0.8</v>
      </c>
      <c r="V2658" s="12">
        <v>278.14999999999998</v>
      </c>
      <c r="W2658" s="12">
        <v>14.80218071969796</v>
      </c>
      <c r="X2658" s="12">
        <v>101.4082530133347</v>
      </c>
      <c r="Y2658" s="12">
        <v>2606.25</v>
      </c>
      <c r="Z2658" s="12">
        <v>7.6190476190476186</v>
      </c>
      <c r="AA2658" s="12" t="s">
        <v>1981</v>
      </c>
      <c r="AB2658" s="12"/>
    </row>
    <row r="2659" spans="1:28" x14ac:dyDescent="0.3">
      <c r="A2659" s="12" t="s">
        <v>4576</v>
      </c>
      <c r="B2659" s="12" t="s">
        <v>198</v>
      </c>
      <c r="C2659" s="12" t="s">
        <v>485</v>
      </c>
      <c r="D2659" s="12" t="s">
        <v>4521</v>
      </c>
      <c r="E2659" s="12" t="s">
        <v>4403</v>
      </c>
      <c r="F2659" s="12" t="s">
        <v>32</v>
      </c>
      <c r="G2659" s="12" t="s">
        <v>32</v>
      </c>
      <c r="H2659" s="12" t="b">
        <v>1</v>
      </c>
      <c r="I2659" s="12" t="b">
        <v>1</v>
      </c>
      <c r="J2659" s="12" t="b">
        <v>0</v>
      </c>
      <c r="K2659" s="12" t="b">
        <v>0</v>
      </c>
      <c r="L2659" s="12">
        <v>408</v>
      </c>
      <c r="M2659" s="12">
        <v>278.14999999999998</v>
      </c>
      <c r="N2659" s="12">
        <v>3000</v>
      </c>
      <c r="O2659" s="12">
        <v>393.75</v>
      </c>
      <c r="P2659" s="12">
        <v>0.5</v>
      </c>
      <c r="Q2659" s="12">
        <v>0.95</v>
      </c>
      <c r="R2659" s="12">
        <v>0.75</v>
      </c>
      <c r="S2659" s="12">
        <v>0.85</v>
      </c>
      <c r="T2659" s="12">
        <v>0.80499999999999994</v>
      </c>
      <c r="U2659" s="12">
        <v>0.8</v>
      </c>
      <c r="V2659" s="12">
        <v>278.14999999999998</v>
      </c>
      <c r="W2659" s="12">
        <v>12.26573805591331</v>
      </c>
      <c r="X2659" s="12">
        <v>46.294600543813502</v>
      </c>
      <c r="Y2659" s="12">
        <v>2606.25</v>
      </c>
      <c r="Z2659" s="12">
        <v>7.6190476190476186</v>
      </c>
      <c r="AA2659" s="12"/>
      <c r="AB2659" s="12"/>
    </row>
    <row r="2660" spans="1:28" x14ac:dyDescent="0.3">
      <c r="A2660" s="12" t="s">
        <v>4577</v>
      </c>
      <c r="B2660" s="12" t="s">
        <v>198</v>
      </c>
      <c r="C2660" s="12" t="s">
        <v>485</v>
      </c>
      <c r="D2660" s="12" t="s">
        <v>4521</v>
      </c>
      <c r="E2660" s="12" t="s">
        <v>4403</v>
      </c>
      <c r="F2660" s="12" t="s">
        <v>1861</v>
      </c>
      <c r="G2660" s="12" t="s">
        <v>1861</v>
      </c>
      <c r="H2660" s="12" t="b">
        <v>1</v>
      </c>
      <c r="I2660" s="12" t="b">
        <v>0</v>
      </c>
      <c r="J2660" s="12" t="b">
        <v>0</v>
      </c>
      <c r="K2660" s="12" t="b">
        <v>0</v>
      </c>
      <c r="L2660" s="12">
        <v>420</v>
      </c>
      <c r="M2660" s="12">
        <v>280.69</v>
      </c>
      <c r="N2660" s="12">
        <v>3000</v>
      </c>
      <c r="O2660" s="12">
        <v>393.75</v>
      </c>
      <c r="P2660" s="12">
        <v>0.5</v>
      </c>
      <c r="Q2660" s="12">
        <v>0.95</v>
      </c>
      <c r="R2660" s="12">
        <v>0.75</v>
      </c>
      <c r="S2660" s="12">
        <v>0.85</v>
      </c>
      <c r="T2660" s="12">
        <v>0.80499999999999994</v>
      </c>
      <c r="U2660" s="12">
        <v>0.8</v>
      </c>
      <c r="V2660" s="12">
        <v>280.69</v>
      </c>
      <c r="W2660" s="12">
        <v>14.01859658970856</v>
      </c>
      <c r="X2660" s="12">
        <v>72.943838925377278</v>
      </c>
      <c r="Y2660" s="12">
        <v>2606.25</v>
      </c>
      <c r="Z2660" s="12">
        <v>7.6190476190476186</v>
      </c>
      <c r="AA2660" s="12" t="s">
        <v>1268</v>
      </c>
      <c r="AB2660" s="12"/>
    </row>
    <row r="2661" spans="1:28" x14ac:dyDescent="0.3">
      <c r="A2661" s="12" t="s">
        <v>4578</v>
      </c>
      <c r="B2661" s="12" t="s">
        <v>198</v>
      </c>
      <c r="C2661" s="12" t="s">
        <v>485</v>
      </c>
      <c r="D2661" s="12" t="s">
        <v>4521</v>
      </c>
      <c r="E2661" s="12" t="s">
        <v>4403</v>
      </c>
      <c r="F2661" s="12" t="s">
        <v>32</v>
      </c>
      <c r="G2661" s="12" t="s">
        <v>32</v>
      </c>
      <c r="H2661" s="12" t="b">
        <v>1</v>
      </c>
      <c r="I2661" s="12" t="b">
        <v>1</v>
      </c>
      <c r="J2661" s="12" t="b">
        <v>0</v>
      </c>
      <c r="K2661" s="12" t="b">
        <v>0</v>
      </c>
      <c r="L2661" s="12">
        <v>420</v>
      </c>
      <c r="M2661" s="12">
        <v>278.14999999999998</v>
      </c>
      <c r="N2661" s="12">
        <v>3300</v>
      </c>
      <c r="O2661" s="12">
        <v>393.75</v>
      </c>
      <c r="P2661" s="12">
        <v>0.5</v>
      </c>
      <c r="Q2661" s="12">
        <v>0.95</v>
      </c>
      <c r="R2661" s="12">
        <v>0.75</v>
      </c>
      <c r="S2661" s="12">
        <v>0.85</v>
      </c>
      <c r="T2661" s="12">
        <v>0.80499999999999994</v>
      </c>
      <c r="U2661" s="12">
        <v>0.8</v>
      </c>
      <c r="V2661" s="12">
        <v>278.14999999999998</v>
      </c>
      <c r="W2661" s="12">
        <v>13.729013756841541</v>
      </c>
      <c r="X2661" s="12">
        <v>64.02212209382003</v>
      </c>
      <c r="Y2661" s="12">
        <v>2906.25</v>
      </c>
      <c r="Z2661" s="12">
        <v>8.3809523809523814</v>
      </c>
      <c r="AA2661" s="12"/>
      <c r="AB2661" s="12"/>
    </row>
    <row r="2662" spans="1:28" x14ac:dyDescent="0.3">
      <c r="A2662" s="12" t="s">
        <v>4579</v>
      </c>
      <c r="B2662" s="12" t="s">
        <v>198</v>
      </c>
      <c r="C2662" s="12" t="s">
        <v>485</v>
      </c>
      <c r="D2662" s="12" t="s">
        <v>4521</v>
      </c>
      <c r="E2662" s="12" t="s">
        <v>4403</v>
      </c>
      <c r="F2662" s="12" t="s">
        <v>1861</v>
      </c>
      <c r="G2662" s="12" t="s">
        <v>1861</v>
      </c>
      <c r="H2662" s="12" t="b">
        <v>1</v>
      </c>
      <c r="I2662" s="12" t="b">
        <v>0</v>
      </c>
      <c r="J2662" s="12" t="b">
        <v>0</v>
      </c>
      <c r="K2662" s="12" t="b">
        <v>0</v>
      </c>
      <c r="L2662" s="12">
        <v>420</v>
      </c>
      <c r="M2662" s="12">
        <v>278.14999999999998</v>
      </c>
      <c r="N2662" s="12">
        <v>2700</v>
      </c>
      <c r="O2662" s="12">
        <v>393.75</v>
      </c>
      <c r="P2662" s="12">
        <v>0.5</v>
      </c>
      <c r="Q2662" s="12">
        <v>0.95</v>
      </c>
      <c r="R2662" s="12">
        <v>0.75</v>
      </c>
      <c r="S2662" s="12">
        <v>0.85</v>
      </c>
      <c r="T2662" s="12">
        <v>0.80499999999999994</v>
      </c>
      <c r="U2662" s="12">
        <v>0.8</v>
      </c>
      <c r="V2662" s="12">
        <v>278.14999999999998</v>
      </c>
      <c r="W2662" s="12">
        <v>13.814893103412331</v>
      </c>
      <c r="X2662" s="12">
        <v>81.020514743455209</v>
      </c>
      <c r="Y2662" s="12">
        <v>2306.25</v>
      </c>
      <c r="Z2662" s="12">
        <v>6.8571428571428568</v>
      </c>
      <c r="AA2662" s="12" t="s">
        <v>1268</v>
      </c>
      <c r="AB2662" s="12"/>
    </row>
    <row r="2663" spans="1:28" x14ac:dyDescent="0.3">
      <c r="A2663" s="12" t="s">
        <v>4580</v>
      </c>
      <c r="B2663" s="12" t="s">
        <v>198</v>
      </c>
      <c r="C2663" s="12" t="s">
        <v>485</v>
      </c>
      <c r="D2663" s="12" t="s">
        <v>4521</v>
      </c>
      <c r="E2663" s="12" t="s">
        <v>4403</v>
      </c>
      <c r="F2663" s="12" t="s">
        <v>32</v>
      </c>
      <c r="G2663" s="12" t="s">
        <v>32</v>
      </c>
      <c r="H2663" s="12" t="b">
        <v>1</v>
      </c>
      <c r="I2663" s="12" t="b">
        <v>1</v>
      </c>
      <c r="J2663" s="12" t="b">
        <v>0</v>
      </c>
      <c r="K2663" s="12" t="b">
        <v>0</v>
      </c>
      <c r="L2663" s="12">
        <v>420</v>
      </c>
      <c r="M2663" s="12">
        <v>278.14999999999998</v>
      </c>
      <c r="N2663" s="12">
        <v>3000</v>
      </c>
      <c r="O2663" s="12">
        <v>613.75</v>
      </c>
      <c r="P2663" s="12">
        <v>0.5</v>
      </c>
      <c r="Q2663" s="12">
        <v>0.95</v>
      </c>
      <c r="R2663" s="12">
        <v>0.75</v>
      </c>
      <c r="S2663" s="12">
        <v>0.85</v>
      </c>
      <c r="T2663" s="12">
        <v>0.80499999999999994</v>
      </c>
      <c r="U2663" s="12">
        <v>0.8</v>
      </c>
      <c r="V2663" s="12">
        <v>278.14999999999998</v>
      </c>
      <c r="W2663" s="12">
        <v>11.064234387580949</v>
      </c>
      <c r="X2663" s="12">
        <v>57.858625238316769</v>
      </c>
      <c r="Y2663" s="12">
        <v>2386.25</v>
      </c>
      <c r="Z2663" s="12">
        <v>4.8879837067209779</v>
      </c>
      <c r="AA2663" s="12"/>
      <c r="AB2663" s="12"/>
    </row>
    <row r="2664" spans="1:28" x14ac:dyDescent="0.3">
      <c r="A2664" s="12" t="s">
        <v>4581</v>
      </c>
      <c r="B2664" s="12" t="s">
        <v>198</v>
      </c>
      <c r="C2664" s="12" t="s">
        <v>485</v>
      </c>
      <c r="D2664" s="12" t="s">
        <v>4521</v>
      </c>
      <c r="E2664" s="12" t="s">
        <v>4403</v>
      </c>
      <c r="F2664" s="12" t="s">
        <v>1861</v>
      </c>
      <c r="G2664" s="12" t="s">
        <v>1861</v>
      </c>
      <c r="H2664" s="12" t="b">
        <v>1</v>
      </c>
      <c r="I2664" s="12" t="b">
        <v>0</v>
      </c>
      <c r="J2664" s="12" t="b">
        <v>0</v>
      </c>
      <c r="K2664" s="12" t="b">
        <v>0</v>
      </c>
      <c r="L2664" s="12">
        <v>420</v>
      </c>
      <c r="M2664" s="12">
        <v>278.14999999999998</v>
      </c>
      <c r="N2664" s="12">
        <v>3000</v>
      </c>
      <c r="O2664" s="12">
        <v>300</v>
      </c>
      <c r="P2664" s="12">
        <v>0.5</v>
      </c>
      <c r="Q2664" s="12">
        <v>0.95</v>
      </c>
      <c r="R2664" s="12">
        <v>0.75</v>
      </c>
      <c r="S2664" s="12">
        <v>0.85</v>
      </c>
      <c r="T2664" s="12">
        <v>0.80499999999999994</v>
      </c>
      <c r="U2664" s="12">
        <v>0.8</v>
      </c>
      <c r="V2664" s="12">
        <v>278.14999999999998</v>
      </c>
      <c r="W2664" s="12">
        <v>15.50924884923074</v>
      </c>
      <c r="X2664" s="12">
        <v>81.37256772327413</v>
      </c>
      <c r="Y2664" s="12">
        <v>2700</v>
      </c>
      <c r="Z2664" s="12">
        <v>10</v>
      </c>
      <c r="AA2664" s="12" t="s">
        <v>1981</v>
      </c>
      <c r="AB2664" s="12"/>
    </row>
    <row r="2665" spans="1:28" x14ac:dyDescent="0.3">
      <c r="A2665" s="12" t="s">
        <v>4582</v>
      </c>
      <c r="B2665" s="12" t="s">
        <v>198</v>
      </c>
      <c r="C2665" s="12" t="s">
        <v>485</v>
      </c>
      <c r="D2665" s="12" t="s">
        <v>4521</v>
      </c>
      <c r="E2665" s="12" t="s">
        <v>4403</v>
      </c>
      <c r="F2665" s="12" t="s">
        <v>1861</v>
      </c>
      <c r="G2665" s="12" t="s">
        <v>1861</v>
      </c>
      <c r="H2665" s="12" t="b">
        <v>1</v>
      </c>
      <c r="I2665" s="12" t="b">
        <v>0</v>
      </c>
      <c r="J2665" s="12" t="b">
        <v>0</v>
      </c>
      <c r="K2665" s="12" t="b">
        <v>0</v>
      </c>
      <c r="L2665" s="12">
        <v>420</v>
      </c>
      <c r="M2665" s="12">
        <v>278.14999999999998</v>
      </c>
      <c r="N2665" s="12">
        <v>3000</v>
      </c>
      <c r="O2665" s="12">
        <v>393.75</v>
      </c>
      <c r="P2665" s="12">
        <v>0.53500000000000003</v>
      </c>
      <c r="Q2665" s="12">
        <v>0.95</v>
      </c>
      <c r="R2665" s="12">
        <v>0.75</v>
      </c>
      <c r="S2665" s="12">
        <v>0.85</v>
      </c>
      <c r="T2665" s="12">
        <v>0.80499999999999994</v>
      </c>
      <c r="U2665" s="12">
        <v>0.8</v>
      </c>
      <c r="V2665" s="12">
        <v>278.14999999999998</v>
      </c>
      <c r="W2665" s="12">
        <v>14.86790589131942</v>
      </c>
      <c r="X2665" s="12">
        <v>89.775012462292082</v>
      </c>
      <c r="Y2665" s="12">
        <v>2606.25</v>
      </c>
      <c r="Z2665" s="12">
        <v>7.6190476190476186</v>
      </c>
      <c r="AA2665" s="12" t="s">
        <v>1268</v>
      </c>
      <c r="AB2665" s="12"/>
    </row>
    <row r="2666" spans="1:28" x14ac:dyDescent="0.3">
      <c r="A2666" s="12" t="s">
        <v>4583</v>
      </c>
      <c r="B2666" s="12" t="s">
        <v>198</v>
      </c>
      <c r="C2666" s="12" t="s">
        <v>485</v>
      </c>
      <c r="D2666" s="12" t="s">
        <v>4521</v>
      </c>
      <c r="E2666" s="12" t="s">
        <v>4403</v>
      </c>
      <c r="F2666" s="12" t="s">
        <v>32</v>
      </c>
      <c r="G2666" s="12" t="s">
        <v>32</v>
      </c>
      <c r="H2666" s="12" t="b">
        <v>1</v>
      </c>
      <c r="I2666" s="12" t="b">
        <v>1</v>
      </c>
      <c r="J2666" s="12" t="b">
        <v>0</v>
      </c>
      <c r="K2666" s="12" t="b">
        <v>0</v>
      </c>
      <c r="L2666" s="12">
        <v>420</v>
      </c>
      <c r="M2666" s="12">
        <v>278.14999999999998</v>
      </c>
      <c r="N2666" s="12">
        <v>3000</v>
      </c>
      <c r="O2666" s="12">
        <v>393.75</v>
      </c>
      <c r="P2666" s="12">
        <v>0.5</v>
      </c>
      <c r="Q2666" s="12">
        <v>0.89500000000000002</v>
      </c>
      <c r="R2666" s="12">
        <v>0.75</v>
      </c>
      <c r="S2666" s="12">
        <v>0.85</v>
      </c>
      <c r="T2666" s="12">
        <v>0.80499999999999994</v>
      </c>
      <c r="U2666" s="12">
        <v>0.8</v>
      </c>
      <c r="V2666" s="12">
        <v>278.14999999999998</v>
      </c>
      <c r="W2666" s="12">
        <v>13.05872623322535</v>
      </c>
      <c r="X2666" s="12">
        <v>68.39368472867136</v>
      </c>
      <c r="Y2666" s="12">
        <v>2606.25</v>
      </c>
      <c r="Z2666" s="12">
        <v>7.6190476190476186</v>
      </c>
      <c r="AA2666" s="12"/>
      <c r="AB2666" s="12"/>
    </row>
    <row r="2667" spans="1:28" x14ac:dyDescent="0.3">
      <c r="A2667" s="12" t="s">
        <v>4584</v>
      </c>
      <c r="B2667" s="12" t="s">
        <v>198</v>
      </c>
      <c r="C2667" s="12" t="s">
        <v>485</v>
      </c>
      <c r="D2667" s="12" t="s">
        <v>4521</v>
      </c>
      <c r="E2667" s="12" t="s">
        <v>4403</v>
      </c>
      <c r="F2667" s="12" t="s">
        <v>32</v>
      </c>
      <c r="G2667" s="12" t="s">
        <v>32</v>
      </c>
      <c r="H2667" s="12" t="b">
        <v>1</v>
      </c>
      <c r="I2667" s="12" t="b">
        <v>1</v>
      </c>
      <c r="J2667" s="12" t="b">
        <v>0</v>
      </c>
      <c r="K2667" s="12" t="b">
        <v>0</v>
      </c>
      <c r="L2667" s="12">
        <v>420</v>
      </c>
      <c r="M2667" s="12">
        <v>278.14999999999998</v>
      </c>
      <c r="N2667" s="12">
        <v>3000</v>
      </c>
      <c r="O2667" s="12">
        <v>393.75</v>
      </c>
      <c r="P2667" s="12">
        <v>0.5</v>
      </c>
      <c r="Q2667" s="12">
        <v>0.95</v>
      </c>
      <c r="R2667" s="12">
        <v>0.80499999999999994</v>
      </c>
      <c r="S2667" s="12">
        <v>0.85</v>
      </c>
      <c r="T2667" s="12">
        <v>0.80499999999999994</v>
      </c>
      <c r="U2667" s="12">
        <v>0.8</v>
      </c>
      <c r="V2667" s="12">
        <v>278.14999999999998</v>
      </c>
      <c r="W2667" s="12">
        <v>13.950893822282559</v>
      </c>
      <c r="X2667" s="12">
        <v>73.133678361091398</v>
      </c>
      <c r="Y2667" s="12">
        <v>2606.25</v>
      </c>
      <c r="Z2667" s="12">
        <v>7.6190476190476186</v>
      </c>
      <c r="AA2667" s="12"/>
      <c r="AB2667" s="12"/>
    </row>
    <row r="2668" spans="1:28" x14ac:dyDescent="0.3">
      <c r="A2668" s="12" t="s">
        <v>4585</v>
      </c>
      <c r="B2668" s="12" t="s">
        <v>198</v>
      </c>
      <c r="C2668" s="12" t="s">
        <v>485</v>
      </c>
      <c r="D2668" s="12" t="s">
        <v>4521</v>
      </c>
      <c r="E2668" s="12" t="s">
        <v>4403</v>
      </c>
      <c r="F2668" s="12" t="s">
        <v>32</v>
      </c>
      <c r="G2668" s="12" t="s">
        <v>32</v>
      </c>
      <c r="H2668" s="12" t="b">
        <v>1</v>
      </c>
      <c r="I2668" s="12" t="b">
        <v>1</v>
      </c>
      <c r="J2668" s="12" t="b">
        <v>0</v>
      </c>
      <c r="K2668" s="12" t="b">
        <v>0</v>
      </c>
      <c r="L2668" s="12">
        <v>420</v>
      </c>
      <c r="M2668" s="12">
        <v>278.14999999999998</v>
      </c>
      <c r="N2668" s="12">
        <v>3000</v>
      </c>
      <c r="O2668" s="12">
        <v>393.75</v>
      </c>
      <c r="P2668" s="12">
        <v>0.5</v>
      </c>
      <c r="Q2668" s="12">
        <v>0.95</v>
      </c>
      <c r="R2668" s="12">
        <v>0.69500000000000006</v>
      </c>
      <c r="S2668" s="12">
        <v>0.85</v>
      </c>
      <c r="T2668" s="12">
        <v>0.80499999999999994</v>
      </c>
      <c r="U2668" s="12">
        <v>0.8</v>
      </c>
      <c r="V2668" s="12">
        <v>278.14999999999998</v>
      </c>
      <c r="W2668" s="12">
        <v>13.83975981497462</v>
      </c>
      <c r="X2668" s="12">
        <v>72.515767506868755</v>
      </c>
      <c r="Y2668" s="12">
        <v>2606.25</v>
      </c>
      <c r="Z2668" s="12">
        <v>7.6190476190476186</v>
      </c>
      <c r="AA2668" s="12"/>
      <c r="AB2668" s="12"/>
    </row>
    <row r="2669" spans="1:28" x14ac:dyDescent="0.3">
      <c r="A2669" s="12" t="s">
        <v>4586</v>
      </c>
      <c r="B2669" s="12" t="s">
        <v>198</v>
      </c>
      <c r="C2669" s="12" t="s">
        <v>485</v>
      </c>
      <c r="D2669" s="12" t="s">
        <v>4521</v>
      </c>
      <c r="E2669" s="12" t="s">
        <v>4403</v>
      </c>
      <c r="F2669" s="12" t="s">
        <v>1861</v>
      </c>
      <c r="G2669" s="12" t="s">
        <v>1861</v>
      </c>
      <c r="H2669" s="12" t="b">
        <v>1</v>
      </c>
      <c r="I2669" s="12" t="b">
        <v>0</v>
      </c>
      <c r="J2669" s="12" t="b">
        <v>0</v>
      </c>
      <c r="K2669" s="12" t="b">
        <v>0</v>
      </c>
      <c r="L2669" s="12">
        <v>420</v>
      </c>
      <c r="M2669" s="12">
        <v>278.14999999999998</v>
      </c>
      <c r="N2669" s="12">
        <v>3000</v>
      </c>
      <c r="O2669" s="12">
        <v>393.75</v>
      </c>
      <c r="P2669" s="12">
        <v>0.5</v>
      </c>
      <c r="Q2669" s="12">
        <v>0.95</v>
      </c>
      <c r="R2669" s="12">
        <v>0.75</v>
      </c>
      <c r="S2669" s="12">
        <v>0.90500000000000003</v>
      </c>
      <c r="T2669" s="12">
        <v>0.80499999999999994</v>
      </c>
      <c r="U2669" s="12">
        <v>0.8</v>
      </c>
      <c r="V2669" s="12">
        <v>278.14999999999998</v>
      </c>
      <c r="W2669" s="12">
        <v>14.14037298402924</v>
      </c>
      <c r="X2669" s="12">
        <v>78.729428014624645</v>
      </c>
      <c r="Y2669" s="12">
        <v>2606.25</v>
      </c>
      <c r="Z2669" s="12">
        <v>7.6190476190476186</v>
      </c>
      <c r="AA2669" s="12" t="s">
        <v>1268</v>
      </c>
      <c r="AB2669" s="12"/>
    </row>
    <row r="2670" spans="1:28" x14ac:dyDescent="0.3">
      <c r="A2670" s="12" t="s">
        <v>4587</v>
      </c>
      <c r="B2670" s="12" t="s">
        <v>198</v>
      </c>
      <c r="C2670" s="12" t="s">
        <v>485</v>
      </c>
      <c r="D2670" s="12" t="s">
        <v>4521</v>
      </c>
      <c r="E2670" s="12" t="s">
        <v>4403</v>
      </c>
      <c r="F2670" s="12" t="s">
        <v>32</v>
      </c>
      <c r="G2670" s="12" t="s">
        <v>32</v>
      </c>
      <c r="H2670" s="12" t="b">
        <v>1</v>
      </c>
      <c r="I2670" s="12" t="b">
        <v>1</v>
      </c>
      <c r="J2670" s="12" t="b">
        <v>0</v>
      </c>
      <c r="K2670" s="12" t="b">
        <v>0</v>
      </c>
      <c r="L2670" s="12">
        <v>420</v>
      </c>
      <c r="M2670" s="12">
        <v>278.14999999999998</v>
      </c>
      <c r="N2670" s="12">
        <v>3000</v>
      </c>
      <c r="O2670" s="12">
        <v>393.75</v>
      </c>
      <c r="P2670" s="12">
        <v>0.5</v>
      </c>
      <c r="Q2670" s="12">
        <v>0.95</v>
      </c>
      <c r="R2670" s="12">
        <v>0.75</v>
      </c>
      <c r="S2670" s="12">
        <v>0.79500000000000004</v>
      </c>
      <c r="T2670" s="12">
        <v>0.80499999999999994</v>
      </c>
      <c r="U2670" s="12">
        <v>0.8</v>
      </c>
      <c r="V2670" s="12">
        <v>278.14999999999998</v>
      </c>
      <c r="W2670" s="12">
        <v>13.622359868456289</v>
      </c>
      <c r="X2670" s="12">
        <v>66.931700775293479</v>
      </c>
      <c r="Y2670" s="12">
        <v>2606.25</v>
      </c>
      <c r="Z2670" s="12">
        <v>7.6190476190476186</v>
      </c>
      <c r="AA2670" s="12"/>
      <c r="AB2670" s="12"/>
    </row>
    <row r="2671" spans="1:28" x14ac:dyDescent="0.3">
      <c r="A2671" s="12" t="s">
        <v>4588</v>
      </c>
      <c r="B2671" s="12" t="s">
        <v>198</v>
      </c>
      <c r="C2671" s="12" t="s">
        <v>485</v>
      </c>
      <c r="D2671" s="12" t="s">
        <v>4521</v>
      </c>
      <c r="E2671" s="12" t="s">
        <v>4403</v>
      </c>
      <c r="F2671" s="12" t="s">
        <v>32</v>
      </c>
      <c r="G2671" s="12" t="s">
        <v>32</v>
      </c>
      <c r="H2671" s="12" t="b">
        <v>1</v>
      </c>
      <c r="I2671" s="12" t="b">
        <v>1</v>
      </c>
      <c r="J2671" s="12" t="b">
        <v>0</v>
      </c>
      <c r="K2671" s="12" t="b">
        <v>0</v>
      </c>
      <c r="L2671" s="12">
        <v>420</v>
      </c>
      <c r="M2671" s="12">
        <v>278.14999999999998</v>
      </c>
      <c r="N2671" s="12">
        <v>3000</v>
      </c>
      <c r="O2671" s="12">
        <v>393.75</v>
      </c>
      <c r="P2671" s="12">
        <v>0.5</v>
      </c>
      <c r="Q2671" s="12">
        <v>0.95</v>
      </c>
      <c r="R2671" s="12">
        <v>0.75</v>
      </c>
      <c r="S2671" s="12">
        <v>0.85</v>
      </c>
      <c r="T2671" s="12">
        <v>0.85999999999999988</v>
      </c>
      <c r="U2671" s="12">
        <v>0.8</v>
      </c>
      <c r="V2671" s="12">
        <v>278.14999999999998</v>
      </c>
      <c r="W2671" s="12">
        <v>14.46019148298592</v>
      </c>
      <c r="X2671" s="12">
        <v>73.363629542497847</v>
      </c>
      <c r="Y2671" s="12">
        <v>2606.25</v>
      </c>
      <c r="Z2671" s="12">
        <v>7.6190476190476186</v>
      </c>
      <c r="AA2671" s="12"/>
      <c r="AB2671" s="12"/>
    </row>
    <row r="2672" spans="1:28" x14ac:dyDescent="0.3">
      <c r="A2672" s="12" t="s">
        <v>4589</v>
      </c>
      <c r="B2672" s="12" t="s">
        <v>198</v>
      </c>
      <c r="C2672" s="12" t="s">
        <v>485</v>
      </c>
      <c r="D2672" s="12" t="s">
        <v>4521</v>
      </c>
      <c r="E2672" s="12" t="s">
        <v>4403</v>
      </c>
      <c r="F2672" s="12" t="s">
        <v>32</v>
      </c>
      <c r="G2672" s="12" t="s">
        <v>32</v>
      </c>
      <c r="H2672" s="12" t="b">
        <v>1</v>
      </c>
      <c r="I2672" s="12" t="b">
        <v>1</v>
      </c>
      <c r="J2672" s="12" t="b">
        <v>0</v>
      </c>
      <c r="K2672" s="12" t="b">
        <v>0</v>
      </c>
      <c r="L2672" s="12">
        <v>420</v>
      </c>
      <c r="M2672" s="12">
        <v>278.14999999999998</v>
      </c>
      <c r="N2672" s="12">
        <v>3000</v>
      </c>
      <c r="O2672" s="12">
        <v>393.75</v>
      </c>
      <c r="P2672" s="12">
        <v>0.5</v>
      </c>
      <c r="Q2672" s="12">
        <v>0.95</v>
      </c>
      <c r="R2672" s="12">
        <v>0.75</v>
      </c>
      <c r="S2672" s="12">
        <v>0.85</v>
      </c>
      <c r="T2672" s="12">
        <v>0.75</v>
      </c>
      <c r="U2672" s="12">
        <v>0.8</v>
      </c>
      <c r="V2672" s="12">
        <v>278.14999999999998</v>
      </c>
      <c r="W2672" s="12">
        <v>13.38063968777891</v>
      </c>
      <c r="X2672" s="12">
        <v>72.338437651290363</v>
      </c>
      <c r="Y2672" s="12">
        <v>2606.25</v>
      </c>
      <c r="Z2672" s="12">
        <v>7.6190476190476186</v>
      </c>
      <c r="AA2672" s="12"/>
      <c r="AB2672" s="12"/>
    </row>
    <row r="2673" spans="1:28" x14ac:dyDescent="0.3">
      <c r="A2673" s="12" t="s">
        <v>4590</v>
      </c>
      <c r="B2673" s="12" t="s">
        <v>198</v>
      </c>
      <c r="C2673" s="12" t="s">
        <v>485</v>
      </c>
      <c r="D2673" s="12" t="s">
        <v>4521</v>
      </c>
      <c r="E2673" s="12" t="s">
        <v>4403</v>
      </c>
      <c r="F2673" s="12" t="s">
        <v>32</v>
      </c>
      <c r="G2673" s="12" t="s">
        <v>32</v>
      </c>
      <c r="H2673" s="12" t="b">
        <v>1</v>
      </c>
      <c r="I2673" s="12" t="b">
        <v>1</v>
      </c>
      <c r="J2673" s="12" t="b">
        <v>0</v>
      </c>
      <c r="K2673" s="12" t="b">
        <v>0</v>
      </c>
      <c r="L2673" s="12">
        <v>420</v>
      </c>
      <c r="M2673" s="12">
        <v>278.14999999999998</v>
      </c>
      <c r="N2673" s="12">
        <v>3000</v>
      </c>
      <c r="O2673" s="12">
        <v>393.75</v>
      </c>
      <c r="P2673" s="12">
        <v>0.5</v>
      </c>
      <c r="Q2673" s="12">
        <v>0.95</v>
      </c>
      <c r="R2673" s="12">
        <v>0.75</v>
      </c>
      <c r="S2673" s="12">
        <v>0.85</v>
      </c>
      <c r="T2673" s="12">
        <v>0.80499999999999994</v>
      </c>
      <c r="U2673" s="12">
        <v>0.85499999999999998</v>
      </c>
      <c r="V2673" s="12">
        <v>278.14999999999998</v>
      </c>
      <c r="W2673" s="12">
        <v>13.52116454173167</v>
      </c>
      <c r="X2673" s="12">
        <v>72.511258314263827</v>
      </c>
      <c r="Y2673" s="12">
        <v>2606.25</v>
      </c>
      <c r="Z2673" s="12">
        <v>7.6190476190476186</v>
      </c>
      <c r="AA2673" s="12"/>
      <c r="AB2673" s="12"/>
    </row>
    <row r="2674" spans="1:28" x14ac:dyDescent="0.3">
      <c r="A2674" s="12" t="s">
        <v>4591</v>
      </c>
      <c r="B2674" s="12" t="s">
        <v>198</v>
      </c>
      <c r="C2674" s="12" t="s">
        <v>485</v>
      </c>
      <c r="D2674" s="12" t="s">
        <v>4521</v>
      </c>
      <c r="E2674" s="12" t="s">
        <v>4403</v>
      </c>
      <c r="F2674" s="12" t="s">
        <v>832</v>
      </c>
      <c r="G2674" s="12" t="s">
        <v>832</v>
      </c>
      <c r="H2674" s="12" t="b">
        <v>0</v>
      </c>
      <c r="I2674" s="12" t="b">
        <v>0</v>
      </c>
      <c r="J2674" s="12" t="b">
        <v>0</v>
      </c>
      <c r="K2674" s="12" t="b">
        <v>0</v>
      </c>
      <c r="L2674" s="12">
        <v>420</v>
      </c>
      <c r="M2674" s="12">
        <v>278.14999999999998</v>
      </c>
      <c r="N2674" s="12">
        <v>3000</v>
      </c>
      <c r="O2674" s="12">
        <v>393.75</v>
      </c>
      <c r="P2674" s="12">
        <v>0.5</v>
      </c>
      <c r="Q2674" s="12">
        <v>0.95</v>
      </c>
      <c r="R2674" s="12">
        <v>0.75</v>
      </c>
      <c r="S2674" s="12">
        <v>0.85</v>
      </c>
      <c r="T2674" s="12">
        <v>0.80499999999999994</v>
      </c>
      <c r="U2674" s="12">
        <v>0.74500000000000011</v>
      </c>
      <c r="V2674" s="12">
        <v>278.14999999999998</v>
      </c>
      <c r="W2674" s="12"/>
      <c r="X2674" s="12"/>
      <c r="Y2674" s="12">
        <v>2606.25</v>
      </c>
      <c r="Z2674" s="12">
        <v>7.6190476190476186</v>
      </c>
      <c r="AA2674" s="12"/>
      <c r="AB2674" s="12"/>
    </row>
    <row r="2675" spans="1:28" x14ac:dyDescent="0.3">
      <c r="A2675" s="12" t="s">
        <v>4592</v>
      </c>
      <c r="B2675" s="12" t="s">
        <v>198</v>
      </c>
      <c r="C2675" s="12" t="s">
        <v>485</v>
      </c>
      <c r="D2675" s="12" t="s">
        <v>4521</v>
      </c>
      <c r="E2675" s="12" t="s">
        <v>4403</v>
      </c>
      <c r="F2675" s="12" t="s">
        <v>1861</v>
      </c>
      <c r="G2675" s="12" t="s">
        <v>1861</v>
      </c>
      <c r="H2675" s="12" t="b">
        <v>1</v>
      </c>
      <c r="I2675" s="12" t="b">
        <v>0</v>
      </c>
      <c r="J2675" s="12" t="b">
        <v>1</v>
      </c>
      <c r="K2675" s="12" t="b">
        <v>0</v>
      </c>
      <c r="L2675" s="12">
        <v>432</v>
      </c>
      <c r="M2675" s="12">
        <v>278.14999999999998</v>
      </c>
      <c r="N2675" s="12">
        <v>3000</v>
      </c>
      <c r="O2675" s="12">
        <v>393.75</v>
      </c>
      <c r="P2675" s="12">
        <v>0.5</v>
      </c>
      <c r="Q2675" s="12">
        <v>0.95</v>
      </c>
      <c r="R2675" s="12">
        <v>0.75</v>
      </c>
      <c r="S2675" s="12">
        <v>0.85</v>
      </c>
      <c r="T2675" s="12">
        <v>0.85999999999999988</v>
      </c>
      <c r="U2675" s="12">
        <v>0.8</v>
      </c>
      <c r="V2675" s="12">
        <v>278.14999999999998</v>
      </c>
      <c r="W2675" s="12">
        <v>15.212635298178849</v>
      </c>
      <c r="X2675" s="12">
        <v>101.9434730275419</v>
      </c>
      <c r="Y2675" s="12">
        <v>2606.25</v>
      </c>
      <c r="Z2675" s="12">
        <v>7.6190476190476186</v>
      </c>
      <c r="AA2675" s="12" t="s">
        <v>1981</v>
      </c>
      <c r="AB2675" s="12"/>
    </row>
    <row r="2676" spans="1:28" x14ac:dyDescent="0.3">
      <c r="A2676" s="12" t="s">
        <v>4593</v>
      </c>
      <c r="B2676" s="12" t="s">
        <v>198</v>
      </c>
      <c r="C2676" s="12" t="s">
        <v>485</v>
      </c>
      <c r="D2676" s="12" t="s">
        <v>4521</v>
      </c>
      <c r="E2676" s="12" t="s">
        <v>4403</v>
      </c>
      <c r="F2676" s="12" t="s">
        <v>32</v>
      </c>
      <c r="G2676" s="12" t="s">
        <v>32</v>
      </c>
      <c r="H2676" s="12" t="b">
        <v>1</v>
      </c>
      <c r="I2676" s="12" t="b">
        <v>1</v>
      </c>
      <c r="J2676" s="12" t="b">
        <v>0</v>
      </c>
      <c r="K2676" s="12" t="b">
        <v>0</v>
      </c>
      <c r="L2676" s="12">
        <v>408</v>
      </c>
      <c r="M2676" s="12">
        <v>278.14999999999998</v>
      </c>
      <c r="N2676" s="12">
        <v>3000</v>
      </c>
      <c r="O2676" s="12">
        <v>393.75</v>
      </c>
      <c r="P2676" s="12">
        <v>0.5</v>
      </c>
      <c r="Q2676" s="12">
        <v>0.95</v>
      </c>
      <c r="R2676" s="12">
        <v>0.75</v>
      </c>
      <c r="S2676" s="12">
        <v>0.85</v>
      </c>
      <c r="T2676" s="12">
        <v>0.85999999999999988</v>
      </c>
      <c r="U2676" s="12">
        <v>0.8</v>
      </c>
      <c r="V2676" s="12">
        <v>278.14999999999998</v>
      </c>
      <c r="W2676" s="12">
        <v>13.04976309565917</v>
      </c>
      <c r="X2676" s="12">
        <v>46.862522522857176</v>
      </c>
      <c r="Y2676" s="12">
        <v>2606.25</v>
      </c>
      <c r="Z2676" s="12">
        <v>7.6190476190476186</v>
      </c>
      <c r="AA2676" s="12"/>
      <c r="AB2676" s="12"/>
    </row>
    <row r="2677" spans="1:28" x14ac:dyDescent="0.3">
      <c r="A2677" s="12" t="s">
        <v>4594</v>
      </c>
      <c r="B2677" s="12" t="s">
        <v>198</v>
      </c>
      <c r="C2677" s="12" t="s">
        <v>485</v>
      </c>
      <c r="D2677" s="12" t="s">
        <v>4521</v>
      </c>
      <c r="E2677" s="12" t="s">
        <v>4403</v>
      </c>
      <c r="F2677" s="12" t="s">
        <v>1861</v>
      </c>
      <c r="G2677" s="12" t="s">
        <v>1861</v>
      </c>
      <c r="H2677" s="12" t="b">
        <v>1</v>
      </c>
      <c r="I2677" s="12" t="b">
        <v>0</v>
      </c>
      <c r="J2677" s="12" t="b">
        <v>0</v>
      </c>
      <c r="K2677" s="12" t="b">
        <v>0</v>
      </c>
      <c r="L2677" s="12">
        <v>420</v>
      </c>
      <c r="M2677" s="12">
        <v>280.69</v>
      </c>
      <c r="N2677" s="12">
        <v>3000</v>
      </c>
      <c r="O2677" s="12">
        <v>393.75</v>
      </c>
      <c r="P2677" s="12">
        <v>0.5</v>
      </c>
      <c r="Q2677" s="12">
        <v>0.95</v>
      </c>
      <c r="R2677" s="12">
        <v>0.75</v>
      </c>
      <c r="S2677" s="12">
        <v>0.85</v>
      </c>
      <c r="T2677" s="12">
        <v>0.85999999999999988</v>
      </c>
      <c r="U2677" s="12">
        <v>0.8</v>
      </c>
      <c r="V2677" s="12">
        <v>280.69</v>
      </c>
      <c r="W2677" s="12">
        <v>14.57784050617804</v>
      </c>
      <c r="X2677" s="12">
        <v>73.45765461982387</v>
      </c>
      <c r="Y2677" s="12">
        <v>2606.25</v>
      </c>
      <c r="Z2677" s="12">
        <v>7.6190476190476186</v>
      </c>
      <c r="AA2677" s="12" t="s">
        <v>1268</v>
      </c>
      <c r="AB2677" s="12"/>
    </row>
    <row r="2678" spans="1:28" x14ac:dyDescent="0.3">
      <c r="A2678" s="12" t="s">
        <v>4595</v>
      </c>
      <c r="B2678" s="12" t="s">
        <v>198</v>
      </c>
      <c r="C2678" s="12" t="s">
        <v>485</v>
      </c>
      <c r="D2678" s="12" t="s">
        <v>4521</v>
      </c>
      <c r="E2678" s="12" t="s">
        <v>4403</v>
      </c>
      <c r="F2678" s="12" t="s">
        <v>32</v>
      </c>
      <c r="G2678" s="12" t="s">
        <v>32</v>
      </c>
      <c r="H2678" s="12" t="b">
        <v>1</v>
      </c>
      <c r="I2678" s="12" t="b">
        <v>1</v>
      </c>
      <c r="J2678" s="12" t="b">
        <v>0</v>
      </c>
      <c r="K2678" s="12" t="b">
        <v>0</v>
      </c>
      <c r="L2678" s="12">
        <v>420</v>
      </c>
      <c r="M2678" s="12">
        <v>278.14999999999998</v>
      </c>
      <c r="N2678" s="12">
        <v>3300</v>
      </c>
      <c r="O2678" s="12">
        <v>393.75</v>
      </c>
      <c r="P2678" s="12">
        <v>0.5</v>
      </c>
      <c r="Q2678" s="12">
        <v>0.95</v>
      </c>
      <c r="R2678" s="12">
        <v>0.75</v>
      </c>
      <c r="S2678" s="12">
        <v>0.85</v>
      </c>
      <c r="T2678" s="12">
        <v>0.85999999999999988</v>
      </c>
      <c r="U2678" s="12">
        <v>0.8</v>
      </c>
      <c r="V2678" s="12">
        <v>278.14999999999998</v>
      </c>
      <c r="W2678" s="12">
        <v>14.42065801547762</v>
      </c>
      <c r="X2678" s="12">
        <v>64.618001305424784</v>
      </c>
      <c r="Y2678" s="12">
        <v>2906.25</v>
      </c>
      <c r="Z2678" s="12">
        <v>8.3809523809523814</v>
      </c>
      <c r="AA2678" s="12"/>
      <c r="AB2678" s="12"/>
    </row>
    <row r="2679" spans="1:28" x14ac:dyDescent="0.3">
      <c r="A2679" s="12" t="s">
        <v>4596</v>
      </c>
      <c r="B2679" s="12" t="s">
        <v>198</v>
      </c>
      <c r="C2679" s="12" t="s">
        <v>485</v>
      </c>
      <c r="D2679" s="12" t="s">
        <v>4521</v>
      </c>
      <c r="E2679" s="12" t="s">
        <v>4403</v>
      </c>
      <c r="F2679" s="12" t="s">
        <v>1861</v>
      </c>
      <c r="G2679" s="12" t="s">
        <v>1861</v>
      </c>
      <c r="H2679" s="12" t="b">
        <v>1</v>
      </c>
      <c r="I2679" s="12" t="b">
        <v>0</v>
      </c>
      <c r="J2679" s="12" t="b">
        <v>0</v>
      </c>
      <c r="K2679" s="12" t="b">
        <v>0</v>
      </c>
      <c r="L2679" s="12">
        <v>420</v>
      </c>
      <c r="M2679" s="12">
        <v>278.14999999999998</v>
      </c>
      <c r="N2679" s="12">
        <v>2700</v>
      </c>
      <c r="O2679" s="12">
        <v>393.75</v>
      </c>
      <c r="P2679" s="12">
        <v>0.5</v>
      </c>
      <c r="Q2679" s="12">
        <v>0.95</v>
      </c>
      <c r="R2679" s="12">
        <v>0.75</v>
      </c>
      <c r="S2679" s="12">
        <v>0.85</v>
      </c>
      <c r="T2679" s="12">
        <v>0.85999999999999988</v>
      </c>
      <c r="U2679" s="12">
        <v>0.8</v>
      </c>
      <c r="V2679" s="12">
        <v>278.14999999999998</v>
      </c>
      <c r="W2679" s="12">
        <v>14.26376631881601</v>
      </c>
      <c r="X2679" s="12">
        <v>81.477087728129888</v>
      </c>
      <c r="Y2679" s="12">
        <v>2306.25</v>
      </c>
      <c r="Z2679" s="12">
        <v>6.8571428571428568</v>
      </c>
      <c r="AA2679" s="12" t="s">
        <v>1268</v>
      </c>
      <c r="AB2679" s="12"/>
    </row>
    <row r="2680" spans="1:28" x14ac:dyDescent="0.3">
      <c r="A2680" s="12" t="s">
        <v>4597</v>
      </c>
      <c r="B2680" s="12" t="s">
        <v>198</v>
      </c>
      <c r="C2680" s="12" t="s">
        <v>485</v>
      </c>
      <c r="D2680" s="12" t="s">
        <v>4521</v>
      </c>
      <c r="E2680" s="12" t="s">
        <v>4403</v>
      </c>
      <c r="F2680" s="12" t="s">
        <v>32</v>
      </c>
      <c r="G2680" s="12" t="s">
        <v>32</v>
      </c>
      <c r="H2680" s="12" t="b">
        <v>1</v>
      </c>
      <c r="I2680" s="12" t="b">
        <v>1</v>
      </c>
      <c r="J2680" s="12" t="b">
        <v>0</v>
      </c>
      <c r="K2680" s="12" t="b">
        <v>0</v>
      </c>
      <c r="L2680" s="12">
        <v>420</v>
      </c>
      <c r="M2680" s="12">
        <v>278.14999999999998</v>
      </c>
      <c r="N2680" s="12">
        <v>3000</v>
      </c>
      <c r="O2680" s="12">
        <v>613.75</v>
      </c>
      <c r="P2680" s="12">
        <v>0.5</v>
      </c>
      <c r="Q2680" s="12">
        <v>0.95</v>
      </c>
      <c r="R2680" s="12">
        <v>0.75</v>
      </c>
      <c r="S2680" s="12">
        <v>0.85</v>
      </c>
      <c r="T2680" s="12">
        <v>0.85999999999999988</v>
      </c>
      <c r="U2680" s="12">
        <v>0.8</v>
      </c>
      <c r="V2680" s="12">
        <v>278.14999999999998</v>
      </c>
      <c r="W2680" s="12">
        <v>11.509484749659549</v>
      </c>
      <c r="X2680" s="12">
        <v>58.268948451190937</v>
      </c>
      <c r="Y2680" s="12">
        <v>2386.25</v>
      </c>
      <c r="Z2680" s="12">
        <v>4.8879837067209779</v>
      </c>
      <c r="AA2680" s="12"/>
      <c r="AB2680" s="12"/>
    </row>
    <row r="2681" spans="1:28" x14ac:dyDescent="0.3">
      <c r="A2681" s="12" t="s">
        <v>4598</v>
      </c>
      <c r="B2681" s="12" t="s">
        <v>198</v>
      </c>
      <c r="C2681" s="12" t="s">
        <v>485</v>
      </c>
      <c r="D2681" s="12" t="s">
        <v>4521</v>
      </c>
      <c r="E2681" s="12" t="s">
        <v>4403</v>
      </c>
      <c r="F2681" s="12" t="s">
        <v>1861</v>
      </c>
      <c r="G2681" s="12" t="s">
        <v>1861</v>
      </c>
      <c r="H2681" s="12" t="b">
        <v>1</v>
      </c>
      <c r="I2681" s="12" t="b">
        <v>0</v>
      </c>
      <c r="J2681" s="12" t="b">
        <v>0</v>
      </c>
      <c r="K2681" s="12" t="b">
        <v>0</v>
      </c>
      <c r="L2681" s="12">
        <v>420</v>
      </c>
      <c r="M2681" s="12">
        <v>278.14999999999998</v>
      </c>
      <c r="N2681" s="12">
        <v>3000</v>
      </c>
      <c r="O2681" s="12">
        <v>300</v>
      </c>
      <c r="P2681" s="12">
        <v>0.5</v>
      </c>
      <c r="Q2681" s="12">
        <v>0.95</v>
      </c>
      <c r="R2681" s="12">
        <v>0.75</v>
      </c>
      <c r="S2681" s="12">
        <v>0.85</v>
      </c>
      <c r="T2681" s="12">
        <v>0.85999999999999988</v>
      </c>
      <c r="U2681" s="12">
        <v>0.8</v>
      </c>
      <c r="V2681" s="12">
        <v>278.14999999999998</v>
      </c>
      <c r="W2681" s="12">
        <v>16.152962083829539</v>
      </c>
      <c r="X2681" s="12">
        <v>82.042137282704118</v>
      </c>
      <c r="Y2681" s="12">
        <v>2700</v>
      </c>
      <c r="Z2681" s="12">
        <v>10</v>
      </c>
      <c r="AA2681" s="12" t="s">
        <v>1981</v>
      </c>
      <c r="AB2681" s="12"/>
    </row>
    <row r="2682" spans="1:28" x14ac:dyDescent="0.3">
      <c r="A2682" s="12" t="s">
        <v>4599</v>
      </c>
      <c r="B2682" s="12" t="s">
        <v>198</v>
      </c>
      <c r="C2682" s="12" t="s">
        <v>485</v>
      </c>
      <c r="D2682" s="12" t="s">
        <v>4521</v>
      </c>
      <c r="E2682" s="12" t="s">
        <v>4403</v>
      </c>
      <c r="F2682" s="12" t="s">
        <v>1861</v>
      </c>
      <c r="G2682" s="12" t="s">
        <v>1861</v>
      </c>
      <c r="H2682" s="12" t="b">
        <v>1</v>
      </c>
      <c r="I2682" s="12" t="b">
        <v>0</v>
      </c>
      <c r="J2682" s="12" t="b">
        <v>0</v>
      </c>
      <c r="K2682" s="12" t="b">
        <v>0</v>
      </c>
      <c r="L2682" s="12">
        <v>420</v>
      </c>
      <c r="M2682" s="12">
        <v>278.14999999999998</v>
      </c>
      <c r="N2682" s="12">
        <v>3000</v>
      </c>
      <c r="O2682" s="12">
        <v>393.75</v>
      </c>
      <c r="P2682" s="12">
        <v>0.53500000000000003</v>
      </c>
      <c r="Q2682" s="12">
        <v>0.95</v>
      </c>
      <c r="R2682" s="12">
        <v>0.75</v>
      </c>
      <c r="S2682" s="12">
        <v>0.85</v>
      </c>
      <c r="T2682" s="12">
        <v>0.85999999999999988</v>
      </c>
      <c r="U2682" s="12">
        <v>0.8</v>
      </c>
      <c r="V2682" s="12">
        <v>278.14999999999998</v>
      </c>
      <c r="W2682" s="12">
        <v>15.333047267360749</v>
      </c>
      <c r="X2682" s="12">
        <v>90.324616571823199</v>
      </c>
      <c r="Y2682" s="12">
        <v>2606.25</v>
      </c>
      <c r="Z2682" s="12">
        <v>7.6190476190476186</v>
      </c>
      <c r="AA2682" s="12" t="s">
        <v>1268</v>
      </c>
      <c r="AB2682" s="12"/>
    </row>
    <row r="2683" spans="1:28" x14ac:dyDescent="0.3">
      <c r="A2683" s="12" t="s">
        <v>4600</v>
      </c>
      <c r="B2683" s="12" t="s">
        <v>198</v>
      </c>
      <c r="C2683" s="12" t="s">
        <v>485</v>
      </c>
      <c r="D2683" s="12" t="s">
        <v>4521</v>
      </c>
      <c r="E2683" s="12" t="s">
        <v>4403</v>
      </c>
      <c r="F2683" s="12" t="s">
        <v>32</v>
      </c>
      <c r="G2683" s="12" t="s">
        <v>32</v>
      </c>
      <c r="H2683" s="12" t="b">
        <v>1</v>
      </c>
      <c r="I2683" s="12" t="b">
        <v>1</v>
      </c>
      <c r="J2683" s="12" t="b">
        <v>0</v>
      </c>
      <c r="K2683" s="12" t="b">
        <v>0</v>
      </c>
      <c r="L2683" s="12">
        <v>420</v>
      </c>
      <c r="M2683" s="12">
        <v>278.14999999999998</v>
      </c>
      <c r="N2683" s="12">
        <v>3000</v>
      </c>
      <c r="O2683" s="12">
        <v>393.75</v>
      </c>
      <c r="P2683" s="12">
        <v>0.5</v>
      </c>
      <c r="Q2683" s="12">
        <v>0.89500000000000002</v>
      </c>
      <c r="R2683" s="12">
        <v>0.75</v>
      </c>
      <c r="S2683" s="12">
        <v>0.85</v>
      </c>
      <c r="T2683" s="12">
        <v>0.85999999999999988</v>
      </c>
      <c r="U2683" s="12">
        <v>0.8</v>
      </c>
      <c r="V2683" s="12">
        <v>278.14999999999998</v>
      </c>
      <c r="W2683" s="12">
        <v>13.58535759883674</v>
      </c>
      <c r="X2683" s="12">
        <v>68.879481848647941</v>
      </c>
      <c r="Y2683" s="12">
        <v>2606.25</v>
      </c>
      <c r="Z2683" s="12">
        <v>7.6190476190476186</v>
      </c>
      <c r="AA2683" s="12"/>
      <c r="AB2683" s="12"/>
    </row>
    <row r="2684" spans="1:28" x14ac:dyDescent="0.3">
      <c r="A2684" s="12" t="s">
        <v>4601</v>
      </c>
      <c r="B2684" s="12" t="s">
        <v>198</v>
      </c>
      <c r="C2684" s="12" t="s">
        <v>485</v>
      </c>
      <c r="D2684" s="12" t="s">
        <v>4521</v>
      </c>
      <c r="E2684" s="12" t="s">
        <v>4403</v>
      </c>
      <c r="F2684" s="12" t="s">
        <v>32</v>
      </c>
      <c r="G2684" s="12" t="s">
        <v>32</v>
      </c>
      <c r="H2684" s="12" t="b">
        <v>1</v>
      </c>
      <c r="I2684" s="12" t="b">
        <v>1</v>
      </c>
      <c r="J2684" s="12" t="b">
        <v>0</v>
      </c>
      <c r="K2684" s="12" t="b">
        <v>0</v>
      </c>
      <c r="L2684" s="12">
        <v>420</v>
      </c>
      <c r="M2684" s="12">
        <v>278.14999999999998</v>
      </c>
      <c r="N2684" s="12">
        <v>3000</v>
      </c>
      <c r="O2684" s="12">
        <v>393.75</v>
      </c>
      <c r="P2684" s="12">
        <v>0.5</v>
      </c>
      <c r="Q2684" s="12">
        <v>0.95</v>
      </c>
      <c r="R2684" s="12">
        <v>0.80499999999999994</v>
      </c>
      <c r="S2684" s="12">
        <v>0.85</v>
      </c>
      <c r="T2684" s="12">
        <v>0.85999999999999988</v>
      </c>
      <c r="U2684" s="12">
        <v>0.8</v>
      </c>
      <c r="V2684" s="12">
        <v>278.14999999999998</v>
      </c>
      <c r="W2684" s="12">
        <v>14.51352396200809</v>
      </c>
      <c r="X2684" s="12">
        <v>73.64992046181392</v>
      </c>
      <c r="Y2684" s="12">
        <v>2606.25</v>
      </c>
      <c r="Z2684" s="12">
        <v>7.6190476190476186</v>
      </c>
      <c r="AA2684" s="12"/>
      <c r="AB2684" s="12"/>
    </row>
    <row r="2685" spans="1:28" x14ac:dyDescent="0.3">
      <c r="A2685" s="12" t="s">
        <v>4602</v>
      </c>
      <c r="B2685" s="12" t="s">
        <v>198</v>
      </c>
      <c r="C2685" s="12" t="s">
        <v>485</v>
      </c>
      <c r="D2685" s="12" t="s">
        <v>4521</v>
      </c>
      <c r="E2685" s="12" t="s">
        <v>4403</v>
      </c>
      <c r="F2685" s="12" t="s">
        <v>32</v>
      </c>
      <c r="G2685" s="12" t="s">
        <v>32</v>
      </c>
      <c r="H2685" s="12" t="b">
        <v>1</v>
      </c>
      <c r="I2685" s="12" t="b">
        <v>1</v>
      </c>
      <c r="J2685" s="12" t="b">
        <v>0</v>
      </c>
      <c r="K2685" s="12" t="b">
        <v>0</v>
      </c>
      <c r="L2685" s="12">
        <v>420</v>
      </c>
      <c r="M2685" s="12">
        <v>278.14999999999998</v>
      </c>
      <c r="N2685" s="12">
        <v>3000</v>
      </c>
      <c r="O2685" s="12">
        <v>393.75</v>
      </c>
      <c r="P2685" s="12">
        <v>0.5</v>
      </c>
      <c r="Q2685" s="12">
        <v>0.95</v>
      </c>
      <c r="R2685" s="12">
        <v>0.69500000000000006</v>
      </c>
      <c r="S2685" s="12">
        <v>0.85</v>
      </c>
      <c r="T2685" s="12">
        <v>0.85999999999999988</v>
      </c>
      <c r="U2685" s="12">
        <v>0.8</v>
      </c>
      <c r="V2685" s="12">
        <v>278.14999999999998</v>
      </c>
      <c r="W2685" s="12">
        <v>14.39838801258759</v>
      </c>
      <c r="X2685" s="12">
        <v>73.03201848448154</v>
      </c>
      <c r="Y2685" s="12">
        <v>2606.25</v>
      </c>
      <c r="Z2685" s="12">
        <v>7.6190476190476186</v>
      </c>
      <c r="AA2685" s="12"/>
      <c r="AB2685" s="12"/>
    </row>
    <row r="2686" spans="1:28" x14ac:dyDescent="0.3">
      <c r="A2686" s="12" t="s">
        <v>4603</v>
      </c>
      <c r="B2686" s="12" t="s">
        <v>198</v>
      </c>
      <c r="C2686" s="12" t="s">
        <v>485</v>
      </c>
      <c r="D2686" s="12" t="s">
        <v>4521</v>
      </c>
      <c r="E2686" s="12" t="s">
        <v>4403</v>
      </c>
      <c r="F2686" s="12" t="s">
        <v>32</v>
      </c>
      <c r="G2686" s="12" t="s">
        <v>32</v>
      </c>
      <c r="H2686" s="12" t="b">
        <v>1</v>
      </c>
      <c r="I2686" s="12" t="b">
        <v>1</v>
      </c>
      <c r="J2686" s="12" t="b">
        <v>0</v>
      </c>
      <c r="K2686" s="12" t="b">
        <v>0</v>
      </c>
      <c r="L2686" s="12">
        <v>420</v>
      </c>
      <c r="M2686" s="12">
        <v>278.14999999999998</v>
      </c>
      <c r="N2686" s="12">
        <v>3000</v>
      </c>
      <c r="O2686" s="12">
        <v>393.75</v>
      </c>
      <c r="P2686" s="12">
        <v>0.5</v>
      </c>
      <c r="Q2686" s="12">
        <v>0.95</v>
      </c>
      <c r="R2686" s="12">
        <v>0.75</v>
      </c>
      <c r="S2686" s="12">
        <v>0.90500000000000003</v>
      </c>
      <c r="T2686" s="12">
        <v>0.85999999999999988</v>
      </c>
      <c r="U2686" s="12">
        <v>0.8</v>
      </c>
      <c r="V2686" s="12">
        <v>278.14999999999998</v>
      </c>
      <c r="W2686" s="12">
        <v>14.657263732966889</v>
      </c>
      <c r="X2686" s="12">
        <v>79.05088969937006</v>
      </c>
      <c r="Y2686" s="12">
        <v>2606.25</v>
      </c>
      <c r="Z2686" s="12">
        <v>7.6190476190476186</v>
      </c>
      <c r="AA2686" s="12"/>
      <c r="AB2686" s="12"/>
    </row>
    <row r="2687" spans="1:28" x14ac:dyDescent="0.3">
      <c r="A2687" s="12" t="s">
        <v>4604</v>
      </c>
      <c r="B2687" s="12" t="s">
        <v>198</v>
      </c>
      <c r="C2687" s="12" t="s">
        <v>485</v>
      </c>
      <c r="D2687" s="12" t="s">
        <v>4521</v>
      </c>
      <c r="E2687" s="12" t="s">
        <v>4403</v>
      </c>
      <c r="F2687" s="12" t="s">
        <v>32</v>
      </c>
      <c r="G2687" s="12" t="s">
        <v>32</v>
      </c>
      <c r="H2687" s="12" t="b">
        <v>1</v>
      </c>
      <c r="I2687" s="12" t="b">
        <v>1</v>
      </c>
      <c r="J2687" s="12" t="b">
        <v>0</v>
      </c>
      <c r="K2687" s="12" t="b">
        <v>0</v>
      </c>
      <c r="L2687" s="12">
        <v>420</v>
      </c>
      <c r="M2687" s="12">
        <v>278.14999999999998</v>
      </c>
      <c r="N2687" s="12">
        <v>3000</v>
      </c>
      <c r="O2687" s="12">
        <v>393.75</v>
      </c>
      <c r="P2687" s="12">
        <v>0.5</v>
      </c>
      <c r="Q2687" s="12">
        <v>0.95</v>
      </c>
      <c r="R2687" s="12">
        <v>0.75</v>
      </c>
      <c r="S2687" s="12">
        <v>0.79500000000000004</v>
      </c>
      <c r="T2687" s="12">
        <v>0.85999999999999988</v>
      </c>
      <c r="U2687" s="12">
        <v>0.8</v>
      </c>
      <c r="V2687" s="12">
        <v>278.14999999999998</v>
      </c>
      <c r="W2687" s="12">
        <v>14.23312036497439</v>
      </c>
      <c r="X2687" s="12">
        <v>67.651855676604541</v>
      </c>
      <c r="Y2687" s="12">
        <v>2606.25</v>
      </c>
      <c r="Z2687" s="12">
        <v>7.6190476190476186</v>
      </c>
      <c r="AA2687" s="12"/>
      <c r="AB2687" s="12"/>
    </row>
    <row r="2688" spans="1:28" x14ac:dyDescent="0.3">
      <c r="A2688" s="12" t="s">
        <v>4605</v>
      </c>
      <c r="B2688" s="12" t="s">
        <v>198</v>
      </c>
      <c r="C2688" s="12" t="s">
        <v>485</v>
      </c>
      <c r="D2688" s="12" t="s">
        <v>4521</v>
      </c>
      <c r="E2688" s="12" t="s">
        <v>4403</v>
      </c>
      <c r="F2688" s="12" t="s">
        <v>32</v>
      </c>
      <c r="G2688" s="12" t="s">
        <v>32</v>
      </c>
      <c r="H2688" s="12" t="b">
        <v>1</v>
      </c>
      <c r="I2688" s="12" t="b">
        <v>1</v>
      </c>
      <c r="J2688" s="12" t="b">
        <v>0</v>
      </c>
      <c r="K2688" s="12" t="b">
        <v>0</v>
      </c>
      <c r="L2688" s="12">
        <v>420</v>
      </c>
      <c r="M2688" s="12">
        <v>278.14999999999998</v>
      </c>
      <c r="N2688" s="12">
        <v>3000</v>
      </c>
      <c r="O2688" s="12">
        <v>393.75</v>
      </c>
      <c r="P2688" s="12">
        <v>0.5</v>
      </c>
      <c r="Q2688" s="12">
        <v>0.95</v>
      </c>
      <c r="R2688" s="12">
        <v>0.75</v>
      </c>
      <c r="S2688" s="12">
        <v>0.85</v>
      </c>
      <c r="T2688" s="12">
        <v>0.91500000000000004</v>
      </c>
      <c r="U2688" s="12">
        <v>0.8</v>
      </c>
      <c r="V2688" s="12">
        <v>278.14999999999998</v>
      </c>
      <c r="W2688" s="12">
        <v>15.068185016019889</v>
      </c>
      <c r="X2688" s="12">
        <v>73.887254327485081</v>
      </c>
      <c r="Y2688" s="12">
        <v>2606.25</v>
      </c>
      <c r="Z2688" s="12">
        <v>7.6190476190476186</v>
      </c>
      <c r="AA2688" s="12"/>
      <c r="AB2688" s="12"/>
    </row>
    <row r="2689" spans="1:28" x14ac:dyDescent="0.3">
      <c r="A2689" s="12" t="s">
        <v>4606</v>
      </c>
      <c r="B2689" s="12" t="s">
        <v>198</v>
      </c>
      <c r="C2689" s="12" t="s">
        <v>485</v>
      </c>
      <c r="D2689" s="12" t="s">
        <v>4521</v>
      </c>
      <c r="E2689" s="12" t="s">
        <v>4403</v>
      </c>
      <c r="F2689" s="12" t="s">
        <v>32</v>
      </c>
      <c r="G2689" s="12" t="s">
        <v>32</v>
      </c>
      <c r="H2689" s="12" t="b">
        <v>1</v>
      </c>
      <c r="I2689" s="12" t="b">
        <v>1</v>
      </c>
      <c r="J2689" s="12" t="b">
        <v>0</v>
      </c>
      <c r="K2689" s="12" t="b">
        <v>0</v>
      </c>
      <c r="L2689" s="12">
        <v>420</v>
      </c>
      <c r="M2689" s="12">
        <v>278.14999999999998</v>
      </c>
      <c r="N2689" s="12">
        <v>3000</v>
      </c>
      <c r="O2689" s="12">
        <v>393.75</v>
      </c>
      <c r="P2689" s="12">
        <v>0.5</v>
      </c>
      <c r="Q2689" s="12">
        <v>0.95</v>
      </c>
      <c r="R2689" s="12">
        <v>0.75</v>
      </c>
      <c r="S2689" s="12">
        <v>0.85</v>
      </c>
      <c r="T2689" s="12">
        <v>0.80499999999999994</v>
      </c>
      <c r="U2689" s="12">
        <v>0.8</v>
      </c>
      <c r="V2689" s="12">
        <v>278.14999999999998</v>
      </c>
      <c r="W2689" s="12">
        <v>13.89941578479586</v>
      </c>
      <c r="X2689" s="12">
        <v>72.847383123864788</v>
      </c>
      <c r="Y2689" s="12">
        <v>2606.25</v>
      </c>
      <c r="Z2689" s="12">
        <v>7.6190476190476186</v>
      </c>
      <c r="AA2689" s="12"/>
      <c r="AB2689" s="12"/>
    </row>
    <row r="2690" spans="1:28" x14ac:dyDescent="0.3">
      <c r="A2690" s="12" t="s">
        <v>4607</v>
      </c>
      <c r="B2690" s="12" t="s">
        <v>198</v>
      </c>
      <c r="C2690" s="12" t="s">
        <v>485</v>
      </c>
      <c r="D2690" s="12" t="s">
        <v>4521</v>
      </c>
      <c r="E2690" s="12" t="s">
        <v>4403</v>
      </c>
      <c r="F2690" s="12" t="s">
        <v>32</v>
      </c>
      <c r="G2690" s="12" t="s">
        <v>32</v>
      </c>
      <c r="H2690" s="12" t="b">
        <v>1</v>
      </c>
      <c r="I2690" s="12" t="b">
        <v>1</v>
      </c>
      <c r="J2690" s="12" t="b">
        <v>0</v>
      </c>
      <c r="K2690" s="12" t="b">
        <v>0</v>
      </c>
      <c r="L2690" s="12">
        <v>420</v>
      </c>
      <c r="M2690" s="12">
        <v>278.14999999999998</v>
      </c>
      <c r="N2690" s="12">
        <v>3000</v>
      </c>
      <c r="O2690" s="12">
        <v>393.75</v>
      </c>
      <c r="P2690" s="12">
        <v>0.5</v>
      </c>
      <c r="Q2690" s="12">
        <v>0.95</v>
      </c>
      <c r="R2690" s="12">
        <v>0.75</v>
      </c>
      <c r="S2690" s="12">
        <v>0.85</v>
      </c>
      <c r="T2690" s="12">
        <v>0.85999999999999988</v>
      </c>
      <c r="U2690" s="12">
        <v>0.85499999999999998</v>
      </c>
      <c r="V2690" s="12">
        <v>278.14999999999998</v>
      </c>
      <c r="W2690" s="12">
        <v>14.104863579525951</v>
      </c>
      <c r="X2690" s="12">
        <v>73.07108770527276</v>
      </c>
      <c r="Y2690" s="12">
        <v>2606.25</v>
      </c>
      <c r="Z2690" s="12">
        <v>7.6190476190476186</v>
      </c>
      <c r="AA2690" s="12"/>
      <c r="AB2690" s="12"/>
    </row>
    <row r="2691" spans="1:28" x14ac:dyDescent="0.3">
      <c r="A2691" s="12" t="s">
        <v>4608</v>
      </c>
      <c r="B2691" s="12" t="s">
        <v>198</v>
      </c>
      <c r="C2691" s="12" t="s">
        <v>485</v>
      </c>
      <c r="D2691" s="12" t="s">
        <v>4521</v>
      </c>
      <c r="E2691" s="12" t="s">
        <v>4403</v>
      </c>
      <c r="F2691" s="12" t="s">
        <v>1861</v>
      </c>
      <c r="G2691" s="12" t="s">
        <v>1861</v>
      </c>
      <c r="H2691" s="12" t="b">
        <v>1</v>
      </c>
      <c r="I2691" s="12" t="b">
        <v>0</v>
      </c>
      <c r="J2691" s="12" t="b">
        <v>0</v>
      </c>
      <c r="K2691" s="12" t="b">
        <v>0</v>
      </c>
      <c r="L2691" s="12">
        <v>420</v>
      </c>
      <c r="M2691" s="12">
        <v>278.14999999999998</v>
      </c>
      <c r="N2691" s="12">
        <v>3000</v>
      </c>
      <c r="O2691" s="12">
        <v>393.75</v>
      </c>
      <c r="P2691" s="12">
        <v>0.5</v>
      </c>
      <c r="Q2691" s="12">
        <v>0.95</v>
      </c>
      <c r="R2691" s="12">
        <v>0.75</v>
      </c>
      <c r="S2691" s="12">
        <v>0.85</v>
      </c>
      <c r="T2691" s="12">
        <v>0.85999999999999988</v>
      </c>
      <c r="U2691" s="12">
        <v>0.74500000000000011</v>
      </c>
      <c r="V2691" s="12">
        <v>278.14999999999998</v>
      </c>
      <c r="W2691" s="12">
        <v>14.817974293914521</v>
      </c>
      <c r="X2691" s="12">
        <v>73.435523292863806</v>
      </c>
      <c r="Y2691" s="12">
        <v>2606.25</v>
      </c>
      <c r="Z2691" s="12">
        <v>7.6190476190476186</v>
      </c>
      <c r="AA2691" s="12" t="s">
        <v>1268</v>
      </c>
      <c r="AB2691" s="12"/>
    </row>
    <row r="2692" spans="1:28" x14ac:dyDescent="0.3">
      <c r="A2692" s="12" t="s">
        <v>4609</v>
      </c>
      <c r="B2692" s="12" t="s">
        <v>198</v>
      </c>
      <c r="C2692" s="12" t="s">
        <v>485</v>
      </c>
      <c r="D2692" s="12" t="s">
        <v>4521</v>
      </c>
      <c r="E2692" s="12" t="s">
        <v>4403</v>
      </c>
      <c r="F2692" s="12" t="s">
        <v>1861</v>
      </c>
      <c r="G2692" s="12" t="s">
        <v>1861</v>
      </c>
      <c r="H2692" s="12" t="b">
        <v>1</v>
      </c>
      <c r="I2692" s="12" t="b">
        <v>0</v>
      </c>
      <c r="J2692" s="12" t="b">
        <v>1</v>
      </c>
      <c r="K2692" s="12" t="b">
        <v>0</v>
      </c>
      <c r="L2692" s="12">
        <v>432</v>
      </c>
      <c r="M2692" s="12">
        <v>278.14999999999998</v>
      </c>
      <c r="N2692" s="12">
        <v>3000</v>
      </c>
      <c r="O2692" s="12">
        <v>393.75</v>
      </c>
      <c r="P2692" s="12">
        <v>0.5</v>
      </c>
      <c r="Q2692" s="12">
        <v>0.95</v>
      </c>
      <c r="R2692" s="12">
        <v>0.75</v>
      </c>
      <c r="S2692" s="12">
        <v>0.85</v>
      </c>
      <c r="T2692" s="12">
        <v>0.91500000000000004</v>
      </c>
      <c r="U2692" s="12">
        <v>0.8</v>
      </c>
      <c r="V2692" s="12">
        <v>278.14999999999998</v>
      </c>
      <c r="W2692" s="12">
        <v>15.64546648194214</v>
      </c>
      <c r="X2692" s="12">
        <v>102.4735939540989</v>
      </c>
      <c r="Y2692" s="12">
        <v>2606.25</v>
      </c>
      <c r="Z2692" s="12">
        <v>7.6190476190476186</v>
      </c>
      <c r="AA2692" s="12" t="s">
        <v>1981</v>
      </c>
      <c r="AB2692" s="12"/>
    </row>
    <row r="2693" spans="1:28" x14ac:dyDescent="0.3">
      <c r="A2693" s="12" t="s">
        <v>4610</v>
      </c>
      <c r="B2693" s="12" t="s">
        <v>198</v>
      </c>
      <c r="C2693" s="12" t="s">
        <v>485</v>
      </c>
      <c r="D2693" s="12" t="s">
        <v>4521</v>
      </c>
      <c r="E2693" s="12" t="s">
        <v>4403</v>
      </c>
      <c r="F2693" s="12" t="s">
        <v>32</v>
      </c>
      <c r="G2693" s="12" t="s">
        <v>32</v>
      </c>
      <c r="H2693" s="12" t="b">
        <v>1</v>
      </c>
      <c r="I2693" s="12" t="b">
        <v>1</v>
      </c>
      <c r="J2693" s="12" t="b">
        <v>0</v>
      </c>
      <c r="K2693" s="12" t="b">
        <v>0</v>
      </c>
      <c r="L2693" s="12">
        <v>408</v>
      </c>
      <c r="M2693" s="12">
        <v>278.14999999999998</v>
      </c>
      <c r="N2693" s="12">
        <v>3000</v>
      </c>
      <c r="O2693" s="12">
        <v>393.75</v>
      </c>
      <c r="P2693" s="12">
        <v>0.5</v>
      </c>
      <c r="Q2693" s="12">
        <v>0.95</v>
      </c>
      <c r="R2693" s="12">
        <v>0.75</v>
      </c>
      <c r="S2693" s="12">
        <v>0.85</v>
      </c>
      <c r="T2693" s="12">
        <v>0.91500000000000004</v>
      </c>
      <c r="U2693" s="12">
        <v>0.8</v>
      </c>
      <c r="V2693" s="12">
        <v>278.14999999999998</v>
      </c>
      <c r="W2693" s="12">
        <v>13.933471793570179</v>
      </c>
      <c r="X2693" s="12">
        <v>47.439882457120042</v>
      </c>
      <c r="Y2693" s="12">
        <v>2606.25</v>
      </c>
      <c r="Z2693" s="12">
        <v>7.6190476190476186</v>
      </c>
      <c r="AA2693" s="12"/>
      <c r="AB2693" s="12"/>
    </row>
    <row r="2694" spans="1:28" x14ac:dyDescent="0.3">
      <c r="A2694" s="12" t="s">
        <v>4611</v>
      </c>
      <c r="B2694" s="12" t="s">
        <v>198</v>
      </c>
      <c r="C2694" s="12" t="s">
        <v>485</v>
      </c>
      <c r="D2694" s="12" t="s">
        <v>4521</v>
      </c>
      <c r="E2694" s="12" t="s">
        <v>4403</v>
      </c>
      <c r="F2694" s="12" t="s">
        <v>32</v>
      </c>
      <c r="G2694" s="12" t="s">
        <v>32</v>
      </c>
      <c r="H2694" s="12" t="b">
        <v>1</v>
      </c>
      <c r="I2694" s="12" t="b">
        <v>1</v>
      </c>
      <c r="J2694" s="12" t="b">
        <v>0</v>
      </c>
      <c r="K2694" s="12" t="b">
        <v>0</v>
      </c>
      <c r="L2694" s="12">
        <v>420</v>
      </c>
      <c r="M2694" s="12">
        <v>280.69</v>
      </c>
      <c r="N2694" s="12">
        <v>3000</v>
      </c>
      <c r="O2694" s="12">
        <v>393.75</v>
      </c>
      <c r="P2694" s="12">
        <v>0.5</v>
      </c>
      <c r="Q2694" s="12">
        <v>0.95</v>
      </c>
      <c r="R2694" s="12">
        <v>0.75</v>
      </c>
      <c r="S2694" s="12">
        <v>0.85</v>
      </c>
      <c r="T2694" s="12">
        <v>0.91500000000000004</v>
      </c>
      <c r="U2694" s="12">
        <v>0.8</v>
      </c>
      <c r="V2694" s="12">
        <v>280.69</v>
      </c>
      <c r="W2694" s="12">
        <v>15.18233874616843</v>
      </c>
      <c r="X2694" s="12">
        <v>73.971538539602989</v>
      </c>
      <c r="Y2694" s="12">
        <v>2606.25</v>
      </c>
      <c r="Z2694" s="12">
        <v>7.6190476190476186</v>
      </c>
      <c r="AA2694" s="12"/>
      <c r="AB2694" s="12"/>
    </row>
    <row r="2695" spans="1:28" x14ac:dyDescent="0.3">
      <c r="A2695" s="12" t="s">
        <v>4612</v>
      </c>
      <c r="B2695" s="12" t="s">
        <v>198</v>
      </c>
      <c r="C2695" s="12" t="s">
        <v>485</v>
      </c>
      <c r="D2695" s="12" t="s">
        <v>4521</v>
      </c>
      <c r="E2695" s="12" t="s">
        <v>4403</v>
      </c>
      <c r="F2695" s="12" t="s">
        <v>32</v>
      </c>
      <c r="G2695" s="12" t="s">
        <v>32</v>
      </c>
      <c r="H2695" s="12" t="b">
        <v>1</v>
      </c>
      <c r="I2695" s="12" t="b">
        <v>1</v>
      </c>
      <c r="J2695" s="12" t="b">
        <v>0</v>
      </c>
      <c r="K2695" s="12" t="b">
        <v>0</v>
      </c>
      <c r="L2695" s="12">
        <v>420</v>
      </c>
      <c r="M2695" s="12">
        <v>278.14999999999998</v>
      </c>
      <c r="N2695" s="12">
        <v>3300</v>
      </c>
      <c r="O2695" s="12">
        <v>393.75</v>
      </c>
      <c r="P2695" s="12">
        <v>0.5</v>
      </c>
      <c r="Q2695" s="12">
        <v>0.95</v>
      </c>
      <c r="R2695" s="12">
        <v>0.75</v>
      </c>
      <c r="S2695" s="12">
        <v>0.85</v>
      </c>
      <c r="T2695" s="12">
        <v>0.91500000000000004</v>
      </c>
      <c r="U2695" s="12">
        <v>0.8</v>
      </c>
      <c r="V2695" s="12">
        <v>278.14999999999998</v>
      </c>
      <c r="W2695" s="12">
        <v>15.18278766550411</v>
      </c>
      <c r="X2695" s="12">
        <v>65.222786092120003</v>
      </c>
      <c r="Y2695" s="12">
        <v>2906.25</v>
      </c>
      <c r="Z2695" s="12">
        <v>8.3809523809523814</v>
      </c>
      <c r="AA2695" s="12"/>
      <c r="AB2695" s="12"/>
    </row>
    <row r="2696" spans="1:28" x14ac:dyDescent="0.3">
      <c r="A2696" s="12" t="s">
        <v>4613</v>
      </c>
      <c r="B2696" s="12" t="s">
        <v>198</v>
      </c>
      <c r="C2696" s="12" t="s">
        <v>485</v>
      </c>
      <c r="D2696" s="12" t="s">
        <v>4521</v>
      </c>
      <c r="E2696" s="12" t="s">
        <v>4403</v>
      </c>
      <c r="F2696" s="12" t="s">
        <v>32</v>
      </c>
      <c r="G2696" s="12" t="s">
        <v>32</v>
      </c>
      <c r="H2696" s="12" t="b">
        <v>1</v>
      </c>
      <c r="I2696" s="12" t="b">
        <v>1</v>
      </c>
      <c r="J2696" s="12" t="b">
        <v>0</v>
      </c>
      <c r="K2696" s="12" t="b">
        <v>0</v>
      </c>
      <c r="L2696" s="12">
        <v>420</v>
      </c>
      <c r="M2696" s="12">
        <v>278.14999999999998</v>
      </c>
      <c r="N2696" s="12">
        <v>2700</v>
      </c>
      <c r="O2696" s="12">
        <v>393.75</v>
      </c>
      <c r="P2696" s="12">
        <v>0.5</v>
      </c>
      <c r="Q2696" s="12">
        <v>0.95</v>
      </c>
      <c r="R2696" s="12">
        <v>0.75</v>
      </c>
      <c r="S2696" s="12">
        <v>0.85</v>
      </c>
      <c r="T2696" s="12">
        <v>0.91500000000000004</v>
      </c>
      <c r="U2696" s="12">
        <v>0.8</v>
      </c>
      <c r="V2696" s="12">
        <v>278.14999999999998</v>
      </c>
      <c r="W2696" s="12">
        <v>14.741895969607359</v>
      </c>
      <c r="X2696" s="12">
        <v>81.9280552836683</v>
      </c>
      <c r="Y2696" s="12">
        <v>2306.25</v>
      </c>
      <c r="Z2696" s="12">
        <v>6.8571428571428568</v>
      </c>
      <c r="AA2696" s="12"/>
      <c r="AB2696" s="12"/>
    </row>
    <row r="2697" spans="1:28" x14ac:dyDescent="0.3">
      <c r="A2697" s="12" t="s">
        <v>4614</v>
      </c>
      <c r="B2697" s="12" t="s">
        <v>198</v>
      </c>
      <c r="C2697" s="12" t="s">
        <v>485</v>
      </c>
      <c r="D2697" s="12" t="s">
        <v>4521</v>
      </c>
      <c r="E2697" s="12" t="s">
        <v>4403</v>
      </c>
      <c r="F2697" s="12" t="s">
        <v>32</v>
      </c>
      <c r="G2697" s="12" t="s">
        <v>32</v>
      </c>
      <c r="H2697" s="12" t="b">
        <v>1</v>
      </c>
      <c r="I2697" s="12" t="b">
        <v>1</v>
      </c>
      <c r="J2697" s="12" t="b">
        <v>0</v>
      </c>
      <c r="K2697" s="12" t="b">
        <v>0</v>
      </c>
      <c r="L2697" s="12">
        <v>420</v>
      </c>
      <c r="M2697" s="12">
        <v>278.14999999999998</v>
      </c>
      <c r="N2697" s="12">
        <v>3000</v>
      </c>
      <c r="O2697" s="12">
        <v>613.75</v>
      </c>
      <c r="P2697" s="12">
        <v>0.5</v>
      </c>
      <c r="Q2697" s="12">
        <v>0.95</v>
      </c>
      <c r="R2697" s="12">
        <v>0.75</v>
      </c>
      <c r="S2697" s="12">
        <v>0.85</v>
      </c>
      <c r="T2697" s="12">
        <v>0.91500000000000004</v>
      </c>
      <c r="U2697" s="12">
        <v>0.8</v>
      </c>
      <c r="V2697" s="12">
        <v>278.14999999999998</v>
      </c>
      <c r="W2697" s="12">
        <v>11.99209576305496</v>
      </c>
      <c r="X2697" s="12">
        <v>58.68511530275908</v>
      </c>
      <c r="Y2697" s="12">
        <v>2386.25</v>
      </c>
      <c r="Z2697" s="12">
        <v>4.8879837067209779</v>
      </c>
      <c r="AA2697" s="12"/>
      <c r="AB2697" s="12"/>
    </row>
    <row r="2698" spans="1:28" x14ac:dyDescent="0.3">
      <c r="A2698" s="12" t="s">
        <v>4615</v>
      </c>
      <c r="B2698" s="12" t="s">
        <v>198</v>
      </c>
      <c r="C2698" s="12" t="s">
        <v>485</v>
      </c>
      <c r="D2698" s="12" t="s">
        <v>4521</v>
      </c>
      <c r="E2698" s="12" t="s">
        <v>4403</v>
      </c>
      <c r="F2698" s="12" t="s">
        <v>1861</v>
      </c>
      <c r="G2698" s="12" t="s">
        <v>1861</v>
      </c>
      <c r="H2698" s="12" t="b">
        <v>1</v>
      </c>
      <c r="I2698" s="12" t="b">
        <v>0</v>
      </c>
      <c r="J2698" s="12" t="b">
        <v>0</v>
      </c>
      <c r="K2698" s="12" t="b">
        <v>0</v>
      </c>
      <c r="L2698" s="12">
        <v>420</v>
      </c>
      <c r="M2698" s="12">
        <v>278.14999999999998</v>
      </c>
      <c r="N2698" s="12">
        <v>3000</v>
      </c>
      <c r="O2698" s="12">
        <v>300</v>
      </c>
      <c r="P2698" s="12">
        <v>0.5</v>
      </c>
      <c r="Q2698" s="12">
        <v>0.95</v>
      </c>
      <c r="R2698" s="12">
        <v>0.75</v>
      </c>
      <c r="S2698" s="12">
        <v>0.85</v>
      </c>
      <c r="T2698" s="12">
        <v>0.91500000000000004</v>
      </c>
      <c r="U2698" s="12">
        <v>0.8</v>
      </c>
      <c r="V2698" s="12">
        <v>278.14999999999998</v>
      </c>
      <c r="W2698" s="12">
        <v>16.848186854104561</v>
      </c>
      <c r="X2698" s="12">
        <v>82.706216049692273</v>
      </c>
      <c r="Y2698" s="12">
        <v>2700</v>
      </c>
      <c r="Z2698" s="12">
        <v>10</v>
      </c>
      <c r="AA2698" s="12" t="s">
        <v>1981</v>
      </c>
      <c r="AB2698" s="12"/>
    </row>
    <row r="2699" spans="1:28" x14ac:dyDescent="0.3">
      <c r="A2699" s="12" t="s">
        <v>4616</v>
      </c>
      <c r="B2699" s="12" t="s">
        <v>198</v>
      </c>
      <c r="C2699" s="12" t="s">
        <v>485</v>
      </c>
      <c r="D2699" s="12" t="s">
        <v>4521</v>
      </c>
      <c r="E2699" s="12" t="s">
        <v>4403</v>
      </c>
      <c r="F2699" s="12" t="s">
        <v>1861</v>
      </c>
      <c r="G2699" s="12" t="s">
        <v>1861</v>
      </c>
      <c r="H2699" s="12" t="b">
        <v>1</v>
      </c>
      <c r="I2699" s="12" t="b">
        <v>0</v>
      </c>
      <c r="J2699" s="12" t="b">
        <v>0</v>
      </c>
      <c r="K2699" s="12" t="b">
        <v>0</v>
      </c>
      <c r="L2699" s="12">
        <v>420</v>
      </c>
      <c r="M2699" s="12">
        <v>278.14999999999998</v>
      </c>
      <c r="N2699" s="12">
        <v>3000</v>
      </c>
      <c r="O2699" s="12">
        <v>393.75</v>
      </c>
      <c r="P2699" s="12">
        <v>0.53500000000000003</v>
      </c>
      <c r="Q2699" s="12">
        <v>0.95</v>
      </c>
      <c r="R2699" s="12">
        <v>0.75</v>
      </c>
      <c r="S2699" s="12">
        <v>0.85</v>
      </c>
      <c r="T2699" s="12">
        <v>0.91500000000000004</v>
      </c>
      <c r="U2699" s="12">
        <v>0.8</v>
      </c>
      <c r="V2699" s="12">
        <v>278.14999999999998</v>
      </c>
      <c r="W2699" s="12">
        <v>15.826850156665911</v>
      </c>
      <c r="X2699" s="12">
        <v>90.869814353420765</v>
      </c>
      <c r="Y2699" s="12">
        <v>2606.25</v>
      </c>
      <c r="Z2699" s="12">
        <v>7.6190476190476186</v>
      </c>
      <c r="AA2699" s="12" t="s">
        <v>1268</v>
      </c>
      <c r="AB2699" s="12"/>
    </row>
    <row r="2700" spans="1:28" x14ac:dyDescent="0.3">
      <c r="A2700" s="12" t="s">
        <v>4617</v>
      </c>
      <c r="B2700" s="12" t="s">
        <v>198</v>
      </c>
      <c r="C2700" s="12" t="s">
        <v>485</v>
      </c>
      <c r="D2700" s="12" t="s">
        <v>4521</v>
      </c>
      <c r="E2700" s="12" t="s">
        <v>4403</v>
      </c>
      <c r="F2700" s="12" t="s">
        <v>32</v>
      </c>
      <c r="G2700" s="12" t="s">
        <v>32</v>
      </c>
      <c r="H2700" s="12" t="b">
        <v>1</v>
      </c>
      <c r="I2700" s="12" t="b">
        <v>1</v>
      </c>
      <c r="J2700" s="12" t="b">
        <v>0</v>
      </c>
      <c r="K2700" s="12" t="b">
        <v>0</v>
      </c>
      <c r="L2700" s="12">
        <v>420</v>
      </c>
      <c r="M2700" s="12">
        <v>278.14999999999998</v>
      </c>
      <c r="N2700" s="12">
        <v>3000</v>
      </c>
      <c r="O2700" s="12">
        <v>393.75</v>
      </c>
      <c r="P2700" s="12">
        <v>0.5</v>
      </c>
      <c r="Q2700" s="12">
        <v>0.89500000000000002</v>
      </c>
      <c r="R2700" s="12">
        <v>0.75</v>
      </c>
      <c r="S2700" s="12">
        <v>0.85</v>
      </c>
      <c r="T2700" s="12">
        <v>0.91500000000000004</v>
      </c>
      <c r="U2700" s="12">
        <v>0.8</v>
      </c>
      <c r="V2700" s="12">
        <v>278.14999999999998</v>
      </c>
      <c r="W2700" s="12">
        <v>14.15628485758795</v>
      </c>
      <c r="X2700" s="12">
        <v>69.372214856310904</v>
      </c>
      <c r="Y2700" s="12">
        <v>2606.25</v>
      </c>
      <c r="Z2700" s="12">
        <v>7.6190476190476186</v>
      </c>
      <c r="AA2700" s="12"/>
      <c r="AB2700" s="12"/>
    </row>
    <row r="2701" spans="1:28" x14ac:dyDescent="0.3">
      <c r="A2701" s="12" t="s">
        <v>4618</v>
      </c>
      <c r="B2701" s="12" t="s">
        <v>198</v>
      </c>
      <c r="C2701" s="12" t="s">
        <v>485</v>
      </c>
      <c r="D2701" s="12" t="s">
        <v>4521</v>
      </c>
      <c r="E2701" s="12" t="s">
        <v>4403</v>
      </c>
      <c r="F2701" s="12" t="s">
        <v>32</v>
      </c>
      <c r="G2701" s="12" t="s">
        <v>32</v>
      </c>
      <c r="H2701" s="12" t="b">
        <v>1</v>
      </c>
      <c r="I2701" s="12" t="b">
        <v>1</v>
      </c>
      <c r="J2701" s="12" t="b">
        <v>0</v>
      </c>
      <c r="K2701" s="12" t="b">
        <v>0</v>
      </c>
      <c r="L2701" s="12">
        <v>420</v>
      </c>
      <c r="M2701" s="12">
        <v>278.14999999999998</v>
      </c>
      <c r="N2701" s="12">
        <v>3000</v>
      </c>
      <c r="O2701" s="12">
        <v>393.75</v>
      </c>
      <c r="P2701" s="12">
        <v>0.5</v>
      </c>
      <c r="Q2701" s="12">
        <v>0.95</v>
      </c>
      <c r="R2701" s="12">
        <v>0.80499999999999994</v>
      </c>
      <c r="S2701" s="12">
        <v>0.85</v>
      </c>
      <c r="T2701" s="12">
        <v>0.91500000000000004</v>
      </c>
      <c r="U2701" s="12">
        <v>0.8</v>
      </c>
      <c r="V2701" s="12">
        <v>278.14999999999998</v>
      </c>
      <c r="W2701" s="12">
        <v>15.12354085071482</v>
      </c>
      <c r="X2701" s="12">
        <v>74.173539438471153</v>
      </c>
      <c r="Y2701" s="12">
        <v>2606.25</v>
      </c>
      <c r="Z2701" s="12">
        <v>7.6190476190476186</v>
      </c>
      <c r="AA2701" s="12"/>
      <c r="AB2701" s="12"/>
    </row>
    <row r="2702" spans="1:28" x14ac:dyDescent="0.3">
      <c r="A2702" s="12" t="s">
        <v>4619</v>
      </c>
      <c r="B2702" s="12" t="s">
        <v>198</v>
      </c>
      <c r="C2702" s="12" t="s">
        <v>485</v>
      </c>
      <c r="D2702" s="12" t="s">
        <v>4521</v>
      </c>
      <c r="E2702" s="12" t="s">
        <v>4403</v>
      </c>
      <c r="F2702" s="12" t="s">
        <v>32</v>
      </c>
      <c r="G2702" s="12" t="s">
        <v>32</v>
      </c>
      <c r="H2702" s="12" t="b">
        <v>1</v>
      </c>
      <c r="I2702" s="12" t="b">
        <v>1</v>
      </c>
      <c r="J2702" s="12" t="b">
        <v>0</v>
      </c>
      <c r="K2702" s="12" t="b">
        <v>0</v>
      </c>
      <c r="L2702" s="12">
        <v>420</v>
      </c>
      <c r="M2702" s="12">
        <v>278.14999999999998</v>
      </c>
      <c r="N2702" s="12">
        <v>3000</v>
      </c>
      <c r="O2702" s="12">
        <v>393.75</v>
      </c>
      <c r="P2702" s="12">
        <v>0.5</v>
      </c>
      <c r="Q2702" s="12">
        <v>0.95</v>
      </c>
      <c r="R2702" s="12">
        <v>0.69500000000000006</v>
      </c>
      <c r="S2702" s="12">
        <v>0.85</v>
      </c>
      <c r="T2702" s="12">
        <v>0.91500000000000004</v>
      </c>
      <c r="U2702" s="12">
        <v>0.8</v>
      </c>
      <c r="V2702" s="12">
        <v>278.14999999999998</v>
      </c>
      <c r="W2702" s="12">
        <v>15.0040385275127</v>
      </c>
      <c r="X2702" s="12">
        <v>73.55564955140612</v>
      </c>
      <c r="Y2702" s="12">
        <v>2606.25</v>
      </c>
      <c r="Z2702" s="12">
        <v>7.6190476190476186</v>
      </c>
      <c r="AA2702" s="12"/>
      <c r="AB2702" s="12"/>
    </row>
    <row r="2703" spans="1:28" x14ac:dyDescent="0.3">
      <c r="A2703" s="12" t="s">
        <v>4620</v>
      </c>
      <c r="B2703" s="12" t="s">
        <v>198</v>
      </c>
      <c r="C2703" s="12" t="s">
        <v>485</v>
      </c>
      <c r="D2703" s="12" t="s">
        <v>4521</v>
      </c>
      <c r="E2703" s="12" t="s">
        <v>4403</v>
      </c>
      <c r="F2703" s="12" t="s">
        <v>32</v>
      </c>
      <c r="G2703" s="12" t="s">
        <v>32</v>
      </c>
      <c r="H2703" s="12" t="b">
        <v>1</v>
      </c>
      <c r="I2703" s="12" t="b">
        <v>1</v>
      </c>
      <c r="J2703" s="12" t="b">
        <v>0</v>
      </c>
      <c r="K2703" s="12" t="b">
        <v>0</v>
      </c>
      <c r="L2703" s="12">
        <v>420</v>
      </c>
      <c r="M2703" s="12">
        <v>278.14999999999998</v>
      </c>
      <c r="N2703" s="12">
        <v>3000</v>
      </c>
      <c r="O2703" s="12">
        <v>393.75</v>
      </c>
      <c r="P2703" s="12">
        <v>0.5</v>
      </c>
      <c r="Q2703" s="12">
        <v>0.95</v>
      </c>
      <c r="R2703" s="12">
        <v>0.75</v>
      </c>
      <c r="S2703" s="12">
        <v>0.90500000000000003</v>
      </c>
      <c r="T2703" s="12">
        <v>0.91500000000000004</v>
      </c>
      <c r="U2703" s="12">
        <v>0.8</v>
      </c>
      <c r="V2703" s="12">
        <v>278.14999999999998</v>
      </c>
      <c r="W2703" s="12">
        <v>15.21737375807237</v>
      </c>
      <c r="X2703" s="12">
        <v>79.37711927688585</v>
      </c>
      <c r="Y2703" s="12">
        <v>2606.25</v>
      </c>
      <c r="Z2703" s="12">
        <v>7.6190476190476186</v>
      </c>
      <c r="AA2703" s="12"/>
      <c r="AB2703" s="12"/>
    </row>
    <row r="2704" spans="1:28" x14ac:dyDescent="0.3">
      <c r="A2704" s="12" t="s">
        <v>4621</v>
      </c>
      <c r="B2704" s="12" t="s">
        <v>198</v>
      </c>
      <c r="C2704" s="12" t="s">
        <v>485</v>
      </c>
      <c r="D2704" s="12" t="s">
        <v>4521</v>
      </c>
      <c r="E2704" s="12" t="s">
        <v>4403</v>
      </c>
      <c r="F2704" s="12" t="s">
        <v>32</v>
      </c>
      <c r="G2704" s="12" t="s">
        <v>32</v>
      </c>
      <c r="H2704" s="12" t="b">
        <v>1</v>
      </c>
      <c r="I2704" s="12" t="b">
        <v>1</v>
      </c>
      <c r="J2704" s="12" t="b">
        <v>0</v>
      </c>
      <c r="K2704" s="12" t="b">
        <v>0</v>
      </c>
      <c r="L2704" s="12">
        <v>420</v>
      </c>
      <c r="M2704" s="12">
        <v>278.14999999999998</v>
      </c>
      <c r="N2704" s="12">
        <v>3000</v>
      </c>
      <c r="O2704" s="12">
        <v>393.75</v>
      </c>
      <c r="P2704" s="12">
        <v>0.5</v>
      </c>
      <c r="Q2704" s="12">
        <v>0.95</v>
      </c>
      <c r="R2704" s="12">
        <v>0.75</v>
      </c>
      <c r="S2704" s="12">
        <v>0.79500000000000004</v>
      </c>
      <c r="T2704" s="12">
        <v>0.91500000000000004</v>
      </c>
      <c r="U2704" s="12">
        <v>0.8</v>
      </c>
      <c r="V2704" s="12">
        <v>278.14999999999998</v>
      </c>
      <c r="W2704" s="12">
        <v>14.89561708401034</v>
      </c>
      <c r="X2704" s="12">
        <v>68.381629362456522</v>
      </c>
      <c r="Y2704" s="12">
        <v>2606.25</v>
      </c>
      <c r="Z2704" s="12">
        <v>7.6190476190476186</v>
      </c>
      <c r="AA2704" s="12"/>
      <c r="AB2704" s="12"/>
    </row>
    <row r="2705" spans="1:28" x14ac:dyDescent="0.3">
      <c r="A2705" s="12" t="s">
        <v>4622</v>
      </c>
      <c r="B2705" s="12" t="s">
        <v>198</v>
      </c>
      <c r="C2705" s="12" t="s">
        <v>485</v>
      </c>
      <c r="D2705" s="12" t="s">
        <v>4521</v>
      </c>
      <c r="E2705" s="12" t="s">
        <v>4403</v>
      </c>
      <c r="F2705" s="12" t="s">
        <v>32</v>
      </c>
      <c r="G2705" s="12" t="s">
        <v>32</v>
      </c>
      <c r="H2705" s="12" t="b">
        <v>1</v>
      </c>
      <c r="I2705" s="12" t="b">
        <v>1</v>
      </c>
      <c r="J2705" s="12" t="b">
        <v>0</v>
      </c>
      <c r="K2705" s="12" t="b">
        <v>0</v>
      </c>
      <c r="L2705" s="12">
        <v>420</v>
      </c>
      <c r="M2705" s="12">
        <v>278.14999999999998</v>
      </c>
      <c r="N2705" s="12">
        <v>3000</v>
      </c>
      <c r="O2705" s="12">
        <v>393.75</v>
      </c>
      <c r="P2705" s="12">
        <v>0.5</v>
      </c>
      <c r="Q2705" s="12">
        <v>0.95</v>
      </c>
      <c r="R2705" s="12">
        <v>0.75</v>
      </c>
      <c r="S2705" s="12">
        <v>0.85</v>
      </c>
      <c r="T2705" s="12">
        <v>0.95</v>
      </c>
      <c r="U2705" s="12">
        <v>0.8</v>
      </c>
      <c r="V2705" s="12">
        <v>278.14999999999998</v>
      </c>
      <c r="W2705" s="12">
        <v>15.48239750048667</v>
      </c>
      <c r="X2705" s="12">
        <v>74.224320481960703</v>
      </c>
      <c r="Y2705" s="12">
        <v>2606.25</v>
      </c>
      <c r="Z2705" s="12">
        <v>7.6190476190476186</v>
      </c>
      <c r="AA2705" s="12"/>
      <c r="AB2705" s="12"/>
    </row>
    <row r="2706" spans="1:28" x14ac:dyDescent="0.3">
      <c r="A2706" s="12" t="s">
        <v>4623</v>
      </c>
      <c r="B2706" s="12" t="s">
        <v>198</v>
      </c>
      <c r="C2706" s="12" t="s">
        <v>485</v>
      </c>
      <c r="D2706" s="12" t="s">
        <v>4521</v>
      </c>
      <c r="E2706" s="12" t="s">
        <v>4403</v>
      </c>
      <c r="F2706" s="12" t="s">
        <v>32</v>
      </c>
      <c r="G2706" s="12" t="s">
        <v>32</v>
      </c>
      <c r="H2706" s="12" t="b">
        <v>1</v>
      </c>
      <c r="I2706" s="12" t="b">
        <v>1</v>
      </c>
      <c r="J2706" s="12" t="b">
        <v>0</v>
      </c>
      <c r="K2706" s="12" t="b">
        <v>0</v>
      </c>
      <c r="L2706" s="12">
        <v>420</v>
      </c>
      <c r="M2706" s="12">
        <v>278.14999999999998</v>
      </c>
      <c r="N2706" s="12">
        <v>3000</v>
      </c>
      <c r="O2706" s="12">
        <v>393.75</v>
      </c>
      <c r="P2706" s="12">
        <v>0.5</v>
      </c>
      <c r="Q2706" s="12">
        <v>0.95</v>
      </c>
      <c r="R2706" s="12">
        <v>0.75</v>
      </c>
      <c r="S2706" s="12">
        <v>0.85</v>
      </c>
      <c r="T2706" s="12">
        <v>0.85999999999999988</v>
      </c>
      <c r="U2706" s="12">
        <v>0.8</v>
      </c>
      <c r="V2706" s="12">
        <v>278.14999999999998</v>
      </c>
      <c r="W2706" s="12">
        <v>14.46019148298592</v>
      </c>
      <c r="X2706" s="12">
        <v>73.363629542497847</v>
      </c>
      <c r="Y2706" s="12">
        <v>2606.25</v>
      </c>
      <c r="Z2706" s="12">
        <v>7.6190476190476186</v>
      </c>
      <c r="AA2706" s="12"/>
      <c r="AB2706" s="12"/>
    </row>
    <row r="2707" spans="1:28" x14ac:dyDescent="0.3">
      <c r="A2707" s="12" t="s">
        <v>4624</v>
      </c>
      <c r="B2707" s="12" t="s">
        <v>198</v>
      </c>
      <c r="C2707" s="12" t="s">
        <v>485</v>
      </c>
      <c r="D2707" s="12" t="s">
        <v>4521</v>
      </c>
      <c r="E2707" s="12" t="s">
        <v>4403</v>
      </c>
      <c r="F2707" s="12" t="s">
        <v>32</v>
      </c>
      <c r="G2707" s="12" t="s">
        <v>32</v>
      </c>
      <c r="H2707" s="12" t="b">
        <v>1</v>
      </c>
      <c r="I2707" s="12" t="b">
        <v>1</v>
      </c>
      <c r="J2707" s="12" t="b">
        <v>0</v>
      </c>
      <c r="K2707" s="12" t="b">
        <v>0</v>
      </c>
      <c r="L2707" s="12">
        <v>420</v>
      </c>
      <c r="M2707" s="12">
        <v>278.14999999999998</v>
      </c>
      <c r="N2707" s="12">
        <v>3000</v>
      </c>
      <c r="O2707" s="12">
        <v>393.75</v>
      </c>
      <c r="P2707" s="12">
        <v>0.5</v>
      </c>
      <c r="Q2707" s="12">
        <v>0.95</v>
      </c>
      <c r="R2707" s="12">
        <v>0.75</v>
      </c>
      <c r="S2707" s="12">
        <v>0.85</v>
      </c>
      <c r="T2707" s="12">
        <v>0.91500000000000004</v>
      </c>
      <c r="U2707" s="12">
        <v>0.85499999999999998</v>
      </c>
      <c r="V2707" s="12">
        <v>278.14999999999998</v>
      </c>
      <c r="W2707" s="12">
        <v>14.73717504685678</v>
      </c>
      <c r="X2707" s="12">
        <v>73.636088296456336</v>
      </c>
      <c r="Y2707" s="12">
        <v>2606.25</v>
      </c>
      <c r="Z2707" s="12">
        <v>7.6190476190476186</v>
      </c>
      <c r="AA2707" s="12"/>
      <c r="AB2707" s="12"/>
    </row>
    <row r="2708" spans="1:28" x14ac:dyDescent="0.3">
      <c r="A2708" s="12" t="s">
        <v>4625</v>
      </c>
      <c r="B2708" s="12" t="s">
        <v>198</v>
      </c>
      <c r="C2708" s="12" t="s">
        <v>485</v>
      </c>
      <c r="D2708" s="12" t="s">
        <v>4521</v>
      </c>
      <c r="E2708" s="12" t="s">
        <v>4403</v>
      </c>
      <c r="F2708" s="12" t="s">
        <v>1861</v>
      </c>
      <c r="G2708" s="12" t="s">
        <v>1861</v>
      </c>
      <c r="H2708" s="12" t="b">
        <v>1</v>
      </c>
      <c r="I2708" s="12" t="b">
        <v>0</v>
      </c>
      <c r="J2708" s="12" t="b">
        <v>0</v>
      </c>
      <c r="K2708" s="12" t="b">
        <v>0</v>
      </c>
      <c r="L2708" s="12">
        <v>420</v>
      </c>
      <c r="M2708" s="12">
        <v>278.14999999999998</v>
      </c>
      <c r="N2708" s="12">
        <v>3000</v>
      </c>
      <c r="O2708" s="12">
        <v>393.75</v>
      </c>
      <c r="P2708" s="12">
        <v>0.5</v>
      </c>
      <c r="Q2708" s="12">
        <v>0.95</v>
      </c>
      <c r="R2708" s="12">
        <v>0.75</v>
      </c>
      <c r="S2708" s="12">
        <v>0.85</v>
      </c>
      <c r="T2708" s="12">
        <v>0.91500000000000004</v>
      </c>
      <c r="U2708" s="12">
        <v>0.74500000000000011</v>
      </c>
      <c r="V2708" s="12">
        <v>278.14999999999998</v>
      </c>
      <c r="W2708" s="12">
        <v>15.415182638493039</v>
      </c>
      <c r="X2708" s="12">
        <v>74.00959370633322</v>
      </c>
      <c r="Y2708" s="12">
        <v>2606.25</v>
      </c>
      <c r="Z2708" s="12">
        <v>7.6190476190476186</v>
      </c>
      <c r="AA2708" s="12" t="s">
        <v>1268</v>
      </c>
      <c r="AB2708" s="12"/>
    </row>
    <row r="2709" spans="1:28" x14ac:dyDescent="0.3">
      <c r="A2709" s="12" t="s">
        <v>4626</v>
      </c>
      <c r="B2709" s="12" t="s">
        <v>198</v>
      </c>
      <c r="C2709" s="12" t="s">
        <v>496</v>
      </c>
      <c r="D2709" s="12" t="s">
        <v>4627</v>
      </c>
      <c r="E2709" s="12" t="s">
        <v>4403</v>
      </c>
      <c r="F2709" s="12" t="s">
        <v>32</v>
      </c>
      <c r="G2709" s="12" t="s">
        <v>32</v>
      </c>
      <c r="H2709" s="12" t="b">
        <v>1</v>
      </c>
      <c r="I2709" s="12" t="b">
        <v>1</v>
      </c>
      <c r="J2709" s="12" t="b">
        <v>0</v>
      </c>
      <c r="K2709" s="12" t="b">
        <v>0</v>
      </c>
      <c r="L2709" s="12">
        <v>623.15</v>
      </c>
      <c r="M2709" s="12">
        <v>300.032917</v>
      </c>
      <c r="N2709" s="12">
        <v>3905.950043184831</v>
      </c>
      <c r="O2709" s="12">
        <v>1359.5567020080759</v>
      </c>
      <c r="P2709" s="12">
        <v>0.82947803278088494</v>
      </c>
      <c r="Q2709" s="12">
        <v>0.83605590745864788</v>
      </c>
      <c r="R2709" s="12">
        <v>0.83753427271834879</v>
      </c>
      <c r="S2709" s="12">
        <v>0.4963658855761367</v>
      </c>
      <c r="T2709" s="12">
        <v>0.9166775946077288</v>
      </c>
      <c r="U2709" s="12">
        <v>0.94578817753558442</v>
      </c>
      <c r="V2709" s="12">
        <v>300.032917</v>
      </c>
      <c r="W2709" s="12">
        <v>9.28909448226735</v>
      </c>
      <c r="X2709" s="12">
        <v>96.710834655031718</v>
      </c>
      <c r="Y2709" s="12">
        <v>2546.3933411767548</v>
      </c>
      <c r="Z2709" s="12">
        <v>2.872958544072278</v>
      </c>
      <c r="AA2709" s="12"/>
      <c r="AB2709" s="12"/>
    </row>
    <row r="2710" spans="1:28" x14ac:dyDescent="0.3">
      <c r="A2710" s="12" t="s">
        <v>4628</v>
      </c>
      <c r="B2710" s="12" t="s">
        <v>198</v>
      </c>
      <c r="C2710" s="12" t="s">
        <v>496</v>
      </c>
      <c r="D2710" s="12" t="s">
        <v>4627</v>
      </c>
      <c r="E2710" s="12" t="s">
        <v>4403</v>
      </c>
      <c r="F2710" s="12" t="s">
        <v>32</v>
      </c>
      <c r="G2710" s="12" t="s">
        <v>32</v>
      </c>
      <c r="H2710" s="12" t="b">
        <v>1</v>
      </c>
      <c r="I2710" s="12" t="b">
        <v>1</v>
      </c>
      <c r="J2710" s="12" t="b">
        <v>0</v>
      </c>
      <c r="K2710" s="12" t="b">
        <v>0</v>
      </c>
      <c r="L2710" s="12">
        <v>623.15</v>
      </c>
      <c r="M2710" s="12">
        <v>300.032917</v>
      </c>
      <c r="N2710" s="12">
        <v>4205.950043184831</v>
      </c>
      <c r="O2710" s="12">
        <v>1359.5567020080759</v>
      </c>
      <c r="P2710" s="12">
        <v>0.82947803278088494</v>
      </c>
      <c r="Q2710" s="12">
        <v>0.83605590745864788</v>
      </c>
      <c r="R2710" s="12">
        <v>0.83753427271834879</v>
      </c>
      <c r="S2710" s="12">
        <v>0.4963658855761367</v>
      </c>
      <c r="T2710" s="12">
        <v>0.9166775946077288</v>
      </c>
      <c r="U2710" s="12">
        <v>0.94578817753558442</v>
      </c>
      <c r="V2710" s="12">
        <v>300.032917</v>
      </c>
      <c r="W2710" s="12">
        <v>9.8558826245442397</v>
      </c>
      <c r="X2710" s="12">
        <v>102.1957086760585</v>
      </c>
      <c r="Y2710" s="12">
        <v>2846.3933411767548</v>
      </c>
      <c r="Z2710" s="12">
        <v>3.0936187045178829</v>
      </c>
      <c r="AA2710" s="12"/>
      <c r="AB2710" s="12"/>
    </row>
    <row r="2711" spans="1:28" x14ac:dyDescent="0.3">
      <c r="A2711" s="12" t="s">
        <v>4629</v>
      </c>
      <c r="B2711" s="12" t="s">
        <v>198</v>
      </c>
      <c r="C2711" s="12" t="s">
        <v>496</v>
      </c>
      <c r="D2711" s="12" t="s">
        <v>4627</v>
      </c>
      <c r="E2711" s="12" t="s">
        <v>4403</v>
      </c>
      <c r="F2711" s="12" t="s">
        <v>32</v>
      </c>
      <c r="G2711" s="12" t="s">
        <v>32</v>
      </c>
      <c r="H2711" s="12" t="b">
        <v>1</v>
      </c>
      <c r="I2711" s="12" t="b">
        <v>1</v>
      </c>
      <c r="J2711" s="12" t="b">
        <v>0</v>
      </c>
      <c r="K2711" s="12" t="b">
        <v>0</v>
      </c>
      <c r="L2711" s="12">
        <v>623.15</v>
      </c>
      <c r="M2711" s="12">
        <v>300.032917</v>
      </c>
      <c r="N2711" s="12">
        <v>3605.950043184831</v>
      </c>
      <c r="O2711" s="12">
        <v>1359.5567020080759</v>
      </c>
      <c r="P2711" s="12">
        <v>0.82947803278088494</v>
      </c>
      <c r="Q2711" s="12">
        <v>0.83605590745864788</v>
      </c>
      <c r="R2711" s="12">
        <v>0.83753427271834879</v>
      </c>
      <c r="S2711" s="12">
        <v>0.4963658855761367</v>
      </c>
      <c r="T2711" s="12">
        <v>0.9166775946077288</v>
      </c>
      <c r="U2711" s="12">
        <v>0.94578817753558442</v>
      </c>
      <c r="V2711" s="12">
        <v>300.032917</v>
      </c>
      <c r="W2711" s="12">
        <v>8.6620172174189598</v>
      </c>
      <c r="X2711" s="12">
        <v>90.552051920474042</v>
      </c>
      <c r="Y2711" s="12">
        <v>2246.3933411767548</v>
      </c>
      <c r="Z2711" s="12">
        <v>2.6522983836266731</v>
      </c>
      <c r="AA2711" s="12"/>
      <c r="AB2711" s="12"/>
    </row>
    <row r="2712" spans="1:28" x14ac:dyDescent="0.3">
      <c r="A2712" s="12" t="s">
        <v>4630</v>
      </c>
      <c r="B2712" s="12" t="s">
        <v>198</v>
      </c>
      <c r="C2712" s="12" t="s">
        <v>496</v>
      </c>
      <c r="D2712" s="12" t="s">
        <v>4627</v>
      </c>
      <c r="E2712" s="12" t="s">
        <v>4403</v>
      </c>
      <c r="F2712" s="12" t="s">
        <v>32</v>
      </c>
      <c r="G2712" s="12" t="s">
        <v>32</v>
      </c>
      <c r="H2712" s="12" t="b">
        <v>1</v>
      </c>
      <c r="I2712" s="12" t="b">
        <v>1</v>
      </c>
      <c r="J2712" s="12" t="b">
        <v>0</v>
      </c>
      <c r="K2712" s="12" t="b">
        <v>0</v>
      </c>
      <c r="L2712" s="12">
        <v>623.15</v>
      </c>
      <c r="M2712" s="12">
        <v>300.032917</v>
      </c>
      <c r="N2712" s="12">
        <v>3905.950043184831</v>
      </c>
      <c r="O2712" s="12">
        <v>1579.5567020080759</v>
      </c>
      <c r="P2712" s="12">
        <v>0.82947803278088494</v>
      </c>
      <c r="Q2712" s="12">
        <v>0.83605590745864788</v>
      </c>
      <c r="R2712" s="12">
        <v>0.83753427271834879</v>
      </c>
      <c r="S2712" s="12">
        <v>0.4963658855761367</v>
      </c>
      <c r="T2712" s="12">
        <v>0.9166775946077288</v>
      </c>
      <c r="U2712" s="12">
        <v>0.94578817753558442</v>
      </c>
      <c r="V2712" s="12">
        <v>300.032917</v>
      </c>
      <c r="W2712" s="12">
        <v>8.0147822488096701</v>
      </c>
      <c r="X2712" s="12">
        <v>83.429523116950008</v>
      </c>
      <c r="Y2712" s="12">
        <v>2326.3933411767548</v>
      </c>
      <c r="Z2712" s="12">
        <v>2.4728140738596029</v>
      </c>
      <c r="AA2712" s="12"/>
      <c r="AB2712" s="12"/>
    </row>
    <row r="2713" spans="1:28" x14ac:dyDescent="0.3">
      <c r="A2713" s="12" t="s">
        <v>4631</v>
      </c>
      <c r="B2713" s="12" t="s">
        <v>198</v>
      </c>
      <c r="C2713" s="12" t="s">
        <v>496</v>
      </c>
      <c r="D2713" s="12" t="s">
        <v>4627</v>
      </c>
      <c r="E2713" s="12" t="s">
        <v>4403</v>
      </c>
      <c r="F2713" s="12" t="s">
        <v>1861</v>
      </c>
      <c r="G2713" s="12" t="s">
        <v>1861</v>
      </c>
      <c r="H2713" s="12" t="b">
        <v>1</v>
      </c>
      <c r="I2713" s="12" t="b">
        <v>0</v>
      </c>
      <c r="J2713" s="12" t="b">
        <v>0</v>
      </c>
      <c r="K2713" s="12" t="b">
        <v>0</v>
      </c>
      <c r="L2713" s="12">
        <v>623.15</v>
      </c>
      <c r="M2713" s="12">
        <v>300.032917</v>
      </c>
      <c r="N2713" s="12">
        <v>3905.950043184831</v>
      </c>
      <c r="O2713" s="12">
        <v>1139.5567020080771</v>
      </c>
      <c r="P2713" s="12">
        <v>0.82947803278088494</v>
      </c>
      <c r="Q2713" s="12">
        <v>0.83605590745864788</v>
      </c>
      <c r="R2713" s="12">
        <v>0.83753427271834879</v>
      </c>
      <c r="S2713" s="12">
        <v>0.4963658855761367</v>
      </c>
      <c r="T2713" s="12">
        <v>0.9166775946077288</v>
      </c>
      <c r="U2713" s="12">
        <v>0.94578817753558442</v>
      </c>
      <c r="V2713" s="12">
        <v>300.032917</v>
      </c>
      <c r="W2713" s="12">
        <v>10.75978855769891</v>
      </c>
      <c r="X2713" s="12">
        <v>112.04449800555869</v>
      </c>
      <c r="Y2713" s="12">
        <v>2766.3933411767539</v>
      </c>
      <c r="Z2713" s="12">
        <v>3.4276048188755661</v>
      </c>
      <c r="AA2713" s="12" t="s">
        <v>1268</v>
      </c>
      <c r="AB2713" s="12"/>
    </row>
    <row r="2714" spans="1:28" x14ac:dyDescent="0.3">
      <c r="A2714" s="12" t="s">
        <v>4632</v>
      </c>
      <c r="B2714" s="12" t="s">
        <v>198</v>
      </c>
      <c r="C2714" s="12" t="s">
        <v>496</v>
      </c>
      <c r="D2714" s="12" t="s">
        <v>4627</v>
      </c>
      <c r="E2714" s="12" t="s">
        <v>4403</v>
      </c>
      <c r="F2714" s="12" t="s">
        <v>32</v>
      </c>
      <c r="G2714" s="12" t="s">
        <v>32</v>
      </c>
      <c r="H2714" s="12" t="b">
        <v>1</v>
      </c>
      <c r="I2714" s="12" t="b">
        <v>1</v>
      </c>
      <c r="J2714" s="12" t="b">
        <v>0</v>
      </c>
      <c r="K2714" s="12" t="b">
        <v>0</v>
      </c>
      <c r="L2714" s="12">
        <v>623.15</v>
      </c>
      <c r="M2714" s="12">
        <v>300.032917</v>
      </c>
      <c r="N2714" s="12">
        <v>3905.950043184831</v>
      </c>
      <c r="O2714" s="12">
        <v>1359.5567020080759</v>
      </c>
      <c r="P2714" s="12">
        <v>0.85</v>
      </c>
      <c r="Q2714" s="12">
        <v>0.83605590745864788</v>
      </c>
      <c r="R2714" s="12">
        <v>0.83753427271834879</v>
      </c>
      <c r="S2714" s="12">
        <v>0.4963658855761367</v>
      </c>
      <c r="T2714" s="12">
        <v>0.9166775946077288</v>
      </c>
      <c r="U2714" s="12">
        <v>0.94578817753558442</v>
      </c>
      <c r="V2714" s="12">
        <v>300.032917</v>
      </c>
      <c r="W2714" s="12">
        <v>9.3532088434999601</v>
      </c>
      <c r="X2714" s="12">
        <v>96.334724286724395</v>
      </c>
      <c r="Y2714" s="12">
        <v>2546.3933411767548</v>
      </c>
      <c r="Z2714" s="12">
        <v>2.872958544072278</v>
      </c>
      <c r="AA2714" s="12"/>
      <c r="AB2714" s="12"/>
    </row>
    <row r="2715" spans="1:28" x14ac:dyDescent="0.3">
      <c r="A2715" s="12" t="s">
        <v>4633</v>
      </c>
      <c r="B2715" s="12" t="s">
        <v>198</v>
      </c>
      <c r="C2715" s="12" t="s">
        <v>496</v>
      </c>
      <c r="D2715" s="12" t="s">
        <v>4627</v>
      </c>
      <c r="E2715" s="12" t="s">
        <v>4403</v>
      </c>
      <c r="F2715" s="12" t="s">
        <v>32</v>
      </c>
      <c r="G2715" s="12" t="s">
        <v>32</v>
      </c>
      <c r="H2715" s="12" t="b">
        <v>1</v>
      </c>
      <c r="I2715" s="12" t="b">
        <v>1</v>
      </c>
      <c r="J2715" s="12" t="b">
        <v>0</v>
      </c>
      <c r="K2715" s="12" t="b">
        <v>0</v>
      </c>
      <c r="L2715" s="12">
        <v>623.15</v>
      </c>
      <c r="M2715" s="12">
        <v>300.032917</v>
      </c>
      <c r="N2715" s="12">
        <v>3905.950043184831</v>
      </c>
      <c r="O2715" s="12">
        <v>1359.5567020080759</v>
      </c>
      <c r="P2715" s="12">
        <v>0.79447803278088491</v>
      </c>
      <c r="Q2715" s="12">
        <v>0.83605590745864788</v>
      </c>
      <c r="R2715" s="12">
        <v>0.83753427271834879</v>
      </c>
      <c r="S2715" s="12">
        <v>0.4963658855761367</v>
      </c>
      <c r="T2715" s="12">
        <v>0.9166775946077288</v>
      </c>
      <c r="U2715" s="12">
        <v>0.94578817753558442</v>
      </c>
      <c r="V2715" s="12">
        <v>300.032917</v>
      </c>
      <c r="W2715" s="12">
        <v>9.1292103042817896</v>
      </c>
      <c r="X2715" s="12">
        <v>96.742479739396316</v>
      </c>
      <c r="Y2715" s="12">
        <v>2546.3933411767548</v>
      </c>
      <c r="Z2715" s="12">
        <v>2.872958544072278</v>
      </c>
      <c r="AA2715" s="12"/>
      <c r="AB2715" s="12"/>
    </row>
    <row r="2716" spans="1:28" x14ac:dyDescent="0.3">
      <c r="A2716" s="12" t="s">
        <v>4634</v>
      </c>
      <c r="B2716" s="12" t="s">
        <v>198</v>
      </c>
      <c r="C2716" s="12" t="s">
        <v>496</v>
      </c>
      <c r="D2716" s="12" t="s">
        <v>4627</v>
      </c>
      <c r="E2716" s="12" t="s">
        <v>4403</v>
      </c>
      <c r="F2716" s="12" t="s">
        <v>32</v>
      </c>
      <c r="G2716" s="12" t="s">
        <v>32</v>
      </c>
      <c r="H2716" s="12" t="b">
        <v>1</v>
      </c>
      <c r="I2716" s="12" t="b">
        <v>1</v>
      </c>
      <c r="J2716" s="12" t="b">
        <v>0</v>
      </c>
      <c r="K2716" s="12" t="b">
        <v>0</v>
      </c>
      <c r="L2716" s="12">
        <v>623.15</v>
      </c>
      <c r="M2716" s="12">
        <v>300.032917</v>
      </c>
      <c r="N2716" s="12">
        <v>3905.950043184831</v>
      </c>
      <c r="O2716" s="12">
        <v>1359.5567020080759</v>
      </c>
      <c r="P2716" s="12">
        <v>0.82947803278088494</v>
      </c>
      <c r="Q2716" s="12">
        <v>0.89105590745864793</v>
      </c>
      <c r="R2716" s="12">
        <v>0.83753427271834879</v>
      </c>
      <c r="S2716" s="12">
        <v>0.4963658855761367</v>
      </c>
      <c r="T2716" s="12">
        <v>0.9166775946077288</v>
      </c>
      <c r="U2716" s="12">
        <v>0.94578817753558442</v>
      </c>
      <c r="V2716" s="12">
        <v>300.032917</v>
      </c>
      <c r="W2716" s="12">
        <v>9.9264205461429302</v>
      </c>
      <c r="X2716" s="12">
        <v>103.35950125931861</v>
      </c>
      <c r="Y2716" s="12">
        <v>2546.3933411767548</v>
      </c>
      <c r="Z2716" s="12">
        <v>2.872958544072278</v>
      </c>
      <c r="AA2716" s="12"/>
      <c r="AB2716" s="12"/>
    </row>
    <row r="2717" spans="1:28" x14ac:dyDescent="0.3">
      <c r="A2717" s="12" t="s">
        <v>4635</v>
      </c>
      <c r="B2717" s="12" t="s">
        <v>198</v>
      </c>
      <c r="C2717" s="12" t="s">
        <v>496</v>
      </c>
      <c r="D2717" s="12" t="s">
        <v>4627</v>
      </c>
      <c r="E2717" s="12" t="s">
        <v>4403</v>
      </c>
      <c r="F2717" s="12" t="s">
        <v>32</v>
      </c>
      <c r="G2717" s="12" t="s">
        <v>32</v>
      </c>
      <c r="H2717" s="12" t="b">
        <v>1</v>
      </c>
      <c r="I2717" s="12" t="b">
        <v>1</v>
      </c>
      <c r="J2717" s="12" t="b">
        <v>0</v>
      </c>
      <c r="K2717" s="12" t="b">
        <v>0</v>
      </c>
      <c r="L2717" s="12">
        <v>623.15</v>
      </c>
      <c r="M2717" s="12">
        <v>300.032917</v>
      </c>
      <c r="N2717" s="12">
        <v>3905.950043184831</v>
      </c>
      <c r="O2717" s="12">
        <v>1359.5567020080759</v>
      </c>
      <c r="P2717" s="12">
        <v>0.82947803278088494</v>
      </c>
      <c r="Q2717" s="12">
        <v>0.78105590745864795</v>
      </c>
      <c r="R2717" s="12">
        <v>0.83753427271834879</v>
      </c>
      <c r="S2717" s="12">
        <v>0.4963658855761367</v>
      </c>
      <c r="T2717" s="12">
        <v>0.9166775946077288</v>
      </c>
      <c r="U2717" s="12">
        <v>0.94578817753558442</v>
      </c>
      <c r="V2717" s="12">
        <v>300.032917</v>
      </c>
      <c r="W2717" s="12">
        <v>8.6514243103414703</v>
      </c>
      <c r="X2717" s="12">
        <v>90.060291587469408</v>
      </c>
      <c r="Y2717" s="12">
        <v>2546.3933411767548</v>
      </c>
      <c r="Z2717" s="12">
        <v>2.872958544072278</v>
      </c>
      <c r="AA2717" s="12"/>
      <c r="AB2717" s="12"/>
    </row>
    <row r="2718" spans="1:28" x14ac:dyDescent="0.3">
      <c r="A2718" s="12" t="s">
        <v>4636</v>
      </c>
      <c r="B2718" s="12" t="s">
        <v>198</v>
      </c>
      <c r="C2718" s="12" t="s">
        <v>496</v>
      </c>
      <c r="D2718" s="12" t="s">
        <v>4627</v>
      </c>
      <c r="E2718" s="12" t="s">
        <v>4403</v>
      </c>
      <c r="F2718" s="12" t="s">
        <v>32</v>
      </c>
      <c r="G2718" s="12" t="s">
        <v>32</v>
      </c>
      <c r="H2718" s="12" t="b">
        <v>1</v>
      </c>
      <c r="I2718" s="12" t="b">
        <v>1</v>
      </c>
      <c r="J2718" s="12" t="b">
        <v>0</v>
      </c>
      <c r="K2718" s="12" t="b">
        <v>0</v>
      </c>
      <c r="L2718" s="12">
        <v>623.15</v>
      </c>
      <c r="M2718" s="12">
        <v>300.032917</v>
      </c>
      <c r="N2718" s="12">
        <v>3905.950043184831</v>
      </c>
      <c r="O2718" s="12">
        <v>1359.5567020080759</v>
      </c>
      <c r="P2718" s="12">
        <v>0.82947803278088494</v>
      </c>
      <c r="Q2718" s="12">
        <v>0.83605590745864788</v>
      </c>
      <c r="R2718" s="12">
        <v>0.89253427271834873</v>
      </c>
      <c r="S2718" s="12">
        <v>0.4963658855761367</v>
      </c>
      <c r="T2718" s="12">
        <v>0.9166775946077288</v>
      </c>
      <c r="U2718" s="12">
        <v>0.94578817753558442</v>
      </c>
      <c r="V2718" s="12">
        <v>300.032917</v>
      </c>
      <c r="W2718" s="12">
        <v>9.3141765023340302</v>
      </c>
      <c r="X2718" s="12">
        <v>96.981711101153905</v>
      </c>
      <c r="Y2718" s="12">
        <v>2546.3933411767548</v>
      </c>
      <c r="Z2718" s="12">
        <v>2.872958544072278</v>
      </c>
      <c r="AA2718" s="12"/>
      <c r="AB2718" s="12"/>
    </row>
    <row r="2719" spans="1:28" x14ac:dyDescent="0.3">
      <c r="A2719" s="12" t="s">
        <v>4637</v>
      </c>
      <c r="B2719" s="12" t="s">
        <v>198</v>
      </c>
      <c r="C2719" s="12" t="s">
        <v>496</v>
      </c>
      <c r="D2719" s="12" t="s">
        <v>4627</v>
      </c>
      <c r="E2719" s="12" t="s">
        <v>4403</v>
      </c>
      <c r="F2719" s="12" t="s">
        <v>32</v>
      </c>
      <c r="G2719" s="12" t="s">
        <v>32</v>
      </c>
      <c r="H2719" s="12" t="b">
        <v>1</v>
      </c>
      <c r="I2719" s="12" t="b">
        <v>1</v>
      </c>
      <c r="J2719" s="12" t="b">
        <v>0</v>
      </c>
      <c r="K2719" s="12" t="b">
        <v>0</v>
      </c>
      <c r="L2719" s="12">
        <v>623.15</v>
      </c>
      <c r="M2719" s="12">
        <v>300.032917</v>
      </c>
      <c r="N2719" s="12">
        <v>3905.950043184831</v>
      </c>
      <c r="O2719" s="12">
        <v>1359.5567020080759</v>
      </c>
      <c r="P2719" s="12">
        <v>0.82947803278088494</v>
      </c>
      <c r="Q2719" s="12">
        <v>0.83605590745864788</v>
      </c>
      <c r="R2719" s="12">
        <v>0.78253427271834886</v>
      </c>
      <c r="S2719" s="12">
        <v>0.4963658855761367</v>
      </c>
      <c r="T2719" s="12">
        <v>0.9166775946077288</v>
      </c>
      <c r="U2719" s="12">
        <v>0.94578817753558442</v>
      </c>
      <c r="V2719" s="12">
        <v>300.032917</v>
      </c>
      <c r="W2719" s="12">
        <v>9.2604805584325796</v>
      </c>
      <c r="X2719" s="12">
        <v>96.401879867883721</v>
      </c>
      <c r="Y2719" s="12">
        <v>2546.3933411767548</v>
      </c>
      <c r="Z2719" s="12">
        <v>2.872958544072278</v>
      </c>
      <c r="AA2719" s="12"/>
      <c r="AB2719" s="12"/>
    </row>
    <row r="2720" spans="1:28" x14ac:dyDescent="0.3">
      <c r="A2720" s="12" t="s">
        <v>4638</v>
      </c>
      <c r="B2720" s="12" t="s">
        <v>198</v>
      </c>
      <c r="C2720" s="12" t="s">
        <v>496</v>
      </c>
      <c r="D2720" s="12" t="s">
        <v>4627</v>
      </c>
      <c r="E2720" s="12" t="s">
        <v>4403</v>
      </c>
      <c r="F2720" s="12" t="s">
        <v>832</v>
      </c>
      <c r="G2720" s="12" t="s">
        <v>832</v>
      </c>
      <c r="H2720" s="12" t="b">
        <v>0</v>
      </c>
      <c r="I2720" s="12" t="b">
        <v>0</v>
      </c>
      <c r="J2720" s="12" t="b">
        <v>0</v>
      </c>
      <c r="K2720" s="12" t="b">
        <v>0</v>
      </c>
      <c r="L2720" s="12">
        <v>623.15</v>
      </c>
      <c r="M2720" s="12">
        <v>300.032917</v>
      </c>
      <c r="N2720" s="12">
        <v>3905.950043184831</v>
      </c>
      <c r="O2720" s="12">
        <v>1359.5567020080759</v>
      </c>
      <c r="P2720" s="12">
        <v>0.82947803278088494</v>
      </c>
      <c r="Q2720" s="12">
        <v>0.83605590745864788</v>
      </c>
      <c r="R2720" s="12">
        <v>0.83753427271834879</v>
      </c>
      <c r="S2720" s="12">
        <v>0.55136588557613675</v>
      </c>
      <c r="T2720" s="12">
        <v>0.9166775946077288</v>
      </c>
      <c r="U2720" s="12">
        <v>0.94578817753558442</v>
      </c>
      <c r="V2720" s="12">
        <v>300.032917</v>
      </c>
      <c r="W2720" s="12"/>
      <c r="X2720" s="12"/>
      <c r="Y2720" s="12">
        <v>2546.3933411767548</v>
      </c>
      <c r="Z2720" s="12">
        <v>2.872958544072278</v>
      </c>
      <c r="AA2720" s="12"/>
      <c r="AB2720" s="12"/>
    </row>
    <row r="2721" spans="1:28" x14ac:dyDescent="0.3">
      <c r="A2721" s="12" t="s">
        <v>4639</v>
      </c>
      <c r="B2721" s="12" t="s">
        <v>198</v>
      </c>
      <c r="C2721" s="12" t="s">
        <v>496</v>
      </c>
      <c r="D2721" s="12" t="s">
        <v>4627</v>
      </c>
      <c r="E2721" s="12" t="s">
        <v>4403</v>
      </c>
      <c r="F2721" s="12" t="s">
        <v>32</v>
      </c>
      <c r="G2721" s="12" t="s">
        <v>32</v>
      </c>
      <c r="H2721" s="12" t="b">
        <v>1</v>
      </c>
      <c r="I2721" s="12" t="b">
        <v>1</v>
      </c>
      <c r="J2721" s="12" t="b">
        <v>0</v>
      </c>
      <c r="K2721" s="12" t="b">
        <v>0</v>
      </c>
      <c r="L2721" s="12">
        <v>623.15</v>
      </c>
      <c r="M2721" s="12">
        <v>300.032917</v>
      </c>
      <c r="N2721" s="12">
        <v>3905.950043184831</v>
      </c>
      <c r="O2721" s="12">
        <v>1359.5567020080759</v>
      </c>
      <c r="P2721" s="12">
        <v>0.82947803278088494</v>
      </c>
      <c r="Q2721" s="12">
        <v>0.83605590745864788</v>
      </c>
      <c r="R2721" s="12">
        <v>0.83753427271834879</v>
      </c>
      <c r="S2721" s="12">
        <v>0.44136588557613671</v>
      </c>
      <c r="T2721" s="12">
        <v>0.9166775946077288</v>
      </c>
      <c r="U2721" s="12">
        <v>0.94578817753558442</v>
      </c>
      <c r="V2721" s="12">
        <v>300.032917</v>
      </c>
      <c r="W2721" s="12">
        <v>9.1836403088030707</v>
      </c>
      <c r="X2721" s="12">
        <v>84.756726542599225</v>
      </c>
      <c r="Y2721" s="12">
        <v>2546.3933411767548</v>
      </c>
      <c r="Z2721" s="12">
        <v>2.872958544072278</v>
      </c>
      <c r="AA2721" s="12"/>
      <c r="AB2721" s="12"/>
    </row>
    <row r="2722" spans="1:28" x14ac:dyDescent="0.3">
      <c r="A2722" s="12" t="s">
        <v>4640</v>
      </c>
      <c r="B2722" s="12" t="s">
        <v>198</v>
      </c>
      <c r="C2722" s="12" t="s">
        <v>496</v>
      </c>
      <c r="D2722" s="12" t="s">
        <v>4627</v>
      </c>
      <c r="E2722" s="12" t="s">
        <v>4403</v>
      </c>
      <c r="F2722" s="12" t="s">
        <v>32</v>
      </c>
      <c r="G2722" s="12" t="s">
        <v>32</v>
      </c>
      <c r="H2722" s="12" t="b">
        <v>1</v>
      </c>
      <c r="I2722" s="12" t="b">
        <v>1</v>
      </c>
      <c r="J2722" s="12" t="b">
        <v>0</v>
      </c>
      <c r="K2722" s="12" t="b">
        <v>0</v>
      </c>
      <c r="L2722" s="12">
        <v>623.15</v>
      </c>
      <c r="M2722" s="12">
        <v>300.032917</v>
      </c>
      <c r="N2722" s="12">
        <v>3905.950043184831</v>
      </c>
      <c r="O2722" s="12">
        <v>1359.5567020080759</v>
      </c>
      <c r="P2722" s="12">
        <v>0.82947803278088494</v>
      </c>
      <c r="Q2722" s="12">
        <v>0.83605590745864788</v>
      </c>
      <c r="R2722" s="12">
        <v>0.83753427271834879</v>
      </c>
      <c r="S2722" s="12">
        <v>0.4963658855761367</v>
      </c>
      <c r="T2722" s="12">
        <v>0.95</v>
      </c>
      <c r="U2722" s="12">
        <v>0.94578817753558442</v>
      </c>
      <c r="V2722" s="12">
        <v>300.032917</v>
      </c>
      <c r="W2722" s="12">
        <v>9.3242777583685701</v>
      </c>
      <c r="X2722" s="12">
        <v>96.906234153779735</v>
      </c>
      <c r="Y2722" s="12">
        <v>2546.3933411767548</v>
      </c>
      <c r="Z2722" s="12">
        <v>2.872958544072278</v>
      </c>
      <c r="AA2722" s="12"/>
      <c r="AB2722" s="12"/>
    </row>
    <row r="2723" spans="1:28" x14ac:dyDescent="0.3">
      <c r="A2723" s="12" t="s">
        <v>4641</v>
      </c>
      <c r="B2723" s="12" t="s">
        <v>198</v>
      </c>
      <c r="C2723" s="12" t="s">
        <v>496</v>
      </c>
      <c r="D2723" s="12" t="s">
        <v>4627</v>
      </c>
      <c r="E2723" s="12" t="s">
        <v>4403</v>
      </c>
      <c r="F2723" s="12" t="s">
        <v>32</v>
      </c>
      <c r="G2723" s="12" t="s">
        <v>32</v>
      </c>
      <c r="H2723" s="12" t="b">
        <v>1</v>
      </c>
      <c r="I2723" s="12" t="b">
        <v>1</v>
      </c>
      <c r="J2723" s="12" t="b">
        <v>0</v>
      </c>
      <c r="K2723" s="12" t="b">
        <v>0</v>
      </c>
      <c r="L2723" s="12">
        <v>623.15</v>
      </c>
      <c r="M2723" s="12">
        <v>300.032917</v>
      </c>
      <c r="N2723" s="12">
        <v>3905.950043184831</v>
      </c>
      <c r="O2723" s="12">
        <v>1359.5567020080759</v>
      </c>
      <c r="P2723" s="12">
        <v>0.82947803278088494</v>
      </c>
      <c r="Q2723" s="12">
        <v>0.83605590745864788</v>
      </c>
      <c r="R2723" s="12">
        <v>0.83753427271834879</v>
      </c>
      <c r="S2723" s="12">
        <v>0.4963658855761367</v>
      </c>
      <c r="T2723" s="12">
        <v>0.86167759460772864</v>
      </c>
      <c r="U2723" s="12">
        <v>0.94578817753558442</v>
      </c>
      <c r="V2723" s="12">
        <v>300.032917</v>
      </c>
      <c r="W2723" s="12">
        <v>9.2309944782346296</v>
      </c>
      <c r="X2723" s="12">
        <v>96.386511517363502</v>
      </c>
      <c r="Y2723" s="12">
        <v>2546.3933411767548</v>
      </c>
      <c r="Z2723" s="12">
        <v>2.872958544072278</v>
      </c>
      <c r="AA2723" s="12"/>
      <c r="AB2723" s="12"/>
    </row>
    <row r="2724" spans="1:28" x14ac:dyDescent="0.3">
      <c r="A2724" s="12" t="s">
        <v>4642</v>
      </c>
      <c r="B2724" s="12" t="s">
        <v>198</v>
      </c>
      <c r="C2724" s="12" t="s">
        <v>496</v>
      </c>
      <c r="D2724" s="12" t="s">
        <v>4627</v>
      </c>
      <c r="E2724" s="12" t="s">
        <v>4403</v>
      </c>
      <c r="F2724" s="12" t="s">
        <v>32</v>
      </c>
      <c r="G2724" s="12" t="s">
        <v>32</v>
      </c>
      <c r="H2724" s="12" t="b">
        <v>1</v>
      </c>
      <c r="I2724" s="12" t="b">
        <v>1</v>
      </c>
      <c r="J2724" s="12" t="b">
        <v>0</v>
      </c>
      <c r="K2724" s="12" t="b">
        <v>0</v>
      </c>
      <c r="L2724" s="12">
        <v>623.15</v>
      </c>
      <c r="M2724" s="12">
        <v>300.032917</v>
      </c>
      <c r="N2724" s="12">
        <v>3905.950043184831</v>
      </c>
      <c r="O2724" s="12">
        <v>1359.5567020080759</v>
      </c>
      <c r="P2724" s="12">
        <v>0.82947803278088494</v>
      </c>
      <c r="Q2724" s="12">
        <v>0.83605590745864788</v>
      </c>
      <c r="R2724" s="12">
        <v>0.83753427271834879</v>
      </c>
      <c r="S2724" s="12">
        <v>0.4963658855761367</v>
      </c>
      <c r="T2724" s="12">
        <v>0.9166775946077288</v>
      </c>
      <c r="U2724" s="12">
        <v>0.95</v>
      </c>
      <c r="V2724" s="12">
        <v>300.032917</v>
      </c>
      <c r="W2724" s="12">
        <v>9.2601074959518073</v>
      </c>
      <c r="X2724" s="12">
        <v>96.553268363464881</v>
      </c>
      <c r="Y2724" s="12">
        <v>2546.3933411767548</v>
      </c>
      <c r="Z2724" s="12">
        <v>2.872958544072278</v>
      </c>
      <c r="AA2724" s="12"/>
      <c r="AB2724" s="12"/>
    </row>
    <row r="2725" spans="1:28" x14ac:dyDescent="0.3">
      <c r="A2725" s="12" t="s">
        <v>4643</v>
      </c>
      <c r="B2725" s="12" t="s">
        <v>198</v>
      </c>
      <c r="C2725" s="12" t="s">
        <v>496</v>
      </c>
      <c r="D2725" s="12" t="s">
        <v>4627</v>
      </c>
      <c r="E2725" s="12" t="s">
        <v>4403</v>
      </c>
      <c r="F2725" s="12" t="s">
        <v>1861</v>
      </c>
      <c r="G2725" s="12" t="s">
        <v>1861</v>
      </c>
      <c r="H2725" s="12" t="b">
        <v>1</v>
      </c>
      <c r="I2725" s="12" t="b">
        <v>0</v>
      </c>
      <c r="J2725" s="12" t="b">
        <v>0</v>
      </c>
      <c r="K2725" s="12" t="b">
        <v>0</v>
      </c>
      <c r="L2725" s="12">
        <v>623.15</v>
      </c>
      <c r="M2725" s="12">
        <v>300.032917</v>
      </c>
      <c r="N2725" s="12">
        <v>3905.950043184831</v>
      </c>
      <c r="O2725" s="12">
        <v>1359.5567020080759</v>
      </c>
      <c r="P2725" s="12">
        <v>0.82947803278088494</v>
      </c>
      <c r="Q2725" s="12">
        <v>0.83605590745864788</v>
      </c>
      <c r="R2725" s="12">
        <v>0.83753427271834879</v>
      </c>
      <c r="S2725" s="12">
        <v>0.4963658855761367</v>
      </c>
      <c r="T2725" s="12">
        <v>0.9166775946077288</v>
      </c>
      <c r="U2725" s="12">
        <v>0.89078817753558437</v>
      </c>
      <c r="V2725" s="12">
        <v>300.032917</v>
      </c>
      <c r="W2725" s="12">
        <v>9.6436702534638208</v>
      </c>
      <c r="X2725" s="12">
        <v>98.317586974433397</v>
      </c>
      <c r="Y2725" s="12">
        <v>2546.3933411767548</v>
      </c>
      <c r="Z2725" s="12">
        <v>2.872958544072278</v>
      </c>
      <c r="AA2725" s="12" t="s">
        <v>1268</v>
      </c>
      <c r="AB2725" s="12"/>
    </row>
    <row r="2726" spans="1:28" x14ac:dyDescent="0.3">
      <c r="A2726" s="12" t="s">
        <v>4644</v>
      </c>
      <c r="B2726" s="12" t="s">
        <v>198</v>
      </c>
      <c r="C2726" s="12" t="s">
        <v>496</v>
      </c>
      <c r="D2726" s="12" t="s">
        <v>4627</v>
      </c>
      <c r="E2726" s="12" t="s">
        <v>4403</v>
      </c>
      <c r="F2726" s="12" t="s">
        <v>32</v>
      </c>
      <c r="G2726" s="12" t="s">
        <v>32</v>
      </c>
      <c r="H2726" s="12" t="b">
        <v>1</v>
      </c>
      <c r="I2726" s="12" t="b">
        <v>1</v>
      </c>
      <c r="J2726" s="12" t="b">
        <v>0</v>
      </c>
      <c r="K2726" s="12" t="b">
        <v>0</v>
      </c>
      <c r="L2726" s="12">
        <v>623.15</v>
      </c>
      <c r="M2726" s="12">
        <v>300.032917</v>
      </c>
      <c r="N2726" s="12">
        <v>4205.950043184831</v>
      </c>
      <c r="O2726" s="12">
        <v>1359.5567020080759</v>
      </c>
      <c r="P2726" s="12">
        <v>0.82947803278088494</v>
      </c>
      <c r="Q2726" s="12">
        <v>0.89105590745864793</v>
      </c>
      <c r="R2726" s="12">
        <v>0.83753427271834879</v>
      </c>
      <c r="S2726" s="12">
        <v>0.4963658855761367</v>
      </c>
      <c r="T2726" s="12">
        <v>0.9166775946077288</v>
      </c>
      <c r="U2726" s="12">
        <v>0.94578817753558442</v>
      </c>
      <c r="V2726" s="12">
        <v>300.032917</v>
      </c>
      <c r="W2726" s="12">
        <v>10.53368080142938</v>
      </c>
      <c r="X2726" s="12">
        <v>109.2386395474132</v>
      </c>
      <c r="Y2726" s="12">
        <v>2846.3933411767548</v>
      </c>
      <c r="Z2726" s="12">
        <v>3.0936187045178829</v>
      </c>
      <c r="AA2726" s="12"/>
      <c r="AB2726" s="12"/>
    </row>
    <row r="2727" spans="1:28" x14ac:dyDescent="0.3">
      <c r="A2727" s="12" t="s">
        <v>4645</v>
      </c>
      <c r="B2727" s="12" t="s">
        <v>198</v>
      </c>
      <c r="C2727" s="12" t="s">
        <v>496</v>
      </c>
      <c r="D2727" s="12" t="s">
        <v>4627</v>
      </c>
      <c r="E2727" s="12" t="s">
        <v>4403</v>
      </c>
      <c r="F2727" s="12" t="s">
        <v>32</v>
      </c>
      <c r="G2727" s="12" t="s">
        <v>32</v>
      </c>
      <c r="H2727" s="12" t="b">
        <v>1</v>
      </c>
      <c r="I2727" s="12" t="b">
        <v>1</v>
      </c>
      <c r="J2727" s="12" t="b">
        <v>0</v>
      </c>
      <c r="K2727" s="12" t="b">
        <v>0</v>
      </c>
      <c r="L2727" s="12">
        <v>623.15</v>
      </c>
      <c r="M2727" s="12">
        <v>300.032917</v>
      </c>
      <c r="N2727" s="12">
        <v>3605.950043184831</v>
      </c>
      <c r="O2727" s="12">
        <v>1359.5567020080759</v>
      </c>
      <c r="P2727" s="12">
        <v>0.82947803278088494</v>
      </c>
      <c r="Q2727" s="12">
        <v>0.89105590745864793</v>
      </c>
      <c r="R2727" s="12">
        <v>0.83753427271834879</v>
      </c>
      <c r="S2727" s="12">
        <v>0.4963658855761367</v>
      </c>
      <c r="T2727" s="12">
        <v>0.9166775946077288</v>
      </c>
      <c r="U2727" s="12">
        <v>0.94578817753558442</v>
      </c>
      <c r="V2727" s="12">
        <v>300.032917</v>
      </c>
      <c r="W2727" s="12">
        <v>9.2549420623520096</v>
      </c>
      <c r="X2727" s="12">
        <v>96.762154638525885</v>
      </c>
      <c r="Y2727" s="12">
        <v>2246.3933411767548</v>
      </c>
      <c r="Z2727" s="12">
        <v>2.6522983836266731</v>
      </c>
      <c r="AA2727" s="12"/>
      <c r="AB2727" s="12"/>
    </row>
    <row r="2728" spans="1:28" x14ac:dyDescent="0.3">
      <c r="A2728" s="12" t="s">
        <v>4646</v>
      </c>
      <c r="B2728" s="12" t="s">
        <v>198</v>
      </c>
      <c r="C2728" s="12" t="s">
        <v>496</v>
      </c>
      <c r="D2728" s="12" t="s">
        <v>4627</v>
      </c>
      <c r="E2728" s="12" t="s">
        <v>4403</v>
      </c>
      <c r="F2728" s="12" t="s">
        <v>32</v>
      </c>
      <c r="G2728" s="12" t="s">
        <v>32</v>
      </c>
      <c r="H2728" s="12" t="b">
        <v>1</v>
      </c>
      <c r="I2728" s="12" t="b">
        <v>1</v>
      </c>
      <c r="J2728" s="12" t="b">
        <v>0</v>
      </c>
      <c r="K2728" s="12" t="b">
        <v>0</v>
      </c>
      <c r="L2728" s="12">
        <v>623.15</v>
      </c>
      <c r="M2728" s="12">
        <v>300.032917</v>
      </c>
      <c r="N2728" s="12">
        <v>3905.950043184831</v>
      </c>
      <c r="O2728" s="12">
        <v>1579.5567020080759</v>
      </c>
      <c r="P2728" s="12">
        <v>0.82947803278088494</v>
      </c>
      <c r="Q2728" s="12">
        <v>0.89105590745864793</v>
      </c>
      <c r="R2728" s="12">
        <v>0.83753427271834879</v>
      </c>
      <c r="S2728" s="12">
        <v>0.4963658855761367</v>
      </c>
      <c r="T2728" s="12">
        <v>0.9166775946077288</v>
      </c>
      <c r="U2728" s="12">
        <v>0.94578817753558442</v>
      </c>
      <c r="V2728" s="12">
        <v>300.032917</v>
      </c>
      <c r="W2728" s="12">
        <v>8.5664708113613699</v>
      </c>
      <c r="X2728" s="12">
        <v>89.182249652989356</v>
      </c>
      <c r="Y2728" s="12">
        <v>2326.3933411767548</v>
      </c>
      <c r="Z2728" s="12">
        <v>2.4728140738596029</v>
      </c>
      <c r="AA2728" s="12"/>
      <c r="AB2728" s="12"/>
    </row>
    <row r="2729" spans="1:28" x14ac:dyDescent="0.3">
      <c r="A2729" s="12" t="s">
        <v>4647</v>
      </c>
      <c r="B2729" s="12" t="s">
        <v>198</v>
      </c>
      <c r="C2729" s="12" t="s">
        <v>496</v>
      </c>
      <c r="D2729" s="12" t="s">
        <v>4627</v>
      </c>
      <c r="E2729" s="12" t="s">
        <v>4403</v>
      </c>
      <c r="F2729" s="12" t="s">
        <v>1861</v>
      </c>
      <c r="G2729" s="12" t="s">
        <v>1861</v>
      </c>
      <c r="H2729" s="12" t="b">
        <v>1</v>
      </c>
      <c r="I2729" s="12" t="b">
        <v>0</v>
      </c>
      <c r="J2729" s="12" t="b">
        <v>0</v>
      </c>
      <c r="K2729" s="12" t="b">
        <v>0</v>
      </c>
      <c r="L2729" s="12">
        <v>623.15</v>
      </c>
      <c r="M2729" s="12">
        <v>300.032917</v>
      </c>
      <c r="N2729" s="12">
        <v>3905.950043184831</v>
      </c>
      <c r="O2729" s="12">
        <v>1139.5567020080771</v>
      </c>
      <c r="P2729" s="12">
        <v>0.82947803278088494</v>
      </c>
      <c r="Q2729" s="12">
        <v>0.89105590745864793</v>
      </c>
      <c r="R2729" s="12">
        <v>0.83753427271834879</v>
      </c>
      <c r="S2729" s="12">
        <v>0.4963658855761367</v>
      </c>
      <c r="T2729" s="12">
        <v>0.9166775946077288</v>
      </c>
      <c r="U2729" s="12">
        <v>0.94578817753558442</v>
      </c>
      <c r="V2729" s="12">
        <v>300.032917</v>
      </c>
      <c r="W2729" s="12">
        <v>11.495977659053381</v>
      </c>
      <c r="X2729" s="12">
        <v>119.728593440811</v>
      </c>
      <c r="Y2729" s="12">
        <v>2766.3933411767539</v>
      </c>
      <c r="Z2729" s="12">
        <v>3.4276048188755661</v>
      </c>
      <c r="AA2729" s="12" t="s">
        <v>1268</v>
      </c>
      <c r="AB2729" s="12"/>
    </row>
    <row r="2730" spans="1:28" x14ac:dyDescent="0.3">
      <c r="A2730" s="12" t="s">
        <v>4648</v>
      </c>
      <c r="B2730" s="12" t="s">
        <v>198</v>
      </c>
      <c r="C2730" s="12" t="s">
        <v>496</v>
      </c>
      <c r="D2730" s="12" t="s">
        <v>4627</v>
      </c>
      <c r="E2730" s="12" t="s">
        <v>4403</v>
      </c>
      <c r="F2730" s="12" t="s">
        <v>32</v>
      </c>
      <c r="G2730" s="12" t="s">
        <v>32</v>
      </c>
      <c r="H2730" s="12" t="b">
        <v>1</v>
      </c>
      <c r="I2730" s="12" t="b">
        <v>1</v>
      </c>
      <c r="J2730" s="12" t="b">
        <v>0</v>
      </c>
      <c r="K2730" s="12" t="b">
        <v>0</v>
      </c>
      <c r="L2730" s="12">
        <v>623.15</v>
      </c>
      <c r="M2730" s="12">
        <v>300.032917</v>
      </c>
      <c r="N2730" s="12">
        <v>3905.950043184831</v>
      </c>
      <c r="O2730" s="12">
        <v>1359.5567020080759</v>
      </c>
      <c r="P2730" s="12">
        <v>0.85</v>
      </c>
      <c r="Q2730" s="12">
        <v>0.89105590745864793</v>
      </c>
      <c r="R2730" s="12">
        <v>0.83753427271834879</v>
      </c>
      <c r="S2730" s="12">
        <v>0.4963658855761367</v>
      </c>
      <c r="T2730" s="12">
        <v>0.9166775946077288</v>
      </c>
      <c r="U2730" s="12">
        <v>0.94578817753558442</v>
      </c>
      <c r="V2730" s="12">
        <v>300.032917</v>
      </c>
      <c r="W2730" s="12">
        <v>9.9953720483692194</v>
      </c>
      <c r="X2730" s="12">
        <v>102.9623871481746</v>
      </c>
      <c r="Y2730" s="12">
        <v>2546.3933411767548</v>
      </c>
      <c r="Z2730" s="12">
        <v>2.872958544072278</v>
      </c>
      <c r="AA2730" s="12"/>
      <c r="AB2730" s="12"/>
    </row>
    <row r="2731" spans="1:28" x14ac:dyDescent="0.3">
      <c r="A2731" s="12" t="s">
        <v>4649</v>
      </c>
      <c r="B2731" s="12" t="s">
        <v>198</v>
      </c>
      <c r="C2731" s="12" t="s">
        <v>496</v>
      </c>
      <c r="D2731" s="12" t="s">
        <v>4627</v>
      </c>
      <c r="E2731" s="12" t="s">
        <v>4403</v>
      </c>
      <c r="F2731" s="12" t="s">
        <v>32</v>
      </c>
      <c r="G2731" s="12" t="s">
        <v>32</v>
      </c>
      <c r="H2731" s="12" t="b">
        <v>1</v>
      </c>
      <c r="I2731" s="12" t="b">
        <v>1</v>
      </c>
      <c r="J2731" s="12" t="b">
        <v>0</v>
      </c>
      <c r="K2731" s="12" t="b">
        <v>0</v>
      </c>
      <c r="L2731" s="12">
        <v>623.15</v>
      </c>
      <c r="M2731" s="12">
        <v>300.032917</v>
      </c>
      <c r="N2731" s="12">
        <v>3905.950043184831</v>
      </c>
      <c r="O2731" s="12">
        <v>1359.5567020080759</v>
      </c>
      <c r="P2731" s="12">
        <v>0.79447803278088491</v>
      </c>
      <c r="Q2731" s="12">
        <v>0.89105590745864793</v>
      </c>
      <c r="R2731" s="12">
        <v>0.83753427271834879</v>
      </c>
      <c r="S2731" s="12">
        <v>0.4963658855761367</v>
      </c>
      <c r="T2731" s="12">
        <v>0.9166775946077288</v>
      </c>
      <c r="U2731" s="12">
        <v>0.94578817753558442</v>
      </c>
      <c r="V2731" s="12">
        <v>300.032917</v>
      </c>
      <c r="W2731" s="12">
        <v>9.7550243694353505</v>
      </c>
      <c r="X2731" s="12">
        <v>103.38694758508611</v>
      </c>
      <c r="Y2731" s="12">
        <v>2546.3933411767548</v>
      </c>
      <c r="Z2731" s="12">
        <v>2.872958544072278</v>
      </c>
      <c r="AA2731" s="12"/>
      <c r="AB2731" s="12"/>
    </row>
    <row r="2732" spans="1:28" x14ac:dyDescent="0.3">
      <c r="A2732" s="12" t="s">
        <v>4650</v>
      </c>
      <c r="B2732" s="12" t="s">
        <v>198</v>
      </c>
      <c r="C2732" s="12" t="s">
        <v>496</v>
      </c>
      <c r="D2732" s="12" t="s">
        <v>4627</v>
      </c>
      <c r="E2732" s="12" t="s">
        <v>4403</v>
      </c>
      <c r="F2732" s="12" t="s">
        <v>32</v>
      </c>
      <c r="G2732" s="12" t="s">
        <v>32</v>
      </c>
      <c r="H2732" s="12" t="b">
        <v>1</v>
      </c>
      <c r="I2732" s="12" t="b">
        <v>1</v>
      </c>
      <c r="J2732" s="12" t="b">
        <v>0</v>
      </c>
      <c r="K2732" s="12" t="b">
        <v>0</v>
      </c>
      <c r="L2732" s="12">
        <v>623.15</v>
      </c>
      <c r="M2732" s="12">
        <v>300.032917</v>
      </c>
      <c r="N2732" s="12">
        <v>3905.950043184831</v>
      </c>
      <c r="O2732" s="12">
        <v>1359.5567020080759</v>
      </c>
      <c r="P2732" s="12">
        <v>0.82947803278088494</v>
      </c>
      <c r="Q2732" s="12">
        <v>0.94605590745864798</v>
      </c>
      <c r="R2732" s="12">
        <v>0.83753427271834879</v>
      </c>
      <c r="S2732" s="12">
        <v>0.4963658855761367</v>
      </c>
      <c r="T2732" s="12">
        <v>0.9166775946077288</v>
      </c>
      <c r="U2732" s="12">
        <v>0.94578817753558442</v>
      </c>
      <c r="V2732" s="12">
        <v>300.032917</v>
      </c>
      <c r="W2732" s="12">
        <v>10.563402903719791</v>
      </c>
      <c r="X2732" s="12">
        <v>110.0062930715762</v>
      </c>
      <c r="Y2732" s="12">
        <v>2546.3933411767548</v>
      </c>
      <c r="Z2732" s="12">
        <v>2.872958544072278</v>
      </c>
      <c r="AA2732" s="12"/>
      <c r="AB2732" s="12"/>
    </row>
    <row r="2733" spans="1:28" x14ac:dyDescent="0.3">
      <c r="A2733" s="12" t="s">
        <v>4651</v>
      </c>
      <c r="B2733" s="12" t="s">
        <v>198</v>
      </c>
      <c r="C2733" s="12" t="s">
        <v>496</v>
      </c>
      <c r="D2733" s="12" t="s">
        <v>4627</v>
      </c>
      <c r="E2733" s="12" t="s">
        <v>4403</v>
      </c>
      <c r="F2733" s="12" t="s">
        <v>32</v>
      </c>
      <c r="G2733" s="12" t="s">
        <v>32</v>
      </c>
      <c r="H2733" s="12" t="b">
        <v>1</v>
      </c>
      <c r="I2733" s="12" t="b">
        <v>1</v>
      </c>
      <c r="J2733" s="12" t="b">
        <v>0</v>
      </c>
      <c r="K2733" s="12" t="b">
        <v>0</v>
      </c>
      <c r="L2733" s="12">
        <v>623.15</v>
      </c>
      <c r="M2733" s="12">
        <v>300.032917</v>
      </c>
      <c r="N2733" s="12">
        <v>3905.950043184831</v>
      </c>
      <c r="O2733" s="12">
        <v>1359.5567020080759</v>
      </c>
      <c r="P2733" s="12">
        <v>0.82947803278088494</v>
      </c>
      <c r="Q2733" s="12">
        <v>0.83605590745864788</v>
      </c>
      <c r="R2733" s="12">
        <v>0.83753427271834879</v>
      </c>
      <c r="S2733" s="12">
        <v>0.4963658855761367</v>
      </c>
      <c r="T2733" s="12">
        <v>0.9166775946077288</v>
      </c>
      <c r="U2733" s="12">
        <v>0.94578817753558442</v>
      </c>
      <c r="V2733" s="12">
        <v>300.032917</v>
      </c>
      <c r="W2733" s="12">
        <v>9.28909448226735</v>
      </c>
      <c r="X2733" s="12">
        <v>96.710834655031718</v>
      </c>
      <c r="Y2733" s="12">
        <v>2546.3933411767548</v>
      </c>
      <c r="Z2733" s="12">
        <v>2.872958544072278</v>
      </c>
      <c r="AA2733" s="12"/>
      <c r="AB2733" s="12"/>
    </row>
    <row r="2734" spans="1:28" x14ac:dyDescent="0.3">
      <c r="A2734" s="12" t="s">
        <v>4652</v>
      </c>
      <c r="B2734" s="12" t="s">
        <v>198</v>
      </c>
      <c r="C2734" s="12" t="s">
        <v>496</v>
      </c>
      <c r="D2734" s="12" t="s">
        <v>4627</v>
      </c>
      <c r="E2734" s="12" t="s">
        <v>4403</v>
      </c>
      <c r="F2734" s="12" t="s">
        <v>32</v>
      </c>
      <c r="G2734" s="12" t="s">
        <v>32</v>
      </c>
      <c r="H2734" s="12" t="b">
        <v>1</v>
      </c>
      <c r="I2734" s="12" t="b">
        <v>1</v>
      </c>
      <c r="J2734" s="12" t="b">
        <v>0</v>
      </c>
      <c r="K2734" s="12" t="b">
        <v>0</v>
      </c>
      <c r="L2734" s="12">
        <v>623.15</v>
      </c>
      <c r="M2734" s="12">
        <v>300.032917</v>
      </c>
      <c r="N2734" s="12">
        <v>3905.950043184831</v>
      </c>
      <c r="O2734" s="12">
        <v>1359.5567020080759</v>
      </c>
      <c r="P2734" s="12">
        <v>0.82947803278088494</v>
      </c>
      <c r="Q2734" s="12">
        <v>0.89105590745864793</v>
      </c>
      <c r="R2734" s="12">
        <v>0.89253427271834873</v>
      </c>
      <c r="S2734" s="12">
        <v>0.4963658855761367</v>
      </c>
      <c r="T2734" s="12">
        <v>0.9166775946077288</v>
      </c>
      <c r="U2734" s="12">
        <v>0.94578817753558442</v>
      </c>
      <c r="V2734" s="12">
        <v>300.032917</v>
      </c>
      <c r="W2734" s="12">
        <v>9.9513615650873604</v>
      </c>
      <c r="X2734" s="12">
        <v>103.6296048789396</v>
      </c>
      <c r="Y2734" s="12">
        <v>2546.3933411767548</v>
      </c>
      <c r="Z2734" s="12">
        <v>2.872958544072278</v>
      </c>
      <c r="AA2734" s="12"/>
      <c r="AB2734" s="12"/>
    </row>
    <row r="2735" spans="1:28" x14ac:dyDescent="0.3">
      <c r="A2735" s="12" t="s">
        <v>4653</v>
      </c>
      <c r="B2735" s="12" t="s">
        <v>198</v>
      </c>
      <c r="C2735" s="12" t="s">
        <v>496</v>
      </c>
      <c r="D2735" s="12" t="s">
        <v>4627</v>
      </c>
      <c r="E2735" s="12" t="s">
        <v>4403</v>
      </c>
      <c r="F2735" s="12" t="s">
        <v>32</v>
      </c>
      <c r="G2735" s="12" t="s">
        <v>32</v>
      </c>
      <c r="H2735" s="12" t="b">
        <v>1</v>
      </c>
      <c r="I2735" s="12" t="b">
        <v>1</v>
      </c>
      <c r="J2735" s="12" t="b">
        <v>0</v>
      </c>
      <c r="K2735" s="12" t="b">
        <v>0</v>
      </c>
      <c r="L2735" s="12">
        <v>623.15</v>
      </c>
      <c r="M2735" s="12">
        <v>300.032917</v>
      </c>
      <c r="N2735" s="12">
        <v>3905.950043184831</v>
      </c>
      <c r="O2735" s="12">
        <v>1359.5567020080759</v>
      </c>
      <c r="P2735" s="12">
        <v>0.82947803278088494</v>
      </c>
      <c r="Q2735" s="12">
        <v>0.89105590745864793</v>
      </c>
      <c r="R2735" s="12">
        <v>0.78253427271834886</v>
      </c>
      <c r="S2735" s="12">
        <v>0.4963658855761367</v>
      </c>
      <c r="T2735" s="12">
        <v>0.9166775946077288</v>
      </c>
      <c r="U2735" s="12">
        <v>0.94578817753558442</v>
      </c>
      <c r="V2735" s="12">
        <v>300.032917</v>
      </c>
      <c r="W2735" s="12">
        <v>9.8979675016924507</v>
      </c>
      <c r="X2735" s="12">
        <v>103.05142803212451</v>
      </c>
      <c r="Y2735" s="12">
        <v>2546.3933411767548</v>
      </c>
      <c r="Z2735" s="12">
        <v>2.872958544072278</v>
      </c>
      <c r="AA2735" s="12"/>
      <c r="AB2735" s="12"/>
    </row>
    <row r="2736" spans="1:28" x14ac:dyDescent="0.3">
      <c r="A2736" s="12" t="s">
        <v>4654</v>
      </c>
      <c r="B2736" s="12" t="s">
        <v>198</v>
      </c>
      <c r="C2736" s="12" t="s">
        <v>496</v>
      </c>
      <c r="D2736" s="12" t="s">
        <v>4627</v>
      </c>
      <c r="E2736" s="12" t="s">
        <v>4403</v>
      </c>
      <c r="F2736" s="12" t="s">
        <v>832</v>
      </c>
      <c r="G2736" s="12" t="s">
        <v>832</v>
      </c>
      <c r="H2736" s="12" t="b">
        <v>0</v>
      </c>
      <c r="I2736" s="12" t="b">
        <v>0</v>
      </c>
      <c r="J2736" s="12" t="b">
        <v>0</v>
      </c>
      <c r="K2736" s="12" t="b">
        <v>0</v>
      </c>
      <c r="L2736" s="12">
        <v>623.15</v>
      </c>
      <c r="M2736" s="12">
        <v>300.032917</v>
      </c>
      <c r="N2736" s="12">
        <v>3905.950043184831</v>
      </c>
      <c r="O2736" s="12">
        <v>1359.5567020080759</v>
      </c>
      <c r="P2736" s="12">
        <v>0.82947803278088494</v>
      </c>
      <c r="Q2736" s="12">
        <v>0.89105590745864793</v>
      </c>
      <c r="R2736" s="12">
        <v>0.83753427271834879</v>
      </c>
      <c r="S2736" s="12">
        <v>0.55136588557613675</v>
      </c>
      <c r="T2736" s="12">
        <v>0.9166775946077288</v>
      </c>
      <c r="U2736" s="12">
        <v>0.94578817753558442</v>
      </c>
      <c r="V2736" s="12">
        <v>300.032917</v>
      </c>
      <c r="W2736" s="12"/>
      <c r="X2736" s="12"/>
      <c r="Y2736" s="12">
        <v>2546.3933411767548</v>
      </c>
      <c r="Z2736" s="12">
        <v>2.872958544072278</v>
      </c>
      <c r="AA2736" s="12"/>
      <c r="AB2736" s="12"/>
    </row>
    <row r="2737" spans="1:28" x14ac:dyDescent="0.3">
      <c r="A2737" s="12" t="s">
        <v>4655</v>
      </c>
      <c r="B2737" s="12" t="s">
        <v>198</v>
      </c>
      <c r="C2737" s="12" t="s">
        <v>496</v>
      </c>
      <c r="D2737" s="12" t="s">
        <v>4627</v>
      </c>
      <c r="E2737" s="12" t="s">
        <v>4403</v>
      </c>
      <c r="F2737" s="12" t="s">
        <v>32</v>
      </c>
      <c r="G2737" s="12" t="s">
        <v>32</v>
      </c>
      <c r="H2737" s="12" t="b">
        <v>1</v>
      </c>
      <c r="I2737" s="12" t="b">
        <v>1</v>
      </c>
      <c r="J2737" s="12" t="b">
        <v>0</v>
      </c>
      <c r="K2737" s="12" t="b">
        <v>0</v>
      </c>
      <c r="L2737" s="12">
        <v>623.15</v>
      </c>
      <c r="M2737" s="12">
        <v>300.032917</v>
      </c>
      <c r="N2737" s="12">
        <v>3905.950043184831</v>
      </c>
      <c r="O2737" s="12">
        <v>1359.5567020080759</v>
      </c>
      <c r="P2737" s="12">
        <v>0.82947803278088494</v>
      </c>
      <c r="Q2737" s="12">
        <v>0.89105590745864793</v>
      </c>
      <c r="R2737" s="12">
        <v>0.83753427271834879</v>
      </c>
      <c r="S2737" s="12">
        <v>0.44136588557613671</v>
      </c>
      <c r="T2737" s="12">
        <v>0.9166775946077288</v>
      </c>
      <c r="U2737" s="12">
        <v>0.94578817753558442</v>
      </c>
      <c r="V2737" s="12">
        <v>300.032917</v>
      </c>
      <c r="W2737" s="12">
        <v>9.8177768844381497</v>
      </c>
      <c r="X2737" s="12">
        <v>90.618895757586685</v>
      </c>
      <c r="Y2737" s="12">
        <v>2546.3933411767548</v>
      </c>
      <c r="Z2737" s="12">
        <v>2.872958544072278</v>
      </c>
      <c r="AA2737" s="12"/>
      <c r="AB2737" s="12"/>
    </row>
    <row r="2738" spans="1:28" x14ac:dyDescent="0.3">
      <c r="A2738" s="12" t="s">
        <v>4656</v>
      </c>
      <c r="B2738" s="12" t="s">
        <v>198</v>
      </c>
      <c r="C2738" s="12" t="s">
        <v>496</v>
      </c>
      <c r="D2738" s="12" t="s">
        <v>4627</v>
      </c>
      <c r="E2738" s="12" t="s">
        <v>4403</v>
      </c>
      <c r="F2738" s="12" t="s">
        <v>32</v>
      </c>
      <c r="G2738" s="12" t="s">
        <v>32</v>
      </c>
      <c r="H2738" s="12" t="b">
        <v>1</v>
      </c>
      <c r="I2738" s="12" t="b">
        <v>1</v>
      </c>
      <c r="J2738" s="12" t="b">
        <v>0</v>
      </c>
      <c r="K2738" s="12" t="b">
        <v>0</v>
      </c>
      <c r="L2738" s="12">
        <v>623.15</v>
      </c>
      <c r="M2738" s="12">
        <v>300.032917</v>
      </c>
      <c r="N2738" s="12">
        <v>3905.950043184831</v>
      </c>
      <c r="O2738" s="12">
        <v>1359.5567020080759</v>
      </c>
      <c r="P2738" s="12">
        <v>0.82947803278088494</v>
      </c>
      <c r="Q2738" s="12">
        <v>0.89105590745864793</v>
      </c>
      <c r="R2738" s="12">
        <v>0.83753427271834879</v>
      </c>
      <c r="S2738" s="12">
        <v>0.4963658855761367</v>
      </c>
      <c r="T2738" s="12">
        <v>0.95</v>
      </c>
      <c r="U2738" s="12">
        <v>0.94578817753558442</v>
      </c>
      <c r="V2738" s="12">
        <v>300.032917</v>
      </c>
      <c r="W2738" s="12">
        <v>9.9639873085572397</v>
      </c>
      <c r="X2738" s="12">
        <v>103.5679060222478</v>
      </c>
      <c r="Y2738" s="12">
        <v>2546.3933411767548</v>
      </c>
      <c r="Z2738" s="12">
        <v>2.872958544072278</v>
      </c>
      <c r="AA2738" s="12"/>
      <c r="AB2738" s="12"/>
    </row>
    <row r="2739" spans="1:28" x14ac:dyDescent="0.3">
      <c r="A2739" s="12" t="s">
        <v>4657</v>
      </c>
      <c r="B2739" s="12" t="s">
        <v>198</v>
      </c>
      <c r="C2739" s="12" t="s">
        <v>496</v>
      </c>
      <c r="D2739" s="12" t="s">
        <v>4627</v>
      </c>
      <c r="E2739" s="12" t="s">
        <v>4403</v>
      </c>
      <c r="F2739" s="12" t="s">
        <v>32</v>
      </c>
      <c r="G2739" s="12" t="s">
        <v>32</v>
      </c>
      <c r="H2739" s="12" t="b">
        <v>1</v>
      </c>
      <c r="I2739" s="12" t="b">
        <v>1</v>
      </c>
      <c r="J2739" s="12" t="b">
        <v>0</v>
      </c>
      <c r="K2739" s="12" t="b">
        <v>0</v>
      </c>
      <c r="L2739" s="12">
        <v>623.15</v>
      </c>
      <c r="M2739" s="12">
        <v>300.032917</v>
      </c>
      <c r="N2739" s="12">
        <v>3905.950043184831</v>
      </c>
      <c r="O2739" s="12">
        <v>1359.5567020080759</v>
      </c>
      <c r="P2739" s="12">
        <v>0.82947803278088494</v>
      </c>
      <c r="Q2739" s="12">
        <v>0.89105590745864793</v>
      </c>
      <c r="R2739" s="12">
        <v>0.83753427271834879</v>
      </c>
      <c r="S2739" s="12">
        <v>0.4963658855761367</v>
      </c>
      <c r="T2739" s="12">
        <v>0.86167759460772864</v>
      </c>
      <c r="U2739" s="12">
        <v>0.94578817753558442</v>
      </c>
      <c r="V2739" s="12">
        <v>300.032917</v>
      </c>
      <c r="W2739" s="12">
        <v>9.8643846904842398</v>
      </c>
      <c r="X2739" s="12">
        <v>103.01359145429799</v>
      </c>
      <c r="Y2739" s="12">
        <v>2546.3933411767548</v>
      </c>
      <c r="Z2739" s="12">
        <v>2.872958544072278</v>
      </c>
      <c r="AA2739" s="12"/>
      <c r="AB2739" s="12"/>
    </row>
    <row r="2740" spans="1:28" x14ac:dyDescent="0.3">
      <c r="A2740" s="12" t="s">
        <v>4658</v>
      </c>
      <c r="B2740" s="12" t="s">
        <v>198</v>
      </c>
      <c r="C2740" s="12" t="s">
        <v>496</v>
      </c>
      <c r="D2740" s="12" t="s">
        <v>4627</v>
      </c>
      <c r="E2740" s="12" t="s">
        <v>4403</v>
      </c>
      <c r="F2740" s="12" t="s">
        <v>32</v>
      </c>
      <c r="G2740" s="12" t="s">
        <v>32</v>
      </c>
      <c r="H2740" s="12" t="b">
        <v>1</v>
      </c>
      <c r="I2740" s="12" t="b">
        <v>1</v>
      </c>
      <c r="J2740" s="12" t="b">
        <v>0</v>
      </c>
      <c r="K2740" s="12" t="b">
        <v>0</v>
      </c>
      <c r="L2740" s="12">
        <v>623.15</v>
      </c>
      <c r="M2740" s="12">
        <v>300.032917</v>
      </c>
      <c r="N2740" s="12">
        <v>3905.950043184831</v>
      </c>
      <c r="O2740" s="12">
        <v>1359.5567020080759</v>
      </c>
      <c r="P2740" s="12">
        <v>0.82947803278088494</v>
      </c>
      <c r="Q2740" s="12">
        <v>0.89105590745864793</v>
      </c>
      <c r="R2740" s="12">
        <v>0.83753427271834879</v>
      </c>
      <c r="S2740" s="12">
        <v>0.4963658855761367</v>
      </c>
      <c r="T2740" s="12">
        <v>0.9166775946077288</v>
      </c>
      <c r="U2740" s="12">
        <v>0.95</v>
      </c>
      <c r="V2740" s="12">
        <v>300.032917</v>
      </c>
      <c r="W2740" s="12">
        <v>9.8956594968375402</v>
      </c>
      <c r="X2740" s="12">
        <v>103.1922157807571</v>
      </c>
      <c r="Y2740" s="12">
        <v>2546.3933411767548</v>
      </c>
      <c r="Z2740" s="12">
        <v>2.872958544072278</v>
      </c>
      <c r="AA2740" s="12"/>
      <c r="AB2740" s="12"/>
    </row>
    <row r="2741" spans="1:28" x14ac:dyDescent="0.3">
      <c r="A2741" s="12" t="s">
        <v>4659</v>
      </c>
      <c r="B2741" s="12" t="s">
        <v>198</v>
      </c>
      <c r="C2741" s="12" t="s">
        <v>496</v>
      </c>
      <c r="D2741" s="12" t="s">
        <v>4627</v>
      </c>
      <c r="E2741" s="12" t="s">
        <v>4403</v>
      </c>
      <c r="F2741" s="12" t="s">
        <v>1861</v>
      </c>
      <c r="G2741" s="12" t="s">
        <v>1861</v>
      </c>
      <c r="H2741" s="12" t="b">
        <v>1</v>
      </c>
      <c r="I2741" s="12" t="b">
        <v>0</v>
      </c>
      <c r="J2741" s="12" t="b">
        <v>0</v>
      </c>
      <c r="K2741" s="12" t="b">
        <v>0</v>
      </c>
      <c r="L2741" s="12">
        <v>623.15</v>
      </c>
      <c r="M2741" s="12">
        <v>300.032917</v>
      </c>
      <c r="N2741" s="12">
        <v>3905.950043184831</v>
      </c>
      <c r="O2741" s="12">
        <v>1359.5567020080759</v>
      </c>
      <c r="P2741" s="12">
        <v>0.82947803278088494</v>
      </c>
      <c r="Q2741" s="12">
        <v>0.89105590745864793</v>
      </c>
      <c r="R2741" s="12">
        <v>0.83753427271834879</v>
      </c>
      <c r="S2741" s="12">
        <v>0.4963658855761367</v>
      </c>
      <c r="T2741" s="12">
        <v>0.9166775946077288</v>
      </c>
      <c r="U2741" s="12">
        <v>0.89078817753558437</v>
      </c>
      <c r="V2741" s="12">
        <v>300.032917</v>
      </c>
      <c r="W2741" s="12">
        <v>10.30806915702313</v>
      </c>
      <c r="X2741" s="12">
        <v>105.12233454285609</v>
      </c>
      <c r="Y2741" s="12">
        <v>2546.3933411767548</v>
      </c>
      <c r="Z2741" s="12">
        <v>2.872958544072278</v>
      </c>
      <c r="AA2741" s="12" t="s">
        <v>1268</v>
      </c>
      <c r="AB2741" s="12"/>
    </row>
    <row r="2742" spans="1:28" x14ac:dyDescent="0.3">
      <c r="A2742" s="12" t="s">
        <v>4660</v>
      </c>
      <c r="B2742" s="12" t="s">
        <v>198</v>
      </c>
      <c r="C2742" s="12" t="s">
        <v>496</v>
      </c>
      <c r="D2742" s="12" t="s">
        <v>4627</v>
      </c>
      <c r="E2742" s="12" t="s">
        <v>4403</v>
      </c>
      <c r="F2742" s="12" t="s">
        <v>32</v>
      </c>
      <c r="G2742" s="12" t="s">
        <v>32</v>
      </c>
      <c r="H2742" s="12" t="b">
        <v>1</v>
      </c>
      <c r="I2742" s="12" t="b">
        <v>1</v>
      </c>
      <c r="J2742" s="12" t="b">
        <v>0</v>
      </c>
      <c r="K2742" s="12" t="b">
        <v>0</v>
      </c>
      <c r="L2742" s="12">
        <v>623.15</v>
      </c>
      <c r="M2742" s="12">
        <v>300.032917</v>
      </c>
      <c r="N2742" s="12">
        <v>4205.950043184831</v>
      </c>
      <c r="O2742" s="12">
        <v>1359.5567020080759</v>
      </c>
      <c r="P2742" s="12">
        <v>0.82947803278088494</v>
      </c>
      <c r="Q2742" s="12">
        <v>0.94605590745864798</v>
      </c>
      <c r="R2742" s="12">
        <v>0.83753427271834879</v>
      </c>
      <c r="S2742" s="12">
        <v>0.4963658855761367</v>
      </c>
      <c r="T2742" s="12">
        <v>0.9166775946077288</v>
      </c>
      <c r="U2742" s="12">
        <v>0.94578817753558442</v>
      </c>
      <c r="V2742" s="12">
        <v>300.032917</v>
      </c>
      <c r="W2742" s="12">
        <v>11.211090699093569</v>
      </c>
      <c r="X2742" s="12">
        <v>116.2794452085863</v>
      </c>
      <c r="Y2742" s="12">
        <v>2846.3933411767548</v>
      </c>
      <c r="Z2742" s="12">
        <v>3.0936187045178829</v>
      </c>
      <c r="AA2742" s="12"/>
      <c r="AB2742" s="12"/>
    </row>
    <row r="2743" spans="1:28" x14ac:dyDescent="0.3">
      <c r="A2743" s="12" t="s">
        <v>4661</v>
      </c>
      <c r="B2743" s="12" t="s">
        <v>198</v>
      </c>
      <c r="C2743" s="12" t="s">
        <v>496</v>
      </c>
      <c r="D2743" s="12" t="s">
        <v>4627</v>
      </c>
      <c r="E2743" s="12" t="s">
        <v>4403</v>
      </c>
      <c r="F2743" s="12" t="s">
        <v>32</v>
      </c>
      <c r="G2743" s="12" t="s">
        <v>32</v>
      </c>
      <c r="H2743" s="12" t="b">
        <v>1</v>
      </c>
      <c r="I2743" s="12" t="b">
        <v>1</v>
      </c>
      <c r="J2743" s="12" t="b">
        <v>0</v>
      </c>
      <c r="K2743" s="12" t="b">
        <v>0</v>
      </c>
      <c r="L2743" s="12">
        <v>623.15</v>
      </c>
      <c r="M2743" s="12">
        <v>300.032917</v>
      </c>
      <c r="N2743" s="12">
        <v>3605.950043184831</v>
      </c>
      <c r="O2743" s="12">
        <v>1359.5567020080759</v>
      </c>
      <c r="P2743" s="12">
        <v>0.82947803278088494</v>
      </c>
      <c r="Q2743" s="12">
        <v>0.94605590745864798</v>
      </c>
      <c r="R2743" s="12">
        <v>0.83753427271834879</v>
      </c>
      <c r="S2743" s="12">
        <v>0.4963658855761367</v>
      </c>
      <c r="T2743" s="12">
        <v>0.9166775946077288</v>
      </c>
      <c r="U2743" s="12">
        <v>0.94578817753558442</v>
      </c>
      <c r="V2743" s="12">
        <v>300.032917</v>
      </c>
      <c r="W2743" s="12">
        <v>9.8475689985504804</v>
      </c>
      <c r="X2743" s="12">
        <v>102.9706380030016</v>
      </c>
      <c r="Y2743" s="12">
        <v>2246.3933411767548</v>
      </c>
      <c r="Z2743" s="12">
        <v>2.6522983836266731</v>
      </c>
      <c r="AA2743" s="12"/>
      <c r="AB2743" s="12"/>
    </row>
    <row r="2744" spans="1:28" x14ac:dyDescent="0.3">
      <c r="A2744" s="12" t="s">
        <v>4662</v>
      </c>
      <c r="B2744" s="12" t="s">
        <v>198</v>
      </c>
      <c r="C2744" s="12" t="s">
        <v>496</v>
      </c>
      <c r="D2744" s="12" t="s">
        <v>4627</v>
      </c>
      <c r="E2744" s="12" t="s">
        <v>4403</v>
      </c>
      <c r="F2744" s="12" t="s">
        <v>32</v>
      </c>
      <c r="G2744" s="12" t="s">
        <v>32</v>
      </c>
      <c r="H2744" s="12" t="b">
        <v>1</v>
      </c>
      <c r="I2744" s="12" t="b">
        <v>1</v>
      </c>
      <c r="J2744" s="12" t="b">
        <v>0</v>
      </c>
      <c r="K2744" s="12" t="b">
        <v>0</v>
      </c>
      <c r="L2744" s="12">
        <v>623.15</v>
      </c>
      <c r="M2744" s="12">
        <v>300.032917</v>
      </c>
      <c r="N2744" s="12">
        <v>3905.950043184831</v>
      </c>
      <c r="O2744" s="12">
        <v>1579.5567020080759</v>
      </c>
      <c r="P2744" s="12">
        <v>0.82947803278088494</v>
      </c>
      <c r="Q2744" s="12">
        <v>0.94605590745864798</v>
      </c>
      <c r="R2744" s="12">
        <v>0.83753427271834879</v>
      </c>
      <c r="S2744" s="12">
        <v>0.4963658855761367</v>
      </c>
      <c r="T2744" s="12">
        <v>0.9166775946077288</v>
      </c>
      <c r="U2744" s="12">
        <v>0.94578817753558442</v>
      </c>
      <c r="V2744" s="12">
        <v>300.032917</v>
      </c>
      <c r="W2744" s="12">
        <v>9.1179025645554592</v>
      </c>
      <c r="X2744" s="12">
        <v>94.933579738353046</v>
      </c>
      <c r="Y2744" s="12">
        <v>2326.3933411767548</v>
      </c>
      <c r="Z2744" s="12">
        <v>2.4728140738596029</v>
      </c>
      <c r="AA2744" s="12"/>
      <c r="AB2744" s="12"/>
    </row>
    <row r="2745" spans="1:28" x14ac:dyDescent="0.3">
      <c r="A2745" s="12" t="s">
        <v>4663</v>
      </c>
      <c r="B2745" s="12" t="s">
        <v>198</v>
      </c>
      <c r="C2745" s="12" t="s">
        <v>496</v>
      </c>
      <c r="D2745" s="12" t="s">
        <v>4627</v>
      </c>
      <c r="E2745" s="12" t="s">
        <v>4403</v>
      </c>
      <c r="F2745" s="12" t="s">
        <v>1861</v>
      </c>
      <c r="G2745" s="12" t="s">
        <v>1861</v>
      </c>
      <c r="H2745" s="12" t="b">
        <v>1</v>
      </c>
      <c r="I2745" s="12" t="b">
        <v>0</v>
      </c>
      <c r="J2745" s="12" t="b">
        <v>0</v>
      </c>
      <c r="K2745" s="12" t="b">
        <v>0</v>
      </c>
      <c r="L2745" s="12">
        <v>623.15</v>
      </c>
      <c r="M2745" s="12">
        <v>300.032917</v>
      </c>
      <c r="N2745" s="12">
        <v>3905.950043184831</v>
      </c>
      <c r="O2745" s="12">
        <v>1139.5567020080771</v>
      </c>
      <c r="P2745" s="12">
        <v>0.82947803278088494</v>
      </c>
      <c r="Q2745" s="12">
        <v>0.94605590745864798</v>
      </c>
      <c r="R2745" s="12">
        <v>0.83753427271834879</v>
      </c>
      <c r="S2745" s="12">
        <v>0.4963658855761367</v>
      </c>
      <c r="T2745" s="12">
        <v>0.9166775946077288</v>
      </c>
      <c r="U2745" s="12">
        <v>0.94578817753558442</v>
      </c>
      <c r="V2745" s="12">
        <v>300.032917</v>
      </c>
      <c r="W2745" s="12">
        <v>12.231690308706479</v>
      </c>
      <c r="X2745" s="12">
        <v>127.41001060353091</v>
      </c>
      <c r="Y2745" s="12">
        <v>2766.3933411767539</v>
      </c>
      <c r="Z2745" s="12">
        <v>3.4276048188755661</v>
      </c>
      <c r="AA2745" s="12" t="s">
        <v>1268</v>
      </c>
      <c r="AB2745" s="12"/>
    </row>
    <row r="2746" spans="1:28" x14ac:dyDescent="0.3">
      <c r="A2746" s="12" t="s">
        <v>4664</v>
      </c>
      <c r="B2746" s="12" t="s">
        <v>198</v>
      </c>
      <c r="C2746" s="12" t="s">
        <v>496</v>
      </c>
      <c r="D2746" s="12" t="s">
        <v>4627</v>
      </c>
      <c r="E2746" s="12" t="s">
        <v>4403</v>
      </c>
      <c r="F2746" s="12" t="s">
        <v>32</v>
      </c>
      <c r="G2746" s="12" t="s">
        <v>32</v>
      </c>
      <c r="H2746" s="12" t="b">
        <v>1</v>
      </c>
      <c r="I2746" s="12" t="b">
        <v>1</v>
      </c>
      <c r="J2746" s="12" t="b">
        <v>0</v>
      </c>
      <c r="K2746" s="12" t="b">
        <v>0</v>
      </c>
      <c r="L2746" s="12">
        <v>623.15</v>
      </c>
      <c r="M2746" s="12">
        <v>300.032917</v>
      </c>
      <c r="N2746" s="12">
        <v>3905.950043184831</v>
      </c>
      <c r="O2746" s="12">
        <v>1359.5567020080759</v>
      </c>
      <c r="P2746" s="12">
        <v>0.85</v>
      </c>
      <c r="Q2746" s="12">
        <v>0.94605590745864798</v>
      </c>
      <c r="R2746" s="12">
        <v>0.83753427271834879</v>
      </c>
      <c r="S2746" s="12">
        <v>0.4963658855761367</v>
      </c>
      <c r="T2746" s="12">
        <v>0.9166775946077288</v>
      </c>
      <c r="U2746" s="12">
        <v>0.94578817753558442</v>
      </c>
      <c r="V2746" s="12">
        <v>300.032917</v>
      </c>
      <c r="W2746" s="12">
        <v>10.63717461377035</v>
      </c>
      <c r="X2746" s="12">
        <v>109.5880762768501</v>
      </c>
      <c r="Y2746" s="12">
        <v>2546.3933411767548</v>
      </c>
      <c r="Z2746" s="12">
        <v>2.872958544072278</v>
      </c>
      <c r="AA2746" s="12"/>
      <c r="AB2746" s="12"/>
    </row>
    <row r="2747" spans="1:28" x14ac:dyDescent="0.3">
      <c r="A2747" s="12" t="s">
        <v>4665</v>
      </c>
      <c r="B2747" s="12" t="s">
        <v>198</v>
      </c>
      <c r="C2747" s="12" t="s">
        <v>496</v>
      </c>
      <c r="D2747" s="12" t="s">
        <v>4627</v>
      </c>
      <c r="E2747" s="12" t="s">
        <v>4403</v>
      </c>
      <c r="F2747" s="12" t="s">
        <v>32</v>
      </c>
      <c r="G2747" s="12" t="s">
        <v>32</v>
      </c>
      <c r="H2747" s="12" t="b">
        <v>1</v>
      </c>
      <c r="I2747" s="12" t="b">
        <v>1</v>
      </c>
      <c r="J2747" s="12" t="b">
        <v>0</v>
      </c>
      <c r="K2747" s="12" t="b">
        <v>0</v>
      </c>
      <c r="L2747" s="12">
        <v>623.15</v>
      </c>
      <c r="M2747" s="12">
        <v>300.032917</v>
      </c>
      <c r="N2747" s="12">
        <v>3905.950043184831</v>
      </c>
      <c r="O2747" s="12">
        <v>1359.5567020080759</v>
      </c>
      <c r="P2747" s="12">
        <v>0.79447803278088491</v>
      </c>
      <c r="Q2747" s="12">
        <v>0.94605590745864798</v>
      </c>
      <c r="R2747" s="12">
        <v>0.83753427271834879</v>
      </c>
      <c r="S2747" s="12">
        <v>0.4963658855761367</v>
      </c>
      <c r="T2747" s="12">
        <v>0.9166775946077288</v>
      </c>
      <c r="U2747" s="12">
        <v>0.94578817753558442</v>
      </c>
      <c r="V2747" s="12">
        <v>300.032917</v>
      </c>
      <c r="W2747" s="12">
        <v>10.380522222585791</v>
      </c>
      <c r="X2747" s="12">
        <v>110.0296876303527</v>
      </c>
      <c r="Y2747" s="12">
        <v>2546.3933411767548</v>
      </c>
      <c r="Z2747" s="12">
        <v>2.872958544072278</v>
      </c>
      <c r="AA2747" s="12"/>
      <c r="AB2747" s="12"/>
    </row>
    <row r="2748" spans="1:28" x14ac:dyDescent="0.3">
      <c r="A2748" s="12" t="s">
        <v>4666</v>
      </c>
      <c r="B2748" s="12" t="s">
        <v>198</v>
      </c>
      <c r="C2748" s="12" t="s">
        <v>496</v>
      </c>
      <c r="D2748" s="12" t="s">
        <v>4627</v>
      </c>
      <c r="E2748" s="12" t="s">
        <v>4403</v>
      </c>
      <c r="F2748" s="12" t="s">
        <v>32</v>
      </c>
      <c r="G2748" s="12" t="s">
        <v>32</v>
      </c>
      <c r="H2748" s="12" t="b">
        <v>1</v>
      </c>
      <c r="I2748" s="12" t="b">
        <v>1</v>
      </c>
      <c r="J2748" s="12" t="b">
        <v>0</v>
      </c>
      <c r="K2748" s="12" t="b">
        <v>0</v>
      </c>
      <c r="L2748" s="12">
        <v>623.15</v>
      </c>
      <c r="M2748" s="12">
        <v>300.032917</v>
      </c>
      <c r="N2748" s="12">
        <v>3905.950043184831</v>
      </c>
      <c r="O2748" s="12">
        <v>1359.5567020080759</v>
      </c>
      <c r="P2748" s="12">
        <v>0.82947803278088494</v>
      </c>
      <c r="Q2748" s="12">
        <v>0.95</v>
      </c>
      <c r="R2748" s="12">
        <v>0.83753427271834879</v>
      </c>
      <c r="S2748" s="12">
        <v>0.4963658855761367</v>
      </c>
      <c r="T2748" s="12">
        <v>0.9166775946077288</v>
      </c>
      <c r="U2748" s="12">
        <v>0.94578817753558442</v>
      </c>
      <c r="V2748" s="12">
        <v>300.032917</v>
      </c>
      <c r="W2748" s="12">
        <v>10.60906814288675</v>
      </c>
      <c r="X2748" s="12">
        <v>110.48286701481859</v>
      </c>
      <c r="Y2748" s="12">
        <v>2546.3933411767548</v>
      </c>
      <c r="Z2748" s="12">
        <v>2.872958544072278</v>
      </c>
      <c r="AA2748" s="12"/>
      <c r="AB2748" s="12"/>
    </row>
    <row r="2749" spans="1:28" x14ac:dyDescent="0.3">
      <c r="A2749" s="12" t="s">
        <v>4667</v>
      </c>
      <c r="B2749" s="12" t="s">
        <v>198</v>
      </c>
      <c r="C2749" s="12" t="s">
        <v>496</v>
      </c>
      <c r="D2749" s="12" t="s">
        <v>4627</v>
      </c>
      <c r="E2749" s="12" t="s">
        <v>4403</v>
      </c>
      <c r="F2749" s="12" t="s">
        <v>32</v>
      </c>
      <c r="G2749" s="12" t="s">
        <v>32</v>
      </c>
      <c r="H2749" s="12" t="b">
        <v>1</v>
      </c>
      <c r="I2749" s="12" t="b">
        <v>1</v>
      </c>
      <c r="J2749" s="12" t="b">
        <v>0</v>
      </c>
      <c r="K2749" s="12" t="b">
        <v>0</v>
      </c>
      <c r="L2749" s="12">
        <v>623.15</v>
      </c>
      <c r="M2749" s="12">
        <v>300.032917</v>
      </c>
      <c r="N2749" s="12">
        <v>3905.950043184831</v>
      </c>
      <c r="O2749" s="12">
        <v>1359.5567020080759</v>
      </c>
      <c r="P2749" s="12">
        <v>0.82947803278088494</v>
      </c>
      <c r="Q2749" s="12">
        <v>0.89105590745864793</v>
      </c>
      <c r="R2749" s="12">
        <v>0.83753427271834879</v>
      </c>
      <c r="S2749" s="12">
        <v>0.4963658855761367</v>
      </c>
      <c r="T2749" s="12">
        <v>0.9166775946077288</v>
      </c>
      <c r="U2749" s="12">
        <v>0.94578817753558442</v>
      </c>
      <c r="V2749" s="12">
        <v>300.032917</v>
      </c>
      <c r="W2749" s="12">
        <v>9.9264205461429302</v>
      </c>
      <c r="X2749" s="12">
        <v>103.35950125931861</v>
      </c>
      <c r="Y2749" s="12">
        <v>2546.3933411767548</v>
      </c>
      <c r="Z2749" s="12">
        <v>2.872958544072278</v>
      </c>
      <c r="AA2749" s="12"/>
      <c r="AB2749" s="12"/>
    </row>
    <row r="2750" spans="1:28" x14ac:dyDescent="0.3">
      <c r="A2750" s="12" t="s">
        <v>4668</v>
      </c>
      <c r="B2750" s="12" t="s">
        <v>198</v>
      </c>
      <c r="C2750" s="12" t="s">
        <v>496</v>
      </c>
      <c r="D2750" s="12" t="s">
        <v>4627</v>
      </c>
      <c r="E2750" s="12" t="s">
        <v>4403</v>
      </c>
      <c r="F2750" s="12" t="s">
        <v>32</v>
      </c>
      <c r="G2750" s="12" t="s">
        <v>32</v>
      </c>
      <c r="H2750" s="12" t="b">
        <v>1</v>
      </c>
      <c r="I2750" s="12" t="b">
        <v>1</v>
      </c>
      <c r="J2750" s="12" t="b">
        <v>0</v>
      </c>
      <c r="K2750" s="12" t="b">
        <v>0</v>
      </c>
      <c r="L2750" s="12">
        <v>623.15</v>
      </c>
      <c r="M2750" s="12">
        <v>300.032917</v>
      </c>
      <c r="N2750" s="12">
        <v>3905.950043184831</v>
      </c>
      <c r="O2750" s="12">
        <v>1359.5567020080759</v>
      </c>
      <c r="P2750" s="12">
        <v>0.82947803278088494</v>
      </c>
      <c r="Q2750" s="12">
        <v>0.94605590745864798</v>
      </c>
      <c r="R2750" s="12">
        <v>0.89253427271834873</v>
      </c>
      <c r="S2750" s="12">
        <v>0.4963658855761367</v>
      </c>
      <c r="T2750" s="12">
        <v>0.9166775946077288</v>
      </c>
      <c r="U2750" s="12">
        <v>0.94578817753558442</v>
      </c>
      <c r="V2750" s="12">
        <v>300.032917</v>
      </c>
      <c r="W2750" s="12">
        <v>10.5882030615104</v>
      </c>
      <c r="X2750" s="12">
        <v>110.2756239704046</v>
      </c>
      <c r="Y2750" s="12">
        <v>2546.3933411767548</v>
      </c>
      <c r="Z2750" s="12">
        <v>2.872958544072278</v>
      </c>
      <c r="AA2750" s="12"/>
      <c r="AB2750" s="12"/>
    </row>
    <row r="2751" spans="1:28" x14ac:dyDescent="0.3">
      <c r="A2751" s="12" t="s">
        <v>4669</v>
      </c>
      <c r="B2751" s="12" t="s">
        <v>198</v>
      </c>
      <c r="C2751" s="12" t="s">
        <v>496</v>
      </c>
      <c r="D2751" s="12" t="s">
        <v>4627</v>
      </c>
      <c r="E2751" s="12" t="s">
        <v>4403</v>
      </c>
      <c r="F2751" s="12" t="s">
        <v>32</v>
      </c>
      <c r="G2751" s="12" t="s">
        <v>32</v>
      </c>
      <c r="H2751" s="12" t="b">
        <v>1</v>
      </c>
      <c r="I2751" s="12" t="b">
        <v>1</v>
      </c>
      <c r="J2751" s="12" t="b">
        <v>0</v>
      </c>
      <c r="K2751" s="12" t="b">
        <v>0</v>
      </c>
      <c r="L2751" s="12">
        <v>623.15</v>
      </c>
      <c r="M2751" s="12">
        <v>300.032917</v>
      </c>
      <c r="N2751" s="12">
        <v>3905.950043184831</v>
      </c>
      <c r="O2751" s="12">
        <v>1359.5567020080759</v>
      </c>
      <c r="P2751" s="12">
        <v>0.82947803278088494</v>
      </c>
      <c r="Q2751" s="12">
        <v>0.94605590745864798</v>
      </c>
      <c r="R2751" s="12">
        <v>0.78253427271834886</v>
      </c>
      <c r="S2751" s="12">
        <v>0.4963658855761367</v>
      </c>
      <c r="T2751" s="12">
        <v>0.9166775946077288</v>
      </c>
      <c r="U2751" s="12">
        <v>0.94578817753558442</v>
      </c>
      <c r="V2751" s="12">
        <v>300.032917</v>
      </c>
      <c r="W2751" s="12">
        <v>10.5351104662816</v>
      </c>
      <c r="X2751" s="12">
        <v>109.6991001162995</v>
      </c>
      <c r="Y2751" s="12">
        <v>2546.3933411767548</v>
      </c>
      <c r="Z2751" s="12">
        <v>2.872958544072278</v>
      </c>
      <c r="AA2751" s="12"/>
      <c r="AB2751" s="12"/>
    </row>
    <row r="2752" spans="1:28" x14ac:dyDescent="0.3">
      <c r="A2752" s="12" t="s">
        <v>4670</v>
      </c>
      <c r="B2752" s="12" t="s">
        <v>198</v>
      </c>
      <c r="C2752" s="12" t="s">
        <v>496</v>
      </c>
      <c r="D2752" s="12" t="s">
        <v>4627</v>
      </c>
      <c r="E2752" s="12" t="s">
        <v>4403</v>
      </c>
      <c r="F2752" s="12" t="s">
        <v>832</v>
      </c>
      <c r="G2752" s="12" t="s">
        <v>832</v>
      </c>
      <c r="H2752" s="12" t="b">
        <v>0</v>
      </c>
      <c r="I2752" s="12" t="b">
        <v>0</v>
      </c>
      <c r="J2752" s="12" t="b">
        <v>0</v>
      </c>
      <c r="K2752" s="12" t="b">
        <v>0</v>
      </c>
      <c r="L2752" s="12">
        <v>623.15</v>
      </c>
      <c r="M2752" s="12">
        <v>300.032917</v>
      </c>
      <c r="N2752" s="12">
        <v>3905.950043184831</v>
      </c>
      <c r="O2752" s="12">
        <v>1359.5567020080759</v>
      </c>
      <c r="P2752" s="12">
        <v>0.82947803278088494</v>
      </c>
      <c r="Q2752" s="12">
        <v>0.94605590745864798</v>
      </c>
      <c r="R2752" s="12">
        <v>0.83753427271834879</v>
      </c>
      <c r="S2752" s="12">
        <v>0.55136588557613675</v>
      </c>
      <c r="T2752" s="12">
        <v>0.9166775946077288</v>
      </c>
      <c r="U2752" s="12">
        <v>0.94578817753558442</v>
      </c>
      <c r="V2752" s="12">
        <v>300.032917</v>
      </c>
      <c r="W2752" s="12"/>
      <c r="X2752" s="12"/>
      <c r="Y2752" s="12">
        <v>2546.3933411767548</v>
      </c>
      <c r="Z2752" s="12">
        <v>2.872958544072278</v>
      </c>
      <c r="AA2752" s="12"/>
      <c r="AB2752" s="12"/>
    </row>
    <row r="2753" spans="1:28" x14ac:dyDescent="0.3">
      <c r="A2753" s="12" t="s">
        <v>4671</v>
      </c>
      <c r="B2753" s="12" t="s">
        <v>198</v>
      </c>
      <c r="C2753" s="12" t="s">
        <v>496</v>
      </c>
      <c r="D2753" s="12" t="s">
        <v>4627</v>
      </c>
      <c r="E2753" s="12" t="s">
        <v>4403</v>
      </c>
      <c r="F2753" s="12" t="s">
        <v>32</v>
      </c>
      <c r="G2753" s="12" t="s">
        <v>32</v>
      </c>
      <c r="H2753" s="12" t="b">
        <v>1</v>
      </c>
      <c r="I2753" s="12" t="b">
        <v>1</v>
      </c>
      <c r="J2753" s="12" t="b">
        <v>0</v>
      </c>
      <c r="K2753" s="12" t="b">
        <v>0</v>
      </c>
      <c r="L2753" s="12">
        <v>623.15</v>
      </c>
      <c r="M2753" s="12">
        <v>300.032917</v>
      </c>
      <c r="N2753" s="12">
        <v>3905.950043184831</v>
      </c>
      <c r="O2753" s="12">
        <v>1359.5567020080759</v>
      </c>
      <c r="P2753" s="12">
        <v>0.82947803278088494</v>
      </c>
      <c r="Q2753" s="12">
        <v>0.94605590745864798</v>
      </c>
      <c r="R2753" s="12">
        <v>0.83753427271834879</v>
      </c>
      <c r="S2753" s="12">
        <v>0.44136588557613671</v>
      </c>
      <c r="T2753" s="12">
        <v>0.9166775946077288</v>
      </c>
      <c r="U2753" s="12">
        <v>0.94578817753558442</v>
      </c>
      <c r="V2753" s="12">
        <v>300.032917</v>
      </c>
      <c r="W2753" s="12">
        <v>10.45158600928719</v>
      </c>
      <c r="X2753" s="12">
        <v>96.479285098728681</v>
      </c>
      <c r="Y2753" s="12">
        <v>2546.3933411767548</v>
      </c>
      <c r="Z2753" s="12">
        <v>2.872958544072278</v>
      </c>
      <c r="AA2753" s="12"/>
      <c r="AB2753" s="12"/>
    </row>
    <row r="2754" spans="1:28" x14ac:dyDescent="0.3">
      <c r="A2754" s="12" t="s">
        <v>4672</v>
      </c>
      <c r="B2754" s="12" t="s">
        <v>198</v>
      </c>
      <c r="C2754" s="12" t="s">
        <v>496</v>
      </c>
      <c r="D2754" s="12" t="s">
        <v>4627</v>
      </c>
      <c r="E2754" s="12" t="s">
        <v>4403</v>
      </c>
      <c r="F2754" s="12" t="s">
        <v>32</v>
      </c>
      <c r="G2754" s="12" t="s">
        <v>32</v>
      </c>
      <c r="H2754" s="12" t="b">
        <v>1</v>
      </c>
      <c r="I2754" s="12" t="b">
        <v>1</v>
      </c>
      <c r="J2754" s="12" t="b">
        <v>0</v>
      </c>
      <c r="K2754" s="12" t="b">
        <v>0</v>
      </c>
      <c r="L2754" s="12">
        <v>623.15</v>
      </c>
      <c r="M2754" s="12">
        <v>300.032917</v>
      </c>
      <c r="N2754" s="12">
        <v>3905.950043184831</v>
      </c>
      <c r="O2754" s="12">
        <v>1359.5567020080759</v>
      </c>
      <c r="P2754" s="12">
        <v>0.82947803278088494</v>
      </c>
      <c r="Q2754" s="12">
        <v>0.94605590745864798</v>
      </c>
      <c r="R2754" s="12">
        <v>0.83753427271834879</v>
      </c>
      <c r="S2754" s="12">
        <v>0.4963658855761367</v>
      </c>
      <c r="T2754" s="12">
        <v>0.95</v>
      </c>
      <c r="U2754" s="12">
        <v>0.94578817753558442</v>
      </c>
      <c r="V2754" s="12">
        <v>300.032917</v>
      </c>
      <c r="W2754" s="12">
        <v>10.6033554918878</v>
      </c>
      <c r="X2754" s="12">
        <v>110.227722781425</v>
      </c>
      <c r="Y2754" s="12">
        <v>2546.3933411767548</v>
      </c>
      <c r="Z2754" s="12">
        <v>2.872958544072278</v>
      </c>
      <c r="AA2754" s="12"/>
      <c r="AB2754" s="12"/>
    </row>
    <row r="2755" spans="1:28" x14ac:dyDescent="0.3">
      <c r="A2755" s="12" t="s">
        <v>4673</v>
      </c>
      <c r="B2755" s="12" t="s">
        <v>198</v>
      </c>
      <c r="C2755" s="12" t="s">
        <v>496</v>
      </c>
      <c r="D2755" s="12" t="s">
        <v>4627</v>
      </c>
      <c r="E2755" s="12" t="s">
        <v>4403</v>
      </c>
      <c r="F2755" s="12" t="s">
        <v>32</v>
      </c>
      <c r="G2755" s="12" t="s">
        <v>32</v>
      </c>
      <c r="H2755" s="12" t="b">
        <v>1</v>
      </c>
      <c r="I2755" s="12" t="b">
        <v>1</v>
      </c>
      <c r="J2755" s="12" t="b">
        <v>0</v>
      </c>
      <c r="K2755" s="12" t="b">
        <v>0</v>
      </c>
      <c r="L2755" s="12">
        <v>623.15</v>
      </c>
      <c r="M2755" s="12">
        <v>300.032917</v>
      </c>
      <c r="N2755" s="12">
        <v>3905.950043184831</v>
      </c>
      <c r="O2755" s="12">
        <v>1359.5567020080759</v>
      </c>
      <c r="P2755" s="12">
        <v>0.82947803278088494</v>
      </c>
      <c r="Q2755" s="12">
        <v>0.94605590745864798</v>
      </c>
      <c r="R2755" s="12">
        <v>0.83753427271834879</v>
      </c>
      <c r="S2755" s="12">
        <v>0.4963658855761367</v>
      </c>
      <c r="T2755" s="12">
        <v>0.86167759460772864</v>
      </c>
      <c r="U2755" s="12">
        <v>0.94578817753558442</v>
      </c>
      <c r="V2755" s="12">
        <v>300.032917</v>
      </c>
      <c r="W2755" s="12">
        <v>10.49742719885381</v>
      </c>
      <c r="X2755" s="12">
        <v>109.6387623405796</v>
      </c>
      <c r="Y2755" s="12">
        <v>2546.3933411767548</v>
      </c>
      <c r="Z2755" s="12">
        <v>2.872958544072278</v>
      </c>
      <c r="AA2755" s="12"/>
      <c r="AB2755" s="12"/>
    </row>
    <row r="2756" spans="1:28" x14ac:dyDescent="0.3">
      <c r="A2756" s="12" t="s">
        <v>4674</v>
      </c>
      <c r="B2756" s="12" t="s">
        <v>198</v>
      </c>
      <c r="C2756" s="12" t="s">
        <v>496</v>
      </c>
      <c r="D2756" s="12" t="s">
        <v>4627</v>
      </c>
      <c r="E2756" s="12" t="s">
        <v>4403</v>
      </c>
      <c r="F2756" s="12" t="s">
        <v>32</v>
      </c>
      <c r="G2756" s="12" t="s">
        <v>32</v>
      </c>
      <c r="H2756" s="12" t="b">
        <v>1</v>
      </c>
      <c r="I2756" s="12" t="b">
        <v>1</v>
      </c>
      <c r="J2756" s="12" t="b">
        <v>0</v>
      </c>
      <c r="K2756" s="12" t="b">
        <v>0</v>
      </c>
      <c r="L2756" s="12">
        <v>623.15</v>
      </c>
      <c r="M2756" s="12">
        <v>300.032917</v>
      </c>
      <c r="N2756" s="12">
        <v>3905.950043184831</v>
      </c>
      <c r="O2756" s="12">
        <v>1359.5567020080759</v>
      </c>
      <c r="P2756" s="12">
        <v>0.82947803278088494</v>
      </c>
      <c r="Q2756" s="12">
        <v>0.94605590745864798</v>
      </c>
      <c r="R2756" s="12">
        <v>0.83753427271834879</v>
      </c>
      <c r="S2756" s="12">
        <v>0.4963658855761367</v>
      </c>
      <c r="T2756" s="12">
        <v>0.9166775946077288</v>
      </c>
      <c r="U2756" s="12">
        <v>0.95</v>
      </c>
      <c r="V2756" s="12">
        <v>300.032917</v>
      </c>
      <c r="W2756" s="12">
        <v>10.530896850654941</v>
      </c>
      <c r="X2756" s="12">
        <v>109.82944032361431</v>
      </c>
      <c r="Y2756" s="12">
        <v>2546.3933411767548</v>
      </c>
      <c r="Z2756" s="12">
        <v>2.872958544072278</v>
      </c>
      <c r="AA2756" s="12"/>
      <c r="AB2756" s="12"/>
    </row>
    <row r="2757" spans="1:28" x14ac:dyDescent="0.3">
      <c r="A2757" s="12" t="s">
        <v>4675</v>
      </c>
      <c r="B2757" s="12" t="s">
        <v>198</v>
      </c>
      <c r="C2757" s="12" t="s">
        <v>496</v>
      </c>
      <c r="D2757" s="12" t="s">
        <v>4627</v>
      </c>
      <c r="E2757" s="12" t="s">
        <v>4403</v>
      </c>
      <c r="F2757" s="12" t="s">
        <v>1861</v>
      </c>
      <c r="G2757" s="12" t="s">
        <v>1861</v>
      </c>
      <c r="H2757" s="12" t="b">
        <v>1</v>
      </c>
      <c r="I2757" s="12" t="b">
        <v>0</v>
      </c>
      <c r="J2757" s="12" t="b">
        <v>0</v>
      </c>
      <c r="K2757" s="12" t="b">
        <v>0</v>
      </c>
      <c r="L2757" s="12">
        <v>623.15</v>
      </c>
      <c r="M2757" s="12">
        <v>300.032917</v>
      </c>
      <c r="N2757" s="12">
        <v>3905.950043184831</v>
      </c>
      <c r="O2757" s="12">
        <v>1359.5567020080759</v>
      </c>
      <c r="P2757" s="12">
        <v>0.82947803278088494</v>
      </c>
      <c r="Q2757" s="12">
        <v>0.94605590745864798</v>
      </c>
      <c r="R2757" s="12">
        <v>0.83753427271834879</v>
      </c>
      <c r="S2757" s="12">
        <v>0.4963658855761367</v>
      </c>
      <c r="T2757" s="12">
        <v>0.9166775946077288</v>
      </c>
      <c r="U2757" s="12">
        <v>0.89078817753558437</v>
      </c>
      <c r="V2757" s="12">
        <v>300.032917</v>
      </c>
      <c r="W2757" s="12">
        <v>10.971625564877479</v>
      </c>
      <c r="X2757" s="12">
        <v>111.9224548904796</v>
      </c>
      <c r="Y2757" s="12">
        <v>2546.3933411767548</v>
      </c>
      <c r="Z2757" s="12">
        <v>2.872958544072278</v>
      </c>
      <c r="AA2757" s="12" t="s">
        <v>1268</v>
      </c>
      <c r="AB2757" s="12"/>
    </row>
    <row r="2758" spans="1:28" x14ac:dyDescent="0.3">
      <c r="A2758" s="12" t="s">
        <v>4676</v>
      </c>
      <c r="B2758" s="12" t="s">
        <v>198</v>
      </c>
      <c r="C2758" s="12" t="s">
        <v>496</v>
      </c>
      <c r="D2758" s="12" t="s">
        <v>4627</v>
      </c>
      <c r="E2758" s="12" t="s">
        <v>4403</v>
      </c>
      <c r="F2758" s="12" t="s">
        <v>32</v>
      </c>
      <c r="G2758" s="12" t="s">
        <v>32</v>
      </c>
      <c r="H2758" s="12" t="b">
        <v>1</v>
      </c>
      <c r="I2758" s="12" t="b">
        <v>1</v>
      </c>
      <c r="J2758" s="12" t="b">
        <v>0</v>
      </c>
      <c r="K2758" s="12" t="b">
        <v>0</v>
      </c>
      <c r="L2758" s="12">
        <v>623.15</v>
      </c>
      <c r="M2758" s="12">
        <v>300.032917</v>
      </c>
      <c r="N2758" s="12">
        <v>4505.950043184831</v>
      </c>
      <c r="O2758" s="12">
        <v>1359.5567020080759</v>
      </c>
      <c r="P2758" s="12">
        <v>0.82947803278088494</v>
      </c>
      <c r="Q2758" s="12">
        <v>0.94605590745864798</v>
      </c>
      <c r="R2758" s="12">
        <v>0.83753427271834879</v>
      </c>
      <c r="S2758" s="12">
        <v>0.4963658855761367</v>
      </c>
      <c r="T2758" s="12">
        <v>0.9166775946077288</v>
      </c>
      <c r="U2758" s="12">
        <v>0.94578817753558442</v>
      </c>
      <c r="V2758" s="12">
        <v>300.032917</v>
      </c>
      <c r="W2758" s="12">
        <v>11.800355021920421</v>
      </c>
      <c r="X2758" s="12">
        <v>121.8992533340864</v>
      </c>
      <c r="Y2758" s="12">
        <v>3146.3933411767548</v>
      </c>
      <c r="Z2758" s="12">
        <v>3.3142788649634878</v>
      </c>
      <c r="AA2758" s="12"/>
      <c r="AB2758" s="12"/>
    </row>
    <row r="2759" spans="1:28" x14ac:dyDescent="0.3">
      <c r="A2759" s="12" t="s">
        <v>4677</v>
      </c>
      <c r="B2759" s="12" t="s">
        <v>198</v>
      </c>
      <c r="C2759" s="12" t="s">
        <v>496</v>
      </c>
      <c r="D2759" s="12" t="s">
        <v>4627</v>
      </c>
      <c r="E2759" s="12" t="s">
        <v>4403</v>
      </c>
      <c r="F2759" s="12" t="s">
        <v>32</v>
      </c>
      <c r="G2759" s="12" t="s">
        <v>32</v>
      </c>
      <c r="H2759" s="12" t="b">
        <v>1</v>
      </c>
      <c r="I2759" s="12" t="b">
        <v>1</v>
      </c>
      <c r="J2759" s="12" t="b">
        <v>0</v>
      </c>
      <c r="K2759" s="12" t="b">
        <v>0</v>
      </c>
      <c r="L2759" s="12">
        <v>623.15</v>
      </c>
      <c r="M2759" s="12">
        <v>300.032917</v>
      </c>
      <c r="N2759" s="12">
        <v>3905.950043184831</v>
      </c>
      <c r="O2759" s="12">
        <v>1359.5567020080759</v>
      </c>
      <c r="P2759" s="12">
        <v>0.82947803278088494</v>
      </c>
      <c r="Q2759" s="12">
        <v>0.94605590745864798</v>
      </c>
      <c r="R2759" s="12">
        <v>0.83753427271834879</v>
      </c>
      <c r="S2759" s="12">
        <v>0.4963658855761367</v>
      </c>
      <c r="T2759" s="12">
        <v>0.9166775946077288</v>
      </c>
      <c r="U2759" s="12">
        <v>0.94578817753558442</v>
      </c>
      <c r="V2759" s="12">
        <v>300.032917</v>
      </c>
      <c r="W2759" s="12">
        <v>10.563402903719791</v>
      </c>
      <c r="X2759" s="12">
        <v>110.0062930715762</v>
      </c>
      <c r="Y2759" s="12">
        <v>2546.3933411767548</v>
      </c>
      <c r="Z2759" s="12">
        <v>2.872958544072278</v>
      </c>
      <c r="AA2759" s="12"/>
      <c r="AB2759" s="12"/>
    </row>
    <row r="2760" spans="1:28" x14ac:dyDescent="0.3">
      <c r="A2760" s="12" t="s">
        <v>4678</v>
      </c>
      <c r="B2760" s="12" t="s">
        <v>198</v>
      </c>
      <c r="C2760" s="12" t="s">
        <v>496</v>
      </c>
      <c r="D2760" s="12" t="s">
        <v>4627</v>
      </c>
      <c r="E2760" s="12" t="s">
        <v>4403</v>
      </c>
      <c r="F2760" s="12" t="s">
        <v>32</v>
      </c>
      <c r="G2760" s="12" t="s">
        <v>32</v>
      </c>
      <c r="H2760" s="12" t="b">
        <v>1</v>
      </c>
      <c r="I2760" s="12" t="b">
        <v>1</v>
      </c>
      <c r="J2760" s="12" t="b">
        <v>0</v>
      </c>
      <c r="K2760" s="12" t="b">
        <v>0</v>
      </c>
      <c r="L2760" s="12">
        <v>623.15</v>
      </c>
      <c r="M2760" s="12">
        <v>300.032917</v>
      </c>
      <c r="N2760" s="12">
        <v>4205.950043184831</v>
      </c>
      <c r="O2760" s="12">
        <v>1579.5567020080759</v>
      </c>
      <c r="P2760" s="12">
        <v>0.82947803278088494</v>
      </c>
      <c r="Q2760" s="12">
        <v>0.94605590745864798</v>
      </c>
      <c r="R2760" s="12">
        <v>0.83753427271834879</v>
      </c>
      <c r="S2760" s="12">
        <v>0.4963658855761367</v>
      </c>
      <c r="T2760" s="12">
        <v>0.9166775946077288</v>
      </c>
      <c r="U2760" s="12">
        <v>0.94578817753558442</v>
      </c>
      <c r="V2760" s="12">
        <v>300.032917</v>
      </c>
      <c r="W2760" s="12">
        <v>9.7799329811426396</v>
      </c>
      <c r="X2760" s="12">
        <v>101.4155121176465</v>
      </c>
      <c r="Y2760" s="12">
        <v>2626.3933411767548</v>
      </c>
      <c r="Z2760" s="12">
        <v>2.662740779003276</v>
      </c>
      <c r="AA2760" s="12"/>
      <c r="AB2760" s="12"/>
    </row>
    <row r="2761" spans="1:28" x14ac:dyDescent="0.3">
      <c r="A2761" s="12" t="s">
        <v>4679</v>
      </c>
      <c r="B2761" s="12" t="s">
        <v>198</v>
      </c>
      <c r="C2761" s="12" t="s">
        <v>496</v>
      </c>
      <c r="D2761" s="12" t="s">
        <v>4627</v>
      </c>
      <c r="E2761" s="12" t="s">
        <v>4403</v>
      </c>
      <c r="F2761" s="12" t="s">
        <v>1861</v>
      </c>
      <c r="G2761" s="12" t="s">
        <v>1861</v>
      </c>
      <c r="H2761" s="12" t="b">
        <v>1</v>
      </c>
      <c r="I2761" s="12" t="b">
        <v>0</v>
      </c>
      <c r="J2761" s="12" t="b">
        <v>0</v>
      </c>
      <c r="K2761" s="12" t="b">
        <v>0</v>
      </c>
      <c r="L2761" s="12">
        <v>623.15</v>
      </c>
      <c r="M2761" s="12">
        <v>300.032917</v>
      </c>
      <c r="N2761" s="12">
        <v>4205.950043184831</v>
      </c>
      <c r="O2761" s="12">
        <v>1139.5567020080771</v>
      </c>
      <c r="P2761" s="12">
        <v>0.82947803278088494</v>
      </c>
      <c r="Q2761" s="12">
        <v>0.94605590745864798</v>
      </c>
      <c r="R2761" s="12">
        <v>0.83753427271834879</v>
      </c>
      <c r="S2761" s="12">
        <v>0.4963658855761367</v>
      </c>
      <c r="T2761" s="12">
        <v>0.9166775946077288</v>
      </c>
      <c r="U2761" s="12">
        <v>0.94578817753558442</v>
      </c>
      <c r="V2761" s="12">
        <v>300.032917</v>
      </c>
      <c r="W2761" s="12">
        <v>12.863258794081631</v>
      </c>
      <c r="X2761" s="12">
        <v>133.44661737610821</v>
      </c>
      <c r="Y2761" s="12">
        <v>3066.3933411767539</v>
      </c>
      <c r="Z2761" s="12">
        <v>3.6908650844431801</v>
      </c>
      <c r="AA2761" s="12" t="s">
        <v>1268</v>
      </c>
      <c r="AB2761" s="12"/>
    </row>
    <row r="2762" spans="1:28" x14ac:dyDescent="0.3">
      <c r="A2762" s="12" t="s">
        <v>4680</v>
      </c>
      <c r="B2762" s="12" t="s">
        <v>198</v>
      </c>
      <c r="C2762" s="12" t="s">
        <v>496</v>
      </c>
      <c r="D2762" s="12" t="s">
        <v>4627</v>
      </c>
      <c r="E2762" s="12" t="s">
        <v>4403</v>
      </c>
      <c r="F2762" s="12" t="s">
        <v>32</v>
      </c>
      <c r="G2762" s="12" t="s">
        <v>32</v>
      </c>
      <c r="H2762" s="12" t="b">
        <v>1</v>
      </c>
      <c r="I2762" s="12" t="b">
        <v>1</v>
      </c>
      <c r="J2762" s="12" t="b">
        <v>0</v>
      </c>
      <c r="K2762" s="12" t="b">
        <v>0</v>
      </c>
      <c r="L2762" s="12">
        <v>623.15</v>
      </c>
      <c r="M2762" s="12">
        <v>300.032917</v>
      </c>
      <c r="N2762" s="12">
        <v>4205.950043184831</v>
      </c>
      <c r="O2762" s="12">
        <v>1359.5567020080759</v>
      </c>
      <c r="P2762" s="12">
        <v>0.85</v>
      </c>
      <c r="Q2762" s="12">
        <v>0.94605590745864798</v>
      </c>
      <c r="R2762" s="12">
        <v>0.83753427271834879</v>
      </c>
      <c r="S2762" s="12">
        <v>0.4963658855761367</v>
      </c>
      <c r="T2762" s="12">
        <v>0.9166775946077288</v>
      </c>
      <c r="U2762" s="12">
        <v>0.94578817753558442</v>
      </c>
      <c r="V2762" s="12">
        <v>300.032917</v>
      </c>
      <c r="W2762" s="12">
        <v>11.285744538786011</v>
      </c>
      <c r="X2762" s="12">
        <v>115.81527473747541</v>
      </c>
      <c r="Y2762" s="12">
        <v>2846.3933411767548</v>
      </c>
      <c r="Z2762" s="12">
        <v>3.0936187045178829</v>
      </c>
      <c r="AA2762" s="12"/>
      <c r="AB2762" s="12"/>
    </row>
    <row r="2763" spans="1:28" x14ac:dyDescent="0.3">
      <c r="A2763" s="12" t="s">
        <v>4681</v>
      </c>
      <c r="B2763" s="12" t="s">
        <v>198</v>
      </c>
      <c r="C2763" s="12" t="s">
        <v>496</v>
      </c>
      <c r="D2763" s="12" t="s">
        <v>4627</v>
      </c>
      <c r="E2763" s="12" t="s">
        <v>4403</v>
      </c>
      <c r="F2763" s="12" t="s">
        <v>32</v>
      </c>
      <c r="G2763" s="12" t="s">
        <v>32</v>
      </c>
      <c r="H2763" s="12" t="b">
        <v>1</v>
      </c>
      <c r="I2763" s="12" t="b">
        <v>1</v>
      </c>
      <c r="J2763" s="12" t="b">
        <v>0</v>
      </c>
      <c r="K2763" s="12" t="b">
        <v>0</v>
      </c>
      <c r="L2763" s="12">
        <v>623.15</v>
      </c>
      <c r="M2763" s="12">
        <v>300.032917</v>
      </c>
      <c r="N2763" s="12">
        <v>4205.950043184831</v>
      </c>
      <c r="O2763" s="12">
        <v>1359.5567020080759</v>
      </c>
      <c r="P2763" s="12">
        <v>0.79447803278088491</v>
      </c>
      <c r="Q2763" s="12">
        <v>0.94605590745864798</v>
      </c>
      <c r="R2763" s="12">
        <v>0.83753427271834879</v>
      </c>
      <c r="S2763" s="12">
        <v>0.4963658855761367</v>
      </c>
      <c r="T2763" s="12">
        <v>0.9166775946077288</v>
      </c>
      <c r="U2763" s="12">
        <v>0.94578817753558442</v>
      </c>
      <c r="V2763" s="12">
        <v>300.032917</v>
      </c>
      <c r="W2763" s="12">
        <v>11.02197318905251</v>
      </c>
      <c r="X2763" s="12">
        <v>116.3297638392871</v>
      </c>
      <c r="Y2763" s="12">
        <v>2846.3933411767548</v>
      </c>
      <c r="Z2763" s="12">
        <v>3.0936187045178829</v>
      </c>
      <c r="AA2763" s="12"/>
      <c r="AB2763" s="12"/>
    </row>
    <row r="2764" spans="1:28" x14ac:dyDescent="0.3">
      <c r="A2764" s="12" t="s">
        <v>4682</v>
      </c>
      <c r="B2764" s="12" t="s">
        <v>198</v>
      </c>
      <c r="C2764" s="12" t="s">
        <v>496</v>
      </c>
      <c r="D2764" s="12" t="s">
        <v>4627</v>
      </c>
      <c r="E2764" s="12" t="s">
        <v>4403</v>
      </c>
      <c r="F2764" s="12" t="s">
        <v>32</v>
      </c>
      <c r="G2764" s="12" t="s">
        <v>32</v>
      </c>
      <c r="H2764" s="12" t="b">
        <v>1</v>
      </c>
      <c r="I2764" s="12" t="b">
        <v>1</v>
      </c>
      <c r="J2764" s="12" t="b">
        <v>0</v>
      </c>
      <c r="K2764" s="12" t="b">
        <v>0</v>
      </c>
      <c r="L2764" s="12">
        <v>623.15</v>
      </c>
      <c r="M2764" s="12">
        <v>300.032917</v>
      </c>
      <c r="N2764" s="12">
        <v>4205.950043184831</v>
      </c>
      <c r="O2764" s="12">
        <v>1359.5567020080759</v>
      </c>
      <c r="P2764" s="12">
        <v>0.82947803278088494</v>
      </c>
      <c r="Q2764" s="12">
        <v>0.95</v>
      </c>
      <c r="R2764" s="12">
        <v>0.83753427271834879</v>
      </c>
      <c r="S2764" s="12">
        <v>0.4963658855761367</v>
      </c>
      <c r="T2764" s="12">
        <v>0.9166775946077288</v>
      </c>
      <c r="U2764" s="12">
        <v>0.94578817753558442</v>
      </c>
      <c r="V2764" s="12">
        <v>300.032917</v>
      </c>
      <c r="W2764" s="12">
        <v>11.259653377661779</v>
      </c>
      <c r="X2764" s="12">
        <v>116.78426519955801</v>
      </c>
      <c r="Y2764" s="12">
        <v>2846.3933411767548</v>
      </c>
      <c r="Z2764" s="12">
        <v>3.0936187045178829</v>
      </c>
      <c r="AA2764" s="12"/>
      <c r="AB2764" s="12"/>
    </row>
    <row r="2765" spans="1:28" x14ac:dyDescent="0.3">
      <c r="A2765" s="12" t="s">
        <v>4683</v>
      </c>
      <c r="B2765" s="12" t="s">
        <v>198</v>
      </c>
      <c r="C2765" s="12" t="s">
        <v>496</v>
      </c>
      <c r="D2765" s="12" t="s">
        <v>4627</v>
      </c>
      <c r="E2765" s="12" t="s">
        <v>4403</v>
      </c>
      <c r="F2765" s="12" t="s">
        <v>32</v>
      </c>
      <c r="G2765" s="12" t="s">
        <v>32</v>
      </c>
      <c r="H2765" s="12" t="b">
        <v>1</v>
      </c>
      <c r="I2765" s="12" t="b">
        <v>1</v>
      </c>
      <c r="J2765" s="12" t="b">
        <v>0</v>
      </c>
      <c r="K2765" s="12" t="b">
        <v>0</v>
      </c>
      <c r="L2765" s="12">
        <v>623.15</v>
      </c>
      <c r="M2765" s="12">
        <v>300.032917</v>
      </c>
      <c r="N2765" s="12">
        <v>4205.950043184831</v>
      </c>
      <c r="O2765" s="12">
        <v>1359.5567020080759</v>
      </c>
      <c r="P2765" s="12">
        <v>0.82947803278088494</v>
      </c>
      <c r="Q2765" s="12">
        <v>0.89105590745864793</v>
      </c>
      <c r="R2765" s="12">
        <v>0.83753427271834879</v>
      </c>
      <c r="S2765" s="12">
        <v>0.4963658855761367</v>
      </c>
      <c r="T2765" s="12">
        <v>0.9166775946077288</v>
      </c>
      <c r="U2765" s="12">
        <v>0.94578817753558442</v>
      </c>
      <c r="V2765" s="12">
        <v>300.032917</v>
      </c>
      <c r="W2765" s="12">
        <v>10.53368080142938</v>
      </c>
      <c r="X2765" s="12">
        <v>109.2386395474132</v>
      </c>
      <c r="Y2765" s="12">
        <v>2846.3933411767548</v>
      </c>
      <c r="Z2765" s="12">
        <v>3.0936187045178829</v>
      </c>
      <c r="AA2765" s="12"/>
      <c r="AB2765" s="12"/>
    </row>
    <row r="2766" spans="1:28" x14ac:dyDescent="0.3">
      <c r="A2766" s="12" t="s">
        <v>4684</v>
      </c>
      <c r="B2766" s="12" t="s">
        <v>198</v>
      </c>
      <c r="C2766" s="12" t="s">
        <v>496</v>
      </c>
      <c r="D2766" s="12" t="s">
        <v>4627</v>
      </c>
      <c r="E2766" s="12" t="s">
        <v>4403</v>
      </c>
      <c r="F2766" s="12" t="s">
        <v>32</v>
      </c>
      <c r="G2766" s="12" t="s">
        <v>32</v>
      </c>
      <c r="H2766" s="12" t="b">
        <v>1</v>
      </c>
      <c r="I2766" s="12" t="b">
        <v>1</v>
      </c>
      <c r="J2766" s="12" t="b">
        <v>0</v>
      </c>
      <c r="K2766" s="12" t="b">
        <v>0</v>
      </c>
      <c r="L2766" s="12">
        <v>623.15</v>
      </c>
      <c r="M2766" s="12">
        <v>300.032917</v>
      </c>
      <c r="N2766" s="12">
        <v>4205.950043184831</v>
      </c>
      <c r="O2766" s="12">
        <v>1359.5567020080759</v>
      </c>
      <c r="P2766" s="12">
        <v>0.82947803278088494</v>
      </c>
      <c r="Q2766" s="12">
        <v>0.94605590745864798</v>
      </c>
      <c r="R2766" s="12">
        <v>0.89253427271834873</v>
      </c>
      <c r="S2766" s="12">
        <v>0.4963658855761367</v>
      </c>
      <c r="T2766" s="12">
        <v>0.9166775946077288</v>
      </c>
      <c r="U2766" s="12">
        <v>0.94578817753558442</v>
      </c>
      <c r="V2766" s="12">
        <v>300.032917</v>
      </c>
      <c r="W2766" s="12">
        <v>11.23875915337438</v>
      </c>
      <c r="X2766" s="12">
        <v>116.57941320746581</v>
      </c>
      <c r="Y2766" s="12">
        <v>2846.3933411767548</v>
      </c>
      <c r="Z2766" s="12">
        <v>3.0936187045178829</v>
      </c>
      <c r="AA2766" s="12"/>
      <c r="AB2766" s="12"/>
    </row>
    <row r="2767" spans="1:28" x14ac:dyDescent="0.3">
      <c r="A2767" s="12" t="s">
        <v>4685</v>
      </c>
      <c r="B2767" s="12" t="s">
        <v>198</v>
      </c>
      <c r="C2767" s="12" t="s">
        <v>496</v>
      </c>
      <c r="D2767" s="12" t="s">
        <v>4627</v>
      </c>
      <c r="E2767" s="12" t="s">
        <v>4403</v>
      </c>
      <c r="F2767" s="12" t="s">
        <v>32</v>
      </c>
      <c r="G2767" s="12" t="s">
        <v>32</v>
      </c>
      <c r="H2767" s="12" t="b">
        <v>1</v>
      </c>
      <c r="I2767" s="12" t="b">
        <v>1</v>
      </c>
      <c r="J2767" s="12" t="b">
        <v>0</v>
      </c>
      <c r="K2767" s="12" t="b">
        <v>0</v>
      </c>
      <c r="L2767" s="12">
        <v>623.15</v>
      </c>
      <c r="M2767" s="12">
        <v>300.032917</v>
      </c>
      <c r="N2767" s="12">
        <v>4205.950043184831</v>
      </c>
      <c r="O2767" s="12">
        <v>1359.5567020080759</v>
      </c>
      <c r="P2767" s="12">
        <v>0.82947803278088494</v>
      </c>
      <c r="Q2767" s="12">
        <v>0.94605590745864798</v>
      </c>
      <c r="R2767" s="12">
        <v>0.78253427271834886</v>
      </c>
      <c r="S2767" s="12">
        <v>0.4963658855761367</v>
      </c>
      <c r="T2767" s="12">
        <v>0.9166775946077288</v>
      </c>
      <c r="U2767" s="12">
        <v>0.94578817753558442</v>
      </c>
      <c r="V2767" s="12">
        <v>300.032917</v>
      </c>
      <c r="W2767" s="12">
        <v>11.17952547203738</v>
      </c>
      <c r="X2767" s="12">
        <v>115.937309547665</v>
      </c>
      <c r="Y2767" s="12">
        <v>2846.3933411767548</v>
      </c>
      <c r="Z2767" s="12">
        <v>3.0936187045178829</v>
      </c>
      <c r="AA2767" s="12"/>
      <c r="AB2767" s="12"/>
    </row>
    <row r="2768" spans="1:28" x14ac:dyDescent="0.3">
      <c r="A2768" s="12" t="s">
        <v>4686</v>
      </c>
      <c r="B2768" s="12" t="s">
        <v>198</v>
      </c>
      <c r="C2768" s="12" t="s">
        <v>496</v>
      </c>
      <c r="D2768" s="12" t="s">
        <v>4627</v>
      </c>
      <c r="E2768" s="12" t="s">
        <v>4403</v>
      </c>
      <c r="F2768" s="12" t="s">
        <v>832</v>
      </c>
      <c r="G2768" s="12" t="s">
        <v>832</v>
      </c>
      <c r="H2768" s="12" t="b">
        <v>0</v>
      </c>
      <c r="I2768" s="12" t="b">
        <v>0</v>
      </c>
      <c r="J2768" s="12" t="b">
        <v>0</v>
      </c>
      <c r="K2768" s="12" t="b">
        <v>0</v>
      </c>
      <c r="L2768" s="12">
        <v>623.15</v>
      </c>
      <c r="M2768" s="12">
        <v>300.032917</v>
      </c>
      <c r="N2768" s="12">
        <v>4205.950043184831</v>
      </c>
      <c r="O2768" s="12">
        <v>1359.5567020080759</v>
      </c>
      <c r="P2768" s="12">
        <v>0.82947803278088494</v>
      </c>
      <c r="Q2768" s="12">
        <v>0.94605590745864798</v>
      </c>
      <c r="R2768" s="12">
        <v>0.83753427271834879</v>
      </c>
      <c r="S2768" s="12">
        <v>0.55136588557613675</v>
      </c>
      <c r="T2768" s="12">
        <v>0.9166775946077288</v>
      </c>
      <c r="U2768" s="12">
        <v>0.94578817753558442</v>
      </c>
      <c r="V2768" s="12">
        <v>300.032917</v>
      </c>
      <c r="W2768" s="12"/>
      <c r="X2768" s="12"/>
      <c r="Y2768" s="12">
        <v>2846.3933411767548</v>
      </c>
      <c r="Z2768" s="12">
        <v>3.0936187045178829</v>
      </c>
      <c r="AA2768" s="12"/>
      <c r="AB2768" s="12"/>
    </row>
    <row r="2769" spans="1:28" x14ac:dyDescent="0.3">
      <c r="A2769" s="12" t="s">
        <v>4687</v>
      </c>
      <c r="B2769" s="12" t="s">
        <v>198</v>
      </c>
      <c r="C2769" s="12" t="s">
        <v>496</v>
      </c>
      <c r="D2769" s="12" t="s">
        <v>4627</v>
      </c>
      <c r="E2769" s="12" t="s">
        <v>4403</v>
      </c>
      <c r="F2769" s="12" t="s">
        <v>32</v>
      </c>
      <c r="G2769" s="12" t="s">
        <v>32</v>
      </c>
      <c r="H2769" s="12" t="b">
        <v>1</v>
      </c>
      <c r="I2769" s="12" t="b">
        <v>1</v>
      </c>
      <c r="J2769" s="12" t="b">
        <v>0</v>
      </c>
      <c r="K2769" s="12" t="b">
        <v>0</v>
      </c>
      <c r="L2769" s="12">
        <v>623.15</v>
      </c>
      <c r="M2769" s="12">
        <v>300.032917</v>
      </c>
      <c r="N2769" s="12">
        <v>4205.950043184831</v>
      </c>
      <c r="O2769" s="12">
        <v>1359.5567020080759</v>
      </c>
      <c r="P2769" s="12">
        <v>0.82947803278088494</v>
      </c>
      <c r="Q2769" s="12">
        <v>0.94605590745864798</v>
      </c>
      <c r="R2769" s="12">
        <v>0.83753427271834879</v>
      </c>
      <c r="S2769" s="12">
        <v>0.44136588557613671</v>
      </c>
      <c r="T2769" s="12">
        <v>0.9166775946077288</v>
      </c>
      <c r="U2769" s="12">
        <v>0.94578817753558442</v>
      </c>
      <c r="V2769" s="12">
        <v>300.032917</v>
      </c>
      <c r="W2769" s="12">
        <v>11.083234396466111</v>
      </c>
      <c r="X2769" s="12">
        <v>101.8303047151895</v>
      </c>
      <c r="Y2769" s="12">
        <v>2846.3933411767548</v>
      </c>
      <c r="Z2769" s="12">
        <v>3.0936187045178829</v>
      </c>
      <c r="AA2769" s="12"/>
      <c r="AB2769" s="12"/>
    </row>
    <row r="2770" spans="1:28" x14ac:dyDescent="0.3">
      <c r="A2770" s="12" t="s">
        <v>4688</v>
      </c>
      <c r="B2770" s="12" t="s">
        <v>198</v>
      </c>
      <c r="C2770" s="12" t="s">
        <v>496</v>
      </c>
      <c r="D2770" s="12" t="s">
        <v>4627</v>
      </c>
      <c r="E2770" s="12" t="s">
        <v>4403</v>
      </c>
      <c r="F2770" s="12" t="s">
        <v>32</v>
      </c>
      <c r="G2770" s="12" t="s">
        <v>32</v>
      </c>
      <c r="H2770" s="12" t="b">
        <v>1</v>
      </c>
      <c r="I2770" s="12" t="b">
        <v>1</v>
      </c>
      <c r="J2770" s="12" t="b">
        <v>0</v>
      </c>
      <c r="K2770" s="12" t="b">
        <v>0</v>
      </c>
      <c r="L2770" s="12">
        <v>623.15</v>
      </c>
      <c r="M2770" s="12">
        <v>300.032917</v>
      </c>
      <c r="N2770" s="12">
        <v>4205.950043184831</v>
      </c>
      <c r="O2770" s="12">
        <v>1359.5567020080759</v>
      </c>
      <c r="P2770" s="12">
        <v>0.82947803278088494</v>
      </c>
      <c r="Q2770" s="12">
        <v>0.94605590745864798</v>
      </c>
      <c r="R2770" s="12">
        <v>0.83753427271834879</v>
      </c>
      <c r="S2770" s="12">
        <v>0.4963658855761367</v>
      </c>
      <c r="T2770" s="12">
        <v>0.95</v>
      </c>
      <c r="U2770" s="12">
        <v>0.94578817753558442</v>
      </c>
      <c r="V2770" s="12">
        <v>300.032917</v>
      </c>
      <c r="W2770" s="12">
        <v>11.255872631790741</v>
      </c>
      <c r="X2770" s="12">
        <v>116.5286394974584</v>
      </c>
      <c r="Y2770" s="12">
        <v>2846.3933411767548</v>
      </c>
      <c r="Z2770" s="12">
        <v>3.0936187045178829</v>
      </c>
      <c r="AA2770" s="12"/>
      <c r="AB2770" s="12"/>
    </row>
    <row r="2771" spans="1:28" x14ac:dyDescent="0.3">
      <c r="A2771" s="12" t="s">
        <v>4689</v>
      </c>
      <c r="B2771" s="12" t="s">
        <v>198</v>
      </c>
      <c r="C2771" s="12" t="s">
        <v>496</v>
      </c>
      <c r="D2771" s="12" t="s">
        <v>4627</v>
      </c>
      <c r="E2771" s="12" t="s">
        <v>4403</v>
      </c>
      <c r="F2771" s="12" t="s">
        <v>32</v>
      </c>
      <c r="G2771" s="12" t="s">
        <v>32</v>
      </c>
      <c r="H2771" s="12" t="b">
        <v>1</v>
      </c>
      <c r="I2771" s="12" t="b">
        <v>1</v>
      </c>
      <c r="J2771" s="12" t="b">
        <v>0</v>
      </c>
      <c r="K2771" s="12" t="b">
        <v>0</v>
      </c>
      <c r="L2771" s="12">
        <v>623.15</v>
      </c>
      <c r="M2771" s="12">
        <v>300.032917</v>
      </c>
      <c r="N2771" s="12">
        <v>4205.950043184831</v>
      </c>
      <c r="O2771" s="12">
        <v>1359.5567020080759</v>
      </c>
      <c r="P2771" s="12">
        <v>0.82947803278088494</v>
      </c>
      <c r="Q2771" s="12">
        <v>0.94605590745864798</v>
      </c>
      <c r="R2771" s="12">
        <v>0.83753427271834879</v>
      </c>
      <c r="S2771" s="12">
        <v>0.4963658855761367</v>
      </c>
      <c r="T2771" s="12">
        <v>0.86167759460772864</v>
      </c>
      <c r="U2771" s="12">
        <v>0.94578817753558442</v>
      </c>
      <c r="V2771" s="12">
        <v>300.032917</v>
      </c>
      <c r="W2771" s="12">
        <v>11.137119314349491</v>
      </c>
      <c r="X2771" s="12">
        <v>115.8656194516693</v>
      </c>
      <c r="Y2771" s="12">
        <v>2846.3933411767548</v>
      </c>
      <c r="Z2771" s="12">
        <v>3.0936187045178829</v>
      </c>
      <c r="AA2771" s="12"/>
      <c r="AB2771" s="12"/>
    </row>
    <row r="2772" spans="1:28" x14ac:dyDescent="0.3">
      <c r="A2772" s="12" t="s">
        <v>4690</v>
      </c>
      <c r="B2772" s="12" t="s">
        <v>198</v>
      </c>
      <c r="C2772" s="12" t="s">
        <v>496</v>
      </c>
      <c r="D2772" s="12" t="s">
        <v>4627</v>
      </c>
      <c r="E2772" s="12" t="s">
        <v>4403</v>
      </c>
      <c r="F2772" s="12" t="s">
        <v>32</v>
      </c>
      <c r="G2772" s="12" t="s">
        <v>32</v>
      </c>
      <c r="H2772" s="12" t="b">
        <v>1</v>
      </c>
      <c r="I2772" s="12" t="b">
        <v>1</v>
      </c>
      <c r="J2772" s="12" t="b">
        <v>0</v>
      </c>
      <c r="K2772" s="12" t="b">
        <v>0</v>
      </c>
      <c r="L2772" s="12">
        <v>623.15</v>
      </c>
      <c r="M2772" s="12">
        <v>300.032917</v>
      </c>
      <c r="N2772" s="12">
        <v>4205.950043184831</v>
      </c>
      <c r="O2772" s="12">
        <v>1359.5567020080759</v>
      </c>
      <c r="P2772" s="12">
        <v>0.82947803278088494</v>
      </c>
      <c r="Q2772" s="12">
        <v>0.94605590745864798</v>
      </c>
      <c r="R2772" s="12">
        <v>0.83753427271834879</v>
      </c>
      <c r="S2772" s="12">
        <v>0.4963658855761367</v>
      </c>
      <c r="T2772" s="12">
        <v>0.9166775946077288</v>
      </c>
      <c r="U2772" s="12">
        <v>0.95</v>
      </c>
      <c r="V2772" s="12">
        <v>300.032917</v>
      </c>
      <c r="W2772" s="12">
        <v>11.176888823080381</v>
      </c>
      <c r="X2772" s="12">
        <v>116.09275171919001</v>
      </c>
      <c r="Y2772" s="12">
        <v>2846.3933411767548</v>
      </c>
      <c r="Z2772" s="12">
        <v>3.0936187045178829</v>
      </c>
      <c r="AA2772" s="12"/>
      <c r="AB2772" s="12"/>
    </row>
    <row r="2773" spans="1:28" x14ac:dyDescent="0.3">
      <c r="A2773" s="12" t="s">
        <v>4691</v>
      </c>
      <c r="B2773" s="12" t="s">
        <v>198</v>
      </c>
      <c r="C2773" s="12" t="s">
        <v>496</v>
      </c>
      <c r="D2773" s="12" t="s">
        <v>4627</v>
      </c>
      <c r="E2773" s="12" t="s">
        <v>4403</v>
      </c>
      <c r="F2773" s="12" t="s">
        <v>1861</v>
      </c>
      <c r="G2773" s="12" t="s">
        <v>1861</v>
      </c>
      <c r="H2773" s="12" t="b">
        <v>1</v>
      </c>
      <c r="I2773" s="12" t="b">
        <v>0</v>
      </c>
      <c r="J2773" s="12" t="b">
        <v>0</v>
      </c>
      <c r="K2773" s="12" t="b">
        <v>0</v>
      </c>
      <c r="L2773" s="12">
        <v>623.15</v>
      </c>
      <c r="M2773" s="12">
        <v>300.032917</v>
      </c>
      <c r="N2773" s="12">
        <v>4205.950043184831</v>
      </c>
      <c r="O2773" s="12">
        <v>1359.5567020080759</v>
      </c>
      <c r="P2773" s="12">
        <v>0.82947803278088494</v>
      </c>
      <c r="Q2773" s="12">
        <v>0.94605590745864798</v>
      </c>
      <c r="R2773" s="12">
        <v>0.83753427271834879</v>
      </c>
      <c r="S2773" s="12">
        <v>0.4963658855761367</v>
      </c>
      <c r="T2773" s="12">
        <v>0.9166775946077288</v>
      </c>
      <c r="U2773" s="12">
        <v>0.89078817753558437</v>
      </c>
      <c r="V2773" s="12">
        <v>300.032917</v>
      </c>
      <c r="W2773" s="12">
        <v>11.646138924600219</v>
      </c>
      <c r="X2773" s="12">
        <v>118.3649342421068</v>
      </c>
      <c r="Y2773" s="12">
        <v>2846.3933411767548</v>
      </c>
      <c r="Z2773" s="12">
        <v>3.0936187045178829</v>
      </c>
      <c r="AA2773" s="12" t="s">
        <v>1268</v>
      </c>
      <c r="AB2773" s="12"/>
    </row>
    <row r="2774" spans="1:28" x14ac:dyDescent="0.3">
      <c r="A2774" s="12" t="s">
        <v>4692</v>
      </c>
      <c r="B2774" s="12" t="s">
        <v>198</v>
      </c>
      <c r="C2774" s="12" t="s">
        <v>496</v>
      </c>
      <c r="D2774" s="12" t="s">
        <v>4627</v>
      </c>
      <c r="E2774" s="12" t="s">
        <v>4403</v>
      </c>
      <c r="F2774" s="12" t="s">
        <v>32</v>
      </c>
      <c r="G2774" s="12" t="s">
        <v>32</v>
      </c>
      <c r="H2774" s="12" t="b">
        <v>1</v>
      </c>
      <c r="I2774" s="12" t="b">
        <v>1</v>
      </c>
      <c r="J2774" s="12" t="b">
        <v>0</v>
      </c>
      <c r="K2774" s="12" t="b">
        <v>0</v>
      </c>
      <c r="L2774" s="12">
        <v>623.15</v>
      </c>
      <c r="M2774" s="12">
        <v>300.032917</v>
      </c>
      <c r="N2774" s="12">
        <v>4805.950043184831</v>
      </c>
      <c r="O2774" s="12">
        <v>1359.5567020080759</v>
      </c>
      <c r="P2774" s="12">
        <v>0.82947803278088494</v>
      </c>
      <c r="Q2774" s="12">
        <v>0.94605590745864798</v>
      </c>
      <c r="R2774" s="12">
        <v>0.83753427271834879</v>
      </c>
      <c r="S2774" s="12">
        <v>0.4963658855761367</v>
      </c>
      <c r="T2774" s="12">
        <v>0.9166775946077288</v>
      </c>
      <c r="U2774" s="12">
        <v>0.94578817753558442</v>
      </c>
      <c r="V2774" s="12">
        <v>300.032917</v>
      </c>
      <c r="W2774" s="12">
        <v>12.338973330740471</v>
      </c>
      <c r="X2774" s="12">
        <v>126.9530626778009</v>
      </c>
      <c r="Y2774" s="12">
        <v>3446.3933411767548</v>
      </c>
      <c r="Z2774" s="12">
        <v>3.5349390254090931</v>
      </c>
      <c r="AA2774" s="12"/>
      <c r="AB2774" s="12"/>
    </row>
    <row r="2775" spans="1:28" x14ac:dyDescent="0.3">
      <c r="A2775" s="12" t="s">
        <v>4693</v>
      </c>
      <c r="B2775" s="12" t="s">
        <v>198</v>
      </c>
      <c r="C2775" s="12" t="s">
        <v>496</v>
      </c>
      <c r="D2775" s="12" t="s">
        <v>4627</v>
      </c>
      <c r="E2775" s="12" t="s">
        <v>4403</v>
      </c>
      <c r="F2775" s="12" t="s">
        <v>32</v>
      </c>
      <c r="G2775" s="12" t="s">
        <v>32</v>
      </c>
      <c r="H2775" s="12" t="b">
        <v>1</v>
      </c>
      <c r="I2775" s="12" t="b">
        <v>1</v>
      </c>
      <c r="J2775" s="12" t="b">
        <v>0</v>
      </c>
      <c r="K2775" s="12" t="b">
        <v>0</v>
      </c>
      <c r="L2775" s="12">
        <v>623.15</v>
      </c>
      <c r="M2775" s="12">
        <v>300.032917</v>
      </c>
      <c r="N2775" s="12">
        <v>4205.950043184831</v>
      </c>
      <c r="O2775" s="12">
        <v>1359.5567020080759</v>
      </c>
      <c r="P2775" s="12">
        <v>0.82947803278088494</v>
      </c>
      <c r="Q2775" s="12">
        <v>0.94605590745864798</v>
      </c>
      <c r="R2775" s="12">
        <v>0.83753427271834879</v>
      </c>
      <c r="S2775" s="12">
        <v>0.4963658855761367</v>
      </c>
      <c r="T2775" s="12">
        <v>0.9166775946077288</v>
      </c>
      <c r="U2775" s="12">
        <v>0.94578817753558442</v>
      </c>
      <c r="V2775" s="12">
        <v>300.032917</v>
      </c>
      <c r="W2775" s="12">
        <v>11.211090699093569</v>
      </c>
      <c r="X2775" s="12">
        <v>116.2794452085863</v>
      </c>
      <c r="Y2775" s="12">
        <v>2846.3933411767548</v>
      </c>
      <c r="Z2775" s="12">
        <v>3.0936187045178829</v>
      </c>
      <c r="AA2775" s="12"/>
      <c r="AB2775" s="12"/>
    </row>
    <row r="2776" spans="1:28" x14ac:dyDescent="0.3">
      <c r="A2776" s="12" t="s">
        <v>4694</v>
      </c>
      <c r="B2776" s="12" t="s">
        <v>198</v>
      </c>
      <c r="C2776" s="12" t="s">
        <v>496</v>
      </c>
      <c r="D2776" s="12" t="s">
        <v>4627</v>
      </c>
      <c r="E2776" s="12" t="s">
        <v>4403</v>
      </c>
      <c r="F2776" s="12" t="s">
        <v>32</v>
      </c>
      <c r="G2776" s="12" t="s">
        <v>32</v>
      </c>
      <c r="H2776" s="12" t="b">
        <v>1</v>
      </c>
      <c r="I2776" s="12" t="b">
        <v>1</v>
      </c>
      <c r="J2776" s="12" t="b">
        <v>0</v>
      </c>
      <c r="K2776" s="12" t="b">
        <v>0</v>
      </c>
      <c r="L2776" s="12">
        <v>623.15</v>
      </c>
      <c r="M2776" s="12">
        <v>300.032917</v>
      </c>
      <c r="N2776" s="12">
        <v>4505.950043184831</v>
      </c>
      <c r="O2776" s="12">
        <v>1579.5567020080759</v>
      </c>
      <c r="P2776" s="12">
        <v>0.82947803278088494</v>
      </c>
      <c r="Q2776" s="12">
        <v>0.94605590745864798</v>
      </c>
      <c r="R2776" s="12">
        <v>0.83753427271834879</v>
      </c>
      <c r="S2776" s="12">
        <v>0.4963658855761367</v>
      </c>
      <c r="T2776" s="12">
        <v>0.9166775946077288</v>
      </c>
      <c r="U2776" s="12">
        <v>0.94578817753558442</v>
      </c>
      <c r="V2776" s="12">
        <v>300.032917</v>
      </c>
      <c r="W2776" s="12">
        <v>10.38241770367671</v>
      </c>
      <c r="X2776" s="12">
        <v>107.2309007933862</v>
      </c>
      <c r="Y2776" s="12">
        <v>2926.3933411767548</v>
      </c>
      <c r="Z2776" s="12">
        <v>2.852667484146949</v>
      </c>
      <c r="AA2776" s="12"/>
      <c r="AB2776" s="12"/>
    </row>
    <row r="2777" spans="1:28" x14ac:dyDescent="0.3">
      <c r="A2777" s="12" t="s">
        <v>4695</v>
      </c>
      <c r="B2777" s="12" t="s">
        <v>198</v>
      </c>
      <c r="C2777" s="12" t="s">
        <v>496</v>
      </c>
      <c r="D2777" s="12" t="s">
        <v>4627</v>
      </c>
      <c r="E2777" s="12" t="s">
        <v>4403</v>
      </c>
      <c r="F2777" s="12" t="s">
        <v>1861</v>
      </c>
      <c r="G2777" s="12" t="s">
        <v>1861</v>
      </c>
      <c r="H2777" s="12" t="b">
        <v>1</v>
      </c>
      <c r="I2777" s="12" t="b">
        <v>0</v>
      </c>
      <c r="J2777" s="12" t="b">
        <v>0</v>
      </c>
      <c r="K2777" s="12" t="b">
        <v>0</v>
      </c>
      <c r="L2777" s="12">
        <v>623.15</v>
      </c>
      <c r="M2777" s="12">
        <v>300.032917</v>
      </c>
      <c r="N2777" s="12">
        <v>4505.950043184831</v>
      </c>
      <c r="O2777" s="12">
        <v>1139.5567020080771</v>
      </c>
      <c r="P2777" s="12">
        <v>0.82947803278088494</v>
      </c>
      <c r="Q2777" s="12">
        <v>0.94605590745864798</v>
      </c>
      <c r="R2777" s="12">
        <v>0.83753427271834879</v>
      </c>
      <c r="S2777" s="12">
        <v>0.4963658855761367</v>
      </c>
      <c r="T2777" s="12">
        <v>0.9166775946077288</v>
      </c>
      <c r="U2777" s="12">
        <v>0.94578817753558442</v>
      </c>
      <c r="V2777" s="12">
        <v>300.032917</v>
      </c>
      <c r="W2777" s="12">
        <v>13.437676250057519</v>
      </c>
      <c r="X2777" s="12">
        <v>138.84485597810109</v>
      </c>
      <c r="Y2777" s="12">
        <v>3366.3933411767539</v>
      </c>
      <c r="Z2777" s="12">
        <v>3.9541253500107931</v>
      </c>
      <c r="AA2777" s="12" t="s">
        <v>1268</v>
      </c>
      <c r="AB2777" s="12"/>
    </row>
    <row r="2778" spans="1:28" x14ac:dyDescent="0.3">
      <c r="A2778" s="12" t="s">
        <v>4696</v>
      </c>
      <c r="B2778" s="12" t="s">
        <v>198</v>
      </c>
      <c r="C2778" s="12" t="s">
        <v>496</v>
      </c>
      <c r="D2778" s="12" t="s">
        <v>4627</v>
      </c>
      <c r="E2778" s="12" t="s">
        <v>4403</v>
      </c>
      <c r="F2778" s="12" t="s">
        <v>32</v>
      </c>
      <c r="G2778" s="12" t="s">
        <v>32</v>
      </c>
      <c r="H2778" s="12" t="b">
        <v>1</v>
      </c>
      <c r="I2778" s="12" t="b">
        <v>1</v>
      </c>
      <c r="J2778" s="12" t="b">
        <v>0</v>
      </c>
      <c r="K2778" s="12" t="b">
        <v>0</v>
      </c>
      <c r="L2778" s="12">
        <v>623.15</v>
      </c>
      <c r="M2778" s="12">
        <v>300.032917</v>
      </c>
      <c r="N2778" s="12">
        <v>4505.950043184831</v>
      </c>
      <c r="O2778" s="12">
        <v>1359.5567020080759</v>
      </c>
      <c r="P2778" s="12">
        <v>0.85</v>
      </c>
      <c r="Q2778" s="12">
        <v>0.94605590745864798</v>
      </c>
      <c r="R2778" s="12">
        <v>0.83753427271834879</v>
      </c>
      <c r="S2778" s="12">
        <v>0.4963658855761367</v>
      </c>
      <c r="T2778" s="12">
        <v>0.9166775946077288</v>
      </c>
      <c r="U2778" s="12">
        <v>0.94578817753558442</v>
      </c>
      <c r="V2778" s="12">
        <v>300.032917</v>
      </c>
      <c r="W2778" s="12">
        <v>11.875473056667341</v>
      </c>
      <c r="X2778" s="12">
        <v>121.39282541975631</v>
      </c>
      <c r="Y2778" s="12">
        <v>3146.3933411767548</v>
      </c>
      <c r="Z2778" s="12">
        <v>3.3142788649634878</v>
      </c>
      <c r="AA2778" s="12"/>
      <c r="AB2778" s="12"/>
    </row>
    <row r="2779" spans="1:28" x14ac:dyDescent="0.3">
      <c r="A2779" s="12" t="s">
        <v>4697</v>
      </c>
      <c r="B2779" s="12" t="s">
        <v>198</v>
      </c>
      <c r="C2779" s="12" t="s">
        <v>496</v>
      </c>
      <c r="D2779" s="12" t="s">
        <v>4627</v>
      </c>
      <c r="E2779" s="12" t="s">
        <v>4403</v>
      </c>
      <c r="F2779" s="12" t="s">
        <v>32</v>
      </c>
      <c r="G2779" s="12" t="s">
        <v>32</v>
      </c>
      <c r="H2779" s="12" t="b">
        <v>1</v>
      </c>
      <c r="I2779" s="12" t="b">
        <v>1</v>
      </c>
      <c r="J2779" s="12" t="b">
        <v>0</v>
      </c>
      <c r="K2779" s="12" t="b">
        <v>0</v>
      </c>
      <c r="L2779" s="12">
        <v>623.15</v>
      </c>
      <c r="M2779" s="12">
        <v>300.032917</v>
      </c>
      <c r="N2779" s="12">
        <v>4505.950043184831</v>
      </c>
      <c r="O2779" s="12">
        <v>1359.5567020080759</v>
      </c>
      <c r="P2779" s="12">
        <v>0.79447803278088491</v>
      </c>
      <c r="Q2779" s="12">
        <v>0.94605590745864798</v>
      </c>
      <c r="R2779" s="12">
        <v>0.83753427271834879</v>
      </c>
      <c r="S2779" s="12">
        <v>0.4963658855761367</v>
      </c>
      <c r="T2779" s="12">
        <v>0.9166775946077288</v>
      </c>
      <c r="U2779" s="12">
        <v>0.94578817753558442</v>
      </c>
      <c r="V2779" s="12">
        <v>300.032917</v>
      </c>
      <c r="W2779" s="12">
        <v>11.60611522134726</v>
      </c>
      <c r="X2779" s="12">
        <v>121.97516416433039</v>
      </c>
      <c r="Y2779" s="12">
        <v>3146.3933411767548</v>
      </c>
      <c r="Z2779" s="12">
        <v>3.3142788649634878</v>
      </c>
      <c r="AA2779" s="12"/>
      <c r="AB2779" s="12"/>
    </row>
    <row r="2780" spans="1:28" x14ac:dyDescent="0.3">
      <c r="A2780" s="12" t="s">
        <v>4698</v>
      </c>
      <c r="B2780" s="12" t="s">
        <v>198</v>
      </c>
      <c r="C2780" s="12" t="s">
        <v>496</v>
      </c>
      <c r="D2780" s="12" t="s">
        <v>4627</v>
      </c>
      <c r="E2780" s="12" t="s">
        <v>4403</v>
      </c>
      <c r="F2780" s="12" t="s">
        <v>32</v>
      </c>
      <c r="G2780" s="12" t="s">
        <v>32</v>
      </c>
      <c r="H2780" s="12" t="b">
        <v>1</v>
      </c>
      <c r="I2780" s="12" t="b">
        <v>1</v>
      </c>
      <c r="J2780" s="12" t="b">
        <v>0</v>
      </c>
      <c r="K2780" s="12" t="b">
        <v>0</v>
      </c>
      <c r="L2780" s="12">
        <v>623.15</v>
      </c>
      <c r="M2780" s="12">
        <v>300.032917</v>
      </c>
      <c r="N2780" s="12">
        <v>4505.950043184831</v>
      </c>
      <c r="O2780" s="12">
        <v>1359.5567020080759</v>
      </c>
      <c r="P2780" s="12">
        <v>0.82947803278088494</v>
      </c>
      <c r="Q2780" s="12">
        <v>0.95</v>
      </c>
      <c r="R2780" s="12">
        <v>0.83753427271834879</v>
      </c>
      <c r="S2780" s="12">
        <v>0.4963658855761367</v>
      </c>
      <c r="T2780" s="12">
        <v>0.9166775946077288</v>
      </c>
      <c r="U2780" s="12">
        <v>0.94578817753558442</v>
      </c>
      <c r="V2780" s="12">
        <v>300.032917</v>
      </c>
      <c r="W2780" s="12">
        <v>11.851574085798569</v>
      </c>
      <c r="X2780" s="12">
        <v>122.42959835856099</v>
      </c>
      <c r="Y2780" s="12">
        <v>3146.3933411767548</v>
      </c>
      <c r="Z2780" s="12">
        <v>3.3142788649634878</v>
      </c>
      <c r="AA2780" s="12"/>
      <c r="AB2780" s="12"/>
    </row>
    <row r="2781" spans="1:28" x14ac:dyDescent="0.3">
      <c r="A2781" s="12" t="s">
        <v>4699</v>
      </c>
      <c r="B2781" s="12" t="s">
        <v>198</v>
      </c>
      <c r="C2781" s="12" t="s">
        <v>496</v>
      </c>
      <c r="D2781" s="12" t="s">
        <v>4627</v>
      </c>
      <c r="E2781" s="12" t="s">
        <v>4403</v>
      </c>
      <c r="F2781" s="12" t="s">
        <v>32</v>
      </c>
      <c r="G2781" s="12" t="s">
        <v>32</v>
      </c>
      <c r="H2781" s="12" t="b">
        <v>1</v>
      </c>
      <c r="I2781" s="12" t="b">
        <v>1</v>
      </c>
      <c r="J2781" s="12" t="b">
        <v>0</v>
      </c>
      <c r="K2781" s="12" t="b">
        <v>0</v>
      </c>
      <c r="L2781" s="12">
        <v>623.15</v>
      </c>
      <c r="M2781" s="12">
        <v>300.032917</v>
      </c>
      <c r="N2781" s="12">
        <v>4505.950043184831</v>
      </c>
      <c r="O2781" s="12">
        <v>1359.5567020080759</v>
      </c>
      <c r="P2781" s="12">
        <v>0.82947803278088494</v>
      </c>
      <c r="Q2781" s="12">
        <v>0.89105590745864793</v>
      </c>
      <c r="R2781" s="12">
        <v>0.83753427271834879</v>
      </c>
      <c r="S2781" s="12">
        <v>0.4963658855761367</v>
      </c>
      <c r="T2781" s="12">
        <v>0.9166775946077288</v>
      </c>
      <c r="U2781" s="12">
        <v>0.94578817753558442</v>
      </c>
      <c r="V2781" s="12">
        <v>300.032917</v>
      </c>
      <c r="W2781" s="12">
        <v>11.08587903361167</v>
      </c>
      <c r="X2781" s="12">
        <v>114.5023734593544</v>
      </c>
      <c r="Y2781" s="12">
        <v>3146.3933411767548</v>
      </c>
      <c r="Z2781" s="12">
        <v>3.3142788649634878</v>
      </c>
      <c r="AA2781" s="12"/>
      <c r="AB2781" s="12"/>
    </row>
    <row r="2782" spans="1:28" x14ac:dyDescent="0.3">
      <c r="A2782" s="12" t="s">
        <v>4700</v>
      </c>
      <c r="B2782" s="12" t="s">
        <v>198</v>
      </c>
      <c r="C2782" s="12" t="s">
        <v>496</v>
      </c>
      <c r="D2782" s="12" t="s">
        <v>4627</v>
      </c>
      <c r="E2782" s="12" t="s">
        <v>4403</v>
      </c>
      <c r="F2782" s="12" t="s">
        <v>32</v>
      </c>
      <c r="G2782" s="12" t="s">
        <v>32</v>
      </c>
      <c r="H2782" s="12" t="b">
        <v>1</v>
      </c>
      <c r="I2782" s="12" t="b">
        <v>1</v>
      </c>
      <c r="J2782" s="12" t="b">
        <v>0</v>
      </c>
      <c r="K2782" s="12" t="b">
        <v>0</v>
      </c>
      <c r="L2782" s="12">
        <v>623.15</v>
      </c>
      <c r="M2782" s="12">
        <v>300.032917</v>
      </c>
      <c r="N2782" s="12">
        <v>4505.950043184831</v>
      </c>
      <c r="O2782" s="12">
        <v>1359.5567020080759</v>
      </c>
      <c r="P2782" s="12">
        <v>0.82947803278088494</v>
      </c>
      <c r="Q2782" s="12">
        <v>0.94605590745864798</v>
      </c>
      <c r="R2782" s="12">
        <v>0.89253427271834873</v>
      </c>
      <c r="S2782" s="12">
        <v>0.4963658855761367</v>
      </c>
      <c r="T2782" s="12">
        <v>0.9166775946077288</v>
      </c>
      <c r="U2782" s="12">
        <v>0.94578817753558442</v>
      </c>
      <c r="V2782" s="12">
        <v>300.032917</v>
      </c>
      <c r="W2782" s="12">
        <v>11.830895358562641</v>
      </c>
      <c r="X2782" s="12">
        <v>122.22971154635739</v>
      </c>
      <c r="Y2782" s="12">
        <v>3146.3933411767548</v>
      </c>
      <c r="Z2782" s="12">
        <v>3.3142788649634878</v>
      </c>
      <c r="AA2782" s="12"/>
      <c r="AB2782" s="12"/>
    </row>
    <row r="2783" spans="1:28" x14ac:dyDescent="0.3">
      <c r="A2783" s="12" t="s">
        <v>4701</v>
      </c>
      <c r="B2783" s="12" t="s">
        <v>198</v>
      </c>
      <c r="C2783" s="12" t="s">
        <v>496</v>
      </c>
      <c r="D2783" s="12" t="s">
        <v>4627</v>
      </c>
      <c r="E2783" s="12" t="s">
        <v>4403</v>
      </c>
      <c r="F2783" s="12" t="s">
        <v>32</v>
      </c>
      <c r="G2783" s="12" t="s">
        <v>32</v>
      </c>
      <c r="H2783" s="12" t="b">
        <v>1</v>
      </c>
      <c r="I2783" s="12" t="b">
        <v>1</v>
      </c>
      <c r="J2783" s="12" t="b">
        <v>0</v>
      </c>
      <c r="K2783" s="12" t="b">
        <v>0</v>
      </c>
      <c r="L2783" s="12">
        <v>623.15</v>
      </c>
      <c r="M2783" s="12">
        <v>300.032917</v>
      </c>
      <c r="N2783" s="12">
        <v>4505.950043184831</v>
      </c>
      <c r="O2783" s="12">
        <v>1359.5567020080759</v>
      </c>
      <c r="P2783" s="12">
        <v>0.82947803278088494</v>
      </c>
      <c r="Q2783" s="12">
        <v>0.94605590745864798</v>
      </c>
      <c r="R2783" s="12">
        <v>0.78253427271834886</v>
      </c>
      <c r="S2783" s="12">
        <v>0.4963658855761367</v>
      </c>
      <c r="T2783" s="12">
        <v>0.9166775946077288</v>
      </c>
      <c r="U2783" s="12">
        <v>0.94578817753558442</v>
      </c>
      <c r="V2783" s="12">
        <v>300.032917</v>
      </c>
      <c r="W2783" s="12">
        <v>11.765512670900129</v>
      </c>
      <c r="X2783" s="12">
        <v>121.52234138542271</v>
      </c>
      <c r="Y2783" s="12">
        <v>3146.3933411767548</v>
      </c>
      <c r="Z2783" s="12">
        <v>3.3142788649634878</v>
      </c>
      <c r="AA2783" s="12"/>
      <c r="AB2783" s="12"/>
    </row>
    <row r="2784" spans="1:28" x14ac:dyDescent="0.3">
      <c r="A2784" s="12" t="s">
        <v>4702</v>
      </c>
      <c r="B2784" s="12" t="s">
        <v>198</v>
      </c>
      <c r="C2784" s="12" t="s">
        <v>496</v>
      </c>
      <c r="D2784" s="12" t="s">
        <v>4627</v>
      </c>
      <c r="E2784" s="12" t="s">
        <v>4403</v>
      </c>
      <c r="F2784" s="12" t="s">
        <v>832</v>
      </c>
      <c r="G2784" s="12" t="s">
        <v>832</v>
      </c>
      <c r="H2784" s="12" t="b">
        <v>0</v>
      </c>
      <c r="I2784" s="12" t="b">
        <v>0</v>
      </c>
      <c r="J2784" s="12" t="b">
        <v>0</v>
      </c>
      <c r="K2784" s="12" t="b">
        <v>0</v>
      </c>
      <c r="L2784" s="12">
        <v>623.15</v>
      </c>
      <c r="M2784" s="12">
        <v>300.032917</v>
      </c>
      <c r="N2784" s="12">
        <v>4505.950043184831</v>
      </c>
      <c r="O2784" s="12">
        <v>1359.5567020080759</v>
      </c>
      <c r="P2784" s="12">
        <v>0.82947803278088494</v>
      </c>
      <c r="Q2784" s="12">
        <v>0.94605590745864798</v>
      </c>
      <c r="R2784" s="12">
        <v>0.83753427271834879</v>
      </c>
      <c r="S2784" s="12">
        <v>0.55136588557613675</v>
      </c>
      <c r="T2784" s="12">
        <v>0.9166775946077288</v>
      </c>
      <c r="U2784" s="12">
        <v>0.94578817753558442</v>
      </c>
      <c r="V2784" s="12">
        <v>300.032917</v>
      </c>
      <c r="W2784" s="12"/>
      <c r="X2784" s="12"/>
      <c r="Y2784" s="12">
        <v>3146.3933411767548</v>
      </c>
      <c r="Z2784" s="12">
        <v>3.3142788649634878</v>
      </c>
      <c r="AA2784" s="12"/>
      <c r="AB2784" s="12"/>
    </row>
    <row r="2785" spans="1:28" x14ac:dyDescent="0.3">
      <c r="A2785" s="12" t="s">
        <v>4703</v>
      </c>
      <c r="B2785" s="12" t="s">
        <v>198</v>
      </c>
      <c r="C2785" s="12" t="s">
        <v>496</v>
      </c>
      <c r="D2785" s="12" t="s">
        <v>4627</v>
      </c>
      <c r="E2785" s="12" t="s">
        <v>4403</v>
      </c>
      <c r="F2785" s="12" t="s">
        <v>32</v>
      </c>
      <c r="G2785" s="12" t="s">
        <v>32</v>
      </c>
      <c r="H2785" s="12" t="b">
        <v>1</v>
      </c>
      <c r="I2785" s="12" t="b">
        <v>1</v>
      </c>
      <c r="J2785" s="12" t="b">
        <v>0</v>
      </c>
      <c r="K2785" s="12" t="b">
        <v>0</v>
      </c>
      <c r="L2785" s="12">
        <v>623.15</v>
      </c>
      <c r="M2785" s="12">
        <v>300.032917</v>
      </c>
      <c r="N2785" s="12">
        <v>4505.950043184831</v>
      </c>
      <c r="O2785" s="12">
        <v>1359.5567020080759</v>
      </c>
      <c r="P2785" s="12">
        <v>0.82947803278088494</v>
      </c>
      <c r="Q2785" s="12">
        <v>0.94605590745864798</v>
      </c>
      <c r="R2785" s="12">
        <v>0.83753427271834879</v>
      </c>
      <c r="S2785" s="12">
        <v>0.44136588557613671</v>
      </c>
      <c r="T2785" s="12">
        <v>0.9166775946077288</v>
      </c>
      <c r="U2785" s="12">
        <v>0.94578817753558442</v>
      </c>
      <c r="V2785" s="12">
        <v>300.032917</v>
      </c>
      <c r="W2785" s="12">
        <v>11.65669381774798</v>
      </c>
      <c r="X2785" s="12">
        <v>106.5996110639049</v>
      </c>
      <c r="Y2785" s="12">
        <v>3146.3933411767548</v>
      </c>
      <c r="Z2785" s="12">
        <v>3.3142788649634878</v>
      </c>
      <c r="AA2785" s="12"/>
      <c r="AB2785" s="12"/>
    </row>
    <row r="2786" spans="1:28" x14ac:dyDescent="0.3">
      <c r="A2786" s="12" t="s">
        <v>4704</v>
      </c>
      <c r="B2786" s="12" t="s">
        <v>198</v>
      </c>
      <c r="C2786" s="12" t="s">
        <v>496</v>
      </c>
      <c r="D2786" s="12" t="s">
        <v>4627</v>
      </c>
      <c r="E2786" s="12" t="s">
        <v>4403</v>
      </c>
      <c r="F2786" s="12" t="s">
        <v>32</v>
      </c>
      <c r="G2786" s="12" t="s">
        <v>32</v>
      </c>
      <c r="H2786" s="12" t="b">
        <v>1</v>
      </c>
      <c r="I2786" s="12" t="b">
        <v>1</v>
      </c>
      <c r="J2786" s="12" t="b">
        <v>0</v>
      </c>
      <c r="K2786" s="12" t="b">
        <v>0</v>
      </c>
      <c r="L2786" s="12">
        <v>623.15</v>
      </c>
      <c r="M2786" s="12">
        <v>300.032917</v>
      </c>
      <c r="N2786" s="12">
        <v>4505.950043184831</v>
      </c>
      <c r="O2786" s="12">
        <v>1359.5567020080759</v>
      </c>
      <c r="P2786" s="12">
        <v>0.82947803278088494</v>
      </c>
      <c r="Q2786" s="12">
        <v>0.94605590745864798</v>
      </c>
      <c r="R2786" s="12">
        <v>0.83753427271834879</v>
      </c>
      <c r="S2786" s="12">
        <v>0.4963658855761367</v>
      </c>
      <c r="T2786" s="12">
        <v>0.95</v>
      </c>
      <c r="U2786" s="12">
        <v>0.94578817753558442</v>
      </c>
      <c r="V2786" s="12">
        <v>300.032917</v>
      </c>
      <c r="W2786" s="12">
        <v>11.84996648600961</v>
      </c>
      <c r="X2786" s="12">
        <v>122.1763562268776</v>
      </c>
      <c r="Y2786" s="12">
        <v>3146.3933411767548</v>
      </c>
      <c r="Z2786" s="12">
        <v>3.3142788649634878</v>
      </c>
      <c r="AA2786" s="12"/>
      <c r="AB2786" s="12"/>
    </row>
    <row r="2787" spans="1:28" x14ac:dyDescent="0.3">
      <c r="A2787" s="12" t="s">
        <v>4705</v>
      </c>
      <c r="B2787" s="12" t="s">
        <v>198</v>
      </c>
      <c r="C2787" s="12" t="s">
        <v>496</v>
      </c>
      <c r="D2787" s="12" t="s">
        <v>4627</v>
      </c>
      <c r="E2787" s="12" t="s">
        <v>4403</v>
      </c>
      <c r="F2787" s="12" t="s">
        <v>32</v>
      </c>
      <c r="G2787" s="12" t="s">
        <v>32</v>
      </c>
      <c r="H2787" s="12" t="b">
        <v>1</v>
      </c>
      <c r="I2787" s="12" t="b">
        <v>1</v>
      </c>
      <c r="J2787" s="12" t="b">
        <v>0</v>
      </c>
      <c r="K2787" s="12" t="b">
        <v>0</v>
      </c>
      <c r="L2787" s="12">
        <v>623.15</v>
      </c>
      <c r="M2787" s="12">
        <v>300.032917</v>
      </c>
      <c r="N2787" s="12">
        <v>4505.950043184831</v>
      </c>
      <c r="O2787" s="12">
        <v>1359.5567020080759</v>
      </c>
      <c r="P2787" s="12">
        <v>0.82947803278088494</v>
      </c>
      <c r="Q2787" s="12">
        <v>0.94605590745864798</v>
      </c>
      <c r="R2787" s="12">
        <v>0.83753427271834879</v>
      </c>
      <c r="S2787" s="12">
        <v>0.4963658855761367</v>
      </c>
      <c r="T2787" s="12">
        <v>0.86167759460772864</v>
      </c>
      <c r="U2787" s="12">
        <v>0.94578817753558442</v>
      </c>
      <c r="V2787" s="12">
        <v>300.032917</v>
      </c>
      <c r="W2787" s="12">
        <v>11.71838232772458</v>
      </c>
      <c r="X2787" s="12">
        <v>121.4388429925461</v>
      </c>
      <c r="Y2787" s="12">
        <v>3146.3933411767548</v>
      </c>
      <c r="Z2787" s="12">
        <v>3.3142788649634878</v>
      </c>
      <c r="AA2787" s="12"/>
      <c r="AB2787" s="12"/>
    </row>
    <row r="2788" spans="1:28" x14ac:dyDescent="0.3">
      <c r="A2788" s="12" t="s">
        <v>4706</v>
      </c>
      <c r="B2788" s="12" t="s">
        <v>198</v>
      </c>
      <c r="C2788" s="12" t="s">
        <v>496</v>
      </c>
      <c r="D2788" s="12" t="s">
        <v>4627</v>
      </c>
      <c r="E2788" s="12" t="s">
        <v>4403</v>
      </c>
      <c r="F2788" s="12" t="s">
        <v>32</v>
      </c>
      <c r="G2788" s="12" t="s">
        <v>32</v>
      </c>
      <c r="H2788" s="12" t="b">
        <v>1</v>
      </c>
      <c r="I2788" s="12" t="b">
        <v>1</v>
      </c>
      <c r="J2788" s="12" t="b">
        <v>0</v>
      </c>
      <c r="K2788" s="12" t="b">
        <v>0</v>
      </c>
      <c r="L2788" s="12">
        <v>623.15</v>
      </c>
      <c r="M2788" s="12">
        <v>300.032917</v>
      </c>
      <c r="N2788" s="12">
        <v>4505.950043184831</v>
      </c>
      <c r="O2788" s="12">
        <v>1359.5567020080759</v>
      </c>
      <c r="P2788" s="12">
        <v>0.82947803278088494</v>
      </c>
      <c r="Q2788" s="12">
        <v>0.94605590745864798</v>
      </c>
      <c r="R2788" s="12">
        <v>0.83753427271834879</v>
      </c>
      <c r="S2788" s="12">
        <v>0.4963658855761367</v>
      </c>
      <c r="T2788" s="12">
        <v>0.9166775946077288</v>
      </c>
      <c r="U2788" s="12">
        <v>0.95</v>
      </c>
      <c r="V2788" s="12">
        <v>300.032917</v>
      </c>
      <c r="W2788" s="12">
        <v>11.764645032319089</v>
      </c>
      <c r="X2788" s="12">
        <v>121.70373168217159</v>
      </c>
      <c r="Y2788" s="12">
        <v>3146.3933411767548</v>
      </c>
      <c r="Z2788" s="12">
        <v>3.3142788649634878</v>
      </c>
      <c r="AA2788" s="12"/>
      <c r="AB2788" s="12"/>
    </row>
    <row r="2789" spans="1:28" x14ac:dyDescent="0.3">
      <c r="A2789" s="12" t="s">
        <v>4707</v>
      </c>
      <c r="B2789" s="12" t="s">
        <v>198</v>
      </c>
      <c r="C2789" s="12" t="s">
        <v>496</v>
      </c>
      <c r="D2789" s="12" t="s">
        <v>4627</v>
      </c>
      <c r="E2789" s="12" t="s">
        <v>4403</v>
      </c>
      <c r="F2789" s="12" t="s">
        <v>1861</v>
      </c>
      <c r="G2789" s="12" t="s">
        <v>1861</v>
      </c>
      <c r="H2789" s="12" t="b">
        <v>1</v>
      </c>
      <c r="I2789" s="12" t="b">
        <v>0</v>
      </c>
      <c r="J2789" s="12" t="b">
        <v>0</v>
      </c>
      <c r="K2789" s="12" t="b">
        <v>0</v>
      </c>
      <c r="L2789" s="12">
        <v>623.15</v>
      </c>
      <c r="M2789" s="12">
        <v>300.032917</v>
      </c>
      <c r="N2789" s="12">
        <v>4505.950043184831</v>
      </c>
      <c r="O2789" s="12">
        <v>1359.5567020080759</v>
      </c>
      <c r="P2789" s="12">
        <v>0.82947803278088494</v>
      </c>
      <c r="Q2789" s="12">
        <v>0.94605590745864798</v>
      </c>
      <c r="R2789" s="12">
        <v>0.83753427271834879</v>
      </c>
      <c r="S2789" s="12">
        <v>0.4963658855761367</v>
      </c>
      <c r="T2789" s="12">
        <v>0.9166775946077288</v>
      </c>
      <c r="U2789" s="12">
        <v>0.89078817753558437</v>
      </c>
      <c r="V2789" s="12">
        <v>300.032917</v>
      </c>
      <c r="W2789" s="12">
        <v>12.25927557620339</v>
      </c>
      <c r="X2789" s="12">
        <v>124.1368294245121</v>
      </c>
      <c r="Y2789" s="12">
        <v>3146.3933411767548</v>
      </c>
      <c r="Z2789" s="12">
        <v>3.3142788649634878</v>
      </c>
      <c r="AA2789" s="12" t="s">
        <v>1268</v>
      </c>
      <c r="AB2789" s="12"/>
    </row>
    <row r="2790" spans="1:28" x14ac:dyDescent="0.3">
      <c r="A2790" s="12" t="s">
        <v>4708</v>
      </c>
      <c r="B2790" s="12" t="s">
        <v>198</v>
      </c>
      <c r="C2790" s="12" t="s">
        <v>496</v>
      </c>
      <c r="D2790" s="12" t="s">
        <v>4627</v>
      </c>
      <c r="E2790" s="12" t="s">
        <v>4403</v>
      </c>
      <c r="F2790" s="12" t="s">
        <v>32</v>
      </c>
      <c r="G2790" s="12" t="s">
        <v>32</v>
      </c>
      <c r="H2790" s="12" t="b">
        <v>1</v>
      </c>
      <c r="I2790" s="12" t="b">
        <v>1</v>
      </c>
      <c r="J2790" s="12" t="b">
        <v>0</v>
      </c>
      <c r="K2790" s="12" t="b">
        <v>0</v>
      </c>
      <c r="L2790" s="12">
        <v>623.15</v>
      </c>
      <c r="M2790" s="12">
        <v>300.032917</v>
      </c>
      <c r="N2790" s="12">
        <v>5000</v>
      </c>
      <c r="O2790" s="12">
        <v>1359.5567020080759</v>
      </c>
      <c r="P2790" s="12">
        <v>0.82947803278088494</v>
      </c>
      <c r="Q2790" s="12">
        <v>0.94605590745864798</v>
      </c>
      <c r="R2790" s="12">
        <v>0.83753427271834879</v>
      </c>
      <c r="S2790" s="12">
        <v>0.4963658855761367</v>
      </c>
      <c r="T2790" s="12">
        <v>0.9166775946077288</v>
      </c>
      <c r="U2790" s="12">
        <v>0.94578817753558442</v>
      </c>
      <c r="V2790" s="12">
        <v>300.032917</v>
      </c>
      <c r="W2790" s="12">
        <v>12.6634113366047</v>
      </c>
      <c r="X2790" s="12">
        <v>129.95446166082581</v>
      </c>
      <c r="Y2790" s="12">
        <v>3640.4432979919238</v>
      </c>
      <c r="Z2790" s="12">
        <v>3.6776693407600871</v>
      </c>
      <c r="AA2790" s="12"/>
      <c r="AB2790" s="12"/>
    </row>
    <row r="2791" spans="1:28" x14ac:dyDescent="0.3">
      <c r="A2791" s="12" t="s">
        <v>4709</v>
      </c>
      <c r="B2791" s="12" t="s">
        <v>198</v>
      </c>
      <c r="C2791" s="12" t="s">
        <v>496</v>
      </c>
      <c r="D2791" s="12" t="s">
        <v>4627</v>
      </c>
      <c r="E2791" s="12" t="s">
        <v>4403</v>
      </c>
      <c r="F2791" s="12" t="s">
        <v>32</v>
      </c>
      <c r="G2791" s="12" t="s">
        <v>32</v>
      </c>
      <c r="H2791" s="12" t="b">
        <v>1</v>
      </c>
      <c r="I2791" s="12" t="b">
        <v>1</v>
      </c>
      <c r="J2791" s="12" t="b">
        <v>0</v>
      </c>
      <c r="K2791" s="12" t="b">
        <v>0</v>
      </c>
      <c r="L2791" s="12">
        <v>623.15</v>
      </c>
      <c r="M2791" s="12">
        <v>300.032917</v>
      </c>
      <c r="N2791" s="12">
        <v>4505.950043184831</v>
      </c>
      <c r="O2791" s="12">
        <v>1359.5567020080759</v>
      </c>
      <c r="P2791" s="12">
        <v>0.82947803278088494</v>
      </c>
      <c r="Q2791" s="12">
        <v>0.94605590745864798</v>
      </c>
      <c r="R2791" s="12">
        <v>0.83753427271834879</v>
      </c>
      <c r="S2791" s="12">
        <v>0.4963658855761367</v>
      </c>
      <c r="T2791" s="12">
        <v>0.9166775946077288</v>
      </c>
      <c r="U2791" s="12">
        <v>0.94578817753558442</v>
      </c>
      <c r="V2791" s="12">
        <v>300.032917</v>
      </c>
      <c r="W2791" s="12">
        <v>11.800355021920421</v>
      </c>
      <c r="X2791" s="12">
        <v>121.8992533340864</v>
      </c>
      <c r="Y2791" s="12">
        <v>3146.3933411767548</v>
      </c>
      <c r="Z2791" s="12">
        <v>3.3142788649634878</v>
      </c>
      <c r="AA2791" s="12"/>
      <c r="AB2791" s="12"/>
    </row>
    <row r="2792" spans="1:28" x14ac:dyDescent="0.3">
      <c r="A2792" s="12" t="s">
        <v>4710</v>
      </c>
      <c r="B2792" s="12" t="s">
        <v>198</v>
      </c>
      <c r="C2792" s="12" t="s">
        <v>496</v>
      </c>
      <c r="D2792" s="12" t="s">
        <v>4627</v>
      </c>
      <c r="E2792" s="12" t="s">
        <v>4403</v>
      </c>
      <c r="F2792" s="12" t="s">
        <v>32</v>
      </c>
      <c r="G2792" s="12" t="s">
        <v>32</v>
      </c>
      <c r="H2792" s="12" t="b">
        <v>1</v>
      </c>
      <c r="I2792" s="12" t="b">
        <v>1</v>
      </c>
      <c r="J2792" s="12" t="b">
        <v>0</v>
      </c>
      <c r="K2792" s="12" t="b">
        <v>0</v>
      </c>
      <c r="L2792" s="12">
        <v>623.15</v>
      </c>
      <c r="M2792" s="12">
        <v>300.032917</v>
      </c>
      <c r="N2792" s="12">
        <v>4805.950043184831</v>
      </c>
      <c r="O2792" s="12">
        <v>1579.5567020080759</v>
      </c>
      <c r="P2792" s="12">
        <v>0.82947803278088494</v>
      </c>
      <c r="Q2792" s="12">
        <v>0.94605590745864798</v>
      </c>
      <c r="R2792" s="12">
        <v>0.83753427271834879</v>
      </c>
      <c r="S2792" s="12">
        <v>0.4963658855761367</v>
      </c>
      <c r="T2792" s="12">
        <v>0.9166775946077288</v>
      </c>
      <c r="U2792" s="12">
        <v>0.94578817753558442</v>
      </c>
      <c r="V2792" s="12">
        <v>300.032917</v>
      </c>
      <c r="W2792" s="12">
        <v>10.933275551989871</v>
      </c>
      <c r="X2792" s="12">
        <v>112.4687519890408</v>
      </c>
      <c r="Y2792" s="12">
        <v>3226.3933411767548</v>
      </c>
      <c r="Z2792" s="12">
        <v>3.0425941892906221</v>
      </c>
      <c r="AA2792" s="12"/>
      <c r="AB2792" s="12"/>
    </row>
    <row r="2793" spans="1:28" x14ac:dyDescent="0.3">
      <c r="A2793" s="12" t="s">
        <v>4711</v>
      </c>
      <c r="B2793" s="12" t="s">
        <v>198</v>
      </c>
      <c r="C2793" s="12" t="s">
        <v>496</v>
      </c>
      <c r="D2793" s="12" t="s">
        <v>4627</v>
      </c>
      <c r="E2793" s="12" t="s">
        <v>4403</v>
      </c>
      <c r="F2793" s="12" t="s">
        <v>1861</v>
      </c>
      <c r="G2793" s="12" t="s">
        <v>1861</v>
      </c>
      <c r="H2793" s="12" t="b">
        <v>1</v>
      </c>
      <c r="I2793" s="12" t="b">
        <v>0</v>
      </c>
      <c r="J2793" s="12" t="b">
        <v>0</v>
      </c>
      <c r="K2793" s="12" t="b">
        <v>0</v>
      </c>
      <c r="L2793" s="12">
        <v>623.15</v>
      </c>
      <c r="M2793" s="12">
        <v>300.032917</v>
      </c>
      <c r="N2793" s="12">
        <v>4805.950043184831</v>
      </c>
      <c r="O2793" s="12">
        <v>1139.5567020080771</v>
      </c>
      <c r="P2793" s="12">
        <v>0.82947803278088494</v>
      </c>
      <c r="Q2793" s="12">
        <v>0.94605590745864798</v>
      </c>
      <c r="R2793" s="12">
        <v>0.83753427271834879</v>
      </c>
      <c r="S2793" s="12">
        <v>0.4963658855761367</v>
      </c>
      <c r="T2793" s="12">
        <v>0.9166775946077288</v>
      </c>
      <c r="U2793" s="12">
        <v>0.94578817753558442</v>
      </c>
      <c r="V2793" s="12">
        <v>300.032917</v>
      </c>
      <c r="W2793" s="12">
        <v>13.962566142237129</v>
      </c>
      <c r="X2793" s="12">
        <v>143.69024709873071</v>
      </c>
      <c r="Y2793" s="12">
        <v>3666.393341176753</v>
      </c>
      <c r="Z2793" s="12">
        <v>4.2173856155784062</v>
      </c>
      <c r="AA2793" s="12" t="s">
        <v>1268</v>
      </c>
      <c r="AB2793" s="12"/>
    </row>
    <row r="2794" spans="1:28" x14ac:dyDescent="0.3">
      <c r="A2794" s="12" t="s">
        <v>4712</v>
      </c>
      <c r="B2794" s="12" t="s">
        <v>198</v>
      </c>
      <c r="C2794" s="12" t="s">
        <v>496</v>
      </c>
      <c r="D2794" s="12" t="s">
        <v>4627</v>
      </c>
      <c r="E2794" s="12" t="s">
        <v>4403</v>
      </c>
      <c r="F2794" s="12" t="s">
        <v>32</v>
      </c>
      <c r="G2794" s="12" t="s">
        <v>32</v>
      </c>
      <c r="H2794" s="12" t="b">
        <v>1</v>
      </c>
      <c r="I2794" s="12" t="b">
        <v>1</v>
      </c>
      <c r="J2794" s="12" t="b">
        <v>0</v>
      </c>
      <c r="K2794" s="12" t="b">
        <v>0</v>
      </c>
      <c r="L2794" s="12">
        <v>623.15</v>
      </c>
      <c r="M2794" s="12">
        <v>300.032917</v>
      </c>
      <c r="N2794" s="12">
        <v>4805.950043184831</v>
      </c>
      <c r="O2794" s="12">
        <v>1359.5567020080759</v>
      </c>
      <c r="P2794" s="12">
        <v>0.85</v>
      </c>
      <c r="Q2794" s="12">
        <v>0.94605590745864798</v>
      </c>
      <c r="R2794" s="12">
        <v>0.83753427271834879</v>
      </c>
      <c r="S2794" s="12">
        <v>0.4963658855761367</v>
      </c>
      <c r="T2794" s="12">
        <v>0.9166775946077288</v>
      </c>
      <c r="U2794" s="12">
        <v>0.94578817753558442</v>
      </c>
      <c r="V2794" s="12">
        <v>300.032917</v>
      </c>
      <c r="W2794" s="12">
        <v>12.41425267835023</v>
      </c>
      <c r="X2794" s="12">
        <v>126.40817802535339</v>
      </c>
      <c r="Y2794" s="12">
        <v>3446.3933411767548</v>
      </c>
      <c r="Z2794" s="12">
        <v>3.5349390254090931</v>
      </c>
      <c r="AA2794" s="12"/>
      <c r="AB2794" s="12"/>
    </row>
    <row r="2795" spans="1:28" x14ac:dyDescent="0.3">
      <c r="A2795" s="12" t="s">
        <v>4713</v>
      </c>
      <c r="B2795" s="12" t="s">
        <v>198</v>
      </c>
      <c r="C2795" s="12" t="s">
        <v>496</v>
      </c>
      <c r="D2795" s="12" t="s">
        <v>4627</v>
      </c>
      <c r="E2795" s="12" t="s">
        <v>4403</v>
      </c>
      <c r="F2795" s="12" t="s">
        <v>32</v>
      </c>
      <c r="G2795" s="12" t="s">
        <v>32</v>
      </c>
      <c r="H2795" s="12" t="b">
        <v>1</v>
      </c>
      <c r="I2795" s="12" t="b">
        <v>1</v>
      </c>
      <c r="J2795" s="12" t="b">
        <v>0</v>
      </c>
      <c r="K2795" s="12" t="b">
        <v>0</v>
      </c>
      <c r="L2795" s="12">
        <v>623.15</v>
      </c>
      <c r="M2795" s="12">
        <v>300.032917</v>
      </c>
      <c r="N2795" s="12">
        <v>4805.950043184831</v>
      </c>
      <c r="O2795" s="12">
        <v>1359.5567020080759</v>
      </c>
      <c r="P2795" s="12">
        <v>0.79447803278088491</v>
      </c>
      <c r="Q2795" s="12">
        <v>0.94605590745864798</v>
      </c>
      <c r="R2795" s="12">
        <v>0.83753427271834879</v>
      </c>
      <c r="S2795" s="12">
        <v>0.4963658855761367</v>
      </c>
      <c r="T2795" s="12">
        <v>0.9166775946077288</v>
      </c>
      <c r="U2795" s="12">
        <v>0.94578817753558442</v>
      </c>
      <c r="V2795" s="12">
        <v>300.032917</v>
      </c>
      <c r="W2795" s="12">
        <v>12.140506053185231</v>
      </c>
      <c r="X2795" s="12">
        <v>127.0526939559924</v>
      </c>
      <c r="Y2795" s="12">
        <v>3446.3933411767548</v>
      </c>
      <c r="Z2795" s="12">
        <v>3.5349390254090931</v>
      </c>
      <c r="AA2795" s="12"/>
      <c r="AB2795" s="12"/>
    </row>
    <row r="2796" spans="1:28" x14ac:dyDescent="0.3">
      <c r="A2796" s="12" t="s">
        <v>4714</v>
      </c>
      <c r="B2796" s="12" t="s">
        <v>198</v>
      </c>
      <c r="C2796" s="12" t="s">
        <v>496</v>
      </c>
      <c r="D2796" s="12" t="s">
        <v>4627</v>
      </c>
      <c r="E2796" s="12" t="s">
        <v>4403</v>
      </c>
      <c r="F2796" s="12" t="s">
        <v>32</v>
      </c>
      <c r="G2796" s="12" t="s">
        <v>32</v>
      </c>
      <c r="H2796" s="12" t="b">
        <v>1</v>
      </c>
      <c r="I2796" s="12" t="b">
        <v>1</v>
      </c>
      <c r="J2796" s="12" t="b">
        <v>0</v>
      </c>
      <c r="K2796" s="12" t="b">
        <v>0</v>
      </c>
      <c r="L2796" s="12">
        <v>623.15</v>
      </c>
      <c r="M2796" s="12">
        <v>300.032917</v>
      </c>
      <c r="N2796" s="12">
        <v>4805.950043184831</v>
      </c>
      <c r="O2796" s="12">
        <v>1359.5567020080759</v>
      </c>
      <c r="P2796" s="12">
        <v>0.82947803278088494</v>
      </c>
      <c r="Q2796" s="12">
        <v>0.95</v>
      </c>
      <c r="R2796" s="12">
        <v>0.83753427271834879</v>
      </c>
      <c r="S2796" s="12">
        <v>0.4963658855761367</v>
      </c>
      <c r="T2796" s="12">
        <v>0.9166775946077288</v>
      </c>
      <c r="U2796" s="12">
        <v>0.94578817753558442</v>
      </c>
      <c r="V2796" s="12">
        <v>300.032917</v>
      </c>
      <c r="W2796" s="12">
        <v>12.392640245871551</v>
      </c>
      <c r="X2796" s="12">
        <v>127.50657672900471</v>
      </c>
      <c r="Y2796" s="12">
        <v>3446.3933411767548</v>
      </c>
      <c r="Z2796" s="12">
        <v>3.5349390254090931</v>
      </c>
      <c r="AA2796" s="12"/>
      <c r="AB2796" s="12"/>
    </row>
    <row r="2797" spans="1:28" x14ac:dyDescent="0.3">
      <c r="A2797" s="12" t="s">
        <v>4715</v>
      </c>
      <c r="B2797" s="12" t="s">
        <v>198</v>
      </c>
      <c r="C2797" s="12" t="s">
        <v>496</v>
      </c>
      <c r="D2797" s="12" t="s">
        <v>4627</v>
      </c>
      <c r="E2797" s="12" t="s">
        <v>4403</v>
      </c>
      <c r="F2797" s="12" t="s">
        <v>32</v>
      </c>
      <c r="G2797" s="12" t="s">
        <v>32</v>
      </c>
      <c r="H2797" s="12" t="b">
        <v>1</v>
      </c>
      <c r="I2797" s="12" t="b">
        <v>1</v>
      </c>
      <c r="J2797" s="12" t="b">
        <v>0</v>
      </c>
      <c r="K2797" s="12" t="b">
        <v>0</v>
      </c>
      <c r="L2797" s="12">
        <v>623.15</v>
      </c>
      <c r="M2797" s="12">
        <v>300.032917</v>
      </c>
      <c r="N2797" s="12">
        <v>4805.950043184831</v>
      </c>
      <c r="O2797" s="12">
        <v>1359.5567020080759</v>
      </c>
      <c r="P2797" s="12">
        <v>0.82947803278088494</v>
      </c>
      <c r="Q2797" s="12">
        <v>0.89105590745864793</v>
      </c>
      <c r="R2797" s="12">
        <v>0.83753427271834879</v>
      </c>
      <c r="S2797" s="12">
        <v>0.4963658855761367</v>
      </c>
      <c r="T2797" s="12">
        <v>0.9166775946077288</v>
      </c>
      <c r="U2797" s="12">
        <v>0.94578817753558442</v>
      </c>
      <c r="V2797" s="12">
        <v>300.032917</v>
      </c>
      <c r="W2797" s="12">
        <v>11.59034005215268</v>
      </c>
      <c r="X2797" s="12">
        <v>119.2329669050889</v>
      </c>
      <c r="Y2797" s="12">
        <v>3446.3933411767548</v>
      </c>
      <c r="Z2797" s="12">
        <v>3.5349390254090931</v>
      </c>
      <c r="AA2797" s="12"/>
      <c r="AB2797" s="12"/>
    </row>
    <row r="2798" spans="1:28" x14ac:dyDescent="0.3">
      <c r="A2798" s="12" t="s">
        <v>4716</v>
      </c>
      <c r="B2798" s="12" t="s">
        <v>198</v>
      </c>
      <c r="C2798" s="12" t="s">
        <v>496</v>
      </c>
      <c r="D2798" s="12" t="s">
        <v>4627</v>
      </c>
      <c r="E2798" s="12" t="s">
        <v>4403</v>
      </c>
      <c r="F2798" s="12" t="s">
        <v>32</v>
      </c>
      <c r="G2798" s="12" t="s">
        <v>32</v>
      </c>
      <c r="H2798" s="12" t="b">
        <v>1</v>
      </c>
      <c r="I2798" s="12" t="b">
        <v>1</v>
      </c>
      <c r="J2798" s="12" t="b">
        <v>0</v>
      </c>
      <c r="K2798" s="12" t="b">
        <v>0</v>
      </c>
      <c r="L2798" s="12">
        <v>623.15</v>
      </c>
      <c r="M2798" s="12">
        <v>300.032917</v>
      </c>
      <c r="N2798" s="12">
        <v>4805.950043184831</v>
      </c>
      <c r="O2798" s="12">
        <v>1359.5567020080759</v>
      </c>
      <c r="P2798" s="12">
        <v>0.82947803278088494</v>
      </c>
      <c r="Q2798" s="12">
        <v>0.94605590745864798</v>
      </c>
      <c r="R2798" s="12">
        <v>0.89253427271834873</v>
      </c>
      <c r="S2798" s="12">
        <v>0.4963658855761367</v>
      </c>
      <c r="T2798" s="12">
        <v>0.9166775946077288</v>
      </c>
      <c r="U2798" s="12">
        <v>0.94578817753558442</v>
      </c>
      <c r="V2798" s="12">
        <v>300.032917</v>
      </c>
      <c r="W2798" s="12">
        <v>12.372391397218861</v>
      </c>
      <c r="X2798" s="12">
        <v>127.3138768095758</v>
      </c>
      <c r="Y2798" s="12">
        <v>3446.3933411767548</v>
      </c>
      <c r="Z2798" s="12">
        <v>3.5349390254090931</v>
      </c>
      <c r="AA2798" s="12"/>
      <c r="AB2798" s="12"/>
    </row>
    <row r="2799" spans="1:28" x14ac:dyDescent="0.3">
      <c r="A2799" s="12" t="s">
        <v>4717</v>
      </c>
      <c r="B2799" s="12" t="s">
        <v>198</v>
      </c>
      <c r="C2799" s="12" t="s">
        <v>496</v>
      </c>
      <c r="D2799" s="12" t="s">
        <v>4627</v>
      </c>
      <c r="E2799" s="12" t="s">
        <v>4403</v>
      </c>
      <c r="F2799" s="12" t="s">
        <v>32</v>
      </c>
      <c r="G2799" s="12" t="s">
        <v>32</v>
      </c>
      <c r="H2799" s="12" t="b">
        <v>1</v>
      </c>
      <c r="I2799" s="12" t="b">
        <v>1</v>
      </c>
      <c r="J2799" s="12" t="b">
        <v>0</v>
      </c>
      <c r="K2799" s="12" t="b">
        <v>0</v>
      </c>
      <c r="L2799" s="12">
        <v>623.15</v>
      </c>
      <c r="M2799" s="12">
        <v>300.032917</v>
      </c>
      <c r="N2799" s="12">
        <v>4805.950043184831</v>
      </c>
      <c r="O2799" s="12">
        <v>1359.5567020080759</v>
      </c>
      <c r="P2799" s="12">
        <v>0.82947803278088494</v>
      </c>
      <c r="Q2799" s="12">
        <v>0.94605590745864798</v>
      </c>
      <c r="R2799" s="12">
        <v>0.78253427271834886</v>
      </c>
      <c r="S2799" s="12">
        <v>0.4963658855761367</v>
      </c>
      <c r="T2799" s="12">
        <v>0.9166775946077288</v>
      </c>
      <c r="U2799" s="12">
        <v>0.94578817753558442</v>
      </c>
      <c r="V2799" s="12">
        <v>300.032917</v>
      </c>
      <c r="W2799" s="12">
        <v>12.300847056642191</v>
      </c>
      <c r="X2799" s="12">
        <v>126.54152766945521</v>
      </c>
      <c r="Y2799" s="12">
        <v>3446.3933411767548</v>
      </c>
      <c r="Z2799" s="12">
        <v>3.5349390254090931</v>
      </c>
      <c r="AA2799" s="12"/>
      <c r="AB2799" s="12"/>
    </row>
    <row r="2800" spans="1:28" x14ac:dyDescent="0.3">
      <c r="A2800" s="12" t="s">
        <v>4718</v>
      </c>
      <c r="B2800" s="12" t="s">
        <v>198</v>
      </c>
      <c r="C2800" s="12" t="s">
        <v>496</v>
      </c>
      <c r="D2800" s="12" t="s">
        <v>4627</v>
      </c>
      <c r="E2800" s="12" t="s">
        <v>4403</v>
      </c>
      <c r="F2800" s="12" t="s">
        <v>832</v>
      </c>
      <c r="G2800" s="12" t="s">
        <v>832</v>
      </c>
      <c r="H2800" s="12" t="b">
        <v>0</v>
      </c>
      <c r="I2800" s="12" t="b">
        <v>0</v>
      </c>
      <c r="J2800" s="12" t="b">
        <v>0</v>
      </c>
      <c r="K2800" s="12" t="b">
        <v>0</v>
      </c>
      <c r="L2800" s="12">
        <v>623.15</v>
      </c>
      <c r="M2800" s="12">
        <v>300.032917</v>
      </c>
      <c r="N2800" s="12">
        <v>4805.950043184831</v>
      </c>
      <c r="O2800" s="12">
        <v>1359.5567020080759</v>
      </c>
      <c r="P2800" s="12">
        <v>0.82947803278088494</v>
      </c>
      <c r="Q2800" s="12">
        <v>0.94605590745864798</v>
      </c>
      <c r="R2800" s="12">
        <v>0.83753427271834879</v>
      </c>
      <c r="S2800" s="12">
        <v>0.55136588557613675</v>
      </c>
      <c r="T2800" s="12">
        <v>0.9166775946077288</v>
      </c>
      <c r="U2800" s="12">
        <v>0.94578817753558442</v>
      </c>
      <c r="V2800" s="12">
        <v>300.032917</v>
      </c>
      <c r="W2800" s="12"/>
      <c r="X2800" s="12"/>
      <c r="Y2800" s="12">
        <v>3446.3933411767548</v>
      </c>
      <c r="Z2800" s="12">
        <v>3.5349390254090931</v>
      </c>
      <c r="AA2800" s="12"/>
      <c r="AB2800" s="12"/>
    </row>
    <row r="2801" spans="1:28" x14ac:dyDescent="0.3">
      <c r="A2801" s="12" t="s">
        <v>4719</v>
      </c>
      <c r="B2801" s="12" t="s">
        <v>198</v>
      </c>
      <c r="C2801" s="12" t="s">
        <v>496</v>
      </c>
      <c r="D2801" s="12" t="s">
        <v>4627</v>
      </c>
      <c r="E2801" s="12" t="s">
        <v>4403</v>
      </c>
      <c r="F2801" s="12" t="s">
        <v>32</v>
      </c>
      <c r="G2801" s="12" t="s">
        <v>32</v>
      </c>
      <c r="H2801" s="12" t="b">
        <v>1</v>
      </c>
      <c r="I2801" s="12" t="b">
        <v>1</v>
      </c>
      <c r="J2801" s="12" t="b">
        <v>0</v>
      </c>
      <c r="K2801" s="12" t="b">
        <v>0</v>
      </c>
      <c r="L2801" s="12">
        <v>623.15</v>
      </c>
      <c r="M2801" s="12">
        <v>300.032917</v>
      </c>
      <c r="N2801" s="12">
        <v>4805.950043184831</v>
      </c>
      <c r="O2801" s="12">
        <v>1359.5567020080759</v>
      </c>
      <c r="P2801" s="12">
        <v>0.82947803278088494</v>
      </c>
      <c r="Q2801" s="12">
        <v>0.94605590745864798</v>
      </c>
      <c r="R2801" s="12">
        <v>0.83753427271834879</v>
      </c>
      <c r="S2801" s="12">
        <v>0.44136588557613671</v>
      </c>
      <c r="T2801" s="12">
        <v>0.9166775946077288</v>
      </c>
      <c r="U2801" s="12">
        <v>0.94578817753558442</v>
      </c>
      <c r="V2801" s="12">
        <v>300.032917</v>
      </c>
      <c r="W2801" s="12">
        <v>12.17975778584519</v>
      </c>
      <c r="X2801" s="12">
        <v>110.86557930749581</v>
      </c>
      <c r="Y2801" s="12">
        <v>3446.3933411767548</v>
      </c>
      <c r="Z2801" s="12">
        <v>3.5349390254090931</v>
      </c>
      <c r="AA2801" s="12"/>
      <c r="AB2801" s="12"/>
    </row>
    <row r="2802" spans="1:28" x14ac:dyDescent="0.3">
      <c r="A2802" s="12" t="s">
        <v>4720</v>
      </c>
      <c r="B2802" s="12" t="s">
        <v>198</v>
      </c>
      <c r="C2802" s="12" t="s">
        <v>496</v>
      </c>
      <c r="D2802" s="12" t="s">
        <v>4627</v>
      </c>
      <c r="E2802" s="12" t="s">
        <v>4403</v>
      </c>
      <c r="F2802" s="12" t="s">
        <v>32</v>
      </c>
      <c r="G2802" s="12" t="s">
        <v>32</v>
      </c>
      <c r="H2802" s="12" t="b">
        <v>1</v>
      </c>
      <c r="I2802" s="12" t="b">
        <v>1</v>
      </c>
      <c r="J2802" s="12" t="b">
        <v>0</v>
      </c>
      <c r="K2802" s="12" t="b">
        <v>0</v>
      </c>
      <c r="L2802" s="12">
        <v>623.15</v>
      </c>
      <c r="M2802" s="12">
        <v>300.032917</v>
      </c>
      <c r="N2802" s="12">
        <v>4805.950043184831</v>
      </c>
      <c r="O2802" s="12">
        <v>1359.5567020080759</v>
      </c>
      <c r="P2802" s="12">
        <v>0.82947803278088494</v>
      </c>
      <c r="Q2802" s="12">
        <v>0.94605590745864798</v>
      </c>
      <c r="R2802" s="12">
        <v>0.83753427271834879</v>
      </c>
      <c r="S2802" s="12">
        <v>0.4963658855761367</v>
      </c>
      <c r="T2802" s="12">
        <v>0.95</v>
      </c>
      <c r="U2802" s="12">
        <v>0.94578817753558442</v>
      </c>
      <c r="V2802" s="12">
        <v>300.032917</v>
      </c>
      <c r="W2802" s="12">
        <v>12.393414286218171</v>
      </c>
      <c r="X2802" s="12">
        <v>127.2582090496567</v>
      </c>
      <c r="Y2802" s="12">
        <v>3446.3933411767548</v>
      </c>
      <c r="Z2802" s="12">
        <v>3.5349390254090931</v>
      </c>
      <c r="AA2802" s="12"/>
      <c r="AB2802" s="12"/>
    </row>
    <row r="2803" spans="1:28" x14ac:dyDescent="0.3">
      <c r="A2803" s="12" t="s">
        <v>4721</v>
      </c>
      <c r="B2803" s="12" t="s">
        <v>198</v>
      </c>
      <c r="C2803" s="12" t="s">
        <v>496</v>
      </c>
      <c r="D2803" s="12" t="s">
        <v>4627</v>
      </c>
      <c r="E2803" s="12" t="s">
        <v>4403</v>
      </c>
      <c r="F2803" s="12" t="s">
        <v>32</v>
      </c>
      <c r="G2803" s="12" t="s">
        <v>32</v>
      </c>
      <c r="H2803" s="12" t="b">
        <v>1</v>
      </c>
      <c r="I2803" s="12" t="b">
        <v>1</v>
      </c>
      <c r="J2803" s="12" t="b">
        <v>0</v>
      </c>
      <c r="K2803" s="12" t="b">
        <v>0</v>
      </c>
      <c r="L2803" s="12">
        <v>623.15</v>
      </c>
      <c r="M2803" s="12">
        <v>300.032917</v>
      </c>
      <c r="N2803" s="12">
        <v>4805.950043184831</v>
      </c>
      <c r="O2803" s="12">
        <v>1359.5567020080759</v>
      </c>
      <c r="P2803" s="12">
        <v>0.82947803278088494</v>
      </c>
      <c r="Q2803" s="12">
        <v>0.94605590745864798</v>
      </c>
      <c r="R2803" s="12">
        <v>0.83753427271834879</v>
      </c>
      <c r="S2803" s="12">
        <v>0.4963658855761367</v>
      </c>
      <c r="T2803" s="12">
        <v>0.86167759460772864</v>
      </c>
      <c r="U2803" s="12">
        <v>0.94578817753558442</v>
      </c>
      <c r="V2803" s="12">
        <v>300.032917</v>
      </c>
      <c r="W2803" s="12">
        <v>12.248994219067219</v>
      </c>
      <c r="X2803" s="12">
        <v>126.4457958443398</v>
      </c>
      <c r="Y2803" s="12">
        <v>3446.3933411767548</v>
      </c>
      <c r="Z2803" s="12">
        <v>3.5349390254090931</v>
      </c>
      <c r="AA2803" s="12"/>
      <c r="AB2803" s="12"/>
    </row>
    <row r="2804" spans="1:28" x14ac:dyDescent="0.3">
      <c r="A2804" s="12" t="s">
        <v>4722</v>
      </c>
      <c r="B2804" s="12" t="s">
        <v>198</v>
      </c>
      <c r="C2804" s="12" t="s">
        <v>496</v>
      </c>
      <c r="D2804" s="12" t="s">
        <v>4627</v>
      </c>
      <c r="E2804" s="12" t="s">
        <v>4403</v>
      </c>
      <c r="F2804" s="12" t="s">
        <v>32</v>
      </c>
      <c r="G2804" s="12" t="s">
        <v>32</v>
      </c>
      <c r="H2804" s="12" t="b">
        <v>1</v>
      </c>
      <c r="I2804" s="12" t="b">
        <v>1</v>
      </c>
      <c r="J2804" s="12" t="b">
        <v>0</v>
      </c>
      <c r="K2804" s="12" t="b">
        <v>0</v>
      </c>
      <c r="L2804" s="12">
        <v>623.15</v>
      </c>
      <c r="M2804" s="12">
        <v>300.032917</v>
      </c>
      <c r="N2804" s="12">
        <v>4805.950043184831</v>
      </c>
      <c r="O2804" s="12">
        <v>1359.5567020080759</v>
      </c>
      <c r="P2804" s="12">
        <v>0.82947803278088494</v>
      </c>
      <c r="Q2804" s="12">
        <v>0.94605590745864798</v>
      </c>
      <c r="R2804" s="12">
        <v>0.83753427271834879</v>
      </c>
      <c r="S2804" s="12">
        <v>0.4963658855761367</v>
      </c>
      <c r="T2804" s="12">
        <v>0.9166775946077288</v>
      </c>
      <c r="U2804" s="12">
        <v>0.95</v>
      </c>
      <c r="V2804" s="12">
        <v>300.032917</v>
      </c>
      <c r="W2804" s="12">
        <v>12.30191504303404</v>
      </c>
      <c r="X2804" s="12">
        <v>126.749580217851</v>
      </c>
      <c r="Y2804" s="12">
        <v>3446.3933411767548</v>
      </c>
      <c r="Z2804" s="12">
        <v>3.5349390254090931</v>
      </c>
      <c r="AA2804" s="12"/>
      <c r="AB2804" s="12"/>
    </row>
    <row r="2805" spans="1:28" x14ac:dyDescent="0.3">
      <c r="A2805" s="12" t="s">
        <v>4723</v>
      </c>
      <c r="B2805" s="12" t="s">
        <v>198</v>
      </c>
      <c r="C2805" s="12" t="s">
        <v>496</v>
      </c>
      <c r="D2805" s="12" t="s">
        <v>4627</v>
      </c>
      <c r="E2805" s="12" t="s">
        <v>4403</v>
      </c>
      <c r="F2805" s="12" t="s">
        <v>1861</v>
      </c>
      <c r="G2805" s="12" t="s">
        <v>1861</v>
      </c>
      <c r="H2805" s="12" t="b">
        <v>1</v>
      </c>
      <c r="I2805" s="12" t="b">
        <v>0</v>
      </c>
      <c r="J2805" s="12" t="b">
        <v>0</v>
      </c>
      <c r="K2805" s="12" t="b">
        <v>0</v>
      </c>
      <c r="L2805" s="12">
        <v>623.15</v>
      </c>
      <c r="M2805" s="12">
        <v>300.032917</v>
      </c>
      <c r="N2805" s="12">
        <v>4805.950043184831</v>
      </c>
      <c r="O2805" s="12">
        <v>1359.5567020080759</v>
      </c>
      <c r="P2805" s="12">
        <v>0.82947803278088494</v>
      </c>
      <c r="Q2805" s="12">
        <v>0.94605590745864798</v>
      </c>
      <c r="R2805" s="12">
        <v>0.83753427271834879</v>
      </c>
      <c r="S2805" s="12">
        <v>0.4963658855761367</v>
      </c>
      <c r="T2805" s="12">
        <v>0.9166775946077288</v>
      </c>
      <c r="U2805" s="12">
        <v>0.89078817753558437</v>
      </c>
      <c r="V2805" s="12">
        <v>300.032917</v>
      </c>
      <c r="W2805" s="12">
        <v>12.819259064193989</v>
      </c>
      <c r="X2805" s="12">
        <v>129.32797962424021</v>
      </c>
      <c r="Y2805" s="12">
        <v>3446.3933411767548</v>
      </c>
      <c r="Z2805" s="12">
        <v>3.5349390254090931</v>
      </c>
      <c r="AA2805" s="12" t="s">
        <v>1268</v>
      </c>
      <c r="AB2805" s="12"/>
    </row>
    <row r="2806" spans="1:28" x14ac:dyDescent="0.3">
      <c r="A2806" s="12" t="s">
        <v>4724</v>
      </c>
      <c r="B2806" s="12" t="s">
        <v>198</v>
      </c>
      <c r="C2806" s="12" t="s">
        <v>496</v>
      </c>
      <c r="D2806" s="12" t="s">
        <v>4627</v>
      </c>
      <c r="E2806" s="12" t="s">
        <v>4403</v>
      </c>
      <c r="F2806" s="12" t="s">
        <v>32</v>
      </c>
      <c r="G2806" s="12" t="s">
        <v>32</v>
      </c>
      <c r="H2806" s="12" t="b">
        <v>1</v>
      </c>
      <c r="I2806" s="12" t="b">
        <v>1</v>
      </c>
      <c r="J2806" s="12" t="b">
        <v>0</v>
      </c>
      <c r="K2806" s="12" t="b">
        <v>0</v>
      </c>
      <c r="L2806" s="12">
        <v>623.15</v>
      </c>
      <c r="M2806" s="12">
        <v>300.032917</v>
      </c>
      <c r="N2806" s="12">
        <v>4700</v>
      </c>
      <c r="O2806" s="12">
        <v>1359.5567020080759</v>
      </c>
      <c r="P2806" s="12">
        <v>0.82947803278088494</v>
      </c>
      <c r="Q2806" s="12">
        <v>0.94605590745864798</v>
      </c>
      <c r="R2806" s="12">
        <v>0.83753427271834879</v>
      </c>
      <c r="S2806" s="12">
        <v>0.4963658855761367</v>
      </c>
      <c r="T2806" s="12">
        <v>0.9166775946077288</v>
      </c>
      <c r="U2806" s="12">
        <v>0.94578817753558442</v>
      </c>
      <c r="V2806" s="12">
        <v>300.032917</v>
      </c>
      <c r="W2806" s="12">
        <v>12.15411321365867</v>
      </c>
      <c r="X2806" s="12">
        <v>125.2281253671833</v>
      </c>
      <c r="Y2806" s="12">
        <v>3340.4432979919238</v>
      </c>
      <c r="Z2806" s="12">
        <v>3.4570091803144809</v>
      </c>
      <c r="AA2806" s="12"/>
      <c r="AB2806" s="12"/>
    </row>
    <row r="2807" spans="1:28" x14ac:dyDescent="0.3">
      <c r="A2807" s="12" t="s">
        <v>4725</v>
      </c>
      <c r="B2807" s="12" t="s">
        <v>198</v>
      </c>
      <c r="C2807" s="12" t="s">
        <v>496</v>
      </c>
      <c r="D2807" s="12" t="s">
        <v>4627</v>
      </c>
      <c r="E2807" s="12" t="s">
        <v>4403</v>
      </c>
      <c r="F2807" s="12" t="s">
        <v>32</v>
      </c>
      <c r="G2807" s="12" t="s">
        <v>32</v>
      </c>
      <c r="H2807" s="12" t="b">
        <v>1</v>
      </c>
      <c r="I2807" s="12" t="b">
        <v>1</v>
      </c>
      <c r="J2807" s="12" t="b">
        <v>0</v>
      </c>
      <c r="K2807" s="12" t="b">
        <v>0</v>
      </c>
      <c r="L2807" s="12">
        <v>623.15</v>
      </c>
      <c r="M2807" s="12">
        <v>300.032917</v>
      </c>
      <c r="N2807" s="12">
        <v>5000</v>
      </c>
      <c r="O2807" s="12">
        <v>1579.5567020080759</v>
      </c>
      <c r="P2807" s="12">
        <v>0.82947803278088494</v>
      </c>
      <c r="Q2807" s="12">
        <v>0.94605590745864798</v>
      </c>
      <c r="R2807" s="12">
        <v>0.83753427271834879</v>
      </c>
      <c r="S2807" s="12">
        <v>0.4963658855761367</v>
      </c>
      <c r="T2807" s="12">
        <v>0.9166775946077288</v>
      </c>
      <c r="U2807" s="12">
        <v>0.94578817753558442</v>
      </c>
      <c r="V2807" s="12">
        <v>300.032917</v>
      </c>
      <c r="W2807" s="12">
        <v>11.26516362875531</v>
      </c>
      <c r="X2807" s="12">
        <v>115.5837041830696</v>
      </c>
      <c r="Y2807" s="12">
        <v>3420.4432979919238</v>
      </c>
      <c r="Z2807" s="12">
        <v>3.1654450857278782</v>
      </c>
      <c r="AA2807" s="12"/>
      <c r="AB2807" s="12"/>
    </row>
    <row r="2808" spans="1:28" x14ac:dyDescent="0.3">
      <c r="A2808" s="12" t="s">
        <v>4726</v>
      </c>
      <c r="B2808" s="12" t="s">
        <v>198</v>
      </c>
      <c r="C2808" s="12" t="s">
        <v>496</v>
      </c>
      <c r="D2808" s="12" t="s">
        <v>4627</v>
      </c>
      <c r="E2808" s="12" t="s">
        <v>4403</v>
      </c>
      <c r="F2808" s="12" t="s">
        <v>1861</v>
      </c>
      <c r="G2808" s="12" t="s">
        <v>1861</v>
      </c>
      <c r="H2808" s="12" t="b">
        <v>1</v>
      </c>
      <c r="I2808" s="12" t="b">
        <v>0</v>
      </c>
      <c r="J2808" s="12" t="b">
        <v>0</v>
      </c>
      <c r="K2808" s="12" t="b">
        <v>0</v>
      </c>
      <c r="L2808" s="12">
        <v>623.15</v>
      </c>
      <c r="M2808" s="12">
        <v>300.032917</v>
      </c>
      <c r="N2808" s="12">
        <v>5000</v>
      </c>
      <c r="O2808" s="12">
        <v>1139.5567020080771</v>
      </c>
      <c r="P2808" s="12">
        <v>0.82947803278088494</v>
      </c>
      <c r="Q2808" s="12">
        <v>0.94605590745864798</v>
      </c>
      <c r="R2808" s="12">
        <v>0.83753427271834879</v>
      </c>
      <c r="S2808" s="12">
        <v>0.4963658855761367</v>
      </c>
      <c r="T2808" s="12">
        <v>0.9166775946077288</v>
      </c>
      <c r="U2808" s="12">
        <v>0.94578817753558442</v>
      </c>
      <c r="V2808" s="12">
        <v>300.032917</v>
      </c>
      <c r="W2808" s="12">
        <v>14.27864879658943</v>
      </c>
      <c r="X2808" s="12">
        <v>146.56300702257681</v>
      </c>
      <c r="Y2808" s="12">
        <v>3860.4432979919229</v>
      </c>
      <c r="Z2808" s="12">
        <v>4.3876710927935578</v>
      </c>
      <c r="AA2808" s="12" t="s">
        <v>1268</v>
      </c>
      <c r="AB2808" s="12"/>
    </row>
    <row r="2809" spans="1:28" x14ac:dyDescent="0.3">
      <c r="A2809" s="12" t="s">
        <v>4727</v>
      </c>
      <c r="B2809" s="12" t="s">
        <v>198</v>
      </c>
      <c r="C2809" s="12" t="s">
        <v>496</v>
      </c>
      <c r="D2809" s="12" t="s">
        <v>4627</v>
      </c>
      <c r="E2809" s="12" t="s">
        <v>4403</v>
      </c>
      <c r="F2809" s="12" t="s">
        <v>32</v>
      </c>
      <c r="G2809" s="12" t="s">
        <v>32</v>
      </c>
      <c r="H2809" s="12" t="b">
        <v>1</v>
      </c>
      <c r="I2809" s="12" t="b">
        <v>1</v>
      </c>
      <c r="J2809" s="12" t="b">
        <v>0</v>
      </c>
      <c r="K2809" s="12" t="b">
        <v>0</v>
      </c>
      <c r="L2809" s="12">
        <v>623.15</v>
      </c>
      <c r="M2809" s="12">
        <v>300.032917</v>
      </c>
      <c r="N2809" s="12">
        <v>5000</v>
      </c>
      <c r="O2809" s="12">
        <v>1359.5567020080759</v>
      </c>
      <c r="P2809" s="12">
        <v>0.85</v>
      </c>
      <c r="Q2809" s="12">
        <v>0.94605590745864798</v>
      </c>
      <c r="R2809" s="12">
        <v>0.83753427271834879</v>
      </c>
      <c r="S2809" s="12">
        <v>0.4963658855761367</v>
      </c>
      <c r="T2809" s="12">
        <v>0.9166775946077288</v>
      </c>
      <c r="U2809" s="12">
        <v>0.94578817753558442</v>
      </c>
      <c r="V2809" s="12">
        <v>300.032917</v>
      </c>
      <c r="W2809" s="12">
        <v>12.738675021868509</v>
      </c>
      <c r="X2809" s="12">
        <v>129.3867377753007</v>
      </c>
      <c r="Y2809" s="12">
        <v>3640.4432979919238</v>
      </c>
      <c r="Z2809" s="12">
        <v>3.6776693407600871</v>
      </c>
      <c r="AA2809" s="12"/>
      <c r="AB2809" s="12"/>
    </row>
    <row r="2810" spans="1:28" x14ac:dyDescent="0.3">
      <c r="A2810" s="12" t="s">
        <v>4728</v>
      </c>
      <c r="B2810" s="12" t="s">
        <v>198</v>
      </c>
      <c r="C2810" s="12" t="s">
        <v>496</v>
      </c>
      <c r="D2810" s="12" t="s">
        <v>4627</v>
      </c>
      <c r="E2810" s="12" t="s">
        <v>4403</v>
      </c>
      <c r="F2810" s="12" t="s">
        <v>32</v>
      </c>
      <c r="G2810" s="12" t="s">
        <v>32</v>
      </c>
      <c r="H2810" s="12" t="b">
        <v>1</v>
      </c>
      <c r="I2810" s="12" t="b">
        <v>0</v>
      </c>
      <c r="J2810" s="12" t="b">
        <v>1</v>
      </c>
      <c r="K2810" s="12" t="b">
        <v>0</v>
      </c>
      <c r="L2810" s="12">
        <v>623.15</v>
      </c>
      <c r="M2810" s="12">
        <v>300.032917</v>
      </c>
      <c r="N2810" s="12">
        <v>5000</v>
      </c>
      <c r="O2810" s="12">
        <v>1359.5567020080759</v>
      </c>
      <c r="P2810" s="12">
        <v>0.79447803278088491</v>
      </c>
      <c r="Q2810" s="12">
        <v>0.94605590745864798</v>
      </c>
      <c r="R2810" s="12">
        <v>0.83753427271834879</v>
      </c>
      <c r="S2810" s="12">
        <v>0.4963658855761367</v>
      </c>
      <c r="T2810" s="12">
        <v>0.9166775946077288</v>
      </c>
      <c r="U2810" s="12">
        <v>0.94578817753558442</v>
      </c>
      <c r="V2810" s="12">
        <v>300.032917</v>
      </c>
      <c r="W2810" s="12">
        <v>12.46260384749201</v>
      </c>
      <c r="X2810" s="12">
        <v>130.0682549375357</v>
      </c>
      <c r="Y2810" s="12">
        <v>3640.4432979919238</v>
      </c>
      <c r="Z2810" s="12">
        <v>3.6776693407600871</v>
      </c>
      <c r="AA2810" s="12"/>
      <c r="AB2810" s="12"/>
    </row>
    <row r="2811" spans="1:28" x14ac:dyDescent="0.3">
      <c r="A2811" s="12" t="s">
        <v>4729</v>
      </c>
      <c r="B2811" s="12" t="s">
        <v>198</v>
      </c>
      <c r="C2811" s="12" t="s">
        <v>496</v>
      </c>
      <c r="D2811" s="12" t="s">
        <v>4627</v>
      </c>
      <c r="E2811" s="12" t="s">
        <v>4403</v>
      </c>
      <c r="F2811" s="12" t="s">
        <v>32</v>
      </c>
      <c r="G2811" s="12" t="s">
        <v>32</v>
      </c>
      <c r="H2811" s="12" t="b">
        <v>1</v>
      </c>
      <c r="I2811" s="12" t="b">
        <v>1</v>
      </c>
      <c r="J2811" s="12" t="b">
        <v>0</v>
      </c>
      <c r="K2811" s="12" t="b">
        <v>0</v>
      </c>
      <c r="L2811" s="12">
        <v>623.15</v>
      </c>
      <c r="M2811" s="12">
        <v>300.032917</v>
      </c>
      <c r="N2811" s="12">
        <v>5000</v>
      </c>
      <c r="O2811" s="12">
        <v>1359.5567020080759</v>
      </c>
      <c r="P2811" s="12">
        <v>0.82947803278088494</v>
      </c>
      <c r="Q2811" s="12">
        <v>0.95</v>
      </c>
      <c r="R2811" s="12">
        <v>0.83753427271834879</v>
      </c>
      <c r="S2811" s="12">
        <v>0.4963658855761367</v>
      </c>
      <c r="T2811" s="12">
        <v>0.9166775946077288</v>
      </c>
      <c r="U2811" s="12">
        <v>0.94578817753558442</v>
      </c>
      <c r="V2811" s="12">
        <v>300.032917</v>
      </c>
      <c r="W2811" s="12">
        <v>12.718563120808041</v>
      </c>
      <c r="X2811" s="12">
        <v>130.52184870923571</v>
      </c>
      <c r="Y2811" s="12">
        <v>3640.4432979919238</v>
      </c>
      <c r="Z2811" s="12">
        <v>3.6776693407600871</v>
      </c>
      <c r="AA2811" s="12"/>
      <c r="AB2811" s="12"/>
    </row>
    <row r="2812" spans="1:28" x14ac:dyDescent="0.3">
      <c r="A2812" s="12" t="s">
        <v>4730</v>
      </c>
      <c r="B2812" s="12" t="s">
        <v>198</v>
      </c>
      <c r="C2812" s="12" t="s">
        <v>496</v>
      </c>
      <c r="D2812" s="12" t="s">
        <v>4627</v>
      </c>
      <c r="E2812" s="12" t="s">
        <v>4403</v>
      </c>
      <c r="F2812" s="12" t="s">
        <v>32</v>
      </c>
      <c r="G2812" s="12" t="s">
        <v>32</v>
      </c>
      <c r="H2812" s="12" t="b">
        <v>1</v>
      </c>
      <c r="I2812" s="12" t="b">
        <v>1</v>
      </c>
      <c r="J2812" s="12" t="b">
        <v>0</v>
      </c>
      <c r="K2812" s="12" t="b">
        <v>0</v>
      </c>
      <c r="L2812" s="12">
        <v>623.15</v>
      </c>
      <c r="M2812" s="12">
        <v>300.032917</v>
      </c>
      <c r="N2812" s="12">
        <v>5000</v>
      </c>
      <c r="O2812" s="12">
        <v>1359.5567020080759</v>
      </c>
      <c r="P2812" s="12">
        <v>0.82947803278088494</v>
      </c>
      <c r="Q2812" s="12">
        <v>0.89105590745864793</v>
      </c>
      <c r="R2812" s="12">
        <v>0.83753427271834879</v>
      </c>
      <c r="S2812" s="12">
        <v>0.4963658855761367</v>
      </c>
      <c r="T2812" s="12">
        <v>0.9166775946077288</v>
      </c>
      <c r="U2812" s="12">
        <v>0.94578817753558442</v>
      </c>
      <c r="V2812" s="12">
        <v>300.032917</v>
      </c>
      <c r="W2812" s="12">
        <v>11.89405775312999</v>
      </c>
      <c r="X2812" s="12">
        <v>122.0408289391703</v>
      </c>
      <c r="Y2812" s="12">
        <v>3640.4432979919238</v>
      </c>
      <c r="Z2812" s="12">
        <v>3.6776693407600871</v>
      </c>
      <c r="AA2812" s="12"/>
      <c r="AB2812" s="12"/>
    </row>
    <row r="2813" spans="1:28" x14ac:dyDescent="0.3">
      <c r="A2813" s="12" t="s">
        <v>4731</v>
      </c>
      <c r="B2813" s="12" t="s">
        <v>198</v>
      </c>
      <c r="C2813" s="12" t="s">
        <v>496</v>
      </c>
      <c r="D2813" s="12" t="s">
        <v>4627</v>
      </c>
      <c r="E2813" s="12" t="s">
        <v>4403</v>
      </c>
      <c r="F2813" s="12" t="s">
        <v>32</v>
      </c>
      <c r="G2813" s="12" t="s">
        <v>32</v>
      </c>
      <c r="H2813" s="12" t="b">
        <v>1</v>
      </c>
      <c r="I2813" s="12" t="b">
        <v>1</v>
      </c>
      <c r="J2813" s="12" t="b">
        <v>0</v>
      </c>
      <c r="K2813" s="12" t="b">
        <v>0</v>
      </c>
      <c r="L2813" s="12">
        <v>623.15</v>
      </c>
      <c r="M2813" s="12">
        <v>300.032917</v>
      </c>
      <c r="N2813" s="12">
        <v>5000</v>
      </c>
      <c r="O2813" s="12">
        <v>1359.5567020080759</v>
      </c>
      <c r="P2813" s="12">
        <v>0.82947803278088494</v>
      </c>
      <c r="Q2813" s="12">
        <v>0.94605590745864798</v>
      </c>
      <c r="R2813" s="12">
        <v>0.89253427271834873</v>
      </c>
      <c r="S2813" s="12">
        <v>0.4963658855761367</v>
      </c>
      <c r="T2813" s="12">
        <v>0.9166775946077288</v>
      </c>
      <c r="U2813" s="12">
        <v>0.94578817753558442</v>
      </c>
      <c r="V2813" s="12">
        <v>300.032917</v>
      </c>
      <c r="W2813" s="12">
        <v>12.698694836899429</v>
      </c>
      <c r="X2813" s="12">
        <v>130.3348443149099</v>
      </c>
      <c r="Y2813" s="12">
        <v>3640.4432979919238</v>
      </c>
      <c r="Z2813" s="12">
        <v>3.6776693407600871</v>
      </c>
      <c r="AA2813" s="12"/>
      <c r="AB2813" s="12"/>
    </row>
    <row r="2814" spans="1:28" x14ac:dyDescent="0.3">
      <c r="A2814" s="12" t="s">
        <v>4732</v>
      </c>
      <c r="B2814" s="12" t="s">
        <v>198</v>
      </c>
      <c r="C2814" s="12" t="s">
        <v>496</v>
      </c>
      <c r="D2814" s="12" t="s">
        <v>4627</v>
      </c>
      <c r="E2814" s="12" t="s">
        <v>4403</v>
      </c>
      <c r="F2814" s="12" t="s">
        <v>32</v>
      </c>
      <c r="G2814" s="12" t="s">
        <v>32</v>
      </c>
      <c r="H2814" s="12" t="b">
        <v>1</v>
      </c>
      <c r="I2814" s="12" t="b">
        <v>1</v>
      </c>
      <c r="J2814" s="12" t="b">
        <v>0</v>
      </c>
      <c r="K2814" s="12" t="b">
        <v>0</v>
      </c>
      <c r="L2814" s="12">
        <v>623.15</v>
      </c>
      <c r="M2814" s="12">
        <v>300.032917</v>
      </c>
      <c r="N2814" s="12">
        <v>5000</v>
      </c>
      <c r="O2814" s="12">
        <v>1359.5567020080759</v>
      </c>
      <c r="P2814" s="12">
        <v>0.82947803278088494</v>
      </c>
      <c r="Q2814" s="12">
        <v>0.94605590745864798</v>
      </c>
      <c r="R2814" s="12">
        <v>0.78253427271834886</v>
      </c>
      <c r="S2814" s="12">
        <v>0.4963658855761367</v>
      </c>
      <c r="T2814" s="12">
        <v>0.9166775946077288</v>
      </c>
      <c r="U2814" s="12">
        <v>0.94578817753558442</v>
      </c>
      <c r="V2814" s="12">
        <v>300.032917</v>
      </c>
      <c r="W2814" s="12">
        <v>12.62315625633228</v>
      </c>
      <c r="X2814" s="12">
        <v>129.5206074127984</v>
      </c>
      <c r="Y2814" s="12">
        <v>3640.4432979919238</v>
      </c>
      <c r="Z2814" s="12">
        <v>3.6776693407600871</v>
      </c>
      <c r="AA2814" s="12"/>
      <c r="AB2814" s="12"/>
    </row>
    <row r="2815" spans="1:28" x14ac:dyDescent="0.3">
      <c r="A2815" s="12" t="s">
        <v>4733</v>
      </c>
      <c r="B2815" s="12" t="s">
        <v>198</v>
      </c>
      <c r="C2815" s="12" t="s">
        <v>496</v>
      </c>
      <c r="D2815" s="12" t="s">
        <v>4627</v>
      </c>
      <c r="E2815" s="12" t="s">
        <v>4403</v>
      </c>
      <c r="F2815" s="12" t="s">
        <v>832</v>
      </c>
      <c r="G2815" s="12" t="s">
        <v>832</v>
      </c>
      <c r="H2815" s="12" t="b">
        <v>0</v>
      </c>
      <c r="I2815" s="12" t="b">
        <v>0</v>
      </c>
      <c r="J2815" s="12" t="b">
        <v>0</v>
      </c>
      <c r="K2815" s="12" t="b">
        <v>0</v>
      </c>
      <c r="L2815" s="12">
        <v>623.15</v>
      </c>
      <c r="M2815" s="12">
        <v>300.032917</v>
      </c>
      <c r="N2815" s="12">
        <v>5000</v>
      </c>
      <c r="O2815" s="12">
        <v>1359.5567020080759</v>
      </c>
      <c r="P2815" s="12">
        <v>0.82947803278088494</v>
      </c>
      <c r="Q2815" s="12">
        <v>0.94605590745864798</v>
      </c>
      <c r="R2815" s="12">
        <v>0.83753427271834879</v>
      </c>
      <c r="S2815" s="12">
        <v>0.55136588557613675</v>
      </c>
      <c r="T2815" s="12">
        <v>0.9166775946077288</v>
      </c>
      <c r="U2815" s="12">
        <v>0.94578817753558442</v>
      </c>
      <c r="V2815" s="12">
        <v>300.032917</v>
      </c>
      <c r="W2815" s="12"/>
      <c r="X2815" s="12"/>
      <c r="Y2815" s="12">
        <v>3640.4432979919238</v>
      </c>
      <c r="Z2815" s="12">
        <v>3.6776693407600871</v>
      </c>
      <c r="AA2815" s="12"/>
      <c r="AB2815" s="12"/>
    </row>
    <row r="2816" spans="1:28" x14ac:dyDescent="0.3">
      <c r="A2816" s="12" t="s">
        <v>4734</v>
      </c>
      <c r="B2816" s="12" t="s">
        <v>198</v>
      </c>
      <c r="C2816" s="12" t="s">
        <v>496</v>
      </c>
      <c r="D2816" s="12" t="s">
        <v>4627</v>
      </c>
      <c r="E2816" s="12" t="s">
        <v>4403</v>
      </c>
      <c r="F2816" s="12" t="s">
        <v>32</v>
      </c>
      <c r="G2816" s="12" t="s">
        <v>32</v>
      </c>
      <c r="H2816" s="12" t="b">
        <v>1</v>
      </c>
      <c r="I2816" s="12" t="b">
        <v>1</v>
      </c>
      <c r="J2816" s="12" t="b">
        <v>0</v>
      </c>
      <c r="K2816" s="12" t="b">
        <v>0</v>
      </c>
      <c r="L2816" s="12">
        <v>623.15</v>
      </c>
      <c r="M2816" s="12">
        <v>300.032917</v>
      </c>
      <c r="N2816" s="12">
        <v>5000</v>
      </c>
      <c r="O2816" s="12">
        <v>1359.5567020080759</v>
      </c>
      <c r="P2816" s="12">
        <v>0.82947803278088494</v>
      </c>
      <c r="Q2816" s="12">
        <v>0.94605590745864798</v>
      </c>
      <c r="R2816" s="12">
        <v>0.83753427271834879</v>
      </c>
      <c r="S2816" s="12">
        <v>0.44136588557613671</v>
      </c>
      <c r="T2816" s="12">
        <v>0.9166775946077288</v>
      </c>
      <c r="U2816" s="12">
        <v>0.94578817753558442</v>
      </c>
      <c r="V2816" s="12">
        <v>300.032917</v>
      </c>
      <c r="W2816" s="12">
        <v>12.49426380317381</v>
      </c>
      <c r="X2816" s="12">
        <v>113.3871747605827</v>
      </c>
      <c r="Y2816" s="12">
        <v>3640.4432979919238</v>
      </c>
      <c r="Z2816" s="12">
        <v>3.6776693407600871</v>
      </c>
      <c r="AA2816" s="12"/>
      <c r="AB2816" s="12"/>
    </row>
    <row r="2817" spans="1:28" x14ac:dyDescent="0.3">
      <c r="A2817" s="12" t="s">
        <v>4735</v>
      </c>
      <c r="B2817" s="12" t="s">
        <v>198</v>
      </c>
      <c r="C2817" s="12" t="s">
        <v>496</v>
      </c>
      <c r="D2817" s="12" t="s">
        <v>4627</v>
      </c>
      <c r="E2817" s="12" t="s">
        <v>4403</v>
      </c>
      <c r="F2817" s="12" t="s">
        <v>32</v>
      </c>
      <c r="G2817" s="12" t="s">
        <v>32</v>
      </c>
      <c r="H2817" s="12" t="b">
        <v>1</v>
      </c>
      <c r="I2817" s="12" t="b">
        <v>1</v>
      </c>
      <c r="J2817" s="12" t="b">
        <v>0</v>
      </c>
      <c r="K2817" s="12" t="b">
        <v>0</v>
      </c>
      <c r="L2817" s="12">
        <v>623.15</v>
      </c>
      <c r="M2817" s="12">
        <v>300.032917</v>
      </c>
      <c r="N2817" s="12">
        <v>5000</v>
      </c>
      <c r="O2817" s="12">
        <v>1359.5567020080759</v>
      </c>
      <c r="P2817" s="12">
        <v>0.82947803278088494</v>
      </c>
      <c r="Q2817" s="12">
        <v>0.94605590745864798</v>
      </c>
      <c r="R2817" s="12">
        <v>0.83753427271834879</v>
      </c>
      <c r="S2817" s="12">
        <v>0.4963658855761367</v>
      </c>
      <c r="T2817" s="12">
        <v>0.95</v>
      </c>
      <c r="U2817" s="12">
        <v>0.94578817753558442</v>
      </c>
      <c r="V2817" s="12">
        <v>300.032917</v>
      </c>
      <c r="W2817" s="12">
        <v>12.720976411156901</v>
      </c>
      <c r="X2817" s="12">
        <v>130.2778178218835</v>
      </c>
      <c r="Y2817" s="12">
        <v>3640.4432979919238</v>
      </c>
      <c r="Z2817" s="12">
        <v>3.6776693407600871</v>
      </c>
      <c r="AA2817" s="12"/>
      <c r="AB2817" s="12"/>
    </row>
    <row r="2818" spans="1:28" x14ac:dyDescent="0.3">
      <c r="A2818" s="12" t="s">
        <v>4736</v>
      </c>
      <c r="B2818" s="12" t="s">
        <v>198</v>
      </c>
      <c r="C2818" s="12" t="s">
        <v>496</v>
      </c>
      <c r="D2818" s="12" t="s">
        <v>4627</v>
      </c>
      <c r="E2818" s="12" t="s">
        <v>4403</v>
      </c>
      <c r="F2818" s="12" t="s">
        <v>32</v>
      </c>
      <c r="G2818" s="12" t="s">
        <v>32</v>
      </c>
      <c r="H2818" s="12" t="b">
        <v>1</v>
      </c>
      <c r="I2818" s="12" t="b">
        <v>1</v>
      </c>
      <c r="J2818" s="12" t="b">
        <v>0</v>
      </c>
      <c r="K2818" s="12" t="b">
        <v>0</v>
      </c>
      <c r="L2818" s="12">
        <v>623.15</v>
      </c>
      <c r="M2818" s="12">
        <v>300.032917</v>
      </c>
      <c r="N2818" s="12">
        <v>5000</v>
      </c>
      <c r="O2818" s="12">
        <v>1359.5567020080759</v>
      </c>
      <c r="P2818" s="12">
        <v>0.82947803278088494</v>
      </c>
      <c r="Q2818" s="12">
        <v>0.94605590745864798</v>
      </c>
      <c r="R2818" s="12">
        <v>0.83753427271834879</v>
      </c>
      <c r="S2818" s="12">
        <v>0.4963658855761367</v>
      </c>
      <c r="T2818" s="12">
        <v>0.86167759460772864</v>
      </c>
      <c r="U2818" s="12">
        <v>0.94578817753558442</v>
      </c>
      <c r="V2818" s="12">
        <v>300.032917</v>
      </c>
      <c r="W2818" s="12">
        <v>12.568250240150499</v>
      </c>
      <c r="X2818" s="12">
        <v>129.4167441760853</v>
      </c>
      <c r="Y2818" s="12">
        <v>3640.4432979919238</v>
      </c>
      <c r="Z2818" s="12">
        <v>3.6776693407600871</v>
      </c>
      <c r="AA2818" s="12"/>
      <c r="AB2818" s="12"/>
    </row>
    <row r="2819" spans="1:28" x14ac:dyDescent="0.3">
      <c r="A2819" s="12" t="s">
        <v>4737</v>
      </c>
      <c r="B2819" s="12" t="s">
        <v>198</v>
      </c>
      <c r="C2819" s="12" t="s">
        <v>496</v>
      </c>
      <c r="D2819" s="12" t="s">
        <v>4627</v>
      </c>
      <c r="E2819" s="12" t="s">
        <v>4403</v>
      </c>
      <c r="F2819" s="12" t="s">
        <v>32</v>
      </c>
      <c r="G2819" s="12" t="s">
        <v>32</v>
      </c>
      <c r="H2819" s="12" t="b">
        <v>1</v>
      </c>
      <c r="I2819" s="12" t="b">
        <v>1</v>
      </c>
      <c r="J2819" s="12" t="b">
        <v>0</v>
      </c>
      <c r="K2819" s="12" t="b">
        <v>0</v>
      </c>
      <c r="L2819" s="12">
        <v>623.15</v>
      </c>
      <c r="M2819" s="12">
        <v>300.032917</v>
      </c>
      <c r="N2819" s="12">
        <v>5000</v>
      </c>
      <c r="O2819" s="12">
        <v>1359.5567020080759</v>
      </c>
      <c r="P2819" s="12">
        <v>0.82947803278088494</v>
      </c>
      <c r="Q2819" s="12">
        <v>0.94605590745864798</v>
      </c>
      <c r="R2819" s="12">
        <v>0.83753427271834879</v>
      </c>
      <c r="S2819" s="12">
        <v>0.4963658855761367</v>
      </c>
      <c r="T2819" s="12">
        <v>0.9166775946077288</v>
      </c>
      <c r="U2819" s="12">
        <v>0.95</v>
      </c>
      <c r="V2819" s="12">
        <v>300.032917</v>
      </c>
      <c r="W2819" s="12">
        <v>12.62555536175114</v>
      </c>
      <c r="X2819" s="12">
        <v>129.74623533345331</v>
      </c>
      <c r="Y2819" s="12">
        <v>3640.4432979919238</v>
      </c>
      <c r="Z2819" s="12">
        <v>3.6776693407600871</v>
      </c>
      <c r="AA2819" s="12"/>
      <c r="AB2819" s="12"/>
    </row>
    <row r="2820" spans="1:28" x14ac:dyDescent="0.3">
      <c r="A2820" s="12" t="s">
        <v>4738</v>
      </c>
      <c r="B2820" s="12" t="s">
        <v>198</v>
      </c>
      <c r="C2820" s="12" t="s">
        <v>496</v>
      </c>
      <c r="D2820" s="12" t="s">
        <v>4627</v>
      </c>
      <c r="E2820" s="12" t="s">
        <v>4403</v>
      </c>
      <c r="F2820" s="12" t="s">
        <v>1861</v>
      </c>
      <c r="G2820" s="12" t="s">
        <v>1861</v>
      </c>
      <c r="H2820" s="12" t="b">
        <v>1</v>
      </c>
      <c r="I2820" s="12" t="b">
        <v>0</v>
      </c>
      <c r="J2820" s="12" t="b">
        <v>0</v>
      </c>
      <c r="K2820" s="12" t="b">
        <v>0</v>
      </c>
      <c r="L2820" s="12">
        <v>623.15</v>
      </c>
      <c r="M2820" s="12">
        <v>300.032917</v>
      </c>
      <c r="N2820" s="12">
        <v>5000</v>
      </c>
      <c r="O2820" s="12">
        <v>1359.5567020080759</v>
      </c>
      <c r="P2820" s="12">
        <v>0.82947803278088494</v>
      </c>
      <c r="Q2820" s="12">
        <v>0.94605590745864798</v>
      </c>
      <c r="R2820" s="12">
        <v>0.83753427271834879</v>
      </c>
      <c r="S2820" s="12">
        <v>0.4963658855761367</v>
      </c>
      <c r="T2820" s="12">
        <v>0.9166775946077288</v>
      </c>
      <c r="U2820" s="12">
        <v>0.89078817753558437</v>
      </c>
      <c r="V2820" s="12">
        <v>300.032917</v>
      </c>
      <c r="W2820" s="12">
        <v>13.15635094450626</v>
      </c>
      <c r="X2820" s="12">
        <v>132.41132953045181</v>
      </c>
      <c r="Y2820" s="12">
        <v>3640.4432979919238</v>
      </c>
      <c r="Z2820" s="12">
        <v>3.6776693407600871</v>
      </c>
      <c r="AA2820" s="12" t="s">
        <v>1268</v>
      </c>
      <c r="AB2820" s="12"/>
    </row>
    <row r="2821" spans="1:28" x14ac:dyDescent="0.3">
      <c r="A2821" s="12" t="s">
        <v>4739</v>
      </c>
      <c r="B2821" s="12" t="s">
        <v>198</v>
      </c>
      <c r="C2821" s="12" t="s">
        <v>505</v>
      </c>
      <c r="D2821" s="12" t="s">
        <v>4740</v>
      </c>
      <c r="E2821" s="12" t="s">
        <v>4403</v>
      </c>
      <c r="F2821" s="12" t="s">
        <v>32</v>
      </c>
      <c r="G2821" s="12" t="s">
        <v>32</v>
      </c>
      <c r="H2821" s="12" t="b">
        <v>1</v>
      </c>
      <c r="I2821" s="12" t="b">
        <v>1</v>
      </c>
      <c r="J2821" s="12" t="b">
        <v>0</v>
      </c>
      <c r="K2821" s="12" t="b">
        <v>0</v>
      </c>
      <c r="L2821" s="12">
        <v>403</v>
      </c>
      <c r="M2821" s="12">
        <v>300.032917</v>
      </c>
      <c r="N2821" s="12">
        <v>3000</v>
      </c>
      <c r="O2821" s="12">
        <v>400</v>
      </c>
      <c r="P2821" s="12">
        <v>0.5</v>
      </c>
      <c r="Q2821" s="12">
        <v>0.85</v>
      </c>
      <c r="R2821" s="12">
        <v>0.75</v>
      </c>
      <c r="S2821" s="12">
        <v>0.85</v>
      </c>
      <c r="T2821" s="12">
        <v>0.75</v>
      </c>
      <c r="U2821" s="12">
        <v>0.95</v>
      </c>
      <c r="V2821" s="12">
        <v>300.032917</v>
      </c>
      <c r="W2821" s="12">
        <v>9.5047201280320994</v>
      </c>
      <c r="X2821" s="12">
        <v>30.675411282546069</v>
      </c>
      <c r="Y2821" s="12">
        <v>2600</v>
      </c>
      <c r="Z2821" s="12">
        <v>7.5</v>
      </c>
      <c r="AA2821" s="12"/>
      <c r="AB2821" s="12"/>
    </row>
    <row r="2822" spans="1:28" x14ac:dyDescent="0.3">
      <c r="A2822" s="12" t="s">
        <v>4741</v>
      </c>
      <c r="B2822" s="12" t="s">
        <v>198</v>
      </c>
      <c r="C2822" s="12" t="s">
        <v>505</v>
      </c>
      <c r="D2822" s="12" t="s">
        <v>4740</v>
      </c>
      <c r="E2822" s="12" t="s">
        <v>4403</v>
      </c>
      <c r="F2822" s="12" t="s">
        <v>1861</v>
      </c>
      <c r="G2822" s="12" t="s">
        <v>1861</v>
      </c>
      <c r="H2822" s="12" t="b">
        <v>1</v>
      </c>
      <c r="I2822" s="12" t="b">
        <v>0</v>
      </c>
      <c r="J2822" s="12" t="b">
        <v>0</v>
      </c>
      <c r="K2822" s="12" t="b">
        <v>0</v>
      </c>
      <c r="L2822" s="12">
        <v>415</v>
      </c>
      <c r="M2822" s="12">
        <v>300.032917</v>
      </c>
      <c r="N2822" s="12">
        <v>3000</v>
      </c>
      <c r="O2822" s="12">
        <v>400</v>
      </c>
      <c r="P2822" s="12">
        <v>0.5</v>
      </c>
      <c r="Q2822" s="12">
        <v>0.85</v>
      </c>
      <c r="R2822" s="12">
        <v>0.75</v>
      </c>
      <c r="S2822" s="12">
        <v>0.85</v>
      </c>
      <c r="T2822" s="12">
        <v>0.75</v>
      </c>
      <c r="U2822" s="12">
        <v>0.95</v>
      </c>
      <c r="V2822" s="12">
        <v>300.032917</v>
      </c>
      <c r="W2822" s="12">
        <v>11.424173135960141</v>
      </c>
      <c r="X2822" s="12">
        <v>54.018748475807541</v>
      </c>
      <c r="Y2822" s="12">
        <v>2600</v>
      </c>
      <c r="Z2822" s="12">
        <v>7.5</v>
      </c>
      <c r="AA2822" s="12" t="s">
        <v>1268</v>
      </c>
      <c r="AB2822" s="12"/>
    </row>
    <row r="2823" spans="1:28" x14ac:dyDescent="0.3">
      <c r="A2823" s="12" t="s">
        <v>4742</v>
      </c>
      <c r="B2823" s="12" t="s">
        <v>198</v>
      </c>
      <c r="C2823" s="12" t="s">
        <v>505</v>
      </c>
      <c r="D2823" s="12" t="s">
        <v>4740</v>
      </c>
      <c r="E2823" s="12" t="s">
        <v>4403</v>
      </c>
      <c r="F2823" s="12" t="s">
        <v>32</v>
      </c>
      <c r="G2823" s="12" t="s">
        <v>32</v>
      </c>
      <c r="H2823" s="12" t="b">
        <v>1</v>
      </c>
      <c r="I2823" s="12" t="b">
        <v>1</v>
      </c>
      <c r="J2823" s="12" t="b">
        <v>0</v>
      </c>
      <c r="K2823" s="12" t="b">
        <v>0</v>
      </c>
      <c r="L2823" s="12">
        <v>391</v>
      </c>
      <c r="M2823" s="12">
        <v>300.032917</v>
      </c>
      <c r="N2823" s="12">
        <v>3000</v>
      </c>
      <c r="O2823" s="12">
        <v>400</v>
      </c>
      <c r="P2823" s="12">
        <v>0.5</v>
      </c>
      <c r="Q2823" s="12">
        <v>0.85</v>
      </c>
      <c r="R2823" s="12">
        <v>0.75</v>
      </c>
      <c r="S2823" s="12">
        <v>0.85</v>
      </c>
      <c r="T2823" s="12">
        <v>0.75</v>
      </c>
      <c r="U2823" s="12">
        <v>0.95</v>
      </c>
      <c r="V2823" s="12">
        <v>300.032917</v>
      </c>
      <c r="W2823" s="12">
        <v>3.5741056872683399</v>
      </c>
      <c r="X2823" s="12">
        <v>5.9166288336563131</v>
      </c>
      <c r="Y2823" s="12">
        <v>2600</v>
      </c>
      <c r="Z2823" s="12">
        <v>7.5</v>
      </c>
      <c r="AA2823" s="12"/>
      <c r="AB2823" s="12"/>
    </row>
    <row r="2824" spans="1:28" x14ac:dyDescent="0.3">
      <c r="A2824" s="12" t="s">
        <v>4743</v>
      </c>
      <c r="B2824" s="12" t="s">
        <v>198</v>
      </c>
      <c r="C2824" s="12" t="s">
        <v>505</v>
      </c>
      <c r="D2824" s="12" t="s">
        <v>4740</v>
      </c>
      <c r="E2824" s="12" t="s">
        <v>4403</v>
      </c>
      <c r="F2824" s="12" t="s">
        <v>1861</v>
      </c>
      <c r="G2824" s="12" t="s">
        <v>1861</v>
      </c>
      <c r="H2824" s="12" t="b">
        <v>1</v>
      </c>
      <c r="I2824" s="12" t="b">
        <v>0</v>
      </c>
      <c r="J2824" s="12" t="b">
        <v>0</v>
      </c>
      <c r="K2824" s="12" t="b">
        <v>0</v>
      </c>
      <c r="L2824" s="12">
        <v>403</v>
      </c>
      <c r="M2824" s="12">
        <v>300.032917</v>
      </c>
      <c r="N2824" s="12">
        <v>3000</v>
      </c>
      <c r="O2824" s="12">
        <v>400</v>
      </c>
      <c r="P2824" s="12">
        <v>0.53500000000000003</v>
      </c>
      <c r="Q2824" s="12">
        <v>0.85</v>
      </c>
      <c r="R2824" s="12">
        <v>0.75</v>
      </c>
      <c r="S2824" s="12">
        <v>0.85</v>
      </c>
      <c r="T2824" s="12">
        <v>0.75</v>
      </c>
      <c r="U2824" s="12">
        <v>0.95</v>
      </c>
      <c r="V2824" s="12">
        <v>300.032917</v>
      </c>
      <c r="W2824" s="12">
        <v>11.26975106970232</v>
      </c>
      <c r="X2824" s="12">
        <v>45.452178145425322</v>
      </c>
      <c r="Y2824" s="12">
        <v>2600</v>
      </c>
      <c r="Z2824" s="12">
        <v>7.5</v>
      </c>
      <c r="AA2824" s="12" t="s">
        <v>1268</v>
      </c>
      <c r="AB2824" s="12"/>
    </row>
    <row r="2825" spans="1:28" x14ac:dyDescent="0.3">
      <c r="A2825" s="12" t="s">
        <v>4744</v>
      </c>
      <c r="B2825" s="12" t="s">
        <v>198</v>
      </c>
      <c r="C2825" s="12" t="s">
        <v>505</v>
      </c>
      <c r="D2825" s="12" t="s">
        <v>4740</v>
      </c>
      <c r="E2825" s="12" t="s">
        <v>4403</v>
      </c>
      <c r="F2825" s="12" t="s">
        <v>32</v>
      </c>
      <c r="G2825" s="12" t="s">
        <v>32</v>
      </c>
      <c r="H2825" s="12" t="b">
        <v>1</v>
      </c>
      <c r="I2825" s="12" t="b">
        <v>1</v>
      </c>
      <c r="J2825" s="12" t="b">
        <v>0</v>
      </c>
      <c r="K2825" s="12" t="b">
        <v>0</v>
      </c>
      <c r="L2825" s="12">
        <v>403</v>
      </c>
      <c r="M2825" s="12">
        <v>300.032917</v>
      </c>
      <c r="N2825" s="12">
        <v>3000</v>
      </c>
      <c r="O2825" s="12">
        <v>400</v>
      </c>
      <c r="P2825" s="12">
        <v>0.5</v>
      </c>
      <c r="Q2825" s="12">
        <v>0.90500000000000003</v>
      </c>
      <c r="R2825" s="12">
        <v>0.75</v>
      </c>
      <c r="S2825" s="12">
        <v>0.85</v>
      </c>
      <c r="T2825" s="12">
        <v>0.75</v>
      </c>
      <c r="U2825" s="12">
        <v>0.95</v>
      </c>
      <c r="V2825" s="12">
        <v>300.032917</v>
      </c>
      <c r="W2825" s="12">
        <v>10.203215313208499</v>
      </c>
      <c r="X2825" s="12">
        <v>32.933415836472427</v>
      </c>
      <c r="Y2825" s="12">
        <v>2600</v>
      </c>
      <c r="Z2825" s="12">
        <v>7.5</v>
      </c>
      <c r="AA2825" s="12"/>
      <c r="AB2825" s="12"/>
    </row>
    <row r="2826" spans="1:28" x14ac:dyDescent="0.3">
      <c r="A2826" s="12" t="s">
        <v>4745</v>
      </c>
      <c r="B2826" s="12" t="s">
        <v>198</v>
      </c>
      <c r="C2826" s="12" t="s">
        <v>505</v>
      </c>
      <c r="D2826" s="12" t="s">
        <v>4740</v>
      </c>
      <c r="E2826" s="12" t="s">
        <v>4403</v>
      </c>
      <c r="F2826" s="12" t="s">
        <v>32</v>
      </c>
      <c r="G2826" s="12" t="s">
        <v>32</v>
      </c>
      <c r="H2826" s="12" t="b">
        <v>1</v>
      </c>
      <c r="I2826" s="12" t="b">
        <v>1</v>
      </c>
      <c r="J2826" s="12" t="b">
        <v>0</v>
      </c>
      <c r="K2826" s="12" t="b">
        <v>0</v>
      </c>
      <c r="L2826" s="12">
        <v>403</v>
      </c>
      <c r="M2826" s="12">
        <v>300.032917</v>
      </c>
      <c r="N2826" s="12">
        <v>3000</v>
      </c>
      <c r="O2826" s="12">
        <v>400</v>
      </c>
      <c r="P2826" s="12">
        <v>0.5</v>
      </c>
      <c r="Q2826" s="12">
        <v>0.79500000000000004</v>
      </c>
      <c r="R2826" s="12">
        <v>0.75</v>
      </c>
      <c r="S2826" s="12">
        <v>0.85</v>
      </c>
      <c r="T2826" s="12">
        <v>0.75</v>
      </c>
      <c r="U2826" s="12">
        <v>0.95</v>
      </c>
      <c r="V2826" s="12">
        <v>300.032917</v>
      </c>
      <c r="W2826" s="12">
        <v>8.8060287279685809</v>
      </c>
      <c r="X2826" s="12">
        <v>28.41727856684528</v>
      </c>
      <c r="Y2826" s="12">
        <v>2600</v>
      </c>
      <c r="Z2826" s="12">
        <v>7.5</v>
      </c>
      <c r="AA2826" s="12"/>
      <c r="AB2826" s="12"/>
    </row>
    <row r="2827" spans="1:28" x14ac:dyDescent="0.3">
      <c r="A2827" s="12" t="s">
        <v>4746</v>
      </c>
      <c r="B2827" s="12" t="s">
        <v>198</v>
      </c>
      <c r="C2827" s="12" t="s">
        <v>505</v>
      </c>
      <c r="D2827" s="12" t="s">
        <v>4740</v>
      </c>
      <c r="E2827" s="12" t="s">
        <v>4403</v>
      </c>
      <c r="F2827" s="12" t="s">
        <v>32</v>
      </c>
      <c r="G2827" s="12" t="s">
        <v>32</v>
      </c>
      <c r="H2827" s="12" t="b">
        <v>1</v>
      </c>
      <c r="I2827" s="12" t="b">
        <v>1</v>
      </c>
      <c r="J2827" s="12" t="b">
        <v>0</v>
      </c>
      <c r="K2827" s="12" t="b">
        <v>0</v>
      </c>
      <c r="L2827" s="12">
        <v>403</v>
      </c>
      <c r="M2827" s="12">
        <v>300.032917</v>
      </c>
      <c r="N2827" s="12">
        <v>3000</v>
      </c>
      <c r="O2827" s="12">
        <v>400</v>
      </c>
      <c r="P2827" s="12">
        <v>0.5</v>
      </c>
      <c r="Q2827" s="12">
        <v>0.85</v>
      </c>
      <c r="R2827" s="12">
        <v>0.80499999999999994</v>
      </c>
      <c r="S2827" s="12">
        <v>0.85</v>
      </c>
      <c r="T2827" s="12">
        <v>0.75</v>
      </c>
      <c r="U2827" s="12">
        <v>0.95</v>
      </c>
      <c r="V2827" s="12">
        <v>300.032917</v>
      </c>
      <c r="W2827" s="12">
        <v>9.5908492592179204</v>
      </c>
      <c r="X2827" s="12">
        <v>30.962261310396059</v>
      </c>
      <c r="Y2827" s="12">
        <v>2600</v>
      </c>
      <c r="Z2827" s="12">
        <v>7.5</v>
      </c>
      <c r="AA2827" s="12"/>
      <c r="AB2827" s="12"/>
    </row>
    <row r="2828" spans="1:28" x14ac:dyDescent="0.3">
      <c r="A2828" s="12" t="s">
        <v>4747</v>
      </c>
      <c r="B2828" s="12" t="s">
        <v>198</v>
      </c>
      <c r="C2828" s="12" t="s">
        <v>505</v>
      </c>
      <c r="D2828" s="12" t="s">
        <v>4740</v>
      </c>
      <c r="E2828" s="12" t="s">
        <v>4403</v>
      </c>
      <c r="F2828" s="12" t="s">
        <v>32</v>
      </c>
      <c r="G2828" s="12" t="s">
        <v>32</v>
      </c>
      <c r="H2828" s="12" t="b">
        <v>1</v>
      </c>
      <c r="I2828" s="12" t="b">
        <v>1</v>
      </c>
      <c r="J2828" s="12" t="b">
        <v>0</v>
      </c>
      <c r="K2828" s="12" t="b">
        <v>0</v>
      </c>
      <c r="L2828" s="12">
        <v>403</v>
      </c>
      <c r="M2828" s="12">
        <v>300.032917</v>
      </c>
      <c r="N2828" s="12">
        <v>3000</v>
      </c>
      <c r="O2828" s="12">
        <v>400</v>
      </c>
      <c r="P2828" s="12">
        <v>0.5</v>
      </c>
      <c r="Q2828" s="12">
        <v>0.85</v>
      </c>
      <c r="R2828" s="12">
        <v>0.69500000000000006</v>
      </c>
      <c r="S2828" s="12">
        <v>0.85</v>
      </c>
      <c r="T2828" s="12">
        <v>0.75</v>
      </c>
      <c r="U2828" s="12">
        <v>0.95</v>
      </c>
      <c r="V2828" s="12">
        <v>300.032917</v>
      </c>
      <c r="W2828" s="12">
        <v>9.4048968251897094</v>
      </c>
      <c r="X2828" s="12">
        <v>30.34315876730637</v>
      </c>
      <c r="Y2828" s="12">
        <v>2600</v>
      </c>
      <c r="Z2828" s="12">
        <v>7.5</v>
      </c>
      <c r="AA2828" s="12"/>
      <c r="AB2828" s="12"/>
    </row>
    <row r="2829" spans="1:28" x14ac:dyDescent="0.3">
      <c r="A2829" s="12" t="s">
        <v>4748</v>
      </c>
      <c r="B2829" s="12" t="s">
        <v>198</v>
      </c>
      <c r="C2829" s="12" t="s">
        <v>505</v>
      </c>
      <c r="D2829" s="12" t="s">
        <v>4740</v>
      </c>
      <c r="E2829" s="12" t="s">
        <v>4403</v>
      </c>
      <c r="F2829" s="12" t="s">
        <v>32</v>
      </c>
      <c r="G2829" s="12" t="s">
        <v>32</v>
      </c>
      <c r="H2829" s="12" t="b">
        <v>1</v>
      </c>
      <c r="I2829" s="12" t="b">
        <v>1</v>
      </c>
      <c r="J2829" s="12" t="b">
        <v>0</v>
      </c>
      <c r="K2829" s="12" t="b">
        <v>0</v>
      </c>
      <c r="L2829" s="12">
        <v>403</v>
      </c>
      <c r="M2829" s="12">
        <v>300.032917</v>
      </c>
      <c r="N2829" s="12">
        <v>3000</v>
      </c>
      <c r="O2829" s="12">
        <v>400</v>
      </c>
      <c r="P2829" s="12">
        <v>0.5</v>
      </c>
      <c r="Q2829" s="12">
        <v>0.85</v>
      </c>
      <c r="R2829" s="12">
        <v>0.75</v>
      </c>
      <c r="S2829" s="12">
        <v>0.90500000000000003</v>
      </c>
      <c r="T2829" s="12">
        <v>0.75</v>
      </c>
      <c r="U2829" s="12">
        <v>0.95</v>
      </c>
      <c r="V2829" s="12">
        <v>300.032917</v>
      </c>
      <c r="W2829" s="12">
        <v>9.8765195218739095</v>
      </c>
      <c r="X2829" s="12">
        <v>33.917582894521132</v>
      </c>
      <c r="Y2829" s="12">
        <v>2600</v>
      </c>
      <c r="Z2829" s="12">
        <v>7.5</v>
      </c>
      <c r="AA2829" s="12"/>
      <c r="AB2829" s="12"/>
    </row>
    <row r="2830" spans="1:28" x14ac:dyDescent="0.3">
      <c r="A2830" s="12" t="s">
        <v>4749</v>
      </c>
      <c r="B2830" s="12" t="s">
        <v>198</v>
      </c>
      <c r="C2830" s="12" t="s">
        <v>505</v>
      </c>
      <c r="D2830" s="12" t="s">
        <v>4740</v>
      </c>
      <c r="E2830" s="12" t="s">
        <v>4403</v>
      </c>
      <c r="F2830" s="12" t="s">
        <v>32</v>
      </c>
      <c r="G2830" s="12" t="s">
        <v>32</v>
      </c>
      <c r="H2830" s="12" t="b">
        <v>1</v>
      </c>
      <c r="I2830" s="12" t="b">
        <v>1</v>
      </c>
      <c r="J2830" s="12" t="b">
        <v>0</v>
      </c>
      <c r="K2830" s="12" t="b">
        <v>0</v>
      </c>
      <c r="L2830" s="12">
        <v>403</v>
      </c>
      <c r="M2830" s="12">
        <v>300.032917</v>
      </c>
      <c r="N2830" s="12">
        <v>3000</v>
      </c>
      <c r="O2830" s="12">
        <v>400</v>
      </c>
      <c r="P2830" s="12">
        <v>0.5</v>
      </c>
      <c r="Q2830" s="12">
        <v>0.85</v>
      </c>
      <c r="R2830" s="12">
        <v>0.75</v>
      </c>
      <c r="S2830" s="12">
        <v>0.79500000000000004</v>
      </c>
      <c r="T2830" s="12">
        <v>0.75</v>
      </c>
      <c r="U2830" s="12">
        <v>0.95</v>
      </c>
      <c r="V2830" s="12">
        <v>300.032917</v>
      </c>
      <c r="W2830" s="12">
        <v>9.0798305416372393</v>
      </c>
      <c r="X2830" s="12">
        <v>27.425513738262481</v>
      </c>
      <c r="Y2830" s="12">
        <v>2600</v>
      </c>
      <c r="Z2830" s="12">
        <v>7.5</v>
      </c>
      <c r="AA2830" s="12"/>
      <c r="AB2830" s="12"/>
    </row>
    <row r="2831" spans="1:28" x14ac:dyDescent="0.3">
      <c r="A2831" s="12" t="s">
        <v>4750</v>
      </c>
      <c r="B2831" s="12" t="s">
        <v>198</v>
      </c>
      <c r="C2831" s="12" t="s">
        <v>505</v>
      </c>
      <c r="D2831" s="12" t="s">
        <v>4740</v>
      </c>
      <c r="E2831" s="12" t="s">
        <v>4403</v>
      </c>
      <c r="F2831" s="12" t="s">
        <v>32</v>
      </c>
      <c r="G2831" s="12" t="s">
        <v>32</v>
      </c>
      <c r="H2831" s="12" t="b">
        <v>1</v>
      </c>
      <c r="I2831" s="12" t="b">
        <v>1</v>
      </c>
      <c r="J2831" s="12" t="b">
        <v>0</v>
      </c>
      <c r="K2831" s="12" t="b">
        <v>0</v>
      </c>
      <c r="L2831" s="12">
        <v>403</v>
      </c>
      <c r="M2831" s="12">
        <v>300.032917</v>
      </c>
      <c r="N2831" s="12">
        <v>3000</v>
      </c>
      <c r="O2831" s="12">
        <v>400</v>
      </c>
      <c r="P2831" s="12">
        <v>0.5</v>
      </c>
      <c r="Q2831" s="12">
        <v>0.85</v>
      </c>
      <c r="R2831" s="12">
        <v>0.75</v>
      </c>
      <c r="S2831" s="12">
        <v>0.85</v>
      </c>
      <c r="T2831" s="12">
        <v>0.80499999999999994</v>
      </c>
      <c r="U2831" s="12">
        <v>0.95</v>
      </c>
      <c r="V2831" s="12">
        <v>300.032917</v>
      </c>
      <c r="W2831" s="12">
        <v>10.234774683817429</v>
      </c>
      <c r="X2831" s="12">
        <v>31.173658397226081</v>
      </c>
      <c r="Y2831" s="12">
        <v>2600</v>
      </c>
      <c r="Z2831" s="12">
        <v>7.5</v>
      </c>
      <c r="AA2831" s="12"/>
      <c r="AB2831" s="12"/>
    </row>
    <row r="2832" spans="1:28" x14ac:dyDescent="0.3">
      <c r="A2832" s="12" t="s">
        <v>4751</v>
      </c>
      <c r="B2832" s="12" t="s">
        <v>198</v>
      </c>
      <c r="C2832" s="12" t="s">
        <v>505</v>
      </c>
      <c r="D2832" s="12" t="s">
        <v>4740</v>
      </c>
      <c r="E2832" s="12" t="s">
        <v>4403</v>
      </c>
      <c r="F2832" s="12" t="s">
        <v>32</v>
      </c>
      <c r="G2832" s="12" t="s">
        <v>32</v>
      </c>
      <c r="H2832" s="12" t="b">
        <v>1</v>
      </c>
      <c r="I2832" s="12" t="b">
        <v>1</v>
      </c>
      <c r="J2832" s="12" t="b">
        <v>0</v>
      </c>
      <c r="K2832" s="12" t="b">
        <v>0</v>
      </c>
      <c r="L2832" s="12">
        <v>403</v>
      </c>
      <c r="M2832" s="12">
        <v>300.032917</v>
      </c>
      <c r="N2832" s="12">
        <v>3000</v>
      </c>
      <c r="O2832" s="12">
        <v>400</v>
      </c>
      <c r="P2832" s="12">
        <v>0.5</v>
      </c>
      <c r="Q2832" s="12">
        <v>0.85</v>
      </c>
      <c r="R2832" s="12">
        <v>0.75</v>
      </c>
      <c r="S2832" s="12">
        <v>0.85</v>
      </c>
      <c r="T2832" s="12">
        <v>0.69500000000000006</v>
      </c>
      <c r="U2832" s="12">
        <v>0.95</v>
      </c>
      <c r="V2832" s="12">
        <v>300.032917</v>
      </c>
      <c r="W2832" s="12">
        <v>8.8548192440962694</v>
      </c>
      <c r="X2832" s="12">
        <v>30.17904024862937</v>
      </c>
      <c r="Y2832" s="12">
        <v>2600</v>
      </c>
      <c r="Z2832" s="12">
        <v>7.5</v>
      </c>
      <c r="AA2832" s="12"/>
      <c r="AB2832" s="12"/>
    </row>
    <row r="2833" spans="1:28" x14ac:dyDescent="0.3">
      <c r="A2833" s="12" t="s">
        <v>4752</v>
      </c>
      <c r="B2833" s="12" t="s">
        <v>198</v>
      </c>
      <c r="C2833" s="12" t="s">
        <v>505</v>
      </c>
      <c r="D2833" s="12" t="s">
        <v>4740</v>
      </c>
      <c r="E2833" s="12" t="s">
        <v>4403</v>
      </c>
      <c r="F2833" s="12" t="s">
        <v>1861</v>
      </c>
      <c r="G2833" s="12" t="s">
        <v>1861</v>
      </c>
      <c r="H2833" s="12" t="b">
        <v>1</v>
      </c>
      <c r="I2833" s="12" t="b">
        <v>0</v>
      </c>
      <c r="J2833" s="12" t="b">
        <v>0</v>
      </c>
      <c r="K2833" s="12" t="b">
        <v>0</v>
      </c>
      <c r="L2833" s="12">
        <v>403</v>
      </c>
      <c r="M2833" s="12">
        <v>300.032917</v>
      </c>
      <c r="N2833" s="12">
        <v>3000</v>
      </c>
      <c r="O2833" s="12">
        <v>400</v>
      </c>
      <c r="P2833" s="12">
        <v>0.5</v>
      </c>
      <c r="Q2833" s="12">
        <v>0.85</v>
      </c>
      <c r="R2833" s="12">
        <v>0.75</v>
      </c>
      <c r="S2833" s="12">
        <v>0.85</v>
      </c>
      <c r="T2833" s="12">
        <v>0.75</v>
      </c>
      <c r="U2833" s="12">
        <v>0.89500000000000002</v>
      </c>
      <c r="V2833" s="12">
        <v>300.032917</v>
      </c>
      <c r="W2833" s="12">
        <v>9.6977221470387001</v>
      </c>
      <c r="X2833" s="12">
        <v>30.749524624529059</v>
      </c>
      <c r="Y2833" s="12">
        <v>2600</v>
      </c>
      <c r="Z2833" s="12">
        <v>7.5</v>
      </c>
      <c r="AA2833" s="12" t="s">
        <v>1268</v>
      </c>
      <c r="AB2833" s="12"/>
    </row>
    <row r="2834" spans="1:28" x14ac:dyDescent="0.3">
      <c r="A2834" s="12" t="s">
        <v>4753</v>
      </c>
      <c r="B2834" s="12" t="s">
        <v>198</v>
      </c>
      <c r="C2834" s="12" t="s">
        <v>505</v>
      </c>
      <c r="D2834" s="12" t="s">
        <v>4740</v>
      </c>
      <c r="E2834" s="12" t="s">
        <v>4403</v>
      </c>
      <c r="F2834" s="12" t="s">
        <v>1861</v>
      </c>
      <c r="G2834" s="12" t="s">
        <v>1861</v>
      </c>
      <c r="H2834" s="12" t="b">
        <v>1</v>
      </c>
      <c r="I2834" s="12" t="b">
        <v>0</v>
      </c>
      <c r="J2834" s="12" t="b">
        <v>0</v>
      </c>
      <c r="K2834" s="12" t="b">
        <v>0</v>
      </c>
      <c r="L2834" s="12">
        <v>415</v>
      </c>
      <c r="M2834" s="12">
        <v>300.032917</v>
      </c>
      <c r="N2834" s="12">
        <v>3000</v>
      </c>
      <c r="O2834" s="12">
        <v>400</v>
      </c>
      <c r="P2834" s="12">
        <v>0.5</v>
      </c>
      <c r="Q2834" s="12">
        <v>0.85</v>
      </c>
      <c r="R2834" s="12">
        <v>0.75</v>
      </c>
      <c r="S2834" s="12">
        <v>0.85</v>
      </c>
      <c r="T2834" s="12">
        <v>0.80499999999999994</v>
      </c>
      <c r="U2834" s="12">
        <v>0.95</v>
      </c>
      <c r="V2834" s="12">
        <v>300.032917</v>
      </c>
      <c r="W2834" s="12">
        <v>11.974246537804479</v>
      </c>
      <c r="X2834" s="12">
        <v>54.501309125552211</v>
      </c>
      <c r="Y2834" s="12">
        <v>2600</v>
      </c>
      <c r="Z2834" s="12">
        <v>7.5</v>
      </c>
      <c r="AA2834" s="12" t="s">
        <v>1268</v>
      </c>
      <c r="AB2834" s="12"/>
    </row>
    <row r="2835" spans="1:28" x14ac:dyDescent="0.3">
      <c r="A2835" s="12" t="s">
        <v>4754</v>
      </c>
      <c r="B2835" s="12" t="s">
        <v>198</v>
      </c>
      <c r="C2835" s="12" t="s">
        <v>505</v>
      </c>
      <c r="D2835" s="12" t="s">
        <v>4740</v>
      </c>
      <c r="E2835" s="12" t="s">
        <v>4403</v>
      </c>
      <c r="F2835" s="12" t="s">
        <v>32</v>
      </c>
      <c r="G2835" s="12" t="s">
        <v>32</v>
      </c>
      <c r="H2835" s="12" t="b">
        <v>1</v>
      </c>
      <c r="I2835" s="12" t="b">
        <v>1</v>
      </c>
      <c r="J2835" s="12" t="b">
        <v>0</v>
      </c>
      <c r="K2835" s="12" t="b">
        <v>0</v>
      </c>
      <c r="L2835" s="12">
        <v>391</v>
      </c>
      <c r="M2835" s="12">
        <v>300.032917</v>
      </c>
      <c r="N2835" s="12">
        <v>3000</v>
      </c>
      <c r="O2835" s="12">
        <v>400</v>
      </c>
      <c r="P2835" s="12">
        <v>0.5</v>
      </c>
      <c r="Q2835" s="12">
        <v>0.85</v>
      </c>
      <c r="R2835" s="12">
        <v>0.75</v>
      </c>
      <c r="S2835" s="12">
        <v>0.85</v>
      </c>
      <c r="T2835" s="12">
        <v>0.80499999999999994</v>
      </c>
      <c r="U2835" s="12">
        <v>0.95</v>
      </c>
      <c r="V2835" s="12">
        <v>300.032917</v>
      </c>
      <c r="W2835" s="12">
        <v>4.3738886899408698</v>
      </c>
      <c r="X2835" s="12">
        <v>6.4294317257774622</v>
      </c>
      <c r="Y2835" s="12">
        <v>2600</v>
      </c>
      <c r="Z2835" s="12">
        <v>7.5</v>
      </c>
      <c r="AA2835" s="12"/>
      <c r="AB2835" s="12"/>
    </row>
    <row r="2836" spans="1:28" x14ac:dyDescent="0.3">
      <c r="A2836" s="12" t="s">
        <v>4755</v>
      </c>
      <c r="B2836" s="12" t="s">
        <v>198</v>
      </c>
      <c r="C2836" s="12" t="s">
        <v>505</v>
      </c>
      <c r="D2836" s="12" t="s">
        <v>4740</v>
      </c>
      <c r="E2836" s="12" t="s">
        <v>4403</v>
      </c>
      <c r="F2836" s="12" t="s">
        <v>1861</v>
      </c>
      <c r="G2836" s="12" t="s">
        <v>1861</v>
      </c>
      <c r="H2836" s="12" t="b">
        <v>1</v>
      </c>
      <c r="I2836" s="12" t="b">
        <v>0</v>
      </c>
      <c r="J2836" s="12" t="b">
        <v>0</v>
      </c>
      <c r="K2836" s="12" t="b">
        <v>0</v>
      </c>
      <c r="L2836" s="12">
        <v>403</v>
      </c>
      <c r="M2836" s="12">
        <v>300.032917</v>
      </c>
      <c r="N2836" s="12">
        <v>3000</v>
      </c>
      <c r="O2836" s="12">
        <v>400</v>
      </c>
      <c r="P2836" s="12">
        <v>0.53500000000000003</v>
      </c>
      <c r="Q2836" s="12">
        <v>0.85</v>
      </c>
      <c r="R2836" s="12">
        <v>0.75</v>
      </c>
      <c r="S2836" s="12">
        <v>0.85</v>
      </c>
      <c r="T2836" s="12">
        <v>0.80499999999999994</v>
      </c>
      <c r="U2836" s="12">
        <v>0.95</v>
      </c>
      <c r="V2836" s="12">
        <v>300.032917</v>
      </c>
      <c r="W2836" s="12">
        <v>11.866510957867179</v>
      </c>
      <c r="X2836" s="12">
        <v>45.927228173129762</v>
      </c>
      <c r="Y2836" s="12">
        <v>2600</v>
      </c>
      <c r="Z2836" s="12">
        <v>7.5</v>
      </c>
      <c r="AA2836" s="12" t="s">
        <v>1268</v>
      </c>
      <c r="AB2836" s="12"/>
    </row>
    <row r="2837" spans="1:28" x14ac:dyDescent="0.3">
      <c r="A2837" s="12" t="s">
        <v>4756</v>
      </c>
      <c r="B2837" s="12" t="s">
        <v>198</v>
      </c>
      <c r="C2837" s="12" t="s">
        <v>505</v>
      </c>
      <c r="D2837" s="12" t="s">
        <v>4740</v>
      </c>
      <c r="E2837" s="12" t="s">
        <v>4403</v>
      </c>
      <c r="F2837" s="12" t="s">
        <v>32</v>
      </c>
      <c r="G2837" s="12" t="s">
        <v>32</v>
      </c>
      <c r="H2837" s="12" t="b">
        <v>1</v>
      </c>
      <c r="I2837" s="12" t="b">
        <v>1</v>
      </c>
      <c r="J2837" s="12" t="b">
        <v>0</v>
      </c>
      <c r="K2837" s="12" t="b">
        <v>0</v>
      </c>
      <c r="L2837" s="12">
        <v>403</v>
      </c>
      <c r="M2837" s="12">
        <v>300.032917</v>
      </c>
      <c r="N2837" s="12">
        <v>3000</v>
      </c>
      <c r="O2837" s="12">
        <v>400</v>
      </c>
      <c r="P2837" s="12">
        <v>0.5</v>
      </c>
      <c r="Q2837" s="12">
        <v>0.90500000000000003</v>
      </c>
      <c r="R2837" s="12">
        <v>0.75</v>
      </c>
      <c r="S2837" s="12">
        <v>0.85</v>
      </c>
      <c r="T2837" s="12">
        <v>0.80499999999999994</v>
      </c>
      <c r="U2837" s="12">
        <v>0.95</v>
      </c>
      <c r="V2837" s="12">
        <v>300.032917</v>
      </c>
      <c r="W2837" s="12">
        <v>10.98555073324297</v>
      </c>
      <c r="X2837" s="12">
        <v>33.46395266170888</v>
      </c>
      <c r="Y2837" s="12">
        <v>2600</v>
      </c>
      <c r="Z2837" s="12">
        <v>7.5</v>
      </c>
      <c r="AA2837" s="12"/>
      <c r="AB2837" s="12"/>
    </row>
    <row r="2838" spans="1:28" x14ac:dyDescent="0.3">
      <c r="A2838" s="12" t="s">
        <v>4757</v>
      </c>
      <c r="B2838" s="12" t="s">
        <v>198</v>
      </c>
      <c r="C2838" s="12" t="s">
        <v>505</v>
      </c>
      <c r="D2838" s="12" t="s">
        <v>4740</v>
      </c>
      <c r="E2838" s="12" t="s">
        <v>4403</v>
      </c>
      <c r="F2838" s="12" t="s">
        <v>32</v>
      </c>
      <c r="G2838" s="12" t="s">
        <v>32</v>
      </c>
      <c r="H2838" s="12" t="b">
        <v>1</v>
      </c>
      <c r="I2838" s="12" t="b">
        <v>1</v>
      </c>
      <c r="J2838" s="12" t="b">
        <v>0</v>
      </c>
      <c r="K2838" s="12" t="b">
        <v>0</v>
      </c>
      <c r="L2838" s="12">
        <v>403</v>
      </c>
      <c r="M2838" s="12">
        <v>300.032917</v>
      </c>
      <c r="N2838" s="12">
        <v>3000</v>
      </c>
      <c r="O2838" s="12">
        <v>400</v>
      </c>
      <c r="P2838" s="12">
        <v>0.5</v>
      </c>
      <c r="Q2838" s="12">
        <v>0.79500000000000004</v>
      </c>
      <c r="R2838" s="12">
        <v>0.75</v>
      </c>
      <c r="S2838" s="12">
        <v>0.85</v>
      </c>
      <c r="T2838" s="12">
        <v>0.80499999999999994</v>
      </c>
      <c r="U2838" s="12">
        <v>0.95</v>
      </c>
      <c r="V2838" s="12">
        <v>300.032917</v>
      </c>
      <c r="W2838" s="12">
        <v>9.4838024477565206</v>
      </c>
      <c r="X2838" s="12">
        <v>28.883250021921381</v>
      </c>
      <c r="Y2838" s="12">
        <v>2600</v>
      </c>
      <c r="Z2838" s="12">
        <v>7.5</v>
      </c>
      <c r="AA2838" s="12"/>
      <c r="AB2838" s="12"/>
    </row>
    <row r="2839" spans="1:28" x14ac:dyDescent="0.3">
      <c r="A2839" s="12" t="s">
        <v>4758</v>
      </c>
      <c r="B2839" s="12" t="s">
        <v>198</v>
      </c>
      <c r="C2839" s="12" t="s">
        <v>505</v>
      </c>
      <c r="D2839" s="12" t="s">
        <v>4740</v>
      </c>
      <c r="E2839" s="12" t="s">
        <v>4403</v>
      </c>
      <c r="F2839" s="12" t="s">
        <v>32</v>
      </c>
      <c r="G2839" s="12" t="s">
        <v>32</v>
      </c>
      <c r="H2839" s="12" t="b">
        <v>1</v>
      </c>
      <c r="I2839" s="12" t="b">
        <v>1</v>
      </c>
      <c r="J2839" s="12" t="b">
        <v>0</v>
      </c>
      <c r="K2839" s="12" t="b">
        <v>0</v>
      </c>
      <c r="L2839" s="12">
        <v>403</v>
      </c>
      <c r="M2839" s="12">
        <v>300.032917</v>
      </c>
      <c r="N2839" s="12">
        <v>3000</v>
      </c>
      <c r="O2839" s="12">
        <v>400</v>
      </c>
      <c r="P2839" s="12">
        <v>0.5</v>
      </c>
      <c r="Q2839" s="12">
        <v>0.85</v>
      </c>
      <c r="R2839" s="12">
        <v>0.80499999999999994</v>
      </c>
      <c r="S2839" s="12">
        <v>0.85</v>
      </c>
      <c r="T2839" s="12">
        <v>0.80499999999999994</v>
      </c>
      <c r="U2839" s="12">
        <v>0.95</v>
      </c>
      <c r="V2839" s="12">
        <v>300.032917</v>
      </c>
      <c r="W2839" s="12">
        <v>10.32627600274124</v>
      </c>
      <c r="X2839" s="12">
        <v>31.46074823077214</v>
      </c>
      <c r="Y2839" s="12">
        <v>2600</v>
      </c>
      <c r="Z2839" s="12">
        <v>7.5</v>
      </c>
      <c r="AA2839" s="12"/>
      <c r="AB2839" s="12"/>
    </row>
    <row r="2840" spans="1:28" x14ac:dyDescent="0.3">
      <c r="A2840" s="12" t="s">
        <v>4759</v>
      </c>
      <c r="B2840" s="12" t="s">
        <v>198</v>
      </c>
      <c r="C2840" s="12" t="s">
        <v>505</v>
      </c>
      <c r="D2840" s="12" t="s">
        <v>4740</v>
      </c>
      <c r="E2840" s="12" t="s">
        <v>4403</v>
      </c>
      <c r="F2840" s="12" t="s">
        <v>32</v>
      </c>
      <c r="G2840" s="12" t="s">
        <v>32</v>
      </c>
      <c r="H2840" s="12" t="b">
        <v>1</v>
      </c>
      <c r="I2840" s="12" t="b">
        <v>1</v>
      </c>
      <c r="J2840" s="12" t="b">
        <v>0</v>
      </c>
      <c r="K2840" s="12" t="b">
        <v>0</v>
      </c>
      <c r="L2840" s="12">
        <v>403</v>
      </c>
      <c r="M2840" s="12">
        <v>300.032917</v>
      </c>
      <c r="N2840" s="12">
        <v>3000</v>
      </c>
      <c r="O2840" s="12">
        <v>400</v>
      </c>
      <c r="P2840" s="12">
        <v>0.5</v>
      </c>
      <c r="Q2840" s="12">
        <v>0.85</v>
      </c>
      <c r="R2840" s="12">
        <v>0.69500000000000006</v>
      </c>
      <c r="S2840" s="12">
        <v>0.85</v>
      </c>
      <c r="T2840" s="12">
        <v>0.80499999999999994</v>
      </c>
      <c r="U2840" s="12">
        <v>0.95</v>
      </c>
      <c r="V2840" s="12">
        <v>300.032917</v>
      </c>
      <c r="W2840" s="12">
        <v>10.128729583049489</v>
      </c>
      <c r="X2840" s="12">
        <v>30.841127999218969</v>
      </c>
      <c r="Y2840" s="12">
        <v>2600</v>
      </c>
      <c r="Z2840" s="12">
        <v>7.5</v>
      </c>
      <c r="AA2840" s="12"/>
      <c r="AB2840" s="12"/>
    </row>
    <row r="2841" spans="1:28" x14ac:dyDescent="0.3">
      <c r="A2841" s="12" t="s">
        <v>4760</v>
      </c>
      <c r="B2841" s="12" t="s">
        <v>198</v>
      </c>
      <c r="C2841" s="12" t="s">
        <v>505</v>
      </c>
      <c r="D2841" s="12" t="s">
        <v>4740</v>
      </c>
      <c r="E2841" s="12" t="s">
        <v>4403</v>
      </c>
      <c r="F2841" s="12" t="s">
        <v>32</v>
      </c>
      <c r="G2841" s="12" t="s">
        <v>32</v>
      </c>
      <c r="H2841" s="12" t="b">
        <v>1</v>
      </c>
      <c r="I2841" s="12" t="b">
        <v>1</v>
      </c>
      <c r="J2841" s="12" t="b">
        <v>0</v>
      </c>
      <c r="K2841" s="12" t="b">
        <v>0</v>
      </c>
      <c r="L2841" s="12">
        <v>403</v>
      </c>
      <c r="M2841" s="12">
        <v>300.032917</v>
      </c>
      <c r="N2841" s="12">
        <v>3000</v>
      </c>
      <c r="O2841" s="12">
        <v>400</v>
      </c>
      <c r="P2841" s="12">
        <v>0.5</v>
      </c>
      <c r="Q2841" s="12">
        <v>0.85</v>
      </c>
      <c r="R2841" s="12">
        <v>0.75</v>
      </c>
      <c r="S2841" s="12">
        <v>0.90500000000000003</v>
      </c>
      <c r="T2841" s="12">
        <v>0.80499999999999994</v>
      </c>
      <c r="U2841" s="12">
        <v>0.95</v>
      </c>
      <c r="V2841" s="12">
        <v>300.032917</v>
      </c>
      <c r="W2841" s="12">
        <v>10.56042939107185</v>
      </c>
      <c r="X2841" s="12">
        <v>34.23217406936012</v>
      </c>
      <c r="Y2841" s="12">
        <v>2600</v>
      </c>
      <c r="Z2841" s="12">
        <v>7.5</v>
      </c>
      <c r="AA2841" s="12"/>
      <c r="AB2841" s="12"/>
    </row>
    <row r="2842" spans="1:28" x14ac:dyDescent="0.3">
      <c r="A2842" s="12" t="s">
        <v>4761</v>
      </c>
      <c r="B2842" s="12" t="s">
        <v>198</v>
      </c>
      <c r="C2842" s="12" t="s">
        <v>505</v>
      </c>
      <c r="D2842" s="12" t="s">
        <v>4740</v>
      </c>
      <c r="E2842" s="12" t="s">
        <v>4403</v>
      </c>
      <c r="F2842" s="12" t="s">
        <v>32</v>
      </c>
      <c r="G2842" s="12" t="s">
        <v>32</v>
      </c>
      <c r="H2842" s="12" t="b">
        <v>1</v>
      </c>
      <c r="I2842" s="12" t="b">
        <v>1</v>
      </c>
      <c r="J2842" s="12" t="b">
        <v>0</v>
      </c>
      <c r="K2842" s="12" t="b">
        <v>0</v>
      </c>
      <c r="L2842" s="12">
        <v>403</v>
      </c>
      <c r="M2842" s="12">
        <v>300.032917</v>
      </c>
      <c r="N2842" s="12">
        <v>3000</v>
      </c>
      <c r="O2842" s="12">
        <v>400</v>
      </c>
      <c r="P2842" s="12">
        <v>0.5</v>
      </c>
      <c r="Q2842" s="12">
        <v>0.85</v>
      </c>
      <c r="R2842" s="12">
        <v>0.75</v>
      </c>
      <c r="S2842" s="12">
        <v>0.79500000000000004</v>
      </c>
      <c r="T2842" s="12">
        <v>0.80499999999999994</v>
      </c>
      <c r="U2842" s="12">
        <v>0.95</v>
      </c>
      <c r="V2842" s="12">
        <v>300.032917</v>
      </c>
      <c r="W2842" s="12">
        <v>9.8624155169190804</v>
      </c>
      <c r="X2842" s="12">
        <v>28.109038597674701</v>
      </c>
      <c r="Y2842" s="12">
        <v>2600</v>
      </c>
      <c r="Z2842" s="12">
        <v>7.5</v>
      </c>
      <c r="AA2842" s="12"/>
      <c r="AB2842" s="12"/>
    </row>
    <row r="2843" spans="1:28" x14ac:dyDescent="0.3">
      <c r="A2843" s="12" t="s">
        <v>4762</v>
      </c>
      <c r="B2843" s="12" t="s">
        <v>198</v>
      </c>
      <c r="C2843" s="12" t="s">
        <v>505</v>
      </c>
      <c r="D2843" s="12" t="s">
        <v>4740</v>
      </c>
      <c r="E2843" s="12" t="s">
        <v>4403</v>
      </c>
      <c r="F2843" s="12" t="s">
        <v>32</v>
      </c>
      <c r="G2843" s="12" t="s">
        <v>32</v>
      </c>
      <c r="H2843" s="12" t="b">
        <v>1</v>
      </c>
      <c r="I2843" s="12" t="b">
        <v>1</v>
      </c>
      <c r="J2843" s="12" t="b">
        <v>0</v>
      </c>
      <c r="K2843" s="12" t="b">
        <v>0</v>
      </c>
      <c r="L2843" s="12">
        <v>403</v>
      </c>
      <c r="M2843" s="12">
        <v>300.032917</v>
      </c>
      <c r="N2843" s="12">
        <v>3000</v>
      </c>
      <c r="O2843" s="12">
        <v>400</v>
      </c>
      <c r="P2843" s="12">
        <v>0.5</v>
      </c>
      <c r="Q2843" s="12">
        <v>0.85</v>
      </c>
      <c r="R2843" s="12">
        <v>0.75</v>
      </c>
      <c r="S2843" s="12">
        <v>0.85</v>
      </c>
      <c r="T2843" s="12">
        <v>0.85999999999999988</v>
      </c>
      <c r="U2843" s="12">
        <v>0.95</v>
      </c>
      <c r="V2843" s="12">
        <v>300.032917</v>
      </c>
      <c r="W2843" s="12">
        <v>11.06076777930363</v>
      </c>
      <c r="X2843" s="12">
        <v>31.673778809025109</v>
      </c>
      <c r="Y2843" s="12">
        <v>2600</v>
      </c>
      <c r="Z2843" s="12">
        <v>7.5</v>
      </c>
      <c r="AA2843" s="12"/>
      <c r="AB2843" s="12"/>
    </row>
    <row r="2844" spans="1:28" x14ac:dyDescent="0.3">
      <c r="A2844" s="12" t="s">
        <v>4763</v>
      </c>
      <c r="B2844" s="12" t="s">
        <v>198</v>
      </c>
      <c r="C2844" s="12" t="s">
        <v>505</v>
      </c>
      <c r="D2844" s="12" t="s">
        <v>4740</v>
      </c>
      <c r="E2844" s="12" t="s">
        <v>4403</v>
      </c>
      <c r="F2844" s="12" t="s">
        <v>32</v>
      </c>
      <c r="G2844" s="12" t="s">
        <v>32</v>
      </c>
      <c r="H2844" s="12" t="b">
        <v>1</v>
      </c>
      <c r="I2844" s="12" t="b">
        <v>1</v>
      </c>
      <c r="J2844" s="12" t="b">
        <v>0</v>
      </c>
      <c r="K2844" s="12" t="b">
        <v>0</v>
      </c>
      <c r="L2844" s="12">
        <v>403</v>
      </c>
      <c r="M2844" s="12">
        <v>300.032917</v>
      </c>
      <c r="N2844" s="12">
        <v>3000</v>
      </c>
      <c r="O2844" s="12">
        <v>400</v>
      </c>
      <c r="P2844" s="12">
        <v>0.5</v>
      </c>
      <c r="Q2844" s="12">
        <v>0.85</v>
      </c>
      <c r="R2844" s="12">
        <v>0.75</v>
      </c>
      <c r="S2844" s="12">
        <v>0.85</v>
      </c>
      <c r="T2844" s="12">
        <v>0.75</v>
      </c>
      <c r="U2844" s="12">
        <v>0.95</v>
      </c>
      <c r="V2844" s="12">
        <v>300.032917</v>
      </c>
      <c r="W2844" s="12">
        <v>9.5047201280320994</v>
      </c>
      <c r="X2844" s="12">
        <v>30.675411282546069</v>
      </c>
      <c r="Y2844" s="12">
        <v>2600</v>
      </c>
      <c r="Z2844" s="12">
        <v>7.5</v>
      </c>
      <c r="AA2844" s="12"/>
      <c r="AB2844" s="12"/>
    </row>
    <row r="2845" spans="1:28" x14ac:dyDescent="0.3">
      <c r="A2845" s="12" t="s">
        <v>4764</v>
      </c>
      <c r="B2845" s="12" t="s">
        <v>198</v>
      </c>
      <c r="C2845" s="12" t="s">
        <v>505</v>
      </c>
      <c r="D2845" s="12" t="s">
        <v>4740</v>
      </c>
      <c r="E2845" s="12" t="s">
        <v>4403</v>
      </c>
      <c r="F2845" s="12" t="s">
        <v>1861</v>
      </c>
      <c r="G2845" s="12" t="s">
        <v>1861</v>
      </c>
      <c r="H2845" s="12" t="b">
        <v>1</v>
      </c>
      <c r="I2845" s="12" t="b">
        <v>0</v>
      </c>
      <c r="J2845" s="12" t="b">
        <v>0</v>
      </c>
      <c r="K2845" s="12" t="b">
        <v>0</v>
      </c>
      <c r="L2845" s="12">
        <v>403</v>
      </c>
      <c r="M2845" s="12">
        <v>300.032917</v>
      </c>
      <c r="N2845" s="12">
        <v>3000</v>
      </c>
      <c r="O2845" s="12">
        <v>400</v>
      </c>
      <c r="P2845" s="12">
        <v>0.5</v>
      </c>
      <c r="Q2845" s="12">
        <v>0.85</v>
      </c>
      <c r="R2845" s="12">
        <v>0.75</v>
      </c>
      <c r="S2845" s="12">
        <v>0.85</v>
      </c>
      <c r="T2845" s="12">
        <v>0.80499999999999994</v>
      </c>
      <c r="U2845" s="12">
        <v>0.89500000000000002</v>
      </c>
      <c r="V2845" s="12">
        <v>300.032917</v>
      </c>
      <c r="W2845" s="12">
        <v>10.41579603319428</v>
      </c>
      <c r="X2845" s="12">
        <v>31.23990614691996</v>
      </c>
      <c r="Y2845" s="12">
        <v>2600</v>
      </c>
      <c r="Z2845" s="12">
        <v>7.5</v>
      </c>
      <c r="AA2845" s="12" t="s">
        <v>1268</v>
      </c>
      <c r="AB2845" s="12"/>
    </row>
    <row r="2846" spans="1:28" x14ac:dyDescent="0.3">
      <c r="A2846" s="12" t="s">
        <v>4765</v>
      </c>
      <c r="B2846" s="12" t="s">
        <v>198</v>
      </c>
      <c r="C2846" s="12" t="s">
        <v>505</v>
      </c>
      <c r="D2846" s="12" t="s">
        <v>4740</v>
      </c>
      <c r="E2846" s="12" t="s">
        <v>4403</v>
      </c>
      <c r="F2846" s="12" t="s">
        <v>32</v>
      </c>
      <c r="G2846" s="12" t="s">
        <v>32</v>
      </c>
      <c r="H2846" s="12" t="b">
        <v>1</v>
      </c>
      <c r="I2846" s="12" t="b">
        <v>1</v>
      </c>
      <c r="J2846" s="12" t="b">
        <v>0</v>
      </c>
      <c r="K2846" s="12" t="b">
        <v>0</v>
      </c>
      <c r="L2846" s="12">
        <v>415</v>
      </c>
      <c r="M2846" s="12">
        <v>300.032917</v>
      </c>
      <c r="N2846" s="12">
        <v>3000</v>
      </c>
      <c r="O2846" s="12">
        <v>400</v>
      </c>
      <c r="P2846" s="12">
        <v>0.5</v>
      </c>
      <c r="Q2846" s="12">
        <v>0.85</v>
      </c>
      <c r="R2846" s="12">
        <v>0.75</v>
      </c>
      <c r="S2846" s="12">
        <v>0.85</v>
      </c>
      <c r="T2846" s="12">
        <v>0.85999999999999988</v>
      </c>
      <c r="U2846" s="12">
        <v>0.95</v>
      </c>
      <c r="V2846" s="12">
        <v>300.032917</v>
      </c>
      <c r="W2846" s="12">
        <v>12.57057628767882</v>
      </c>
      <c r="X2846" s="12">
        <v>54.984809582255878</v>
      </c>
      <c r="Y2846" s="12">
        <v>2600</v>
      </c>
      <c r="Z2846" s="12">
        <v>7.5</v>
      </c>
      <c r="AA2846" s="12"/>
      <c r="AB2846" s="12"/>
    </row>
    <row r="2847" spans="1:28" x14ac:dyDescent="0.3">
      <c r="A2847" s="12" t="s">
        <v>4766</v>
      </c>
      <c r="B2847" s="12" t="s">
        <v>198</v>
      </c>
      <c r="C2847" s="12" t="s">
        <v>505</v>
      </c>
      <c r="D2847" s="12" t="s">
        <v>4740</v>
      </c>
      <c r="E2847" s="12" t="s">
        <v>4403</v>
      </c>
      <c r="F2847" s="12" t="s">
        <v>32</v>
      </c>
      <c r="G2847" s="12" t="s">
        <v>32</v>
      </c>
      <c r="H2847" s="12" t="b">
        <v>1</v>
      </c>
      <c r="I2847" s="12" t="b">
        <v>1</v>
      </c>
      <c r="J2847" s="12" t="b">
        <v>0</v>
      </c>
      <c r="K2847" s="12" t="b">
        <v>0</v>
      </c>
      <c r="L2847" s="12">
        <v>391</v>
      </c>
      <c r="M2847" s="12">
        <v>300.032917</v>
      </c>
      <c r="N2847" s="12">
        <v>3000</v>
      </c>
      <c r="O2847" s="12">
        <v>400</v>
      </c>
      <c r="P2847" s="12">
        <v>0.5</v>
      </c>
      <c r="Q2847" s="12">
        <v>0.85</v>
      </c>
      <c r="R2847" s="12">
        <v>0.75</v>
      </c>
      <c r="S2847" s="12">
        <v>0.85</v>
      </c>
      <c r="T2847" s="12">
        <v>0.85999999999999988</v>
      </c>
      <c r="U2847" s="12">
        <v>0.95</v>
      </c>
      <c r="V2847" s="12">
        <v>300.032917</v>
      </c>
      <c r="W2847" s="12">
        <v>5.4098876679595707</v>
      </c>
      <c r="X2847" s="12">
        <v>6.9444660870926844</v>
      </c>
      <c r="Y2847" s="12">
        <v>2600</v>
      </c>
      <c r="Z2847" s="12">
        <v>7.5</v>
      </c>
      <c r="AA2847" s="12"/>
      <c r="AB2847" s="12"/>
    </row>
    <row r="2848" spans="1:28" x14ac:dyDescent="0.3">
      <c r="A2848" s="12" t="s">
        <v>4767</v>
      </c>
      <c r="B2848" s="12" t="s">
        <v>198</v>
      </c>
      <c r="C2848" s="12" t="s">
        <v>505</v>
      </c>
      <c r="D2848" s="12" t="s">
        <v>4740</v>
      </c>
      <c r="E2848" s="12" t="s">
        <v>4403</v>
      </c>
      <c r="F2848" s="12" t="s">
        <v>1861</v>
      </c>
      <c r="G2848" s="12" t="s">
        <v>1861</v>
      </c>
      <c r="H2848" s="12" t="b">
        <v>1</v>
      </c>
      <c r="I2848" s="12" t="b">
        <v>0</v>
      </c>
      <c r="J2848" s="12" t="b">
        <v>0</v>
      </c>
      <c r="K2848" s="12" t="b">
        <v>0</v>
      </c>
      <c r="L2848" s="12">
        <v>403</v>
      </c>
      <c r="M2848" s="12">
        <v>300.032917</v>
      </c>
      <c r="N2848" s="12">
        <v>3000</v>
      </c>
      <c r="O2848" s="12">
        <v>400</v>
      </c>
      <c r="P2848" s="12">
        <v>0.53500000000000003</v>
      </c>
      <c r="Q2848" s="12">
        <v>0.85</v>
      </c>
      <c r="R2848" s="12">
        <v>0.75</v>
      </c>
      <c r="S2848" s="12">
        <v>0.85</v>
      </c>
      <c r="T2848" s="12">
        <v>0.85999999999999988</v>
      </c>
      <c r="U2848" s="12">
        <v>0.95</v>
      </c>
      <c r="V2848" s="12">
        <v>300.032917</v>
      </c>
      <c r="W2848" s="12">
        <v>12.51799690849024</v>
      </c>
      <c r="X2848" s="12">
        <v>46.403335893008958</v>
      </c>
      <c r="Y2848" s="12">
        <v>2600</v>
      </c>
      <c r="Z2848" s="12">
        <v>7.5</v>
      </c>
      <c r="AA2848" s="12" t="s">
        <v>1268</v>
      </c>
      <c r="AB2848" s="12"/>
    </row>
    <row r="2849" spans="1:28" x14ac:dyDescent="0.3">
      <c r="A2849" s="12" t="s">
        <v>4768</v>
      </c>
      <c r="B2849" s="12" t="s">
        <v>198</v>
      </c>
      <c r="C2849" s="12" t="s">
        <v>505</v>
      </c>
      <c r="D2849" s="12" t="s">
        <v>4740</v>
      </c>
      <c r="E2849" s="12" t="s">
        <v>4403</v>
      </c>
      <c r="F2849" s="12" t="s">
        <v>32</v>
      </c>
      <c r="G2849" s="12" t="s">
        <v>32</v>
      </c>
      <c r="H2849" s="12" t="b">
        <v>1</v>
      </c>
      <c r="I2849" s="12" t="b">
        <v>1</v>
      </c>
      <c r="J2849" s="12" t="b">
        <v>0</v>
      </c>
      <c r="K2849" s="12" t="b">
        <v>0</v>
      </c>
      <c r="L2849" s="12">
        <v>403</v>
      </c>
      <c r="M2849" s="12">
        <v>300.032917</v>
      </c>
      <c r="N2849" s="12">
        <v>3000</v>
      </c>
      <c r="O2849" s="12">
        <v>400</v>
      </c>
      <c r="P2849" s="12">
        <v>0.5</v>
      </c>
      <c r="Q2849" s="12">
        <v>0.90500000000000003</v>
      </c>
      <c r="R2849" s="12">
        <v>0.75</v>
      </c>
      <c r="S2849" s="12">
        <v>0.85</v>
      </c>
      <c r="T2849" s="12">
        <v>0.85999999999999988</v>
      </c>
      <c r="U2849" s="12">
        <v>0.95</v>
      </c>
      <c r="V2849" s="12">
        <v>300.032917</v>
      </c>
      <c r="W2849" s="12">
        <v>11.870712113684711</v>
      </c>
      <c r="X2849" s="12">
        <v>33.99648698731216</v>
      </c>
      <c r="Y2849" s="12">
        <v>2600</v>
      </c>
      <c r="Z2849" s="12">
        <v>7.5</v>
      </c>
      <c r="AA2849" s="12"/>
      <c r="AB2849" s="12"/>
    </row>
    <row r="2850" spans="1:28" x14ac:dyDescent="0.3">
      <c r="A2850" s="12" t="s">
        <v>4769</v>
      </c>
      <c r="B2850" s="12" t="s">
        <v>198</v>
      </c>
      <c r="C2850" s="12" t="s">
        <v>505</v>
      </c>
      <c r="D2850" s="12" t="s">
        <v>4740</v>
      </c>
      <c r="E2850" s="12" t="s">
        <v>4403</v>
      </c>
      <c r="F2850" s="12" t="s">
        <v>32</v>
      </c>
      <c r="G2850" s="12" t="s">
        <v>32</v>
      </c>
      <c r="H2850" s="12" t="b">
        <v>1</v>
      </c>
      <c r="I2850" s="12" t="b">
        <v>1</v>
      </c>
      <c r="J2850" s="12" t="b">
        <v>0</v>
      </c>
      <c r="K2850" s="12" t="b">
        <v>0</v>
      </c>
      <c r="L2850" s="12">
        <v>403</v>
      </c>
      <c r="M2850" s="12">
        <v>300.032917</v>
      </c>
      <c r="N2850" s="12">
        <v>3000</v>
      </c>
      <c r="O2850" s="12">
        <v>400</v>
      </c>
      <c r="P2850" s="12">
        <v>0.5</v>
      </c>
      <c r="Q2850" s="12">
        <v>0.79500000000000004</v>
      </c>
      <c r="R2850" s="12">
        <v>0.75</v>
      </c>
      <c r="S2850" s="12">
        <v>0.85</v>
      </c>
      <c r="T2850" s="12">
        <v>0.85999999999999988</v>
      </c>
      <c r="U2850" s="12">
        <v>0.95</v>
      </c>
      <c r="V2850" s="12">
        <v>300.032917</v>
      </c>
      <c r="W2850" s="12">
        <v>10.250629586833419</v>
      </c>
      <c r="X2850" s="12">
        <v>29.3509709878204</v>
      </c>
      <c r="Y2850" s="12">
        <v>2600</v>
      </c>
      <c r="Z2850" s="12">
        <v>7.5</v>
      </c>
      <c r="AA2850" s="12"/>
      <c r="AB2850" s="12"/>
    </row>
    <row r="2851" spans="1:28" x14ac:dyDescent="0.3">
      <c r="A2851" s="12" t="s">
        <v>4770</v>
      </c>
      <c r="B2851" s="12" t="s">
        <v>198</v>
      </c>
      <c r="C2851" s="12" t="s">
        <v>505</v>
      </c>
      <c r="D2851" s="12" t="s">
        <v>4740</v>
      </c>
      <c r="E2851" s="12" t="s">
        <v>4403</v>
      </c>
      <c r="F2851" s="12" t="s">
        <v>32</v>
      </c>
      <c r="G2851" s="12" t="s">
        <v>32</v>
      </c>
      <c r="H2851" s="12" t="b">
        <v>1</v>
      </c>
      <c r="I2851" s="12" t="b">
        <v>1</v>
      </c>
      <c r="J2851" s="12" t="b">
        <v>0</v>
      </c>
      <c r="K2851" s="12" t="b">
        <v>0</v>
      </c>
      <c r="L2851" s="12">
        <v>403</v>
      </c>
      <c r="M2851" s="12">
        <v>300.032917</v>
      </c>
      <c r="N2851" s="12">
        <v>3000</v>
      </c>
      <c r="O2851" s="12">
        <v>400</v>
      </c>
      <c r="P2851" s="12">
        <v>0.5</v>
      </c>
      <c r="Q2851" s="12">
        <v>0.85</v>
      </c>
      <c r="R2851" s="12">
        <v>0.80499999999999994</v>
      </c>
      <c r="S2851" s="12">
        <v>0.85</v>
      </c>
      <c r="T2851" s="12">
        <v>0.85999999999999988</v>
      </c>
      <c r="U2851" s="12">
        <v>0.95</v>
      </c>
      <c r="V2851" s="12">
        <v>300.032917</v>
      </c>
      <c r="W2851" s="12">
        <v>11.158379659324931</v>
      </c>
      <c r="X2851" s="12">
        <v>31.961107440479822</v>
      </c>
      <c r="Y2851" s="12">
        <v>2600</v>
      </c>
      <c r="Z2851" s="12">
        <v>7.5</v>
      </c>
      <c r="AA2851" s="12"/>
      <c r="AB2851" s="12"/>
    </row>
    <row r="2852" spans="1:28" x14ac:dyDescent="0.3">
      <c r="A2852" s="12" t="s">
        <v>4771</v>
      </c>
      <c r="B2852" s="12" t="s">
        <v>198</v>
      </c>
      <c r="C2852" s="12" t="s">
        <v>505</v>
      </c>
      <c r="D2852" s="12" t="s">
        <v>4740</v>
      </c>
      <c r="E2852" s="12" t="s">
        <v>4403</v>
      </c>
      <c r="F2852" s="12" t="s">
        <v>32</v>
      </c>
      <c r="G2852" s="12" t="s">
        <v>32</v>
      </c>
      <c r="H2852" s="12" t="b">
        <v>1</v>
      </c>
      <c r="I2852" s="12" t="b">
        <v>1</v>
      </c>
      <c r="J2852" s="12" t="b">
        <v>0</v>
      </c>
      <c r="K2852" s="12" t="b">
        <v>0</v>
      </c>
      <c r="L2852" s="12">
        <v>403</v>
      </c>
      <c r="M2852" s="12">
        <v>300.032917</v>
      </c>
      <c r="N2852" s="12">
        <v>3000</v>
      </c>
      <c r="O2852" s="12">
        <v>400</v>
      </c>
      <c r="P2852" s="12">
        <v>0.5</v>
      </c>
      <c r="Q2852" s="12">
        <v>0.85</v>
      </c>
      <c r="R2852" s="12">
        <v>0.69500000000000006</v>
      </c>
      <c r="S2852" s="12">
        <v>0.85</v>
      </c>
      <c r="T2852" s="12">
        <v>0.85999999999999988</v>
      </c>
      <c r="U2852" s="12">
        <v>0.95</v>
      </c>
      <c r="V2852" s="12">
        <v>300.032917</v>
      </c>
      <c r="W2852" s="12">
        <v>10.947646323096899</v>
      </c>
      <c r="X2852" s="12">
        <v>31.34097170942162</v>
      </c>
      <c r="Y2852" s="12">
        <v>2600</v>
      </c>
      <c r="Z2852" s="12">
        <v>7.5</v>
      </c>
      <c r="AA2852" s="12"/>
      <c r="AB2852" s="12"/>
    </row>
    <row r="2853" spans="1:28" x14ac:dyDescent="0.3">
      <c r="A2853" s="12" t="s">
        <v>4772</v>
      </c>
      <c r="B2853" s="12" t="s">
        <v>198</v>
      </c>
      <c r="C2853" s="12" t="s">
        <v>505</v>
      </c>
      <c r="D2853" s="12" t="s">
        <v>4740</v>
      </c>
      <c r="E2853" s="12" t="s">
        <v>4403</v>
      </c>
      <c r="F2853" s="12" t="s">
        <v>32</v>
      </c>
      <c r="G2853" s="12" t="s">
        <v>32</v>
      </c>
      <c r="H2853" s="12" t="b">
        <v>1</v>
      </c>
      <c r="I2853" s="12" t="b">
        <v>1</v>
      </c>
      <c r="J2853" s="12" t="b">
        <v>0</v>
      </c>
      <c r="K2853" s="12" t="b">
        <v>0</v>
      </c>
      <c r="L2853" s="12">
        <v>403</v>
      </c>
      <c r="M2853" s="12">
        <v>300.032917</v>
      </c>
      <c r="N2853" s="12">
        <v>3000</v>
      </c>
      <c r="O2853" s="12">
        <v>400</v>
      </c>
      <c r="P2853" s="12">
        <v>0.5</v>
      </c>
      <c r="Q2853" s="12">
        <v>0.85</v>
      </c>
      <c r="R2853" s="12">
        <v>0.75</v>
      </c>
      <c r="S2853" s="12">
        <v>0.90500000000000003</v>
      </c>
      <c r="T2853" s="12">
        <v>0.85999999999999988</v>
      </c>
      <c r="U2853" s="12">
        <v>0.95</v>
      </c>
      <c r="V2853" s="12">
        <v>300.032917</v>
      </c>
      <c r="W2853" s="12">
        <v>11.334160171375419</v>
      </c>
      <c r="X2853" s="12">
        <v>34.548046301740577</v>
      </c>
      <c r="Y2853" s="12">
        <v>2600</v>
      </c>
      <c r="Z2853" s="12">
        <v>7.5</v>
      </c>
      <c r="AA2853" s="12"/>
      <c r="AB2853" s="12"/>
    </row>
    <row r="2854" spans="1:28" x14ac:dyDescent="0.3">
      <c r="A2854" s="12" t="s">
        <v>4773</v>
      </c>
      <c r="B2854" s="12" t="s">
        <v>198</v>
      </c>
      <c r="C2854" s="12" t="s">
        <v>505</v>
      </c>
      <c r="D2854" s="12" t="s">
        <v>4740</v>
      </c>
      <c r="E2854" s="12" t="s">
        <v>4403</v>
      </c>
      <c r="F2854" s="12" t="s">
        <v>32</v>
      </c>
      <c r="G2854" s="12" t="s">
        <v>32</v>
      </c>
      <c r="H2854" s="12" t="b">
        <v>1</v>
      </c>
      <c r="I2854" s="12" t="b">
        <v>1</v>
      </c>
      <c r="J2854" s="12" t="b">
        <v>0</v>
      </c>
      <c r="K2854" s="12" t="b">
        <v>0</v>
      </c>
      <c r="L2854" s="12">
        <v>403</v>
      </c>
      <c r="M2854" s="12">
        <v>300.032917</v>
      </c>
      <c r="N2854" s="12">
        <v>3000</v>
      </c>
      <c r="O2854" s="12">
        <v>400</v>
      </c>
      <c r="P2854" s="12">
        <v>0.5</v>
      </c>
      <c r="Q2854" s="12">
        <v>0.85</v>
      </c>
      <c r="R2854" s="12">
        <v>0.75</v>
      </c>
      <c r="S2854" s="12">
        <v>0.79500000000000004</v>
      </c>
      <c r="T2854" s="12">
        <v>0.85999999999999988</v>
      </c>
      <c r="U2854" s="12">
        <v>0.95</v>
      </c>
      <c r="V2854" s="12">
        <v>300.032917</v>
      </c>
      <c r="W2854" s="12">
        <v>10.74788509154604</v>
      </c>
      <c r="X2854" s="12">
        <v>28.79491596975809</v>
      </c>
      <c r="Y2854" s="12">
        <v>2600</v>
      </c>
      <c r="Z2854" s="12">
        <v>7.5</v>
      </c>
      <c r="AA2854" s="12"/>
      <c r="AB2854" s="12"/>
    </row>
    <row r="2855" spans="1:28" x14ac:dyDescent="0.3">
      <c r="A2855" s="12" t="s">
        <v>4774</v>
      </c>
      <c r="B2855" s="12" t="s">
        <v>198</v>
      </c>
      <c r="C2855" s="12" t="s">
        <v>505</v>
      </c>
      <c r="D2855" s="12" t="s">
        <v>4740</v>
      </c>
      <c r="E2855" s="12" t="s">
        <v>4403</v>
      </c>
      <c r="F2855" s="12" t="s">
        <v>32</v>
      </c>
      <c r="G2855" s="12" t="s">
        <v>32</v>
      </c>
      <c r="H2855" s="12" t="b">
        <v>1</v>
      </c>
      <c r="I2855" s="12" t="b">
        <v>1</v>
      </c>
      <c r="J2855" s="12" t="b">
        <v>0</v>
      </c>
      <c r="K2855" s="12" t="b">
        <v>0</v>
      </c>
      <c r="L2855" s="12">
        <v>403</v>
      </c>
      <c r="M2855" s="12">
        <v>300.032917</v>
      </c>
      <c r="N2855" s="12">
        <v>3000</v>
      </c>
      <c r="O2855" s="12">
        <v>400</v>
      </c>
      <c r="P2855" s="12">
        <v>0.5</v>
      </c>
      <c r="Q2855" s="12">
        <v>0.85</v>
      </c>
      <c r="R2855" s="12">
        <v>0.75</v>
      </c>
      <c r="S2855" s="12">
        <v>0.85</v>
      </c>
      <c r="T2855" s="12">
        <v>0.91500000000000004</v>
      </c>
      <c r="U2855" s="12">
        <v>0.95</v>
      </c>
      <c r="V2855" s="12">
        <v>300.032917</v>
      </c>
      <c r="W2855" s="12">
        <v>12.00289687214687</v>
      </c>
      <c r="X2855" s="12">
        <v>32.175757928089887</v>
      </c>
      <c r="Y2855" s="12">
        <v>2600</v>
      </c>
      <c r="Z2855" s="12">
        <v>7.5</v>
      </c>
      <c r="AA2855" s="12"/>
      <c r="AB2855" s="12"/>
    </row>
    <row r="2856" spans="1:28" x14ac:dyDescent="0.3">
      <c r="A2856" s="12" t="s">
        <v>4775</v>
      </c>
      <c r="B2856" s="12" t="s">
        <v>198</v>
      </c>
      <c r="C2856" s="12" t="s">
        <v>505</v>
      </c>
      <c r="D2856" s="12" t="s">
        <v>4740</v>
      </c>
      <c r="E2856" s="12" t="s">
        <v>4403</v>
      </c>
      <c r="F2856" s="12" t="s">
        <v>32</v>
      </c>
      <c r="G2856" s="12" t="s">
        <v>32</v>
      </c>
      <c r="H2856" s="12" t="b">
        <v>1</v>
      </c>
      <c r="I2856" s="12" t="b">
        <v>1</v>
      </c>
      <c r="J2856" s="12" t="b">
        <v>0</v>
      </c>
      <c r="K2856" s="12" t="b">
        <v>0</v>
      </c>
      <c r="L2856" s="12">
        <v>403</v>
      </c>
      <c r="M2856" s="12">
        <v>300.032917</v>
      </c>
      <c r="N2856" s="12">
        <v>3000</v>
      </c>
      <c r="O2856" s="12">
        <v>400</v>
      </c>
      <c r="P2856" s="12">
        <v>0.5</v>
      </c>
      <c r="Q2856" s="12">
        <v>0.85</v>
      </c>
      <c r="R2856" s="12">
        <v>0.75</v>
      </c>
      <c r="S2856" s="12">
        <v>0.85</v>
      </c>
      <c r="T2856" s="12">
        <v>0.80499999999999994</v>
      </c>
      <c r="U2856" s="12">
        <v>0.95</v>
      </c>
      <c r="V2856" s="12">
        <v>300.032917</v>
      </c>
      <c r="W2856" s="12">
        <v>10.234774683817429</v>
      </c>
      <c r="X2856" s="12">
        <v>31.173658397226081</v>
      </c>
      <c r="Y2856" s="12">
        <v>2600</v>
      </c>
      <c r="Z2856" s="12">
        <v>7.5</v>
      </c>
      <c r="AA2856" s="12"/>
      <c r="AB2856" s="12"/>
    </row>
    <row r="2857" spans="1:28" x14ac:dyDescent="0.3">
      <c r="A2857" s="12" t="s">
        <v>4776</v>
      </c>
      <c r="B2857" s="12" t="s">
        <v>198</v>
      </c>
      <c r="C2857" s="12" t="s">
        <v>505</v>
      </c>
      <c r="D2857" s="12" t="s">
        <v>4740</v>
      </c>
      <c r="E2857" s="12" t="s">
        <v>4403</v>
      </c>
      <c r="F2857" s="12" t="s">
        <v>1861</v>
      </c>
      <c r="G2857" s="12" t="s">
        <v>1861</v>
      </c>
      <c r="H2857" s="12" t="b">
        <v>1</v>
      </c>
      <c r="I2857" s="12" t="b">
        <v>0</v>
      </c>
      <c r="J2857" s="12" t="b">
        <v>0</v>
      </c>
      <c r="K2857" s="12" t="b">
        <v>0</v>
      </c>
      <c r="L2857" s="12">
        <v>403</v>
      </c>
      <c r="M2857" s="12">
        <v>300.032917</v>
      </c>
      <c r="N2857" s="12">
        <v>3000</v>
      </c>
      <c r="O2857" s="12">
        <v>400</v>
      </c>
      <c r="P2857" s="12">
        <v>0.5</v>
      </c>
      <c r="Q2857" s="12">
        <v>0.85</v>
      </c>
      <c r="R2857" s="12">
        <v>0.75</v>
      </c>
      <c r="S2857" s="12">
        <v>0.85</v>
      </c>
      <c r="T2857" s="12">
        <v>0.85999999999999988</v>
      </c>
      <c r="U2857" s="12">
        <v>0.89500000000000002</v>
      </c>
      <c r="V2857" s="12">
        <v>300.032917</v>
      </c>
      <c r="W2857" s="12">
        <v>11.22758165517693</v>
      </c>
      <c r="X2857" s="12">
        <v>31.731376477011221</v>
      </c>
      <c r="Y2857" s="12">
        <v>2600</v>
      </c>
      <c r="Z2857" s="12">
        <v>7.5</v>
      </c>
      <c r="AA2857" s="12" t="s">
        <v>1268</v>
      </c>
      <c r="AB2857" s="12"/>
    </row>
    <row r="2858" spans="1:28" x14ac:dyDescent="0.3">
      <c r="A2858" s="12" t="s">
        <v>4777</v>
      </c>
      <c r="B2858" s="12" t="s">
        <v>198</v>
      </c>
      <c r="C2858" s="12" t="s">
        <v>505</v>
      </c>
      <c r="D2858" s="12" t="s">
        <v>4740</v>
      </c>
      <c r="E2858" s="12" t="s">
        <v>4403</v>
      </c>
      <c r="F2858" s="12" t="s">
        <v>1861</v>
      </c>
      <c r="G2858" s="12" t="s">
        <v>1861</v>
      </c>
      <c r="H2858" s="12" t="b">
        <v>1</v>
      </c>
      <c r="I2858" s="12" t="b">
        <v>0</v>
      </c>
      <c r="J2858" s="12" t="b">
        <v>1</v>
      </c>
      <c r="K2858" s="12" t="b">
        <v>0</v>
      </c>
      <c r="L2858" s="12">
        <v>427</v>
      </c>
      <c r="M2858" s="12">
        <v>300.032917</v>
      </c>
      <c r="N2858" s="12">
        <v>3000</v>
      </c>
      <c r="O2858" s="12">
        <v>400</v>
      </c>
      <c r="P2858" s="12">
        <v>0.5</v>
      </c>
      <c r="Q2858" s="12">
        <v>0.85</v>
      </c>
      <c r="R2858" s="12">
        <v>0.75</v>
      </c>
      <c r="S2858" s="12">
        <v>0.85</v>
      </c>
      <c r="T2858" s="12">
        <v>0.85999999999999988</v>
      </c>
      <c r="U2858" s="12">
        <v>0.95</v>
      </c>
      <c r="V2858" s="12">
        <v>300.032917</v>
      </c>
      <c r="W2858" s="12">
        <v>13.21749643403334</v>
      </c>
      <c r="X2858" s="12">
        <v>79.215135353564889</v>
      </c>
      <c r="Y2858" s="12">
        <v>2600</v>
      </c>
      <c r="Z2858" s="12">
        <v>7.5</v>
      </c>
      <c r="AA2858" s="12" t="s">
        <v>1268</v>
      </c>
      <c r="AB2858" s="12"/>
    </row>
    <row r="2859" spans="1:28" x14ac:dyDescent="0.3">
      <c r="A2859" s="12" t="s">
        <v>4778</v>
      </c>
      <c r="B2859" s="12" t="s">
        <v>198</v>
      </c>
      <c r="C2859" s="12" t="s">
        <v>505</v>
      </c>
      <c r="D2859" s="12" t="s">
        <v>4740</v>
      </c>
      <c r="E2859" s="12" t="s">
        <v>4403</v>
      </c>
      <c r="F2859" s="12" t="s">
        <v>32</v>
      </c>
      <c r="G2859" s="12" t="s">
        <v>32</v>
      </c>
      <c r="H2859" s="12" t="b">
        <v>1</v>
      </c>
      <c r="I2859" s="12" t="b">
        <v>1</v>
      </c>
      <c r="J2859" s="12" t="b">
        <v>0</v>
      </c>
      <c r="K2859" s="12" t="b">
        <v>0</v>
      </c>
      <c r="L2859" s="12">
        <v>403</v>
      </c>
      <c r="M2859" s="12">
        <v>300.032917</v>
      </c>
      <c r="N2859" s="12">
        <v>3000</v>
      </c>
      <c r="O2859" s="12">
        <v>400</v>
      </c>
      <c r="P2859" s="12">
        <v>0.5</v>
      </c>
      <c r="Q2859" s="12">
        <v>0.85</v>
      </c>
      <c r="R2859" s="12">
        <v>0.75</v>
      </c>
      <c r="S2859" s="12">
        <v>0.85</v>
      </c>
      <c r="T2859" s="12">
        <v>0.85999999999999988</v>
      </c>
      <c r="U2859" s="12">
        <v>0.95</v>
      </c>
      <c r="V2859" s="12">
        <v>300.032917</v>
      </c>
      <c r="W2859" s="12">
        <v>11.06076777930363</v>
      </c>
      <c r="X2859" s="12">
        <v>31.673778809025109</v>
      </c>
      <c r="Y2859" s="12">
        <v>2600</v>
      </c>
      <c r="Z2859" s="12">
        <v>7.5</v>
      </c>
      <c r="AA2859" s="12"/>
      <c r="AB2859" s="12"/>
    </row>
    <row r="2860" spans="1:28" x14ac:dyDescent="0.3">
      <c r="A2860" s="12" t="s">
        <v>4779</v>
      </c>
      <c r="B2860" s="12" t="s">
        <v>198</v>
      </c>
      <c r="C2860" s="12" t="s">
        <v>505</v>
      </c>
      <c r="D2860" s="12" t="s">
        <v>4740</v>
      </c>
      <c r="E2860" s="12" t="s">
        <v>4403</v>
      </c>
      <c r="F2860" s="12" t="s">
        <v>1861</v>
      </c>
      <c r="G2860" s="12" t="s">
        <v>1861</v>
      </c>
      <c r="H2860" s="12" t="b">
        <v>1</v>
      </c>
      <c r="I2860" s="12" t="b">
        <v>0</v>
      </c>
      <c r="J2860" s="12" t="b">
        <v>0</v>
      </c>
      <c r="K2860" s="12" t="b">
        <v>0</v>
      </c>
      <c r="L2860" s="12">
        <v>415</v>
      </c>
      <c r="M2860" s="12">
        <v>300.032917</v>
      </c>
      <c r="N2860" s="12">
        <v>3000</v>
      </c>
      <c r="O2860" s="12">
        <v>400</v>
      </c>
      <c r="P2860" s="12">
        <v>0.53500000000000003</v>
      </c>
      <c r="Q2860" s="12">
        <v>0.85</v>
      </c>
      <c r="R2860" s="12">
        <v>0.75</v>
      </c>
      <c r="S2860" s="12">
        <v>0.85</v>
      </c>
      <c r="T2860" s="12">
        <v>0.85999999999999988</v>
      </c>
      <c r="U2860" s="12">
        <v>0.95</v>
      </c>
      <c r="V2860" s="12">
        <v>300.032917</v>
      </c>
      <c r="W2860" s="12">
        <v>13.409140248510759</v>
      </c>
      <c r="X2860" s="12">
        <v>69.701680386573841</v>
      </c>
      <c r="Y2860" s="12">
        <v>2600</v>
      </c>
      <c r="Z2860" s="12">
        <v>7.5</v>
      </c>
      <c r="AA2860" s="12" t="s">
        <v>1268</v>
      </c>
      <c r="AB2860" s="12"/>
    </row>
    <row r="2861" spans="1:28" x14ac:dyDescent="0.3">
      <c r="A2861" s="12" t="s">
        <v>4780</v>
      </c>
      <c r="B2861" s="12" t="s">
        <v>198</v>
      </c>
      <c r="C2861" s="12" t="s">
        <v>505</v>
      </c>
      <c r="D2861" s="12" t="s">
        <v>4740</v>
      </c>
      <c r="E2861" s="12" t="s">
        <v>4403</v>
      </c>
      <c r="F2861" s="12" t="s">
        <v>32</v>
      </c>
      <c r="G2861" s="12" t="s">
        <v>32</v>
      </c>
      <c r="H2861" s="12" t="b">
        <v>1</v>
      </c>
      <c r="I2861" s="12" t="b">
        <v>1</v>
      </c>
      <c r="J2861" s="12" t="b">
        <v>0</v>
      </c>
      <c r="K2861" s="12" t="b">
        <v>0</v>
      </c>
      <c r="L2861" s="12">
        <v>415</v>
      </c>
      <c r="M2861" s="12">
        <v>300.032917</v>
      </c>
      <c r="N2861" s="12">
        <v>3000</v>
      </c>
      <c r="O2861" s="12">
        <v>400</v>
      </c>
      <c r="P2861" s="12">
        <v>0.5</v>
      </c>
      <c r="Q2861" s="12">
        <v>0.90500000000000003</v>
      </c>
      <c r="R2861" s="12">
        <v>0.75</v>
      </c>
      <c r="S2861" s="12">
        <v>0.85</v>
      </c>
      <c r="T2861" s="12">
        <v>0.85999999999999988</v>
      </c>
      <c r="U2861" s="12">
        <v>0.95</v>
      </c>
      <c r="V2861" s="12">
        <v>300.032917</v>
      </c>
      <c r="W2861" s="12">
        <v>13.444529552006159</v>
      </c>
      <c r="X2861" s="12">
        <v>58.815528896050267</v>
      </c>
      <c r="Y2861" s="12">
        <v>2600</v>
      </c>
      <c r="Z2861" s="12">
        <v>7.5</v>
      </c>
      <c r="AA2861" s="12"/>
      <c r="AB2861" s="12"/>
    </row>
    <row r="2862" spans="1:28" x14ac:dyDescent="0.3">
      <c r="A2862" s="12" t="s">
        <v>4781</v>
      </c>
      <c r="B2862" s="12" t="s">
        <v>198</v>
      </c>
      <c r="C2862" s="12" t="s">
        <v>505</v>
      </c>
      <c r="D2862" s="12" t="s">
        <v>4740</v>
      </c>
      <c r="E2862" s="12" t="s">
        <v>4403</v>
      </c>
      <c r="F2862" s="12" t="s">
        <v>32</v>
      </c>
      <c r="G2862" s="12" t="s">
        <v>32</v>
      </c>
      <c r="H2862" s="12" t="b">
        <v>1</v>
      </c>
      <c r="I2862" s="12" t="b">
        <v>1</v>
      </c>
      <c r="J2862" s="12" t="b">
        <v>0</v>
      </c>
      <c r="K2862" s="12" t="b">
        <v>0</v>
      </c>
      <c r="L2862" s="12">
        <v>415</v>
      </c>
      <c r="M2862" s="12">
        <v>300.032917</v>
      </c>
      <c r="N2862" s="12">
        <v>3000</v>
      </c>
      <c r="O2862" s="12">
        <v>400</v>
      </c>
      <c r="P2862" s="12">
        <v>0.5</v>
      </c>
      <c r="Q2862" s="12">
        <v>0.79500000000000004</v>
      </c>
      <c r="R2862" s="12">
        <v>0.75</v>
      </c>
      <c r="S2862" s="12">
        <v>0.85</v>
      </c>
      <c r="T2862" s="12">
        <v>0.85999999999999988</v>
      </c>
      <c r="U2862" s="12">
        <v>0.95</v>
      </c>
      <c r="V2862" s="12">
        <v>300.032917</v>
      </c>
      <c r="W2862" s="12">
        <v>11.6963385067949</v>
      </c>
      <c r="X2862" s="12">
        <v>51.153881747192543</v>
      </c>
      <c r="Y2862" s="12">
        <v>2600</v>
      </c>
      <c r="Z2862" s="12">
        <v>7.5</v>
      </c>
      <c r="AA2862" s="12"/>
      <c r="AB2862" s="12"/>
    </row>
    <row r="2863" spans="1:28" x14ac:dyDescent="0.3">
      <c r="A2863" s="12" t="s">
        <v>4782</v>
      </c>
      <c r="B2863" s="12" t="s">
        <v>198</v>
      </c>
      <c r="C2863" s="12" t="s">
        <v>505</v>
      </c>
      <c r="D2863" s="12" t="s">
        <v>4740</v>
      </c>
      <c r="E2863" s="12" t="s">
        <v>4403</v>
      </c>
      <c r="F2863" s="12" t="s">
        <v>32</v>
      </c>
      <c r="G2863" s="12" t="s">
        <v>32</v>
      </c>
      <c r="H2863" s="12" t="b">
        <v>1</v>
      </c>
      <c r="I2863" s="12" t="b">
        <v>1</v>
      </c>
      <c r="J2863" s="12" t="b">
        <v>0</v>
      </c>
      <c r="K2863" s="12" t="b">
        <v>0</v>
      </c>
      <c r="L2863" s="12">
        <v>415</v>
      </c>
      <c r="M2863" s="12">
        <v>300.032917</v>
      </c>
      <c r="N2863" s="12">
        <v>3000</v>
      </c>
      <c r="O2863" s="12">
        <v>400</v>
      </c>
      <c r="P2863" s="12">
        <v>0.5</v>
      </c>
      <c r="Q2863" s="12">
        <v>0.85</v>
      </c>
      <c r="R2863" s="12">
        <v>0.80499999999999994</v>
      </c>
      <c r="S2863" s="12">
        <v>0.85</v>
      </c>
      <c r="T2863" s="12">
        <v>0.85999999999999988</v>
      </c>
      <c r="U2863" s="12">
        <v>0.95</v>
      </c>
      <c r="V2863" s="12">
        <v>300.032917</v>
      </c>
      <c r="W2863" s="12">
        <v>12.63367152062305</v>
      </c>
      <c r="X2863" s="12">
        <v>55.272106748378349</v>
      </c>
      <c r="Y2863" s="12">
        <v>2600</v>
      </c>
      <c r="Z2863" s="12">
        <v>7.5</v>
      </c>
      <c r="AA2863" s="12"/>
      <c r="AB2863" s="12"/>
    </row>
    <row r="2864" spans="1:28" x14ac:dyDescent="0.3">
      <c r="A2864" s="12" t="s">
        <v>4783</v>
      </c>
      <c r="B2864" s="12" t="s">
        <v>198</v>
      </c>
      <c r="C2864" s="12" t="s">
        <v>505</v>
      </c>
      <c r="D2864" s="12" t="s">
        <v>4740</v>
      </c>
      <c r="E2864" s="12" t="s">
        <v>4403</v>
      </c>
      <c r="F2864" s="12" t="s">
        <v>32</v>
      </c>
      <c r="G2864" s="12" t="s">
        <v>32</v>
      </c>
      <c r="H2864" s="12" t="b">
        <v>1</v>
      </c>
      <c r="I2864" s="12" t="b">
        <v>1</v>
      </c>
      <c r="J2864" s="12" t="b">
        <v>0</v>
      </c>
      <c r="K2864" s="12" t="b">
        <v>0</v>
      </c>
      <c r="L2864" s="12">
        <v>415</v>
      </c>
      <c r="M2864" s="12">
        <v>300.032917</v>
      </c>
      <c r="N2864" s="12">
        <v>3000</v>
      </c>
      <c r="O2864" s="12">
        <v>400</v>
      </c>
      <c r="P2864" s="12">
        <v>0.5</v>
      </c>
      <c r="Q2864" s="12">
        <v>0.85</v>
      </c>
      <c r="R2864" s="12">
        <v>0.69500000000000006</v>
      </c>
      <c r="S2864" s="12">
        <v>0.85</v>
      </c>
      <c r="T2864" s="12">
        <v>0.85999999999999988</v>
      </c>
      <c r="U2864" s="12">
        <v>0.95</v>
      </c>
      <c r="V2864" s="12">
        <v>300.032917</v>
      </c>
      <c r="W2864" s="12">
        <v>12.49746210350944</v>
      </c>
      <c r="X2864" s="12">
        <v>54.652039084573516</v>
      </c>
      <c r="Y2864" s="12">
        <v>2600</v>
      </c>
      <c r="Z2864" s="12">
        <v>7.5</v>
      </c>
      <c r="AA2864" s="12"/>
      <c r="AB2864" s="12"/>
    </row>
    <row r="2865" spans="1:28" x14ac:dyDescent="0.3">
      <c r="A2865" s="12" t="s">
        <v>4784</v>
      </c>
      <c r="B2865" s="12" t="s">
        <v>198</v>
      </c>
      <c r="C2865" s="12" t="s">
        <v>505</v>
      </c>
      <c r="D2865" s="12" t="s">
        <v>4740</v>
      </c>
      <c r="E2865" s="12" t="s">
        <v>4403</v>
      </c>
      <c r="F2865" s="12" t="s">
        <v>1861</v>
      </c>
      <c r="G2865" s="12" t="s">
        <v>1861</v>
      </c>
      <c r="H2865" s="12" t="b">
        <v>1</v>
      </c>
      <c r="I2865" s="12" t="b">
        <v>0</v>
      </c>
      <c r="J2865" s="12" t="b">
        <v>0</v>
      </c>
      <c r="K2865" s="12" t="b">
        <v>0</v>
      </c>
      <c r="L2865" s="12">
        <v>415</v>
      </c>
      <c r="M2865" s="12">
        <v>300.032917</v>
      </c>
      <c r="N2865" s="12">
        <v>3000</v>
      </c>
      <c r="O2865" s="12">
        <v>400</v>
      </c>
      <c r="P2865" s="12">
        <v>0.5</v>
      </c>
      <c r="Q2865" s="12">
        <v>0.85</v>
      </c>
      <c r="R2865" s="12">
        <v>0.75</v>
      </c>
      <c r="S2865" s="12">
        <v>0.90500000000000003</v>
      </c>
      <c r="T2865" s="12">
        <v>0.85999999999999988</v>
      </c>
      <c r="U2865" s="12">
        <v>0.95</v>
      </c>
      <c r="V2865" s="12">
        <v>300.032917</v>
      </c>
      <c r="W2865" s="12">
        <v>12.731599505626569</v>
      </c>
      <c r="X2865" s="12">
        <v>59.335775054194869</v>
      </c>
      <c r="Y2865" s="12">
        <v>2600</v>
      </c>
      <c r="Z2865" s="12">
        <v>7.5</v>
      </c>
      <c r="AA2865" s="12" t="s">
        <v>1268</v>
      </c>
      <c r="AB2865" s="12"/>
    </row>
    <row r="2866" spans="1:28" x14ac:dyDescent="0.3">
      <c r="A2866" s="12" t="s">
        <v>4785</v>
      </c>
      <c r="B2866" s="12" t="s">
        <v>198</v>
      </c>
      <c r="C2866" s="12" t="s">
        <v>505</v>
      </c>
      <c r="D2866" s="12" t="s">
        <v>4740</v>
      </c>
      <c r="E2866" s="12" t="s">
        <v>4403</v>
      </c>
      <c r="F2866" s="12" t="s">
        <v>32</v>
      </c>
      <c r="G2866" s="12" t="s">
        <v>32</v>
      </c>
      <c r="H2866" s="12" t="b">
        <v>1</v>
      </c>
      <c r="I2866" s="12" t="b">
        <v>1</v>
      </c>
      <c r="J2866" s="12" t="b">
        <v>0</v>
      </c>
      <c r="K2866" s="12" t="b">
        <v>0</v>
      </c>
      <c r="L2866" s="12">
        <v>415</v>
      </c>
      <c r="M2866" s="12">
        <v>300.032917</v>
      </c>
      <c r="N2866" s="12">
        <v>3000</v>
      </c>
      <c r="O2866" s="12">
        <v>400</v>
      </c>
      <c r="P2866" s="12">
        <v>0.5</v>
      </c>
      <c r="Q2866" s="12">
        <v>0.85</v>
      </c>
      <c r="R2866" s="12">
        <v>0.75</v>
      </c>
      <c r="S2866" s="12">
        <v>0.79500000000000004</v>
      </c>
      <c r="T2866" s="12">
        <v>0.85999999999999988</v>
      </c>
      <c r="U2866" s="12">
        <v>0.95</v>
      </c>
      <c r="V2866" s="12">
        <v>300.032917</v>
      </c>
      <c r="W2866" s="12">
        <v>12.38193136329266</v>
      </c>
      <c r="X2866" s="12">
        <v>50.631147060028503</v>
      </c>
      <c r="Y2866" s="12">
        <v>2600</v>
      </c>
      <c r="Z2866" s="12">
        <v>7.5</v>
      </c>
      <c r="AA2866" s="12"/>
      <c r="AB2866" s="12"/>
    </row>
    <row r="2867" spans="1:28" x14ac:dyDescent="0.3">
      <c r="A2867" s="12" t="s">
        <v>4786</v>
      </c>
      <c r="B2867" s="12" t="s">
        <v>198</v>
      </c>
      <c r="C2867" s="12" t="s">
        <v>505</v>
      </c>
      <c r="D2867" s="12" t="s">
        <v>4740</v>
      </c>
      <c r="E2867" s="12" t="s">
        <v>4403</v>
      </c>
      <c r="F2867" s="12" t="s">
        <v>32</v>
      </c>
      <c r="G2867" s="12" t="s">
        <v>32</v>
      </c>
      <c r="H2867" s="12" t="b">
        <v>1</v>
      </c>
      <c r="I2867" s="12" t="b">
        <v>1</v>
      </c>
      <c r="J2867" s="12" t="b">
        <v>0</v>
      </c>
      <c r="K2867" s="12" t="b">
        <v>0</v>
      </c>
      <c r="L2867" s="12">
        <v>415</v>
      </c>
      <c r="M2867" s="12">
        <v>300.032917</v>
      </c>
      <c r="N2867" s="12">
        <v>3000</v>
      </c>
      <c r="O2867" s="12">
        <v>400</v>
      </c>
      <c r="P2867" s="12">
        <v>0.5</v>
      </c>
      <c r="Q2867" s="12">
        <v>0.85</v>
      </c>
      <c r="R2867" s="12">
        <v>0.75</v>
      </c>
      <c r="S2867" s="12">
        <v>0.85</v>
      </c>
      <c r="T2867" s="12">
        <v>0.91500000000000004</v>
      </c>
      <c r="U2867" s="12">
        <v>0.95</v>
      </c>
      <c r="V2867" s="12">
        <v>300.032917</v>
      </c>
      <c r="W2867" s="12">
        <v>13.21933711698698</v>
      </c>
      <c r="X2867" s="12">
        <v>55.469683152833028</v>
      </c>
      <c r="Y2867" s="12">
        <v>2600</v>
      </c>
      <c r="Z2867" s="12">
        <v>7.5</v>
      </c>
      <c r="AA2867" s="12"/>
      <c r="AB2867" s="12"/>
    </row>
    <row r="2868" spans="1:28" x14ac:dyDescent="0.3">
      <c r="A2868" s="12" t="s">
        <v>4787</v>
      </c>
      <c r="B2868" s="12" t="s">
        <v>198</v>
      </c>
      <c r="C2868" s="12" t="s">
        <v>505</v>
      </c>
      <c r="D2868" s="12" t="s">
        <v>4740</v>
      </c>
      <c r="E2868" s="12" t="s">
        <v>4403</v>
      </c>
      <c r="F2868" s="12" t="s">
        <v>1861</v>
      </c>
      <c r="G2868" s="12" t="s">
        <v>1861</v>
      </c>
      <c r="H2868" s="12" t="b">
        <v>1</v>
      </c>
      <c r="I2868" s="12" t="b">
        <v>0</v>
      </c>
      <c r="J2868" s="12" t="b">
        <v>0</v>
      </c>
      <c r="K2868" s="12" t="b">
        <v>0</v>
      </c>
      <c r="L2868" s="12">
        <v>415</v>
      </c>
      <c r="M2868" s="12">
        <v>300.032917</v>
      </c>
      <c r="N2868" s="12">
        <v>3000</v>
      </c>
      <c r="O2868" s="12">
        <v>400</v>
      </c>
      <c r="P2868" s="12">
        <v>0.5</v>
      </c>
      <c r="Q2868" s="12">
        <v>0.85</v>
      </c>
      <c r="R2868" s="12">
        <v>0.75</v>
      </c>
      <c r="S2868" s="12">
        <v>0.85</v>
      </c>
      <c r="T2868" s="12">
        <v>0.80499999999999994</v>
      </c>
      <c r="U2868" s="12">
        <v>0.95</v>
      </c>
      <c r="V2868" s="12">
        <v>300.032917</v>
      </c>
      <c r="W2868" s="12">
        <v>11.974246537804479</v>
      </c>
      <c r="X2868" s="12">
        <v>54.501309125552211</v>
      </c>
      <c r="Y2868" s="12">
        <v>2600</v>
      </c>
      <c r="Z2868" s="12">
        <v>7.5</v>
      </c>
      <c r="AA2868" s="12" t="s">
        <v>1268</v>
      </c>
      <c r="AB2868" s="12"/>
    </row>
    <row r="2869" spans="1:28" x14ac:dyDescent="0.3">
      <c r="A2869" s="12" t="s">
        <v>4788</v>
      </c>
      <c r="B2869" s="12" t="s">
        <v>198</v>
      </c>
      <c r="C2869" s="12" t="s">
        <v>505</v>
      </c>
      <c r="D2869" s="12" t="s">
        <v>4740</v>
      </c>
      <c r="E2869" s="12" t="s">
        <v>4403</v>
      </c>
      <c r="F2869" s="12" t="s">
        <v>1861</v>
      </c>
      <c r="G2869" s="12" t="s">
        <v>1861</v>
      </c>
      <c r="H2869" s="12" t="b">
        <v>1</v>
      </c>
      <c r="I2869" s="12" t="b">
        <v>0</v>
      </c>
      <c r="J2869" s="12" t="b">
        <v>0</v>
      </c>
      <c r="K2869" s="12" t="b">
        <v>0</v>
      </c>
      <c r="L2869" s="12">
        <v>415</v>
      </c>
      <c r="M2869" s="12">
        <v>300.032917</v>
      </c>
      <c r="N2869" s="12">
        <v>3000</v>
      </c>
      <c r="O2869" s="12">
        <v>400</v>
      </c>
      <c r="P2869" s="12">
        <v>0.5</v>
      </c>
      <c r="Q2869" s="12">
        <v>0.85</v>
      </c>
      <c r="R2869" s="12">
        <v>0.75</v>
      </c>
      <c r="S2869" s="12">
        <v>0.85</v>
      </c>
      <c r="T2869" s="12">
        <v>0.85999999999999988</v>
      </c>
      <c r="U2869" s="12">
        <v>0.89500000000000002</v>
      </c>
      <c r="V2869" s="12">
        <v>300.032917</v>
      </c>
      <c r="W2869" s="12">
        <v>12.773212202858209</v>
      </c>
      <c r="X2869" s="12">
        <v>54.951103488934713</v>
      </c>
      <c r="Y2869" s="12">
        <v>2600</v>
      </c>
      <c r="Z2869" s="12">
        <v>7.5</v>
      </c>
      <c r="AA2869" s="12" t="s">
        <v>1268</v>
      </c>
      <c r="AB2869" s="12"/>
    </row>
    <row r="2870" spans="1:28" x14ac:dyDescent="0.3">
      <c r="A2870" s="12" t="s">
        <v>4789</v>
      </c>
      <c r="B2870" s="12" t="s">
        <v>198</v>
      </c>
      <c r="C2870" s="12" t="s">
        <v>505</v>
      </c>
      <c r="D2870" s="12" t="s">
        <v>4740</v>
      </c>
      <c r="E2870" s="12" t="s">
        <v>4403</v>
      </c>
      <c r="F2870" s="12" t="s">
        <v>1861</v>
      </c>
      <c r="G2870" s="12" t="s">
        <v>1861</v>
      </c>
      <c r="H2870" s="12" t="b">
        <v>1</v>
      </c>
      <c r="I2870" s="12" t="b">
        <v>0</v>
      </c>
      <c r="J2870" s="12" t="b">
        <v>1</v>
      </c>
      <c r="K2870" s="12" t="b">
        <v>0</v>
      </c>
      <c r="L2870" s="12">
        <v>427</v>
      </c>
      <c r="M2870" s="12">
        <v>300.032917</v>
      </c>
      <c r="N2870" s="12">
        <v>3000</v>
      </c>
      <c r="O2870" s="12">
        <v>400</v>
      </c>
      <c r="P2870" s="12">
        <v>0.5</v>
      </c>
      <c r="Q2870" s="12">
        <v>0.90500000000000003</v>
      </c>
      <c r="R2870" s="12">
        <v>0.75</v>
      </c>
      <c r="S2870" s="12">
        <v>0.85</v>
      </c>
      <c r="T2870" s="12">
        <v>0.85999999999999988</v>
      </c>
      <c r="U2870" s="12">
        <v>0.95</v>
      </c>
      <c r="V2870" s="12">
        <v>300.032917</v>
      </c>
      <c r="W2870" s="12">
        <v>14.11619463150544</v>
      </c>
      <c r="X2870" s="12">
        <v>84.615470642555678</v>
      </c>
      <c r="Y2870" s="12">
        <v>2600</v>
      </c>
      <c r="Z2870" s="12">
        <v>7.5</v>
      </c>
      <c r="AA2870" s="12" t="s">
        <v>1268</v>
      </c>
      <c r="AB2870" s="12"/>
    </row>
    <row r="2871" spans="1:28" x14ac:dyDescent="0.3">
      <c r="A2871" s="12" t="s">
        <v>4790</v>
      </c>
      <c r="B2871" s="12" t="s">
        <v>198</v>
      </c>
      <c r="C2871" s="12" t="s">
        <v>505</v>
      </c>
      <c r="D2871" s="12" t="s">
        <v>4740</v>
      </c>
      <c r="E2871" s="12" t="s">
        <v>4403</v>
      </c>
      <c r="F2871" s="12" t="s">
        <v>32</v>
      </c>
      <c r="G2871" s="12" t="s">
        <v>32</v>
      </c>
      <c r="H2871" s="12" t="b">
        <v>1</v>
      </c>
      <c r="I2871" s="12" t="b">
        <v>1</v>
      </c>
      <c r="J2871" s="12" t="b">
        <v>0</v>
      </c>
      <c r="K2871" s="12" t="b">
        <v>0</v>
      </c>
      <c r="L2871" s="12">
        <v>403</v>
      </c>
      <c r="M2871" s="12">
        <v>300.032917</v>
      </c>
      <c r="N2871" s="12">
        <v>3000</v>
      </c>
      <c r="O2871" s="12">
        <v>400</v>
      </c>
      <c r="P2871" s="12">
        <v>0.5</v>
      </c>
      <c r="Q2871" s="12">
        <v>0.90500000000000003</v>
      </c>
      <c r="R2871" s="12">
        <v>0.75</v>
      </c>
      <c r="S2871" s="12">
        <v>0.85</v>
      </c>
      <c r="T2871" s="12">
        <v>0.85999999999999988</v>
      </c>
      <c r="U2871" s="12">
        <v>0.95</v>
      </c>
      <c r="V2871" s="12">
        <v>300.032917</v>
      </c>
      <c r="W2871" s="12">
        <v>11.87071211366249</v>
      </c>
      <c r="X2871" s="12">
        <v>33.996486987248531</v>
      </c>
      <c r="Y2871" s="12">
        <v>2600</v>
      </c>
      <c r="Z2871" s="12">
        <v>7.5</v>
      </c>
      <c r="AA2871" s="12"/>
      <c r="AB2871" s="12"/>
    </row>
    <row r="2872" spans="1:28" x14ac:dyDescent="0.3">
      <c r="A2872" s="12" t="s">
        <v>4791</v>
      </c>
      <c r="B2872" s="12" t="s">
        <v>198</v>
      </c>
      <c r="C2872" s="12" t="s">
        <v>505</v>
      </c>
      <c r="D2872" s="12" t="s">
        <v>4740</v>
      </c>
      <c r="E2872" s="12" t="s">
        <v>4403</v>
      </c>
      <c r="F2872" s="12" t="s">
        <v>1861</v>
      </c>
      <c r="G2872" s="12" t="s">
        <v>1861</v>
      </c>
      <c r="H2872" s="12" t="b">
        <v>1</v>
      </c>
      <c r="I2872" s="12" t="b">
        <v>0</v>
      </c>
      <c r="J2872" s="12" t="b">
        <v>0</v>
      </c>
      <c r="K2872" s="12" t="b">
        <v>0</v>
      </c>
      <c r="L2872" s="12">
        <v>415</v>
      </c>
      <c r="M2872" s="12">
        <v>300.032917</v>
      </c>
      <c r="N2872" s="12">
        <v>3000</v>
      </c>
      <c r="O2872" s="12">
        <v>400</v>
      </c>
      <c r="P2872" s="12">
        <v>0.53500000000000003</v>
      </c>
      <c r="Q2872" s="12">
        <v>0.90500000000000003</v>
      </c>
      <c r="R2872" s="12">
        <v>0.75</v>
      </c>
      <c r="S2872" s="12">
        <v>0.85</v>
      </c>
      <c r="T2872" s="12">
        <v>0.85999999999999988</v>
      </c>
      <c r="U2872" s="12">
        <v>0.95</v>
      </c>
      <c r="V2872" s="12">
        <v>300.032917</v>
      </c>
      <c r="W2872" s="12">
        <v>14.33443724500837</v>
      </c>
      <c r="X2872" s="12">
        <v>74.523973758788813</v>
      </c>
      <c r="Y2872" s="12">
        <v>2600</v>
      </c>
      <c r="Z2872" s="12">
        <v>7.5</v>
      </c>
      <c r="AA2872" s="12" t="s">
        <v>1268</v>
      </c>
      <c r="AB2872" s="12"/>
    </row>
    <row r="2873" spans="1:28" x14ac:dyDescent="0.3">
      <c r="A2873" s="12" t="s">
        <v>4792</v>
      </c>
      <c r="B2873" s="12" t="s">
        <v>198</v>
      </c>
      <c r="C2873" s="12" t="s">
        <v>505</v>
      </c>
      <c r="D2873" s="12" t="s">
        <v>4740</v>
      </c>
      <c r="E2873" s="12" t="s">
        <v>4403</v>
      </c>
      <c r="F2873" s="12" t="s">
        <v>32</v>
      </c>
      <c r="G2873" s="12" t="s">
        <v>32</v>
      </c>
      <c r="H2873" s="12" t="b">
        <v>1</v>
      </c>
      <c r="I2873" s="12" t="b">
        <v>1</v>
      </c>
      <c r="J2873" s="12" t="b">
        <v>0</v>
      </c>
      <c r="K2873" s="12" t="b">
        <v>0</v>
      </c>
      <c r="L2873" s="12">
        <v>415</v>
      </c>
      <c r="M2873" s="12">
        <v>300.032917</v>
      </c>
      <c r="N2873" s="12">
        <v>3000</v>
      </c>
      <c r="O2873" s="12">
        <v>400</v>
      </c>
      <c r="P2873" s="12">
        <v>0.5</v>
      </c>
      <c r="Q2873" s="12">
        <v>0.95</v>
      </c>
      <c r="R2873" s="12">
        <v>0.75</v>
      </c>
      <c r="S2873" s="12">
        <v>0.85</v>
      </c>
      <c r="T2873" s="12">
        <v>0.85999999999999988</v>
      </c>
      <c r="U2873" s="12">
        <v>0.95</v>
      </c>
      <c r="V2873" s="12">
        <v>300.032917</v>
      </c>
      <c r="W2873" s="12">
        <v>14.15937069834813</v>
      </c>
      <c r="X2873" s="12">
        <v>61.949598702636557</v>
      </c>
      <c r="Y2873" s="12">
        <v>2600</v>
      </c>
      <c r="Z2873" s="12">
        <v>7.5</v>
      </c>
      <c r="AA2873" s="12"/>
      <c r="AB2873" s="12"/>
    </row>
    <row r="2874" spans="1:28" x14ac:dyDescent="0.3">
      <c r="A2874" s="12" t="s">
        <v>4793</v>
      </c>
      <c r="B2874" s="12" t="s">
        <v>198</v>
      </c>
      <c r="C2874" s="12" t="s">
        <v>505</v>
      </c>
      <c r="D2874" s="12" t="s">
        <v>4740</v>
      </c>
      <c r="E2874" s="12" t="s">
        <v>4403</v>
      </c>
      <c r="F2874" s="12" t="s">
        <v>32</v>
      </c>
      <c r="G2874" s="12" t="s">
        <v>32</v>
      </c>
      <c r="H2874" s="12" t="b">
        <v>1</v>
      </c>
      <c r="I2874" s="12" t="b">
        <v>1</v>
      </c>
      <c r="J2874" s="12" t="b">
        <v>0</v>
      </c>
      <c r="K2874" s="12" t="b">
        <v>0</v>
      </c>
      <c r="L2874" s="12">
        <v>415</v>
      </c>
      <c r="M2874" s="12">
        <v>300.032917</v>
      </c>
      <c r="N2874" s="12">
        <v>3000</v>
      </c>
      <c r="O2874" s="12">
        <v>400</v>
      </c>
      <c r="P2874" s="12">
        <v>0.5</v>
      </c>
      <c r="Q2874" s="12">
        <v>0.85</v>
      </c>
      <c r="R2874" s="12">
        <v>0.75</v>
      </c>
      <c r="S2874" s="12">
        <v>0.85</v>
      </c>
      <c r="T2874" s="12">
        <v>0.85999999999999988</v>
      </c>
      <c r="U2874" s="12">
        <v>0.95</v>
      </c>
      <c r="V2874" s="12">
        <v>300.032917</v>
      </c>
      <c r="W2874" s="12">
        <v>12.57057628767882</v>
      </c>
      <c r="X2874" s="12">
        <v>54.984809582255878</v>
      </c>
      <c r="Y2874" s="12">
        <v>2600</v>
      </c>
      <c r="Z2874" s="12">
        <v>7.5</v>
      </c>
      <c r="AA2874" s="12"/>
      <c r="AB2874" s="12"/>
    </row>
    <row r="2875" spans="1:28" x14ac:dyDescent="0.3">
      <c r="A2875" s="12" t="s">
        <v>4794</v>
      </c>
      <c r="B2875" s="12" t="s">
        <v>198</v>
      </c>
      <c r="C2875" s="12" t="s">
        <v>505</v>
      </c>
      <c r="D2875" s="12" t="s">
        <v>4740</v>
      </c>
      <c r="E2875" s="12" t="s">
        <v>4403</v>
      </c>
      <c r="F2875" s="12" t="s">
        <v>32</v>
      </c>
      <c r="G2875" s="12" t="s">
        <v>32</v>
      </c>
      <c r="H2875" s="12" t="b">
        <v>1</v>
      </c>
      <c r="I2875" s="12" t="b">
        <v>1</v>
      </c>
      <c r="J2875" s="12" t="b">
        <v>0</v>
      </c>
      <c r="K2875" s="12" t="b">
        <v>0</v>
      </c>
      <c r="L2875" s="12">
        <v>415</v>
      </c>
      <c r="M2875" s="12">
        <v>300.032917</v>
      </c>
      <c r="N2875" s="12">
        <v>3000</v>
      </c>
      <c r="O2875" s="12">
        <v>400</v>
      </c>
      <c r="P2875" s="12">
        <v>0.5</v>
      </c>
      <c r="Q2875" s="12">
        <v>0.90500000000000003</v>
      </c>
      <c r="R2875" s="12">
        <v>0.80499999999999994</v>
      </c>
      <c r="S2875" s="12">
        <v>0.85</v>
      </c>
      <c r="T2875" s="12">
        <v>0.85999999999999988</v>
      </c>
      <c r="U2875" s="12">
        <v>0.95</v>
      </c>
      <c r="V2875" s="12">
        <v>300.032917</v>
      </c>
      <c r="W2875" s="12">
        <v>13.507398363343031</v>
      </c>
      <c r="X2875" s="12">
        <v>59.102654293043123</v>
      </c>
      <c r="Y2875" s="12">
        <v>2600</v>
      </c>
      <c r="Z2875" s="12">
        <v>7.5</v>
      </c>
      <c r="AA2875" s="12"/>
      <c r="AB2875" s="12"/>
    </row>
    <row r="2876" spans="1:28" x14ac:dyDescent="0.3">
      <c r="A2876" s="12" t="s">
        <v>4795</v>
      </c>
      <c r="B2876" s="12" t="s">
        <v>198</v>
      </c>
      <c r="C2876" s="12" t="s">
        <v>505</v>
      </c>
      <c r="D2876" s="12" t="s">
        <v>4740</v>
      </c>
      <c r="E2876" s="12" t="s">
        <v>4403</v>
      </c>
      <c r="F2876" s="12" t="s">
        <v>32</v>
      </c>
      <c r="G2876" s="12" t="s">
        <v>32</v>
      </c>
      <c r="H2876" s="12" t="b">
        <v>1</v>
      </c>
      <c r="I2876" s="12" t="b">
        <v>1</v>
      </c>
      <c r="J2876" s="12" t="b">
        <v>0</v>
      </c>
      <c r="K2876" s="12" t="b">
        <v>0</v>
      </c>
      <c r="L2876" s="12">
        <v>415</v>
      </c>
      <c r="M2876" s="12">
        <v>300.032917</v>
      </c>
      <c r="N2876" s="12">
        <v>3000</v>
      </c>
      <c r="O2876" s="12">
        <v>400</v>
      </c>
      <c r="P2876" s="12">
        <v>0.5</v>
      </c>
      <c r="Q2876" s="12">
        <v>0.90500000000000003</v>
      </c>
      <c r="R2876" s="12">
        <v>0.69500000000000006</v>
      </c>
      <c r="S2876" s="12">
        <v>0.85</v>
      </c>
      <c r="T2876" s="12">
        <v>0.85999999999999988</v>
      </c>
      <c r="U2876" s="12">
        <v>0.95</v>
      </c>
      <c r="V2876" s="12">
        <v>300.032917</v>
      </c>
      <c r="W2876" s="12">
        <v>13.371677754650451</v>
      </c>
      <c r="X2876" s="12">
        <v>58.482957359886811</v>
      </c>
      <c r="Y2876" s="12">
        <v>2600</v>
      </c>
      <c r="Z2876" s="12">
        <v>7.5</v>
      </c>
      <c r="AA2876" s="12"/>
      <c r="AB2876" s="12"/>
    </row>
    <row r="2877" spans="1:28" x14ac:dyDescent="0.3">
      <c r="A2877" s="12" t="s">
        <v>4796</v>
      </c>
      <c r="B2877" s="12" t="s">
        <v>198</v>
      </c>
      <c r="C2877" s="12" t="s">
        <v>505</v>
      </c>
      <c r="D2877" s="12" t="s">
        <v>4740</v>
      </c>
      <c r="E2877" s="12" t="s">
        <v>4403</v>
      </c>
      <c r="F2877" s="12" t="s">
        <v>1861</v>
      </c>
      <c r="G2877" s="12" t="s">
        <v>1861</v>
      </c>
      <c r="H2877" s="12" t="b">
        <v>1</v>
      </c>
      <c r="I2877" s="12" t="b">
        <v>0</v>
      </c>
      <c r="J2877" s="12" t="b">
        <v>0</v>
      </c>
      <c r="K2877" s="12" t="b">
        <v>0</v>
      </c>
      <c r="L2877" s="12">
        <v>415</v>
      </c>
      <c r="M2877" s="12">
        <v>300.032917</v>
      </c>
      <c r="N2877" s="12">
        <v>3000</v>
      </c>
      <c r="O2877" s="12">
        <v>400</v>
      </c>
      <c r="P2877" s="12">
        <v>0.5</v>
      </c>
      <c r="Q2877" s="12">
        <v>0.90500000000000003</v>
      </c>
      <c r="R2877" s="12">
        <v>0.75</v>
      </c>
      <c r="S2877" s="12">
        <v>0.90500000000000003</v>
      </c>
      <c r="T2877" s="12">
        <v>0.85999999999999988</v>
      </c>
      <c r="U2877" s="12">
        <v>0.95</v>
      </c>
      <c r="V2877" s="12">
        <v>300.032917</v>
      </c>
      <c r="W2877" s="12">
        <v>13.6120486113327</v>
      </c>
      <c r="X2877" s="12">
        <v>63.448704466495499</v>
      </c>
      <c r="Y2877" s="12">
        <v>2600</v>
      </c>
      <c r="Z2877" s="12">
        <v>7.5</v>
      </c>
      <c r="AA2877" s="12" t="s">
        <v>1268</v>
      </c>
      <c r="AB2877" s="12"/>
    </row>
    <row r="2878" spans="1:28" x14ac:dyDescent="0.3">
      <c r="A2878" s="12" t="s">
        <v>4797</v>
      </c>
      <c r="B2878" s="12" t="s">
        <v>198</v>
      </c>
      <c r="C2878" s="12" t="s">
        <v>505</v>
      </c>
      <c r="D2878" s="12" t="s">
        <v>4740</v>
      </c>
      <c r="E2878" s="12" t="s">
        <v>4403</v>
      </c>
      <c r="F2878" s="12" t="s">
        <v>32</v>
      </c>
      <c r="G2878" s="12" t="s">
        <v>32</v>
      </c>
      <c r="H2878" s="12" t="b">
        <v>1</v>
      </c>
      <c r="I2878" s="12" t="b">
        <v>1</v>
      </c>
      <c r="J2878" s="12" t="b">
        <v>0</v>
      </c>
      <c r="K2878" s="12" t="b">
        <v>0</v>
      </c>
      <c r="L2878" s="12">
        <v>415</v>
      </c>
      <c r="M2878" s="12">
        <v>300.032917</v>
      </c>
      <c r="N2878" s="12">
        <v>3000</v>
      </c>
      <c r="O2878" s="12">
        <v>400</v>
      </c>
      <c r="P2878" s="12">
        <v>0.5</v>
      </c>
      <c r="Q2878" s="12">
        <v>0.90500000000000003</v>
      </c>
      <c r="R2878" s="12">
        <v>0.75</v>
      </c>
      <c r="S2878" s="12">
        <v>0.79500000000000004</v>
      </c>
      <c r="T2878" s="12">
        <v>0.85999999999999988</v>
      </c>
      <c r="U2878" s="12">
        <v>0.95</v>
      </c>
      <c r="V2878" s="12">
        <v>300.032917</v>
      </c>
      <c r="W2878" s="12">
        <v>13.24813230911751</v>
      </c>
      <c r="X2878" s="12">
        <v>54.17968164813972</v>
      </c>
      <c r="Y2878" s="12">
        <v>2600</v>
      </c>
      <c r="Z2878" s="12">
        <v>7.5</v>
      </c>
      <c r="AA2878" s="12"/>
      <c r="AB2878" s="12"/>
    </row>
    <row r="2879" spans="1:28" x14ac:dyDescent="0.3">
      <c r="A2879" s="12" t="s">
        <v>4798</v>
      </c>
      <c r="B2879" s="12" t="s">
        <v>198</v>
      </c>
      <c r="C2879" s="12" t="s">
        <v>505</v>
      </c>
      <c r="D2879" s="12" t="s">
        <v>4740</v>
      </c>
      <c r="E2879" s="12" t="s">
        <v>4403</v>
      </c>
      <c r="F2879" s="12" t="s">
        <v>32</v>
      </c>
      <c r="G2879" s="12" t="s">
        <v>32</v>
      </c>
      <c r="H2879" s="12" t="b">
        <v>1</v>
      </c>
      <c r="I2879" s="12" t="b">
        <v>1</v>
      </c>
      <c r="J2879" s="12" t="b">
        <v>0</v>
      </c>
      <c r="K2879" s="12" t="b">
        <v>0</v>
      </c>
      <c r="L2879" s="12">
        <v>415</v>
      </c>
      <c r="M2879" s="12">
        <v>300.032917</v>
      </c>
      <c r="N2879" s="12">
        <v>3000</v>
      </c>
      <c r="O2879" s="12">
        <v>400</v>
      </c>
      <c r="P2879" s="12">
        <v>0.5</v>
      </c>
      <c r="Q2879" s="12">
        <v>0.90500000000000003</v>
      </c>
      <c r="R2879" s="12">
        <v>0.75</v>
      </c>
      <c r="S2879" s="12">
        <v>0.85</v>
      </c>
      <c r="T2879" s="12">
        <v>0.91500000000000004</v>
      </c>
      <c r="U2879" s="12">
        <v>0.95</v>
      </c>
      <c r="V2879" s="12">
        <v>300.032917</v>
      </c>
      <c r="W2879" s="12">
        <v>14.13797566721693</v>
      </c>
      <c r="X2879" s="12">
        <v>59.331892125409887</v>
      </c>
      <c r="Y2879" s="12">
        <v>2600</v>
      </c>
      <c r="Z2879" s="12">
        <v>7.5</v>
      </c>
      <c r="AA2879" s="12"/>
      <c r="AB2879" s="12"/>
    </row>
    <row r="2880" spans="1:28" x14ac:dyDescent="0.3">
      <c r="A2880" s="12" t="s">
        <v>4799</v>
      </c>
      <c r="B2880" s="12" t="s">
        <v>198</v>
      </c>
      <c r="C2880" s="12" t="s">
        <v>505</v>
      </c>
      <c r="D2880" s="12" t="s">
        <v>4740</v>
      </c>
      <c r="E2880" s="12" t="s">
        <v>4403</v>
      </c>
      <c r="F2880" s="12" t="s">
        <v>32</v>
      </c>
      <c r="G2880" s="12" t="s">
        <v>32</v>
      </c>
      <c r="H2880" s="12" t="b">
        <v>1</v>
      </c>
      <c r="I2880" s="12" t="b">
        <v>1</v>
      </c>
      <c r="J2880" s="12" t="b">
        <v>0</v>
      </c>
      <c r="K2880" s="12" t="b">
        <v>0</v>
      </c>
      <c r="L2880" s="12">
        <v>415</v>
      </c>
      <c r="M2880" s="12">
        <v>300.032917</v>
      </c>
      <c r="N2880" s="12">
        <v>3000</v>
      </c>
      <c r="O2880" s="12">
        <v>400</v>
      </c>
      <c r="P2880" s="12">
        <v>0.5</v>
      </c>
      <c r="Q2880" s="12">
        <v>0.90500000000000003</v>
      </c>
      <c r="R2880" s="12">
        <v>0.75</v>
      </c>
      <c r="S2880" s="12">
        <v>0.85</v>
      </c>
      <c r="T2880" s="12">
        <v>0.80499999999999994</v>
      </c>
      <c r="U2880" s="12">
        <v>0.95</v>
      </c>
      <c r="V2880" s="12">
        <v>300.032917</v>
      </c>
      <c r="W2880" s="12">
        <v>12.807142482624769</v>
      </c>
      <c r="X2880" s="12">
        <v>58.300644465107382</v>
      </c>
      <c r="Y2880" s="12">
        <v>2600</v>
      </c>
      <c r="Z2880" s="12">
        <v>7.5</v>
      </c>
      <c r="AA2880" s="12"/>
      <c r="AB2880" s="12"/>
    </row>
    <row r="2881" spans="1:28" x14ac:dyDescent="0.3">
      <c r="A2881" s="12" t="s">
        <v>4800</v>
      </c>
      <c r="B2881" s="12" t="s">
        <v>198</v>
      </c>
      <c r="C2881" s="12" t="s">
        <v>505</v>
      </c>
      <c r="D2881" s="12" t="s">
        <v>4740</v>
      </c>
      <c r="E2881" s="12" t="s">
        <v>4403</v>
      </c>
      <c r="F2881" s="12" t="s">
        <v>1861</v>
      </c>
      <c r="G2881" s="12" t="s">
        <v>1861</v>
      </c>
      <c r="H2881" s="12" t="b">
        <v>1</v>
      </c>
      <c r="I2881" s="12" t="b">
        <v>0</v>
      </c>
      <c r="J2881" s="12" t="b">
        <v>0</v>
      </c>
      <c r="K2881" s="12" t="b">
        <v>0</v>
      </c>
      <c r="L2881" s="12">
        <v>415</v>
      </c>
      <c r="M2881" s="12">
        <v>300.032917</v>
      </c>
      <c r="N2881" s="12">
        <v>3000</v>
      </c>
      <c r="O2881" s="12">
        <v>400</v>
      </c>
      <c r="P2881" s="12">
        <v>0.5</v>
      </c>
      <c r="Q2881" s="12">
        <v>0.90500000000000003</v>
      </c>
      <c r="R2881" s="12">
        <v>0.75</v>
      </c>
      <c r="S2881" s="12">
        <v>0.85</v>
      </c>
      <c r="T2881" s="12">
        <v>0.85999999999999988</v>
      </c>
      <c r="U2881" s="12">
        <v>0.89500000000000002</v>
      </c>
      <c r="V2881" s="12">
        <v>300.032917</v>
      </c>
      <c r="W2881" s="12">
        <v>13.66365190239002</v>
      </c>
      <c r="X2881" s="12">
        <v>58.800192324989723</v>
      </c>
      <c r="Y2881" s="12">
        <v>2600</v>
      </c>
      <c r="Z2881" s="12">
        <v>7.5</v>
      </c>
      <c r="AA2881" s="12" t="s">
        <v>1268</v>
      </c>
      <c r="AB2881" s="12"/>
    </row>
    <row r="2882" spans="1:28" x14ac:dyDescent="0.3">
      <c r="A2882" s="12" t="s">
        <v>4801</v>
      </c>
      <c r="B2882" s="12" t="s">
        <v>198</v>
      </c>
      <c r="C2882" s="12" t="s">
        <v>505</v>
      </c>
      <c r="D2882" s="12" t="s">
        <v>4740</v>
      </c>
      <c r="E2882" s="12" t="s">
        <v>4403</v>
      </c>
      <c r="F2882" s="12" t="s">
        <v>1861</v>
      </c>
      <c r="G2882" s="12" t="s">
        <v>1861</v>
      </c>
      <c r="H2882" s="12" t="b">
        <v>1</v>
      </c>
      <c r="I2882" s="12" t="b">
        <v>0</v>
      </c>
      <c r="J2882" s="12" t="b">
        <v>1</v>
      </c>
      <c r="K2882" s="12" t="b">
        <v>0</v>
      </c>
      <c r="L2882" s="12">
        <v>427</v>
      </c>
      <c r="M2882" s="12">
        <v>300.032917</v>
      </c>
      <c r="N2882" s="12">
        <v>3000</v>
      </c>
      <c r="O2882" s="12">
        <v>400</v>
      </c>
      <c r="P2882" s="12">
        <v>0.5</v>
      </c>
      <c r="Q2882" s="12">
        <v>0.95</v>
      </c>
      <c r="R2882" s="12">
        <v>0.75</v>
      </c>
      <c r="S2882" s="12">
        <v>0.85</v>
      </c>
      <c r="T2882" s="12">
        <v>0.85999999999999988</v>
      </c>
      <c r="U2882" s="12">
        <v>0.95</v>
      </c>
      <c r="V2882" s="12">
        <v>300.032917</v>
      </c>
      <c r="W2882" s="12">
        <v>14.85121727626648</v>
      </c>
      <c r="X2882" s="12">
        <v>89.033619564405143</v>
      </c>
      <c r="Y2882" s="12">
        <v>2600</v>
      </c>
      <c r="Z2882" s="12">
        <v>7.5</v>
      </c>
      <c r="AA2882" s="12" t="s">
        <v>1268</v>
      </c>
      <c r="AB2882" s="12"/>
    </row>
    <row r="2883" spans="1:28" x14ac:dyDescent="0.3">
      <c r="A2883" s="12" t="s">
        <v>4802</v>
      </c>
      <c r="B2883" s="12" t="s">
        <v>198</v>
      </c>
      <c r="C2883" s="12" t="s">
        <v>505</v>
      </c>
      <c r="D2883" s="12" t="s">
        <v>4740</v>
      </c>
      <c r="E2883" s="12" t="s">
        <v>4403</v>
      </c>
      <c r="F2883" s="12" t="s">
        <v>32</v>
      </c>
      <c r="G2883" s="12" t="s">
        <v>32</v>
      </c>
      <c r="H2883" s="12" t="b">
        <v>1</v>
      </c>
      <c r="I2883" s="12" t="b">
        <v>1</v>
      </c>
      <c r="J2883" s="12" t="b">
        <v>0</v>
      </c>
      <c r="K2883" s="12" t="b">
        <v>0</v>
      </c>
      <c r="L2883" s="12">
        <v>403</v>
      </c>
      <c r="M2883" s="12">
        <v>300.032917</v>
      </c>
      <c r="N2883" s="12">
        <v>3000</v>
      </c>
      <c r="O2883" s="12">
        <v>400</v>
      </c>
      <c r="P2883" s="12">
        <v>0.5</v>
      </c>
      <c r="Q2883" s="12">
        <v>0.95</v>
      </c>
      <c r="R2883" s="12">
        <v>0.75</v>
      </c>
      <c r="S2883" s="12">
        <v>0.85</v>
      </c>
      <c r="T2883" s="12">
        <v>0.85999999999999988</v>
      </c>
      <c r="U2883" s="12">
        <v>0.95</v>
      </c>
      <c r="V2883" s="12">
        <v>300.032917</v>
      </c>
      <c r="W2883" s="12">
        <v>12.53324970480001</v>
      </c>
      <c r="X2883" s="12">
        <v>35.896810480410529</v>
      </c>
      <c r="Y2883" s="12">
        <v>2600</v>
      </c>
      <c r="Z2883" s="12">
        <v>7.5</v>
      </c>
      <c r="AA2883" s="12"/>
      <c r="AB2883" s="12"/>
    </row>
    <row r="2884" spans="1:28" x14ac:dyDescent="0.3">
      <c r="A2884" s="12" t="s">
        <v>4803</v>
      </c>
      <c r="B2884" s="12" t="s">
        <v>198</v>
      </c>
      <c r="C2884" s="12" t="s">
        <v>505</v>
      </c>
      <c r="D2884" s="12" t="s">
        <v>4740</v>
      </c>
      <c r="E2884" s="12" t="s">
        <v>4403</v>
      </c>
      <c r="F2884" s="12" t="s">
        <v>1861</v>
      </c>
      <c r="G2884" s="12" t="s">
        <v>1861</v>
      </c>
      <c r="H2884" s="12" t="b">
        <v>1</v>
      </c>
      <c r="I2884" s="12" t="b">
        <v>0</v>
      </c>
      <c r="J2884" s="12" t="b">
        <v>0</v>
      </c>
      <c r="K2884" s="12" t="b">
        <v>0</v>
      </c>
      <c r="L2884" s="12">
        <v>415</v>
      </c>
      <c r="M2884" s="12">
        <v>300.032917</v>
      </c>
      <c r="N2884" s="12">
        <v>3000</v>
      </c>
      <c r="O2884" s="12">
        <v>400</v>
      </c>
      <c r="P2884" s="12">
        <v>0.53500000000000003</v>
      </c>
      <c r="Q2884" s="12">
        <v>0.95</v>
      </c>
      <c r="R2884" s="12">
        <v>0.75</v>
      </c>
      <c r="S2884" s="12">
        <v>0.85</v>
      </c>
      <c r="T2884" s="12">
        <v>0.85999999999999988</v>
      </c>
      <c r="U2884" s="12">
        <v>0.95</v>
      </c>
      <c r="V2884" s="12">
        <v>300.032917</v>
      </c>
      <c r="W2884" s="12">
        <v>15.09121576374913</v>
      </c>
      <c r="X2884" s="12">
        <v>78.469217509315442</v>
      </c>
      <c r="Y2884" s="12">
        <v>2600</v>
      </c>
      <c r="Z2884" s="12">
        <v>7.5</v>
      </c>
      <c r="AA2884" s="12" t="s">
        <v>1268</v>
      </c>
      <c r="AB2884" s="12"/>
    </row>
    <row r="2885" spans="1:28" x14ac:dyDescent="0.3">
      <c r="A2885" s="12" t="s">
        <v>4804</v>
      </c>
      <c r="B2885" s="12" t="s">
        <v>198</v>
      </c>
      <c r="C2885" s="12" t="s">
        <v>505</v>
      </c>
      <c r="D2885" s="12" t="s">
        <v>4740</v>
      </c>
      <c r="E2885" s="12" t="s">
        <v>4403</v>
      </c>
      <c r="F2885" s="12" t="s">
        <v>32</v>
      </c>
      <c r="G2885" s="12" t="s">
        <v>32</v>
      </c>
      <c r="H2885" s="12" t="b">
        <v>1</v>
      </c>
      <c r="I2885" s="12" t="b">
        <v>1</v>
      </c>
      <c r="J2885" s="12" t="b">
        <v>0</v>
      </c>
      <c r="K2885" s="12" t="b">
        <v>0</v>
      </c>
      <c r="L2885" s="12">
        <v>415</v>
      </c>
      <c r="M2885" s="12">
        <v>300.032917</v>
      </c>
      <c r="N2885" s="12">
        <v>3000</v>
      </c>
      <c r="O2885" s="12">
        <v>400</v>
      </c>
      <c r="P2885" s="12">
        <v>0.5</v>
      </c>
      <c r="Q2885" s="12">
        <v>0.89500000000000002</v>
      </c>
      <c r="R2885" s="12">
        <v>0.75</v>
      </c>
      <c r="S2885" s="12">
        <v>0.85</v>
      </c>
      <c r="T2885" s="12">
        <v>0.85999999999999988</v>
      </c>
      <c r="U2885" s="12">
        <v>0.95</v>
      </c>
      <c r="V2885" s="12">
        <v>300.032917</v>
      </c>
      <c r="W2885" s="12">
        <v>13.28565011453173</v>
      </c>
      <c r="X2885" s="12">
        <v>58.119049984727049</v>
      </c>
      <c r="Y2885" s="12">
        <v>2600</v>
      </c>
      <c r="Z2885" s="12">
        <v>7.5</v>
      </c>
      <c r="AA2885" s="12"/>
      <c r="AB2885" s="12"/>
    </row>
    <row r="2886" spans="1:28" x14ac:dyDescent="0.3">
      <c r="A2886" s="12" t="s">
        <v>4805</v>
      </c>
      <c r="B2886" s="12" t="s">
        <v>198</v>
      </c>
      <c r="C2886" s="12" t="s">
        <v>505</v>
      </c>
      <c r="D2886" s="12" t="s">
        <v>4740</v>
      </c>
      <c r="E2886" s="12" t="s">
        <v>4403</v>
      </c>
      <c r="F2886" s="12" t="s">
        <v>32</v>
      </c>
      <c r="G2886" s="12" t="s">
        <v>32</v>
      </c>
      <c r="H2886" s="12" t="b">
        <v>1</v>
      </c>
      <c r="I2886" s="12" t="b">
        <v>1</v>
      </c>
      <c r="J2886" s="12" t="b">
        <v>0</v>
      </c>
      <c r="K2886" s="12" t="b">
        <v>0</v>
      </c>
      <c r="L2886" s="12">
        <v>415</v>
      </c>
      <c r="M2886" s="12">
        <v>300.032917</v>
      </c>
      <c r="N2886" s="12">
        <v>3000</v>
      </c>
      <c r="O2886" s="12">
        <v>400</v>
      </c>
      <c r="P2886" s="12">
        <v>0.5</v>
      </c>
      <c r="Q2886" s="12">
        <v>0.95</v>
      </c>
      <c r="R2886" s="12">
        <v>0.80499999999999994</v>
      </c>
      <c r="S2886" s="12">
        <v>0.85</v>
      </c>
      <c r="T2886" s="12">
        <v>0.85999999999999988</v>
      </c>
      <c r="U2886" s="12">
        <v>0.95</v>
      </c>
      <c r="V2886" s="12">
        <v>300.032917</v>
      </c>
      <c r="W2886" s="12">
        <v>14.22205770556991</v>
      </c>
      <c r="X2886" s="12">
        <v>62.236586149537331</v>
      </c>
      <c r="Y2886" s="12">
        <v>2600</v>
      </c>
      <c r="Z2886" s="12">
        <v>7.5</v>
      </c>
      <c r="AA2886" s="12"/>
      <c r="AB2886" s="12"/>
    </row>
    <row r="2887" spans="1:28" x14ac:dyDescent="0.3">
      <c r="A2887" s="12" t="s">
        <v>4806</v>
      </c>
      <c r="B2887" s="12" t="s">
        <v>198</v>
      </c>
      <c r="C2887" s="12" t="s">
        <v>505</v>
      </c>
      <c r="D2887" s="12" t="s">
        <v>4740</v>
      </c>
      <c r="E2887" s="12" t="s">
        <v>4403</v>
      </c>
      <c r="F2887" s="12" t="s">
        <v>32</v>
      </c>
      <c r="G2887" s="12" t="s">
        <v>32</v>
      </c>
      <c r="H2887" s="12" t="b">
        <v>1</v>
      </c>
      <c r="I2887" s="12" t="b">
        <v>1</v>
      </c>
      <c r="J2887" s="12" t="b">
        <v>0</v>
      </c>
      <c r="K2887" s="12" t="b">
        <v>0</v>
      </c>
      <c r="L2887" s="12">
        <v>415</v>
      </c>
      <c r="M2887" s="12">
        <v>300.032917</v>
      </c>
      <c r="N2887" s="12">
        <v>3000</v>
      </c>
      <c r="O2887" s="12">
        <v>400</v>
      </c>
      <c r="P2887" s="12">
        <v>0.5</v>
      </c>
      <c r="Q2887" s="12">
        <v>0.95</v>
      </c>
      <c r="R2887" s="12">
        <v>0.69500000000000006</v>
      </c>
      <c r="S2887" s="12">
        <v>0.85</v>
      </c>
      <c r="T2887" s="12">
        <v>0.85999999999999988</v>
      </c>
      <c r="U2887" s="12">
        <v>0.95</v>
      </c>
      <c r="V2887" s="12">
        <v>300.032917</v>
      </c>
      <c r="W2887" s="12">
        <v>14.086733444939661</v>
      </c>
      <c r="X2887" s="12">
        <v>61.617189926796328</v>
      </c>
      <c r="Y2887" s="12">
        <v>2600</v>
      </c>
      <c r="Z2887" s="12">
        <v>7.5</v>
      </c>
      <c r="AA2887" s="12"/>
      <c r="AB2887" s="12"/>
    </row>
    <row r="2888" spans="1:28" x14ac:dyDescent="0.3">
      <c r="A2888" s="12" t="s">
        <v>4807</v>
      </c>
      <c r="B2888" s="12" t="s">
        <v>198</v>
      </c>
      <c r="C2888" s="12" t="s">
        <v>505</v>
      </c>
      <c r="D2888" s="12" t="s">
        <v>4740</v>
      </c>
      <c r="E2888" s="12" t="s">
        <v>4403</v>
      </c>
      <c r="F2888" s="12" t="s">
        <v>1861</v>
      </c>
      <c r="G2888" s="12" t="s">
        <v>1861</v>
      </c>
      <c r="H2888" s="12" t="b">
        <v>1</v>
      </c>
      <c r="I2888" s="12" t="b">
        <v>0</v>
      </c>
      <c r="J2888" s="12" t="b">
        <v>0</v>
      </c>
      <c r="K2888" s="12" t="b">
        <v>0</v>
      </c>
      <c r="L2888" s="12">
        <v>415</v>
      </c>
      <c r="M2888" s="12">
        <v>300.032917</v>
      </c>
      <c r="N2888" s="12">
        <v>3000</v>
      </c>
      <c r="O2888" s="12">
        <v>400</v>
      </c>
      <c r="P2888" s="12">
        <v>0.5</v>
      </c>
      <c r="Q2888" s="12">
        <v>0.95</v>
      </c>
      <c r="R2888" s="12">
        <v>0.75</v>
      </c>
      <c r="S2888" s="12">
        <v>0.90500000000000003</v>
      </c>
      <c r="T2888" s="12">
        <v>0.85999999999999988</v>
      </c>
      <c r="U2888" s="12">
        <v>0.95</v>
      </c>
      <c r="V2888" s="12">
        <v>300.032917</v>
      </c>
      <c r="W2888" s="12">
        <v>14.33218967153533</v>
      </c>
      <c r="X2888" s="12">
        <v>66.813693981908031</v>
      </c>
      <c r="Y2888" s="12">
        <v>2600</v>
      </c>
      <c r="Z2888" s="12">
        <v>7.5</v>
      </c>
      <c r="AA2888" s="12" t="s">
        <v>1268</v>
      </c>
      <c r="AB2888" s="12"/>
    </row>
    <row r="2889" spans="1:28" x14ac:dyDescent="0.3">
      <c r="A2889" s="12" t="s">
        <v>4808</v>
      </c>
      <c r="B2889" s="12" t="s">
        <v>198</v>
      </c>
      <c r="C2889" s="12" t="s">
        <v>505</v>
      </c>
      <c r="D2889" s="12" t="s">
        <v>4740</v>
      </c>
      <c r="E2889" s="12" t="s">
        <v>4403</v>
      </c>
      <c r="F2889" s="12" t="s">
        <v>32</v>
      </c>
      <c r="G2889" s="12" t="s">
        <v>32</v>
      </c>
      <c r="H2889" s="12" t="b">
        <v>1</v>
      </c>
      <c r="I2889" s="12" t="b">
        <v>1</v>
      </c>
      <c r="J2889" s="12" t="b">
        <v>0</v>
      </c>
      <c r="K2889" s="12" t="b">
        <v>0</v>
      </c>
      <c r="L2889" s="12">
        <v>415</v>
      </c>
      <c r="M2889" s="12">
        <v>300.032917</v>
      </c>
      <c r="N2889" s="12">
        <v>3000</v>
      </c>
      <c r="O2889" s="12">
        <v>400</v>
      </c>
      <c r="P2889" s="12">
        <v>0.5</v>
      </c>
      <c r="Q2889" s="12">
        <v>0.95</v>
      </c>
      <c r="R2889" s="12">
        <v>0.75</v>
      </c>
      <c r="S2889" s="12">
        <v>0.79500000000000004</v>
      </c>
      <c r="T2889" s="12">
        <v>0.85999999999999988</v>
      </c>
      <c r="U2889" s="12">
        <v>0.95</v>
      </c>
      <c r="V2889" s="12">
        <v>300.032917</v>
      </c>
      <c r="W2889" s="12">
        <v>13.9566406153647</v>
      </c>
      <c r="X2889" s="12">
        <v>57.082839290897603</v>
      </c>
      <c r="Y2889" s="12">
        <v>2600</v>
      </c>
      <c r="Z2889" s="12">
        <v>7.5</v>
      </c>
      <c r="AA2889" s="12"/>
      <c r="AB2889" s="12"/>
    </row>
    <row r="2890" spans="1:28" x14ac:dyDescent="0.3">
      <c r="A2890" s="12" t="s">
        <v>4809</v>
      </c>
      <c r="B2890" s="12" t="s">
        <v>198</v>
      </c>
      <c r="C2890" s="12" t="s">
        <v>505</v>
      </c>
      <c r="D2890" s="12" t="s">
        <v>4740</v>
      </c>
      <c r="E2890" s="12" t="s">
        <v>4403</v>
      </c>
      <c r="F2890" s="12" t="s">
        <v>32</v>
      </c>
      <c r="G2890" s="12" t="s">
        <v>32</v>
      </c>
      <c r="H2890" s="12" t="b">
        <v>1</v>
      </c>
      <c r="I2890" s="12" t="b">
        <v>1</v>
      </c>
      <c r="J2890" s="12" t="b">
        <v>0</v>
      </c>
      <c r="K2890" s="12" t="b">
        <v>0</v>
      </c>
      <c r="L2890" s="12">
        <v>415</v>
      </c>
      <c r="M2890" s="12">
        <v>300.032917</v>
      </c>
      <c r="N2890" s="12">
        <v>3000</v>
      </c>
      <c r="O2890" s="12">
        <v>400</v>
      </c>
      <c r="P2890" s="12">
        <v>0.5</v>
      </c>
      <c r="Q2890" s="12">
        <v>0.95</v>
      </c>
      <c r="R2890" s="12">
        <v>0.75</v>
      </c>
      <c r="S2890" s="12">
        <v>0.85</v>
      </c>
      <c r="T2890" s="12">
        <v>0.91500000000000004</v>
      </c>
      <c r="U2890" s="12">
        <v>0.95</v>
      </c>
      <c r="V2890" s="12">
        <v>300.032917</v>
      </c>
      <c r="W2890" s="12">
        <v>14.88938303198443</v>
      </c>
      <c r="X2890" s="12">
        <v>62.49174211411858</v>
      </c>
      <c r="Y2890" s="12">
        <v>2600</v>
      </c>
      <c r="Z2890" s="12">
        <v>7.5</v>
      </c>
      <c r="AA2890" s="12"/>
      <c r="AB2890" s="12"/>
    </row>
    <row r="2891" spans="1:28" x14ac:dyDescent="0.3">
      <c r="A2891" s="12" t="s">
        <v>4810</v>
      </c>
      <c r="B2891" s="12" t="s">
        <v>198</v>
      </c>
      <c r="C2891" s="12" t="s">
        <v>505</v>
      </c>
      <c r="D2891" s="12" t="s">
        <v>4740</v>
      </c>
      <c r="E2891" s="12" t="s">
        <v>4403</v>
      </c>
      <c r="F2891" s="12" t="s">
        <v>32</v>
      </c>
      <c r="G2891" s="12" t="s">
        <v>32</v>
      </c>
      <c r="H2891" s="12" t="b">
        <v>1</v>
      </c>
      <c r="I2891" s="12" t="b">
        <v>1</v>
      </c>
      <c r="J2891" s="12" t="b">
        <v>0</v>
      </c>
      <c r="K2891" s="12" t="b">
        <v>0</v>
      </c>
      <c r="L2891" s="12">
        <v>415</v>
      </c>
      <c r="M2891" s="12">
        <v>300.032917</v>
      </c>
      <c r="N2891" s="12">
        <v>3000</v>
      </c>
      <c r="O2891" s="12">
        <v>400</v>
      </c>
      <c r="P2891" s="12">
        <v>0.5</v>
      </c>
      <c r="Q2891" s="12">
        <v>0.95</v>
      </c>
      <c r="R2891" s="12">
        <v>0.75</v>
      </c>
      <c r="S2891" s="12">
        <v>0.85</v>
      </c>
      <c r="T2891" s="12">
        <v>0.80499999999999994</v>
      </c>
      <c r="U2891" s="12">
        <v>0.95</v>
      </c>
      <c r="V2891" s="12">
        <v>300.032917</v>
      </c>
      <c r="W2891" s="12">
        <v>13.488385238399109</v>
      </c>
      <c r="X2891" s="12">
        <v>61.409010130706967</v>
      </c>
      <c r="Y2891" s="12">
        <v>2600</v>
      </c>
      <c r="Z2891" s="12">
        <v>7.5</v>
      </c>
      <c r="AA2891" s="12"/>
      <c r="AB2891" s="12"/>
    </row>
    <row r="2892" spans="1:28" x14ac:dyDescent="0.3">
      <c r="A2892" s="12" t="s">
        <v>4811</v>
      </c>
      <c r="B2892" s="12" t="s">
        <v>198</v>
      </c>
      <c r="C2892" s="12" t="s">
        <v>505</v>
      </c>
      <c r="D2892" s="12" t="s">
        <v>4740</v>
      </c>
      <c r="E2892" s="12" t="s">
        <v>4403</v>
      </c>
      <c r="F2892" s="12" t="s">
        <v>1861</v>
      </c>
      <c r="G2892" s="12" t="s">
        <v>1861</v>
      </c>
      <c r="H2892" s="12" t="b">
        <v>1</v>
      </c>
      <c r="I2892" s="12" t="b">
        <v>0</v>
      </c>
      <c r="J2892" s="12" t="b">
        <v>0</v>
      </c>
      <c r="K2892" s="12" t="b">
        <v>0</v>
      </c>
      <c r="L2892" s="12">
        <v>415</v>
      </c>
      <c r="M2892" s="12">
        <v>300.032917</v>
      </c>
      <c r="N2892" s="12">
        <v>3000</v>
      </c>
      <c r="O2892" s="12">
        <v>400</v>
      </c>
      <c r="P2892" s="12">
        <v>0.5</v>
      </c>
      <c r="Q2892" s="12">
        <v>0.95</v>
      </c>
      <c r="R2892" s="12">
        <v>0.75</v>
      </c>
      <c r="S2892" s="12">
        <v>0.85</v>
      </c>
      <c r="T2892" s="12">
        <v>0.85999999999999988</v>
      </c>
      <c r="U2892" s="12">
        <v>0.89500000000000002</v>
      </c>
      <c r="V2892" s="12">
        <v>300.032917</v>
      </c>
      <c r="W2892" s="12">
        <v>14.391734633600301</v>
      </c>
      <c r="X2892" s="12">
        <v>61.949032514938857</v>
      </c>
      <c r="Y2892" s="12">
        <v>2600</v>
      </c>
      <c r="Z2892" s="12">
        <v>7.5</v>
      </c>
      <c r="AA2892" s="12" t="s">
        <v>1268</v>
      </c>
      <c r="AB2892" s="12"/>
    </row>
    <row r="2893" spans="1:28" x14ac:dyDescent="0.3">
      <c r="A2893" s="12" t="s">
        <v>4812</v>
      </c>
      <c r="B2893" s="12" t="s">
        <v>198</v>
      </c>
      <c r="C2893" s="12" t="s">
        <v>505</v>
      </c>
      <c r="D2893" s="12" t="s">
        <v>4740</v>
      </c>
      <c r="E2893" s="12" t="s">
        <v>4403</v>
      </c>
      <c r="F2893" s="12" t="s">
        <v>1861</v>
      </c>
      <c r="G2893" s="12" t="s">
        <v>1861</v>
      </c>
      <c r="H2893" s="12" t="b">
        <v>1</v>
      </c>
      <c r="I2893" s="12" t="b">
        <v>0</v>
      </c>
      <c r="J2893" s="12" t="b">
        <v>1</v>
      </c>
      <c r="K2893" s="12" t="b">
        <v>0</v>
      </c>
      <c r="L2893" s="12">
        <v>427</v>
      </c>
      <c r="M2893" s="12">
        <v>300.032917</v>
      </c>
      <c r="N2893" s="12">
        <v>3000</v>
      </c>
      <c r="O2893" s="12">
        <v>400</v>
      </c>
      <c r="P2893" s="12">
        <v>0.5</v>
      </c>
      <c r="Q2893" s="12">
        <v>0.95</v>
      </c>
      <c r="R2893" s="12">
        <v>0.75</v>
      </c>
      <c r="S2893" s="12">
        <v>0.85</v>
      </c>
      <c r="T2893" s="12">
        <v>0.91500000000000004</v>
      </c>
      <c r="U2893" s="12">
        <v>0.95</v>
      </c>
      <c r="V2893" s="12">
        <v>300.032917</v>
      </c>
      <c r="W2893" s="12">
        <v>15.375186735132001</v>
      </c>
      <c r="X2893" s="12">
        <v>89.554717324384455</v>
      </c>
      <c r="Y2893" s="12">
        <v>2600</v>
      </c>
      <c r="Z2893" s="12">
        <v>7.5</v>
      </c>
      <c r="AA2893" s="12" t="s">
        <v>1268</v>
      </c>
      <c r="AB2893" s="12"/>
    </row>
    <row r="2894" spans="1:28" x14ac:dyDescent="0.3">
      <c r="A2894" s="12" t="s">
        <v>4813</v>
      </c>
      <c r="B2894" s="12" t="s">
        <v>198</v>
      </c>
      <c r="C2894" s="12" t="s">
        <v>505</v>
      </c>
      <c r="D2894" s="12" t="s">
        <v>4740</v>
      </c>
      <c r="E2894" s="12" t="s">
        <v>4403</v>
      </c>
      <c r="F2894" s="12" t="s">
        <v>32</v>
      </c>
      <c r="G2894" s="12" t="s">
        <v>32</v>
      </c>
      <c r="H2894" s="12" t="b">
        <v>1</v>
      </c>
      <c r="I2894" s="12" t="b">
        <v>1</v>
      </c>
      <c r="J2894" s="12" t="b">
        <v>0</v>
      </c>
      <c r="K2894" s="12" t="b">
        <v>0</v>
      </c>
      <c r="L2894" s="12">
        <v>403</v>
      </c>
      <c r="M2894" s="12">
        <v>300.032917</v>
      </c>
      <c r="N2894" s="12">
        <v>3000</v>
      </c>
      <c r="O2894" s="12">
        <v>400</v>
      </c>
      <c r="P2894" s="12">
        <v>0.5</v>
      </c>
      <c r="Q2894" s="12">
        <v>0.95</v>
      </c>
      <c r="R2894" s="12">
        <v>0.75</v>
      </c>
      <c r="S2894" s="12">
        <v>0.85</v>
      </c>
      <c r="T2894" s="12">
        <v>0.91500000000000004</v>
      </c>
      <c r="U2894" s="12">
        <v>0.95</v>
      </c>
      <c r="V2894" s="12">
        <v>300.032917</v>
      </c>
      <c r="W2894" s="12">
        <v>13.598128566932999</v>
      </c>
      <c r="X2894" s="12">
        <v>36.45795973977134</v>
      </c>
      <c r="Y2894" s="12">
        <v>2600</v>
      </c>
      <c r="Z2894" s="12">
        <v>7.5</v>
      </c>
      <c r="AA2894" s="12"/>
      <c r="AB2894" s="12"/>
    </row>
    <row r="2895" spans="1:28" x14ac:dyDescent="0.3">
      <c r="A2895" s="12" t="s">
        <v>4814</v>
      </c>
      <c r="B2895" s="12" t="s">
        <v>198</v>
      </c>
      <c r="C2895" s="12" t="s">
        <v>505</v>
      </c>
      <c r="D2895" s="12" t="s">
        <v>4740</v>
      </c>
      <c r="E2895" s="12" t="s">
        <v>4403</v>
      </c>
      <c r="F2895" s="12" t="s">
        <v>1861</v>
      </c>
      <c r="G2895" s="12" t="s">
        <v>1861</v>
      </c>
      <c r="H2895" s="12" t="b">
        <v>1</v>
      </c>
      <c r="I2895" s="12" t="b">
        <v>0</v>
      </c>
      <c r="J2895" s="12" t="b">
        <v>0</v>
      </c>
      <c r="K2895" s="12" t="b">
        <v>0</v>
      </c>
      <c r="L2895" s="12">
        <v>415</v>
      </c>
      <c r="M2895" s="12">
        <v>300.032917</v>
      </c>
      <c r="N2895" s="12">
        <v>3000</v>
      </c>
      <c r="O2895" s="12">
        <v>400</v>
      </c>
      <c r="P2895" s="12">
        <v>0.53500000000000003</v>
      </c>
      <c r="Q2895" s="12">
        <v>0.95</v>
      </c>
      <c r="R2895" s="12">
        <v>0.75</v>
      </c>
      <c r="S2895" s="12">
        <v>0.85</v>
      </c>
      <c r="T2895" s="12">
        <v>0.91500000000000004</v>
      </c>
      <c r="U2895" s="12">
        <v>0.95</v>
      </c>
      <c r="V2895" s="12">
        <v>300.032917</v>
      </c>
      <c r="W2895" s="12">
        <v>15.670363538331641</v>
      </c>
      <c r="X2895" s="12">
        <v>78.984436928233563</v>
      </c>
      <c r="Y2895" s="12">
        <v>2600</v>
      </c>
      <c r="Z2895" s="12">
        <v>7.5</v>
      </c>
      <c r="AA2895" s="12" t="s">
        <v>1268</v>
      </c>
      <c r="AB2895" s="12"/>
    </row>
    <row r="2896" spans="1:28" x14ac:dyDescent="0.3">
      <c r="A2896" s="12" t="s">
        <v>4815</v>
      </c>
      <c r="B2896" s="12" t="s">
        <v>198</v>
      </c>
      <c r="C2896" s="12" t="s">
        <v>505</v>
      </c>
      <c r="D2896" s="12" t="s">
        <v>4740</v>
      </c>
      <c r="E2896" s="12" t="s">
        <v>4403</v>
      </c>
      <c r="F2896" s="12" t="s">
        <v>32</v>
      </c>
      <c r="G2896" s="12" t="s">
        <v>32</v>
      </c>
      <c r="H2896" s="12" t="b">
        <v>1</v>
      </c>
      <c r="I2896" s="12" t="b">
        <v>1</v>
      </c>
      <c r="J2896" s="12" t="b">
        <v>0</v>
      </c>
      <c r="K2896" s="12" t="b">
        <v>0</v>
      </c>
      <c r="L2896" s="12">
        <v>415</v>
      </c>
      <c r="M2896" s="12">
        <v>300.032917</v>
      </c>
      <c r="N2896" s="12">
        <v>3000</v>
      </c>
      <c r="O2896" s="12">
        <v>400</v>
      </c>
      <c r="P2896" s="12">
        <v>0.5</v>
      </c>
      <c r="Q2896" s="12">
        <v>0.89500000000000002</v>
      </c>
      <c r="R2896" s="12">
        <v>0.75</v>
      </c>
      <c r="S2896" s="12">
        <v>0.85</v>
      </c>
      <c r="T2896" s="12">
        <v>0.91500000000000004</v>
      </c>
      <c r="U2896" s="12">
        <v>0.95</v>
      </c>
      <c r="V2896" s="12">
        <v>300.032917</v>
      </c>
      <c r="W2896" s="12">
        <v>13.97097076267265</v>
      </c>
      <c r="X2896" s="12">
        <v>58.629684850814527</v>
      </c>
      <c r="Y2896" s="12">
        <v>2600</v>
      </c>
      <c r="Z2896" s="12">
        <v>7.5</v>
      </c>
      <c r="AA2896" s="12"/>
      <c r="AB2896" s="12"/>
    </row>
    <row r="2897" spans="1:28" x14ac:dyDescent="0.3">
      <c r="A2897" s="12" t="s">
        <v>4816</v>
      </c>
      <c r="B2897" s="12" t="s">
        <v>198</v>
      </c>
      <c r="C2897" s="12" t="s">
        <v>505</v>
      </c>
      <c r="D2897" s="12" t="s">
        <v>4740</v>
      </c>
      <c r="E2897" s="12" t="s">
        <v>4403</v>
      </c>
      <c r="F2897" s="12" t="s">
        <v>32</v>
      </c>
      <c r="G2897" s="12" t="s">
        <v>32</v>
      </c>
      <c r="H2897" s="12" t="b">
        <v>1</v>
      </c>
      <c r="I2897" s="12" t="b">
        <v>1</v>
      </c>
      <c r="J2897" s="12" t="b">
        <v>0</v>
      </c>
      <c r="K2897" s="12" t="b">
        <v>0</v>
      </c>
      <c r="L2897" s="12">
        <v>415</v>
      </c>
      <c r="M2897" s="12">
        <v>300.032917</v>
      </c>
      <c r="N2897" s="12">
        <v>3000</v>
      </c>
      <c r="O2897" s="12">
        <v>400</v>
      </c>
      <c r="P2897" s="12">
        <v>0.5</v>
      </c>
      <c r="Q2897" s="12">
        <v>0.95</v>
      </c>
      <c r="R2897" s="12">
        <v>0.80499999999999994</v>
      </c>
      <c r="S2897" s="12">
        <v>0.85</v>
      </c>
      <c r="T2897" s="12">
        <v>0.91500000000000004</v>
      </c>
      <c r="U2897" s="12">
        <v>0.95</v>
      </c>
      <c r="V2897" s="12">
        <v>300.032917</v>
      </c>
      <c r="W2897" s="12">
        <v>14.95498227948265</v>
      </c>
      <c r="X2897" s="12">
        <v>62.778960511281738</v>
      </c>
      <c r="Y2897" s="12">
        <v>2600</v>
      </c>
      <c r="Z2897" s="12">
        <v>7.5</v>
      </c>
      <c r="AA2897" s="12"/>
      <c r="AB2897" s="12"/>
    </row>
    <row r="2898" spans="1:28" x14ac:dyDescent="0.3">
      <c r="A2898" s="12" t="s">
        <v>4817</v>
      </c>
      <c r="B2898" s="12" t="s">
        <v>198</v>
      </c>
      <c r="C2898" s="12" t="s">
        <v>505</v>
      </c>
      <c r="D2898" s="12" t="s">
        <v>4740</v>
      </c>
      <c r="E2898" s="12" t="s">
        <v>4403</v>
      </c>
      <c r="F2898" s="12" t="s">
        <v>32</v>
      </c>
      <c r="G2898" s="12" t="s">
        <v>32</v>
      </c>
      <c r="H2898" s="12" t="b">
        <v>1</v>
      </c>
      <c r="I2898" s="12" t="b">
        <v>1</v>
      </c>
      <c r="J2898" s="12" t="b">
        <v>0</v>
      </c>
      <c r="K2898" s="12" t="b">
        <v>0</v>
      </c>
      <c r="L2898" s="12">
        <v>415</v>
      </c>
      <c r="M2898" s="12">
        <v>300.032917</v>
      </c>
      <c r="N2898" s="12">
        <v>3000</v>
      </c>
      <c r="O2898" s="12">
        <v>400</v>
      </c>
      <c r="P2898" s="12">
        <v>0.5</v>
      </c>
      <c r="Q2898" s="12">
        <v>0.95</v>
      </c>
      <c r="R2898" s="12">
        <v>0.69500000000000006</v>
      </c>
      <c r="S2898" s="12">
        <v>0.85</v>
      </c>
      <c r="T2898" s="12">
        <v>0.91500000000000004</v>
      </c>
      <c r="U2898" s="12">
        <v>0.95</v>
      </c>
      <c r="V2898" s="12">
        <v>300.032917</v>
      </c>
      <c r="W2898" s="12">
        <v>14.813369146362531</v>
      </c>
      <c r="X2898" s="12">
        <v>62.159060397230853</v>
      </c>
      <c r="Y2898" s="12">
        <v>2600</v>
      </c>
      <c r="Z2898" s="12">
        <v>7.5</v>
      </c>
      <c r="AA2898" s="12"/>
      <c r="AB2898" s="12"/>
    </row>
    <row r="2899" spans="1:28" x14ac:dyDescent="0.3">
      <c r="A2899" s="12" t="s">
        <v>4818</v>
      </c>
      <c r="B2899" s="12" t="s">
        <v>198</v>
      </c>
      <c r="C2899" s="12" t="s">
        <v>505</v>
      </c>
      <c r="D2899" s="12" t="s">
        <v>4740</v>
      </c>
      <c r="E2899" s="12" t="s">
        <v>4403</v>
      </c>
      <c r="F2899" s="12" t="s">
        <v>32</v>
      </c>
      <c r="G2899" s="12" t="s">
        <v>32</v>
      </c>
      <c r="H2899" s="12" t="b">
        <v>1</v>
      </c>
      <c r="I2899" s="12" t="b">
        <v>1</v>
      </c>
      <c r="J2899" s="12" t="b">
        <v>0</v>
      </c>
      <c r="K2899" s="12" t="b">
        <v>0</v>
      </c>
      <c r="L2899" s="12">
        <v>415</v>
      </c>
      <c r="M2899" s="12">
        <v>300.032917</v>
      </c>
      <c r="N2899" s="12">
        <v>3000</v>
      </c>
      <c r="O2899" s="12">
        <v>400</v>
      </c>
      <c r="P2899" s="12">
        <v>0.5</v>
      </c>
      <c r="Q2899" s="12">
        <v>0.95</v>
      </c>
      <c r="R2899" s="12">
        <v>0.75</v>
      </c>
      <c r="S2899" s="12">
        <v>0.90500000000000003</v>
      </c>
      <c r="T2899" s="12">
        <v>0.91500000000000004</v>
      </c>
      <c r="U2899" s="12">
        <v>0.95</v>
      </c>
      <c r="V2899" s="12">
        <v>300.032917</v>
      </c>
      <c r="W2899" s="12">
        <v>15.01289365447205</v>
      </c>
      <c r="X2899" s="12">
        <v>67.155324853886256</v>
      </c>
      <c r="Y2899" s="12">
        <v>2600</v>
      </c>
      <c r="Z2899" s="12">
        <v>7.5</v>
      </c>
      <c r="AA2899" s="12"/>
      <c r="AB2899" s="12"/>
    </row>
    <row r="2900" spans="1:28" x14ac:dyDescent="0.3">
      <c r="A2900" s="12" t="s">
        <v>4819</v>
      </c>
      <c r="B2900" s="12" t="s">
        <v>198</v>
      </c>
      <c r="C2900" s="12" t="s">
        <v>505</v>
      </c>
      <c r="D2900" s="12" t="s">
        <v>4740</v>
      </c>
      <c r="E2900" s="12" t="s">
        <v>4403</v>
      </c>
      <c r="F2900" s="12" t="s">
        <v>32</v>
      </c>
      <c r="G2900" s="12" t="s">
        <v>32</v>
      </c>
      <c r="H2900" s="12" t="b">
        <v>1</v>
      </c>
      <c r="I2900" s="12" t="b">
        <v>1</v>
      </c>
      <c r="J2900" s="12" t="b">
        <v>0</v>
      </c>
      <c r="K2900" s="12" t="b">
        <v>0</v>
      </c>
      <c r="L2900" s="12">
        <v>415</v>
      </c>
      <c r="M2900" s="12">
        <v>300.032917</v>
      </c>
      <c r="N2900" s="12">
        <v>3000</v>
      </c>
      <c r="O2900" s="12">
        <v>400</v>
      </c>
      <c r="P2900" s="12">
        <v>0.5</v>
      </c>
      <c r="Q2900" s="12">
        <v>0.95</v>
      </c>
      <c r="R2900" s="12">
        <v>0.75</v>
      </c>
      <c r="S2900" s="12">
        <v>0.79500000000000004</v>
      </c>
      <c r="T2900" s="12">
        <v>0.91500000000000004</v>
      </c>
      <c r="U2900" s="12">
        <v>0.95</v>
      </c>
      <c r="V2900" s="12">
        <v>300.032917</v>
      </c>
      <c r="W2900" s="12">
        <v>14.7425208906908</v>
      </c>
      <c r="X2900" s="12">
        <v>57.828170585456967</v>
      </c>
      <c r="Y2900" s="12">
        <v>2600</v>
      </c>
      <c r="Z2900" s="12">
        <v>7.5</v>
      </c>
      <c r="AA2900" s="12"/>
      <c r="AB2900" s="12"/>
    </row>
    <row r="2901" spans="1:28" x14ac:dyDescent="0.3">
      <c r="A2901" s="12" t="s">
        <v>4820</v>
      </c>
      <c r="B2901" s="12" t="s">
        <v>198</v>
      </c>
      <c r="C2901" s="12" t="s">
        <v>505</v>
      </c>
      <c r="D2901" s="12" t="s">
        <v>4740</v>
      </c>
      <c r="E2901" s="12" t="s">
        <v>4403</v>
      </c>
      <c r="F2901" s="12" t="s">
        <v>32</v>
      </c>
      <c r="G2901" s="12" t="s">
        <v>32</v>
      </c>
      <c r="H2901" s="12" t="b">
        <v>1</v>
      </c>
      <c r="I2901" s="12" t="b">
        <v>1</v>
      </c>
      <c r="J2901" s="12" t="b">
        <v>0</v>
      </c>
      <c r="K2901" s="12" t="b">
        <v>0</v>
      </c>
      <c r="L2901" s="12">
        <v>415</v>
      </c>
      <c r="M2901" s="12">
        <v>300.032917</v>
      </c>
      <c r="N2901" s="12">
        <v>3000</v>
      </c>
      <c r="O2901" s="12">
        <v>400</v>
      </c>
      <c r="P2901" s="12">
        <v>0.5</v>
      </c>
      <c r="Q2901" s="12">
        <v>0.95</v>
      </c>
      <c r="R2901" s="12">
        <v>0.75</v>
      </c>
      <c r="S2901" s="12">
        <v>0.85</v>
      </c>
      <c r="T2901" s="12">
        <v>0.95</v>
      </c>
      <c r="U2901" s="12">
        <v>0.95</v>
      </c>
      <c r="V2901" s="12">
        <v>300.032917</v>
      </c>
      <c r="W2901" s="12">
        <v>15.388324437519319</v>
      </c>
      <c r="X2901" s="12">
        <v>62.837544631163787</v>
      </c>
      <c r="Y2901" s="12">
        <v>2600</v>
      </c>
      <c r="Z2901" s="12">
        <v>7.5</v>
      </c>
      <c r="AA2901" s="12"/>
      <c r="AB2901" s="12"/>
    </row>
    <row r="2902" spans="1:28" x14ac:dyDescent="0.3">
      <c r="A2902" s="12" t="s">
        <v>4821</v>
      </c>
      <c r="B2902" s="12" t="s">
        <v>198</v>
      </c>
      <c r="C2902" s="12" t="s">
        <v>505</v>
      </c>
      <c r="D2902" s="12" t="s">
        <v>4740</v>
      </c>
      <c r="E2902" s="12" t="s">
        <v>4403</v>
      </c>
      <c r="F2902" s="12" t="s">
        <v>32</v>
      </c>
      <c r="G2902" s="12" t="s">
        <v>32</v>
      </c>
      <c r="H2902" s="12" t="b">
        <v>1</v>
      </c>
      <c r="I2902" s="12" t="b">
        <v>1</v>
      </c>
      <c r="J2902" s="12" t="b">
        <v>0</v>
      </c>
      <c r="K2902" s="12" t="b">
        <v>0</v>
      </c>
      <c r="L2902" s="12">
        <v>415</v>
      </c>
      <c r="M2902" s="12">
        <v>300.032917</v>
      </c>
      <c r="N2902" s="12">
        <v>3000</v>
      </c>
      <c r="O2902" s="12">
        <v>400</v>
      </c>
      <c r="P2902" s="12">
        <v>0.5</v>
      </c>
      <c r="Q2902" s="12">
        <v>0.95</v>
      </c>
      <c r="R2902" s="12">
        <v>0.75</v>
      </c>
      <c r="S2902" s="12">
        <v>0.85</v>
      </c>
      <c r="T2902" s="12">
        <v>0.85999999999999988</v>
      </c>
      <c r="U2902" s="12">
        <v>0.95</v>
      </c>
      <c r="V2902" s="12">
        <v>300.032917</v>
      </c>
      <c r="W2902" s="12">
        <v>14.159370698308599</v>
      </c>
      <c r="X2902" s="12">
        <v>61.949598702444497</v>
      </c>
      <c r="Y2902" s="12">
        <v>2600</v>
      </c>
      <c r="Z2902" s="12">
        <v>7.5</v>
      </c>
      <c r="AA2902" s="12"/>
      <c r="AB2902" s="12"/>
    </row>
    <row r="2903" spans="1:28" x14ac:dyDescent="0.3">
      <c r="A2903" s="12" t="s">
        <v>4822</v>
      </c>
      <c r="B2903" s="12" t="s">
        <v>198</v>
      </c>
      <c r="C2903" s="12" t="s">
        <v>505</v>
      </c>
      <c r="D2903" s="12" t="s">
        <v>4740</v>
      </c>
      <c r="E2903" s="12" t="s">
        <v>4403</v>
      </c>
      <c r="F2903" s="12" t="s">
        <v>1861</v>
      </c>
      <c r="G2903" s="12" t="s">
        <v>1861</v>
      </c>
      <c r="H2903" s="12" t="b">
        <v>1</v>
      </c>
      <c r="I2903" s="12" t="b">
        <v>0</v>
      </c>
      <c r="J2903" s="12" t="b">
        <v>0</v>
      </c>
      <c r="K2903" s="12" t="b">
        <v>0</v>
      </c>
      <c r="L2903" s="12">
        <v>415</v>
      </c>
      <c r="M2903" s="12">
        <v>300.032917</v>
      </c>
      <c r="N2903" s="12">
        <v>3000</v>
      </c>
      <c r="O2903" s="12">
        <v>400</v>
      </c>
      <c r="P2903" s="12">
        <v>0.5</v>
      </c>
      <c r="Q2903" s="12">
        <v>0.95</v>
      </c>
      <c r="R2903" s="12">
        <v>0.75</v>
      </c>
      <c r="S2903" s="12">
        <v>0.85</v>
      </c>
      <c r="T2903" s="12">
        <v>0.91500000000000004</v>
      </c>
      <c r="U2903" s="12">
        <v>0.89500000000000002</v>
      </c>
      <c r="V2903" s="12">
        <v>300.032917</v>
      </c>
      <c r="W2903" s="12">
        <v>15.10467683294145</v>
      </c>
      <c r="X2903" s="12">
        <v>62.492158099144874</v>
      </c>
      <c r="Y2903" s="12">
        <v>2600</v>
      </c>
      <c r="Z2903" s="12">
        <v>7.5</v>
      </c>
      <c r="AA2903" s="12" t="s">
        <v>1268</v>
      </c>
      <c r="AB2903" s="12"/>
    </row>
    <row r="2904" spans="1:28" x14ac:dyDescent="0.3">
      <c r="A2904" s="12" t="s">
        <v>4823</v>
      </c>
      <c r="B2904" s="12" t="s">
        <v>198</v>
      </c>
      <c r="C2904" s="12" t="s">
        <v>505</v>
      </c>
      <c r="D2904" s="12" t="s">
        <v>4740</v>
      </c>
      <c r="E2904" s="12" t="s">
        <v>4403</v>
      </c>
      <c r="F2904" s="12" t="s">
        <v>1861</v>
      </c>
      <c r="G2904" s="12" t="s">
        <v>1861</v>
      </c>
      <c r="H2904" s="12" t="b">
        <v>1</v>
      </c>
      <c r="I2904" s="12" t="b">
        <v>0</v>
      </c>
      <c r="J2904" s="12" t="b">
        <v>1</v>
      </c>
      <c r="K2904" s="12" t="b">
        <v>0</v>
      </c>
      <c r="L2904" s="12">
        <v>427</v>
      </c>
      <c r="M2904" s="12">
        <v>300.032917</v>
      </c>
      <c r="N2904" s="12">
        <v>3000</v>
      </c>
      <c r="O2904" s="12">
        <v>400</v>
      </c>
      <c r="P2904" s="12">
        <v>0.5</v>
      </c>
      <c r="Q2904" s="12">
        <v>0.95</v>
      </c>
      <c r="R2904" s="12">
        <v>0.75</v>
      </c>
      <c r="S2904" s="12">
        <v>0.85</v>
      </c>
      <c r="T2904" s="12">
        <v>0.95</v>
      </c>
      <c r="U2904" s="12">
        <v>0.95</v>
      </c>
      <c r="V2904" s="12">
        <v>300.032917</v>
      </c>
      <c r="W2904" s="12">
        <v>15.72536319843622</v>
      </c>
      <c r="X2904" s="12">
        <v>89.886484617336691</v>
      </c>
      <c r="Y2904" s="12">
        <v>2600</v>
      </c>
      <c r="Z2904" s="12">
        <v>7.5</v>
      </c>
      <c r="AA2904" s="12" t="s">
        <v>1268</v>
      </c>
      <c r="AB2904" s="12"/>
    </row>
    <row r="2905" spans="1:28" x14ac:dyDescent="0.3">
      <c r="A2905" s="12" t="s">
        <v>4824</v>
      </c>
      <c r="B2905" s="12" t="s">
        <v>198</v>
      </c>
      <c r="C2905" s="12" t="s">
        <v>505</v>
      </c>
      <c r="D2905" s="12" t="s">
        <v>4740</v>
      </c>
      <c r="E2905" s="12" t="s">
        <v>4403</v>
      </c>
      <c r="F2905" s="12" t="s">
        <v>32</v>
      </c>
      <c r="G2905" s="12" t="s">
        <v>32</v>
      </c>
      <c r="H2905" s="12" t="b">
        <v>1</v>
      </c>
      <c r="I2905" s="12" t="b">
        <v>1</v>
      </c>
      <c r="J2905" s="12" t="b">
        <v>0</v>
      </c>
      <c r="K2905" s="12" t="b">
        <v>0</v>
      </c>
      <c r="L2905" s="12">
        <v>403</v>
      </c>
      <c r="M2905" s="12">
        <v>300.032917</v>
      </c>
      <c r="N2905" s="12">
        <v>3000</v>
      </c>
      <c r="O2905" s="12">
        <v>400</v>
      </c>
      <c r="P2905" s="12">
        <v>0.5</v>
      </c>
      <c r="Q2905" s="12">
        <v>0.95</v>
      </c>
      <c r="R2905" s="12">
        <v>0.75</v>
      </c>
      <c r="S2905" s="12">
        <v>0.85</v>
      </c>
      <c r="T2905" s="12">
        <v>0.95</v>
      </c>
      <c r="U2905" s="12">
        <v>0.95</v>
      </c>
      <c r="V2905" s="12">
        <v>300.032917</v>
      </c>
      <c r="W2905" s="12">
        <v>14.35740292690714</v>
      </c>
      <c r="X2905" s="12">
        <v>36.816139751281654</v>
      </c>
      <c r="Y2905" s="12">
        <v>2600</v>
      </c>
      <c r="Z2905" s="12">
        <v>7.5</v>
      </c>
      <c r="AA2905" s="12"/>
      <c r="AB2905" s="12"/>
    </row>
    <row r="2906" spans="1:28" x14ac:dyDescent="0.3">
      <c r="A2906" s="12" t="s">
        <v>4825</v>
      </c>
      <c r="B2906" s="12" t="s">
        <v>198</v>
      </c>
      <c r="C2906" s="12" t="s">
        <v>505</v>
      </c>
      <c r="D2906" s="12" t="s">
        <v>4740</v>
      </c>
      <c r="E2906" s="12" t="s">
        <v>4403</v>
      </c>
      <c r="F2906" s="12" t="s">
        <v>1861</v>
      </c>
      <c r="G2906" s="12" t="s">
        <v>1861</v>
      </c>
      <c r="H2906" s="12" t="b">
        <v>1</v>
      </c>
      <c r="I2906" s="12" t="b">
        <v>0</v>
      </c>
      <c r="J2906" s="12" t="b">
        <v>0</v>
      </c>
      <c r="K2906" s="12" t="b">
        <v>0</v>
      </c>
      <c r="L2906" s="12">
        <v>415</v>
      </c>
      <c r="M2906" s="12">
        <v>300.032917</v>
      </c>
      <c r="N2906" s="12">
        <v>3000</v>
      </c>
      <c r="O2906" s="12">
        <v>400</v>
      </c>
      <c r="P2906" s="12">
        <v>0.53500000000000003</v>
      </c>
      <c r="Q2906" s="12">
        <v>0.95</v>
      </c>
      <c r="R2906" s="12">
        <v>0.75</v>
      </c>
      <c r="S2906" s="12">
        <v>0.85</v>
      </c>
      <c r="T2906" s="12">
        <v>0.95</v>
      </c>
      <c r="U2906" s="12">
        <v>0.95</v>
      </c>
      <c r="V2906" s="12">
        <v>300.032917</v>
      </c>
      <c r="W2906" s="12">
        <v>16.059181733819479</v>
      </c>
      <c r="X2906" s="12">
        <v>79.312688013651908</v>
      </c>
      <c r="Y2906" s="12">
        <v>2600</v>
      </c>
      <c r="Z2906" s="12">
        <v>7.5</v>
      </c>
      <c r="AA2906" s="12" t="s">
        <v>1268</v>
      </c>
      <c r="AB2906" s="12"/>
    </row>
    <row r="2907" spans="1:28" x14ac:dyDescent="0.3">
      <c r="A2907" s="12" t="s">
        <v>4826</v>
      </c>
      <c r="B2907" s="12" t="s">
        <v>198</v>
      </c>
      <c r="C2907" s="12" t="s">
        <v>505</v>
      </c>
      <c r="D2907" s="12" t="s">
        <v>4740</v>
      </c>
      <c r="E2907" s="12" t="s">
        <v>4403</v>
      </c>
      <c r="F2907" s="12" t="s">
        <v>32</v>
      </c>
      <c r="G2907" s="12" t="s">
        <v>32</v>
      </c>
      <c r="H2907" s="12" t="b">
        <v>1</v>
      </c>
      <c r="I2907" s="12" t="b">
        <v>1</v>
      </c>
      <c r="J2907" s="12" t="b">
        <v>0</v>
      </c>
      <c r="K2907" s="12" t="b">
        <v>0</v>
      </c>
      <c r="L2907" s="12">
        <v>415</v>
      </c>
      <c r="M2907" s="12">
        <v>300.032917</v>
      </c>
      <c r="N2907" s="12">
        <v>3000</v>
      </c>
      <c r="O2907" s="12">
        <v>400</v>
      </c>
      <c r="P2907" s="12">
        <v>0.5</v>
      </c>
      <c r="Q2907" s="12">
        <v>0.89500000000000002</v>
      </c>
      <c r="R2907" s="12">
        <v>0.75</v>
      </c>
      <c r="S2907" s="12">
        <v>0.85</v>
      </c>
      <c r="T2907" s="12">
        <v>0.95</v>
      </c>
      <c r="U2907" s="12">
        <v>0.95</v>
      </c>
      <c r="V2907" s="12">
        <v>300.032917</v>
      </c>
      <c r="W2907" s="12">
        <v>14.43935877947456</v>
      </c>
      <c r="X2907" s="12">
        <v>58.955391883798661</v>
      </c>
      <c r="Y2907" s="12">
        <v>2600</v>
      </c>
      <c r="Z2907" s="12">
        <v>7.5</v>
      </c>
      <c r="AA2907" s="12"/>
      <c r="AB2907" s="12"/>
    </row>
    <row r="2908" spans="1:28" x14ac:dyDescent="0.3">
      <c r="A2908" s="12" t="s">
        <v>4827</v>
      </c>
      <c r="B2908" s="12" t="s">
        <v>198</v>
      </c>
      <c r="C2908" s="12" t="s">
        <v>505</v>
      </c>
      <c r="D2908" s="12" t="s">
        <v>4740</v>
      </c>
      <c r="E2908" s="12" t="s">
        <v>4403</v>
      </c>
      <c r="F2908" s="12" t="s">
        <v>32</v>
      </c>
      <c r="G2908" s="12" t="s">
        <v>32</v>
      </c>
      <c r="H2908" s="12" t="b">
        <v>1</v>
      </c>
      <c r="I2908" s="12" t="b">
        <v>1</v>
      </c>
      <c r="J2908" s="12" t="b">
        <v>0</v>
      </c>
      <c r="K2908" s="12" t="b">
        <v>0</v>
      </c>
      <c r="L2908" s="12">
        <v>415</v>
      </c>
      <c r="M2908" s="12">
        <v>300.032917</v>
      </c>
      <c r="N2908" s="12">
        <v>3000</v>
      </c>
      <c r="O2908" s="12">
        <v>400</v>
      </c>
      <c r="P2908" s="12">
        <v>0.5</v>
      </c>
      <c r="Q2908" s="12">
        <v>0.95</v>
      </c>
      <c r="R2908" s="12">
        <v>0.80499999999999994</v>
      </c>
      <c r="S2908" s="12">
        <v>0.85</v>
      </c>
      <c r="T2908" s="12">
        <v>0.95</v>
      </c>
      <c r="U2908" s="12">
        <v>0.95</v>
      </c>
      <c r="V2908" s="12">
        <v>300.032917</v>
      </c>
      <c r="W2908" s="12">
        <v>15.45592814854537</v>
      </c>
      <c r="X2908" s="12">
        <v>63.124912456909144</v>
      </c>
      <c r="Y2908" s="12">
        <v>2600</v>
      </c>
      <c r="Z2908" s="12">
        <v>7.5</v>
      </c>
      <c r="AA2908" s="12"/>
      <c r="AB2908" s="12"/>
    </row>
    <row r="2909" spans="1:28" x14ac:dyDescent="0.3">
      <c r="A2909" s="12" t="s">
        <v>4828</v>
      </c>
      <c r="B2909" s="12" t="s">
        <v>198</v>
      </c>
      <c r="C2909" s="12" t="s">
        <v>505</v>
      </c>
      <c r="D2909" s="12" t="s">
        <v>4740</v>
      </c>
      <c r="E2909" s="12" t="s">
        <v>4403</v>
      </c>
      <c r="F2909" s="12" t="s">
        <v>32</v>
      </c>
      <c r="G2909" s="12" t="s">
        <v>32</v>
      </c>
      <c r="H2909" s="12" t="b">
        <v>1</v>
      </c>
      <c r="I2909" s="12" t="b">
        <v>1</v>
      </c>
      <c r="J2909" s="12" t="b">
        <v>0</v>
      </c>
      <c r="K2909" s="12" t="b">
        <v>0</v>
      </c>
      <c r="L2909" s="12">
        <v>415</v>
      </c>
      <c r="M2909" s="12">
        <v>300.032917</v>
      </c>
      <c r="N2909" s="12">
        <v>3000</v>
      </c>
      <c r="O2909" s="12">
        <v>400</v>
      </c>
      <c r="P2909" s="12">
        <v>0.5</v>
      </c>
      <c r="Q2909" s="12">
        <v>0.95</v>
      </c>
      <c r="R2909" s="12">
        <v>0.69500000000000006</v>
      </c>
      <c r="S2909" s="12">
        <v>0.85</v>
      </c>
      <c r="T2909" s="12">
        <v>0.95</v>
      </c>
      <c r="U2909" s="12">
        <v>0.95</v>
      </c>
      <c r="V2909" s="12">
        <v>300.032917</v>
      </c>
      <c r="W2909" s="12">
        <v>15.30999011785465</v>
      </c>
      <c r="X2909" s="12">
        <v>62.504692114543893</v>
      </c>
      <c r="Y2909" s="12">
        <v>2600</v>
      </c>
      <c r="Z2909" s="12">
        <v>7.5</v>
      </c>
      <c r="AA2909" s="12"/>
      <c r="AB2909" s="12"/>
    </row>
    <row r="2910" spans="1:28" x14ac:dyDescent="0.3">
      <c r="A2910" s="12" t="s">
        <v>4829</v>
      </c>
      <c r="B2910" s="12" t="s">
        <v>198</v>
      </c>
      <c r="C2910" s="12" t="s">
        <v>505</v>
      </c>
      <c r="D2910" s="12" t="s">
        <v>4740</v>
      </c>
      <c r="E2910" s="12" t="s">
        <v>4403</v>
      </c>
      <c r="F2910" s="12" t="s">
        <v>32</v>
      </c>
      <c r="G2910" s="12" t="s">
        <v>32</v>
      </c>
      <c r="H2910" s="12" t="b">
        <v>1</v>
      </c>
      <c r="I2910" s="12" t="b">
        <v>1</v>
      </c>
      <c r="J2910" s="12" t="b">
        <v>0</v>
      </c>
      <c r="K2910" s="12" t="b">
        <v>0</v>
      </c>
      <c r="L2910" s="12">
        <v>415</v>
      </c>
      <c r="M2910" s="12">
        <v>300.032917</v>
      </c>
      <c r="N2910" s="12">
        <v>3000</v>
      </c>
      <c r="O2910" s="12">
        <v>400</v>
      </c>
      <c r="P2910" s="12">
        <v>0.5</v>
      </c>
      <c r="Q2910" s="12">
        <v>0.95</v>
      </c>
      <c r="R2910" s="12">
        <v>0.75</v>
      </c>
      <c r="S2910" s="12">
        <v>0.90500000000000003</v>
      </c>
      <c r="T2910" s="12">
        <v>0.95</v>
      </c>
      <c r="U2910" s="12">
        <v>0.95</v>
      </c>
      <c r="V2910" s="12">
        <v>300.032917</v>
      </c>
      <c r="W2910" s="12">
        <v>15.47807094977513</v>
      </c>
      <c r="X2910" s="12">
        <v>67.373299696975721</v>
      </c>
      <c r="Y2910" s="12">
        <v>2600</v>
      </c>
      <c r="Z2910" s="12">
        <v>7.5</v>
      </c>
      <c r="AA2910" s="12"/>
      <c r="AB2910" s="12"/>
    </row>
    <row r="2911" spans="1:28" x14ac:dyDescent="0.3">
      <c r="A2911" s="12" t="s">
        <v>4830</v>
      </c>
      <c r="B2911" s="12" t="s">
        <v>198</v>
      </c>
      <c r="C2911" s="12" t="s">
        <v>505</v>
      </c>
      <c r="D2911" s="12" t="s">
        <v>4740</v>
      </c>
      <c r="E2911" s="12" t="s">
        <v>4403</v>
      </c>
      <c r="F2911" s="12" t="s">
        <v>32</v>
      </c>
      <c r="G2911" s="12" t="s">
        <v>32</v>
      </c>
      <c r="H2911" s="12" t="b">
        <v>1</v>
      </c>
      <c r="I2911" s="12" t="b">
        <v>1</v>
      </c>
      <c r="J2911" s="12" t="b">
        <v>0</v>
      </c>
      <c r="K2911" s="12" t="b">
        <v>0</v>
      </c>
      <c r="L2911" s="12">
        <v>415</v>
      </c>
      <c r="M2911" s="12">
        <v>300.032917</v>
      </c>
      <c r="N2911" s="12">
        <v>3000</v>
      </c>
      <c r="O2911" s="12">
        <v>400</v>
      </c>
      <c r="P2911" s="12">
        <v>0.5</v>
      </c>
      <c r="Q2911" s="12">
        <v>0.95</v>
      </c>
      <c r="R2911" s="12">
        <v>0.75</v>
      </c>
      <c r="S2911" s="12">
        <v>0.79500000000000004</v>
      </c>
      <c r="T2911" s="12">
        <v>0.95</v>
      </c>
      <c r="U2911" s="12">
        <v>0.95</v>
      </c>
      <c r="V2911" s="12">
        <v>300.032917</v>
      </c>
      <c r="W2911" s="12">
        <v>15.279720598311281</v>
      </c>
      <c r="X2911" s="12">
        <v>58.303430198242367</v>
      </c>
      <c r="Y2911" s="12">
        <v>2600</v>
      </c>
      <c r="Z2911" s="12">
        <v>7.5</v>
      </c>
      <c r="AA2911" s="12"/>
      <c r="AB2911" s="12"/>
    </row>
    <row r="2912" spans="1:28" x14ac:dyDescent="0.3">
      <c r="A2912" s="12" t="s">
        <v>4831</v>
      </c>
      <c r="B2912" s="12" t="s">
        <v>198</v>
      </c>
      <c r="C2912" s="12" t="s">
        <v>505</v>
      </c>
      <c r="D2912" s="12" t="s">
        <v>4740</v>
      </c>
      <c r="E2912" s="12" t="s">
        <v>4403</v>
      </c>
      <c r="F2912" s="12" t="s">
        <v>32</v>
      </c>
      <c r="G2912" s="12" t="s">
        <v>32</v>
      </c>
      <c r="H2912" s="12" t="b">
        <v>1</v>
      </c>
      <c r="I2912" s="12" t="b">
        <v>1</v>
      </c>
      <c r="J2912" s="12" t="b">
        <v>0</v>
      </c>
      <c r="K2912" s="12" t="b">
        <v>0</v>
      </c>
      <c r="L2912" s="12">
        <v>415</v>
      </c>
      <c r="M2912" s="12">
        <v>300.032917</v>
      </c>
      <c r="N2912" s="12">
        <v>3000</v>
      </c>
      <c r="O2912" s="12">
        <v>400</v>
      </c>
      <c r="P2912" s="12">
        <v>0.5</v>
      </c>
      <c r="Q2912" s="12">
        <v>0.95</v>
      </c>
      <c r="R2912" s="12">
        <v>0.75</v>
      </c>
      <c r="S2912" s="12">
        <v>0.85</v>
      </c>
      <c r="T2912" s="12">
        <v>0.89500000000000002</v>
      </c>
      <c r="U2912" s="12">
        <v>0.95</v>
      </c>
      <c r="V2912" s="12">
        <v>300.032917</v>
      </c>
      <c r="W2912" s="12">
        <v>14.616618978571671</v>
      </c>
      <c r="X2912" s="12">
        <v>62.294424334011232</v>
      </c>
      <c r="Y2912" s="12">
        <v>2600</v>
      </c>
      <c r="Z2912" s="12">
        <v>7.5</v>
      </c>
      <c r="AA2912" s="12"/>
      <c r="AB2912" s="12"/>
    </row>
    <row r="2913" spans="1:28" x14ac:dyDescent="0.3">
      <c r="A2913" s="12" t="s">
        <v>4832</v>
      </c>
      <c r="B2913" s="12" t="s">
        <v>198</v>
      </c>
      <c r="C2913" s="12" t="s">
        <v>505</v>
      </c>
      <c r="D2913" s="12" t="s">
        <v>4740</v>
      </c>
      <c r="E2913" s="12" t="s">
        <v>4403</v>
      </c>
      <c r="F2913" s="12" t="s">
        <v>1861</v>
      </c>
      <c r="G2913" s="12" t="s">
        <v>1861</v>
      </c>
      <c r="H2913" s="12" t="b">
        <v>1</v>
      </c>
      <c r="I2913" s="12" t="b">
        <v>0</v>
      </c>
      <c r="J2913" s="12" t="b">
        <v>0</v>
      </c>
      <c r="K2913" s="12" t="b">
        <v>0</v>
      </c>
      <c r="L2913" s="12">
        <v>415</v>
      </c>
      <c r="M2913" s="12">
        <v>300.032917</v>
      </c>
      <c r="N2913" s="12">
        <v>3000</v>
      </c>
      <c r="O2913" s="12">
        <v>400</v>
      </c>
      <c r="P2913" s="12">
        <v>0.5</v>
      </c>
      <c r="Q2913" s="12">
        <v>0.95</v>
      </c>
      <c r="R2913" s="12">
        <v>0.75</v>
      </c>
      <c r="S2913" s="12">
        <v>0.85</v>
      </c>
      <c r="T2913" s="12">
        <v>0.95</v>
      </c>
      <c r="U2913" s="12">
        <v>0.89500000000000002</v>
      </c>
      <c r="V2913" s="12">
        <v>300.032917</v>
      </c>
      <c r="W2913" s="12">
        <v>15.59185608503708</v>
      </c>
      <c r="X2913" s="12">
        <v>62.838268623668753</v>
      </c>
      <c r="Y2913" s="12">
        <v>2600</v>
      </c>
      <c r="Z2913" s="12">
        <v>7.5</v>
      </c>
      <c r="AA2913" s="12" t="s">
        <v>1268</v>
      </c>
      <c r="AB2913" s="12"/>
    </row>
    <row r="2914" spans="1:28" x14ac:dyDescent="0.3">
      <c r="A2914" s="12" t="s">
        <v>4833</v>
      </c>
      <c r="B2914" s="12" t="s">
        <v>198</v>
      </c>
      <c r="C2914" s="12" t="s">
        <v>505</v>
      </c>
      <c r="D2914" s="12" t="s">
        <v>4740</v>
      </c>
      <c r="E2914" s="12" t="s">
        <v>4403</v>
      </c>
      <c r="F2914" s="12" t="s">
        <v>1861</v>
      </c>
      <c r="G2914" s="12" t="s">
        <v>1861</v>
      </c>
      <c r="H2914" s="12" t="b">
        <v>1</v>
      </c>
      <c r="I2914" s="12" t="b">
        <v>0</v>
      </c>
      <c r="J2914" s="12" t="b">
        <v>1</v>
      </c>
      <c r="K2914" s="12" t="b">
        <v>0</v>
      </c>
      <c r="L2914" s="12">
        <v>427</v>
      </c>
      <c r="M2914" s="12">
        <v>300.032917</v>
      </c>
      <c r="N2914" s="12">
        <v>3000</v>
      </c>
      <c r="O2914" s="12">
        <v>400</v>
      </c>
      <c r="P2914" s="12">
        <v>0.5</v>
      </c>
      <c r="Q2914" s="12">
        <v>0.95</v>
      </c>
      <c r="R2914" s="12">
        <v>0.75</v>
      </c>
      <c r="S2914" s="12">
        <v>0.90500000000000003</v>
      </c>
      <c r="T2914" s="12">
        <v>0.95</v>
      </c>
      <c r="U2914" s="12">
        <v>0.95</v>
      </c>
      <c r="V2914" s="12">
        <v>300.032917</v>
      </c>
      <c r="W2914" s="12">
        <v>15.75294661445909</v>
      </c>
      <c r="X2914" s="12">
        <v>96.191046235545116</v>
      </c>
      <c r="Y2914" s="12">
        <v>2600</v>
      </c>
      <c r="Z2914" s="12">
        <v>7.5</v>
      </c>
      <c r="AA2914" s="12" t="s">
        <v>1268</v>
      </c>
      <c r="AB2914" s="12"/>
    </row>
    <row r="2915" spans="1:28" x14ac:dyDescent="0.3">
      <c r="A2915" s="12" t="s">
        <v>4834</v>
      </c>
      <c r="B2915" s="12" t="s">
        <v>198</v>
      </c>
      <c r="C2915" s="12" t="s">
        <v>505</v>
      </c>
      <c r="D2915" s="12" t="s">
        <v>4740</v>
      </c>
      <c r="E2915" s="12" t="s">
        <v>4403</v>
      </c>
      <c r="F2915" s="12" t="s">
        <v>32</v>
      </c>
      <c r="G2915" s="12" t="s">
        <v>32</v>
      </c>
      <c r="H2915" s="12" t="b">
        <v>1</v>
      </c>
      <c r="I2915" s="12" t="b">
        <v>1</v>
      </c>
      <c r="J2915" s="12" t="b">
        <v>0</v>
      </c>
      <c r="K2915" s="12" t="b">
        <v>0</v>
      </c>
      <c r="L2915" s="12">
        <v>403</v>
      </c>
      <c r="M2915" s="12">
        <v>300.032917</v>
      </c>
      <c r="N2915" s="12">
        <v>3000</v>
      </c>
      <c r="O2915" s="12">
        <v>400</v>
      </c>
      <c r="P2915" s="12">
        <v>0.5</v>
      </c>
      <c r="Q2915" s="12">
        <v>0.95</v>
      </c>
      <c r="R2915" s="12">
        <v>0.75</v>
      </c>
      <c r="S2915" s="12">
        <v>0.90500000000000003</v>
      </c>
      <c r="T2915" s="12">
        <v>0.95</v>
      </c>
      <c r="U2915" s="12">
        <v>0.95</v>
      </c>
      <c r="V2915" s="12">
        <v>300.032917</v>
      </c>
      <c r="W2915" s="12">
        <v>14.536757895543021</v>
      </c>
      <c r="X2915" s="12">
        <v>39.690637742041353</v>
      </c>
      <c r="Y2915" s="12">
        <v>2600</v>
      </c>
      <c r="Z2915" s="12">
        <v>7.5</v>
      </c>
      <c r="AA2915" s="12"/>
      <c r="AB2915" s="12"/>
    </row>
    <row r="2916" spans="1:28" x14ac:dyDescent="0.3">
      <c r="A2916" s="12" t="s">
        <v>4835</v>
      </c>
      <c r="B2916" s="12" t="s">
        <v>198</v>
      </c>
      <c r="C2916" s="12" t="s">
        <v>505</v>
      </c>
      <c r="D2916" s="12" t="s">
        <v>4740</v>
      </c>
      <c r="E2916" s="12" t="s">
        <v>4403</v>
      </c>
      <c r="F2916" s="12" t="s">
        <v>1861</v>
      </c>
      <c r="G2916" s="12" t="s">
        <v>1861</v>
      </c>
      <c r="H2916" s="12" t="b">
        <v>1</v>
      </c>
      <c r="I2916" s="12" t="b">
        <v>0</v>
      </c>
      <c r="J2916" s="12" t="b">
        <v>0</v>
      </c>
      <c r="K2916" s="12" t="b">
        <v>0</v>
      </c>
      <c r="L2916" s="12">
        <v>415</v>
      </c>
      <c r="M2916" s="12">
        <v>300.032917</v>
      </c>
      <c r="N2916" s="12">
        <v>3000</v>
      </c>
      <c r="O2916" s="12">
        <v>400</v>
      </c>
      <c r="P2916" s="12">
        <v>0.53500000000000003</v>
      </c>
      <c r="Q2916" s="12">
        <v>0.95</v>
      </c>
      <c r="R2916" s="12">
        <v>0.75</v>
      </c>
      <c r="S2916" s="12">
        <v>0.90500000000000003</v>
      </c>
      <c r="T2916" s="12">
        <v>0.95</v>
      </c>
      <c r="U2916" s="12">
        <v>0.95</v>
      </c>
      <c r="V2916" s="12">
        <v>300.032917</v>
      </c>
      <c r="W2916" s="12">
        <v>16.116672725631531</v>
      </c>
      <c r="X2916" s="12">
        <v>84.851455386522218</v>
      </c>
      <c r="Y2916" s="12">
        <v>2600</v>
      </c>
      <c r="Z2916" s="12">
        <v>7.5</v>
      </c>
      <c r="AA2916" s="12" t="s">
        <v>1268</v>
      </c>
      <c r="AB2916" s="12"/>
    </row>
    <row r="2917" spans="1:28" x14ac:dyDescent="0.3">
      <c r="A2917" s="12" t="s">
        <v>4836</v>
      </c>
      <c r="B2917" s="12" t="s">
        <v>198</v>
      </c>
      <c r="C2917" s="12" t="s">
        <v>505</v>
      </c>
      <c r="D2917" s="12" t="s">
        <v>4740</v>
      </c>
      <c r="E2917" s="12" t="s">
        <v>4403</v>
      </c>
      <c r="F2917" s="12" t="s">
        <v>32</v>
      </c>
      <c r="G2917" s="12" t="s">
        <v>32</v>
      </c>
      <c r="H2917" s="12" t="b">
        <v>1</v>
      </c>
      <c r="I2917" s="12" t="b">
        <v>1</v>
      </c>
      <c r="J2917" s="12" t="b">
        <v>0</v>
      </c>
      <c r="K2917" s="12" t="b">
        <v>0</v>
      </c>
      <c r="L2917" s="12">
        <v>415</v>
      </c>
      <c r="M2917" s="12">
        <v>300.032917</v>
      </c>
      <c r="N2917" s="12">
        <v>3000</v>
      </c>
      <c r="O2917" s="12">
        <v>400</v>
      </c>
      <c r="P2917" s="12">
        <v>0.5</v>
      </c>
      <c r="Q2917" s="12">
        <v>0.89500000000000002</v>
      </c>
      <c r="R2917" s="12">
        <v>0.75</v>
      </c>
      <c r="S2917" s="12">
        <v>0.90500000000000003</v>
      </c>
      <c r="T2917" s="12">
        <v>0.95</v>
      </c>
      <c r="U2917" s="12">
        <v>0.95</v>
      </c>
      <c r="V2917" s="12">
        <v>300.032917</v>
      </c>
      <c r="W2917" s="12">
        <v>14.52771503797724</v>
      </c>
      <c r="X2917" s="12">
        <v>63.228053944752247</v>
      </c>
      <c r="Y2917" s="12">
        <v>2600</v>
      </c>
      <c r="Z2917" s="12">
        <v>7.5</v>
      </c>
      <c r="AA2917" s="12"/>
      <c r="AB2917" s="12"/>
    </row>
    <row r="2918" spans="1:28" x14ac:dyDescent="0.3">
      <c r="A2918" s="12" t="s">
        <v>4837</v>
      </c>
      <c r="B2918" s="12" t="s">
        <v>198</v>
      </c>
      <c r="C2918" s="12" t="s">
        <v>505</v>
      </c>
      <c r="D2918" s="12" t="s">
        <v>4740</v>
      </c>
      <c r="E2918" s="12" t="s">
        <v>4403</v>
      </c>
      <c r="F2918" s="12" t="s">
        <v>32</v>
      </c>
      <c r="G2918" s="12" t="s">
        <v>32</v>
      </c>
      <c r="H2918" s="12" t="b">
        <v>1</v>
      </c>
      <c r="I2918" s="12" t="b">
        <v>1</v>
      </c>
      <c r="J2918" s="12" t="b">
        <v>0</v>
      </c>
      <c r="K2918" s="12" t="b">
        <v>0</v>
      </c>
      <c r="L2918" s="12">
        <v>415</v>
      </c>
      <c r="M2918" s="12">
        <v>300.032917</v>
      </c>
      <c r="N2918" s="12">
        <v>3000</v>
      </c>
      <c r="O2918" s="12">
        <v>400</v>
      </c>
      <c r="P2918" s="12">
        <v>0.5</v>
      </c>
      <c r="Q2918" s="12">
        <v>0.95</v>
      </c>
      <c r="R2918" s="12">
        <v>0.80499999999999994</v>
      </c>
      <c r="S2918" s="12">
        <v>0.90500000000000003</v>
      </c>
      <c r="T2918" s="12">
        <v>0.95</v>
      </c>
      <c r="U2918" s="12">
        <v>0.95</v>
      </c>
      <c r="V2918" s="12">
        <v>300.032917</v>
      </c>
      <c r="W2918" s="12">
        <v>15.541359739015769</v>
      </c>
      <c r="X2918" s="12">
        <v>67.661499042085708</v>
      </c>
      <c r="Y2918" s="12">
        <v>2600</v>
      </c>
      <c r="Z2918" s="12">
        <v>7.5</v>
      </c>
      <c r="AA2918" s="12"/>
      <c r="AB2918" s="12"/>
    </row>
    <row r="2919" spans="1:28" x14ac:dyDescent="0.3">
      <c r="A2919" s="12" t="s">
        <v>4838</v>
      </c>
      <c r="B2919" s="12" t="s">
        <v>198</v>
      </c>
      <c r="C2919" s="12" t="s">
        <v>505</v>
      </c>
      <c r="D2919" s="12" t="s">
        <v>4740</v>
      </c>
      <c r="E2919" s="12" t="s">
        <v>4403</v>
      </c>
      <c r="F2919" s="12" t="s">
        <v>32</v>
      </c>
      <c r="G2919" s="12" t="s">
        <v>32</v>
      </c>
      <c r="H2919" s="12" t="b">
        <v>1</v>
      </c>
      <c r="I2919" s="12" t="b">
        <v>1</v>
      </c>
      <c r="J2919" s="12" t="b">
        <v>0</v>
      </c>
      <c r="K2919" s="12" t="b">
        <v>0</v>
      </c>
      <c r="L2919" s="12">
        <v>415</v>
      </c>
      <c r="M2919" s="12">
        <v>300.032917</v>
      </c>
      <c r="N2919" s="12">
        <v>3000</v>
      </c>
      <c r="O2919" s="12">
        <v>400</v>
      </c>
      <c r="P2919" s="12">
        <v>0.5</v>
      </c>
      <c r="Q2919" s="12">
        <v>0.95</v>
      </c>
      <c r="R2919" s="12">
        <v>0.69500000000000006</v>
      </c>
      <c r="S2919" s="12">
        <v>0.90500000000000003</v>
      </c>
      <c r="T2919" s="12">
        <v>0.95</v>
      </c>
      <c r="U2919" s="12">
        <v>0.95</v>
      </c>
      <c r="V2919" s="12">
        <v>300.032917</v>
      </c>
      <c r="W2919" s="12">
        <v>15.404735023618599</v>
      </c>
      <c r="X2919" s="12">
        <v>67.039484100740054</v>
      </c>
      <c r="Y2919" s="12">
        <v>2600</v>
      </c>
      <c r="Z2919" s="12">
        <v>7.5</v>
      </c>
      <c r="AA2919" s="12"/>
      <c r="AB2919" s="12"/>
    </row>
    <row r="2920" spans="1:28" x14ac:dyDescent="0.3">
      <c r="A2920" s="12" t="s">
        <v>4839</v>
      </c>
      <c r="B2920" s="12" t="s">
        <v>198</v>
      </c>
      <c r="C2920" s="12" t="s">
        <v>505</v>
      </c>
      <c r="D2920" s="12" t="s">
        <v>4740</v>
      </c>
      <c r="E2920" s="12" t="s">
        <v>4403</v>
      </c>
      <c r="F2920" s="12" t="s">
        <v>32</v>
      </c>
      <c r="G2920" s="12" t="s">
        <v>32</v>
      </c>
      <c r="H2920" s="12" t="b">
        <v>1</v>
      </c>
      <c r="I2920" s="12" t="b">
        <v>1</v>
      </c>
      <c r="J2920" s="12" t="b">
        <v>0</v>
      </c>
      <c r="K2920" s="12" t="b">
        <v>0</v>
      </c>
      <c r="L2920" s="12">
        <v>415</v>
      </c>
      <c r="M2920" s="12">
        <v>300.032917</v>
      </c>
      <c r="N2920" s="12">
        <v>3000</v>
      </c>
      <c r="O2920" s="12">
        <v>400</v>
      </c>
      <c r="P2920" s="12">
        <v>0.5</v>
      </c>
      <c r="Q2920" s="12">
        <v>0.95</v>
      </c>
      <c r="R2920" s="12">
        <v>0.75</v>
      </c>
      <c r="S2920" s="12">
        <v>0.95</v>
      </c>
      <c r="T2920" s="12">
        <v>0.95</v>
      </c>
      <c r="U2920" s="12">
        <v>0.95</v>
      </c>
      <c r="V2920" s="12">
        <v>300.032917</v>
      </c>
      <c r="W2920" s="12">
        <v>15.539539195845601</v>
      </c>
      <c r="X2920" s="12">
        <v>71.088541414618703</v>
      </c>
      <c r="Y2920" s="12">
        <v>2600</v>
      </c>
      <c r="Z2920" s="12">
        <v>7.5</v>
      </c>
      <c r="AA2920" s="12"/>
      <c r="AB2920" s="12"/>
    </row>
    <row r="2921" spans="1:28" x14ac:dyDescent="0.3">
      <c r="A2921" s="12" t="s">
        <v>4840</v>
      </c>
      <c r="B2921" s="12" t="s">
        <v>198</v>
      </c>
      <c r="C2921" s="12" t="s">
        <v>505</v>
      </c>
      <c r="D2921" s="12" t="s">
        <v>4740</v>
      </c>
      <c r="E2921" s="12" t="s">
        <v>4403</v>
      </c>
      <c r="F2921" s="12" t="s">
        <v>32</v>
      </c>
      <c r="G2921" s="12" t="s">
        <v>32</v>
      </c>
      <c r="H2921" s="12" t="b">
        <v>1</v>
      </c>
      <c r="I2921" s="12" t="b">
        <v>1</v>
      </c>
      <c r="J2921" s="12" t="b">
        <v>0</v>
      </c>
      <c r="K2921" s="12" t="b">
        <v>0</v>
      </c>
      <c r="L2921" s="12">
        <v>415</v>
      </c>
      <c r="M2921" s="12">
        <v>300.032917</v>
      </c>
      <c r="N2921" s="12">
        <v>3000</v>
      </c>
      <c r="O2921" s="12">
        <v>400</v>
      </c>
      <c r="P2921" s="12">
        <v>0.5</v>
      </c>
      <c r="Q2921" s="12">
        <v>0.95</v>
      </c>
      <c r="R2921" s="12">
        <v>0.75</v>
      </c>
      <c r="S2921" s="12">
        <v>0.85</v>
      </c>
      <c r="T2921" s="12">
        <v>0.95</v>
      </c>
      <c r="U2921" s="12">
        <v>0.95</v>
      </c>
      <c r="V2921" s="12">
        <v>300.032917</v>
      </c>
      <c r="W2921" s="12">
        <v>15.388324437511271</v>
      </c>
      <c r="X2921" s="12">
        <v>62.837544631129823</v>
      </c>
      <c r="Y2921" s="12">
        <v>2600</v>
      </c>
      <c r="Z2921" s="12">
        <v>7.5</v>
      </c>
      <c r="AA2921" s="12"/>
      <c r="AB2921" s="12"/>
    </row>
    <row r="2922" spans="1:28" x14ac:dyDescent="0.3">
      <c r="A2922" s="12" t="s">
        <v>4841</v>
      </c>
      <c r="B2922" s="12" t="s">
        <v>198</v>
      </c>
      <c r="C2922" s="12" t="s">
        <v>505</v>
      </c>
      <c r="D2922" s="12" t="s">
        <v>4740</v>
      </c>
      <c r="E2922" s="12" t="s">
        <v>4403</v>
      </c>
      <c r="F2922" s="12" t="s">
        <v>32</v>
      </c>
      <c r="G2922" s="12" t="s">
        <v>32</v>
      </c>
      <c r="H2922" s="12" t="b">
        <v>1</v>
      </c>
      <c r="I2922" s="12" t="b">
        <v>1</v>
      </c>
      <c r="J2922" s="12" t="b">
        <v>0</v>
      </c>
      <c r="K2922" s="12" t="b">
        <v>0</v>
      </c>
      <c r="L2922" s="12">
        <v>415</v>
      </c>
      <c r="M2922" s="12">
        <v>300.032917</v>
      </c>
      <c r="N2922" s="12">
        <v>3000</v>
      </c>
      <c r="O2922" s="12">
        <v>400</v>
      </c>
      <c r="P2922" s="12">
        <v>0.5</v>
      </c>
      <c r="Q2922" s="12">
        <v>0.95</v>
      </c>
      <c r="R2922" s="12">
        <v>0.75</v>
      </c>
      <c r="S2922" s="12">
        <v>0.90500000000000003</v>
      </c>
      <c r="T2922" s="12">
        <v>0.89500000000000002</v>
      </c>
      <c r="U2922" s="12">
        <v>0.95</v>
      </c>
      <c r="V2922" s="12">
        <v>300.032917</v>
      </c>
      <c r="W2922" s="12">
        <v>14.758560261389199</v>
      </c>
      <c r="X2922" s="12">
        <v>67.030969681493545</v>
      </c>
      <c r="Y2922" s="12">
        <v>2600</v>
      </c>
      <c r="Z2922" s="12">
        <v>7.5</v>
      </c>
      <c r="AA2922" s="12"/>
      <c r="AB2922" s="12"/>
    </row>
    <row r="2923" spans="1:28" x14ac:dyDescent="0.3">
      <c r="A2923" s="12" t="s">
        <v>4842</v>
      </c>
      <c r="B2923" s="12" t="s">
        <v>198</v>
      </c>
      <c r="C2923" s="12" t="s">
        <v>505</v>
      </c>
      <c r="D2923" s="12" t="s">
        <v>4740</v>
      </c>
      <c r="E2923" s="12" t="s">
        <v>4403</v>
      </c>
      <c r="F2923" s="12" t="s">
        <v>1861</v>
      </c>
      <c r="G2923" s="12" t="s">
        <v>1861</v>
      </c>
      <c r="H2923" s="12" t="b">
        <v>1</v>
      </c>
      <c r="I2923" s="12" t="b">
        <v>0</v>
      </c>
      <c r="J2923" s="12" t="b">
        <v>0</v>
      </c>
      <c r="K2923" s="12" t="b">
        <v>0</v>
      </c>
      <c r="L2923" s="12">
        <v>415</v>
      </c>
      <c r="M2923" s="12">
        <v>300.032917</v>
      </c>
      <c r="N2923" s="12">
        <v>3000</v>
      </c>
      <c r="O2923" s="12">
        <v>400</v>
      </c>
      <c r="P2923" s="12">
        <v>0.5</v>
      </c>
      <c r="Q2923" s="12">
        <v>0.95</v>
      </c>
      <c r="R2923" s="12">
        <v>0.75</v>
      </c>
      <c r="S2923" s="12">
        <v>0.90500000000000003</v>
      </c>
      <c r="T2923" s="12">
        <v>0.95</v>
      </c>
      <c r="U2923" s="12">
        <v>0.89500000000000002</v>
      </c>
      <c r="V2923" s="12">
        <v>300.032917</v>
      </c>
      <c r="W2923" s="12">
        <v>15.686237709667729</v>
      </c>
      <c r="X2923" s="12">
        <v>67.286139554981574</v>
      </c>
      <c r="Y2923" s="12">
        <v>2600</v>
      </c>
      <c r="Z2923" s="12">
        <v>7.5</v>
      </c>
      <c r="AA2923" s="12" t="s">
        <v>1268</v>
      </c>
      <c r="AB2923" s="12"/>
    </row>
    <row r="2924" spans="1:28" x14ac:dyDescent="0.3">
      <c r="A2924" s="12" t="s">
        <v>4843</v>
      </c>
      <c r="B2924" s="12" t="s">
        <v>198</v>
      </c>
      <c r="C2924" s="12" t="s">
        <v>505</v>
      </c>
      <c r="D2924" s="12" t="s">
        <v>4740</v>
      </c>
      <c r="E2924" s="12" t="s">
        <v>4403</v>
      </c>
      <c r="F2924" s="12" t="s">
        <v>1861</v>
      </c>
      <c r="G2924" s="12" t="s">
        <v>1861</v>
      </c>
      <c r="H2924" s="12" t="b">
        <v>1</v>
      </c>
      <c r="I2924" s="12" t="b">
        <v>0</v>
      </c>
      <c r="J2924" s="12" t="b">
        <v>1</v>
      </c>
      <c r="K2924" s="12" t="b">
        <v>0</v>
      </c>
      <c r="L2924" s="12">
        <v>427</v>
      </c>
      <c r="M2924" s="12">
        <v>300.032917</v>
      </c>
      <c r="N2924" s="12">
        <v>3000</v>
      </c>
      <c r="O2924" s="12">
        <v>400</v>
      </c>
      <c r="P2924" s="12">
        <v>0.5</v>
      </c>
      <c r="Q2924" s="12">
        <v>0.95</v>
      </c>
      <c r="R2924" s="12">
        <v>0.80499999999999994</v>
      </c>
      <c r="S2924" s="12">
        <v>0.90500000000000003</v>
      </c>
      <c r="T2924" s="12">
        <v>0.95</v>
      </c>
      <c r="U2924" s="12">
        <v>0.95</v>
      </c>
      <c r="V2924" s="12">
        <v>300.032917</v>
      </c>
      <c r="W2924" s="12">
        <v>15.79762177420511</v>
      </c>
      <c r="X2924" s="12">
        <v>96.480427338507738</v>
      </c>
      <c r="Y2924" s="12">
        <v>2600</v>
      </c>
      <c r="Z2924" s="12">
        <v>7.5</v>
      </c>
      <c r="AA2924" s="12" t="s">
        <v>1268</v>
      </c>
      <c r="AB2924" s="12"/>
    </row>
    <row r="2925" spans="1:28" x14ac:dyDescent="0.3">
      <c r="A2925" s="12" t="s">
        <v>4844</v>
      </c>
      <c r="B2925" s="12" t="s">
        <v>198</v>
      </c>
      <c r="C2925" s="12" t="s">
        <v>505</v>
      </c>
      <c r="D2925" s="12" t="s">
        <v>4740</v>
      </c>
      <c r="E2925" s="12" t="s">
        <v>4403</v>
      </c>
      <c r="F2925" s="12" t="s">
        <v>32</v>
      </c>
      <c r="G2925" s="12" t="s">
        <v>32</v>
      </c>
      <c r="H2925" s="12" t="b">
        <v>1</v>
      </c>
      <c r="I2925" s="12" t="b">
        <v>1</v>
      </c>
      <c r="J2925" s="12" t="b">
        <v>0</v>
      </c>
      <c r="K2925" s="12" t="b">
        <v>0</v>
      </c>
      <c r="L2925" s="12">
        <v>403</v>
      </c>
      <c r="M2925" s="12">
        <v>300.032917</v>
      </c>
      <c r="N2925" s="12">
        <v>3000</v>
      </c>
      <c r="O2925" s="12">
        <v>400</v>
      </c>
      <c r="P2925" s="12">
        <v>0.5</v>
      </c>
      <c r="Q2925" s="12">
        <v>0.95</v>
      </c>
      <c r="R2925" s="12">
        <v>0.80499999999999994</v>
      </c>
      <c r="S2925" s="12">
        <v>0.90500000000000003</v>
      </c>
      <c r="T2925" s="12">
        <v>0.95</v>
      </c>
      <c r="U2925" s="12">
        <v>0.95</v>
      </c>
      <c r="V2925" s="12">
        <v>300.032917</v>
      </c>
      <c r="W2925" s="12">
        <v>14.63919838857826</v>
      </c>
      <c r="X2925" s="12">
        <v>39.978755615001333</v>
      </c>
      <c r="Y2925" s="12">
        <v>2600</v>
      </c>
      <c r="Z2925" s="12">
        <v>7.5</v>
      </c>
      <c r="AA2925" s="12"/>
      <c r="AB2925" s="12"/>
    </row>
    <row r="2926" spans="1:28" x14ac:dyDescent="0.3">
      <c r="A2926" s="12" t="s">
        <v>4845</v>
      </c>
      <c r="B2926" s="12" t="s">
        <v>198</v>
      </c>
      <c r="C2926" s="12" t="s">
        <v>505</v>
      </c>
      <c r="D2926" s="12" t="s">
        <v>4740</v>
      </c>
      <c r="E2926" s="12" t="s">
        <v>4403</v>
      </c>
      <c r="F2926" s="12" t="s">
        <v>1861</v>
      </c>
      <c r="G2926" s="12" t="s">
        <v>1861</v>
      </c>
      <c r="H2926" s="12" t="b">
        <v>1</v>
      </c>
      <c r="I2926" s="12" t="b">
        <v>0</v>
      </c>
      <c r="J2926" s="12" t="b">
        <v>0</v>
      </c>
      <c r="K2926" s="12" t="b">
        <v>0</v>
      </c>
      <c r="L2926" s="12">
        <v>415</v>
      </c>
      <c r="M2926" s="12">
        <v>300.032917</v>
      </c>
      <c r="N2926" s="12">
        <v>3000</v>
      </c>
      <c r="O2926" s="12">
        <v>400</v>
      </c>
      <c r="P2926" s="12">
        <v>0.53500000000000003</v>
      </c>
      <c r="Q2926" s="12">
        <v>0.95</v>
      </c>
      <c r="R2926" s="12">
        <v>0.80499999999999994</v>
      </c>
      <c r="S2926" s="12">
        <v>0.90500000000000003</v>
      </c>
      <c r="T2926" s="12">
        <v>0.95</v>
      </c>
      <c r="U2926" s="12">
        <v>0.95</v>
      </c>
      <c r="V2926" s="12">
        <v>300.032917</v>
      </c>
      <c r="W2926" s="12">
        <v>16.174596880783309</v>
      </c>
      <c r="X2926" s="12">
        <v>85.174075751986564</v>
      </c>
      <c r="Y2926" s="12">
        <v>2600</v>
      </c>
      <c r="Z2926" s="12">
        <v>7.5</v>
      </c>
      <c r="AA2926" s="12" t="s">
        <v>1268</v>
      </c>
      <c r="AB2926" s="12"/>
    </row>
    <row r="2927" spans="1:28" x14ac:dyDescent="0.3">
      <c r="A2927" s="12" t="s">
        <v>4846</v>
      </c>
      <c r="B2927" s="12" t="s">
        <v>198</v>
      </c>
      <c r="C2927" s="12" t="s">
        <v>505</v>
      </c>
      <c r="D2927" s="12" t="s">
        <v>4740</v>
      </c>
      <c r="E2927" s="12" t="s">
        <v>4403</v>
      </c>
      <c r="F2927" s="12" t="s">
        <v>32</v>
      </c>
      <c r="G2927" s="12" t="s">
        <v>32</v>
      </c>
      <c r="H2927" s="12" t="b">
        <v>1</v>
      </c>
      <c r="I2927" s="12" t="b">
        <v>1</v>
      </c>
      <c r="J2927" s="12" t="b">
        <v>0</v>
      </c>
      <c r="K2927" s="12" t="b">
        <v>0</v>
      </c>
      <c r="L2927" s="12">
        <v>415</v>
      </c>
      <c r="M2927" s="12">
        <v>300.032917</v>
      </c>
      <c r="N2927" s="12">
        <v>3000</v>
      </c>
      <c r="O2927" s="12">
        <v>400</v>
      </c>
      <c r="P2927" s="12">
        <v>0.5</v>
      </c>
      <c r="Q2927" s="12">
        <v>0.89500000000000002</v>
      </c>
      <c r="R2927" s="12">
        <v>0.80499999999999994</v>
      </c>
      <c r="S2927" s="12">
        <v>0.90500000000000003</v>
      </c>
      <c r="T2927" s="12">
        <v>0.95</v>
      </c>
      <c r="U2927" s="12">
        <v>0.95</v>
      </c>
      <c r="V2927" s="12">
        <v>300.032917</v>
      </c>
      <c r="W2927" s="12">
        <v>14.591214027069199</v>
      </c>
      <c r="X2927" s="12">
        <v>63.516354466709608</v>
      </c>
      <c r="Y2927" s="12">
        <v>2600</v>
      </c>
      <c r="Z2927" s="12">
        <v>7.5</v>
      </c>
      <c r="AA2927" s="12"/>
      <c r="AB2927" s="12"/>
    </row>
    <row r="2928" spans="1:28" x14ac:dyDescent="0.3">
      <c r="A2928" s="12" t="s">
        <v>4847</v>
      </c>
      <c r="B2928" s="12" t="s">
        <v>198</v>
      </c>
      <c r="C2928" s="12" t="s">
        <v>505</v>
      </c>
      <c r="D2928" s="12" t="s">
        <v>4740</v>
      </c>
      <c r="E2928" s="12" t="s">
        <v>4403</v>
      </c>
      <c r="F2928" s="12" t="s">
        <v>32</v>
      </c>
      <c r="G2928" s="12" t="s">
        <v>32</v>
      </c>
      <c r="H2928" s="12" t="b">
        <v>1</v>
      </c>
      <c r="I2928" s="12" t="b">
        <v>1</v>
      </c>
      <c r="J2928" s="12" t="b">
        <v>0</v>
      </c>
      <c r="K2928" s="12" t="b">
        <v>0</v>
      </c>
      <c r="L2928" s="12">
        <v>415</v>
      </c>
      <c r="M2928" s="12">
        <v>300.032917</v>
      </c>
      <c r="N2928" s="12">
        <v>3000</v>
      </c>
      <c r="O2928" s="12">
        <v>400</v>
      </c>
      <c r="P2928" s="12">
        <v>0.5</v>
      </c>
      <c r="Q2928" s="12">
        <v>0.95</v>
      </c>
      <c r="R2928" s="12">
        <v>0.85999999999999988</v>
      </c>
      <c r="S2928" s="12">
        <v>0.90500000000000003</v>
      </c>
      <c r="T2928" s="12">
        <v>0.95</v>
      </c>
      <c r="U2928" s="12">
        <v>0.95</v>
      </c>
      <c r="V2928" s="12">
        <v>300.032917</v>
      </c>
      <c r="W2928" s="12">
        <v>15.59653373390988</v>
      </c>
      <c r="X2928" s="12">
        <v>67.912834395261513</v>
      </c>
      <c r="Y2928" s="12">
        <v>2600</v>
      </c>
      <c r="Z2928" s="12">
        <v>7.5</v>
      </c>
      <c r="AA2928" s="12"/>
      <c r="AB2928" s="12"/>
    </row>
    <row r="2929" spans="1:28" x14ac:dyDescent="0.3">
      <c r="A2929" s="12" t="s">
        <v>4848</v>
      </c>
      <c r="B2929" s="12" t="s">
        <v>198</v>
      </c>
      <c r="C2929" s="12" t="s">
        <v>505</v>
      </c>
      <c r="D2929" s="12" t="s">
        <v>4740</v>
      </c>
      <c r="E2929" s="12" t="s">
        <v>4403</v>
      </c>
      <c r="F2929" s="12" t="s">
        <v>32</v>
      </c>
      <c r="G2929" s="12" t="s">
        <v>32</v>
      </c>
      <c r="H2929" s="12" t="b">
        <v>1</v>
      </c>
      <c r="I2929" s="12" t="b">
        <v>1</v>
      </c>
      <c r="J2929" s="12" t="b">
        <v>0</v>
      </c>
      <c r="K2929" s="12" t="b">
        <v>0</v>
      </c>
      <c r="L2929" s="12">
        <v>415</v>
      </c>
      <c r="M2929" s="12">
        <v>300.032917</v>
      </c>
      <c r="N2929" s="12">
        <v>3000</v>
      </c>
      <c r="O2929" s="12">
        <v>400</v>
      </c>
      <c r="P2929" s="12">
        <v>0.5</v>
      </c>
      <c r="Q2929" s="12">
        <v>0.95</v>
      </c>
      <c r="R2929" s="12">
        <v>0.75</v>
      </c>
      <c r="S2929" s="12">
        <v>0.90500000000000003</v>
      </c>
      <c r="T2929" s="12">
        <v>0.95</v>
      </c>
      <c r="U2929" s="12">
        <v>0.95</v>
      </c>
      <c r="V2929" s="12">
        <v>300.032917</v>
      </c>
      <c r="W2929" s="12">
        <v>15.47807094977513</v>
      </c>
      <c r="X2929" s="12">
        <v>67.373299696975721</v>
      </c>
      <c r="Y2929" s="12">
        <v>2600</v>
      </c>
      <c r="Z2929" s="12">
        <v>7.5</v>
      </c>
      <c r="AA2929" s="12"/>
      <c r="AB2929" s="12"/>
    </row>
    <row r="2930" spans="1:28" x14ac:dyDescent="0.3">
      <c r="A2930" s="12" t="s">
        <v>4849</v>
      </c>
      <c r="B2930" s="12" t="s">
        <v>198</v>
      </c>
      <c r="C2930" s="12" t="s">
        <v>505</v>
      </c>
      <c r="D2930" s="12" t="s">
        <v>4740</v>
      </c>
      <c r="E2930" s="12" t="s">
        <v>4403</v>
      </c>
      <c r="F2930" s="12" t="s">
        <v>32</v>
      </c>
      <c r="G2930" s="12" t="s">
        <v>32</v>
      </c>
      <c r="H2930" s="12" t="b">
        <v>1</v>
      </c>
      <c r="I2930" s="12" t="b">
        <v>1</v>
      </c>
      <c r="J2930" s="12" t="b">
        <v>0</v>
      </c>
      <c r="K2930" s="12" t="b">
        <v>0</v>
      </c>
      <c r="L2930" s="12">
        <v>415</v>
      </c>
      <c r="M2930" s="12">
        <v>300.032917</v>
      </c>
      <c r="N2930" s="12">
        <v>3000</v>
      </c>
      <c r="O2930" s="12">
        <v>400</v>
      </c>
      <c r="P2930" s="12">
        <v>0.5</v>
      </c>
      <c r="Q2930" s="12">
        <v>0.95</v>
      </c>
      <c r="R2930" s="12">
        <v>0.80499999999999994</v>
      </c>
      <c r="S2930" s="12">
        <v>0.95</v>
      </c>
      <c r="T2930" s="12">
        <v>0.95</v>
      </c>
      <c r="U2930" s="12">
        <v>0.95</v>
      </c>
      <c r="V2930" s="12">
        <v>300.032917</v>
      </c>
      <c r="W2930" s="12">
        <v>15.59965738845141</v>
      </c>
      <c r="X2930" s="12">
        <v>71.377481216227125</v>
      </c>
      <c r="Y2930" s="12">
        <v>2600</v>
      </c>
      <c r="Z2930" s="12">
        <v>7.5</v>
      </c>
      <c r="AA2930" s="12"/>
      <c r="AB2930" s="12"/>
    </row>
    <row r="2931" spans="1:28" x14ac:dyDescent="0.3">
      <c r="A2931" s="12" t="s">
        <v>4850</v>
      </c>
      <c r="B2931" s="12" t="s">
        <v>198</v>
      </c>
      <c r="C2931" s="12" t="s">
        <v>505</v>
      </c>
      <c r="D2931" s="12" t="s">
        <v>4740</v>
      </c>
      <c r="E2931" s="12" t="s">
        <v>4403</v>
      </c>
      <c r="F2931" s="12" t="s">
        <v>32</v>
      </c>
      <c r="G2931" s="12" t="s">
        <v>32</v>
      </c>
      <c r="H2931" s="12" t="b">
        <v>1</v>
      </c>
      <c r="I2931" s="12" t="b">
        <v>1</v>
      </c>
      <c r="J2931" s="12" t="b">
        <v>0</v>
      </c>
      <c r="K2931" s="12" t="b">
        <v>0</v>
      </c>
      <c r="L2931" s="12">
        <v>415</v>
      </c>
      <c r="M2931" s="12">
        <v>300.032917</v>
      </c>
      <c r="N2931" s="12">
        <v>3000</v>
      </c>
      <c r="O2931" s="12">
        <v>400</v>
      </c>
      <c r="P2931" s="12">
        <v>0.5</v>
      </c>
      <c r="Q2931" s="12">
        <v>0.95</v>
      </c>
      <c r="R2931" s="12">
        <v>0.80499999999999994</v>
      </c>
      <c r="S2931" s="12">
        <v>0.85</v>
      </c>
      <c r="T2931" s="12">
        <v>0.95</v>
      </c>
      <c r="U2931" s="12">
        <v>0.95</v>
      </c>
      <c r="V2931" s="12">
        <v>300.032917</v>
      </c>
      <c r="W2931" s="12">
        <v>15.45592814854537</v>
      </c>
      <c r="X2931" s="12">
        <v>63.124912456909144</v>
      </c>
      <c r="Y2931" s="12">
        <v>2600</v>
      </c>
      <c r="Z2931" s="12">
        <v>7.5</v>
      </c>
      <c r="AA2931" s="12"/>
      <c r="AB2931" s="12"/>
    </row>
    <row r="2932" spans="1:28" x14ac:dyDescent="0.3">
      <c r="A2932" s="12" t="s">
        <v>4851</v>
      </c>
      <c r="B2932" s="12" t="s">
        <v>198</v>
      </c>
      <c r="C2932" s="12" t="s">
        <v>505</v>
      </c>
      <c r="D2932" s="12" t="s">
        <v>4740</v>
      </c>
      <c r="E2932" s="12" t="s">
        <v>4403</v>
      </c>
      <c r="F2932" s="12" t="s">
        <v>32</v>
      </c>
      <c r="G2932" s="12" t="s">
        <v>32</v>
      </c>
      <c r="H2932" s="12" t="b">
        <v>1</v>
      </c>
      <c r="I2932" s="12" t="b">
        <v>1</v>
      </c>
      <c r="J2932" s="12" t="b">
        <v>0</v>
      </c>
      <c r="K2932" s="12" t="b">
        <v>0</v>
      </c>
      <c r="L2932" s="12">
        <v>415</v>
      </c>
      <c r="M2932" s="12">
        <v>300.032917</v>
      </c>
      <c r="N2932" s="12">
        <v>3000</v>
      </c>
      <c r="O2932" s="12">
        <v>400</v>
      </c>
      <c r="P2932" s="12">
        <v>0.5</v>
      </c>
      <c r="Q2932" s="12">
        <v>0.95</v>
      </c>
      <c r="R2932" s="12">
        <v>0.80499999999999994</v>
      </c>
      <c r="S2932" s="12">
        <v>0.90500000000000003</v>
      </c>
      <c r="T2932" s="12">
        <v>0.89500000000000002</v>
      </c>
      <c r="U2932" s="12">
        <v>0.95</v>
      </c>
      <c r="V2932" s="12">
        <v>300.032917</v>
      </c>
      <c r="W2932" s="12">
        <v>14.81897540039945</v>
      </c>
      <c r="X2932" s="12">
        <v>67.319051816397391</v>
      </c>
      <c r="Y2932" s="12">
        <v>2600</v>
      </c>
      <c r="Z2932" s="12">
        <v>7.5</v>
      </c>
      <c r="AA2932" s="12"/>
      <c r="AB2932" s="12"/>
    </row>
    <row r="2933" spans="1:28" x14ac:dyDescent="0.3">
      <c r="A2933" s="12" t="s">
        <v>4852</v>
      </c>
      <c r="B2933" s="12" t="s">
        <v>198</v>
      </c>
      <c r="C2933" s="12" t="s">
        <v>505</v>
      </c>
      <c r="D2933" s="12" t="s">
        <v>4740</v>
      </c>
      <c r="E2933" s="12" t="s">
        <v>4403</v>
      </c>
      <c r="F2933" s="12" t="s">
        <v>1861</v>
      </c>
      <c r="G2933" s="12" t="s">
        <v>1861</v>
      </c>
      <c r="H2933" s="12" t="b">
        <v>1</v>
      </c>
      <c r="I2933" s="12" t="b">
        <v>0</v>
      </c>
      <c r="J2933" s="12" t="b">
        <v>0</v>
      </c>
      <c r="K2933" s="12" t="b">
        <v>0</v>
      </c>
      <c r="L2933" s="12">
        <v>415</v>
      </c>
      <c r="M2933" s="12">
        <v>300.032917</v>
      </c>
      <c r="N2933" s="12">
        <v>3000</v>
      </c>
      <c r="O2933" s="12">
        <v>400</v>
      </c>
      <c r="P2933" s="12">
        <v>0.5</v>
      </c>
      <c r="Q2933" s="12">
        <v>0.95</v>
      </c>
      <c r="R2933" s="12">
        <v>0.80499999999999994</v>
      </c>
      <c r="S2933" s="12">
        <v>0.90500000000000003</v>
      </c>
      <c r="T2933" s="12">
        <v>0.95</v>
      </c>
      <c r="U2933" s="12">
        <v>0.89500000000000002</v>
      </c>
      <c r="V2933" s="12">
        <v>300.032917</v>
      </c>
      <c r="W2933" s="12">
        <v>15.753409214279911</v>
      </c>
      <c r="X2933" s="12">
        <v>67.588362472112323</v>
      </c>
      <c r="Y2933" s="12">
        <v>2600</v>
      </c>
      <c r="Z2933" s="12">
        <v>7.5</v>
      </c>
      <c r="AA2933" s="12" t="s">
        <v>1268</v>
      </c>
      <c r="AB2933" s="12"/>
    </row>
    <row r="2934" spans="1:28" x14ac:dyDescent="0.3">
      <c r="A2934" s="12" t="s">
        <v>4853</v>
      </c>
      <c r="B2934" s="12" t="s">
        <v>198</v>
      </c>
      <c r="C2934" s="12" t="s">
        <v>509</v>
      </c>
      <c r="D2934" s="12" t="s">
        <v>4854</v>
      </c>
      <c r="E2934" s="12" t="s">
        <v>4403</v>
      </c>
      <c r="F2934" s="12" t="s">
        <v>32</v>
      </c>
      <c r="G2934" s="12" t="s">
        <v>32</v>
      </c>
      <c r="H2934" s="12" t="b">
        <v>1</v>
      </c>
      <c r="I2934" s="12" t="b">
        <v>0</v>
      </c>
      <c r="J2934" s="12" t="b">
        <v>1</v>
      </c>
      <c r="K2934" s="12" t="b">
        <v>0</v>
      </c>
      <c r="L2934" s="12">
        <v>623.15</v>
      </c>
      <c r="M2934" s="12">
        <v>302.58136184316999</v>
      </c>
      <c r="N2934" s="12">
        <v>4808.3419580395002</v>
      </c>
      <c r="O2934" s="12">
        <v>1242.2743898072649</v>
      </c>
      <c r="P2934" s="12">
        <v>0.5</v>
      </c>
      <c r="Q2934" s="12">
        <v>0.92249167471066718</v>
      </c>
      <c r="R2934" s="12">
        <v>0.57606589946837905</v>
      </c>
      <c r="S2934" s="12">
        <v>0.40730215523492058</v>
      </c>
      <c r="T2934" s="12">
        <v>0.41011451006099681</v>
      </c>
      <c r="U2934" s="12">
        <v>0.87841579594922869</v>
      </c>
      <c r="V2934" s="12">
        <v>302.58136184316999</v>
      </c>
      <c r="W2934" s="12">
        <v>8.457650032385521</v>
      </c>
      <c r="X2934" s="12">
        <v>83.2699300980196</v>
      </c>
      <c r="Y2934" s="12">
        <v>3566.0675682322362</v>
      </c>
      <c r="Z2934" s="12">
        <v>3.8705957375371001</v>
      </c>
      <c r="AA2934" s="12"/>
      <c r="AB2934" s="12"/>
    </row>
    <row r="2935" spans="1:28" x14ac:dyDescent="0.3">
      <c r="A2935" s="12" t="s">
        <v>4855</v>
      </c>
      <c r="B2935" s="12" t="s">
        <v>198</v>
      </c>
      <c r="C2935" s="12" t="s">
        <v>509</v>
      </c>
      <c r="D2935" s="12" t="s">
        <v>4854</v>
      </c>
      <c r="E2935" s="12" t="s">
        <v>4403</v>
      </c>
      <c r="F2935" s="12" t="s">
        <v>32</v>
      </c>
      <c r="G2935" s="12" t="s">
        <v>32</v>
      </c>
      <c r="H2935" s="12" t="b">
        <v>1</v>
      </c>
      <c r="I2935" s="12" t="b">
        <v>0</v>
      </c>
      <c r="J2935" s="12" t="b">
        <v>1</v>
      </c>
      <c r="K2935" s="12" t="b">
        <v>0</v>
      </c>
      <c r="L2935" s="12">
        <v>623.15</v>
      </c>
      <c r="M2935" s="12">
        <v>303.55</v>
      </c>
      <c r="N2935" s="12">
        <v>4808.3419580395002</v>
      </c>
      <c r="O2935" s="12">
        <v>1242.2743898072649</v>
      </c>
      <c r="P2935" s="12">
        <v>0.5</v>
      </c>
      <c r="Q2935" s="12">
        <v>0.92249167471066718</v>
      </c>
      <c r="R2935" s="12">
        <v>0.57606589946837905</v>
      </c>
      <c r="S2935" s="12">
        <v>0.40730215523492058</v>
      </c>
      <c r="T2935" s="12">
        <v>0.41011451006099681</v>
      </c>
      <c r="U2935" s="12">
        <v>0.87841579594922869</v>
      </c>
      <c r="V2935" s="12">
        <v>303.55</v>
      </c>
      <c r="W2935" s="12">
        <v>8.4919838981737303</v>
      </c>
      <c r="X2935" s="12">
        <v>83.498103059802233</v>
      </c>
      <c r="Y2935" s="12">
        <v>3566.0675682322362</v>
      </c>
      <c r="Z2935" s="12">
        <v>3.8705957375371001</v>
      </c>
      <c r="AA2935" s="12"/>
      <c r="AB2935" s="12"/>
    </row>
    <row r="2936" spans="1:28" x14ac:dyDescent="0.3">
      <c r="A2936" s="12" t="s">
        <v>4856</v>
      </c>
      <c r="B2936" s="12" t="s">
        <v>198</v>
      </c>
      <c r="C2936" s="12" t="s">
        <v>509</v>
      </c>
      <c r="D2936" s="12" t="s">
        <v>4854</v>
      </c>
      <c r="E2936" s="12" t="s">
        <v>4403</v>
      </c>
      <c r="F2936" s="12" t="s">
        <v>32</v>
      </c>
      <c r="G2936" s="12" t="s">
        <v>32</v>
      </c>
      <c r="H2936" s="12" t="b">
        <v>1</v>
      </c>
      <c r="I2936" s="12" t="b">
        <v>0</v>
      </c>
      <c r="J2936" s="12" t="b">
        <v>1</v>
      </c>
      <c r="K2936" s="12" t="b">
        <v>0</v>
      </c>
      <c r="L2936" s="12">
        <v>623.15</v>
      </c>
      <c r="M2936" s="12">
        <v>300.04136184316991</v>
      </c>
      <c r="N2936" s="12">
        <v>4808.3419580395002</v>
      </c>
      <c r="O2936" s="12">
        <v>1242.2743898072649</v>
      </c>
      <c r="P2936" s="12">
        <v>0.5</v>
      </c>
      <c r="Q2936" s="12">
        <v>0.92249167471066718</v>
      </c>
      <c r="R2936" s="12">
        <v>0.57606589946837905</v>
      </c>
      <c r="S2936" s="12">
        <v>0.40730215523492058</v>
      </c>
      <c r="T2936" s="12">
        <v>0.41011451006099681</v>
      </c>
      <c r="U2936" s="12">
        <v>0.87841579594922869</v>
      </c>
      <c r="V2936" s="12">
        <v>300.04136184316991</v>
      </c>
      <c r="W2936" s="12">
        <v>8.3683180725264794</v>
      </c>
      <c r="X2936" s="12">
        <v>82.673419112353386</v>
      </c>
      <c r="Y2936" s="12">
        <v>3566.0675682322362</v>
      </c>
      <c r="Z2936" s="12">
        <v>3.8705957375371001</v>
      </c>
      <c r="AA2936" s="12"/>
      <c r="AB2936" s="12"/>
    </row>
    <row r="2937" spans="1:28" x14ac:dyDescent="0.3">
      <c r="A2937" s="12" t="s">
        <v>4857</v>
      </c>
      <c r="B2937" s="12" t="s">
        <v>198</v>
      </c>
      <c r="C2937" s="12" t="s">
        <v>509</v>
      </c>
      <c r="D2937" s="12" t="s">
        <v>4854</v>
      </c>
      <c r="E2937" s="12" t="s">
        <v>4403</v>
      </c>
      <c r="F2937" s="12" t="s">
        <v>32</v>
      </c>
      <c r="G2937" s="12" t="s">
        <v>32</v>
      </c>
      <c r="H2937" s="12" t="b">
        <v>1</v>
      </c>
      <c r="I2937" s="12" t="b">
        <v>0</v>
      </c>
      <c r="J2937" s="12" t="b">
        <v>1</v>
      </c>
      <c r="K2937" s="12" t="b">
        <v>0</v>
      </c>
      <c r="L2937" s="12">
        <v>623.15</v>
      </c>
      <c r="M2937" s="12">
        <v>302.58136184316999</v>
      </c>
      <c r="N2937" s="12">
        <v>5000</v>
      </c>
      <c r="O2937" s="12">
        <v>1242.2743898072649</v>
      </c>
      <c r="P2937" s="12">
        <v>0.5</v>
      </c>
      <c r="Q2937" s="12">
        <v>0.92249167471066718</v>
      </c>
      <c r="R2937" s="12">
        <v>0.57606589946837905</v>
      </c>
      <c r="S2937" s="12">
        <v>0.40730215523492058</v>
      </c>
      <c r="T2937" s="12">
        <v>0.41011451006099681</v>
      </c>
      <c r="U2937" s="12">
        <v>0.87841579594922869</v>
      </c>
      <c r="V2937" s="12">
        <v>302.58136184316999</v>
      </c>
      <c r="W2937" s="12">
        <v>8.5928331271239902</v>
      </c>
      <c r="X2937" s="12">
        <v>84.3752915898271</v>
      </c>
      <c r="Y2937" s="12">
        <v>3757.7256101927351</v>
      </c>
      <c r="Z2937" s="12">
        <v>4.0248756965646981</v>
      </c>
      <c r="AA2937" s="12"/>
      <c r="AB2937" s="12"/>
    </row>
    <row r="2938" spans="1:28" x14ac:dyDescent="0.3">
      <c r="A2938" s="12" t="s">
        <v>4858</v>
      </c>
      <c r="B2938" s="12" t="s">
        <v>198</v>
      </c>
      <c r="C2938" s="12" t="s">
        <v>509</v>
      </c>
      <c r="D2938" s="12" t="s">
        <v>4854</v>
      </c>
      <c r="E2938" s="12" t="s">
        <v>4403</v>
      </c>
      <c r="F2938" s="12" t="s">
        <v>32</v>
      </c>
      <c r="G2938" s="12" t="s">
        <v>32</v>
      </c>
      <c r="H2938" s="12" t="b">
        <v>1</v>
      </c>
      <c r="I2938" s="12" t="b">
        <v>0</v>
      </c>
      <c r="J2938" s="12" t="b">
        <v>1</v>
      </c>
      <c r="K2938" s="12" t="b">
        <v>0</v>
      </c>
      <c r="L2938" s="12">
        <v>623.15</v>
      </c>
      <c r="M2938" s="12">
        <v>302.58136184316999</v>
      </c>
      <c r="N2938" s="12">
        <v>4508.3419580395002</v>
      </c>
      <c r="O2938" s="12">
        <v>1242.2743898072649</v>
      </c>
      <c r="P2938" s="12">
        <v>0.5</v>
      </c>
      <c r="Q2938" s="12">
        <v>0.92249167471066718</v>
      </c>
      <c r="R2938" s="12">
        <v>0.57606589946837905</v>
      </c>
      <c r="S2938" s="12">
        <v>0.40730215523492058</v>
      </c>
      <c r="T2938" s="12">
        <v>0.41011451006099681</v>
      </c>
      <c r="U2938" s="12">
        <v>0.87841579594922869</v>
      </c>
      <c r="V2938" s="12">
        <v>302.58136184316999</v>
      </c>
      <c r="W2938" s="12">
        <v>8.2153680067302997</v>
      </c>
      <c r="X2938" s="12">
        <v>81.222359801384513</v>
      </c>
      <c r="Y2938" s="12">
        <v>3266.0675682322362</v>
      </c>
      <c r="Z2938" s="12">
        <v>3.6291031957432178</v>
      </c>
      <c r="AA2938" s="12"/>
      <c r="AB2938" s="12"/>
    </row>
    <row r="2939" spans="1:28" x14ac:dyDescent="0.3">
      <c r="A2939" s="12" t="s">
        <v>4859</v>
      </c>
      <c r="B2939" s="12" t="s">
        <v>198</v>
      </c>
      <c r="C2939" s="12" t="s">
        <v>509</v>
      </c>
      <c r="D2939" s="12" t="s">
        <v>4854</v>
      </c>
      <c r="E2939" s="12" t="s">
        <v>4403</v>
      </c>
      <c r="F2939" s="12" t="s">
        <v>32</v>
      </c>
      <c r="G2939" s="12" t="s">
        <v>32</v>
      </c>
      <c r="H2939" s="12" t="b">
        <v>1</v>
      </c>
      <c r="I2939" s="12" t="b">
        <v>0</v>
      </c>
      <c r="J2939" s="12" t="b">
        <v>1</v>
      </c>
      <c r="K2939" s="12" t="b">
        <v>0</v>
      </c>
      <c r="L2939" s="12">
        <v>623.15</v>
      </c>
      <c r="M2939" s="12">
        <v>302.58136184316999</v>
      </c>
      <c r="N2939" s="12">
        <v>4808.3419580395002</v>
      </c>
      <c r="O2939" s="12">
        <v>1462.2743898072649</v>
      </c>
      <c r="P2939" s="12">
        <v>0.5</v>
      </c>
      <c r="Q2939" s="12">
        <v>0.92249167471066718</v>
      </c>
      <c r="R2939" s="12">
        <v>0.57606589946837905</v>
      </c>
      <c r="S2939" s="12">
        <v>0.40730215523492058</v>
      </c>
      <c r="T2939" s="12">
        <v>0.41011451006099681</v>
      </c>
      <c r="U2939" s="12">
        <v>0.87841579594922869</v>
      </c>
      <c r="V2939" s="12">
        <v>302.58136184316999</v>
      </c>
      <c r="W2939" s="12">
        <v>7.4600501923996196</v>
      </c>
      <c r="X2939" s="12">
        <v>73.425244154374951</v>
      </c>
      <c r="Y2939" s="12">
        <v>3346.0675682322362</v>
      </c>
      <c r="Z2939" s="12">
        <v>3.2882624434619721</v>
      </c>
      <c r="AA2939" s="12"/>
      <c r="AB2939" s="12"/>
    </row>
    <row r="2940" spans="1:28" x14ac:dyDescent="0.3">
      <c r="A2940" s="12" t="s">
        <v>4860</v>
      </c>
      <c r="B2940" s="12" t="s">
        <v>198</v>
      </c>
      <c r="C2940" s="12" t="s">
        <v>509</v>
      </c>
      <c r="D2940" s="12" t="s">
        <v>4854</v>
      </c>
      <c r="E2940" s="12" t="s">
        <v>4403</v>
      </c>
      <c r="F2940" s="12" t="s">
        <v>32</v>
      </c>
      <c r="G2940" s="12" t="s">
        <v>32</v>
      </c>
      <c r="H2940" s="12" t="b">
        <v>1</v>
      </c>
      <c r="I2940" s="12" t="b">
        <v>0</v>
      </c>
      <c r="J2940" s="12" t="b">
        <v>1</v>
      </c>
      <c r="K2940" s="12" t="b">
        <v>0</v>
      </c>
      <c r="L2940" s="12">
        <v>623.15</v>
      </c>
      <c r="M2940" s="12">
        <v>302.58136184316999</v>
      </c>
      <c r="N2940" s="12">
        <v>4808.3419580395002</v>
      </c>
      <c r="O2940" s="12">
        <v>1022.274389807265</v>
      </c>
      <c r="P2940" s="12">
        <v>0.5</v>
      </c>
      <c r="Q2940" s="12">
        <v>0.92249167471066718</v>
      </c>
      <c r="R2940" s="12">
        <v>0.57606589946837905</v>
      </c>
      <c r="S2940" s="12">
        <v>0.40730215523492058</v>
      </c>
      <c r="T2940" s="12">
        <v>0.41011451006099681</v>
      </c>
      <c r="U2940" s="12">
        <v>0.87841579594922869</v>
      </c>
      <c r="V2940" s="12">
        <v>302.58136184316999</v>
      </c>
      <c r="W2940" s="12">
        <v>9.6341067266773006</v>
      </c>
      <c r="X2940" s="12">
        <v>94.889056683385078</v>
      </c>
      <c r="Y2940" s="12">
        <v>3786.0675682322362</v>
      </c>
      <c r="Z2940" s="12">
        <v>4.7035727452255216</v>
      </c>
      <c r="AA2940" s="12"/>
      <c r="AB2940" s="12"/>
    </row>
    <row r="2941" spans="1:28" x14ac:dyDescent="0.3">
      <c r="A2941" s="12" t="s">
        <v>4861</v>
      </c>
      <c r="B2941" s="12" t="s">
        <v>198</v>
      </c>
      <c r="C2941" s="12" t="s">
        <v>509</v>
      </c>
      <c r="D2941" s="12" t="s">
        <v>4854</v>
      </c>
      <c r="E2941" s="12" t="s">
        <v>4403</v>
      </c>
      <c r="F2941" s="12" t="s">
        <v>32</v>
      </c>
      <c r="G2941" s="12" t="s">
        <v>32</v>
      </c>
      <c r="H2941" s="12" t="b">
        <v>1</v>
      </c>
      <c r="I2941" s="12" t="b">
        <v>0</v>
      </c>
      <c r="J2941" s="12" t="b">
        <v>1</v>
      </c>
      <c r="K2941" s="12" t="b">
        <v>0</v>
      </c>
      <c r="L2941" s="12">
        <v>623.15</v>
      </c>
      <c r="M2941" s="12">
        <v>302.58136184316999</v>
      </c>
      <c r="N2941" s="12">
        <v>4808.3419580395002</v>
      </c>
      <c r="O2941" s="12">
        <v>1242.2743898072649</v>
      </c>
      <c r="P2941" s="12">
        <v>0.5</v>
      </c>
      <c r="Q2941" s="12">
        <v>0.95</v>
      </c>
      <c r="R2941" s="12">
        <v>0.57606589946837905</v>
      </c>
      <c r="S2941" s="12">
        <v>0.40730215523492058</v>
      </c>
      <c r="T2941" s="12">
        <v>0.41011451006099681</v>
      </c>
      <c r="U2941" s="12">
        <v>0.87841579594922869</v>
      </c>
      <c r="V2941" s="12">
        <v>302.58136184316999</v>
      </c>
      <c r="W2941" s="12">
        <v>8.7305264330735106</v>
      </c>
      <c r="X2941" s="12">
        <v>85.965975580068758</v>
      </c>
      <c r="Y2941" s="12">
        <v>3566.0675682322362</v>
      </c>
      <c r="Z2941" s="12">
        <v>3.8705957375371001</v>
      </c>
      <c r="AA2941" s="12"/>
      <c r="AB2941" s="12"/>
    </row>
    <row r="2942" spans="1:28" x14ac:dyDescent="0.3">
      <c r="A2942" s="12" t="s">
        <v>4862</v>
      </c>
      <c r="B2942" s="12" t="s">
        <v>198</v>
      </c>
      <c r="C2942" s="12" t="s">
        <v>509</v>
      </c>
      <c r="D2942" s="12" t="s">
        <v>4854</v>
      </c>
      <c r="E2942" s="12" t="s">
        <v>4403</v>
      </c>
      <c r="F2942" s="12" t="s">
        <v>32</v>
      </c>
      <c r="G2942" s="12" t="s">
        <v>32</v>
      </c>
      <c r="H2942" s="12" t="b">
        <v>1</v>
      </c>
      <c r="I2942" s="12" t="b">
        <v>0</v>
      </c>
      <c r="J2942" s="12" t="b">
        <v>1</v>
      </c>
      <c r="K2942" s="12" t="b">
        <v>0</v>
      </c>
      <c r="L2942" s="12">
        <v>623.15</v>
      </c>
      <c r="M2942" s="12">
        <v>302.58136184316999</v>
      </c>
      <c r="N2942" s="12">
        <v>4808.3419580395002</v>
      </c>
      <c r="O2942" s="12">
        <v>1242.2743898072649</v>
      </c>
      <c r="P2942" s="12">
        <v>0.5</v>
      </c>
      <c r="Q2942" s="12">
        <v>0.86749167471066713</v>
      </c>
      <c r="R2942" s="12">
        <v>0.57606589946837905</v>
      </c>
      <c r="S2942" s="12">
        <v>0.40730215523492058</v>
      </c>
      <c r="T2942" s="12">
        <v>0.41011451006099681</v>
      </c>
      <c r="U2942" s="12">
        <v>0.87841579594922869</v>
      </c>
      <c r="V2942" s="12">
        <v>302.58136184316999</v>
      </c>
      <c r="W2942" s="12">
        <v>7.9115241524743691</v>
      </c>
      <c r="X2942" s="12">
        <v>77.875936270003649</v>
      </c>
      <c r="Y2942" s="12">
        <v>3566.0675682322362</v>
      </c>
      <c r="Z2942" s="12">
        <v>3.8705957375371001</v>
      </c>
      <c r="AA2942" s="12"/>
      <c r="AB2942" s="12"/>
    </row>
    <row r="2943" spans="1:28" x14ac:dyDescent="0.3">
      <c r="A2943" s="12" t="s">
        <v>4863</v>
      </c>
      <c r="B2943" s="12" t="s">
        <v>198</v>
      </c>
      <c r="C2943" s="12" t="s">
        <v>509</v>
      </c>
      <c r="D2943" s="12" t="s">
        <v>4854</v>
      </c>
      <c r="E2943" s="12" t="s">
        <v>4403</v>
      </c>
      <c r="F2943" s="12" t="s">
        <v>32</v>
      </c>
      <c r="G2943" s="12" t="s">
        <v>32</v>
      </c>
      <c r="H2943" s="12" t="b">
        <v>1</v>
      </c>
      <c r="I2943" s="12" t="b">
        <v>0</v>
      </c>
      <c r="J2943" s="12" t="b">
        <v>1</v>
      </c>
      <c r="K2943" s="12" t="b">
        <v>0</v>
      </c>
      <c r="L2943" s="12">
        <v>623.15</v>
      </c>
      <c r="M2943" s="12">
        <v>302.58136184316999</v>
      </c>
      <c r="N2943" s="12">
        <v>4808.3419580395002</v>
      </c>
      <c r="O2943" s="12">
        <v>1242.2743898072649</v>
      </c>
      <c r="P2943" s="12">
        <v>0.5</v>
      </c>
      <c r="Q2943" s="12">
        <v>0.92249167471066718</v>
      </c>
      <c r="R2943" s="12">
        <v>0.6310658994683791</v>
      </c>
      <c r="S2943" s="12">
        <v>0.40730215523492058</v>
      </c>
      <c r="T2943" s="12">
        <v>0.41011451006099681</v>
      </c>
      <c r="U2943" s="12">
        <v>0.87841579594922869</v>
      </c>
      <c r="V2943" s="12">
        <v>302.58136184316999</v>
      </c>
      <c r="W2943" s="12">
        <v>8.5206585572585301</v>
      </c>
      <c r="X2943" s="12">
        <v>83.909205231058536</v>
      </c>
      <c r="Y2943" s="12">
        <v>3566.0675682322362</v>
      </c>
      <c r="Z2943" s="12">
        <v>3.8705957375371001</v>
      </c>
      <c r="AA2943" s="12"/>
      <c r="AB2943" s="12"/>
    </row>
    <row r="2944" spans="1:28" x14ac:dyDescent="0.3">
      <c r="A2944" s="12" t="s">
        <v>4864</v>
      </c>
      <c r="B2944" s="12" t="s">
        <v>198</v>
      </c>
      <c r="C2944" s="12" t="s">
        <v>509</v>
      </c>
      <c r="D2944" s="12" t="s">
        <v>4854</v>
      </c>
      <c r="E2944" s="12" t="s">
        <v>4403</v>
      </c>
      <c r="F2944" s="12" t="s">
        <v>32</v>
      </c>
      <c r="G2944" s="12" t="s">
        <v>32</v>
      </c>
      <c r="H2944" s="12" t="b">
        <v>1</v>
      </c>
      <c r="I2944" s="12" t="b">
        <v>0</v>
      </c>
      <c r="J2944" s="12" t="b">
        <v>1</v>
      </c>
      <c r="K2944" s="12" t="b">
        <v>0</v>
      </c>
      <c r="L2944" s="12">
        <v>623.15</v>
      </c>
      <c r="M2944" s="12">
        <v>302.58136184316999</v>
      </c>
      <c r="N2944" s="12">
        <v>4808.3419580395002</v>
      </c>
      <c r="O2944" s="12">
        <v>1242.2743898072649</v>
      </c>
      <c r="P2944" s="12">
        <v>0.5</v>
      </c>
      <c r="Q2944" s="12">
        <v>0.92249167471066718</v>
      </c>
      <c r="R2944" s="12">
        <v>0.521065899468379</v>
      </c>
      <c r="S2944" s="12">
        <v>0.40730215523492058</v>
      </c>
      <c r="T2944" s="12">
        <v>0.41011451006099681</v>
      </c>
      <c r="U2944" s="12">
        <v>0.87841579594922869</v>
      </c>
      <c r="V2944" s="12">
        <v>302.58136184316999</v>
      </c>
      <c r="W2944" s="12">
        <v>8.3812987032608888</v>
      </c>
      <c r="X2944" s="12">
        <v>82.495669537599099</v>
      </c>
      <c r="Y2944" s="12">
        <v>3566.0675682322362</v>
      </c>
      <c r="Z2944" s="12">
        <v>3.8705957375371001</v>
      </c>
      <c r="AA2944" s="12"/>
      <c r="AB2944" s="12"/>
    </row>
    <row r="2945" spans="1:28" x14ac:dyDescent="0.3">
      <c r="A2945" s="12" t="s">
        <v>4865</v>
      </c>
      <c r="B2945" s="12" t="s">
        <v>198</v>
      </c>
      <c r="C2945" s="12" t="s">
        <v>509</v>
      </c>
      <c r="D2945" s="12" t="s">
        <v>4854</v>
      </c>
      <c r="E2945" s="12" t="s">
        <v>4403</v>
      </c>
      <c r="F2945" s="12" t="s">
        <v>32</v>
      </c>
      <c r="G2945" s="12" t="s">
        <v>32</v>
      </c>
      <c r="H2945" s="12" t="b">
        <v>1</v>
      </c>
      <c r="I2945" s="12" t="b">
        <v>0</v>
      </c>
      <c r="J2945" s="12" t="b">
        <v>1</v>
      </c>
      <c r="K2945" s="12" t="b">
        <v>0</v>
      </c>
      <c r="L2945" s="12">
        <v>623.15</v>
      </c>
      <c r="M2945" s="12">
        <v>302.58136184316999</v>
      </c>
      <c r="N2945" s="12">
        <v>4808.3419580395002</v>
      </c>
      <c r="O2945" s="12">
        <v>1242.2743898072649</v>
      </c>
      <c r="P2945" s="12">
        <v>0.5</v>
      </c>
      <c r="Q2945" s="12">
        <v>0.92249167471066718</v>
      </c>
      <c r="R2945" s="12">
        <v>0.57606589946837905</v>
      </c>
      <c r="S2945" s="12">
        <v>0.46230215523492058</v>
      </c>
      <c r="T2945" s="12">
        <v>0.41011451006099681</v>
      </c>
      <c r="U2945" s="12">
        <v>0.87841579594922869</v>
      </c>
      <c r="V2945" s="12">
        <v>302.58136184316999</v>
      </c>
      <c r="W2945" s="12">
        <v>8.9610426876534</v>
      </c>
      <c r="X2945" s="12">
        <v>100.1077514037278</v>
      </c>
      <c r="Y2945" s="12">
        <v>3566.0675682322362</v>
      </c>
      <c r="Z2945" s="12">
        <v>3.8705957375371001</v>
      </c>
      <c r="AA2945" s="12"/>
      <c r="AB2945" s="12"/>
    </row>
    <row r="2946" spans="1:28" x14ac:dyDescent="0.3">
      <c r="A2946" s="12" t="s">
        <v>4866</v>
      </c>
      <c r="B2946" s="12" t="s">
        <v>198</v>
      </c>
      <c r="C2946" s="12" t="s">
        <v>509</v>
      </c>
      <c r="D2946" s="12" t="s">
        <v>4854</v>
      </c>
      <c r="E2946" s="12" t="s">
        <v>4403</v>
      </c>
      <c r="F2946" s="12" t="s">
        <v>32</v>
      </c>
      <c r="G2946" s="12" t="s">
        <v>32</v>
      </c>
      <c r="H2946" s="12" t="b">
        <v>1</v>
      </c>
      <c r="I2946" s="12" t="b">
        <v>0</v>
      </c>
      <c r="J2946" s="12" t="b">
        <v>1</v>
      </c>
      <c r="K2946" s="12" t="b">
        <v>0</v>
      </c>
      <c r="L2946" s="12">
        <v>623.15</v>
      </c>
      <c r="M2946" s="12">
        <v>302.58136184316999</v>
      </c>
      <c r="N2946" s="12">
        <v>4808.3419580395002</v>
      </c>
      <c r="O2946" s="12">
        <v>1242.2743898072649</v>
      </c>
      <c r="P2946" s="12">
        <v>0.5</v>
      </c>
      <c r="Q2946" s="12">
        <v>0.92249167471066718</v>
      </c>
      <c r="R2946" s="12">
        <v>0.57606589946837905</v>
      </c>
      <c r="S2946" s="12">
        <v>0.4</v>
      </c>
      <c r="T2946" s="12">
        <v>0.41011451006099681</v>
      </c>
      <c r="U2946" s="12">
        <v>0.87841579594922869</v>
      </c>
      <c r="V2946" s="12">
        <v>302.58136184316999</v>
      </c>
      <c r="W2946" s="12">
        <v>8.3799989154664498</v>
      </c>
      <c r="X2946" s="12">
        <v>81.033756102621155</v>
      </c>
      <c r="Y2946" s="12">
        <v>3566.0675682322362</v>
      </c>
      <c r="Z2946" s="12">
        <v>3.8705957375371001</v>
      </c>
      <c r="AA2946" s="12"/>
      <c r="AB2946" s="12"/>
    </row>
    <row r="2947" spans="1:28" x14ac:dyDescent="0.3">
      <c r="A2947" s="12" t="s">
        <v>4867</v>
      </c>
      <c r="B2947" s="12" t="s">
        <v>198</v>
      </c>
      <c r="C2947" s="12" t="s">
        <v>509</v>
      </c>
      <c r="D2947" s="12" t="s">
        <v>4854</v>
      </c>
      <c r="E2947" s="12" t="s">
        <v>4403</v>
      </c>
      <c r="F2947" s="12" t="s">
        <v>32</v>
      </c>
      <c r="G2947" s="12" t="s">
        <v>32</v>
      </c>
      <c r="H2947" s="12" t="b">
        <v>1</v>
      </c>
      <c r="I2947" s="12" t="b">
        <v>0</v>
      </c>
      <c r="J2947" s="12" t="b">
        <v>1</v>
      </c>
      <c r="K2947" s="12" t="b">
        <v>0</v>
      </c>
      <c r="L2947" s="12">
        <v>623.15</v>
      </c>
      <c r="M2947" s="12">
        <v>302.58136184316999</v>
      </c>
      <c r="N2947" s="12">
        <v>4808.3419580395002</v>
      </c>
      <c r="O2947" s="12">
        <v>1242.2743898072649</v>
      </c>
      <c r="P2947" s="12">
        <v>0.5</v>
      </c>
      <c r="Q2947" s="12">
        <v>0.92249167471066718</v>
      </c>
      <c r="R2947" s="12">
        <v>0.57606589946837905</v>
      </c>
      <c r="S2947" s="12">
        <v>0.40730215523492058</v>
      </c>
      <c r="T2947" s="12">
        <v>0.4651145100609968</v>
      </c>
      <c r="U2947" s="12">
        <v>0.87841579594922869</v>
      </c>
      <c r="V2947" s="12">
        <v>302.58136184316999</v>
      </c>
      <c r="W2947" s="12">
        <v>8.6576173182644602</v>
      </c>
      <c r="X2947" s="12">
        <v>84.608314265617182</v>
      </c>
      <c r="Y2947" s="12">
        <v>3566.0675682322362</v>
      </c>
      <c r="Z2947" s="12">
        <v>3.8705957375371001</v>
      </c>
      <c r="AA2947" s="12"/>
      <c r="AB2947" s="12"/>
    </row>
    <row r="2948" spans="1:28" x14ac:dyDescent="0.3">
      <c r="A2948" s="12" t="s">
        <v>4868</v>
      </c>
      <c r="B2948" s="12" t="s">
        <v>198</v>
      </c>
      <c r="C2948" s="12" t="s">
        <v>509</v>
      </c>
      <c r="D2948" s="12" t="s">
        <v>4854</v>
      </c>
      <c r="E2948" s="12" t="s">
        <v>4403</v>
      </c>
      <c r="F2948" s="12" t="s">
        <v>1863</v>
      </c>
      <c r="G2948" s="12" t="s">
        <v>832</v>
      </c>
      <c r="H2948" s="12" t="b">
        <v>0</v>
      </c>
      <c r="I2948" s="12" t="b">
        <v>0</v>
      </c>
      <c r="J2948" s="12" t="b">
        <v>1</v>
      </c>
      <c r="K2948" s="12" t="b">
        <v>0</v>
      </c>
      <c r="L2948" s="12">
        <v>623.15</v>
      </c>
      <c r="M2948" s="12">
        <v>302.58136184316999</v>
      </c>
      <c r="N2948" s="12">
        <v>4808.3419580395002</v>
      </c>
      <c r="O2948" s="12">
        <v>1242.2743898072649</v>
      </c>
      <c r="P2948" s="12">
        <v>0.5</v>
      </c>
      <c r="Q2948" s="12">
        <v>0.92249167471066718</v>
      </c>
      <c r="R2948" s="12">
        <v>0.57606589946837905</v>
      </c>
      <c r="S2948" s="12">
        <v>0.40730215523492058</v>
      </c>
      <c r="T2948" s="12">
        <v>0.4</v>
      </c>
      <c r="U2948" s="12">
        <v>0.87841579594922869</v>
      </c>
      <c r="V2948" s="12">
        <v>302.58136184316999</v>
      </c>
      <c r="W2948" s="12">
        <v>8.4370069307735491</v>
      </c>
      <c r="X2948" s="12">
        <v>83.130509316331853</v>
      </c>
      <c r="Y2948" s="12">
        <v>3566.0675682322362</v>
      </c>
      <c r="Z2948" s="12">
        <v>3.8705957375371001</v>
      </c>
      <c r="AA2948" s="12" t="s">
        <v>1863</v>
      </c>
      <c r="AB2948" s="12"/>
    </row>
    <row r="2949" spans="1:28" x14ac:dyDescent="0.3">
      <c r="A2949" s="12" t="s">
        <v>4869</v>
      </c>
      <c r="B2949" s="12" t="s">
        <v>198</v>
      </c>
      <c r="C2949" s="12" t="s">
        <v>509</v>
      </c>
      <c r="D2949" s="12" t="s">
        <v>4854</v>
      </c>
      <c r="E2949" s="12" t="s">
        <v>4403</v>
      </c>
      <c r="F2949" s="12" t="s">
        <v>32</v>
      </c>
      <c r="G2949" s="12" t="s">
        <v>32</v>
      </c>
      <c r="H2949" s="12" t="b">
        <v>1</v>
      </c>
      <c r="I2949" s="12" t="b">
        <v>0</v>
      </c>
      <c r="J2949" s="12" t="b">
        <v>1</v>
      </c>
      <c r="K2949" s="12" t="b">
        <v>0</v>
      </c>
      <c r="L2949" s="12">
        <v>623.15</v>
      </c>
      <c r="M2949" s="12">
        <v>302.58136184316999</v>
      </c>
      <c r="N2949" s="12">
        <v>4808.3419580395002</v>
      </c>
      <c r="O2949" s="12">
        <v>1242.2743898072649</v>
      </c>
      <c r="P2949" s="12">
        <v>0.5</v>
      </c>
      <c r="Q2949" s="12">
        <v>0.92249167471066718</v>
      </c>
      <c r="R2949" s="12">
        <v>0.57606589946837905</v>
      </c>
      <c r="S2949" s="12">
        <v>0.40730215523492058</v>
      </c>
      <c r="T2949" s="12">
        <v>0.41011451006099681</v>
      </c>
      <c r="U2949" s="12">
        <v>0.93341579594922863</v>
      </c>
      <c r="V2949" s="12">
        <v>302.58136184316999</v>
      </c>
      <c r="W2949" s="12">
        <v>7.9972667843920693</v>
      </c>
      <c r="X2949" s="12">
        <v>80.151051420618458</v>
      </c>
      <c r="Y2949" s="12">
        <v>3566.0675682322362</v>
      </c>
      <c r="Z2949" s="12">
        <v>3.8705957375371001</v>
      </c>
      <c r="AA2949" s="12"/>
      <c r="AB2949" s="12"/>
    </row>
    <row r="2950" spans="1:28" x14ac:dyDescent="0.3">
      <c r="A2950" s="12" t="s">
        <v>4870</v>
      </c>
      <c r="B2950" s="12" t="s">
        <v>198</v>
      </c>
      <c r="C2950" s="12" t="s">
        <v>509</v>
      </c>
      <c r="D2950" s="12" t="s">
        <v>4854</v>
      </c>
      <c r="E2950" s="12" t="s">
        <v>4403</v>
      </c>
      <c r="F2950" s="12" t="s">
        <v>32</v>
      </c>
      <c r="G2950" s="12" t="s">
        <v>32</v>
      </c>
      <c r="H2950" s="12" t="b">
        <v>1</v>
      </c>
      <c r="I2950" s="12" t="b">
        <v>0</v>
      </c>
      <c r="J2950" s="12" t="b">
        <v>1</v>
      </c>
      <c r="K2950" s="12" t="b">
        <v>0</v>
      </c>
      <c r="L2950" s="12">
        <v>623.15</v>
      </c>
      <c r="M2950" s="12">
        <v>302.58136184316999</v>
      </c>
      <c r="N2950" s="12">
        <v>4808.3419580395002</v>
      </c>
      <c r="O2950" s="12">
        <v>1242.2743898072649</v>
      </c>
      <c r="P2950" s="12">
        <v>0.5</v>
      </c>
      <c r="Q2950" s="12">
        <v>0.92249167471066718</v>
      </c>
      <c r="R2950" s="12">
        <v>0.57606589946837905</v>
      </c>
      <c r="S2950" s="12">
        <v>0.40730215523492058</v>
      </c>
      <c r="T2950" s="12">
        <v>0.41011451006099681</v>
      </c>
      <c r="U2950" s="12">
        <v>0.82341579594922876</v>
      </c>
      <c r="V2950" s="12">
        <v>302.58136184316999</v>
      </c>
      <c r="W2950" s="12">
        <v>8.980239224794941</v>
      </c>
      <c r="X2950" s="12">
        <v>86.678866026326403</v>
      </c>
      <c r="Y2950" s="12">
        <v>3566.0675682322362</v>
      </c>
      <c r="Z2950" s="12">
        <v>3.8705957375371001</v>
      </c>
      <c r="AA2950" s="12"/>
      <c r="AB2950" s="12"/>
    </row>
    <row r="2951" spans="1:28" x14ac:dyDescent="0.3">
      <c r="A2951" s="12" t="s">
        <v>4871</v>
      </c>
      <c r="B2951" s="12" t="s">
        <v>198</v>
      </c>
      <c r="C2951" s="12" t="s">
        <v>509</v>
      </c>
      <c r="D2951" s="12" t="s">
        <v>4854</v>
      </c>
      <c r="E2951" s="12" t="s">
        <v>4403</v>
      </c>
      <c r="F2951" s="12" t="s">
        <v>32</v>
      </c>
      <c r="G2951" s="12" t="s">
        <v>32</v>
      </c>
      <c r="H2951" s="12" t="b">
        <v>1</v>
      </c>
      <c r="I2951" s="12" t="b">
        <v>0</v>
      </c>
      <c r="J2951" s="12" t="b">
        <v>1</v>
      </c>
      <c r="K2951" s="12" t="b">
        <v>0</v>
      </c>
      <c r="L2951" s="12">
        <v>623.15</v>
      </c>
      <c r="M2951" s="12">
        <v>303.55</v>
      </c>
      <c r="N2951" s="12">
        <v>4808.3419580395002</v>
      </c>
      <c r="O2951" s="12">
        <v>1022.274389807265</v>
      </c>
      <c r="P2951" s="12">
        <v>0.5</v>
      </c>
      <c r="Q2951" s="12">
        <v>0.92249167471066718</v>
      </c>
      <c r="R2951" s="12">
        <v>0.57606589946837905</v>
      </c>
      <c r="S2951" s="12">
        <v>0.40730215523492058</v>
      </c>
      <c r="T2951" s="12">
        <v>0.41011451006099681</v>
      </c>
      <c r="U2951" s="12">
        <v>0.87841579594922869</v>
      </c>
      <c r="V2951" s="12">
        <v>303.55</v>
      </c>
      <c r="W2951" s="12">
        <v>9.6731085260280203</v>
      </c>
      <c r="X2951" s="12">
        <v>95.148173762710115</v>
      </c>
      <c r="Y2951" s="12">
        <v>3786.0675682322362</v>
      </c>
      <c r="Z2951" s="12">
        <v>4.7035727452255216</v>
      </c>
      <c r="AA2951" s="12"/>
      <c r="AB2951" s="12"/>
    </row>
    <row r="2952" spans="1:28" x14ac:dyDescent="0.3">
      <c r="A2952" s="12" t="s">
        <v>4872</v>
      </c>
      <c r="B2952" s="12" t="s">
        <v>198</v>
      </c>
      <c r="C2952" s="12" t="s">
        <v>509</v>
      </c>
      <c r="D2952" s="12" t="s">
        <v>4854</v>
      </c>
      <c r="E2952" s="12" t="s">
        <v>4403</v>
      </c>
      <c r="F2952" s="12" t="s">
        <v>32</v>
      </c>
      <c r="G2952" s="12" t="s">
        <v>32</v>
      </c>
      <c r="H2952" s="12" t="b">
        <v>1</v>
      </c>
      <c r="I2952" s="12" t="b">
        <v>0</v>
      </c>
      <c r="J2952" s="12" t="b">
        <v>1</v>
      </c>
      <c r="K2952" s="12" t="b">
        <v>0</v>
      </c>
      <c r="L2952" s="12">
        <v>623.15</v>
      </c>
      <c r="M2952" s="12">
        <v>300.04136184316991</v>
      </c>
      <c r="N2952" s="12">
        <v>4808.3419580395002</v>
      </c>
      <c r="O2952" s="12">
        <v>1022.274389807265</v>
      </c>
      <c r="P2952" s="12">
        <v>0.5</v>
      </c>
      <c r="Q2952" s="12">
        <v>0.92249167471066718</v>
      </c>
      <c r="R2952" s="12">
        <v>0.57606589946837905</v>
      </c>
      <c r="S2952" s="12">
        <v>0.40730215523492058</v>
      </c>
      <c r="T2952" s="12">
        <v>0.41011451006099681</v>
      </c>
      <c r="U2952" s="12">
        <v>0.87841579594922869</v>
      </c>
      <c r="V2952" s="12">
        <v>300.04136184316991</v>
      </c>
      <c r="W2952" s="12">
        <v>9.5326345851783607</v>
      </c>
      <c r="X2952" s="12">
        <v>94.211691271695642</v>
      </c>
      <c r="Y2952" s="12">
        <v>3786.0675682322362</v>
      </c>
      <c r="Z2952" s="12">
        <v>4.7035727452255216</v>
      </c>
      <c r="AA2952" s="12"/>
      <c r="AB2952" s="12"/>
    </row>
    <row r="2953" spans="1:28" x14ac:dyDescent="0.3">
      <c r="A2953" s="12" t="s">
        <v>4873</v>
      </c>
      <c r="B2953" s="12" t="s">
        <v>198</v>
      </c>
      <c r="C2953" s="12" t="s">
        <v>509</v>
      </c>
      <c r="D2953" s="12" t="s">
        <v>4854</v>
      </c>
      <c r="E2953" s="12" t="s">
        <v>4403</v>
      </c>
      <c r="F2953" s="12" t="s">
        <v>32</v>
      </c>
      <c r="G2953" s="12" t="s">
        <v>32</v>
      </c>
      <c r="H2953" s="12" t="b">
        <v>1</v>
      </c>
      <c r="I2953" s="12" t="b">
        <v>0</v>
      </c>
      <c r="J2953" s="12" t="b">
        <v>1</v>
      </c>
      <c r="K2953" s="12" t="b">
        <v>0</v>
      </c>
      <c r="L2953" s="12">
        <v>623.15</v>
      </c>
      <c r="M2953" s="12">
        <v>302.58136184316999</v>
      </c>
      <c r="N2953" s="12">
        <v>5000</v>
      </c>
      <c r="O2953" s="12">
        <v>1022.274389807265</v>
      </c>
      <c r="P2953" s="12">
        <v>0.5</v>
      </c>
      <c r="Q2953" s="12">
        <v>0.92249167471066718</v>
      </c>
      <c r="R2953" s="12">
        <v>0.57606589946837905</v>
      </c>
      <c r="S2953" s="12">
        <v>0.40730215523492058</v>
      </c>
      <c r="T2953" s="12">
        <v>0.41011451006099681</v>
      </c>
      <c r="U2953" s="12">
        <v>0.87841579594922869</v>
      </c>
      <c r="V2953" s="12">
        <v>302.58136184316999</v>
      </c>
      <c r="W2953" s="12">
        <v>9.7562244277305297</v>
      </c>
      <c r="X2953" s="12">
        <v>95.834946888006115</v>
      </c>
      <c r="Y2953" s="12">
        <v>3977.725610192736</v>
      </c>
      <c r="Z2953" s="12">
        <v>4.8910547401492463</v>
      </c>
      <c r="AA2953" s="12"/>
      <c r="AB2953" s="12"/>
    </row>
    <row r="2954" spans="1:28" x14ac:dyDescent="0.3">
      <c r="A2954" s="12" t="s">
        <v>4874</v>
      </c>
      <c r="B2954" s="12" t="s">
        <v>198</v>
      </c>
      <c r="C2954" s="12" t="s">
        <v>509</v>
      </c>
      <c r="D2954" s="12" t="s">
        <v>4854</v>
      </c>
      <c r="E2954" s="12" t="s">
        <v>4403</v>
      </c>
      <c r="F2954" s="12" t="s">
        <v>32</v>
      </c>
      <c r="G2954" s="12" t="s">
        <v>32</v>
      </c>
      <c r="H2954" s="12" t="b">
        <v>1</v>
      </c>
      <c r="I2954" s="12" t="b">
        <v>0</v>
      </c>
      <c r="J2954" s="12" t="b">
        <v>1</v>
      </c>
      <c r="K2954" s="12" t="b">
        <v>0</v>
      </c>
      <c r="L2954" s="12">
        <v>623.15</v>
      </c>
      <c r="M2954" s="12">
        <v>302.58136184316999</v>
      </c>
      <c r="N2954" s="12">
        <v>4508.3419580395002</v>
      </c>
      <c r="O2954" s="12">
        <v>1022.274389807265</v>
      </c>
      <c r="P2954" s="12">
        <v>0.5</v>
      </c>
      <c r="Q2954" s="12">
        <v>0.92249167471066718</v>
      </c>
      <c r="R2954" s="12">
        <v>0.57606589946837905</v>
      </c>
      <c r="S2954" s="12">
        <v>0.40730215523492058</v>
      </c>
      <c r="T2954" s="12">
        <v>0.41011451006099681</v>
      </c>
      <c r="U2954" s="12">
        <v>0.87841579594922869</v>
      </c>
      <c r="V2954" s="12">
        <v>302.58136184316999</v>
      </c>
      <c r="W2954" s="12">
        <v>9.4129348919313198</v>
      </c>
      <c r="X2954" s="12">
        <v>93.098905367994476</v>
      </c>
      <c r="Y2954" s="12">
        <v>3486.0675682322362</v>
      </c>
      <c r="Z2954" s="12">
        <v>4.4101094608165674</v>
      </c>
      <c r="AA2954" s="12"/>
      <c r="AB2954" s="12"/>
    </row>
    <row r="2955" spans="1:28" x14ac:dyDescent="0.3">
      <c r="A2955" s="12" t="s">
        <v>4875</v>
      </c>
      <c r="B2955" s="12" t="s">
        <v>198</v>
      </c>
      <c r="C2955" s="12" t="s">
        <v>509</v>
      </c>
      <c r="D2955" s="12" t="s">
        <v>4854</v>
      </c>
      <c r="E2955" s="12" t="s">
        <v>4403</v>
      </c>
      <c r="F2955" s="12" t="s">
        <v>32</v>
      </c>
      <c r="G2955" s="12" t="s">
        <v>32</v>
      </c>
      <c r="H2955" s="12" t="b">
        <v>1</v>
      </c>
      <c r="I2955" s="12" t="b">
        <v>0</v>
      </c>
      <c r="J2955" s="12" t="b">
        <v>1</v>
      </c>
      <c r="K2955" s="12" t="b">
        <v>0</v>
      </c>
      <c r="L2955" s="12">
        <v>623.15</v>
      </c>
      <c r="M2955" s="12">
        <v>302.58136184316999</v>
      </c>
      <c r="N2955" s="12">
        <v>4808.3419580395002</v>
      </c>
      <c r="O2955" s="12">
        <v>1242.274389807264</v>
      </c>
      <c r="P2955" s="12">
        <v>0.5</v>
      </c>
      <c r="Q2955" s="12">
        <v>0.92249167471066718</v>
      </c>
      <c r="R2955" s="12">
        <v>0.57606589946837905</v>
      </c>
      <c r="S2955" s="12">
        <v>0.40730215523492058</v>
      </c>
      <c r="T2955" s="12">
        <v>0.41011451006099681</v>
      </c>
      <c r="U2955" s="12">
        <v>0.87841579594922869</v>
      </c>
      <c r="V2955" s="12">
        <v>302.58136184316999</v>
      </c>
      <c r="W2955" s="12">
        <v>8.4576500323742412</v>
      </c>
      <c r="X2955" s="12">
        <v>83.269930097907718</v>
      </c>
      <c r="Y2955" s="12">
        <v>3566.0675682322362</v>
      </c>
      <c r="Z2955" s="12">
        <v>3.870595737537101</v>
      </c>
      <c r="AA2955" s="12"/>
      <c r="AB2955" s="12"/>
    </row>
    <row r="2956" spans="1:28" x14ac:dyDescent="0.3">
      <c r="A2956" s="12" t="s">
        <v>4876</v>
      </c>
      <c r="B2956" s="12" t="s">
        <v>198</v>
      </c>
      <c r="C2956" s="12" t="s">
        <v>509</v>
      </c>
      <c r="D2956" s="12" t="s">
        <v>4854</v>
      </c>
      <c r="E2956" s="12" t="s">
        <v>4403</v>
      </c>
      <c r="F2956" s="12" t="s">
        <v>832</v>
      </c>
      <c r="G2956" s="12" t="s">
        <v>832</v>
      </c>
      <c r="H2956" s="12" t="b">
        <v>0</v>
      </c>
      <c r="I2956" s="12" t="b">
        <v>0</v>
      </c>
      <c r="J2956" s="12" t="b">
        <v>0</v>
      </c>
      <c r="K2956" s="12" t="b">
        <v>0</v>
      </c>
      <c r="L2956" s="12">
        <v>623.15</v>
      </c>
      <c r="M2956" s="12">
        <v>302.58136184316999</v>
      </c>
      <c r="N2956" s="12">
        <v>4808.3419580395002</v>
      </c>
      <c r="O2956" s="12">
        <v>802.27438980726458</v>
      </c>
      <c r="P2956" s="12">
        <v>0.5</v>
      </c>
      <c r="Q2956" s="12">
        <v>0.92249167471066718</v>
      </c>
      <c r="R2956" s="12">
        <v>0.57606589946837905</v>
      </c>
      <c r="S2956" s="12">
        <v>0.40730215523492058</v>
      </c>
      <c r="T2956" s="12">
        <v>0.41011451006099681</v>
      </c>
      <c r="U2956" s="12">
        <v>0.87841579594922869</v>
      </c>
      <c r="V2956" s="12">
        <v>302.58136184316999</v>
      </c>
      <c r="W2956" s="12"/>
      <c r="X2956" s="12"/>
      <c r="Y2956" s="12">
        <v>4006.0675682322362</v>
      </c>
      <c r="Z2956" s="12">
        <v>5.9933883209142929</v>
      </c>
      <c r="AA2956" s="12"/>
      <c r="AB2956" s="12"/>
    </row>
    <row r="2957" spans="1:28" x14ac:dyDescent="0.3">
      <c r="A2957" s="12" t="s">
        <v>4877</v>
      </c>
      <c r="B2957" s="12" t="s">
        <v>198</v>
      </c>
      <c r="C2957" s="12" t="s">
        <v>509</v>
      </c>
      <c r="D2957" s="12" t="s">
        <v>4854</v>
      </c>
      <c r="E2957" s="12" t="s">
        <v>4403</v>
      </c>
      <c r="F2957" s="12" t="s">
        <v>1861</v>
      </c>
      <c r="G2957" s="12" t="s">
        <v>1861</v>
      </c>
      <c r="H2957" s="12" t="b">
        <v>1</v>
      </c>
      <c r="I2957" s="12" t="b">
        <v>0</v>
      </c>
      <c r="J2957" s="12" t="b">
        <v>1</v>
      </c>
      <c r="K2957" s="12" t="b">
        <v>0</v>
      </c>
      <c r="L2957" s="12">
        <v>623.15</v>
      </c>
      <c r="M2957" s="12">
        <v>302.58136184316999</v>
      </c>
      <c r="N2957" s="12">
        <v>4808.3419580395002</v>
      </c>
      <c r="O2957" s="12">
        <v>1022.274389807265</v>
      </c>
      <c r="P2957" s="12">
        <v>0.5</v>
      </c>
      <c r="Q2957" s="12">
        <v>0.95</v>
      </c>
      <c r="R2957" s="12">
        <v>0.57606589946837905</v>
      </c>
      <c r="S2957" s="12">
        <v>0.40730215523492058</v>
      </c>
      <c r="T2957" s="12">
        <v>0.41011451006099681</v>
      </c>
      <c r="U2957" s="12">
        <v>0.87841579594922869</v>
      </c>
      <c r="V2957" s="12">
        <v>302.58136184316999</v>
      </c>
      <c r="W2957" s="12">
        <v>9.94265903166791</v>
      </c>
      <c r="X2957" s="12">
        <v>97.940231762790503</v>
      </c>
      <c r="Y2957" s="12">
        <v>3786.0675682322362</v>
      </c>
      <c r="Z2957" s="12">
        <v>4.7035727452255216</v>
      </c>
      <c r="AA2957" s="12" t="s">
        <v>3096</v>
      </c>
      <c r="AB2957" s="12"/>
    </row>
    <row r="2958" spans="1:28" x14ac:dyDescent="0.3">
      <c r="A2958" s="12" t="s">
        <v>4878</v>
      </c>
      <c r="B2958" s="12" t="s">
        <v>198</v>
      </c>
      <c r="C2958" s="12" t="s">
        <v>509</v>
      </c>
      <c r="D2958" s="12" t="s">
        <v>4854</v>
      </c>
      <c r="E2958" s="12" t="s">
        <v>4403</v>
      </c>
      <c r="F2958" s="12" t="s">
        <v>32</v>
      </c>
      <c r="G2958" s="12" t="s">
        <v>32</v>
      </c>
      <c r="H2958" s="12" t="b">
        <v>1</v>
      </c>
      <c r="I2958" s="12" t="b">
        <v>0</v>
      </c>
      <c r="J2958" s="12" t="b">
        <v>1</v>
      </c>
      <c r="K2958" s="12" t="b">
        <v>0</v>
      </c>
      <c r="L2958" s="12">
        <v>623.15</v>
      </c>
      <c r="M2958" s="12">
        <v>302.58136184316999</v>
      </c>
      <c r="N2958" s="12">
        <v>4808.3419580395002</v>
      </c>
      <c r="O2958" s="12">
        <v>1022.274389807265</v>
      </c>
      <c r="P2958" s="12">
        <v>0.5</v>
      </c>
      <c r="Q2958" s="12">
        <v>0.86749167471066713</v>
      </c>
      <c r="R2958" s="12">
        <v>0.57606589946837905</v>
      </c>
      <c r="S2958" s="12">
        <v>0.40730215523492058</v>
      </c>
      <c r="T2958" s="12">
        <v>0.41011451006099681</v>
      </c>
      <c r="U2958" s="12">
        <v>0.87841579594922869</v>
      </c>
      <c r="V2958" s="12">
        <v>302.58136184316999</v>
      </c>
      <c r="W2958" s="12">
        <v>9.0165033868832101</v>
      </c>
      <c r="X2958" s="12">
        <v>88.784046590742165</v>
      </c>
      <c r="Y2958" s="12">
        <v>3786.0675682322362</v>
      </c>
      <c r="Z2958" s="12">
        <v>4.7035727452255216</v>
      </c>
      <c r="AA2958" s="12"/>
      <c r="AB2958" s="12"/>
    </row>
    <row r="2959" spans="1:28" x14ac:dyDescent="0.3">
      <c r="A2959" s="12" t="s">
        <v>4879</v>
      </c>
      <c r="B2959" s="12" t="s">
        <v>198</v>
      </c>
      <c r="C2959" s="12" t="s">
        <v>509</v>
      </c>
      <c r="D2959" s="12" t="s">
        <v>4854</v>
      </c>
      <c r="E2959" s="12" t="s">
        <v>4403</v>
      </c>
      <c r="F2959" s="12" t="s">
        <v>32</v>
      </c>
      <c r="G2959" s="12" t="s">
        <v>32</v>
      </c>
      <c r="H2959" s="12" t="b">
        <v>1</v>
      </c>
      <c r="I2959" s="12" t="b">
        <v>0</v>
      </c>
      <c r="J2959" s="12" t="b">
        <v>1</v>
      </c>
      <c r="K2959" s="12" t="b">
        <v>0</v>
      </c>
      <c r="L2959" s="12">
        <v>623.15</v>
      </c>
      <c r="M2959" s="12">
        <v>302.58136184316999</v>
      </c>
      <c r="N2959" s="12">
        <v>4808.3419580395002</v>
      </c>
      <c r="O2959" s="12">
        <v>1022.274389807265</v>
      </c>
      <c r="P2959" s="12">
        <v>0.5</v>
      </c>
      <c r="Q2959" s="12">
        <v>0.92249167471066718</v>
      </c>
      <c r="R2959" s="12">
        <v>0.6310658994683791</v>
      </c>
      <c r="S2959" s="12">
        <v>0.40730215523492058</v>
      </c>
      <c r="T2959" s="12">
        <v>0.41011451006099681</v>
      </c>
      <c r="U2959" s="12">
        <v>0.87841579594922869</v>
      </c>
      <c r="V2959" s="12">
        <v>302.58136184316999</v>
      </c>
      <c r="W2959" s="12">
        <v>9.7000951873963697</v>
      </c>
      <c r="X2959" s="12">
        <v>95.561827526464455</v>
      </c>
      <c r="Y2959" s="12">
        <v>3786.0675682322362</v>
      </c>
      <c r="Z2959" s="12">
        <v>4.7035727452255216</v>
      </c>
      <c r="AA2959" s="12"/>
      <c r="AB2959" s="12"/>
    </row>
    <row r="2960" spans="1:28" x14ac:dyDescent="0.3">
      <c r="A2960" s="12" t="s">
        <v>4880</v>
      </c>
      <c r="B2960" s="12" t="s">
        <v>198</v>
      </c>
      <c r="C2960" s="12" t="s">
        <v>509</v>
      </c>
      <c r="D2960" s="12" t="s">
        <v>4854</v>
      </c>
      <c r="E2960" s="12" t="s">
        <v>4403</v>
      </c>
      <c r="F2960" s="12" t="s">
        <v>32</v>
      </c>
      <c r="G2960" s="12" t="s">
        <v>32</v>
      </c>
      <c r="H2960" s="12" t="b">
        <v>1</v>
      </c>
      <c r="I2960" s="12" t="b">
        <v>0</v>
      </c>
      <c r="J2960" s="12" t="b">
        <v>1</v>
      </c>
      <c r="K2960" s="12" t="b">
        <v>0</v>
      </c>
      <c r="L2960" s="12">
        <v>623.15</v>
      </c>
      <c r="M2960" s="12">
        <v>302.58136184316999</v>
      </c>
      <c r="N2960" s="12">
        <v>4808.3419580395002</v>
      </c>
      <c r="O2960" s="12">
        <v>1022.274389807265</v>
      </c>
      <c r="P2960" s="12">
        <v>0.5</v>
      </c>
      <c r="Q2960" s="12">
        <v>0.92249167471066718</v>
      </c>
      <c r="R2960" s="12">
        <v>0.521065899468379</v>
      </c>
      <c r="S2960" s="12">
        <v>0.40730215523492058</v>
      </c>
      <c r="T2960" s="12">
        <v>0.41011451006099681</v>
      </c>
      <c r="U2960" s="12">
        <v>0.87841579594922869</v>
      </c>
      <c r="V2960" s="12">
        <v>302.58136184316999</v>
      </c>
      <c r="W2960" s="12">
        <v>9.5541454377982298</v>
      </c>
      <c r="X2960" s="12">
        <v>94.074250104432338</v>
      </c>
      <c r="Y2960" s="12">
        <v>3786.0675682322362</v>
      </c>
      <c r="Z2960" s="12">
        <v>4.7035727452255216</v>
      </c>
      <c r="AA2960" s="12"/>
      <c r="AB2960" s="12"/>
    </row>
    <row r="2961" spans="1:28" x14ac:dyDescent="0.3">
      <c r="A2961" s="12" t="s">
        <v>4881</v>
      </c>
      <c r="B2961" s="12" t="s">
        <v>198</v>
      </c>
      <c r="C2961" s="12" t="s">
        <v>509</v>
      </c>
      <c r="D2961" s="12" t="s">
        <v>4854</v>
      </c>
      <c r="E2961" s="12" t="s">
        <v>4403</v>
      </c>
      <c r="F2961" s="12" t="s">
        <v>32</v>
      </c>
      <c r="G2961" s="12" t="s">
        <v>32</v>
      </c>
      <c r="H2961" s="12" t="b">
        <v>1</v>
      </c>
      <c r="I2961" s="12" t="b">
        <v>0</v>
      </c>
      <c r="J2961" s="12" t="b">
        <v>1</v>
      </c>
      <c r="K2961" s="12" t="b">
        <v>0</v>
      </c>
      <c r="L2961" s="12">
        <v>623.15</v>
      </c>
      <c r="M2961" s="12">
        <v>302.58136184316999</v>
      </c>
      <c r="N2961" s="12">
        <v>4808.3419580395002</v>
      </c>
      <c r="O2961" s="12">
        <v>1022.274389807265</v>
      </c>
      <c r="P2961" s="12">
        <v>0.5</v>
      </c>
      <c r="Q2961" s="12">
        <v>0.92249167471066718</v>
      </c>
      <c r="R2961" s="12">
        <v>0.57606589946837905</v>
      </c>
      <c r="S2961" s="12">
        <v>0.46230215523492058</v>
      </c>
      <c r="T2961" s="12">
        <v>0.41011451006099681</v>
      </c>
      <c r="U2961" s="12">
        <v>0.87841579594922869</v>
      </c>
      <c r="V2961" s="12">
        <v>302.58136184316999</v>
      </c>
      <c r="W2961" s="12">
        <v>10.196928404841691</v>
      </c>
      <c r="X2961" s="12">
        <v>113.9697594887854</v>
      </c>
      <c r="Y2961" s="12">
        <v>3786.0675682322362</v>
      </c>
      <c r="Z2961" s="12">
        <v>4.7035727452255216</v>
      </c>
      <c r="AA2961" s="12"/>
      <c r="AB2961" s="12"/>
    </row>
    <row r="2962" spans="1:28" x14ac:dyDescent="0.3">
      <c r="A2962" s="12" t="s">
        <v>4882</v>
      </c>
      <c r="B2962" s="12" t="s">
        <v>198</v>
      </c>
      <c r="C2962" s="12" t="s">
        <v>509</v>
      </c>
      <c r="D2962" s="12" t="s">
        <v>4854</v>
      </c>
      <c r="E2962" s="12" t="s">
        <v>4403</v>
      </c>
      <c r="F2962" s="12" t="s">
        <v>32</v>
      </c>
      <c r="G2962" s="12" t="s">
        <v>32</v>
      </c>
      <c r="H2962" s="12" t="b">
        <v>1</v>
      </c>
      <c r="I2962" s="12" t="b">
        <v>0</v>
      </c>
      <c r="J2962" s="12" t="b">
        <v>1</v>
      </c>
      <c r="K2962" s="12" t="b">
        <v>0</v>
      </c>
      <c r="L2962" s="12">
        <v>623.15</v>
      </c>
      <c r="M2962" s="12">
        <v>302.58136184316999</v>
      </c>
      <c r="N2962" s="12">
        <v>4808.3419580395002</v>
      </c>
      <c r="O2962" s="12">
        <v>1022.274389807265</v>
      </c>
      <c r="P2962" s="12">
        <v>0.5</v>
      </c>
      <c r="Q2962" s="12">
        <v>0.92249167471066718</v>
      </c>
      <c r="R2962" s="12">
        <v>0.57606589946837905</v>
      </c>
      <c r="S2962" s="12">
        <v>0.4</v>
      </c>
      <c r="T2962" s="12">
        <v>0.41011451006099681</v>
      </c>
      <c r="U2962" s="12">
        <v>0.87841579594922869</v>
      </c>
      <c r="V2962" s="12">
        <v>302.58136184316999</v>
      </c>
      <c r="W2962" s="12">
        <v>9.5472555835950903</v>
      </c>
      <c r="X2962" s="12">
        <v>92.355108153557637</v>
      </c>
      <c r="Y2962" s="12">
        <v>3786.0675682322362</v>
      </c>
      <c r="Z2962" s="12">
        <v>4.7035727452255216</v>
      </c>
      <c r="AA2962" s="12"/>
      <c r="AB2962" s="12"/>
    </row>
    <row r="2963" spans="1:28" x14ac:dyDescent="0.3">
      <c r="A2963" s="12" t="s">
        <v>4883</v>
      </c>
      <c r="B2963" s="12" t="s">
        <v>198</v>
      </c>
      <c r="C2963" s="12" t="s">
        <v>509</v>
      </c>
      <c r="D2963" s="12" t="s">
        <v>4854</v>
      </c>
      <c r="E2963" s="12" t="s">
        <v>4403</v>
      </c>
      <c r="F2963" s="12" t="s">
        <v>32</v>
      </c>
      <c r="G2963" s="12" t="s">
        <v>32</v>
      </c>
      <c r="H2963" s="12" t="b">
        <v>1</v>
      </c>
      <c r="I2963" s="12" t="b">
        <v>0</v>
      </c>
      <c r="J2963" s="12" t="b">
        <v>1</v>
      </c>
      <c r="K2963" s="12" t="b">
        <v>0</v>
      </c>
      <c r="L2963" s="12">
        <v>623.15</v>
      </c>
      <c r="M2963" s="12">
        <v>302.58136184316999</v>
      </c>
      <c r="N2963" s="12">
        <v>4808.3419580395002</v>
      </c>
      <c r="O2963" s="12">
        <v>1022.274389807265</v>
      </c>
      <c r="P2963" s="12">
        <v>0.5</v>
      </c>
      <c r="Q2963" s="12">
        <v>0.92249167471066718</v>
      </c>
      <c r="R2963" s="12">
        <v>0.57606589946837905</v>
      </c>
      <c r="S2963" s="12">
        <v>0.40730215523492058</v>
      </c>
      <c r="T2963" s="12">
        <v>0.4651145100609968</v>
      </c>
      <c r="U2963" s="12">
        <v>0.87841579594922869</v>
      </c>
      <c r="V2963" s="12">
        <v>302.58136184316999</v>
      </c>
      <c r="W2963" s="12">
        <v>9.8613266321409601</v>
      </c>
      <c r="X2963" s="12">
        <v>96.408125795791406</v>
      </c>
      <c r="Y2963" s="12">
        <v>3786.0675682322362</v>
      </c>
      <c r="Z2963" s="12">
        <v>4.7035727452255216</v>
      </c>
      <c r="AA2963" s="12"/>
      <c r="AB2963" s="12"/>
    </row>
    <row r="2964" spans="1:28" x14ac:dyDescent="0.3">
      <c r="A2964" s="12" t="s">
        <v>4884</v>
      </c>
      <c r="B2964" s="12" t="s">
        <v>198</v>
      </c>
      <c r="C2964" s="12" t="s">
        <v>509</v>
      </c>
      <c r="D2964" s="12" t="s">
        <v>4854</v>
      </c>
      <c r="E2964" s="12" t="s">
        <v>4403</v>
      </c>
      <c r="F2964" s="12" t="s">
        <v>32</v>
      </c>
      <c r="G2964" s="12" t="s">
        <v>32</v>
      </c>
      <c r="H2964" s="12" t="b">
        <v>1</v>
      </c>
      <c r="I2964" s="12" t="b">
        <v>0</v>
      </c>
      <c r="J2964" s="12" t="b">
        <v>1</v>
      </c>
      <c r="K2964" s="12" t="b">
        <v>0</v>
      </c>
      <c r="L2964" s="12">
        <v>623.15</v>
      </c>
      <c r="M2964" s="12">
        <v>302.58136184316999</v>
      </c>
      <c r="N2964" s="12">
        <v>4808.3419580395002</v>
      </c>
      <c r="O2964" s="12">
        <v>1022.274389807265</v>
      </c>
      <c r="P2964" s="12">
        <v>0.5</v>
      </c>
      <c r="Q2964" s="12">
        <v>0.92249167471066718</v>
      </c>
      <c r="R2964" s="12">
        <v>0.57606589946837905</v>
      </c>
      <c r="S2964" s="12">
        <v>0.40730215523492058</v>
      </c>
      <c r="T2964" s="12">
        <v>0.4</v>
      </c>
      <c r="U2964" s="12">
        <v>0.87841579594922869</v>
      </c>
      <c r="V2964" s="12">
        <v>302.58136184316999</v>
      </c>
      <c r="W2964" s="12">
        <v>9.5924643087632688</v>
      </c>
      <c r="X2964" s="12">
        <v>94.608226599240567</v>
      </c>
      <c r="Y2964" s="12">
        <v>3786.0675682322362</v>
      </c>
      <c r="Z2964" s="12">
        <v>4.7035727452255216</v>
      </c>
      <c r="AA2964" s="12"/>
      <c r="AB2964" s="12"/>
    </row>
    <row r="2965" spans="1:28" x14ac:dyDescent="0.3">
      <c r="A2965" s="12" t="s">
        <v>4885</v>
      </c>
      <c r="B2965" s="12" t="s">
        <v>198</v>
      </c>
      <c r="C2965" s="12" t="s">
        <v>509</v>
      </c>
      <c r="D2965" s="12" t="s">
        <v>4854</v>
      </c>
      <c r="E2965" s="12" t="s">
        <v>4403</v>
      </c>
      <c r="F2965" s="12" t="s">
        <v>32</v>
      </c>
      <c r="G2965" s="12" t="s">
        <v>32</v>
      </c>
      <c r="H2965" s="12" t="b">
        <v>1</v>
      </c>
      <c r="I2965" s="12" t="b">
        <v>0</v>
      </c>
      <c r="J2965" s="12" t="b">
        <v>1</v>
      </c>
      <c r="K2965" s="12" t="b">
        <v>0</v>
      </c>
      <c r="L2965" s="12">
        <v>623.15</v>
      </c>
      <c r="M2965" s="12">
        <v>302.58136184316999</v>
      </c>
      <c r="N2965" s="12">
        <v>4808.3419580395002</v>
      </c>
      <c r="O2965" s="12">
        <v>1022.274389807265</v>
      </c>
      <c r="P2965" s="12">
        <v>0.5</v>
      </c>
      <c r="Q2965" s="12">
        <v>0.92249167471066718</v>
      </c>
      <c r="R2965" s="12">
        <v>0.57606589946837905</v>
      </c>
      <c r="S2965" s="12">
        <v>0.40730215523492058</v>
      </c>
      <c r="T2965" s="12">
        <v>0.41011451006099681</v>
      </c>
      <c r="U2965" s="12">
        <v>0.93341579594922863</v>
      </c>
      <c r="V2965" s="12">
        <v>302.58136184316999</v>
      </c>
      <c r="W2965" s="12">
        <v>9.1173491960448985</v>
      </c>
      <c r="X2965" s="12">
        <v>91.390218187075277</v>
      </c>
      <c r="Y2965" s="12">
        <v>3786.0675682322362</v>
      </c>
      <c r="Z2965" s="12">
        <v>4.7035727452255216</v>
      </c>
      <c r="AA2965" s="12"/>
      <c r="AB2965" s="12"/>
    </row>
    <row r="2966" spans="1:28" x14ac:dyDescent="0.3">
      <c r="A2966" s="12" t="s">
        <v>4886</v>
      </c>
      <c r="B2966" s="12" t="s">
        <v>198</v>
      </c>
      <c r="C2966" s="12" t="s">
        <v>509</v>
      </c>
      <c r="D2966" s="12" t="s">
        <v>4854</v>
      </c>
      <c r="E2966" s="12" t="s">
        <v>4403</v>
      </c>
      <c r="F2966" s="12" t="s">
        <v>1861</v>
      </c>
      <c r="G2966" s="12" t="s">
        <v>1861</v>
      </c>
      <c r="H2966" s="12" t="b">
        <v>1</v>
      </c>
      <c r="I2966" s="12" t="b">
        <v>0</v>
      </c>
      <c r="J2966" s="12" t="b">
        <v>1</v>
      </c>
      <c r="K2966" s="12" t="b">
        <v>0</v>
      </c>
      <c r="L2966" s="12">
        <v>623.15</v>
      </c>
      <c r="M2966" s="12">
        <v>302.58136184316999</v>
      </c>
      <c r="N2966" s="12">
        <v>4808.3419580395002</v>
      </c>
      <c r="O2966" s="12">
        <v>1022.274389807265</v>
      </c>
      <c r="P2966" s="12">
        <v>0.5</v>
      </c>
      <c r="Q2966" s="12">
        <v>0.92249167471066718</v>
      </c>
      <c r="R2966" s="12">
        <v>0.57606589946837905</v>
      </c>
      <c r="S2966" s="12">
        <v>0.40730215523492058</v>
      </c>
      <c r="T2966" s="12">
        <v>0.41011451006099681</v>
      </c>
      <c r="U2966" s="12">
        <v>0.82341579594922876</v>
      </c>
      <c r="V2966" s="12">
        <v>302.58136184316999</v>
      </c>
      <c r="W2966" s="12">
        <v>10.193830826920189</v>
      </c>
      <c r="X2966" s="12">
        <v>98.449101603399882</v>
      </c>
      <c r="Y2966" s="12">
        <v>3786.0675682322362</v>
      </c>
      <c r="Z2966" s="12">
        <v>4.7035727452255216</v>
      </c>
      <c r="AA2966" s="12" t="s">
        <v>1268</v>
      </c>
      <c r="AB2966" s="12"/>
    </row>
    <row r="2967" spans="1:28" x14ac:dyDescent="0.3">
      <c r="A2967" s="12" t="s">
        <v>4887</v>
      </c>
      <c r="B2967" s="12" t="s">
        <v>198</v>
      </c>
      <c r="C2967" s="12" t="s">
        <v>509</v>
      </c>
      <c r="D2967" s="12" t="s">
        <v>4854</v>
      </c>
      <c r="E2967" s="12" t="s">
        <v>4403</v>
      </c>
      <c r="F2967" s="12" t="s">
        <v>832</v>
      </c>
      <c r="G2967" s="12" t="s">
        <v>832</v>
      </c>
      <c r="H2967" s="12" t="b">
        <v>0</v>
      </c>
      <c r="I2967" s="12" t="b">
        <v>0</v>
      </c>
      <c r="J2967" s="12" t="b">
        <v>0</v>
      </c>
      <c r="K2967" s="12" t="b">
        <v>0</v>
      </c>
      <c r="L2967" s="12">
        <v>623.15</v>
      </c>
      <c r="M2967" s="12">
        <v>303.55</v>
      </c>
      <c r="N2967" s="12">
        <v>4808.3419580395002</v>
      </c>
      <c r="O2967" s="12">
        <v>1022.274389807265</v>
      </c>
      <c r="P2967" s="12">
        <v>0.5</v>
      </c>
      <c r="Q2967" s="12">
        <v>0.92249167471066718</v>
      </c>
      <c r="R2967" s="12">
        <v>0.57606589946837905</v>
      </c>
      <c r="S2967" s="12">
        <v>0.46230215523492058</v>
      </c>
      <c r="T2967" s="12">
        <v>0.41011451006099681</v>
      </c>
      <c r="U2967" s="12">
        <v>0.87841579594922869</v>
      </c>
      <c r="V2967" s="12">
        <v>303.55</v>
      </c>
      <c r="W2967" s="12"/>
      <c r="X2967" s="12"/>
      <c r="Y2967" s="12">
        <v>3786.0675682322362</v>
      </c>
      <c r="Z2967" s="12">
        <v>4.7035727452255216</v>
      </c>
      <c r="AA2967" s="12"/>
      <c r="AB2967" s="12"/>
    </row>
    <row r="2968" spans="1:28" x14ac:dyDescent="0.3">
      <c r="A2968" s="12" t="s">
        <v>4888</v>
      </c>
      <c r="B2968" s="12" t="s">
        <v>198</v>
      </c>
      <c r="C2968" s="12" t="s">
        <v>509</v>
      </c>
      <c r="D2968" s="12" t="s">
        <v>4854</v>
      </c>
      <c r="E2968" s="12" t="s">
        <v>4403</v>
      </c>
      <c r="F2968" s="12" t="s">
        <v>32</v>
      </c>
      <c r="G2968" s="12" t="s">
        <v>32</v>
      </c>
      <c r="H2968" s="12" t="b">
        <v>1</v>
      </c>
      <c r="I2968" s="12" t="b">
        <v>0</v>
      </c>
      <c r="J2968" s="12" t="b">
        <v>1</v>
      </c>
      <c r="K2968" s="12" t="b">
        <v>0</v>
      </c>
      <c r="L2968" s="12">
        <v>623.15</v>
      </c>
      <c r="M2968" s="12">
        <v>300.04136184316991</v>
      </c>
      <c r="N2968" s="12">
        <v>4808.3419580395002</v>
      </c>
      <c r="O2968" s="12">
        <v>1022.274389807265</v>
      </c>
      <c r="P2968" s="12">
        <v>0.5</v>
      </c>
      <c r="Q2968" s="12">
        <v>0.92249167471066718</v>
      </c>
      <c r="R2968" s="12">
        <v>0.57606589946837905</v>
      </c>
      <c r="S2968" s="12">
        <v>0.46230215523492058</v>
      </c>
      <c r="T2968" s="12">
        <v>0.41011451006099681</v>
      </c>
      <c r="U2968" s="12">
        <v>0.87841579594922869</v>
      </c>
      <c r="V2968" s="12">
        <v>300.04136184316991</v>
      </c>
      <c r="W2968" s="12">
        <v>10.10457014052119</v>
      </c>
      <c r="X2968" s="12">
        <v>113.335495971239</v>
      </c>
      <c r="Y2968" s="12">
        <v>3786.0675682322362</v>
      </c>
      <c r="Z2968" s="12">
        <v>4.7035727452255216</v>
      </c>
      <c r="AA2968" s="12"/>
      <c r="AB2968" s="12"/>
    </row>
    <row r="2969" spans="1:28" x14ac:dyDescent="0.3">
      <c r="A2969" s="12" t="s">
        <v>4889</v>
      </c>
      <c r="B2969" s="12" t="s">
        <v>198</v>
      </c>
      <c r="C2969" s="12" t="s">
        <v>509</v>
      </c>
      <c r="D2969" s="12" t="s">
        <v>4854</v>
      </c>
      <c r="E2969" s="12" t="s">
        <v>4403</v>
      </c>
      <c r="F2969" s="12" t="s">
        <v>1861</v>
      </c>
      <c r="G2969" s="12" t="s">
        <v>1861</v>
      </c>
      <c r="H2969" s="12" t="b">
        <v>1</v>
      </c>
      <c r="I2969" s="12" t="b">
        <v>0</v>
      </c>
      <c r="J2969" s="12" t="b">
        <v>1</v>
      </c>
      <c r="K2969" s="12" t="b">
        <v>0</v>
      </c>
      <c r="L2969" s="12">
        <v>623.15</v>
      </c>
      <c r="M2969" s="12">
        <v>302.58136184316999</v>
      </c>
      <c r="N2969" s="12">
        <v>5000</v>
      </c>
      <c r="O2969" s="12">
        <v>1022.274389807265</v>
      </c>
      <c r="P2969" s="12">
        <v>0.5</v>
      </c>
      <c r="Q2969" s="12">
        <v>0.92249167471066718</v>
      </c>
      <c r="R2969" s="12">
        <v>0.57606589946837905</v>
      </c>
      <c r="S2969" s="12">
        <v>0.46230215523492058</v>
      </c>
      <c r="T2969" s="12">
        <v>0.41011451006099681</v>
      </c>
      <c r="U2969" s="12">
        <v>0.87841579594922869</v>
      </c>
      <c r="V2969" s="12">
        <v>302.58136184316999</v>
      </c>
      <c r="W2969" s="12">
        <v>10.35171943047159</v>
      </c>
      <c r="X2969" s="12">
        <v>115.4107585777296</v>
      </c>
      <c r="Y2969" s="12">
        <v>3977.725610192736</v>
      </c>
      <c r="Z2969" s="12">
        <v>4.8910547401492463</v>
      </c>
      <c r="AA2969" s="12" t="s">
        <v>3096</v>
      </c>
      <c r="AB2969" s="12"/>
    </row>
    <row r="2970" spans="1:28" x14ac:dyDescent="0.3">
      <c r="A2970" s="12" t="s">
        <v>4890</v>
      </c>
      <c r="B2970" s="12" t="s">
        <v>198</v>
      </c>
      <c r="C2970" s="12" t="s">
        <v>509</v>
      </c>
      <c r="D2970" s="12" t="s">
        <v>4854</v>
      </c>
      <c r="E2970" s="12" t="s">
        <v>4403</v>
      </c>
      <c r="F2970" s="12" t="s">
        <v>32</v>
      </c>
      <c r="G2970" s="12" t="s">
        <v>32</v>
      </c>
      <c r="H2970" s="12" t="b">
        <v>1</v>
      </c>
      <c r="I2970" s="12" t="b">
        <v>0</v>
      </c>
      <c r="J2970" s="12" t="b">
        <v>1</v>
      </c>
      <c r="K2970" s="12" t="b">
        <v>0</v>
      </c>
      <c r="L2970" s="12">
        <v>623.15</v>
      </c>
      <c r="M2970" s="12">
        <v>302.58136184316999</v>
      </c>
      <c r="N2970" s="12">
        <v>4508.3419580395002</v>
      </c>
      <c r="O2970" s="12">
        <v>1022.274389807265</v>
      </c>
      <c r="P2970" s="12">
        <v>0.5</v>
      </c>
      <c r="Q2970" s="12">
        <v>0.92249167471066718</v>
      </c>
      <c r="R2970" s="12">
        <v>0.57606589946837905</v>
      </c>
      <c r="S2970" s="12">
        <v>0.46230215523492058</v>
      </c>
      <c r="T2970" s="12">
        <v>0.41011451006099681</v>
      </c>
      <c r="U2970" s="12">
        <v>0.87841579594922869</v>
      </c>
      <c r="V2970" s="12">
        <v>302.58136184316999</v>
      </c>
      <c r="W2970" s="12">
        <v>9.9251989824260107</v>
      </c>
      <c r="X2970" s="12">
        <v>111.36643671600601</v>
      </c>
      <c r="Y2970" s="12">
        <v>3486.0675682322362</v>
      </c>
      <c r="Z2970" s="12">
        <v>4.4101094608165674</v>
      </c>
      <c r="AA2970" s="12"/>
      <c r="AB2970" s="12"/>
    </row>
    <row r="2971" spans="1:28" x14ac:dyDescent="0.3">
      <c r="A2971" s="12" t="s">
        <v>4891</v>
      </c>
      <c r="B2971" s="12" t="s">
        <v>198</v>
      </c>
      <c r="C2971" s="12" t="s">
        <v>509</v>
      </c>
      <c r="D2971" s="12" t="s">
        <v>4854</v>
      </c>
      <c r="E2971" s="12" t="s">
        <v>4403</v>
      </c>
      <c r="F2971" s="12" t="s">
        <v>32</v>
      </c>
      <c r="G2971" s="12" t="s">
        <v>32</v>
      </c>
      <c r="H2971" s="12" t="b">
        <v>1</v>
      </c>
      <c r="I2971" s="12" t="b">
        <v>0</v>
      </c>
      <c r="J2971" s="12" t="b">
        <v>1</v>
      </c>
      <c r="K2971" s="12" t="b">
        <v>0</v>
      </c>
      <c r="L2971" s="12">
        <v>623.15</v>
      </c>
      <c r="M2971" s="12">
        <v>302.58136184316999</v>
      </c>
      <c r="N2971" s="12">
        <v>4808.3419580395002</v>
      </c>
      <c r="O2971" s="12">
        <v>1242.274389807264</v>
      </c>
      <c r="P2971" s="12">
        <v>0.5</v>
      </c>
      <c r="Q2971" s="12">
        <v>0.92249167471066718</v>
      </c>
      <c r="R2971" s="12">
        <v>0.57606589946837905</v>
      </c>
      <c r="S2971" s="12">
        <v>0.46230215523492058</v>
      </c>
      <c r="T2971" s="12">
        <v>0.41011451006099681</v>
      </c>
      <c r="U2971" s="12">
        <v>0.87841579594922869</v>
      </c>
      <c r="V2971" s="12">
        <v>302.58136184316999</v>
      </c>
      <c r="W2971" s="12">
        <v>8.961042687563161</v>
      </c>
      <c r="X2971" s="12">
        <v>100.1077514027202</v>
      </c>
      <c r="Y2971" s="12">
        <v>3566.0675682322362</v>
      </c>
      <c r="Z2971" s="12">
        <v>3.870595737537101</v>
      </c>
      <c r="AA2971" s="12"/>
      <c r="AB2971" s="12"/>
    </row>
    <row r="2972" spans="1:28" x14ac:dyDescent="0.3">
      <c r="A2972" s="12" t="s">
        <v>4892</v>
      </c>
      <c r="B2972" s="12" t="s">
        <v>198</v>
      </c>
      <c r="C2972" s="12" t="s">
        <v>509</v>
      </c>
      <c r="D2972" s="12" t="s">
        <v>4854</v>
      </c>
      <c r="E2972" s="12" t="s">
        <v>4403</v>
      </c>
      <c r="F2972" s="12" t="s">
        <v>1861</v>
      </c>
      <c r="G2972" s="12" t="s">
        <v>1861</v>
      </c>
      <c r="H2972" s="12" t="b">
        <v>1</v>
      </c>
      <c r="I2972" s="12" t="b">
        <v>0</v>
      </c>
      <c r="J2972" s="12" t="b">
        <v>1</v>
      </c>
      <c r="K2972" s="12" t="b">
        <v>0</v>
      </c>
      <c r="L2972" s="12">
        <v>623.15</v>
      </c>
      <c r="M2972" s="12">
        <v>302.58136184316999</v>
      </c>
      <c r="N2972" s="12">
        <v>4808.3419580395002</v>
      </c>
      <c r="O2972" s="12">
        <v>802.27438980726458</v>
      </c>
      <c r="P2972" s="12">
        <v>0.5</v>
      </c>
      <c r="Q2972" s="12">
        <v>0.92249167471066718</v>
      </c>
      <c r="R2972" s="12">
        <v>0.57606589946837905</v>
      </c>
      <c r="S2972" s="12">
        <v>0.46230215523492058</v>
      </c>
      <c r="T2972" s="12">
        <v>0.41011451006099681</v>
      </c>
      <c r="U2972" s="12">
        <v>0.87841579594922869</v>
      </c>
      <c r="V2972" s="12">
        <v>302.58136184316999</v>
      </c>
      <c r="W2972" s="12">
        <v>11.69007371301246</v>
      </c>
      <c r="X2972" s="12">
        <v>130.7310774820628</v>
      </c>
      <c r="Y2972" s="12">
        <v>4006.0675682322362</v>
      </c>
      <c r="Z2972" s="12">
        <v>5.9933883209142929</v>
      </c>
      <c r="AA2972" s="12" t="s">
        <v>1981</v>
      </c>
      <c r="AB2972" s="12"/>
    </row>
    <row r="2973" spans="1:28" x14ac:dyDescent="0.3">
      <c r="A2973" s="12" t="s">
        <v>4893</v>
      </c>
      <c r="B2973" s="12" t="s">
        <v>198</v>
      </c>
      <c r="C2973" s="12" t="s">
        <v>509</v>
      </c>
      <c r="D2973" s="12" t="s">
        <v>4854</v>
      </c>
      <c r="E2973" s="12" t="s">
        <v>4403</v>
      </c>
      <c r="F2973" s="12" t="s">
        <v>1861</v>
      </c>
      <c r="G2973" s="12" t="s">
        <v>1861</v>
      </c>
      <c r="H2973" s="12" t="b">
        <v>1</v>
      </c>
      <c r="I2973" s="12" t="b">
        <v>0</v>
      </c>
      <c r="J2973" s="12" t="b">
        <v>1</v>
      </c>
      <c r="K2973" s="12" t="b">
        <v>0</v>
      </c>
      <c r="L2973" s="12">
        <v>623.15</v>
      </c>
      <c r="M2973" s="12">
        <v>302.58136184316999</v>
      </c>
      <c r="N2973" s="12">
        <v>4808.3419580395002</v>
      </c>
      <c r="O2973" s="12">
        <v>1022.274389807265</v>
      </c>
      <c r="P2973" s="12">
        <v>0.5</v>
      </c>
      <c r="Q2973" s="12">
        <v>0.95</v>
      </c>
      <c r="R2973" s="12">
        <v>0.57606589946837905</v>
      </c>
      <c r="S2973" s="12">
        <v>0.46230215523492058</v>
      </c>
      <c r="T2973" s="12">
        <v>0.41011451006099681</v>
      </c>
      <c r="U2973" s="12">
        <v>0.87841579594922869</v>
      </c>
      <c r="V2973" s="12">
        <v>302.58136184316999</v>
      </c>
      <c r="W2973" s="12">
        <v>10.51908192999232</v>
      </c>
      <c r="X2973" s="12">
        <v>117.5881996518267</v>
      </c>
      <c r="Y2973" s="12">
        <v>3786.0675682322362</v>
      </c>
      <c r="Z2973" s="12">
        <v>4.7035727452255216</v>
      </c>
      <c r="AA2973" s="12" t="s">
        <v>3096</v>
      </c>
      <c r="AB2973" s="12"/>
    </row>
    <row r="2974" spans="1:28" x14ac:dyDescent="0.3">
      <c r="A2974" s="12" t="s">
        <v>4894</v>
      </c>
      <c r="B2974" s="12" t="s">
        <v>198</v>
      </c>
      <c r="C2974" s="12" t="s">
        <v>509</v>
      </c>
      <c r="D2974" s="12" t="s">
        <v>4854</v>
      </c>
      <c r="E2974" s="12" t="s">
        <v>4403</v>
      </c>
      <c r="F2974" s="12" t="s">
        <v>32</v>
      </c>
      <c r="G2974" s="12" t="s">
        <v>32</v>
      </c>
      <c r="H2974" s="12" t="b">
        <v>1</v>
      </c>
      <c r="I2974" s="12" t="b">
        <v>0</v>
      </c>
      <c r="J2974" s="12" t="b">
        <v>1</v>
      </c>
      <c r="K2974" s="12" t="b">
        <v>0</v>
      </c>
      <c r="L2974" s="12">
        <v>623.15</v>
      </c>
      <c r="M2974" s="12">
        <v>302.58136184316999</v>
      </c>
      <c r="N2974" s="12">
        <v>4808.3419580395002</v>
      </c>
      <c r="O2974" s="12">
        <v>1022.274389807265</v>
      </c>
      <c r="P2974" s="12">
        <v>0.5</v>
      </c>
      <c r="Q2974" s="12">
        <v>0.86749167471066713</v>
      </c>
      <c r="R2974" s="12">
        <v>0.57606589946837905</v>
      </c>
      <c r="S2974" s="12">
        <v>0.46230215523492058</v>
      </c>
      <c r="T2974" s="12">
        <v>0.41011451006099681</v>
      </c>
      <c r="U2974" s="12">
        <v>0.87841579594922869</v>
      </c>
      <c r="V2974" s="12">
        <v>302.58136184316999</v>
      </c>
      <c r="W2974" s="12">
        <v>9.5520775197653194</v>
      </c>
      <c r="X2974" s="12">
        <v>106.73005128743711</v>
      </c>
      <c r="Y2974" s="12">
        <v>3786.0675682322362</v>
      </c>
      <c r="Z2974" s="12">
        <v>4.7035727452255216</v>
      </c>
      <c r="AA2974" s="12"/>
      <c r="AB2974" s="12"/>
    </row>
    <row r="2975" spans="1:28" x14ac:dyDescent="0.3">
      <c r="A2975" s="12" t="s">
        <v>4895</v>
      </c>
      <c r="B2975" s="12" t="s">
        <v>198</v>
      </c>
      <c r="C2975" s="12" t="s">
        <v>509</v>
      </c>
      <c r="D2975" s="12" t="s">
        <v>4854</v>
      </c>
      <c r="E2975" s="12" t="s">
        <v>4403</v>
      </c>
      <c r="F2975" s="12" t="s">
        <v>32</v>
      </c>
      <c r="G2975" s="12" t="s">
        <v>32</v>
      </c>
      <c r="H2975" s="12" t="b">
        <v>1</v>
      </c>
      <c r="I2975" s="12" t="b">
        <v>0</v>
      </c>
      <c r="J2975" s="12" t="b">
        <v>1</v>
      </c>
      <c r="K2975" s="12" t="b">
        <v>0</v>
      </c>
      <c r="L2975" s="12">
        <v>623.15</v>
      </c>
      <c r="M2975" s="12">
        <v>302.58136184316999</v>
      </c>
      <c r="N2975" s="12">
        <v>4808.3419580395002</v>
      </c>
      <c r="O2975" s="12">
        <v>1022.274389807265</v>
      </c>
      <c r="P2975" s="12">
        <v>0.5</v>
      </c>
      <c r="Q2975" s="12">
        <v>0.92249167471066718</v>
      </c>
      <c r="R2975" s="12">
        <v>0.6310658994683791</v>
      </c>
      <c r="S2975" s="12">
        <v>0.46230215523492058</v>
      </c>
      <c r="T2975" s="12">
        <v>0.41011451006099681</v>
      </c>
      <c r="U2975" s="12">
        <v>0.87841579594922869</v>
      </c>
      <c r="V2975" s="12">
        <v>302.58136184316999</v>
      </c>
      <c r="W2975" s="12">
        <v>10.25512041604304</v>
      </c>
      <c r="X2975" s="12">
        <v>114.6484250746504</v>
      </c>
      <c r="Y2975" s="12">
        <v>3786.0675682322362</v>
      </c>
      <c r="Z2975" s="12">
        <v>4.7035727452255216</v>
      </c>
      <c r="AA2975" s="12"/>
      <c r="AB2975" s="12"/>
    </row>
    <row r="2976" spans="1:28" x14ac:dyDescent="0.3">
      <c r="A2976" s="12" t="s">
        <v>4896</v>
      </c>
      <c r="B2976" s="12" t="s">
        <v>198</v>
      </c>
      <c r="C2976" s="12" t="s">
        <v>509</v>
      </c>
      <c r="D2976" s="12" t="s">
        <v>4854</v>
      </c>
      <c r="E2976" s="12" t="s">
        <v>4403</v>
      </c>
      <c r="F2976" s="12" t="s">
        <v>32</v>
      </c>
      <c r="G2976" s="12" t="s">
        <v>32</v>
      </c>
      <c r="H2976" s="12" t="b">
        <v>1</v>
      </c>
      <c r="I2976" s="12" t="b">
        <v>0</v>
      </c>
      <c r="J2976" s="12" t="b">
        <v>1</v>
      </c>
      <c r="K2976" s="12" t="b">
        <v>0</v>
      </c>
      <c r="L2976" s="12">
        <v>623.15</v>
      </c>
      <c r="M2976" s="12">
        <v>302.58136184316999</v>
      </c>
      <c r="N2976" s="12">
        <v>4808.3419580395002</v>
      </c>
      <c r="O2976" s="12">
        <v>1022.274389807265</v>
      </c>
      <c r="P2976" s="12">
        <v>0.5</v>
      </c>
      <c r="Q2976" s="12">
        <v>0.92249167471066718</v>
      </c>
      <c r="R2976" s="12">
        <v>0.521065899468379</v>
      </c>
      <c r="S2976" s="12">
        <v>0.46230215523492058</v>
      </c>
      <c r="T2976" s="12">
        <v>0.41011451006099681</v>
      </c>
      <c r="U2976" s="12">
        <v>0.87841579594922869</v>
      </c>
      <c r="V2976" s="12">
        <v>302.58136184316999</v>
      </c>
      <c r="W2976" s="12">
        <v>10.12641227869155</v>
      </c>
      <c r="X2976" s="12">
        <v>113.1478058871937</v>
      </c>
      <c r="Y2976" s="12">
        <v>3786.0675682322362</v>
      </c>
      <c r="Z2976" s="12">
        <v>4.7035727452255216</v>
      </c>
      <c r="AA2976" s="12"/>
      <c r="AB2976" s="12"/>
    </row>
    <row r="2977" spans="1:28" x14ac:dyDescent="0.3">
      <c r="A2977" s="12" t="s">
        <v>4897</v>
      </c>
      <c r="B2977" s="12" t="s">
        <v>198</v>
      </c>
      <c r="C2977" s="12" t="s">
        <v>509</v>
      </c>
      <c r="D2977" s="12" t="s">
        <v>4854</v>
      </c>
      <c r="E2977" s="12" t="s">
        <v>4403</v>
      </c>
      <c r="F2977" s="12" t="s">
        <v>1861</v>
      </c>
      <c r="G2977" s="12" t="s">
        <v>1861</v>
      </c>
      <c r="H2977" s="12" t="b">
        <v>1</v>
      </c>
      <c r="I2977" s="12" t="b">
        <v>0</v>
      </c>
      <c r="J2977" s="12" t="b">
        <v>1</v>
      </c>
      <c r="K2977" s="12" t="b">
        <v>0</v>
      </c>
      <c r="L2977" s="12">
        <v>623.15</v>
      </c>
      <c r="M2977" s="12">
        <v>302.58136184316999</v>
      </c>
      <c r="N2977" s="12">
        <v>4808.3419580395002</v>
      </c>
      <c r="O2977" s="12">
        <v>1022.274389807265</v>
      </c>
      <c r="P2977" s="12">
        <v>0.5</v>
      </c>
      <c r="Q2977" s="12">
        <v>0.92249167471066718</v>
      </c>
      <c r="R2977" s="12">
        <v>0.57606589946837905</v>
      </c>
      <c r="S2977" s="12">
        <v>0.51730215523492062</v>
      </c>
      <c r="T2977" s="12">
        <v>0.41011451006099681</v>
      </c>
      <c r="U2977" s="12">
        <v>0.87841579594922869</v>
      </c>
      <c r="V2977" s="12">
        <v>302.58136184316999</v>
      </c>
      <c r="W2977" s="12">
        <v>10.638260364802839</v>
      </c>
      <c r="X2977" s="12">
        <v>133.09824546424159</v>
      </c>
      <c r="Y2977" s="12">
        <v>3786.0675682322362</v>
      </c>
      <c r="Z2977" s="12">
        <v>4.7035727452255216</v>
      </c>
      <c r="AA2977" s="12" t="s">
        <v>3096</v>
      </c>
      <c r="AB2977" s="12"/>
    </row>
    <row r="2978" spans="1:28" x14ac:dyDescent="0.3">
      <c r="A2978" s="12" t="s">
        <v>4898</v>
      </c>
      <c r="B2978" s="12" t="s">
        <v>198</v>
      </c>
      <c r="C2978" s="12" t="s">
        <v>509</v>
      </c>
      <c r="D2978" s="12" t="s">
        <v>4854</v>
      </c>
      <c r="E2978" s="12" t="s">
        <v>4403</v>
      </c>
      <c r="F2978" s="12" t="s">
        <v>32</v>
      </c>
      <c r="G2978" s="12" t="s">
        <v>32</v>
      </c>
      <c r="H2978" s="12" t="b">
        <v>1</v>
      </c>
      <c r="I2978" s="12" t="b">
        <v>0</v>
      </c>
      <c r="J2978" s="12" t="b">
        <v>1</v>
      </c>
      <c r="K2978" s="12" t="b">
        <v>0</v>
      </c>
      <c r="L2978" s="12">
        <v>623.15</v>
      </c>
      <c r="M2978" s="12">
        <v>302.58136184316999</v>
      </c>
      <c r="N2978" s="12">
        <v>4808.3419580395002</v>
      </c>
      <c r="O2978" s="12">
        <v>1022.274389807265</v>
      </c>
      <c r="P2978" s="12">
        <v>0.5</v>
      </c>
      <c r="Q2978" s="12">
        <v>0.92249167471066718</v>
      </c>
      <c r="R2978" s="12">
        <v>0.57606589946837905</v>
      </c>
      <c r="S2978" s="12">
        <v>0.40730215523492058</v>
      </c>
      <c r="T2978" s="12">
        <v>0.41011451006099681</v>
      </c>
      <c r="U2978" s="12">
        <v>0.87841579594922869</v>
      </c>
      <c r="V2978" s="12">
        <v>302.58136184316999</v>
      </c>
      <c r="W2978" s="12">
        <v>9.6341067266773006</v>
      </c>
      <c r="X2978" s="12">
        <v>94.889056683385078</v>
      </c>
      <c r="Y2978" s="12">
        <v>3786.0675682322362</v>
      </c>
      <c r="Z2978" s="12">
        <v>4.7035727452255216</v>
      </c>
      <c r="AA2978" s="12"/>
      <c r="AB2978" s="12"/>
    </row>
    <row r="2979" spans="1:28" x14ac:dyDescent="0.3">
      <c r="A2979" s="12" t="s">
        <v>4899</v>
      </c>
      <c r="B2979" s="12" t="s">
        <v>198</v>
      </c>
      <c r="C2979" s="12" t="s">
        <v>509</v>
      </c>
      <c r="D2979" s="12" t="s">
        <v>4854</v>
      </c>
      <c r="E2979" s="12" t="s">
        <v>4403</v>
      </c>
      <c r="F2979" s="12" t="s">
        <v>32</v>
      </c>
      <c r="G2979" s="12" t="s">
        <v>32</v>
      </c>
      <c r="H2979" s="12" t="b">
        <v>1</v>
      </c>
      <c r="I2979" s="12" t="b">
        <v>0</v>
      </c>
      <c r="J2979" s="12" t="b">
        <v>1</v>
      </c>
      <c r="K2979" s="12" t="b">
        <v>0</v>
      </c>
      <c r="L2979" s="12">
        <v>623.15</v>
      </c>
      <c r="M2979" s="12">
        <v>302.58136184316999</v>
      </c>
      <c r="N2979" s="12">
        <v>4808.3419580395002</v>
      </c>
      <c r="O2979" s="12">
        <v>1022.274389807265</v>
      </c>
      <c r="P2979" s="12">
        <v>0.5</v>
      </c>
      <c r="Q2979" s="12">
        <v>0.92249167471066718</v>
      </c>
      <c r="R2979" s="12">
        <v>0.57606589946837905</v>
      </c>
      <c r="S2979" s="12">
        <v>0.46230215523492058</v>
      </c>
      <c r="T2979" s="12">
        <v>0.4651145100609968</v>
      </c>
      <c r="U2979" s="12">
        <v>0.87841579594922869</v>
      </c>
      <c r="V2979" s="12">
        <v>302.58136184316999</v>
      </c>
      <c r="W2979" s="12">
        <v>10.375298602486451</v>
      </c>
      <c r="X2979" s="12">
        <v>115.20194159219351</v>
      </c>
      <c r="Y2979" s="12">
        <v>3786.0675682322362</v>
      </c>
      <c r="Z2979" s="12">
        <v>4.7035727452255216</v>
      </c>
      <c r="AA2979" s="12"/>
      <c r="AB2979" s="12"/>
    </row>
    <row r="2980" spans="1:28" x14ac:dyDescent="0.3">
      <c r="A2980" s="12" t="s">
        <v>4900</v>
      </c>
      <c r="B2980" s="12" t="s">
        <v>198</v>
      </c>
      <c r="C2980" s="12" t="s">
        <v>509</v>
      </c>
      <c r="D2980" s="12" t="s">
        <v>4854</v>
      </c>
      <c r="E2980" s="12" t="s">
        <v>4403</v>
      </c>
      <c r="F2980" s="12" t="s">
        <v>32</v>
      </c>
      <c r="G2980" s="12" t="s">
        <v>32</v>
      </c>
      <c r="H2980" s="12" t="b">
        <v>1</v>
      </c>
      <c r="I2980" s="12" t="b">
        <v>0</v>
      </c>
      <c r="J2980" s="12" t="b">
        <v>1</v>
      </c>
      <c r="K2980" s="12" t="b">
        <v>0</v>
      </c>
      <c r="L2980" s="12">
        <v>623.15</v>
      </c>
      <c r="M2980" s="12">
        <v>302.58136184316999</v>
      </c>
      <c r="N2980" s="12">
        <v>4808.3419580395002</v>
      </c>
      <c r="O2980" s="12">
        <v>1022.274389807265</v>
      </c>
      <c r="P2980" s="12">
        <v>0.5</v>
      </c>
      <c r="Q2980" s="12">
        <v>0.92249167471066718</v>
      </c>
      <c r="R2980" s="12">
        <v>0.57606589946837905</v>
      </c>
      <c r="S2980" s="12">
        <v>0.46230215523492058</v>
      </c>
      <c r="T2980" s="12">
        <v>0.4</v>
      </c>
      <c r="U2980" s="12">
        <v>0.87841579594922869</v>
      </c>
      <c r="V2980" s="12">
        <v>302.58136184316999</v>
      </c>
      <c r="W2980" s="12">
        <v>10.16419401357318</v>
      </c>
      <c r="X2980" s="12">
        <v>113.74188597987261</v>
      </c>
      <c r="Y2980" s="12">
        <v>3786.0675682322362</v>
      </c>
      <c r="Z2980" s="12">
        <v>4.7035727452255216</v>
      </c>
      <c r="AA2980" s="12"/>
      <c r="AB2980" s="12"/>
    </row>
    <row r="2981" spans="1:28" x14ac:dyDescent="0.3">
      <c r="A2981" s="12" t="s">
        <v>4901</v>
      </c>
      <c r="B2981" s="12" t="s">
        <v>198</v>
      </c>
      <c r="C2981" s="12" t="s">
        <v>509</v>
      </c>
      <c r="D2981" s="12" t="s">
        <v>4854</v>
      </c>
      <c r="E2981" s="12" t="s">
        <v>4403</v>
      </c>
      <c r="F2981" s="12" t="s">
        <v>32</v>
      </c>
      <c r="G2981" s="12" t="s">
        <v>32</v>
      </c>
      <c r="H2981" s="12" t="b">
        <v>1</v>
      </c>
      <c r="I2981" s="12" t="b">
        <v>0</v>
      </c>
      <c r="J2981" s="12" t="b">
        <v>1</v>
      </c>
      <c r="K2981" s="12" t="b">
        <v>0</v>
      </c>
      <c r="L2981" s="12">
        <v>623.15</v>
      </c>
      <c r="M2981" s="12">
        <v>302.58136184316999</v>
      </c>
      <c r="N2981" s="12">
        <v>4808.3419580395002</v>
      </c>
      <c r="O2981" s="12">
        <v>1022.274389807265</v>
      </c>
      <c r="P2981" s="12">
        <v>0.5</v>
      </c>
      <c r="Q2981" s="12">
        <v>0.92249167471066718</v>
      </c>
      <c r="R2981" s="12">
        <v>0.57606589946837905</v>
      </c>
      <c r="S2981" s="12">
        <v>0.46230215523492058</v>
      </c>
      <c r="T2981" s="12">
        <v>0.41011451006099681</v>
      </c>
      <c r="U2981" s="12">
        <v>0.93341579594922863</v>
      </c>
      <c r="V2981" s="12">
        <v>302.58136184316999</v>
      </c>
      <c r="W2981" s="12">
        <v>9.6664953824093907</v>
      </c>
      <c r="X2981" s="12">
        <v>110.26489858123369</v>
      </c>
      <c r="Y2981" s="12">
        <v>3786.0675682322362</v>
      </c>
      <c r="Z2981" s="12">
        <v>4.7035727452255216</v>
      </c>
      <c r="AA2981" s="12"/>
      <c r="AB2981" s="12"/>
    </row>
    <row r="2982" spans="1:28" x14ac:dyDescent="0.3">
      <c r="A2982" s="12" t="s">
        <v>4902</v>
      </c>
      <c r="B2982" s="12" t="s">
        <v>198</v>
      </c>
      <c r="C2982" s="12" t="s">
        <v>509</v>
      </c>
      <c r="D2982" s="12" t="s">
        <v>4854</v>
      </c>
      <c r="E2982" s="12" t="s">
        <v>4403</v>
      </c>
      <c r="F2982" s="12" t="s">
        <v>1861</v>
      </c>
      <c r="G2982" s="12" t="s">
        <v>1861</v>
      </c>
      <c r="H2982" s="12" t="b">
        <v>1</v>
      </c>
      <c r="I2982" s="12" t="b">
        <v>0</v>
      </c>
      <c r="J2982" s="12" t="b">
        <v>1</v>
      </c>
      <c r="K2982" s="12" t="b">
        <v>0</v>
      </c>
      <c r="L2982" s="12">
        <v>623.15</v>
      </c>
      <c r="M2982" s="12">
        <v>302.58136184316999</v>
      </c>
      <c r="N2982" s="12">
        <v>4808.3419580395002</v>
      </c>
      <c r="O2982" s="12">
        <v>1022.274389807265</v>
      </c>
      <c r="P2982" s="12">
        <v>0.5</v>
      </c>
      <c r="Q2982" s="12">
        <v>0.92249167471066718</v>
      </c>
      <c r="R2982" s="12">
        <v>0.57606589946837905</v>
      </c>
      <c r="S2982" s="12">
        <v>0.46230215523492058</v>
      </c>
      <c r="T2982" s="12">
        <v>0.41011451006099681</v>
      </c>
      <c r="U2982" s="12">
        <v>0.82341579594922876</v>
      </c>
      <c r="V2982" s="12">
        <v>302.58136184316999</v>
      </c>
      <c r="W2982" s="12">
        <v>10.71624557300974</v>
      </c>
      <c r="X2982" s="12">
        <v>117.0541447212339</v>
      </c>
      <c r="Y2982" s="12">
        <v>3786.0675682322362</v>
      </c>
      <c r="Z2982" s="12">
        <v>4.7035727452255216</v>
      </c>
      <c r="AA2982" s="12" t="s">
        <v>1268</v>
      </c>
      <c r="AB2982" s="12"/>
    </row>
    <row r="2983" spans="1:28" x14ac:dyDescent="0.3">
      <c r="A2983" s="12" t="s">
        <v>4903</v>
      </c>
      <c r="B2983" s="12" t="s">
        <v>198</v>
      </c>
      <c r="C2983" s="12" t="s">
        <v>509</v>
      </c>
      <c r="D2983" s="12" t="s">
        <v>4854</v>
      </c>
      <c r="E2983" s="12" t="s">
        <v>4403</v>
      </c>
      <c r="F2983" s="12" t="s">
        <v>32</v>
      </c>
      <c r="G2983" s="12" t="s">
        <v>32</v>
      </c>
      <c r="H2983" s="12" t="b">
        <v>1</v>
      </c>
      <c r="I2983" s="12" t="b">
        <v>0</v>
      </c>
      <c r="J2983" s="12" t="b">
        <v>1</v>
      </c>
      <c r="K2983" s="12" t="b">
        <v>0</v>
      </c>
      <c r="L2983" s="12">
        <v>623.15</v>
      </c>
      <c r="M2983" s="12">
        <v>303.55</v>
      </c>
      <c r="N2983" s="12">
        <v>4808.3419580395002</v>
      </c>
      <c r="O2983" s="12">
        <v>1022.274389807265</v>
      </c>
      <c r="P2983" s="12">
        <v>0.5</v>
      </c>
      <c r="Q2983" s="12">
        <v>0.92249167471066718</v>
      </c>
      <c r="R2983" s="12">
        <v>0.57606589946837905</v>
      </c>
      <c r="S2983" s="12">
        <v>0.46230215523492058</v>
      </c>
      <c r="T2983" s="12">
        <v>0.4651145100609968</v>
      </c>
      <c r="U2983" s="12">
        <v>0.87841579594922869</v>
      </c>
      <c r="V2983" s="12">
        <v>303.55</v>
      </c>
      <c r="W2983" s="12">
        <v>10.409981214588081</v>
      </c>
      <c r="X2983" s="12">
        <v>115.43573947539289</v>
      </c>
      <c r="Y2983" s="12">
        <v>3786.0675682322362</v>
      </c>
      <c r="Z2983" s="12">
        <v>4.7035727452255216</v>
      </c>
      <c r="AA2983" s="12"/>
      <c r="AB2983" s="12"/>
    </row>
    <row r="2984" spans="1:28" x14ac:dyDescent="0.3">
      <c r="A2984" s="12" t="s">
        <v>4904</v>
      </c>
      <c r="B2984" s="12" t="s">
        <v>198</v>
      </c>
      <c r="C2984" s="12" t="s">
        <v>509</v>
      </c>
      <c r="D2984" s="12" t="s">
        <v>4854</v>
      </c>
      <c r="E2984" s="12" t="s">
        <v>4403</v>
      </c>
      <c r="F2984" s="12" t="s">
        <v>32</v>
      </c>
      <c r="G2984" s="12" t="s">
        <v>32</v>
      </c>
      <c r="H2984" s="12" t="b">
        <v>1</v>
      </c>
      <c r="I2984" s="12" t="b">
        <v>0</v>
      </c>
      <c r="J2984" s="12" t="b">
        <v>1</v>
      </c>
      <c r="K2984" s="12" t="b">
        <v>0</v>
      </c>
      <c r="L2984" s="12">
        <v>623.15</v>
      </c>
      <c r="M2984" s="12">
        <v>300.04136184316991</v>
      </c>
      <c r="N2984" s="12">
        <v>4808.3419580395002</v>
      </c>
      <c r="O2984" s="12">
        <v>1022.274389807265</v>
      </c>
      <c r="P2984" s="12">
        <v>0.5</v>
      </c>
      <c r="Q2984" s="12">
        <v>0.92249167471066718</v>
      </c>
      <c r="R2984" s="12">
        <v>0.57606589946837905</v>
      </c>
      <c r="S2984" s="12">
        <v>0.46230215523492058</v>
      </c>
      <c r="T2984" s="12">
        <v>0.4651145100609968</v>
      </c>
      <c r="U2984" s="12">
        <v>0.87841579594922869</v>
      </c>
      <c r="V2984" s="12">
        <v>300.04136184316991</v>
      </c>
      <c r="W2984" s="12">
        <v>10.285067084056999</v>
      </c>
      <c r="X2984" s="12">
        <v>114.5907886152842</v>
      </c>
      <c r="Y2984" s="12">
        <v>3786.0675682322362</v>
      </c>
      <c r="Z2984" s="12">
        <v>4.7035727452255216</v>
      </c>
      <c r="AA2984" s="12"/>
      <c r="AB2984" s="12"/>
    </row>
    <row r="2985" spans="1:28" x14ac:dyDescent="0.3">
      <c r="A2985" s="12" t="s">
        <v>4905</v>
      </c>
      <c r="B2985" s="12" t="s">
        <v>198</v>
      </c>
      <c r="C2985" s="12" t="s">
        <v>509</v>
      </c>
      <c r="D2985" s="12" t="s">
        <v>4854</v>
      </c>
      <c r="E2985" s="12" t="s">
        <v>4403</v>
      </c>
      <c r="F2985" s="12" t="s">
        <v>1861</v>
      </c>
      <c r="G2985" s="12" t="s">
        <v>1861</v>
      </c>
      <c r="H2985" s="12" t="b">
        <v>1</v>
      </c>
      <c r="I2985" s="12" t="b">
        <v>0</v>
      </c>
      <c r="J2985" s="12" t="b">
        <v>1</v>
      </c>
      <c r="K2985" s="12" t="b">
        <v>0</v>
      </c>
      <c r="L2985" s="12">
        <v>623.15</v>
      </c>
      <c r="M2985" s="12">
        <v>302.58136184316999</v>
      </c>
      <c r="N2985" s="12">
        <v>5000</v>
      </c>
      <c r="O2985" s="12">
        <v>1022.274389807265</v>
      </c>
      <c r="P2985" s="12">
        <v>0.5</v>
      </c>
      <c r="Q2985" s="12">
        <v>0.92249167471066718</v>
      </c>
      <c r="R2985" s="12">
        <v>0.57606589946837905</v>
      </c>
      <c r="S2985" s="12">
        <v>0.46230215523492058</v>
      </c>
      <c r="T2985" s="12">
        <v>0.4651145100609968</v>
      </c>
      <c r="U2985" s="12">
        <v>0.87841579594922869</v>
      </c>
      <c r="V2985" s="12">
        <v>302.58136184316999</v>
      </c>
      <c r="W2985" s="12">
        <v>10.53889730789731</v>
      </c>
      <c r="X2985" s="12">
        <v>116.7076008271446</v>
      </c>
      <c r="Y2985" s="12">
        <v>3977.725610192736</v>
      </c>
      <c r="Z2985" s="12">
        <v>4.8910547401492463</v>
      </c>
      <c r="AA2985" s="12" t="s">
        <v>3096</v>
      </c>
      <c r="AB2985" s="12"/>
    </row>
    <row r="2986" spans="1:28" x14ac:dyDescent="0.3">
      <c r="A2986" s="12" t="s">
        <v>4906</v>
      </c>
      <c r="B2986" s="12" t="s">
        <v>198</v>
      </c>
      <c r="C2986" s="12" t="s">
        <v>509</v>
      </c>
      <c r="D2986" s="12" t="s">
        <v>4854</v>
      </c>
      <c r="E2986" s="12" t="s">
        <v>4403</v>
      </c>
      <c r="F2986" s="12" t="s">
        <v>32</v>
      </c>
      <c r="G2986" s="12" t="s">
        <v>32</v>
      </c>
      <c r="H2986" s="12" t="b">
        <v>1</v>
      </c>
      <c r="I2986" s="12" t="b">
        <v>0</v>
      </c>
      <c r="J2986" s="12" t="b">
        <v>1</v>
      </c>
      <c r="K2986" s="12" t="b">
        <v>0</v>
      </c>
      <c r="L2986" s="12">
        <v>623.15</v>
      </c>
      <c r="M2986" s="12">
        <v>302.58136184316999</v>
      </c>
      <c r="N2986" s="12">
        <v>4508.3419580395002</v>
      </c>
      <c r="O2986" s="12">
        <v>1022.274389807265</v>
      </c>
      <c r="P2986" s="12">
        <v>0.5</v>
      </c>
      <c r="Q2986" s="12">
        <v>0.92249167471066718</v>
      </c>
      <c r="R2986" s="12">
        <v>0.57606589946837905</v>
      </c>
      <c r="S2986" s="12">
        <v>0.46230215523492058</v>
      </c>
      <c r="T2986" s="12">
        <v>0.4651145100609968</v>
      </c>
      <c r="U2986" s="12">
        <v>0.87841579594922869</v>
      </c>
      <c r="V2986" s="12">
        <v>302.58136184316999</v>
      </c>
      <c r="W2986" s="12">
        <v>10.08978238399011</v>
      </c>
      <c r="X2986" s="12">
        <v>112.4979979861485</v>
      </c>
      <c r="Y2986" s="12">
        <v>3486.0675682322362</v>
      </c>
      <c r="Z2986" s="12">
        <v>4.4101094608165674</v>
      </c>
      <c r="AA2986" s="12"/>
      <c r="AB2986" s="12"/>
    </row>
    <row r="2987" spans="1:28" x14ac:dyDescent="0.3">
      <c r="A2987" s="12" t="s">
        <v>4907</v>
      </c>
      <c r="B2987" s="12" t="s">
        <v>198</v>
      </c>
      <c r="C2987" s="12" t="s">
        <v>509</v>
      </c>
      <c r="D2987" s="12" t="s">
        <v>4854</v>
      </c>
      <c r="E2987" s="12" t="s">
        <v>4403</v>
      </c>
      <c r="F2987" s="12" t="s">
        <v>32</v>
      </c>
      <c r="G2987" s="12" t="s">
        <v>32</v>
      </c>
      <c r="H2987" s="12" t="b">
        <v>1</v>
      </c>
      <c r="I2987" s="12" t="b">
        <v>0</v>
      </c>
      <c r="J2987" s="12" t="b">
        <v>1</v>
      </c>
      <c r="K2987" s="12" t="b">
        <v>0</v>
      </c>
      <c r="L2987" s="12">
        <v>623.15</v>
      </c>
      <c r="M2987" s="12">
        <v>302.58136184316999</v>
      </c>
      <c r="N2987" s="12">
        <v>4808.3419580395002</v>
      </c>
      <c r="O2987" s="12">
        <v>1242.274389807264</v>
      </c>
      <c r="P2987" s="12">
        <v>0.5</v>
      </c>
      <c r="Q2987" s="12">
        <v>0.92249167471066718</v>
      </c>
      <c r="R2987" s="12">
        <v>0.57606589946837905</v>
      </c>
      <c r="S2987" s="12">
        <v>0.46230215523492058</v>
      </c>
      <c r="T2987" s="12">
        <v>0.4651145100609968</v>
      </c>
      <c r="U2987" s="12">
        <v>0.87841579594922869</v>
      </c>
      <c r="V2987" s="12">
        <v>302.58136184316999</v>
      </c>
      <c r="W2987" s="12">
        <v>9.1179704771681198</v>
      </c>
      <c r="X2987" s="12">
        <v>101.19286501548061</v>
      </c>
      <c r="Y2987" s="12">
        <v>3566.0675682322362</v>
      </c>
      <c r="Z2987" s="12">
        <v>3.870595737537101</v>
      </c>
      <c r="AA2987" s="12"/>
      <c r="AB2987" s="12"/>
    </row>
    <row r="2988" spans="1:28" x14ac:dyDescent="0.3">
      <c r="A2988" s="12" t="s">
        <v>4908</v>
      </c>
      <c r="B2988" s="12" t="s">
        <v>198</v>
      </c>
      <c r="C2988" s="12" t="s">
        <v>509</v>
      </c>
      <c r="D2988" s="12" t="s">
        <v>4854</v>
      </c>
      <c r="E2988" s="12" t="s">
        <v>4403</v>
      </c>
      <c r="F2988" s="12" t="s">
        <v>1861</v>
      </c>
      <c r="G2988" s="12" t="s">
        <v>1861</v>
      </c>
      <c r="H2988" s="12" t="b">
        <v>1</v>
      </c>
      <c r="I2988" s="12" t="b">
        <v>0</v>
      </c>
      <c r="J2988" s="12" t="b">
        <v>1</v>
      </c>
      <c r="K2988" s="12" t="b">
        <v>0</v>
      </c>
      <c r="L2988" s="12">
        <v>623.15</v>
      </c>
      <c r="M2988" s="12">
        <v>302.58136184316999</v>
      </c>
      <c r="N2988" s="12">
        <v>4808.3419580395002</v>
      </c>
      <c r="O2988" s="12">
        <v>802.27438980726458</v>
      </c>
      <c r="P2988" s="12">
        <v>0.5</v>
      </c>
      <c r="Q2988" s="12">
        <v>0.92249167471066718</v>
      </c>
      <c r="R2988" s="12">
        <v>0.57606589946837905</v>
      </c>
      <c r="S2988" s="12">
        <v>0.46230215523492058</v>
      </c>
      <c r="T2988" s="12">
        <v>0.4651145100609968</v>
      </c>
      <c r="U2988" s="12">
        <v>0.87841579594922869</v>
      </c>
      <c r="V2988" s="12">
        <v>302.58136184316999</v>
      </c>
      <c r="W2988" s="12">
        <v>11.89610597429628</v>
      </c>
      <c r="X2988" s="12">
        <v>132.16131467581809</v>
      </c>
      <c r="Y2988" s="12">
        <v>4006.0675682322362</v>
      </c>
      <c r="Z2988" s="12">
        <v>5.9933883209142929</v>
      </c>
      <c r="AA2988" s="12" t="s">
        <v>1981</v>
      </c>
      <c r="AB2988" s="12"/>
    </row>
    <row r="2989" spans="1:28" x14ac:dyDescent="0.3">
      <c r="A2989" s="12" t="s">
        <v>4909</v>
      </c>
      <c r="B2989" s="12" t="s">
        <v>198</v>
      </c>
      <c r="C2989" s="12" t="s">
        <v>509</v>
      </c>
      <c r="D2989" s="12" t="s">
        <v>4854</v>
      </c>
      <c r="E2989" s="12" t="s">
        <v>4403</v>
      </c>
      <c r="F2989" s="12" t="s">
        <v>1861</v>
      </c>
      <c r="G2989" s="12" t="s">
        <v>1861</v>
      </c>
      <c r="H2989" s="12" t="b">
        <v>1</v>
      </c>
      <c r="I2989" s="12" t="b">
        <v>0</v>
      </c>
      <c r="J2989" s="12" t="b">
        <v>1</v>
      </c>
      <c r="K2989" s="12" t="b">
        <v>0</v>
      </c>
      <c r="L2989" s="12">
        <v>623.15</v>
      </c>
      <c r="M2989" s="12">
        <v>302.58136184316999</v>
      </c>
      <c r="N2989" s="12">
        <v>4808.3419580395002</v>
      </c>
      <c r="O2989" s="12">
        <v>1022.274389807265</v>
      </c>
      <c r="P2989" s="12">
        <v>0.5</v>
      </c>
      <c r="Q2989" s="12">
        <v>0.95</v>
      </c>
      <c r="R2989" s="12">
        <v>0.57606589946837905</v>
      </c>
      <c r="S2989" s="12">
        <v>0.46230215523492058</v>
      </c>
      <c r="T2989" s="12">
        <v>0.4651145100609968</v>
      </c>
      <c r="U2989" s="12">
        <v>0.87841579594922869</v>
      </c>
      <c r="V2989" s="12">
        <v>302.58136184316999</v>
      </c>
      <c r="W2989" s="12">
        <v>10.70296437679233</v>
      </c>
      <c r="X2989" s="12">
        <v>118.8577899645978</v>
      </c>
      <c r="Y2989" s="12">
        <v>3786.0675682322362</v>
      </c>
      <c r="Z2989" s="12">
        <v>4.7035727452255216</v>
      </c>
      <c r="AA2989" s="12" t="s">
        <v>3096</v>
      </c>
      <c r="AB2989" s="12"/>
    </row>
    <row r="2990" spans="1:28" x14ac:dyDescent="0.3">
      <c r="A2990" s="12" t="s">
        <v>4910</v>
      </c>
      <c r="B2990" s="12" t="s">
        <v>198</v>
      </c>
      <c r="C2990" s="12" t="s">
        <v>509</v>
      </c>
      <c r="D2990" s="12" t="s">
        <v>4854</v>
      </c>
      <c r="E2990" s="12" t="s">
        <v>4403</v>
      </c>
      <c r="F2990" s="12" t="s">
        <v>32</v>
      </c>
      <c r="G2990" s="12" t="s">
        <v>32</v>
      </c>
      <c r="H2990" s="12" t="b">
        <v>1</v>
      </c>
      <c r="I2990" s="12" t="b">
        <v>0</v>
      </c>
      <c r="J2990" s="12" t="b">
        <v>1</v>
      </c>
      <c r="K2990" s="12" t="b">
        <v>0</v>
      </c>
      <c r="L2990" s="12">
        <v>623.15</v>
      </c>
      <c r="M2990" s="12">
        <v>302.58136184316999</v>
      </c>
      <c r="N2990" s="12">
        <v>4808.3419580395002</v>
      </c>
      <c r="O2990" s="12">
        <v>1022.274389807265</v>
      </c>
      <c r="P2990" s="12">
        <v>0.5</v>
      </c>
      <c r="Q2990" s="12">
        <v>0.86749167471066713</v>
      </c>
      <c r="R2990" s="12">
        <v>0.57606589946837905</v>
      </c>
      <c r="S2990" s="12">
        <v>0.46230215523492058</v>
      </c>
      <c r="T2990" s="12">
        <v>0.4651145100609968</v>
      </c>
      <c r="U2990" s="12">
        <v>0.87841579594922869</v>
      </c>
      <c r="V2990" s="12">
        <v>302.58136184316999</v>
      </c>
      <c r="W2990" s="12">
        <v>9.71943565299763</v>
      </c>
      <c r="X2990" s="12">
        <v>107.88756565505361</v>
      </c>
      <c r="Y2990" s="12">
        <v>3786.0675682322362</v>
      </c>
      <c r="Z2990" s="12">
        <v>4.7035727452255216</v>
      </c>
      <c r="AA2990" s="12"/>
      <c r="AB2990" s="12"/>
    </row>
    <row r="2991" spans="1:28" x14ac:dyDescent="0.3">
      <c r="A2991" s="12" t="s">
        <v>4911</v>
      </c>
      <c r="B2991" s="12" t="s">
        <v>198</v>
      </c>
      <c r="C2991" s="12" t="s">
        <v>509</v>
      </c>
      <c r="D2991" s="12" t="s">
        <v>4854</v>
      </c>
      <c r="E2991" s="12" t="s">
        <v>4403</v>
      </c>
      <c r="F2991" s="12" t="s">
        <v>32</v>
      </c>
      <c r="G2991" s="12" t="s">
        <v>32</v>
      </c>
      <c r="H2991" s="12" t="b">
        <v>1</v>
      </c>
      <c r="I2991" s="12" t="b">
        <v>0</v>
      </c>
      <c r="J2991" s="12" t="b">
        <v>1</v>
      </c>
      <c r="K2991" s="12" t="b">
        <v>0</v>
      </c>
      <c r="L2991" s="12">
        <v>623.15</v>
      </c>
      <c r="M2991" s="12">
        <v>302.58136184316999</v>
      </c>
      <c r="N2991" s="12">
        <v>4808.3419580395002</v>
      </c>
      <c r="O2991" s="12">
        <v>1022.274389807265</v>
      </c>
      <c r="P2991" s="12">
        <v>0.5</v>
      </c>
      <c r="Q2991" s="12">
        <v>0.92249167471066718</v>
      </c>
      <c r="R2991" s="12">
        <v>0.6310658994683791</v>
      </c>
      <c r="S2991" s="12">
        <v>0.46230215523492058</v>
      </c>
      <c r="T2991" s="12">
        <v>0.4651145100609968</v>
      </c>
      <c r="U2991" s="12">
        <v>0.87841579594922869</v>
      </c>
      <c r="V2991" s="12">
        <v>302.58136184316999</v>
      </c>
      <c r="W2991" s="12">
        <v>10.43404879022391</v>
      </c>
      <c r="X2991" s="12">
        <v>115.881999667784</v>
      </c>
      <c r="Y2991" s="12">
        <v>3786.0675682322362</v>
      </c>
      <c r="Z2991" s="12">
        <v>4.7035727452255216</v>
      </c>
      <c r="AA2991" s="12"/>
      <c r="AB2991" s="12"/>
    </row>
    <row r="2992" spans="1:28" x14ac:dyDescent="0.3">
      <c r="A2992" s="12" t="s">
        <v>4912</v>
      </c>
      <c r="B2992" s="12" t="s">
        <v>198</v>
      </c>
      <c r="C2992" s="12" t="s">
        <v>509</v>
      </c>
      <c r="D2992" s="12" t="s">
        <v>4854</v>
      </c>
      <c r="E2992" s="12" t="s">
        <v>4403</v>
      </c>
      <c r="F2992" s="12" t="s">
        <v>32</v>
      </c>
      <c r="G2992" s="12" t="s">
        <v>32</v>
      </c>
      <c r="H2992" s="12" t="b">
        <v>1</v>
      </c>
      <c r="I2992" s="12" t="b">
        <v>0</v>
      </c>
      <c r="J2992" s="12" t="b">
        <v>1</v>
      </c>
      <c r="K2992" s="12" t="b">
        <v>0</v>
      </c>
      <c r="L2992" s="12">
        <v>623.15</v>
      </c>
      <c r="M2992" s="12">
        <v>302.58136184316999</v>
      </c>
      <c r="N2992" s="12">
        <v>4808.3419580395002</v>
      </c>
      <c r="O2992" s="12">
        <v>1022.274389807265</v>
      </c>
      <c r="P2992" s="12">
        <v>0.5</v>
      </c>
      <c r="Q2992" s="12">
        <v>0.92249167471066718</v>
      </c>
      <c r="R2992" s="12">
        <v>0.521065899468379</v>
      </c>
      <c r="S2992" s="12">
        <v>0.46230215523492058</v>
      </c>
      <c r="T2992" s="12">
        <v>0.4651145100609968</v>
      </c>
      <c r="U2992" s="12">
        <v>0.87841579594922869</v>
      </c>
      <c r="V2992" s="12">
        <v>302.58136184316999</v>
      </c>
      <c r="W2992" s="12">
        <v>10.30410728154062</v>
      </c>
      <c r="X2992" s="12">
        <v>114.3783014935005</v>
      </c>
      <c r="Y2992" s="12">
        <v>3786.0675682322362</v>
      </c>
      <c r="Z2992" s="12">
        <v>4.7035727452255216</v>
      </c>
      <c r="AA2992" s="12"/>
      <c r="AB2992" s="12"/>
    </row>
    <row r="2993" spans="1:28" x14ac:dyDescent="0.3">
      <c r="A2993" s="12" t="s">
        <v>4913</v>
      </c>
      <c r="B2993" s="12" t="s">
        <v>198</v>
      </c>
      <c r="C2993" s="12" t="s">
        <v>509</v>
      </c>
      <c r="D2993" s="12" t="s">
        <v>4854</v>
      </c>
      <c r="E2993" s="12" t="s">
        <v>4403</v>
      </c>
      <c r="F2993" s="12" t="s">
        <v>1861</v>
      </c>
      <c r="G2993" s="12" t="s">
        <v>1861</v>
      </c>
      <c r="H2993" s="12" t="b">
        <v>1</v>
      </c>
      <c r="I2993" s="12" t="b">
        <v>0</v>
      </c>
      <c r="J2993" s="12" t="b">
        <v>1</v>
      </c>
      <c r="K2993" s="12" t="b">
        <v>0</v>
      </c>
      <c r="L2993" s="12">
        <v>623.15</v>
      </c>
      <c r="M2993" s="12">
        <v>302.58136184316999</v>
      </c>
      <c r="N2993" s="12">
        <v>4808.3419580395002</v>
      </c>
      <c r="O2993" s="12">
        <v>1022.274389807265</v>
      </c>
      <c r="P2993" s="12">
        <v>0.5</v>
      </c>
      <c r="Q2993" s="12">
        <v>0.92249167471066718</v>
      </c>
      <c r="R2993" s="12">
        <v>0.57606589946837905</v>
      </c>
      <c r="S2993" s="12">
        <v>0.51730215523492062</v>
      </c>
      <c r="T2993" s="12">
        <v>0.4651145100609968</v>
      </c>
      <c r="U2993" s="12">
        <v>0.87841579594922869</v>
      </c>
      <c r="V2993" s="12">
        <v>302.58136184316999</v>
      </c>
      <c r="W2993" s="12">
        <v>10.77679547736513</v>
      </c>
      <c r="X2993" s="12">
        <v>134.0649355604628</v>
      </c>
      <c r="Y2993" s="12">
        <v>3786.0675682322362</v>
      </c>
      <c r="Z2993" s="12">
        <v>4.7035727452255216</v>
      </c>
      <c r="AA2993" s="12" t="s">
        <v>3096</v>
      </c>
      <c r="AB2993" s="12"/>
    </row>
    <row r="2994" spans="1:28" x14ac:dyDescent="0.3">
      <c r="A2994" s="12" t="s">
        <v>4914</v>
      </c>
      <c r="B2994" s="12" t="s">
        <v>198</v>
      </c>
      <c r="C2994" s="12" t="s">
        <v>509</v>
      </c>
      <c r="D2994" s="12" t="s">
        <v>4854</v>
      </c>
      <c r="E2994" s="12" t="s">
        <v>4403</v>
      </c>
      <c r="F2994" s="12" t="s">
        <v>32</v>
      </c>
      <c r="G2994" s="12" t="s">
        <v>32</v>
      </c>
      <c r="H2994" s="12" t="b">
        <v>1</v>
      </c>
      <c r="I2994" s="12" t="b">
        <v>0</v>
      </c>
      <c r="J2994" s="12" t="b">
        <v>1</v>
      </c>
      <c r="K2994" s="12" t="b">
        <v>0</v>
      </c>
      <c r="L2994" s="12">
        <v>623.15</v>
      </c>
      <c r="M2994" s="12">
        <v>302.58136184316999</v>
      </c>
      <c r="N2994" s="12">
        <v>4808.3419580395002</v>
      </c>
      <c r="O2994" s="12">
        <v>1022.274389807265</v>
      </c>
      <c r="P2994" s="12">
        <v>0.5</v>
      </c>
      <c r="Q2994" s="12">
        <v>0.92249167471066718</v>
      </c>
      <c r="R2994" s="12">
        <v>0.57606589946837905</v>
      </c>
      <c r="S2994" s="12">
        <v>0.40730215523492058</v>
      </c>
      <c r="T2994" s="12">
        <v>0.4651145100609968</v>
      </c>
      <c r="U2994" s="12">
        <v>0.87841579594922869</v>
      </c>
      <c r="V2994" s="12">
        <v>302.58136184316999</v>
      </c>
      <c r="W2994" s="12">
        <v>9.8613266321409601</v>
      </c>
      <c r="X2994" s="12">
        <v>96.408125795791406</v>
      </c>
      <c r="Y2994" s="12">
        <v>3786.0675682322362</v>
      </c>
      <c r="Z2994" s="12">
        <v>4.7035727452255216</v>
      </c>
      <c r="AA2994" s="12"/>
      <c r="AB2994" s="12"/>
    </row>
    <row r="2995" spans="1:28" x14ac:dyDescent="0.3">
      <c r="A2995" s="12" t="s">
        <v>4915</v>
      </c>
      <c r="B2995" s="12" t="s">
        <v>198</v>
      </c>
      <c r="C2995" s="12" t="s">
        <v>509</v>
      </c>
      <c r="D2995" s="12" t="s">
        <v>4854</v>
      </c>
      <c r="E2995" s="12" t="s">
        <v>4403</v>
      </c>
      <c r="F2995" s="12" t="s">
        <v>32</v>
      </c>
      <c r="G2995" s="12" t="s">
        <v>32</v>
      </c>
      <c r="H2995" s="12" t="b">
        <v>1</v>
      </c>
      <c r="I2995" s="12" t="b">
        <v>0</v>
      </c>
      <c r="J2995" s="12" t="b">
        <v>1</v>
      </c>
      <c r="K2995" s="12" t="b">
        <v>0</v>
      </c>
      <c r="L2995" s="12">
        <v>623.15</v>
      </c>
      <c r="M2995" s="12">
        <v>302.58136184316999</v>
      </c>
      <c r="N2995" s="12">
        <v>4808.3419580395002</v>
      </c>
      <c r="O2995" s="12">
        <v>1022.274389807265</v>
      </c>
      <c r="P2995" s="12">
        <v>0.5</v>
      </c>
      <c r="Q2995" s="12">
        <v>0.92249167471066718</v>
      </c>
      <c r="R2995" s="12">
        <v>0.57606589946837905</v>
      </c>
      <c r="S2995" s="12">
        <v>0.46230215523492058</v>
      </c>
      <c r="T2995" s="12">
        <v>0.52011451006099685</v>
      </c>
      <c r="U2995" s="12">
        <v>0.87841579594922869</v>
      </c>
      <c r="V2995" s="12">
        <v>302.58136184316999</v>
      </c>
      <c r="W2995" s="12">
        <v>10.55425600687045</v>
      </c>
      <c r="X2995" s="12">
        <v>116.422273350076</v>
      </c>
      <c r="Y2995" s="12">
        <v>3786.0675682322362</v>
      </c>
      <c r="Z2995" s="12">
        <v>4.7035727452255216</v>
      </c>
      <c r="AA2995" s="12"/>
      <c r="AB2995" s="12"/>
    </row>
    <row r="2996" spans="1:28" x14ac:dyDescent="0.3">
      <c r="A2996" s="12" t="s">
        <v>4916</v>
      </c>
      <c r="B2996" s="12" t="s">
        <v>198</v>
      </c>
      <c r="C2996" s="12" t="s">
        <v>509</v>
      </c>
      <c r="D2996" s="12" t="s">
        <v>4854</v>
      </c>
      <c r="E2996" s="12" t="s">
        <v>4403</v>
      </c>
      <c r="F2996" s="12" t="s">
        <v>32</v>
      </c>
      <c r="G2996" s="12" t="s">
        <v>32</v>
      </c>
      <c r="H2996" s="12" t="b">
        <v>1</v>
      </c>
      <c r="I2996" s="12" t="b">
        <v>0</v>
      </c>
      <c r="J2996" s="12" t="b">
        <v>1</v>
      </c>
      <c r="K2996" s="12" t="b">
        <v>0</v>
      </c>
      <c r="L2996" s="12">
        <v>623.15</v>
      </c>
      <c r="M2996" s="12">
        <v>302.58136184316999</v>
      </c>
      <c r="N2996" s="12">
        <v>4808.3419580395002</v>
      </c>
      <c r="O2996" s="12">
        <v>1022.274389807265</v>
      </c>
      <c r="P2996" s="12">
        <v>0.5</v>
      </c>
      <c r="Q2996" s="12">
        <v>0.92249167471066718</v>
      </c>
      <c r="R2996" s="12">
        <v>0.57606589946837905</v>
      </c>
      <c r="S2996" s="12">
        <v>0.46230215523492058</v>
      </c>
      <c r="T2996" s="12">
        <v>0.41011451006099681</v>
      </c>
      <c r="U2996" s="12">
        <v>0.87841579594922869</v>
      </c>
      <c r="V2996" s="12">
        <v>302.58136184316999</v>
      </c>
      <c r="W2996" s="12">
        <v>10.196928404841691</v>
      </c>
      <c r="X2996" s="12">
        <v>113.9697594887854</v>
      </c>
      <c r="Y2996" s="12">
        <v>3786.0675682322362</v>
      </c>
      <c r="Z2996" s="12">
        <v>4.7035727452255216</v>
      </c>
      <c r="AA2996" s="12"/>
      <c r="AB2996" s="12"/>
    </row>
    <row r="2997" spans="1:28" x14ac:dyDescent="0.3">
      <c r="A2997" s="12" t="s">
        <v>4917</v>
      </c>
      <c r="B2997" s="12" t="s">
        <v>198</v>
      </c>
      <c r="C2997" s="12" t="s">
        <v>509</v>
      </c>
      <c r="D2997" s="12" t="s">
        <v>4854</v>
      </c>
      <c r="E2997" s="12" t="s">
        <v>4403</v>
      </c>
      <c r="F2997" s="12" t="s">
        <v>32</v>
      </c>
      <c r="G2997" s="12" t="s">
        <v>32</v>
      </c>
      <c r="H2997" s="12" t="b">
        <v>1</v>
      </c>
      <c r="I2997" s="12" t="b">
        <v>0</v>
      </c>
      <c r="J2997" s="12" t="b">
        <v>1</v>
      </c>
      <c r="K2997" s="12" t="b">
        <v>0</v>
      </c>
      <c r="L2997" s="12">
        <v>623.15</v>
      </c>
      <c r="M2997" s="12">
        <v>302.58136184316999</v>
      </c>
      <c r="N2997" s="12">
        <v>4808.3419580395002</v>
      </c>
      <c r="O2997" s="12">
        <v>1022.274389807265</v>
      </c>
      <c r="P2997" s="12">
        <v>0.5</v>
      </c>
      <c r="Q2997" s="12">
        <v>0.92249167471066718</v>
      </c>
      <c r="R2997" s="12">
        <v>0.57606589946837905</v>
      </c>
      <c r="S2997" s="12">
        <v>0.46230215523492058</v>
      </c>
      <c r="T2997" s="12">
        <v>0.4651145100609968</v>
      </c>
      <c r="U2997" s="12">
        <v>0.93341579594922863</v>
      </c>
      <c r="V2997" s="12">
        <v>302.58136184316999</v>
      </c>
      <c r="W2997" s="12">
        <v>9.8619714901058302</v>
      </c>
      <c r="X2997" s="12">
        <v>111.6681544159736</v>
      </c>
      <c r="Y2997" s="12">
        <v>3786.0675682322362</v>
      </c>
      <c r="Z2997" s="12">
        <v>4.7035727452255216</v>
      </c>
      <c r="AA2997" s="12"/>
      <c r="AB2997" s="12"/>
    </row>
    <row r="2998" spans="1:28" x14ac:dyDescent="0.3">
      <c r="A2998" s="12" t="s">
        <v>4918</v>
      </c>
      <c r="B2998" s="12" t="s">
        <v>198</v>
      </c>
      <c r="C2998" s="12" t="s">
        <v>509</v>
      </c>
      <c r="D2998" s="12" t="s">
        <v>4854</v>
      </c>
      <c r="E2998" s="12" t="s">
        <v>4403</v>
      </c>
      <c r="F2998" s="12" t="s">
        <v>1861</v>
      </c>
      <c r="G2998" s="12" t="s">
        <v>1861</v>
      </c>
      <c r="H2998" s="12" t="b">
        <v>1</v>
      </c>
      <c r="I2998" s="12" t="b">
        <v>0</v>
      </c>
      <c r="J2998" s="12" t="b">
        <v>1</v>
      </c>
      <c r="K2998" s="12" t="b">
        <v>0</v>
      </c>
      <c r="L2998" s="12">
        <v>623.15</v>
      </c>
      <c r="M2998" s="12">
        <v>302.58136184316999</v>
      </c>
      <c r="N2998" s="12">
        <v>4808.3419580395002</v>
      </c>
      <c r="O2998" s="12">
        <v>1022.274389807265</v>
      </c>
      <c r="P2998" s="12">
        <v>0.5</v>
      </c>
      <c r="Q2998" s="12">
        <v>0.92249167471066718</v>
      </c>
      <c r="R2998" s="12">
        <v>0.57606589946837905</v>
      </c>
      <c r="S2998" s="12">
        <v>0.46230215523492058</v>
      </c>
      <c r="T2998" s="12">
        <v>0.4651145100609968</v>
      </c>
      <c r="U2998" s="12">
        <v>0.82341579594922876</v>
      </c>
      <c r="V2998" s="12">
        <v>302.58136184316999</v>
      </c>
      <c r="W2998" s="12">
        <v>10.88082863827208</v>
      </c>
      <c r="X2998" s="12">
        <v>118.17132186096759</v>
      </c>
      <c r="Y2998" s="12">
        <v>3786.0675682322362</v>
      </c>
      <c r="Z2998" s="12">
        <v>4.7035727452255216</v>
      </c>
      <c r="AA2998" s="12" t="s">
        <v>1268</v>
      </c>
      <c r="AB2998" s="12"/>
    </row>
    <row r="2999" spans="1:28" x14ac:dyDescent="0.3">
      <c r="A2999" s="12" t="s">
        <v>4919</v>
      </c>
      <c r="B2999" s="12" t="s">
        <v>198</v>
      </c>
      <c r="C2999" s="12" t="s">
        <v>509</v>
      </c>
      <c r="D2999" s="12" t="s">
        <v>4854</v>
      </c>
      <c r="E2999" s="12" t="s">
        <v>4403</v>
      </c>
      <c r="F2999" s="12" t="s">
        <v>32</v>
      </c>
      <c r="G2999" s="12" t="s">
        <v>32</v>
      </c>
      <c r="H2999" s="12" t="b">
        <v>1</v>
      </c>
      <c r="I2999" s="12" t="b">
        <v>0</v>
      </c>
      <c r="J2999" s="12" t="b">
        <v>1</v>
      </c>
      <c r="K2999" s="12" t="b">
        <v>0</v>
      </c>
      <c r="L2999" s="12">
        <v>623.15</v>
      </c>
      <c r="M2999" s="12">
        <v>303.55</v>
      </c>
      <c r="N2999" s="12">
        <v>4808.3419580395002</v>
      </c>
      <c r="O2999" s="12">
        <v>1022.274389807265</v>
      </c>
      <c r="P2999" s="12">
        <v>0.5</v>
      </c>
      <c r="Q2999" s="12">
        <v>0.92249167471066718</v>
      </c>
      <c r="R2999" s="12">
        <v>0.57606589946837905</v>
      </c>
      <c r="S2999" s="12">
        <v>0.46230215523492058</v>
      </c>
      <c r="T2999" s="12">
        <v>0.52011451006099685</v>
      </c>
      <c r="U2999" s="12">
        <v>0.87841579594922869</v>
      </c>
      <c r="V2999" s="12">
        <v>303.55</v>
      </c>
      <c r="W2999" s="12">
        <v>10.58811992277289</v>
      </c>
      <c r="X2999" s="12">
        <v>116.6474515257714</v>
      </c>
      <c r="Y2999" s="12">
        <v>3786.0675682322362</v>
      </c>
      <c r="Z2999" s="12">
        <v>4.7035727452255216</v>
      </c>
      <c r="AA2999" s="12"/>
      <c r="AB2999" s="12"/>
    </row>
    <row r="3000" spans="1:28" x14ac:dyDescent="0.3">
      <c r="A3000" s="12" t="s">
        <v>4920</v>
      </c>
      <c r="B3000" s="12" t="s">
        <v>198</v>
      </c>
      <c r="C3000" s="12" t="s">
        <v>509</v>
      </c>
      <c r="D3000" s="12" t="s">
        <v>4854</v>
      </c>
      <c r="E3000" s="12" t="s">
        <v>4403</v>
      </c>
      <c r="F3000" s="12" t="s">
        <v>32</v>
      </c>
      <c r="G3000" s="12" t="s">
        <v>32</v>
      </c>
      <c r="H3000" s="12" t="b">
        <v>1</v>
      </c>
      <c r="I3000" s="12" t="b">
        <v>0</v>
      </c>
      <c r="J3000" s="12" t="b">
        <v>1</v>
      </c>
      <c r="K3000" s="12" t="b">
        <v>0</v>
      </c>
      <c r="L3000" s="12">
        <v>623.15</v>
      </c>
      <c r="M3000" s="12">
        <v>300.04136184316991</v>
      </c>
      <c r="N3000" s="12">
        <v>4808.3419580395002</v>
      </c>
      <c r="O3000" s="12">
        <v>1022.274389807265</v>
      </c>
      <c r="P3000" s="12">
        <v>0.5</v>
      </c>
      <c r="Q3000" s="12">
        <v>0.92249167471066718</v>
      </c>
      <c r="R3000" s="12">
        <v>0.57606589946837905</v>
      </c>
      <c r="S3000" s="12">
        <v>0.46230215523492058</v>
      </c>
      <c r="T3000" s="12">
        <v>0.52011451006099685</v>
      </c>
      <c r="U3000" s="12">
        <v>0.87841579594922869</v>
      </c>
      <c r="V3000" s="12">
        <v>300.04136184316991</v>
      </c>
      <c r="W3000" s="12">
        <v>10.466158742693811</v>
      </c>
      <c r="X3000" s="12">
        <v>115.8337614312896</v>
      </c>
      <c r="Y3000" s="12">
        <v>3786.0675682322362</v>
      </c>
      <c r="Z3000" s="12">
        <v>4.7035727452255216</v>
      </c>
      <c r="AA3000" s="12"/>
      <c r="AB3000" s="12"/>
    </row>
    <row r="3001" spans="1:28" x14ac:dyDescent="0.3">
      <c r="A3001" s="12" t="s">
        <v>4921</v>
      </c>
      <c r="B3001" s="12" t="s">
        <v>198</v>
      </c>
      <c r="C3001" s="12" t="s">
        <v>509</v>
      </c>
      <c r="D3001" s="12" t="s">
        <v>4854</v>
      </c>
      <c r="E3001" s="12" t="s">
        <v>4403</v>
      </c>
      <c r="F3001" s="12" t="s">
        <v>1861</v>
      </c>
      <c r="G3001" s="12" t="s">
        <v>1861</v>
      </c>
      <c r="H3001" s="12" t="b">
        <v>1</v>
      </c>
      <c r="I3001" s="12" t="b">
        <v>0</v>
      </c>
      <c r="J3001" s="12" t="b">
        <v>1</v>
      </c>
      <c r="K3001" s="12" t="b">
        <v>0</v>
      </c>
      <c r="L3001" s="12">
        <v>623.15</v>
      </c>
      <c r="M3001" s="12">
        <v>302.58136184316999</v>
      </c>
      <c r="N3001" s="12">
        <v>5000</v>
      </c>
      <c r="O3001" s="12">
        <v>1022.274389807265</v>
      </c>
      <c r="P3001" s="12">
        <v>0.5</v>
      </c>
      <c r="Q3001" s="12">
        <v>0.92249167471066718</v>
      </c>
      <c r="R3001" s="12">
        <v>0.57606589946837905</v>
      </c>
      <c r="S3001" s="12">
        <v>0.46230215523492058</v>
      </c>
      <c r="T3001" s="12">
        <v>0.52011451006099685</v>
      </c>
      <c r="U3001" s="12">
        <v>0.87841579594922869</v>
      </c>
      <c r="V3001" s="12">
        <v>302.58136184316999</v>
      </c>
      <c r="W3001" s="12">
        <v>10.726685160317871</v>
      </c>
      <c r="X3001" s="12">
        <v>117.99152227222601</v>
      </c>
      <c r="Y3001" s="12">
        <v>3977.725610192736</v>
      </c>
      <c r="Z3001" s="12">
        <v>4.8910547401492463</v>
      </c>
      <c r="AA3001" s="12" t="s">
        <v>3096</v>
      </c>
      <c r="AB3001" s="12"/>
    </row>
    <row r="3002" spans="1:28" x14ac:dyDescent="0.3">
      <c r="A3002" s="12" t="s">
        <v>4922</v>
      </c>
      <c r="B3002" s="12" t="s">
        <v>198</v>
      </c>
      <c r="C3002" s="12" t="s">
        <v>509</v>
      </c>
      <c r="D3002" s="12" t="s">
        <v>4854</v>
      </c>
      <c r="E3002" s="12" t="s">
        <v>4403</v>
      </c>
      <c r="F3002" s="12" t="s">
        <v>32</v>
      </c>
      <c r="G3002" s="12" t="s">
        <v>32</v>
      </c>
      <c r="H3002" s="12" t="b">
        <v>1</v>
      </c>
      <c r="I3002" s="12" t="b">
        <v>0</v>
      </c>
      <c r="J3002" s="12" t="b">
        <v>1</v>
      </c>
      <c r="K3002" s="12" t="b">
        <v>0</v>
      </c>
      <c r="L3002" s="12">
        <v>623.15</v>
      </c>
      <c r="M3002" s="12">
        <v>302.58136184316999</v>
      </c>
      <c r="N3002" s="12">
        <v>4508.3419580395002</v>
      </c>
      <c r="O3002" s="12">
        <v>1022.274389807265</v>
      </c>
      <c r="P3002" s="12">
        <v>0.5</v>
      </c>
      <c r="Q3002" s="12">
        <v>0.92249167471066718</v>
      </c>
      <c r="R3002" s="12">
        <v>0.57606589946837905</v>
      </c>
      <c r="S3002" s="12">
        <v>0.46230215523492058</v>
      </c>
      <c r="T3002" s="12">
        <v>0.52011451006099685</v>
      </c>
      <c r="U3002" s="12">
        <v>0.87841579594922869</v>
      </c>
      <c r="V3002" s="12">
        <v>302.58136184316999</v>
      </c>
      <c r="W3002" s="12">
        <v>10.25491306354014</v>
      </c>
      <c r="X3002" s="12">
        <v>113.6192743541506</v>
      </c>
      <c r="Y3002" s="12">
        <v>3486.0675682322362</v>
      </c>
      <c r="Z3002" s="12">
        <v>4.4101094608165674</v>
      </c>
      <c r="AA3002" s="12"/>
      <c r="AB3002" s="12"/>
    </row>
    <row r="3003" spans="1:28" x14ac:dyDescent="0.3">
      <c r="A3003" s="12" t="s">
        <v>4923</v>
      </c>
      <c r="B3003" s="12" t="s">
        <v>198</v>
      </c>
      <c r="C3003" s="12" t="s">
        <v>509</v>
      </c>
      <c r="D3003" s="12" t="s">
        <v>4854</v>
      </c>
      <c r="E3003" s="12" t="s">
        <v>4403</v>
      </c>
      <c r="F3003" s="12" t="s">
        <v>32</v>
      </c>
      <c r="G3003" s="12" t="s">
        <v>32</v>
      </c>
      <c r="H3003" s="12" t="b">
        <v>1</v>
      </c>
      <c r="I3003" s="12" t="b">
        <v>0</v>
      </c>
      <c r="J3003" s="12" t="b">
        <v>1</v>
      </c>
      <c r="K3003" s="12" t="b">
        <v>0</v>
      </c>
      <c r="L3003" s="12">
        <v>623.15</v>
      </c>
      <c r="M3003" s="12">
        <v>302.58136184316999</v>
      </c>
      <c r="N3003" s="12">
        <v>4808.3419580395002</v>
      </c>
      <c r="O3003" s="12">
        <v>1242.274389807264</v>
      </c>
      <c r="P3003" s="12">
        <v>0.5</v>
      </c>
      <c r="Q3003" s="12">
        <v>0.92249167471066718</v>
      </c>
      <c r="R3003" s="12">
        <v>0.57606589946837905</v>
      </c>
      <c r="S3003" s="12">
        <v>0.46230215523492058</v>
      </c>
      <c r="T3003" s="12">
        <v>0.52011451006099685</v>
      </c>
      <c r="U3003" s="12">
        <v>0.87841579594922869</v>
      </c>
      <c r="V3003" s="12">
        <v>302.58136184316999</v>
      </c>
      <c r="W3003" s="12">
        <v>9.2754101411655991</v>
      </c>
      <c r="X3003" s="12">
        <v>102.2675292569687</v>
      </c>
      <c r="Y3003" s="12">
        <v>3566.0675682322362</v>
      </c>
      <c r="Z3003" s="12">
        <v>3.870595737537101</v>
      </c>
      <c r="AA3003" s="12"/>
      <c r="AB3003" s="12"/>
    </row>
    <row r="3004" spans="1:28" x14ac:dyDescent="0.3">
      <c r="A3004" s="12" t="s">
        <v>4924</v>
      </c>
      <c r="B3004" s="12" t="s">
        <v>198</v>
      </c>
      <c r="C3004" s="12" t="s">
        <v>509</v>
      </c>
      <c r="D3004" s="12" t="s">
        <v>4854</v>
      </c>
      <c r="E3004" s="12" t="s">
        <v>4403</v>
      </c>
      <c r="F3004" s="12" t="s">
        <v>1861</v>
      </c>
      <c r="G3004" s="12" t="s">
        <v>1861</v>
      </c>
      <c r="H3004" s="12" t="b">
        <v>1</v>
      </c>
      <c r="I3004" s="12" t="b">
        <v>0</v>
      </c>
      <c r="J3004" s="12" t="b">
        <v>1</v>
      </c>
      <c r="K3004" s="12" t="b">
        <v>0</v>
      </c>
      <c r="L3004" s="12">
        <v>623.15</v>
      </c>
      <c r="M3004" s="12">
        <v>302.58136184316999</v>
      </c>
      <c r="N3004" s="12">
        <v>4808.3419580395002</v>
      </c>
      <c r="O3004" s="12">
        <v>802.27438980726458</v>
      </c>
      <c r="P3004" s="12">
        <v>0.5</v>
      </c>
      <c r="Q3004" s="12">
        <v>0.92249167471066718</v>
      </c>
      <c r="R3004" s="12">
        <v>0.57606589946837905</v>
      </c>
      <c r="S3004" s="12">
        <v>0.46230215523492058</v>
      </c>
      <c r="T3004" s="12">
        <v>0.52011451006099685</v>
      </c>
      <c r="U3004" s="12">
        <v>0.87841579594922869</v>
      </c>
      <c r="V3004" s="12">
        <v>302.58136184316999</v>
      </c>
      <c r="W3004" s="12">
        <v>12.102736807193031</v>
      </c>
      <c r="X3004" s="12">
        <v>133.57674967849439</v>
      </c>
      <c r="Y3004" s="12">
        <v>4006.0675682322362</v>
      </c>
      <c r="Z3004" s="12">
        <v>5.9933883209142929</v>
      </c>
      <c r="AA3004" s="12" t="s">
        <v>1981</v>
      </c>
      <c r="AB3004" s="12"/>
    </row>
    <row r="3005" spans="1:28" x14ac:dyDescent="0.3">
      <c r="A3005" s="12" t="s">
        <v>4925</v>
      </c>
      <c r="B3005" s="12" t="s">
        <v>198</v>
      </c>
      <c r="C3005" s="12" t="s">
        <v>509</v>
      </c>
      <c r="D3005" s="12" t="s">
        <v>4854</v>
      </c>
      <c r="E3005" s="12" t="s">
        <v>4403</v>
      </c>
      <c r="F3005" s="12" t="s">
        <v>1861</v>
      </c>
      <c r="G3005" s="12" t="s">
        <v>1861</v>
      </c>
      <c r="H3005" s="12" t="b">
        <v>1</v>
      </c>
      <c r="I3005" s="12" t="b">
        <v>0</v>
      </c>
      <c r="J3005" s="12" t="b">
        <v>1</v>
      </c>
      <c r="K3005" s="12" t="b">
        <v>0</v>
      </c>
      <c r="L3005" s="12">
        <v>623.15</v>
      </c>
      <c r="M3005" s="12">
        <v>302.58136184316999</v>
      </c>
      <c r="N3005" s="12">
        <v>4808.3419580395002</v>
      </c>
      <c r="O3005" s="12">
        <v>1022.274389807265</v>
      </c>
      <c r="P3005" s="12">
        <v>0.5</v>
      </c>
      <c r="Q3005" s="12">
        <v>0.95</v>
      </c>
      <c r="R3005" s="12">
        <v>0.57606589946837905</v>
      </c>
      <c r="S3005" s="12">
        <v>0.46230215523492058</v>
      </c>
      <c r="T3005" s="12">
        <v>0.52011451006099685</v>
      </c>
      <c r="U3005" s="12">
        <v>0.87841579594922869</v>
      </c>
      <c r="V3005" s="12">
        <v>302.58136184316999</v>
      </c>
      <c r="W3005" s="12">
        <v>10.88745455640483</v>
      </c>
      <c r="X3005" s="12">
        <v>120.1151794297793</v>
      </c>
      <c r="Y3005" s="12">
        <v>3786.0675682322362</v>
      </c>
      <c r="Z3005" s="12">
        <v>4.7035727452255216</v>
      </c>
      <c r="AA3005" s="12" t="s">
        <v>3096</v>
      </c>
      <c r="AB3005" s="12"/>
    </row>
    <row r="3006" spans="1:28" x14ac:dyDescent="0.3">
      <c r="A3006" s="12" t="s">
        <v>4926</v>
      </c>
      <c r="B3006" s="12" t="s">
        <v>198</v>
      </c>
      <c r="C3006" s="12" t="s">
        <v>509</v>
      </c>
      <c r="D3006" s="12" t="s">
        <v>4854</v>
      </c>
      <c r="E3006" s="12" t="s">
        <v>4403</v>
      </c>
      <c r="F3006" s="12" t="s">
        <v>32</v>
      </c>
      <c r="G3006" s="12" t="s">
        <v>32</v>
      </c>
      <c r="H3006" s="12" t="b">
        <v>1</v>
      </c>
      <c r="I3006" s="12" t="b">
        <v>0</v>
      </c>
      <c r="J3006" s="12" t="b">
        <v>1</v>
      </c>
      <c r="K3006" s="12" t="b">
        <v>0</v>
      </c>
      <c r="L3006" s="12">
        <v>623.15</v>
      </c>
      <c r="M3006" s="12">
        <v>302.58136184316999</v>
      </c>
      <c r="N3006" s="12">
        <v>4808.3419580395002</v>
      </c>
      <c r="O3006" s="12">
        <v>1022.274389807265</v>
      </c>
      <c r="P3006" s="12">
        <v>0.5</v>
      </c>
      <c r="Q3006" s="12">
        <v>0.86749167471066713</v>
      </c>
      <c r="R3006" s="12">
        <v>0.57606589946837905</v>
      </c>
      <c r="S3006" s="12">
        <v>0.46230215523492058</v>
      </c>
      <c r="T3006" s="12">
        <v>0.52011451006099685</v>
      </c>
      <c r="U3006" s="12">
        <v>0.87841579594922869</v>
      </c>
      <c r="V3006" s="12">
        <v>302.58136184316999</v>
      </c>
      <c r="W3006" s="12">
        <v>9.8873404357174</v>
      </c>
      <c r="X3006" s="12">
        <v>109.03393101703681</v>
      </c>
      <c r="Y3006" s="12">
        <v>3786.0675682322362</v>
      </c>
      <c r="Z3006" s="12">
        <v>4.7035727452255216</v>
      </c>
      <c r="AA3006" s="12"/>
      <c r="AB3006" s="12"/>
    </row>
    <row r="3007" spans="1:28" x14ac:dyDescent="0.3">
      <c r="A3007" s="12" t="s">
        <v>4927</v>
      </c>
      <c r="B3007" s="12" t="s">
        <v>198</v>
      </c>
      <c r="C3007" s="12" t="s">
        <v>509</v>
      </c>
      <c r="D3007" s="12" t="s">
        <v>4854</v>
      </c>
      <c r="E3007" s="12" t="s">
        <v>4403</v>
      </c>
      <c r="F3007" s="12" t="s">
        <v>32</v>
      </c>
      <c r="G3007" s="12" t="s">
        <v>32</v>
      </c>
      <c r="H3007" s="12" t="b">
        <v>1</v>
      </c>
      <c r="I3007" s="12" t="b">
        <v>0</v>
      </c>
      <c r="J3007" s="12" t="b">
        <v>1</v>
      </c>
      <c r="K3007" s="12" t="b">
        <v>0</v>
      </c>
      <c r="L3007" s="12">
        <v>623.15</v>
      </c>
      <c r="M3007" s="12">
        <v>302.58136184316999</v>
      </c>
      <c r="N3007" s="12">
        <v>4808.3419580395002</v>
      </c>
      <c r="O3007" s="12">
        <v>1022.274389807265</v>
      </c>
      <c r="P3007" s="12">
        <v>0.5</v>
      </c>
      <c r="Q3007" s="12">
        <v>0.92249167471066718</v>
      </c>
      <c r="R3007" s="12">
        <v>0.6310658994683791</v>
      </c>
      <c r="S3007" s="12">
        <v>0.46230215523492058</v>
      </c>
      <c r="T3007" s="12">
        <v>0.52011451006099685</v>
      </c>
      <c r="U3007" s="12">
        <v>0.87841579594922869</v>
      </c>
      <c r="V3007" s="12">
        <v>302.58136184316999</v>
      </c>
      <c r="W3007" s="12">
        <v>10.61356587528504</v>
      </c>
      <c r="X3007" s="12">
        <v>117.1036920011706</v>
      </c>
      <c r="Y3007" s="12">
        <v>3786.0675682322362</v>
      </c>
      <c r="Z3007" s="12">
        <v>4.7035727452255216</v>
      </c>
      <c r="AA3007" s="12"/>
      <c r="AB3007" s="12"/>
    </row>
    <row r="3008" spans="1:28" x14ac:dyDescent="0.3">
      <c r="A3008" s="12" t="s">
        <v>4928</v>
      </c>
      <c r="B3008" s="12" t="s">
        <v>198</v>
      </c>
      <c r="C3008" s="12" t="s">
        <v>509</v>
      </c>
      <c r="D3008" s="12" t="s">
        <v>4854</v>
      </c>
      <c r="E3008" s="12" t="s">
        <v>4403</v>
      </c>
      <c r="F3008" s="12" t="s">
        <v>32</v>
      </c>
      <c r="G3008" s="12" t="s">
        <v>32</v>
      </c>
      <c r="H3008" s="12" t="b">
        <v>1</v>
      </c>
      <c r="I3008" s="12" t="b">
        <v>0</v>
      </c>
      <c r="J3008" s="12" t="b">
        <v>1</v>
      </c>
      <c r="K3008" s="12" t="b">
        <v>0</v>
      </c>
      <c r="L3008" s="12">
        <v>623.15</v>
      </c>
      <c r="M3008" s="12">
        <v>302.58136184316999</v>
      </c>
      <c r="N3008" s="12">
        <v>4808.3419580395002</v>
      </c>
      <c r="O3008" s="12">
        <v>1022.274389807265</v>
      </c>
      <c r="P3008" s="12">
        <v>0.5</v>
      </c>
      <c r="Q3008" s="12">
        <v>0.92249167471066718</v>
      </c>
      <c r="R3008" s="12">
        <v>0.521065899468379</v>
      </c>
      <c r="S3008" s="12">
        <v>0.46230215523492058</v>
      </c>
      <c r="T3008" s="12">
        <v>0.52011451006099685</v>
      </c>
      <c r="U3008" s="12">
        <v>0.87841579594922869</v>
      </c>
      <c r="V3008" s="12">
        <v>302.58136184316999</v>
      </c>
      <c r="W3008" s="12">
        <v>10.48238767787894</v>
      </c>
      <c r="X3008" s="12">
        <v>115.5969854084867</v>
      </c>
      <c r="Y3008" s="12">
        <v>3786.0675682322362</v>
      </c>
      <c r="Z3008" s="12">
        <v>4.7035727452255216</v>
      </c>
      <c r="AA3008" s="12"/>
      <c r="AB3008" s="12"/>
    </row>
    <row r="3009" spans="1:28" x14ac:dyDescent="0.3">
      <c r="A3009" s="12" t="s">
        <v>4929</v>
      </c>
      <c r="B3009" s="12" t="s">
        <v>198</v>
      </c>
      <c r="C3009" s="12" t="s">
        <v>509</v>
      </c>
      <c r="D3009" s="12" t="s">
        <v>4854</v>
      </c>
      <c r="E3009" s="12" t="s">
        <v>4403</v>
      </c>
      <c r="F3009" s="12" t="s">
        <v>1861</v>
      </c>
      <c r="G3009" s="12" t="s">
        <v>1861</v>
      </c>
      <c r="H3009" s="12" t="b">
        <v>1</v>
      </c>
      <c r="I3009" s="12" t="b">
        <v>0</v>
      </c>
      <c r="J3009" s="12" t="b">
        <v>1</v>
      </c>
      <c r="K3009" s="12" t="b">
        <v>0</v>
      </c>
      <c r="L3009" s="12">
        <v>623.15</v>
      </c>
      <c r="M3009" s="12">
        <v>302.58136184316999</v>
      </c>
      <c r="N3009" s="12">
        <v>4808.3419580395002</v>
      </c>
      <c r="O3009" s="12">
        <v>1022.274389807265</v>
      </c>
      <c r="P3009" s="12">
        <v>0.5</v>
      </c>
      <c r="Q3009" s="12">
        <v>0.92249167471066718</v>
      </c>
      <c r="R3009" s="12">
        <v>0.57606589946837905</v>
      </c>
      <c r="S3009" s="12">
        <v>0.51730215523492062</v>
      </c>
      <c r="T3009" s="12">
        <v>0.52011451006099685</v>
      </c>
      <c r="U3009" s="12">
        <v>0.87841579594922869</v>
      </c>
      <c r="V3009" s="12">
        <v>302.58136184316999</v>
      </c>
      <c r="W3009" s="12">
        <v>10.915499955627849</v>
      </c>
      <c r="X3009" s="12">
        <v>135.02203576082201</v>
      </c>
      <c r="Y3009" s="12">
        <v>3786.0675682322362</v>
      </c>
      <c r="Z3009" s="12">
        <v>4.7035727452255216</v>
      </c>
      <c r="AA3009" s="12" t="s">
        <v>3096</v>
      </c>
      <c r="AB3009" s="12"/>
    </row>
    <row r="3010" spans="1:28" x14ac:dyDescent="0.3">
      <c r="A3010" s="12" t="s">
        <v>4930</v>
      </c>
      <c r="B3010" s="12" t="s">
        <v>198</v>
      </c>
      <c r="C3010" s="12" t="s">
        <v>509</v>
      </c>
      <c r="D3010" s="12" t="s">
        <v>4854</v>
      </c>
      <c r="E3010" s="12" t="s">
        <v>4403</v>
      </c>
      <c r="F3010" s="12" t="s">
        <v>32</v>
      </c>
      <c r="G3010" s="12" t="s">
        <v>32</v>
      </c>
      <c r="H3010" s="12" t="b">
        <v>1</v>
      </c>
      <c r="I3010" s="12" t="b">
        <v>0</v>
      </c>
      <c r="J3010" s="12" t="b">
        <v>1</v>
      </c>
      <c r="K3010" s="12" t="b">
        <v>0</v>
      </c>
      <c r="L3010" s="12">
        <v>623.15</v>
      </c>
      <c r="M3010" s="12">
        <v>302.58136184316999</v>
      </c>
      <c r="N3010" s="12">
        <v>4808.3419580395002</v>
      </c>
      <c r="O3010" s="12">
        <v>1022.274389807265</v>
      </c>
      <c r="P3010" s="12">
        <v>0.5</v>
      </c>
      <c r="Q3010" s="12">
        <v>0.92249167471066718</v>
      </c>
      <c r="R3010" s="12">
        <v>0.57606589946837905</v>
      </c>
      <c r="S3010" s="12">
        <v>0.40730215523492058</v>
      </c>
      <c r="T3010" s="12">
        <v>0.52011451006099685</v>
      </c>
      <c r="U3010" s="12">
        <v>0.87841579594922869</v>
      </c>
      <c r="V3010" s="12">
        <v>302.58136184316999</v>
      </c>
      <c r="W3010" s="12">
        <v>10.08984024079818</v>
      </c>
      <c r="X3010" s="12">
        <v>97.913600287761199</v>
      </c>
      <c r="Y3010" s="12">
        <v>3786.0675682322362</v>
      </c>
      <c r="Z3010" s="12">
        <v>4.7035727452255216</v>
      </c>
      <c r="AA3010" s="12"/>
      <c r="AB3010" s="12"/>
    </row>
    <row r="3011" spans="1:28" x14ac:dyDescent="0.3">
      <c r="A3011" s="12" t="s">
        <v>4931</v>
      </c>
      <c r="B3011" s="12" t="s">
        <v>198</v>
      </c>
      <c r="C3011" s="12" t="s">
        <v>509</v>
      </c>
      <c r="D3011" s="12" t="s">
        <v>4854</v>
      </c>
      <c r="E3011" s="12" t="s">
        <v>4403</v>
      </c>
      <c r="F3011" s="12" t="s">
        <v>32</v>
      </c>
      <c r="G3011" s="12" t="s">
        <v>32</v>
      </c>
      <c r="H3011" s="12" t="b">
        <v>1</v>
      </c>
      <c r="I3011" s="12" t="b">
        <v>0</v>
      </c>
      <c r="J3011" s="12" t="b">
        <v>1</v>
      </c>
      <c r="K3011" s="12" t="b">
        <v>0</v>
      </c>
      <c r="L3011" s="12">
        <v>623.15</v>
      </c>
      <c r="M3011" s="12">
        <v>302.58136184316999</v>
      </c>
      <c r="N3011" s="12">
        <v>4808.3419580395002</v>
      </c>
      <c r="O3011" s="12">
        <v>1022.274389807265</v>
      </c>
      <c r="P3011" s="12">
        <v>0.5</v>
      </c>
      <c r="Q3011" s="12">
        <v>0.92249167471066718</v>
      </c>
      <c r="R3011" s="12">
        <v>0.57606589946837905</v>
      </c>
      <c r="S3011" s="12">
        <v>0.46230215523492058</v>
      </c>
      <c r="T3011" s="12">
        <v>0.5751145100609969</v>
      </c>
      <c r="U3011" s="12">
        <v>0.87841579594922869</v>
      </c>
      <c r="V3011" s="12">
        <v>302.58136184316999</v>
      </c>
      <c r="W3011" s="12">
        <v>10.73374388365607</v>
      </c>
      <c r="X3011" s="12">
        <v>117.6305348053192</v>
      </c>
      <c r="Y3011" s="12">
        <v>3786.0675682322362</v>
      </c>
      <c r="Z3011" s="12">
        <v>4.7035727452255216</v>
      </c>
      <c r="AA3011" s="12"/>
      <c r="AB3011" s="12"/>
    </row>
    <row r="3012" spans="1:28" x14ac:dyDescent="0.3">
      <c r="A3012" s="12" t="s">
        <v>4932</v>
      </c>
      <c r="B3012" s="12" t="s">
        <v>198</v>
      </c>
      <c r="C3012" s="12" t="s">
        <v>509</v>
      </c>
      <c r="D3012" s="12" t="s">
        <v>4854</v>
      </c>
      <c r="E3012" s="12" t="s">
        <v>4403</v>
      </c>
      <c r="F3012" s="12" t="s">
        <v>32</v>
      </c>
      <c r="G3012" s="12" t="s">
        <v>32</v>
      </c>
      <c r="H3012" s="12" t="b">
        <v>1</v>
      </c>
      <c r="I3012" s="12" t="b">
        <v>0</v>
      </c>
      <c r="J3012" s="12" t="b">
        <v>1</v>
      </c>
      <c r="K3012" s="12" t="b">
        <v>0</v>
      </c>
      <c r="L3012" s="12">
        <v>623.15</v>
      </c>
      <c r="M3012" s="12">
        <v>302.58136184316999</v>
      </c>
      <c r="N3012" s="12">
        <v>4808.3419580395002</v>
      </c>
      <c r="O3012" s="12">
        <v>1022.274389807265</v>
      </c>
      <c r="P3012" s="12">
        <v>0.5</v>
      </c>
      <c r="Q3012" s="12">
        <v>0.92249167471066718</v>
      </c>
      <c r="R3012" s="12">
        <v>0.57606589946837905</v>
      </c>
      <c r="S3012" s="12">
        <v>0.46230215523492058</v>
      </c>
      <c r="T3012" s="12">
        <v>0.4651145100609968</v>
      </c>
      <c r="U3012" s="12">
        <v>0.87841579594922869</v>
      </c>
      <c r="V3012" s="12">
        <v>302.58136184316999</v>
      </c>
      <c r="W3012" s="12">
        <v>10.375298602486451</v>
      </c>
      <c r="X3012" s="12">
        <v>115.20194159219351</v>
      </c>
      <c r="Y3012" s="12">
        <v>3786.0675682322362</v>
      </c>
      <c r="Z3012" s="12">
        <v>4.7035727452255216</v>
      </c>
      <c r="AA3012" s="12"/>
      <c r="AB3012" s="12"/>
    </row>
    <row r="3013" spans="1:28" x14ac:dyDescent="0.3">
      <c r="A3013" s="12" t="s">
        <v>4933</v>
      </c>
      <c r="B3013" s="12" t="s">
        <v>198</v>
      </c>
      <c r="C3013" s="12" t="s">
        <v>509</v>
      </c>
      <c r="D3013" s="12" t="s">
        <v>4854</v>
      </c>
      <c r="E3013" s="12" t="s">
        <v>4403</v>
      </c>
      <c r="F3013" s="12" t="s">
        <v>32</v>
      </c>
      <c r="G3013" s="12" t="s">
        <v>32</v>
      </c>
      <c r="H3013" s="12" t="b">
        <v>1</v>
      </c>
      <c r="I3013" s="12" t="b">
        <v>0</v>
      </c>
      <c r="J3013" s="12" t="b">
        <v>1</v>
      </c>
      <c r="K3013" s="12" t="b">
        <v>0</v>
      </c>
      <c r="L3013" s="12">
        <v>623.15</v>
      </c>
      <c r="M3013" s="12">
        <v>302.58136184316999</v>
      </c>
      <c r="N3013" s="12">
        <v>4808.3419580395002</v>
      </c>
      <c r="O3013" s="12">
        <v>1022.274389807265</v>
      </c>
      <c r="P3013" s="12">
        <v>0.5</v>
      </c>
      <c r="Q3013" s="12">
        <v>0.92249167471066718</v>
      </c>
      <c r="R3013" s="12">
        <v>0.57606589946837905</v>
      </c>
      <c r="S3013" s="12">
        <v>0.46230215523492058</v>
      </c>
      <c r="T3013" s="12">
        <v>0.52011451006099685</v>
      </c>
      <c r="U3013" s="12">
        <v>0.93341579594922863</v>
      </c>
      <c r="V3013" s="12">
        <v>302.58136184316999</v>
      </c>
      <c r="W3013" s="12">
        <v>10.057765584072939</v>
      </c>
      <c r="X3013" s="12">
        <v>113.0534817003707</v>
      </c>
      <c r="Y3013" s="12">
        <v>3786.0675682322362</v>
      </c>
      <c r="Z3013" s="12">
        <v>4.7035727452255216</v>
      </c>
      <c r="AA3013" s="12"/>
      <c r="AB3013" s="12"/>
    </row>
    <row r="3014" spans="1:28" x14ac:dyDescent="0.3">
      <c r="A3014" s="12" t="s">
        <v>4934</v>
      </c>
      <c r="B3014" s="12" t="s">
        <v>198</v>
      </c>
      <c r="C3014" s="12" t="s">
        <v>509</v>
      </c>
      <c r="D3014" s="12" t="s">
        <v>4854</v>
      </c>
      <c r="E3014" s="12" t="s">
        <v>4403</v>
      </c>
      <c r="F3014" s="12" t="s">
        <v>1861</v>
      </c>
      <c r="G3014" s="12" t="s">
        <v>1861</v>
      </c>
      <c r="H3014" s="12" t="b">
        <v>1</v>
      </c>
      <c r="I3014" s="12" t="b">
        <v>0</v>
      </c>
      <c r="J3014" s="12" t="b">
        <v>1</v>
      </c>
      <c r="K3014" s="12" t="b">
        <v>0</v>
      </c>
      <c r="L3014" s="12">
        <v>623.15</v>
      </c>
      <c r="M3014" s="12">
        <v>302.58136184316999</v>
      </c>
      <c r="N3014" s="12">
        <v>4808.3419580395002</v>
      </c>
      <c r="O3014" s="12">
        <v>1022.274389807265</v>
      </c>
      <c r="P3014" s="12">
        <v>0.5</v>
      </c>
      <c r="Q3014" s="12">
        <v>0.92249167471066718</v>
      </c>
      <c r="R3014" s="12">
        <v>0.57606589946837905</v>
      </c>
      <c r="S3014" s="12">
        <v>0.46230215523492058</v>
      </c>
      <c r="T3014" s="12">
        <v>0.52011451006099685</v>
      </c>
      <c r="U3014" s="12">
        <v>0.82341579594922876</v>
      </c>
      <c r="V3014" s="12">
        <v>302.58136184316999</v>
      </c>
      <c r="W3014" s="12">
        <v>11.046097041451141</v>
      </c>
      <c r="X3014" s="12">
        <v>119.2797451112517</v>
      </c>
      <c r="Y3014" s="12">
        <v>3786.0675682322362</v>
      </c>
      <c r="Z3014" s="12">
        <v>4.7035727452255216</v>
      </c>
      <c r="AA3014" s="12" t="s">
        <v>1268</v>
      </c>
      <c r="AB3014" s="12"/>
    </row>
    <row r="3015" spans="1:28" x14ac:dyDescent="0.3">
      <c r="A3015" s="12" t="s">
        <v>4935</v>
      </c>
      <c r="B3015" s="12" t="s">
        <v>198</v>
      </c>
      <c r="C3015" s="12" t="s">
        <v>509</v>
      </c>
      <c r="D3015" s="12" t="s">
        <v>4854</v>
      </c>
      <c r="E3015" s="12" t="s">
        <v>4403</v>
      </c>
      <c r="F3015" s="12" t="s">
        <v>32</v>
      </c>
      <c r="G3015" s="12" t="s">
        <v>32</v>
      </c>
      <c r="H3015" s="12" t="b">
        <v>1</v>
      </c>
      <c r="I3015" s="12" t="b">
        <v>0</v>
      </c>
      <c r="J3015" s="12" t="b">
        <v>1</v>
      </c>
      <c r="K3015" s="12" t="b">
        <v>0</v>
      </c>
      <c r="L3015" s="12">
        <v>623.15</v>
      </c>
      <c r="M3015" s="12">
        <v>303.55</v>
      </c>
      <c r="N3015" s="12">
        <v>4808.3419580395002</v>
      </c>
      <c r="O3015" s="12">
        <v>1022.274389807265</v>
      </c>
      <c r="P3015" s="12">
        <v>0.5</v>
      </c>
      <c r="Q3015" s="12">
        <v>0.92249167471066718</v>
      </c>
      <c r="R3015" s="12">
        <v>0.57606589946837905</v>
      </c>
      <c r="S3015" s="12">
        <v>0.46230215523492058</v>
      </c>
      <c r="T3015" s="12">
        <v>0.5751145100609969</v>
      </c>
      <c r="U3015" s="12">
        <v>0.87841579594922869</v>
      </c>
      <c r="V3015" s="12">
        <v>303.55</v>
      </c>
      <c r="W3015" s="12">
        <v>10.76678831768187</v>
      </c>
      <c r="X3015" s="12">
        <v>117.8472808458402</v>
      </c>
      <c r="Y3015" s="12">
        <v>3786.0675682322362</v>
      </c>
      <c r="Z3015" s="12">
        <v>4.7035727452255216</v>
      </c>
      <c r="AA3015" s="12"/>
      <c r="AB3015" s="12"/>
    </row>
    <row r="3016" spans="1:28" x14ac:dyDescent="0.3">
      <c r="A3016" s="12" t="s">
        <v>4936</v>
      </c>
      <c r="B3016" s="12" t="s">
        <v>198</v>
      </c>
      <c r="C3016" s="12" t="s">
        <v>509</v>
      </c>
      <c r="D3016" s="12" t="s">
        <v>4854</v>
      </c>
      <c r="E3016" s="12" t="s">
        <v>4403</v>
      </c>
      <c r="F3016" s="12" t="s">
        <v>32</v>
      </c>
      <c r="G3016" s="12" t="s">
        <v>32</v>
      </c>
      <c r="H3016" s="12" t="b">
        <v>1</v>
      </c>
      <c r="I3016" s="12" t="b">
        <v>0</v>
      </c>
      <c r="J3016" s="12" t="b">
        <v>1</v>
      </c>
      <c r="K3016" s="12" t="b">
        <v>0</v>
      </c>
      <c r="L3016" s="12">
        <v>623.15</v>
      </c>
      <c r="M3016" s="12">
        <v>300.04136184316991</v>
      </c>
      <c r="N3016" s="12">
        <v>4808.3419580395002</v>
      </c>
      <c r="O3016" s="12">
        <v>1022.274389807265</v>
      </c>
      <c r="P3016" s="12">
        <v>0.5</v>
      </c>
      <c r="Q3016" s="12">
        <v>0.92249167471066718</v>
      </c>
      <c r="R3016" s="12">
        <v>0.57606589946837905</v>
      </c>
      <c r="S3016" s="12">
        <v>0.46230215523492058</v>
      </c>
      <c r="T3016" s="12">
        <v>0.5751145100609969</v>
      </c>
      <c r="U3016" s="12">
        <v>0.87841579594922869</v>
      </c>
      <c r="V3016" s="12">
        <v>300.04136184316991</v>
      </c>
      <c r="W3016" s="12">
        <v>10.64778293406377</v>
      </c>
      <c r="X3016" s="12">
        <v>117.0641664306488</v>
      </c>
      <c r="Y3016" s="12">
        <v>3786.0675682322362</v>
      </c>
      <c r="Z3016" s="12">
        <v>4.7035727452255216</v>
      </c>
      <c r="AA3016" s="12"/>
      <c r="AB3016" s="12"/>
    </row>
    <row r="3017" spans="1:28" x14ac:dyDescent="0.3">
      <c r="A3017" s="12" t="s">
        <v>4937</v>
      </c>
      <c r="B3017" s="12" t="s">
        <v>198</v>
      </c>
      <c r="C3017" s="12" t="s">
        <v>509</v>
      </c>
      <c r="D3017" s="12" t="s">
        <v>4854</v>
      </c>
      <c r="E3017" s="12" t="s">
        <v>4403</v>
      </c>
      <c r="F3017" s="12" t="s">
        <v>1861</v>
      </c>
      <c r="G3017" s="12" t="s">
        <v>1861</v>
      </c>
      <c r="H3017" s="12" t="b">
        <v>1</v>
      </c>
      <c r="I3017" s="12" t="b">
        <v>0</v>
      </c>
      <c r="J3017" s="12" t="b">
        <v>1</v>
      </c>
      <c r="K3017" s="12" t="b">
        <v>0</v>
      </c>
      <c r="L3017" s="12">
        <v>623.15</v>
      </c>
      <c r="M3017" s="12">
        <v>302.58136184316999</v>
      </c>
      <c r="N3017" s="12">
        <v>5000</v>
      </c>
      <c r="O3017" s="12">
        <v>1022.274389807265</v>
      </c>
      <c r="P3017" s="12">
        <v>0.5</v>
      </c>
      <c r="Q3017" s="12">
        <v>0.92249167471066718</v>
      </c>
      <c r="R3017" s="12">
        <v>0.57606589946837905</v>
      </c>
      <c r="S3017" s="12">
        <v>0.46230215523492058</v>
      </c>
      <c r="T3017" s="12">
        <v>0.5751145100609969</v>
      </c>
      <c r="U3017" s="12">
        <v>0.87841579594922869</v>
      </c>
      <c r="V3017" s="12">
        <v>302.58136184316999</v>
      </c>
      <c r="W3017" s="12">
        <v>10.91502029744059</v>
      </c>
      <c r="X3017" s="12">
        <v>119.2622847604222</v>
      </c>
      <c r="Y3017" s="12">
        <v>3977.725610192736</v>
      </c>
      <c r="Z3017" s="12">
        <v>4.8910547401492463</v>
      </c>
      <c r="AA3017" s="12" t="s">
        <v>3096</v>
      </c>
      <c r="AB3017" s="12"/>
    </row>
    <row r="3018" spans="1:28" x14ac:dyDescent="0.3">
      <c r="A3018" s="12" t="s">
        <v>4938</v>
      </c>
      <c r="B3018" s="12" t="s">
        <v>198</v>
      </c>
      <c r="C3018" s="12" t="s">
        <v>509</v>
      </c>
      <c r="D3018" s="12" t="s">
        <v>4854</v>
      </c>
      <c r="E3018" s="12" t="s">
        <v>4403</v>
      </c>
      <c r="F3018" s="12" t="s">
        <v>32</v>
      </c>
      <c r="G3018" s="12" t="s">
        <v>32</v>
      </c>
      <c r="H3018" s="12" t="b">
        <v>1</v>
      </c>
      <c r="I3018" s="12" t="b">
        <v>0</v>
      </c>
      <c r="J3018" s="12" t="b">
        <v>1</v>
      </c>
      <c r="K3018" s="12" t="b">
        <v>0</v>
      </c>
      <c r="L3018" s="12">
        <v>623.15</v>
      </c>
      <c r="M3018" s="12">
        <v>302.58136184316999</v>
      </c>
      <c r="N3018" s="12">
        <v>4508.3419580395002</v>
      </c>
      <c r="O3018" s="12">
        <v>1022.274389807265</v>
      </c>
      <c r="P3018" s="12">
        <v>0.5</v>
      </c>
      <c r="Q3018" s="12">
        <v>0.92249167471066718</v>
      </c>
      <c r="R3018" s="12">
        <v>0.57606589946837905</v>
      </c>
      <c r="S3018" s="12">
        <v>0.46230215523492058</v>
      </c>
      <c r="T3018" s="12">
        <v>0.5751145100609969</v>
      </c>
      <c r="U3018" s="12">
        <v>0.87841579594922869</v>
      </c>
      <c r="V3018" s="12">
        <v>302.58136184316999</v>
      </c>
      <c r="W3018" s="12">
        <v>10.420547633043711</v>
      </c>
      <c r="X3018" s="12">
        <v>114.7301054376168</v>
      </c>
      <c r="Y3018" s="12">
        <v>3486.0675682322362</v>
      </c>
      <c r="Z3018" s="12">
        <v>4.4101094608165674</v>
      </c>
      <c r="AA3018" s="12"/>
      <c r="AB3018" s="12"/>
    </row>
    <row r="3019" spans="1:28" x14ac:dyDescent="0.3">
      <c r="A3019" s="12" t="s">
        <v>4939</v>
      </c>
      <c r="B3019" s="12" t="s">
        <v>198</v>
      </c>
      <c r="C3019" s="12" t="s">
        <v>509</v>
      </c>
      <c r="D3019" s="12" t="s">
        <v>4854</v>
      </c>
      <c r="E3019" s="12" t="s">
        <v>4403</v>
      </c>
      <c r="F3019" s="12" t="s">
        <v>32</v>
      </c>
      <c r="G3019" s="12" t="s">
        <v>32</v>
      </c>
      <c r="H3019" s="12" t="b">
        <v>1</v>
      </c>
      <c r="I3019" s="12" t="b">
        <v>0</v>
      </c>
      <c r="J3019" s="12" t="b">
        <v>1</v>
      </c>
      <c r="K3019" s="12" t="b">
        <v>0</v>
      </c>
      <c r="L3019" s="12">
        <v>623.15</v>
      </c>
      <c r="M3019" s="12">
        <v>302.58136184316999</v>
      </c>
      <c r="N3019" s="12">
        <v>4808.3419580395002</v>
      </c>
      <c r="O3019" s="12">
        <v>1242.274389807264</v>
      </c>
      <c r="P3019" s="12">
        <v>0.5</v>
      </c>
      <c r="Q3019" s="12">
        <v>0.92249167471066718</v>
      </c>
      <c r="R3019" s="12">
        <v>0.57606589946837905</v>
      </c>
      <c r="S3019" s="12">
        <v>0.46230215523492058</v>
      </c>
      <c r="T3019" s="12">
        <v>0.5751145100609969</v>
      </c>
      <c r="U3019" s="12">
        <v>0.87841579594922869</v>
      </c>
      <c r="V3019" s="12">
        <v>302.58136184316999</v>
      </c>
      <c r="W3019" s="12">
        <v>9.4333093107955399</v>
      </c>
      <c r="X3019" s="12">
        <v>103.3315347318638</v>
      </c>
      <c r="Y3019" s="12">
        <v>3566.0675682322362</v>
      </c>
      <c r="Z3019" s="12">
        <v>3.870595737537101</v>
      </c>
      <c r="AA3019" s="12"/>
      <c r="AB3019" s="12"/>
    </row>
    <row r="3020" spans="1:28" x14ac:dyDescent="0.3">
      <c r="A3020" s="12" t="s">
        <v>4940</v>
      </c>
      <c r="B3020" s="12" t="s">
        <v>198</v>
      </c>
      <c r="C3020" s="12" t="s">
        <v>509</v>
      </c>
      <c r="D3020" s="12" t="s">
        <v>4854</v>
      </c>
      <c r="E3020" s="12" t="s">
        <v>4403</v>
      </c>
      <c r="F3020" s="12" t="s">
        <v>1861</v>
      </c>
      <c r="G3020" s="12" t="s">
        <v>1861</v>
      </c>
      <c r="H3020" s="12" t="b">
        <v>1</v>
      </c>
      <c r="I3020" s="12" t="b">
        <v>0</v>
      </c>
      <c r="J3020" s="12" t="b">
        <v>1</v>
      </c>
      <c r="K3020" s="12" t="b">
        <v>0</v>
      </c>
      <c r="L3020" s="12">
        <v>623.15</v>
      </c>
      <c r="M3020" s="12">
        <v>302.58136184316999</v>
      </c>
      <c r="N3020" s="12">
        <v>4808.3419580395002</v>
      </c>
      <c r="O3020" s="12">
        <v>802.27438980726458</v>
      </c>
      <c r="P3020" s="12">
        <v>0.5</v>
      </c>
      <c r="Q3020" s="12">
        <v>0.92249167471066718</v>
      </c>
      <c r="R3020" s="12">
        <v>0.57606589946837905</v>
      </c>
      <c r="S3020" s="12">
        <v>0.46230215523492058</v>
      </c>
      <c r="T3020" s="12">
        <v>0.5751145100609969</v>
      </c>
      <c r="U3020" s="12">
        <v>0.87841579594922869</v>
      </c>
      <c r="V3020" s="12">
        <v>302.58136184316999</v>
      </c>
      <c r="W3020" s="12">
        <v>12.30990097862588</v>
      </c>
      <c r="X3020" s="12">
        <v>134.97715132190271</v>
      </c>
      <c r="Y3020" s="12">
        <v>4006.0675682322362</v>
      </c>
      <c r="Z3020" s="12">
        <v>5.9933883209142929</v>
      </c>
      <c r="AA3020" s="12" t="s">
        <v>1981</v>
      </c>
      <c r="AB3020" s="12"/>
    </row>
    <row r="3021" spans="1:28" x14ac:dyDescent="0.3">
      <c r="A3021" s="12" t="s">
        <v>4941</v>
      </c>
      <c r="B3021" s="12" t="s">
        <v>198</v>
      </c>
      <c r="C3021" s="12" t="s">
        <v>509</v>
      </c>
      <c r="D3021" s="12" t="s">
        <v>4854</v>
      </c>
      <c r="E3021" s="12" t="s">
        <v>4403</v>
      </c>
      <c r="F3021" s="12" t="s">
        <v>1861</v>
      </c>
      <c r="G3021" s="12" t="s">
        <v>1861</v>
      </c>
      <c r="H3021" s="12" t="b">
        <v>1</v>
      </c>
      <c r="I3021" s="12" t="b">
        <v>0</v>
      </c>
      <c r="J3021" s="12" t="b">
        <v>1</v>
      </c>
      <c r="K3021" s="12" t="b">
        <v>0</v>
      </c>
      <c r="L3021" s="12">
        <v>623.15</v>
      </c>
      <c r="M3021" s="12">
        <v>302.58136184316999</v>
      </c>
      <c r="N3021" s="12">
        <v>4808.3419580395002</v>
      </c>
      <c r="O3021" s="12">
        <v>1022.274389807265</v>
      </c>
      <c r="P3021" s="12">
        <v>0.5</v>
      </c>
      <c r="Q3021" s="12">
        <v>0.95</v>
      </c>
      <c r="R3021" s="12">
        <v>0.57606589946837905</v>
      </c>
      <c r="S3021" s="12">
        <v>0.46230215523492058</v>
      </c>
      <c r="T3021" s="12">
        <v>0.5751145100609969</v>
      </c>
      <c r="U3021" s="12">
        <v>0.87841579594922869</v>
      </c>
      <c r="V3021" s="12">
        <v>302.58136184316999</v>
      </c>
      <c r="W3021" s="12">
        <v>11.072493691902871</v>
      </c>
      <c r="X3021" s="12">
        <v>121.3601390540516</v>
      </c>
      <c r="Y3021" s="12">
        <v>3786.0675682322362</v>
      </c>
      <c r="Z3021" s="12">
        <v>4.7035727452255216</v>
      </c>
      <c r="AA3021" s="12" t="s">
        <v>3096</v>
      </c>
      <c r="AB3021" s="12"/>
    </row>
    <row r="3022" spans="1:28" x14ac:dyDescent="0.3">
      <c r="A3022" s="12" t="s">
        <v>4942</v>
      </c>
      <c r="B3022" s="12" t="s">
        <v>198</v>
      </c>
      <c r="C3022" s="12" t="s">
        <v>509</v>
      </c>
      <c r="D3022" s="12" t="s">
        <v>4854</v>
      </c>
      <c r="E3022" s="12" t="s">
        <v>4403</v>
      </c>
      <c r="F3022" s="12" t="s">
        <v>32</v>
      </c>
      <c r="G3022" s="12" t="s">
        <v>32</v>
      </c>
      <c r="H3022" s="12" t="b">
        <v>1</v>
      </c>
      <c r="I3022" s="12" t="b">
        <v>0</v>
      </c>
      <c r="J3022" s="12" t="b">
        <v>1</v>
      </c>
      <c r="K3022" s="12" t="b">
        <v>0</v>
      </c>
      <c r="L3022" s="12">
        <v>623.15</v>
      </c>
      <c r="M3022" s="12">
        <v>302.58136184316999</v>
      </c>
      <c r="N3022" s="12">
        <v>4808.3419580395002</v>
      </c>
      <c r="O3022" s="12">
        <v>1022.274389807265</v>
      </c>
      <c r="P3022" s="12">
        <v>0.5</v>
      </c>
      <c r="Q3022" s="12">
        <v>0.86749167471066713</v>
      </c>
      <c r="R3022" s="12">
        <v>0.57606589946837905</v>
      </c>
      <c r="S3022" s="12">
        <v>0.46230215523492058</v>
      </c>
      <c r="T3022" s="12">
        <v>0.5751145100609969</v>
      </c>
      <c r="U3022" s="12">
        <v>0.87841579594922869</v>
      </c>
      <c r="V3022" s="12">
        <v>302.58136184316999</v>
      </c>
      <c r="W3022" s="12">
        <v>10.05573913179167</v>
      </c>
      <c r="X3022" s="12">
        <v>110.1689448292299</v>
      </c>
      <c r="Y3022" s="12">
        <v>3786.0675682322362</v>
      </c>
      <c r="Z3022" s="12">
        <v>4.7035727452255216</v>
      </c>
      <c r="AA3022" s="12"/>
      <c r="AB3022" s="12"/>
    </row>
    <row r="3023" spans="1:28" x14ac:dyDescent="0.3">
      <c r="A3023" s="12" t="s">
        <v>4943</v>
      </c>
      <c r="B3023" s="12" t="s">
        <v>198</v>
      </c>
      <c r="C3023" s="12" t="s">
        <v>509</v>
      </c>
      <c r="D3023" s="12" t="s">
        <v>4854</v>
      </c>
      <c r="E3023" s="12" t="s">
        <v>4403</v>
      </c>
      <c r="F3023" s="12" t="s">
        <v>32</v>
      </c>
      <c r="G3023" s="12" t="s">
        <v>32</v>
      </c>
      <c r="H3023" s="12" t="b">
        <v>1</v>
      </c>
      <c r="I3023" s="12" t="b">
        <v>0</v>
      </c>
      <c r="J3023" s="12" t="b">
        <v>1</v>
      </c>
      <c r="K3023" s="12" t="b">
        <v>0</v>
      </c>
      <c r="L3023" s="12">
        <v>623.15</v>
      </c>
      <c r="M3023" s="12">
        <v>302.58136184316999</v>
      </c>
      <c r="N3023" s="12">
        <v>4808.3419580395002</v>
      </c>
      <c r="O3023" s="12">
        <v>1022.274389807265</v>
      </c>
      <c r="P3023" s="12">
        <v>0.5</v>
      </c>
      <c r="Q3023" s="12">
        <v>0.92249167471066718</v>
      </c>
      <c r="R3023" s="12">
        <v>0.6310658994683791</v>
      </c>
      <c r="S3023" s="12">
        <v>0.46230215523492058</v>
      </c>
      <c r="T3023" s="12">
        <v>0.5751145100609969</v>
      </c>
      <c r="U3023" s="12">
        <v>0.87841579594922869</v>
      </c>
      <c r="V3023" s="12">
        <v>302.58136184316999</v>
      </c>
      <c r="W3023" s="12">
        <v>10.79361451309326</v>
      </c>
      <c r="X3023" s="12">
        <v>118.3132807767193</v>
      </c>
      <c r="Y3023" s="12">
        <v>3786.0675682322362</v>
      </c>
      <c r="Z3023" s="12">
        <v>4.7035727452255216</v>
      </c>
      <c r="AA3023" s="12"/>
      <c r="AB3023" s="12"/>
    </row>
    <row r="3024" spans="1:28" x14ac:dyDescent="0.3">
      <c r="A3024" s="12" t="s">
        <v>4944</v>
      </c>
      <c r="B3024" s="12" t="s">
        <v>198</v>
      </c>
      <c r="C3024" s="12" t="s">
        <v>509</v>
      </c>
      <c r="D3024" s="12" t="s">
        <v>4854</v>
      </c>
      <c r="E3024" s="12" t="s">
        <v>4403</v>
      </c>
      <c r="F3024" s="12" t="s">
        <v>32</v>
      </c>
      <c r="G3024" s="12" t="s">
        <v>32</v>
      </c>
      <c r="H3024" s="12" t="b">
        <v>1</v>
      </c>
      <c r="I3024" s="12" t="b">
        <v>0</v>
      </c>
      <c r="J3024" s="12" t="b">
        <v>1</v>
      </c>
      <c r="K3024" s="12" t="b">
        <v>0</v>
      </c>
      <c r="L3024" s="12">
        <v>623.15</v>
      </c>
      <c r="M3024" s="12">
        <v>302.58136184316999</v>
      </c>
      <c r="N3024" s="12">
        <v>4808.3419580395002</v>
      </c>
      <c r="O3024" s="12">
        <v>1022.274389807265</v>
      </c>
      <c r="P3024" s="12">
        <v>0.5</v>
      </c>
      <c r="Q3024" s="12">
        <v>0.92249167471066718</v>
      </c>
      <c r="R3024" s="12">
        <v>0.521065899468379</v>
      </c>
      <c r="S3024" s="12">
        <v>0.46230215523492058</v>
      </c>
      <c r="T3024" s="12">
        <v>0.5751145100609969</v>
      </c>
      <c r="U3024" s="12">
        <v>0.87841579594922869</v>
      </c>
      <c r="V3024" s="12">
        <v>302.58136184316999</v>
      </c>
      <c r="W3024" s="12">
        <v>10.6611972306511</v>
      </c>
      <c r="X3024" s="12">
        <v>116.8036392000708</v>
      </c>
      <c r="Y3024" s="12">
        <v>3786.0675682322362</v>
      </c>
      <c r="Z3024" s="12">
        <v>4.7035727452255216</v>
      </c>
      <c r="AA3024" s="12"/>
      <c r="AB3024" s="12"/>
    </row>
    <row r="3025" spans="1:28" x14ac:dyDescent="0.3">
      <c r="A3025" s="12" t="s">
        <v>4945</v>
      </c>
      <c r="B3025" s="12" t="s">
        <v>198</v>
      </c>
      <c r="C3025" s="12" t="s">
        <v>509</v>
      </c>
      <c r="D3025" s="12" t="s">
        <v>4854</v>
      </c>
      <c r="E3025" s="12" t="s">
        <v>4403</v>
      </c>
      <c r="F3025" s="12" t="s">
        <v>1861</v>
      </c>
      <c r="G3025" s="12" t="s">
        <v>1861</v>
      </c>
      <c r="H3025" s="12" t="b">
        <v>1</v>
      </c>
      <c r="I3025" s="12" t="b">
        <v>0</v>
      </c>
      <c r="J3025" s="12" t="b">
        <v>1</v>
      </c>
      <c r="K3025" s="12" t="b">
        <v>0</v>
      </c>
      <c r="L3025" s="12">
        <v>623.15</v>
      </c>
      <c r="M3025" s="12">
        <v>302.58136184316999</v>
      </c>
      <c r="N3025" s="12">
        <v>4808.3419580395002</v>
      </c>
      <c r="O3025" s="12">
        <v>1022.274389807265</v>
      </c>
      <c r="P3025" s="12">
        <v>0.5</v>
      </c>
      <c r="Q3025" s="12">
        <v>0.92249167471066718</v>
      </c>
      <c r="R3025" s="12">
        <v>0.57606589946837905</v>
      </c>
      <c r="S3025" s="12">
        <v>0.51730215523492062</v>
      </c>
      <c r="T3025" s="12">
        <v>0.5751145100609969</v>
      </c>
      <c r="U3025" s="12">
        <v>0.87841579594922869</v>
      </c>
      <c r="V3025" s="12">
        <v>302.58136184316999</v>
      </c>
      <c r="W3025" s="12">
        <v>11.054357113987519</v>
      </c>
      <c r="X3025" s="12">
        <v>135.96957799073459</v>
      </c>
      <c r="Y3025" s="12">
        <v>3786.0675682322362</v>
      </c>
      <c r="Z3025" s="12">
        <v>4.7035727452255216</v>
      </c>
      <c r="AA3025" s="12" t="s">
        <v>3096</v>
      </c>
      <c r="AB3025" s="12"/>
    </row>
    <row r="3026" spans="1:28" x14ac:dyDescent="0.3">
      <c r="A3026" s="12" t="s">
        <v>4946</v>
      </c>
      <c r="B3026" s="12" t="s">
        <v>198</v>
      </c>
      <c r="C3026" s="12" t="s">
        <v>509</v>
      </c>
      <c r="D3026" s="12" t="s">
        <v>4854</v>
      </c>
      <c r="E3026" s="12" t="s">
        <v>4403</v>
      </c>
      <c r="F3026" s="12" t="s">
        <v>32</v>
      </c>
      <c r="G3026" s="12" t="s">
        <v>32</v>
      </c>
      <c r="H3026" s="12" t="b">
        <v>1</v>
      </c>
      <c r="I3026" s="12" t="b">
        <v>0</v>
      </c>
      <c r="J3026" s="12" t="b">
        <v>1</v>
      </c>
      <c r="K3026" s="12" t="b">
        <v>0</v>
      </c>
      <c r="L3026" s="12">
        <v>623.15</v>
      </c>
      <c r="M3026" s="12">
        <v>302.58136184316999</v>
      </c>
      <c r="N3026" s="12">
        <v>4808.3419580395002</v>
      </c>
      <c r="O3026" s="12">
        <v>1022.274389807265</v>
      </c>
      <c r="P3026" s="12">
        <v>0.5</v>
      </c>
      <c r="Q3026" s="12">
        <v>0.92249167471066718</v>
      </c>
      <c r="R3026" s="12">
        <v>0.57606589946837905</v>
      </c>
      <c r="S3026" s="12">
        <v>0.40730215523492058</v>
      </c>
      <c r="T3026" s="12">
        <v>0.5751145100609969</v>
      </c>
      <c r="U3026" s="12">
        <v>0.87841579594922869</v>
      </c>
      <c r="V3026" s="12">
        <v>302.58136184316999</v>
      </c>
      <c r="W3026" s="12">
        <v>10.31955207194941</v>
      </c>
      <c r="X3026" s="12">
        <v>99.404994213205967</v>
      </c>
      <c r="Y3026" s="12">
        <v>3786.0675682322362</v>
      </c>
      <c r="Z3026" s="12">
        <v>4.7035727452255216</v>
      </c>
      <c r="AA3026" s="12"/>
      <c r="AB3026" s="12"/>
    </row>
    <row r="3027" spans="1:28" x14ac:dyDescent="0.3">
      <c r="A3027" s="12" t="s">
        <v>4947</v>
      </c>
      <c r="B3027" s="12" t="s">
        <v>198</v>
      </c>
      <c r="C3027" s="12" t="s">
        <v>509</v>
      </c>
      <c r="D3027" s="12" t="s">
        <v>4854</v>
      </c>
      <c r="E3027" s="12" t="s">
        <v>4403</v>
      </c>
      <c r="F3027" s="12" t="s">
        <v>32</v>
      </c>
      <c r="G3027" s="12" t="s">
        <v>32</v>
      </c>
      <c r="H3027" s="12" t="b">
        <v>1</v>
      </c>
      <c r="I3027" s="12" t="b">
        <v>0</v>
      </c>
      <c r="J3027" s="12" t="b">
        <v>1</v>
      </c>
      <c r="K3027" s="12" t="b">
        <v>0</v>
      </c>
      <c r="L3027" s="12">
        <v>623.15</v>
      </c>
      <c r="M3027" s="12">
        <v>302.58136184316999</v>
      </c>
      <c r="N3027" s="12">
        <v>4808.3419580395002</v>
      </c>
      <c r="O3027" s="12">
        <v>1022.274389807265</v>
      </c>
      <c r="P3027" s="12">
        <v>0.5</v>
      </c>
      <c r="Q3027" s="12">
        <v>0.92249167471066718</v>
      </c>
      <c r="R3027" s="12">
        <v>0.57606589946837905</v>
      </c>
      <c r="S3027" s="12">
        <v>0.46230215523492058</v>
      </c>
      <c r="T3027" s="12">
        <v>0.63011451006099684</v>
      </c>
      <c r="U3027" s="12">
        <v>0.87841579594922869</v>
      </c>
      <c r="V3027" s="12">
        <v>302.58136184316999</v>
      </c>
      <c r="W3027" s="12">
        <v>10.9137155760239</v>
      </c>
      <c r="X3027" s="12">
        <v>118.8265889675895</v>
      </c>
      <c r="Y3027" s="12">
        <v>3786.0675682322362</v>
      </c>
      <c r="Z3027" s="12">
        <v>4.7035727452255216</v>
      </c>
      <c r="AA3027" s="12"/>
      <c r="AB3027" s="12"/>
    </row>
    <row r="3028" spans="1:28" x14ac:dyDescent="0.3">
      <c r="A3028" s="12" t="s">
        <v>4948</v>
      </c>
      <c r="B3028" s="12" t="s">
        <v>198</v>
      </c>
      <c r="C3028" s="12" t="s">
        <v>509</v>
      </c>
      <c r="D3028" s="12" t="s">
        <v>4854</v>
      </c>
      <c r="E3028" s="12" t="s">
        <v>4403</v>
      </c>
      <c r="F3028" s="12" t="s">
        <v>32</v>
      </c>
      <c r="G3028" s="12" t="s">
        <v>32</v>
      </c>
      <c r="H3028" s="12" t="b">
        <v>1</v>
      </c>
      <c r="I3028" s="12" t="b">
        <v>0</v>
      </c>
      <c r="J3028" s="12" t="b">
        <v>1</v>
      </c>
      <c r="K3028" s="12" t="b">
        <v>0</v>
      </c>
      <c r="L3028" s="12">
        <v>623.15</v>
      </c>
      <c r="M3028" s="12">
        <v>302.58136184316999</v>
      </c>
      <c r="N3028" s="12">
        <v>4808.3419580395002</v>
      </c>
      <c r="O3028" s="12">
        <v>1022.274389807265</v>
      </c>
      <c r="P3028" s="12">
        <v>0.5</v>
      </c>
      <c r="Q3028" s="12">
        <v>0.92249167471066718</v>
      </c>
      <c r="R3028" s="12">
        <v>0.57606589946837905</v>
      </c>
      <c r="S3028" s="12">
        <v>0.46230215523492058</v>
      </c>
      <c r="T3028" s="12">
        <v>0.52011451006099685</v>
      </c>
      <c r="U3028" s="12">
        <v>0.87841579594922869</v>
      </c>
      <c r="V3028" s="12">
        <v>302.58136184316999</v>
      </c>
      <c r="W3028" s="12">
        <v>10.55425600687045</v>
      </c>
      <c r="X3028" s="12">
        <v>116.422273350076</v>
      </c>
      <c r="Y3028" s="12">
        <v>3786.0675682322362</v>
      </c>
      <c r="Z3028" s="12">
        <v>4.7035727452255216</v>
      </c>
      <c r="AA3028" s="12"/>
      <c r="AB3028" s="12"/>
    </row>
    <row r="3029" spans="1:28" x14ac:dyDescent="0.3">
      <c r="A3029" s="12" t="s">
        <v>4949</v>
      </c>
      <c r="B3029" s="12" t="s">
        <v>198</v>
      </c>
      <c r="C3029" s="12" t="s">
        <v>509</v>
      </c>
      <c r="D3029" s="12" t="s">
        <v>4854</v>
      </c>
      <c r="E3029" s="12" t="s">
        <v>4403</v>
      </c>
      <c r="F3029" s="12" t="s">
        <v>32</v>
      </c>
      <c r="G3029" s="12" t="s">
        <v>32</v>
      </c>
      <c r="H3029" s="12" t="b">
        <v>1</v>
      </c>
      <c r="I3029" s="12" t="b">
        <v>0</v>
      </c>
      <c r="J3029" s="12" t="b">
        <v>1</v>
      </c>
      <c r="K3029" s="12" t="b">
        <v>0</v>
      </c>
      <c r="L3029" s="12">
        <v>623.15</v>
      </c>
      <c r="M3029" s="12">
        <v>302.58136184316999</v>
      </c>
      <c r="N3029" s="12">
        <v>4808.3419580395002</v>
      </c>
      <c r="O3029" s="12">
        <v>1022.274389807265</v>
      </c>
      <c r="P3029" s="12">
        <v>0.5</v>
      </c>
      <c r="Q3029" s="12">
        <v>0.92249167471066718</v>
      </c>
      <c r="R3029" s="12">
        <v>0.57606589946837905</v>
      </c>
      <c r="S3029" s="12">
        <v>0.46230215523492058</v>
      </c>
      <c r="T3029" s="12">
        <v>0.5751145100609969</v>
      </c>
      <c r="U3029" s="12">
        <v>0.93341579594922863</v>
      </c>
      <c r="V3029" s="12">
        <v>302.58136184316999</v>
      </c>
      <c r="W3029" s="12">
        <v>10.25381582184081</v>
      </c>
      <c r="X3029" s="12">
        <v>114.42080111005031</v>
      </c>
      <c r="Y3029" s="12">
        <v>3786.0675682322362</v>
      </c>
      <c r="Z3029" s="12">
        <v>4.7035727452255216</v>
      </c>
      <c r="AA3029" s="12"/>
      <c r="AB3029" s="12"/>
    </row>
    <row r="3030" spans="1:28" x14ac:dyDescent="0.3">
      <c r="A3030" s="12" t="s">
        <v>4950</v>
      </c>
      <c r="B3030" s="12" t="s">
        <v>198</v>
      </c>
      <c r="C3030" s="12" t="s">
        <v>509</v>
      </c>
      <c r="D3030" s="12" t="s">
        <v>4854</v>
      </c>
      <c r="E3030" s="12" t="s">
        <v>4403</v>
      </c>
      <c r="F3030" s="12" t="s">
        <v>1861</v>
      </c>
      <c r="G3030" s="12" t="s">
        <v>1861</v>
      </c>
      <c r="H3030" s="12" t="b">
        <v>1</v>
      </c>
      <c r="I3030" s="12" t="b">
        <v>0</v>
      </c>
      <c r="J3030" s="12" t="b">
        <v>1</v>
      </c>
      <c r="K3030" s="12" t="b">
        <v>0</v>
      </c>
      <c r="L3030" s="12">
        <v>623.15</v>
      </c>
      <c r="M3030" s="12">
        <v>302.58136184316999</v>
      </c>
      <c r="N3030" s="12">
        <v>4808.3419580395002</v>
      </c>
      <c r="O3030" s="12">
        <v>1022.274389807265</v>
      </c>
      <c r="P3030" s="12">
        <v>0.5</v>
      </c>
      <c r="Q3030" s="12">
        <v>0.92249167471066718</v>
      </c>
      <c r="R3030" s="12">
        <v>0.57606589946837905</v>
      </c>
      <c r="S3030" s="12">
        <v>0.46230215523492058</v>
      </c>
      <c r="T3030" s="12">
        <v>0.5751145100609969</v>
      </c>
      <c r="U3030" s="12">
        <v>0.82341579594922876</v>
      </c>
      <c r="V3030" s="12">
        <v>302.58136184316999</v>
      </c>
      <c r="W3030" s="12">
        <v>11.21201281853252</v>
      </c>
      <c r="X3030" s="12">
        <v>120.379218414657</v>
      </c>
      <c r="Y3030" s="12">
        <v>3786.0675682322362</v>
      </c>
      <c r="Z3030" s="12">
        <v>4.7035727452255216</v>
      </c>
      <c r="AA3030" s="12" t="s">
        <v>1268</v>
      </c>
      <c r="AB3030" s="12"/>
    </row>
    <row r="3031" spans="1:28" x14ac:dyDescent="0.3">
      <c r="A3031" s="12" t="s">
        <v>4951</v>
      </c>
      <c r="B3031" s="12" t="s">
        <v>198</v>
      </c>
      <c r="C3031" s="12" t="s">
        <v>509</v>
      </c>
      <c r="D3031" s="12" t="s">
        <v>4854</v>
      </c>
      <c r="E3031" s="12" t="s">
        <v>4403</v>
      </c>
      <c r="F3031" s="12" t="s">
        <v>32</v>
      </c>
      <c r="G3031" s="12" t="s">
        <v>32</v>
      </c>
      <c r="H3031" s="12" t="b">
        <v>1</v>
      </c>
      <c r="I3031" s="12" t="b">
        <v>0</v>
      </c>
      <c r="J3031" s="12" t="b">
        <v>1</v>
      </c>
      <c r="K3031" s="12" t="b">
        <v>0</v>
      </c>
      <c r="L3031" s="12">
        <v>623.15</v>
      </c>
      <c r="M3031" s="12">
        <v>303.55</v>
      </c>
      <c r="N3031" s="12">
        <v>4808.3419580395002</v>
      </c>
      <c r="O3031" s="12">
        <v>1022.274389807265</v>
      </c>
      <c r="P3031" s="12">
        <v>0.5</v>
      </c>
      <c r="Q3031" s="12">
        <v>0.92249167471066718</v>
      </c>
      <c r="R3031" s="12">
        <v>0.57606589946837905</v>
      </c>
      <c r="S3031" s="12">
        <v>0.46230215523492058</v>
      </c>
      <c r="T3031" s="12">
        <v>0.63011451006099684</v>
      </c>
      <c r="U3031" s="12">
        <v>0.87841579594922869</v>
      </c>
      <c r="V3031" s="12">
        <v>303.55</v>
      </c>
      <c r="W3031" s="12">
        <v>10.945940376732841</v>
      </c>
      <c r="X3031" s="12">
        <v>119.0350907889633</v>
      </c>
      <c r="Y3031" s="12">
        <v>3786.0675682322362</v>
      </c>
      <c r="Z3031" s="12">
        <v>4.7035727452255216</v>
      </c>
      <c r="AA3031" s="12"/>
      <c r="AB3031" s="12"/>
    </row>
    <row r="3032" spans="1:28" x14ac:dyDescent="0.3">
      <c r="A3032" s="12" t="s">
        <v>4952</v>
      </c>
      <c r="B3032" s="12" t="s">
        <v>198</v>
      </c>
      <c r="C3032" s="12" t="s">
        <v>509</v>
      </c>
      <c r="D3032" s="12" t="s">
        <v>4854</v>
      </c>
      <c r="E3032" s="12" t="s">
        <v>4403</v>
      </c>
      <c r="F3032" s="12" t="s">
        <v>32</v>
      </c>
      <c r="G3032" s="12" t="s">
        <v>32</v>
      </c>
      <c r="H3032" s="12" t="b">
        <v>1</v>
      </c>
      <c r="I3032" s="12" t="b">
        <v>0</v>
      </c>
      <c r="J3032" s="12" t="b">
        <v>1</v>
      </c>
      <c r="K3032" s="12" t="b">
        <v>0</v>
      </c>
      <c r="L3032" s="12">
        <v>623.15</v>
      </c>
      <c r="M3032" s="12">
        <v>300.04136184316991</v>
      </c>
      <c r="N3032" s="12">
        <v>4808.3419580395002</v>
      </c>
      <c r="O3032" s="12">
        <v>1022.274389807265</v>
      </c>
      <c r="P3032" s="12">
        <v>0.5</v>
      </c>
      <c r="Q3032" s="12">
        <v>0.92249167471066718</v>
      </c>
      <c r="R3032" s="12">
        <v>0.57606589946837905</v>
      </c>
      <c r="S3032" s="12">
        <v>0.46230215523492058</v>
      </c>
      <c r="T3032" s="12">
        <v>0.63011451006099684</v>
      </c>
      <c r="U3032" s="12">
        <v>0.87841579594922869</v>
      </c>
      <c r="V3032" s="12">
        <v>300.04136184316991</v>
      </c>
      <c r="W3032" s="12">
        <v>10.829888312208331</v>
      </c>
      <c r="X3032" s="12">
        <v>118.2818451159383</v>
      </c>
      <c r="Y3032" s="12">
        <v>3786.0675682322362</v>
      </c>
      <c r="Z3032" s="12">
        <v>4.7035727452255216</v>
      </c>
      <c r="AA3032" s="12"/>
      <c r="AB3032" s="12"/>
    </row>
    <row r="3033" spans="1:28" x14ac:dyDescent="0.3">
      <c r="A3033" s="12" t="s">
        <v>4953</v>
      </c>
      <c r="B3033" s="12" t="s">
        <v>198</v>
      </c>
      <c r="C3033" s="12" t="s">
        <v>509</v>
      </c>
      <c r="D3033" s="12" t="s">
        <v>4854</v>
      </c>
      <c r="E3033" s="12" t="s">
        <v>4403</v>
      </c>
      <c r="F3033" s="12" t="s">
        <v>1861</v>
      </c>
      <c r="G3033" s="12" t="s">
        <v>1861</v>
      </c>
      <c r="H3033" s="12" t="b">
        <v>1</v>
      </c>
      <c r="I3033" s="12" t="b">
        <v>0</v>
      </c>
      <c r="J3033" s="12" t="b">
        <v>1</v>
      </c>
      <c r="K3033" s="12" t="b">
        <v>0</v>
      </c>
      <c r="L3033" s="12">
        <v>623.15</v>
      </c>
      <c r="M3033" s="12">
        <v>302.58136184316999</v>
      </c>
      <c r="N3033" s="12">
        <v>5000</v>
      </c>
      <c r="O3033" s="12">
        <v>1022.274389807265</v>
      </c>
      <c r="P3033" s="12">
        <v>0.5</v>
      </c>
      <c r="Q3033" s="12">
        <v>0.92249167471066718</v>
      </c>
      <c r="R3033" s="12">
        <v>0.57606589946837905</v>
      </c>
      <c r="S3033" s="12">
        <v>0.46230215523492058</v>
      </c>
      <c r="T3033" s="12">
        <v>0.63011451006099684</v>
      </c>
      <c r="U3033" s="12">
        <v>0.87841579594922869</v>
      </c>
      <c r="V3033" s="12">
        <v>302.58136184316999</v>
      </c>
      <c r="W3033" s="12">
        <v>11.103854920563711</v>
      </c>
      <c r="X3033" s="12">
        <v>120.5197668218611</v>
      </c>
      <c r="Y3033" s="12">
        <v>3977.725610192736</v>
      </c>
      <c r="Z3033" s="12">
        <v>4.8910547401492463</v>
      </c>
      <c r="AA3033" s="12" t="s">
        <v>3096</v>
      </c>
      <c r="AB3033" s="12"/>
    </row>
    <row r="3034" spans="1:28" x14ac:dyDescent="0.3">
      <c r="A3034" s="12" t="s">
        <v>4954</v>
      </c>
      <c r="B3034" s="12" t="s">
        <v>198</v>
      </c>
      <c r="C3034" s="12" t="s">
        <v>509</v>
      </c>
      <c r="D3034" s="12" t="s">
        <v>4854</v>
      </c>
      <c r="E3034" s="12" t="s">
        <v>4403</v>
      </c>
      <c r="F3034" s="12" t="s">
        <v>32</v>
      </c>
      <c r="G3034" s="12" t="s">
        <v>32</v>
      </c>
      <c r="H3034" s="12" t="b">
        <v>1</v>
      </c>
      <c r="I3034" s="12" t="b">
        <v>0</v>
      </c>
      <c r="J3034" s="12" t="b">
        <v>1</v>
      </c>
      <c r="K3034" s="12" t="b">
        <v>0</v>
      </c>
      <c r="L3034" s="12">
        <v>623.15</v>
      </c>
      <c r="M3034" s="12">
        <v>302.58136184316999</v>
      </c>
      <c r="N3034" s="12">
        <v>4508.3419580395002</v>
      </c>
      <c r="O3034" s="12">
        <v>1022.274389807265</v>
      </c>
      <c r="P3034" s="12">
        <v>0.5</v>
      </c>
      <c r="Q3034" s="12">
        <v>0.92249167471066718</v>
      </c>
      <c r="R3034" s="12">
        <v>0.57606589946837905</v>
      </c>
      <c r="S3034" s="12">
        <v>0.46230215523492058</v>
      </c>
      <c r="T3034" s="12">
        <v>0.63011451006099684</v>
      </c>
      <c r="U3034" s="12">
        <v>0.87841579594922869</v>
      </c>
      <c r="V3034" s="12">
        <v>302.58136184316999</v>
      </c>
      <c r="W3034" s="12">
        <v>10.586635554691391</v>
      </c>
      <c r="X3034" s="12">
        <v>115.8302954077332</v>
      </c>
      <c r="Y3034" s="12">
        <v>3486.0675682322362</v>
      </c>
      <c r="Z3034" s="12">
        <v>4.4101094608165674</v>
      </c>
      <c r="AA3034" s="12"/>
      <c r="AB3034" s="12"/>
    </row>
    <row r="3035" spans="1:28" x14ac:dyDescent="0.3">
      <c r="A3035" s="12" t="s">
        <v>4955</v>
      </c>
      <c r="B3035" s="12" t="s">
        <v>198</v>
      </c>
      <c r="C3035" s="12" t="s">
        <v>509</v>
      </c>
      <c r="D3035" s="12" t="s">
        <v>4854</v>
      </c>
      <c r="E3035" s="12" t="s">
        <v>4403</v>
      </c>
      <c r="F3035" s="12" t="s">
        <v>32</v>
      </c>
      <c r="G3035" s="12" t="s">
        <v>32</v>
      </c>
      <c r="H3035" s="12" t="b">
        <v>1</v>
      </c>
      <c r="I3035" s="12" t="b">
        <v>0</v>
      </c>
      <c r="J3035" s="12" t="b">
        <v>1</v>
      </c>
      <c r="K3035" s="12" t="b">
        <v>0</v>
      </c>
      <c r="L3035" s="12">
        <v>623.15</v>
      </c>
      <c r="M3035" s="12">
        <v>302.58136184316999</v>
      </c>
      <c r="N3035" s="12">
        <v>4808.3419580395002</v>
      </c>
      <c r="O3035" s="12">
        <v>1242.274389807264</v>
      </c>
      <c r="P3035" s="12">
        <v>0.5</v>
      </c>
      <c r="Q3035" s="12">
        <v>0.92249167471066718</v>
      </c>
      <c r="R3035" s="12">
        <v>0.57606589946837905</v>
      </c>
      <c r="S3035" s="12">
        <v>0.46230215523492058</v>
      </c>
      <c r="T3035" s="12">
        <v>0.63011451006099684</v>
      </c>
      <c r="U3035" s="12">
        <v>0.87841579594922869</v>
      </c>
      <c r="V3035" s="12">
        <v>302.58136184316999</v>
      </c>
      <c r="W3035" s="12">
        <v>9.5916245574453303</v>
      </c>
      <c r="X3035" s="12">
        <v>104.38474639394791</v>
      </c>
      <c r="Y3035" s="12">
        <v>3566.0675682322362</v>
      </c>
      <c r="Z3035" s="12">
        <v>3.870595737537101</v>
      </c>
      <c r="AA3035" s="12"/>
      <c r="AB3035" s="12"/>
    </row>
    <row r="3036" spans="1:28" x14ac:dyDescent="0.3">
      <c r="A3036" s="12" t="s">
        <v>4956</v>
      </c>
      <c r="B3036" s="12" t="s">
        <v>198</v>
      </c>
      <c r="C3036" s="12" t="s">
        <v>509</v>
      </c>
      <c r="D3036" s="12" t="s">
        <v>4854</v>
      </c>
      <c r="E3036" s="12" t="s">
        <v>4403</v>
      </c>
      <c r="F3036" s="12" t="s">
        <v>1861</v>
      </c>
      <c r="G3036" s="12" t="s">
        <v>1861</v>
      </c>
      <c r="H3036" s="12" t="b">
        <v>1</v>
      </c>
      <c r="I3036" s="12" t="b">
        <v>0</v>
      </c>
      <c r="J3036" s="12" t="b">
        <v>1</v>
      </c>
      <c r="K3036" s="12" t="b">
        <v>0</v>
      </c>
      <c r="L3036" s="12">
        <v>623.15</v>
      </c>
      <c r="M3036" s="12">
        <v>302.58136184316999</v>
      </c>
      <c r="N3036" s="12">
        <v>4808.3419580395002</v>
      </c>
      <c r="O3036" s="12">
        <v>802.27438980726458</v>
      </c>
      <c r="P3036" s="12">
        <v>0.5</v>
      </c>
      <c r="Q3036" s="12">
        <v>0.92249167471066718</v>
      </c>
      <c r="R3036" s="12">
        <v>0.57606589946837905</v>
      </c>
      <c r="S3036" s="12">
        <v>0.46230215523492058</v>
      </c>
      <c r="T3036" s="12">
        <v>0.63011451006099684</v>
      </c>
      <c r="U3036" s="12">
        <v>0.87841579594922869</v>
      </c>
      <c r="V3036" s="12">
        <v>302.58136184316999</v>
      </c>
      <c r="W3036" s="12">
        <v>12.517544038480549</v>
      </c>
      <c r="X3036" s="12">
        <v>136.36237772371379</v>
      </c>
      <c r="Y3036" s="12">
        <v>4006.0675682322362</v>
      </c>
      <c r="Z3036" s="12">
        <v>5.9933883209142929</v>
      </c>
      <c r="AA3036" s="12" t="s">
        <v>1981</v>
      </c>
      <c r="AB3036" s="12"/>
    </row>
    <row r="3037" spans="1:28" x14ac:dyDescent="0.3">
      <c r="A3037" s="12" t="s">
        <v>4957</v>
      </c>
      <c r="B3037" s="12" t="s">
        <v>198</v>
      </c>
      <c r="C3037" s="12" t="s">
        <v>509</v>
      </c>
      <c r="D3037" s="12" t="s">
        <v>4854</v>
      </c>
      <c r="E3037" s="12" t="s">
        <v>4403</v>
      </c>
      <c r="F3037" s="12" t="s">
        <v>1861</v>
      </c>
      <c r="G3037" s="12" t="s">
        <v>1861</v>
      </c>
      <c r="H3037" s="12" t="b">
        <v>1</v>
      </c>
      <c r="I3037" s="12" t="b">
        <v>0</v>
      </c>
      <c r="J3037" s="12" t="b">
        <v>1</v>
      </c>
      <c r="K3037" s="12" t="b">
        <v>0</v>
      </c>
      <c r="L3037" s="12">
        <v>623.15</v>
      </c>
      <c r="M3037" s="12">
        <v>302.58136184316999</v>
      </c>
      <c r="N3037" s="12">
        <v>4808.3419580395002</v>
      </c>
      <c r="O3037" s="12">
        <v>1022.274389807265</v>
      </c>
      <c r="P3037" s="12">
        <v>0.5</v>
      </c>
      <c r="Q3037" s="12">
        <v>0.95</v>
      </c>
      <c r="R3037" s="12">
        <v>0.57606589946837905</v>
      </c>
      <c r="S3037" s="12">
        <v>0.46230215523492058</v>
      </c>
      <c r="T3037" s="12">
        <v>0.63011451006099684</v>
      </c>
      <c r="U3037" s="12">
        <v>0.87841579594922869</v>
      </c>
      <c r="V3037" s="12">
        <v>302.58136184316999</v>
      </c>
      <c r="W3037" s="12">
        <v>11.25803363613821</v>
      </c>
      <c r="X3037" s="12">
        <v>122.5925270750881</v>
      </c>
      <c r="Y3037" s="12">
        <v>3786.0675682322362</v>
      </c>
      <c r="Z3037" s="12">
        <v>4.7035727452255216</v>
      </c>
      <c r="AA3037" s="12" t="s">
        <v>3096</v>
      </c>
      <c r="AB3037" s="12"/>
    </row>
    <row r="3038" spans="1:28" x14ac:dyDescent="0.3">
      <c r="A3038" s="12" t="s">
        <v>4958</v>
      </c>
      <c r="B3038" s="12" t="s">
        <v>198</v>
      </c>
      <c r="C3038" s="12" t="s">
        <v>509</v>
      </c>
      <c r="D3038" s="12" t="s">
        <v>4854</v>
      </c>
      <c r="E3038" s="12" t="s">
        <v>4403</v>
      </c>
      <c r="F3038" s="12" t="s">
        <v>32</v>
      </c>
      <c r="G3038" s="12" t="s">
        <v>32</v>
      </c>
      <c r="H3038" s="12" t="b">
        <v>1</v>
      </c>
      <c r="I3038" s="12" t="b">
        <v>0</v>
      </c>
      <c r="J3038" s="12" t="b">
        <v>1</v>
      </c>
      <c r="K3038" s="12" t="b">
        <v>0</v>
      </c>
      <c r="L3038" s="12">
        <v>623.15</v>
      </c>
      <c r="M3038" s="12">
        <v>302.58136184316999</v>
      </c>
      <c r="N3038" s="12">
        <v>4808.3419580395002</v>
      </c>
      <c r="O3038" s="12">
        <v>1022.274389807265</v>
      </c>
      <c r="P3038" s="12">
        <v>0.5</v>
      </c>
      <c r="Q3038" s="12">
        <v>0.86749167471066713</v>
      </c>
      <c r="R3038" s="12">
        <v>0.57606589946837905</v>
      </c>
      <c r="S3038" s="12">
        <v>0.46230215523492058</v>
      </c>
      <c r="T3038" s="12">
        <v>0.63011451006099684</v>
      </c>
      <c r="U3038" s="12">
        <v>0.87841579594922869</v>
      </c>
      <c r="V3038" s="12">
        <v>302.58136184316999</v>
      </c>
      <c r="W3038" s="12">
        <v>10.22458806079233</v>
      </c>
      <c r="X3038" s="12">
        <v>111.2924795771858</v>
      </c>
      <c r="Y3038" s="12">
        <v>3786.0675682322362</v>
      </c>
      <c r="Z3038" s="12">
        <v>4.7035727452255216</v>
      </c>
      <c r="AA3038" s="12"/>
      <c r="AB3038" s="12"/>
    </row>
    <row r="3039" spans="1:28" x14ac:dyDescent="0.3">
      <c r="A3039" s="12" t="s">
        <v>4959</v>
      </c>
      <c r="B3039" s="12" t="s">
        <v>198</v>
      </c>
      <c r="C3039" s="12" t="s">
        <v>509</v>
      </c>
      <c r="D3039" s="12" t="s">
        <v>4854</v>
      </c>
      <c r="E3039" s="12" t="s">
        <v>4403</v>
      </c>
      <c r="F3039" s="12" t="s">
        <v>32</v>
      </c>
      <c r="G3039" s="12" t="s">
        <v>32</v>
      </c>
      <c r="H3039" s="12" t="b">
        <v>1</v>
      </c>
      <c r="I3039" s="12" t="b">
        <v>0</v>
      </c>
      <c r="J3039" s="12" t="b">
        <v>1</v>
      </c>
      <c r="K3039" s="12" t="b">
        <v>0</v>
      </c>
      <c r="L3039" s="12">
        <v>623.15</v>
      </c>
      <c r="M3039" s="12">
        <v>302.58136184316999</v>
      </c>
      <c r="N3039" s="12">
        <v>4808.3419580395002</v>
      </c>
      <c r="O3039" s="12">
        <v>1022.274389807265</v>
      </c>
      <c r="P3039" s="12">
        <v>0.5</v>
      </c>
      <c r="Q3039" s="12">
        <v>0.92249167471066718</v>
      </c>
      <c r="R3039" s="12">
        <v>0.6310658994683791</v>
      </c>
      <c r="S3039" s="12">
        <v>0.46230215523492058</v>
      </c>
      <c r="T3039" s="12">
        <v>0.63011451006099684</v>
      </c>
      <c r="U3039" s="12">
        <v>0.87841579594922869</v>
      </c>
      <c r="V3039" s="12">
        <v>302.58136184316999</v>
      </c>
      <c r="W3039" s="12">
        <v>10.9741449207242</v>
      </c>
      <c r="X3039" s="12">
        <v>119.5106099163639</v>
      </c>
      <c r="Y3039" s="12">
        <v>3786.0675682322362</v>
      </c>
      <c r="Z3039" s="12">
        <v>4.7035727452255216</v>
      </c>
      <c r="AA3039" s="12"/>
      <c r="AB3039" s="12"/>
    </row>
    <row r="3040" spans="1:28" x14ac:dyDescent="0.3">
      <c r="A3040" s="12" t="s">
        <v>4960</v>
      </c>
      <c r="B3040" s="12" t="s">
        <v>198</v>
      </c>
      <c r="C3040" s="12" t="s">
        <v>509</v>
      </c>
      <c r="D3040" s="12" t="s">
        <v>4854</v>
      </c>
      <c r="E3040" s="12" t="s">
        <v>4403</v>
      </c>
      <c r="F3040" s="12" t="s">
        <v>32</v>
      </c>
      <c r="G3040" s="12" t="s">
        <v>32</v>
      </c>
      <c r="H3040" s="12" t="b">
        <v>1</v>
      </c>
      <c r="I3040" s="12" t="b">
        <v>0</v>
      </c>
      <c r="J3040" s="12" t="b">
        <v>1</v>
      </c>
      <c r="K3040" s="12" t="b">
        <v>0</v>
      </c>
      <c r="L3040" s="12">
        <v>623.15</v>
      </c>
      <c r="M3040" s="12">
        <v>302.58136184316999</v>
      </c>
      <c r="N3040" s="12">
        <v>4808.3419580395002</v>
      </c>
      <c r="O3040" s="12">
        <v>1022.274389807265</v>
      </c>
      <c r="P3040" s="12">
        <v>0.5</v>
      </c>
      <c r="Q3040" s="12">
        <v>0.92249167471066718</v>
      </c>
      <c r="R3040" s="12">
        <v>0.521065899468379</v>
      </c>
      <c r="S3040" s="12">
        <v>0.46230215523492058</v>
      </c>
      <c r="T3040" s="12">
        <v>0.63011451006099684</v>
      </c>
      <c r="U3040" s="12">
        <v>0.87841579594922869</v>
      </c>
      <c r="V3040" s="12">
        <v>302.58136184316999</v>
      </c>
      <c r="W3040" s="12">
        <v>10.84048952840703</v>
      </c>
      <c r="X3040" s="12">
        <v>117.9981257089067</v>
      </c>
      <c r="Y3040" s="12">
        <v>3786.0675682322362</v>
      </c>
      <c r="Z3040" s="12">
        <v>4.7035727452255216</v>
      </c>
      <c r="AA3040" s="12"/>
      <c r="AB3040" s="12"/>
    </row>
    <row r="3041" spans="1:28" x14ac:dyDescent="0.3">
      <c r="A3041" s="12" t="s">
        <v>4961</v>
      </c>
      <c r="B3041" s="12" t="s">
        <v>198</v>
      </c>
      <c r="C3041" s="12" t="s">
        <v>509</v>
      </c>
      <c r="D3041" s="12" t="s">
        <v>4854</v>
      </c>
      <c r="E3041" s="12" t="s">
        <v>4403</v>
      </c>
      <c r="F3041" s="12" t="s">
        <v>1861</v>
      </c>
      <c r="G3041" s="12" t="s">
        <v>1861</v>
      </c>
      <c r="H3041" s="12" t="b">
        <v>1</v>
      </c>
      <c r="I3041" s="12" t="b">
        <v>0</v>
      </c>
      <c r="J3041" s="12" t="b">
        <v>1</v>
      </c>
      <c r="K3041" s="12" t="b">
        <v>0</v>
      </c>
      <c r="L3041" s="12">
        <v>623.15</v>
      </c>
      <c r="M3041" s="12">
        <v>302.58136184316999</v>
      </c>
      <c r="N3041" s="12">
        <v>4808.3419580395002</v>
      </c>
      <c r="O3041" s="12">
        <v>1022.274389807265</v>
      </c>
      <c r="P3041" s="12">
        <v>0.5</v>
      </c>
      <c r="Q3041" s="12">
        <v>0.92249167471066718</v>
      </c>
      <c r="R3041" s="12">
        <v>0.57606589946837905</v>
      </c>
      <c r="S3041" s="12">
        <v>0.51730215523492062</v>
      </c>
      <c r="T3041" s="12">
        <v>0.63011451006099684</v>
      </c>
      <c r="U3041" s="12">
        <v>0.87841579594922869</v>
      </c>
      <c r="V3041" s="12">
        <v>302.58136184316999</v>
      </c>
      <c r="W3041" s="12">
        <v>11.193331216528939</v>
      </c>
      <c r="X3041" s="12">
        <v>136.9074667508612</v>
      </c>
      <c r="Y3041" s="12">
        <v>3786.0675682322362</v>
      </c>
      <c r="Z3041" s="12">
        <v>4.7035727452255216</v>
      </c>
      <c r="AA3041" s="12" t="s">
        <v>3096</v>
      </c>
      <c r="AB3041" s="12"/>
    </row>
    <row r="3042" spans="1:28" x14ac:dyDescent="0.3">
      <c r="A3042" s="12" t="s">
        <v>4962</v>
      </c>
      <c r="B3042" s="12" t="s">
        <v>198</v>
      </c>
      <c r="C3042" s="12" t="s">
        <v>509</v>
      </c>
      <c r="D3042" s="12" t="s">
        <v>4854</v>
      </c>
      <c r="E3042" s="12" t="s">
        <v>4403</v>
      </c>
      <c r="F3042" s="12" t="s">
        <v>32</v>
      </c>
      <c r="G3042" s="12" t="s">
        <v>32</v>
      </c>
      <c r="H3042" s="12" t="b">
        <v>1</v>
      </c>
      <c r="I3042" s="12" t="b">
        <v>0</v>
      </c>
      <c r="J3042" s="12" t="b">
        <v>1</v>
      </c>
      <c r="K3042" s="12" t="b">
        <v>0</v>
      </c>
      <c r="L3042" s="12">
        <v>623.15</v>
      </c>
      <c r="M3042" s="12">
        <v>302.58136184316999</v>
      </c>
      <c r="N3042" s="12">
        <v>4808.3419580395002</v>
      </c>
      <c r="O3042" s="12">
        <v>1022.274389807265</v>
      </c>
      <c r="P3042" s="12">
        <v>0.5</v>
      </c>
      <c r="Q3042" s="12">
        <v>0.92249167471066718</v>
      </c>
      <c r="R3042" s="12">
        <v>0.57606589946837905</v>
      </c>
      <c r="S3042" s="12">
        <v>0.40730215523492058</v>
      </c>
      <c r="T3042" s="12">
        <v>0.63011451006099684</v>
      </c>
      <c r="U3042" s="12">
        <v>0.87841579594922869</v>
      </c>
      <c r="V3042" s="12">
        <v>302.58136184316999</v>
      </c>
      <c r="W3042" s="12">
        <v>10.550374012803349</v>
      </c>
      <c r="X3042" s="12">
        <v>100.8819015247383</v>
      </c>
      <c r="Y3042" s="12">
        <v>3786.0675682322362</v>
      </c>
      <c r="Z3042" s="12">
        <v>4.7035727452255216</v>
      </c>
      <c r="AA3042" s="12"/>
      <c r="AB3042" s="12"/>
    </row>
    <row r="3043" spans="1:28" x14ac:dyDescent="0.3">
      <c r="A3043" s="12" t="s">
        <v>4963</v>
      </c>
      <c r="B3043" s="12" t="s">
        <v>198</v>
      </c>
      <c r="C3043" s="12" t="s">
        <v>509</v>
      </c>
      <c r="D3043" s="12" t="s">
        <v>4854</v>
      </c>
      <c r="E3043" s="12" t="s">
        <v>4403</v>
      </c>
      <c r="F3043" s="12" t="s">
        <v>32</v>
      </c>
      <c r="G3043" s="12" t="s">
        <v>32</v>
      </c>
      <c r="H3043" s="12" t="b">
        <v>1</v>
      </c>
      <c r="I3043" s="12" t="b">
        <v>0</v>
      </c>
      <c r="J3043" s="12" t="b">
        <v>1</v>
      </c>
      <c r="K3043" s="12" t="b">
        <v>0</v>
      </c>
      <c r="L3043" s="12">
        <v>623.15</v>
      </c>
      <c r="M3043" s="12">
        <v>302.58136184316999</v>
      </c>
      <c r="N3043" s="12">
        <v>4808.3419580395002</v>
      </c>
      <c r="O3043" s="12">
        <v>1022.274389807265</v>
      </c>
      <c r="P3043" s="12">
        <v>0.5</v>
      </c>
      <c r="Q3043" s="12">
        <v>0.92249167471066718</v>
      </c>
      <c r="R3043" s="12">
        <v>0.57606589946837905</v>
      </c>
      <c r="S3043" s="12">
        <v>0.46230215523492058</v>
      </c>
      <c r="T3043" s="12">
        <v>0.68511451006099677</v>
      </c>
      <c r="U3043" s="12">
        <v>0.87841579594922869</v>
      </c>
      <c r="V3043" s="12">
        <v>302.58136184316999</v>
      </c>
      <c r="W3043" s="12">
        <v>11.094114491620539</v>
      </c>
      <c r="X3043" s="12">
        <v>120.0102463384592</v>
      </c>
      <c r="Y3043" s="12">
        <v>3786.0675682322362</v>
      </c>
      <c r="Z3043" s="12">
        <v>4.7035727452255216</v>
      </c>
      <c r="AA3043" s="12"/>
      <c r="AB3043" s="12"/>
    </row>
    <row r="3044" spans="1:28" x14ac:dyDescent="0.3">
      <c r="A3044" s="12" t="s">
        <v>4964</v>
      </c>
      <c r="B3044" s="12" t="s">
        <v>198</v>
      </c>
      <c r="C3044" s="12" t="s">
        <v>509</v>
      </c>
      <c r="D3044" s="12" t="s">
        <v>4854</v>
      </c>
      <c r="E3044" s="12" t="s">
        <v>4403</v>
      </c>
      <c r="F3044" s="12" t="s">
        <v>32</v>
      </c>
      <c r="G3044" s="12" t="s">
        <v>32</v>
      </c>
      <c r="H3044" s="12" t="b">
        <v>1</v>
      </c>
      <c r="I3044" s="12" t="b">
        <v>0</v>
      </c>
      <c r="J3044" s="12" t="b">
        <v>1</v>
      </c>
      <c r="K3044" s="12" t="b">
        <v>0</v>
      </c>
      <c r="L3044" s="12">
        <v>623.15</v>
      </c>
      <c r="M3044" s="12">
        <v>302.58136184316999</v>
      </c>
      <c r="N3044" s="12">
        <v>4808.3419580395002</v>
      </c>
      <c r="O3044" s="12">
        <v>1022.274389807265</v>
      </c>
      <c r="P3044" s="12">
        <v>0.5</v>
      </c>
      <c r="Q3044" s="12">
        <v>0.92249167471066718</v>
      </c>
      <c r="R3044" s="12">
        <v>0.57606589946837905</v>
      </c>
      <c r="S3044" s="12">
        <v>0.46230215523492058</v>
      </c>
      <c r="T3044" s="12">
        <v>0.5751145100609969</v>
      </c>
      <c r="U3044" s="12">
        <v>0.87841579594922869</v>
      </c>
      <c r="V3044" s="12">
        <v>302.58136184316999</v>
      </c>
      <c r="W3044" s="12">
        <v>10.73374388369152</v>
      </c>
      <c r="X3044" s="12">
        <v>117.6305348057124</v>
      </c>
      <c r="Y3044" s="12">
        <v>3786.0675682322362</v>
      </c>
      <c r="Z3044" s="12">
        <v>4.7035727452255216</v>
      </c>
      <c r="AA3044" s="12"/>
      <c r="AB3044" s="12"/>
    </row>
    <row r="3045" spans="1:28" x14ac:dyDescent="0.3">
      <c r="A3045" s="12" t="s">
        <v>4965</v>
      </c>
      <c r="B3045" s="12" t="s">
        <v>198</v>
      </c>
      <c r="C3045" s="12" t="s">
        <v>509</v>
      </c>
      <c r="D3045" s="12" t="s">
        <v>4854</v>
      </c>
      <c r="E3045" s="12" t="s">
        <v>4403</v>
      </c>
      <c r="F3045" s="12" t="s">
        <v>32</v>
      </c>
      <c r="G3045" s="12" t="s">
        <v>32</v>
      </c>
      <c r="H3045" s="12" t="b">
        <v>1</v>
      </c>
      <c r="I3045" s="12" t="b">
        <v>0</v>
      </c>
      <c r="J3045" s="12" t="b">
        <v>1</v>
      </c>
      <c r="K3045" s="12" t="b">
        <v>0</v>
      </c>
      <c r="L3045" s="12">
        <v>623.15</v>
      </c>
      <c r="M3045" s="12">
        <v>302.58136184316999</v>
      </c>
      <c r="N3045" s="12">
        <v>4808.3419580395002</v>
      </c>
      <c r="O3045" s="12">
        <v>1022.274389807265</v>
      </c>
      <c r="P3045" s="12">
        <v>0.5</v>
      </c>
      <c r="Q3045" s="12">
        <v>0.92249167471066718</v>
      </c>
      <c r="R3045" s="12">
        <v>0.57606589946837905</v>
      </c>
      <c r="S3045" s="12">
        <v>0.46230215523492058</v>
      </c>
      <c r="T3045" s="12">
        <v>0.63011451006099684</v>
      </c>
      <c r="U3045" s="12">
        <v>0.93341579594922863</v>
      </c>
      <c r="V3045" s="12">
        <v>302.58136184316999</v>
      </c>
      <c r="W3045" s="12">
        <v>10.45007123280905</v>
      </c>
      <c r="X3045" s="12">
        <v>115.77012274669769</v>
      </c>
      <c r="Y3045" s="12">
        <v>3786.0675682322362</v>
      </c>
      <c r="Z3045" s="12">
        <v>4.7035727452255216</v>
      </c>
      <c r="AA3045" s="12"/>
      <c r="AB3045" s="12"/>
    </row>
    <row r="3046" spans="1:28" x14ac:dyDescent="0.3">
      <c r="A3046" s="12" t="s">
        <v>4966</v>
      </c>
      <c r="B3046" s="12" t="s">
        <v>198</v>
      </c>
      <c r="C3046" s="12" t="s">
        <v>509</v>
      </c>
      <c r="D3046" s="12" t="s">
        <v>4854</v>
      </c>
      <c r="E3046" s="12" t="s">
        <v>4403</v>
      </c>
      <c r="F3046" s="12" t="s">
        <v>1861</v>
      </c>
      <c r="G3046" s="12" t="s">
        <v>1861</v>
      </c>
      <c r="H3046" s="12" t="b">
        <v>1</v>
      </c>
      <c r="I3046" s="12" t="b">
        <v>0</v>
      </c>
      <c r="J3046" s="12" t="b">
        <v>1</v>
      </c>
      <c r="K3046" s="12" t="b">
        <v>0</v>
      </c>
      <c r="L3046" s="12">
        <v>623.15</v>
      </c>
      <c r="M3046" s="12">
        <v>302.58136184316999</v>
      </c>
      <c r="N3046" s="12">
        <v>4808.3419580395002</v>
      </c>
      <c r="O3046" s="12">
        <v>1022.274389807265</v>
      </c>
      <c r="P3046" s="12">
        <v>0.5</v>
      </c>
      <c r="Q3046" s="12">
        <v>0.92249167471066718</v>
      </c>
      <c r="R3046" s="12">
        <v>0.57606589946837905</v>
      </c>
      <c r="S3046" s="12">
        <v>0.46230215523492058</v>
      </c>
      <c r="T3046" s="12">
        <v>0.63011451006099684</v>
      </c>
      <c r="U3046" s="12">
        <v>0.82341579594922876</v>
      </c>
      <c r="V3046" s="12">
        <v>302.58136184316999</v>
      </c>
      <c r="W3046" s="12">
        <v>11.37852454836716</v>
      </c>
      <c r="X3046" s="12">
        <v>121.4694738076508</v>
      </c>
      <c r="Y3046" s="12">
        <v>3786.0675682322362</v>
      </c>
      <c r="Z3046" s="12">
        <v>4.7035727452255216</v>
      </c>
      <c r="AA3046" s="12" t="s">
        <v>1268</v>
      </c>
      <c r="AB3046" s="12"/>
    </row>
    <row r="3047" spans="1:28" x14ac:dyDescent="0.3">
      <c r="A3047" s="12" t="s">
        <v>4967</v>
      </c>
      <c r="B3047" s="12" t="s">
        <v>188</v>
      </c>
      <c r="C3047" s="12" t="s">
        <v>518</v>
      </c>
      <c r="D3047" s="12" t="s">
        <v>189</v>
      </c>
      <c r="E3047" s="12" t="s">
        <v>4968</v>
      </c>
      <c r="F3047" s="12" t="s">
        <v>32</v>
      </c>
      <c r="G3047" s="12" t="s">
        <v>32</v>
      </c>
      <c r="H3047" s="12" t="b">
        <v>1</v>
      </c>
      <c r="I3047" s="12" t="b">
        <v>1</v>
      </c>
      <c r="J3047" s="12" t="b">
        <v>0</v>
      </c>
      <c r="K3047" s="12" t="b">
        <v>0</v>
      </c>
      <c r="L3047" s="12">
        <v>410</v>
      </c>
      <c r="M3047" s="12">
        <v>300.032917</v>
      </c>
      <c r="N3047" s="12">
        <v>3000</v>
      </c>
      <c r="O3047" s="12">
        <v>400</v>
      </c>
      <c r="P3047" s="12">
        <v>0.5</v>
      </c>
      <c r="Q3047" s="12">
        <v>0.85</v>
      </c>
      <c r="R3047" s="12">
        <v>0.75</v>
      </c>
      <c r="S3047" s="12">
        <v>0.85</v>
      </c>
      <c r="T3047" s="12">
        <v>0.75</v>
      </c>
      <c r="U3047" s="12">
        <v>0.95</v>
      </c>
      <c r="V3047" s="12">
        <v>300.032917</v>
      </c>
      <c r="W3047" s="12">
        <v>10.80651724015787</v>
      </c>
      <c r="X3047" s="12">
        <v>44.308027208977308</v>
      </c>
      <c r="Y3047" s="12">
        <v>2600</v>
      </c>
      <c r="Z3047" s="12">
        <v>7.5</v>
      </c>
      <c r="AA3047" s="12"/>
      <c r="AB3047" s="12"/>
    </row>
    <row r="3048" spans="1:28" x14ac:dyDescent="0.3">
      <c r="A3048" s="12" t="s">
        <v>4969</v>
      </c>
      <c r="B3048" s="12" t="s">
        <v>188</v>
      </c>
      <c r="C3048" s="12" t="s">
        <v>518</v>
      </c>
      <c r="D3048" s="12" t="s">
        <v>189</v>
      </c>
      <c r="E3048" s="12" t="s">
        <v>4968</v>
      </c>
      <c r="F3048" s="12" t="s">
        <v>32</v>
      </c>
      <c r="G3048" s="12" t="s">
        <v>32</v>
      </c>
      <c r="H3048" s="12" t="b">
        <v>1</v>
      </c>
      <c r="I3048" s="12" t="b">
        <v>1</v>
      </c>
      <c r="J3048" s="12" t="b">
        <v>0</v>
      </c>
      <c r="K3048" s="12" t="b">
        <v>0</v>
      </c>
      <c r="L3048" s="12">
        <v>390</v>
      </c>
      <c r="M3048" s="12">
        <v>300.032917</v>
      </c>
      <c r="N3048" s="12">
        <v>3000</v>
      </c>
      <c r="O3048" s="12">
        <v>400</v>
      </c>
      <c r="P3048" s="12">
        <v>0.5</v>
      </c>
      <c r="Q3048" s="12">
        <v>0.85</v>
      </c>
      <c r="R3048" s="12">
        <v>0.75</v>
      </c>
      <c r="S3048" s="12">
        <v>0.85</v>
      </c>
      <c r="T3048" s="12">
        <v>0.75</v>
      </c>
      <c r="U3048" s="12">
        <v>0.875</v>
      </c>
      <c r="V3048" s="12">
        <v>300.032917</v>
      </c>
      <c r="W3048" s="12">
        <v>2.5393231202259301</v>
      </c>
      <c r="X3048" s="12">
        <v>3.769197404130745</v>
      </c>
      <c r="Y3048" s="12">
        <v>2600</v>
      </c>
      <c r="Z3048" s="12">
        <v>7.5</v>
      </c>
      <c r="AA3048" s="12"/>
      <c r="AB3048" s="12"/>
    </row>
    <row r="3049" spans="1:28" x14ac:dyDescent="0.3">
      <c r="A3049" s="12" t="s">
        <v>4970</v>
      </c>
      <c r="B3049" s="12" t="s">
        <v>188</v>
      </c>
      <c r="C3049" s="12" t="s">
        <v>518</v>
      </c>
      <c r="D3049" s="12" t="s">
        <v>189</v>
      </c>
      <c r="E3049" s="12" t="s">
        <v>4968</v>
      </c>
      <c r="F3049" s="12" t="s">
        <v>32</v>
      </c>
      <c r="G3049" s="12" t="s">
        <v>32</v>
      </c>
      <c r="H3049" s="12" t="b">
        <v>1</v>
      </c>
      <c r="I3049" s="12" t="b">
        <v>1</v>
      </c>
      <c r="J3049" s="12" t="b">
        <v>0</v>
      </c>
      <c r="K3049" s="12" t="b">
        <v>0</v>
      </c>
      <c r="L3049" s="12">
        <v>403</v>
      </c>
      <c r="M3049" s="12">
        <v>300.032917</v>
      </c>
      <c r="N3049" s="12">
        <v>3000</v>
      </c>
      <c r="O3049" s="12">
        <v>563.63636363636374</v>
      </c>
      <c r="P3049" s="12">
        <v>0.5</v>
      </c>
      <c r="Q3049" s="12">
        <v>0.85</v>
      </c>
      <c r="R3049" s="12">
        <v>0.75</v>
      </c>
      <c r="S3049" s="12">
        <v>0.85</v>
      </c>
      <c r="T3049" s="12">
        <v>0.75</v>
      </c>
      <c r="U3049" s="12">
        <v>0.8</v>
      </c>
      <c r="V3049" s="12">
        <v>300.032917</v>
      </c>
      <c r="W3049" s="12">
        <v>8.4818912050065691</v>
      </c>
      <c r="X3049" s="12">
        <v>25.941881729421411</v>
      </c>
      <c r="Y3049" s="12">
        <v>2436.363636363636</v>
      </c>
      <c r="Z3049" s="12">
        <v>5.3225806451612891</v>
      </c>
      <c r="AA3049" s="12"/>
      <c r="AB3049" s="12"/>
    </row>
    <row r="3050" spans="1:28" x14ac:dyDescent="0.3">
      <c r="A3050" s="12" t="s">
        <v>4971</v>
      </c>
      <c r="B3050" s="12" t="s">
        <v>188</v>
      </c>
      <c r="C3050" s="12" t="s">
        <v>518</v>
      </c>
      <c r="D3050" s="12" t="s">
        <v>189</v>
      </c>
      <c r="E3050" s="12" t="s">
        <v>4968</v>
      </c>
      <c r="F3050" s="12" t="s">
        <v>32</v>
      </c>
      <c r="G3050" s="12" t="s">
        <v>32</v>
      </c>
      <c r="H3050" s="12" t="b">
        <v>1</v>
      </c>
      <c r="I3050" s="12" t="b">
        <v>1</v>
      </c>
      <c r="J3050" s="12" t="b">
        <v>0</v>
      </c>
      <c r="K3050" s="12" t="b">
        <v>0</v>
      </c>
      <c r="L3050" s="12">
        <v>420</v>
      </c>
      <c r="M3050" s="12">
        <v>300.032917</v>
      </c>
      <c r="N3050" s="12">
        <v>3000</v>
      </c>
      <c r="O3050" s="12">
        <v>736.36363636399994</v>
      </c>
      <c r="P3050" s="12">
        <v>0.5</v>
      </c>
      <c r="Q3050" s="12">
        <v>0.85</v>
      </c>
      <c r="R3050" s="12">
        <v>0.75</v>
      </c>
      <c r="S3050" s="12">
        <v>0.85</v>
      </c>
      <c r="T3050" s="12">
        <v>0.75</v>
      </c>
      <c r="U3050" s="12">
        <v>0.8</v>
      </c>
      <c r="V3050" s="12">
        <v>300.032917</v>
      </c>
      <c r="W3050" s="12">
        <v>9.1504210680058602</v>
      </c>
      <c r="X3050" s="12">
        <v>45.999235642006013</v>
      </c>
      <c r="Y3050" s="12">
        <v>2263.6363636360002</v>
      </c>
      <c r="Z3050" s="12">
        <v>4.0740740740720627</v>
      </c>
      <c r="AA3050" s="12"/>
      <c r="AB3050" s="12"/>
    </row>
    <row r="3051" spans="1:28" x14ac:dyDescent="0.3">
      <c r="A3051" s="12" t="s">
        <v>4972</v>
      </c>
      <c r="B3051" s="12" t="s">
        <v>188</v>
      </c>
      <c r="C3051" s="12" t="s">
        <v>518</v>
      </c>
      <c r="D3051" s="12" t="s">
        <v>189</v>
      </c>
      <c r="E3051" s="12" t="s">
        <v>4968</v>
      </c>
      <c r="F3051" s="12" t="s">
        <v>32</v>
      </c>
      <c r="G3051" s="12" t="s">
        <v>32</v>
      </c>
      <c r="H3051" s="12" t="b">
        <v>1</v>
      </c>
      <c r="I3051" s="12" t="b">
        <v>1</v>
      </c>
      <c r="J3051" s="12" t="b">
        <v>0</v>
      </c>
      <c r="K3051" s="12" t="b">
        <v>0</v>
      </c>
      <c r="L3051" s="12">
        <v>436.09695310912758</v>
      </c>
      <c r="M3051" s="12">
        <v>279.09770132054479</v>
      </c>
      <c r="N3051" s="12">
        <v>4381.8230245237683</v>
      </c>
      <c r="O3051" s="12">
        <v>808.34025773909616</v>
      </c>
      <c r="P3051" s="12">
        <v>0.70474897094989508</v>
      </c>
      <c r="Q3051" s="12">
        <v>0.95</v>
      </c>
      <c r="R3051" s="12">
        <v>0.74608148390036444</v>
      </c>
      <c r="S3051" s="12">
        <v>0.67773110852065166</v>
      </c>
      <c r="T3051" s="12">
        <v>0.94152981924933021</v>
      </c>
      <c r="U3051" s="12">
        <v>0.84182625850716208</v>
      </c>
      <c r="V3051" s="12">
        <v>279.09770132054479</v>
      </c>
      <c r="W3051" s="12">
        <v>14.977938638259451</v>
      </c>
      <c r="X3051" s="12">
        <v>111.1205978072659</v>
      </c>
      <c r="Y3051" s="12">
        <v>3573.4827667846721</v>
      </c>
      <c r="Z3051" s="12">
        <v>5.4207655533322043</v>
      </c>
      <c r="AA3051" s="12"/>
      <c r="AB3051" s="12"/>
    </row>
    <row r="3052" spans="1:28" x14ac:dyDescent="0.3">
      <c r="A3052" s="12" t="s">
        <v>4973</v>
      </c>
      <c r="B3052" s="12" t="s">
        <v>188</v>
      </c>
      <c r="C3052" s="12" t="s">
        <v>518</v>
      </c>
      <c r="D3052" s="12" t="s">
        <v>189</v>
      </c>
      <c r="E3052" s="12" t="s">
        <v>4968</v>
      </c>
      <c r="F3052" s="12" t="s">
        <v>32</v>
      </c>
      <c r="G3052" s="12" t="s">
        <v>32</v>
      </c>
      <c r="H3052" s="12" t="b">
        <v>1</v>
      </c>
      <c r="I3052" s="12" t="b">
        <v>1</v>
      </c>
      <c r="J3052" s="12" t="b">
        <v>0</v>
      </c>
      <c r="K3052" s="12" t="b">
        <v>0</v>
      </c>
      <c r="L3052" s="12">
        <v>420</v>
      </c>
      <c r="M3052" s="12">
        <v>278.14999999999998</v>
      </c>
      <c r="N3052" s="12">
        <v>3000</v>
      </c>
      <c r="O3052" s="12">
        <v>393.75</v>
      </c>
      <c r="P3052" s="12">
        <v>0.5</v>
      </c>
      <c r="Q3052" s="12">
        <v>0.95</v>
      </c>
      <c r="R3052" s="12">
        <v>0.75</v>
      </c>
      <c r="S3052" s="12">
        <v>0.85</v>
      </c>
      <c r="T3052" s="12">
        <v>0.95</v>
      </c>
      <c r="U3052" s="12">
        <v>0.8</v>
      </c>
      <c r="V3052" s="12">
        <v>278.14999999999998</v>
      </c>
      <c r="W3052" s="12">
        <v>15.48239750048667</v>
      </c>
      <c r="X3052" s="12">
        <v>74.224320481960703</v>
      </c>
      <c r="Y3052" s="12">
        <v>2606.25</v>
      </c>
      <c r="Z3052" s="12">
        <v>7.6190476190476186</v>
      </c>
      <c r="AA3052" s="12"/>
      <c r="AB3052" s="12"/>
    </row>
    <row r="3053" spans="1:28" x14ac:dyDescent="0.3">
      <c r="A3053" s="12" t="s">
        <v>4974</v>
      </c>
      <c r="B3053" s="12" t="s">
        <v>188</v>
      </c>
      <c r="C3053" s="12" t="s">
        <v>518</v>
      </c>
      <c r="D3053" s="12" t="s">
        <v>189</v>
      </c>
      <c r="E3053" s="12" t="s">
        <v>4968</v>
      </c>
      <c r="F3053" s="12" t="s">
        <v>32</v>
      </c>
      <c r="G3053" s="12" t="s">
        <v>32</v>
      </c>
      <c r="H3053" s="12" t="b">
        <v>1</v>
      </c>
      <c r="I3053" s="12" t="b">
        <v>1</v>
      </c>
      <c r="J3053" s="12" t="b">
        <v>0</v>
      </c>
      <c r="K3053" s="12" t="b">
        <v>0</v>
      </c>
      <c r="L3053" s="12">
        <v>623.15</v>
      </c>
      <c r="M3053" s="12">
        <v>300.032917</v>
      </c>
      <c r="N3053" s="12">
        <v>5000</v>
      </c>
      <c r="O3053" s="12">
        <v>1359.5567020080759</v>
      </c>
      <c r="P3053" s="12">
        <v>0.85</v>
      </c>
      <c r="Q3053" s="12">
        <v>0.94605590745864798</v>
      </c>
      <c r="R3053" s="12">
        <v>0.83753427271834879</v>
      </c>
      <c r="S3053" s="12">
        <v>0.4963658855761367</v>
      </c>
      <c r="T3053" s="12">
        <v>0.9166775946077288</v>
      </c>
      <c r="U3053" s="12">
        <v>0.94578817753558442</v>
      </c>
      <c r="V3053" s="12">
        <v>300.032917</v>
      </c>
      <c r="W3053" s="12">
        <v>12.738675021868531</v>
      </c>
      <c r="X3053" s="12">
        <v>129.3867377753009</v>
      </c>
      <c r="Y3053" s="12">
        <v>3640.4432979919238</v>
      </c>
      <c r="Z3053" s="12">
        <v>3.6776693407600871</v>
      </c>
      <c r="AA3053" s="12"/>
      <c r="AB3053" s="12"/>
    </row>
    <row r="3054" spans="1:28" x14ac:dyDescent="0.3">
      <c r="A3054" s="12" t="s">
        <v>4975</v>
      </c>
      <c r="B3054" s="12" t="s">
        <v>188</v>
      </c>
      <c r="C3054" s="12" t="s">
        <v>518</v>
      </c>
      <c r="D3054" s="12" t="s">
        <v>189</v>
      </c>
      <c r="E3054" s="12" t="s">
        <v>4968</v>
      </c>
      <c r="F3054" s="12" t="s">
        <v>832</v>
      </c>
      <c r="G3054" s="12" t="s">
        <v>832</v>
      </c>
      <c r="H3054" s="12" t="b">
        <v>0</v>
      </c>
      <c r="I3054" s="12" t="b">
        <v>0</v>
      </c>
      <c r="J3054" s="12" t="b">
        <v>0</v>
      </c>
      <c r="K3054" s="12" t="b">
        <v>0</v>
      </c>
      <c r="L3054" s="12">
        <v>420</v>
      </c>
      <c r="M3054" s="12">
        <v>300.032917</v>
      </c>
      <c r="N3054" s="12">
        <v>3000</v>
      </c>
      <c r="O3054" s="12">
        <v>736.36363636399994</v>
      </c>
      <c r="P3054" s="12">
        <v>0.5</v>
      </c>
      <c r="Q3054" s="12">
        <v>0.85</v>
      </c>
      <c r="R3054" s="12">
        <v>0.75</v>
      </c>
      <c r="S3054" s="12">
        <v>0.85</v>
      </c>
      <c r="T3054" s="12">
        <v>0.75</v>
      </c>
      <c r="U3054" s="12">
        <v>0.8</v>
      </c>
      <c r="V3054" s="12">
        <v>300.032917</v>
      </c>
      <c r="W3054" s="12"/>
      <c r="X3054" s="12"/>
      <c r="Y3054" s="12">
        <v>2263.6363636360002</v>
      </c>
      <c r="Z3054" s="12">
        <v>4.0740740740720627</v>
      </c>
      <c r="AA3054" s="12"/>
      <c r="AB3054" s="12"/>
    </row>
    <row r="3055" spans="1:28" x14ac:dyDescent="0.3">
      <c r="A3055" s="12" t="s">
        <v>4976</v>
      </c>
      <c r="B3055" s="12" t="s">
        <v>188</v>
      </c>
      <c r="C3055" s="12" t="s">
        <v>518</v>
      </c>
      <c r="D3055" s="12" t="s">
        <v>189</v>
      </c>
      <c r="E3055" s="12" t="s">
        <v>4968</v>
      </c>
      <c r="F3055" s="12" t="s">
        <v>832</v>
      </c>
      <c r="G3055" s="12" t="s">
        <v>832</v>
      </c>
      <c r="H3055" s="12" t="b">
        <v>0</v>
      </c>
      <c r="I3055" s="12" t="b">
        <v>0</v>
      </c>
      <c r="J3055" s="12" t="b">
        <v>0</v>
      </c>
      <c r="K3055" s="12" t="b">
        <v>0</v>
      </c>
      <c r="L3055" s="12">
        <v>390</v>
      </c>
      <c r="M3055" s="12">
        <v>300.032917</v>
      </c>
      <c r="N3055" s="12">
        <v>3000</v>
      </c>
      <c r="O3055" s="12">
        <v>400</v>
      </c>
      <c r="P3055" s="12">
        <v>0.5</v>
      </c>
      <c r="Q3055" s="12">
        <v>0.85</v>
      </c>
      <c r="R3055" s="12">
        <v>0.75</v>
      </c>
      <c r="S3055" s="12">
        <v>0.85</v>
      </c>
      <c r="T3055" s="12">
        <v>0.75</v>
      </c>
      <c r="U3055" s="12">
        <v>0.875</v>
      </c>
      <c r="V3055" s="12">
        <v>300.032917</v>
      </c>
      <c r="W3055" s="12"/>
      <c r="X3055" s="12"/>
      <c r="Y3055" s="12">
        <v>2600</v>
      </c>
      <c r="Z3055" s="12">
        <v>7.5</v>
      </c>
      <c r="AA3055" s="12"/>
      <c r="AB3055" s="12"/>
    </row>
    <row r="3056" spans="1:28" x14ac:dyDescent="0.3">
      <c r="A3056" s="12" t="s">
        <v>4977</v>
      </c>
      <c r="B3056" s="12" t="s">
        <v>188</v>
      </c>
      <c r="C3056" s="12" t="s">
        <v>518</v>
      </c>
      <c r="D3056" s="12" t="s">
        <v>189</v>
      </c>
      <c r="E3056" s="12" t="s">
        <v>4968</v>
      </c>
      <c r="F3056" s="12" t="s">
        <v>832</v>
      </c>
      <c r="G3056" s="12" t="s">
        <v>832</v>
      </c>
      <c r="H3056" s="12" t="b">
        <v>0</v>
      </c>
      <c r="I3056" s="12" t="b">
        <v>0</v>
      </c>
      <c r="J3056" s="12" t="b">
        <v>0</v>
      </c>
      <c r="K3056" s="12" t="b">
        <v>0</v>
      </c>
      <c r="L3056" s="12">
        <v>403</v>
      </c>
      <c r="M3056" s="12">
        <v>300.032917</v>
      </c>
      <c r="N3056" s="12">
        <v>3000</v>
      </c>
      <c r="O3056" s="12">
        <v>563.63636363636374</v>
      </c>
      <c r="P3056" s="12">
        <v>0.5</v>
      </c>
      <c r="Q3056" s="12">
        <v>0.85</v>
      </c>
      <c r="R3056" s="12">
        <v>0.75</v>
      </c>
      <c r="S3056" s="12">
        <v>0.85</v>
      </c>
      <c r="T3056" s="12">
        <v>0.75</v>
      </c>
      <c r="U3056" s="12">
        <v>0.8</v>
      </c>
      <c r="V3056" s="12">
        <v>300.032917</v>
      </c>
      <c r="W3056" s="12"/>
      <c r="X3056" s="12"/>
      <c r="Y3056" s="12">
        <v>2436.363636363636</v>
      </c>
      <c r="Z3056" s="12">
        <v>5.3225806451612891</v>
      </c>
      <c r="AA3056" s="12"/>
      <c r="AB3056" s="12"/>
    </row>
    <row r="3057" spans="1:28" x14ac:dyDescent="0.3">
      <c r="A3057" s="12" t="s">
        <v>4978</v>
      </c>
      <c r="B3057" s="12" t="s">
        <v>188</v>
      </c>
      <c r="C3057" s="12" t="s">
        <v>518</v>
      </c>
      <c r="D3057" s="12" t="s">
        <v>189</v>
      </c>
      <c r="E3057" s="12" t="s">
        <v>4968</v>
      </c>
      <c r="F3057" s="12" t="s">
        <v>32</v>
      </c>
      <c r="G3057" s="12" t="s">
        <v>32</v>
      </c>
      <c r="H3057" s="12" t="b">
        <v>1</v>
      </c>
      <c r="I3057" s="12" t="b">
        <v>1</v>
      </c>
      <c r="J3057" s="12" t="b">
        <v>0</v>
      </c>
      <c r="K3057" s="12" t="b">
        <v>0</v>
      </c>
      <c r="L3057" s="12">
        <v>415</v>
      </c>
      <c r="M3057" s="12">
        <v>300.032917</v>
      </c>
      <c r="N3057" s="12">
        <v>3000</v>
      </c>
      <c r="O3057" s="12">
        <v>400</v>
      </c>
      <c r="P3057" s="12">
        <v>0.5</v>
      </c>
      <c r="Q3057" s="12">
        <v>0.95</v>
      </c>
      <c r="R3057" s="12">
        <v>0.80499999999999994</v>
      </c>
      <c r="S3057" s="12">
        <v>0.95</v>
      </c>
      <c r="T3057" s="12">
        <v>0.95</v>
      </c>
      <c r="U3057" s="12">
        <v>0.95</v>
      </c>
      <c r="V3057" s="12">
        <v>300.032917</v>
      </c>
      <c r="W3057" s="12">
        <v>15.59965738845141</v>
      </c>
      <c r="X3057" s="12">
        <v>71.377481216227125</v>
      </c>
      <c r="Y3057" s="12">
        <v>2600</v>
      </c>
      <c r="Z3057" s="12">
        <v>7.5</v>
      </c>
      <c r="AA3057" s="12"/>
      <c r="AB3057" s="12"/>
    </row>
    <row r="3058" spans="1:28" x14ac:dyDescent="0.3">
      <c r="A3058" s="12" t="s">
        <v>4979</v>
      </c>
      <c r="B3058" s="12" t="s">
        <v>188</v>
      </c>
      <c r="C3058" s="12" t="s">
        <v>518</v>
      </c>
      <c r="D3058" s="12" t="s">
        <v>189</v>
      </c>
      <c r="E3058" s="12" t="s">
        <v>4968</v>
      </c>
      <c r="F3058" s="12" t="s">
        <v>832</v>
      </c>
      <c r="G3058" s="12" t="s">
        <v>832</v>
      </c>
      <c r="H3058" s="12" t="b">
        <v>0</v>
      </c>
      <c r="I3058" s="12" t="b">
        <v>0</v>
      </c>
      <c r="J3058" s="12" t="b">
        <v>0</v>
      </c>
      <c r="K3058" s="12" t="b">
        <v>0</v>
      </c>
      <c r="L3058" s="12">
        <v>436.09695310912758</v>
      </c>
      <c r="M3058" s="12">
        <v>279.09770132054479</v>
      </c>
      <c r="N3058" s="12">
        <v>4381.8230245237683</v>
      </c>
      <c r="O3058" s="12">
        <v>808.34025773909616</v>
      </c>
      <c r="P3058" s="12">
        <v>0.70474897094989508</v>
      </c>
      <c r="Q3058" s="12">
        <v>0.95</v>
      </c>
      <c r="R3058" s="12">
        <v>0.74608148390036444</v>
      </c>
      <c r="S3058" s="12">
        <v>0.67773110852065166</v>
      </c>
      <c r="T3058" s="12">
        <v>0.94152981924933021</v>
      </c>
      <c r="U3058" s="12">
        <v>0.84182625850716208</v>
      </c>
      <c r="V3058" s="12">
        <v>279.09770132054479</v>
      </c>
      <c r="W3058" s="12"/>
      <c r="X3058" s="12"/>
      <c r="Y3058" s="12">
        <v>3573.4827667846721</v>
      </c>
      <c r="Z3058" s="12">
        <v>5.4207655533322043</v>
      </c>
      <c r="AA3058" s="12"/>
      <c r="AB3058" s="12"/>
    </row>
    <row r="3059" spans="1:28" x14ac:dyDescent="0.3">
      <c r="A3059" s="12" t="s">
        <v>4980</v>
      </c>
      <c r="B3059" s="12" t="s">
        <v>188</v>
      </c>
      <c r="C3059" s="12" t="s">
        <v>518</v>
      </c>
      <c r="D3059" s="12" t="s">
        <v>189</v>
      </c>
      <c r="E3059" s="12" t="s">
        <v>4968</v>
      </c>
      <c r="F3059" s="12" t="s">
        <v>832</v>
      </c>
      <c r="G3059" s="12" t="s">
        <v>832</v>
      </c>
      <c r="H3059" s="12" t="b">
        <v>0</v>
      </c>
      <c r="I3059" s="12" t="b">
        <v>0</v>
      </c>
      <c r="J3059" s="12" t="b">
        <v>0</v>
      </c>
      <c r="K3059" s="12" t="b">
        <v>0</v>
      </c>
      <c r="L3059" s="12">
        <v>420</v>
      </c>
      <c r="M3059" s="12">
        <v>278.14999999999998</v>
      </c>
      <c r="N3059" s="12">
        <v>3000</v>
      </c>
      <c r="O3059" s="12">
        <v>393.75</v>
      </c>
      <c r="P3059" s="12">
        <v>0.5</v>
      </c>
      <c r="Q3059" s="12">
        <v>0.95</v>
      </c>
      <c r="R3059" s="12">
        <v>0.75</v>
      </c>
      <c r="S3059" s="12">
        <v>0.85</v>
      </c>
      <c r="T3059" s="12">
        <v>0.95</v>
      </c>
      <c r="U3059" s="12">
        <v>0.8</v>
      </c>
      <c r="V3059" s="12">
        <v>278.14999999999998</v>
      </c>
      <c r="W3059" s="12"/>
      <c r="X3059" s="12"/>
      <c r="Y3059" s="12">
        <v>2606.25</v>
      </c>
      <c r="Z3059" s="12">
        <v>7.6190476190476186</v>
      </c>
      <c r="AA3059" s="12"/>
      <c r="AB3059" s="12"/>
    </row>
    <row r="3060" spans="1:28" x14ac:dyDescent="0.3">
      <c r="A3060" s="12" t="s">
        <v>4981</v>
      </c>
      <c r="B3060" s="12" t="s">
        <v>188</v>
      </c>
      <c r="C3060" s="12" t="s">
        <v>518</v>
      </c>
      <c r="D3060" s="12" t="s">
        <v>189</v>
      </c>
      <c r="E3060" s="12" t="s">
        <v>4968</v>
      </c>
      <c r="F3060" s="12" t="s">
        <v>32</v>
      </c>
      <c r="G3060" s="12" t="s">
        <v>32</v>
      </c>
      <c r="H3060" s="12" t="b">
        <v>1</v>
      </c>
      <c r="I3060" s="12" t="b">
        <v>1</v>
      </c>
      <c r="J3060" s="12" t="b">
        <v>0</v>
      </c>
      <c r="K3060" s="12" t="b">
        <v>0</v>
      </c>
      <c r="L3060" s="12">
        <v>436.09695310912758</v>
      </c>
      <c r="M3060" s="12">
        <v>279.09770132054479</v>
      </c>
      <c r="N3060" s="12">
        <v>3481.8230245237678</v>
      </c>
      <c r="O3060" s="12">
        <v>808.34025773909616</v>
      </c>
      <c r="P3060" s="12">
        <v>0.63474897094989513</v>
      </c>
      <c r="Q3060" s="12">
        <v>0.91848298050287225</v>
      </c>
      <c r="R3060" s="12">
        <v>0.74608148390036433</v>
      </c>
      <c r="S3060" s="12">
        <v>0.67773110852065166</v>
      </c>
      <c r="T3060" s="12">
        <v>0.94152981924933021</v>
      </c>
      <c r="U3060" s="12">
        <v>0.84182625850716208</v>
      </c>
      <c r="V3060" s="12">
        <v>279.09770132054479</v>
      </c>
      <c r="W3060" s="12">
        <v>12.30159889633283</v>
      </c>
      <c r="X3060" s="12">
        <v>91.418211123925843</v>
      </c>
      <c r="Y3060" s="12">
        <v>2673.4827667846721</v>
      </c>
      <c r="Z3060" s="12">
        <v>4.3073730291032692</v>
      </c>
      <c r="AA3060" s="12"/>
      <c r="AB3060" s="12"/>
    </row>
    <row r="3061" spans="1:28" x14ac:dyDescent="0.3">
      <c r="A3061" s="12" t="s">
        <v>4982</v>
      </c>
      <c r="B3061" s="12" t="s">
        <v>188</v>
      </c>
      <c r="C3061" s="12" t="s">
        <v>518</v>
      </c>
      <c r="D3061" s="12" t="s">
        <v>189</v>
      </c>
      <c r="E3061" s="12" t="s">
        <v>4968</v>
      </c>
      <c r="F3061" s="12" t="s">
        <v>32</v>
      </c>
      <c r="G3061" s="12" t="s">
        <v>32</v>
      </c>
      <c r="H3061" s="12" t="b">
        <v>1</v>
      </c>
      <c r="I3061" s="12" t="b">
        <v>0</v>
      </c>
      <c r="J3061" s="12" t="b">
        <v>1</v>
      </c>
      <c r="K3061" s="12" t="b">
        <v>0</v>
      </c>
      <c r="L3061" s="12">
        <v>623.15</v>
      </c>
      <c r="M3061" s="12">
        <v>302.58136184316999</v>
      </c>
      <c r="N3061" s="12">
        <v>4808.3419580395002</v>
      </c>
      <c r="O3061" s="12">
        <v>1022.274389807265</v>
      </c>
      <c r="P3061" s="12">
        <v>0.5</v>
      </c>
      <c r="Q3061" s="12">
        <v>0.92249167471066718</v>
      </c>
      <c r="R3061" s="12">
        <v>0.57606589946837905</v>
      </c>
      <c r="S3061" s="12">
        <v>0.46230215523492058</v>
      </c>
      <c r="T3061" s="12">
        <v>0.68511451006099677</v>
      </c>
      <c r="U3061" s="12">
        <v>0.87841579594922869</v>
      </c>
      <c r="V3061" s="12">
        <v>302.58136184316999</v>
      </c>
      <c r="W3061" s="12">
        <v>11.09411449156198</v>
      </c>
      <c r="X3061" s="12">
        <v>120.0102463378141</v>
      </c>
      <c r="Y3061" s="12">
        <v>3786.0675682322362</v>
      </c>
      <c r="Z3061" s="12">
        <v>4.7035727452255216</v>
      </c>
      <c r="AA3061" s="12"/>
      <c r="AB3061" s="12"/>
    </row>
    <row r="3062" spans="1:28" x14ac:dyDescent="0.3">
      <c r="A3062" s="12" t="s">
        <v>4983</v>
      </c>
      <c r="B3062" s="12" t="s">
        <v>188</v>
      </c>
      <c r="C3062" s="12" t="s">
        <v>518</v>
      </c>
      <c r="D3062" s="12" t="s">
        <v>189</v>
      </c>
      <c r="E3062" s="12" t="s">
        <v>4968</v>
      </c>
      <c r="F3062" s="12" t="s">
        <v>32</v>
      </c>
      <c r="G3062" s="12" t="s">
        <v>32</v>
      </c>
      <c r="H3062" s="12" t="b">
        <v>1</v>
      </c>
      <c r="I3062" s="12" t="b">
        <v>0</v>
      </c>
      <c r="J3062" s="12" t="b">
        <v>1</v>
      </c>
      <c r="K3062" s="12" t="b">
        <v>0</v>
      </c>
      <c r="L3062" s="12">
        <v>438.22595666578081</v>
      </c>
      <c r="M3062" s="12">
        <v>282.8953248402438</v>
      </c>
      <c r="N3062" s="12">
        <v>3655.0315704537861</v>
      </c>
      <c r="O3062" s="12">
        <v>2494.5286687783441</v>
      </c>
      <c r="P3062" s="12">
        <v>0.5781880347009879</v>
      </c>
      <c r="Q3062" s="12">
        <v>0.78074992969467716</v>
      </c>
      <c r="R3062" s="12">
        <v>0.87178269432939537</v>
      </c>
      <c r="S3062" s="12">
        <v>0.82045515847927486</v>
      </c>
      <c r="T3062" s="12">
        <v>0.87258359742785907</v>
      </c>
      <c r="U3062" s="12">
        <v>0.83795017882933232</v>
      </c>
      <c r="V3062" s="12">
        <v>282.8953248402438</v>
      </c>
      <c r="W3062" s="12">
        <v>2.6690169702374198</v>
      </c>
      <c r="X3062" s="12">
        <v>20.735670369645302</v>
      </c>
      <c r="Y3062" s="12">
        <v>1160.502901675442</v>
      </c>
      <c r="Z3062" s="12">
        <v>1.465219308240614</v>
      </c>
      <c r="AA3062" s="12"/>
      <c r="AB3062" s="12"/>
    </row>
    <row r="3063" spans="1:28" x14ac:dyDescent="0.3">
      <c r="A3063" s="12" t="s">
        <v>4984</v>
      </c>
      <c r="B3063" s="12" t="s">
        <v>188</v>
      </c>
      <c r="C3063" s="12" t="s">
        <v>518</v>
      </c>
      <c r="D3063" s="12" t="s">
        <v>189</v>
      </c>
      <c r="E3063" s="12" t="s">
        <v>4968</v>
      </c>
      <c r="F3063" s="12" t="s">
        <v>832</v>
      </c>
      <c r="G3063" s="12" t="s">
        <v>832</v>
      </c>
      <c r="H3063" s="12" t="b">
        <v>0</v>
      </c>
      <c r="I3063" s="12" t="b">
        <v>0</v>
      </c>
      <c r="J3063" s="12" t="b">
        <v>0</v>
      </c>
      <c r="K3063" s="12" t="b">
        <v>0</v>
      </c>
      <c r="L3063" s="12">
        <v>623.15</v>
      </c>
      <c r="M3063" s="12">
        <v>300.032917</v>
      </c>
      <c r="N3063" s="12">
        <v>5000</v>
      </c>
      <c r="O3063" s="12">
        <v>1359.5567020080759</v>
      </c>
      <c r="P3063" s="12">
        <v>0.85</v>
      </c>
      <c r="Q3063" s="12">
        <v>0.94605590745864798</v>
      </c>
      <c r="R3063" s="12">
        <v>0.83753427271834879</v>
      </c>
      <c r="S3063" s="12">
        <v>0.4963658855761367</v>
      </c>
      <c r="T3063" s="12">
        <v>0.9166775946077288</v>
      </c>
      <c r="U3063" s="12">
        <v>0.94578817753558442</v>
      </c>
      <c r="V3063" s="12">
        <v>300.032917</v>
      </c>
      <c r="W3063" s="12"/>
      <c r="X3063" s="12"/>
      <c r="Y3063" s="12">
        <v>3640.4432979919238</v>
      </c>
      <c r="Z3063" s="12">
        <v>3.6776693407600871</v>
      </c>
      <c r="AA3063" s="12"/>
      <c r="AB3063" s="12"/>
    </row>
    <row r="3064" spans="1:28" x14ac:dyDescent="0.3">
      <c r="A3064" s="12" t="s">
        <v>4985</v>
      </c>
      <c r="B3064" s="12" t="s">
        <v>188</v>
      </c>
      <c r="C3064" s="12" t="s">
        <v>518</v>
      </c>
      <c r="D3064" s="12" t="s">
        <v>189</v>
      </c>
      <c r="E3064" s="12" t="s">
        <v>4968</v>
      </c>
      <c r="F3064" s="12" t="s">
        <v>32</v>
      </c>
      <c r="G3064" s="12" t="s">
        <v>32</v>
      </c>
      <c r="H3064" s="12" t="b">
        <v>1</v>
      </c>
      <c r="I3064" s="12" t="b">
        <v>0</v>
      </c>
      <c r="J3064" s="12" t="b">
        <v>1</v>
      </c>
      <c r="K3064" s="12" t="b">
        <v>0</v>
      </c>
      <c r="L3064" s="12">
        <v>623.15</v>
      </c>
      <c r="M3064" s="12">
        <v>300.032917</v>
      </c>
      <c r="N3064" s="12">
        <v>3000</v>
      </c>
      <c r="O3064" s="12">
        <v>1318.1818181819999</v>
      </c>
      <c r="P3064" s="12">
        <v>0.5</v>
      </c>
      <c r="Q3064" s="12">
        <v>0.85</v>
      </c>
      <c r="R3064" s="12">
        <v>0.75</v>
      </c>
      <c r="S3064" s="12">
        <v>0.4</v>
      </c>
      <c r="T3064" s="12">
        <v>0.75</v>
      </c>
      <c r="U3064" s="12">
        <v>0.8</v>
      </c>
      <c r="V3064" s="12">
        <v>300.032917</v>
      </c>
      <c r="W3064" s="12">
        <v>6.2705141296361004</v>
      </c>
      <c r="X3064" s="12">
        <v>58.77681796654025</v>
      </c>
      <c r="Y3064" s="12">
        <v>1681.8181818180001</v>
      </c>
      <c r="Z3064" s="12">
        <v>2.2758620689652038</v>
      </c>
      <c r="AA3064" s="12"/>
      <c r="AB3064" s="12"/>
    </row>
    <row r="3065" spans="1:28" x14ac:dyDescent="0.3">
      <c r="A3065" s="12" t="s">
        <v>4986</v>
      </c>
      <c r="B3065" s="12" t="s">
        <v>188</v>
      </c>
      <c r="C3065" s="12" t="s">
        <v>518</v>
      </c>
      <c r="D3065" s="12" t="s">
        <v>189</v>
      </c>
      <c r="E3065" s="12" t="s">
        <v>4968</v>
      </c>
      <c r="F3065" s="12" t="s">
        <v>32</v>
      </c>
      <c r="G3065" s="12" t="s">
        <v>32</v>
      </c>
      <c r="H3065" s="12" t="b">
        <v>1</v>
      </c>
      <c r="I3065" s="12" t="b">
        <v>1</v>
      </c>
      <c r="J3065" s="12" t="b">
        <v>0</v>
      </c>
      <c r="K3065" s="12" t="b">
        <v>0</v>
      </c>
      <c r="L3065" s="12">
        <v>410</v>
      </c>
      <c r="M3065" s="12">
        <v>300.032917</v>
      </c>
      <c r="N3065" s="12">
        <v>3000</v>
      </c>
      <c r="O3065" s="12">
        <v>400</v>
      </c>
      <c r="P3065" s="12">
        <v>0.5</v>
      </c>
      <c r="Q3065" s="12">
        <v>0.85</v>
      </c>
      <c r="R3065" s="12">
        <v>0.75</v>
      </c>
      <c r="S3065" s="12">
        <v>0.85</v>
      </c>
      <c r="T3065" s="12">
        <v>0.75</v>
      </c>
      <c r="U3065" s="12">
        <v>0.95</v>
      </c>
      <c r="V3065" s="12">
        <v>300.032917</v>
      </c>
      <c r="W3065" s="12">
        <v>10.806608696761669</v>
      </c>
      <c r="X3065" s="12">
        <v>44.304751350141252</v>
      </c>
      <c r="Y3065" s="12">
        <v>2600</v>
      </c>
      <c r="Z3065" s="12">
        <v>7.5</v>
      </c>
      <c r="AA3065" s="12"/>
      <c r="AB3065" s="12"/>
    </row>
    <row r="3066" spans="1:28" x14ac:dyDescent="0.3">
      <c r="A3066" s="12" t="s">
        <v>4987</v>
      </c>
      <c r="B3066" s="12" t="s">
        <v>188</v>
      </c>
      <c r="C3066" s="12" t="s">
        <v>518</v>
      </c>
      <c r="D3066" s="12" t="s">
        <v>189</v>
      </c>
      <c r="E3066" s="12" t="s">
        <v>4968</v>
      </c>
      <c r="F3066" s="12" t="s">
        <v>832</v>
      </c>
      <c r="G3066" s="12" t="s">
        <v>832</v>
      </c>
      <c r="H3066" s="12" t="b">
        <v>0</v>
      </c>
      <c r="I3066" s="12" t="b">
        <v>0</v>
      </c>
      <c r="J3066" s="12" t="b">
        <v>0</v>
      </c>
      <c r="K3066" s="12" t="b">
        <v>0</v>
      </c>
      <c r="L3066" s="12">
        <v>623.15</v>
      </c>
      <c r="M3066" s="12">
        <v>302.58136184316999</v>
      </c>
      <c r="N3066" s="12">
        <v>4808.3419580395002</v>
      </c>
      <c r="O3066" s="12">
        <v>1022.274389807265</v>
      </c>
      <c r="P3066" s="12">
        <v>0.5</v>
      </c>
      <c r="Q3066" s="12">
        <v>0.92249167471066718</v>
      </c>
      <c r="R3066" s="12">
        <v>0.57606589946837905</v>
      </c>
      <c r="S3066" s="12">
        <v>0.46230215523492058</v>
      </c>
      <c r="T3066" s="12">
        <v>0.68511451006099677</v>
      </c>
      <c r="U3066" s="12">
        <v>0.87841579594922869</v>
      </c>
      <c r="V3066" s="12">
        <v>302.58136184316999</v>
      </c>
      <c r="W3066" s="12"/>
      <c r="X3066" s="12"/>
      <c r="Y3066" s="12">
        <v>3786.0675682322362</v>
      </c>
      <c r="Z3066" s="12">
        <v>4.7035727452255216</v>
      </c>
      <c r="AA3066" s="12"/>
      <c r="AB3066" s="12"/>
    </row>
    <row r="3067" spans="1:28" x14ac:dyDescent="0.3">
      <c r="A3067" s="12" t="s">
        <v>4988</v>
      </c>
      <c r="B3067" s="12" t="s">
        <v>188</v>
      </c>
      <c r="C3067" s="12" t="s">
        <v>518</v>
      </c>
      <c r="D3067" s="12" t="s">
        <v>189</v>
      </c>
      <c r="E3067" s="12" t="s">
        <v>4968</v>
      </c>
      <c r="F3067" s="12" t="s">
        <v>832</v>
      </c>
      <c r="G3067" s="12" t="s">
        <v>832</v>
      </c>
      <c r="H3067" s="12" t="b">
        <v>0</v>
      </c>
      <c r="I3067" s="12" t="b">
        <v>0</v>
      </c>
      <c r="J3067" s="12" t="b">
        <v>0</v>
      </c>
      <c r="K3067" s="12" t="b">
        <v>0</v>
      </c>
      <c r="L3067" s="12">
        <v>436.09695310912758</v>
      </c>
      <c r="M3067" s="12">
        <v>279.09770132054479</v>
      </c>
      <c r="N3067" s="12">
        <v>3481.8230245237678</v>
      </c>
      <c r="O3067" s="12">
        <v>808.34025773909616</v>
      </c>
      <c r="P3067" s="12">
        <v>0.63474897094989513</v>
      </c>
      <c r="Q3067" s="12">
        <v>0.91848298050287225</v>
      </c>
      <c r="R3067" s="12">
        <v>0.74608148390036433</v>
      </c>
      <c r="S3067" s="12">
        <v>0.67773110852065166</v>
      </c>
      <c r="T3067" s="12">
        <v>0.94152981924933021</v>
      </c>
      <c r="U3067" s="12">
        <v>0.84182625850716208</v>
      </c>
      <c r="V3067" s="12">
        <v>279.09770132054479</v>
      </c>
      <c r="W3067" s="12"/>
      <c r="X3067" s="12"/>
      <c r="Y3067" s="12">
        <v>2673.4827667846721</v>
      </c>
      <c r="Z3067" s="12">
        <v>4.3073730291032692</v>
      </c>
      <c r="AA3067" s="12"/>
      <c r="AB3067" s="12"/>
    </row>
    <row r="3068" spans="1:28" x14ac:dyDescent="0.3">
      <c r="A3068" s="12" t="s">
        <v>4989</v>
      </c>
      <c r="B3068" s="12" t="s">
        <v>188</v>
      </c>
      <c r="C3068" s="12" t="s">
        <v>518</v>
      </c>
      <c r="D3068" s="12" t="s">
        <v>189</v>
      </c>
      <c r="E3068" s="12" t="s">
        <v>4968</v>
      </c>
      <c r="F3068" s="12" t="s">
        <v>832</v>
      </c>
      <c r="G3068" s="12" t="s">
        <v>832</v>
      </c>
      <c r="H3068" s="12" t="b">
        <v>0</v>
      </c>
      <c r="I3068" s="12" t="b">
        <v>0</v>
      </c>
      <c r="J3068" s="12" t="b">
        <v>0</v>
      </c>
      <c r="K3068" s="12" t="b">
        <v>0</v>
      </c>
      <c r="L3068" s="12">
        <v>438.22595666578081</v>
      </c>
      <c r="M3068" s="12">
        <v>282.8953248402438</v>
      </c>
      <c r="N3068" s="12">
        <v>3655.0315704537861</v>
      </c>
      <c r="O3068" s="12">
        <v>2494.5286687783441</v>
      </c>
      <c r="P3068" s="12">
        <v>0.5781880347009879</v>
      </c>
      <c r="Q3068" s="12">
        <v>0.78074992969467716</v>
      </c>
      <c r="R3068" s="12">
        <v>0.87178269432939537</v>
      </c>
      <c r="S3068" s="12">
        <v>0.82045515847927486</v>
      </c>
      <c r="T3068" s="12">
        <v>0.87258359742785907</v>
      </c>
      <c r="U3068" s="12">
        <v>0.83795017882933232</v>
      </c>
      <c r="V3068" s="12">
        <v>282.8953248402438</v>
      </c>
      <c r="W3068" s="12"/>
      <c r="X3068" s="12"/>
      <c r="Y3068" s="12">
        <v>1160.502901675442</v>
      </c>
      <c r="Z3068" s="12">
        <v>1.465219308240614</v>
      </c>
      <c r="AA3068" s="12"/>
      <c r="AB3068" s="12"/>
    </row>
    <row r="3069" spans="1:28" x14ac:dyDescent="0.3">
      <c r="A3069" s="12" t="s">
        <v>4990</v>
      </c>
      <c r="B3069" s="12" t="s">
        <v>188</v>
      </c>
      <c r="C3069" s="12" t="s">
        <v>518</v>
      </c>
      <c r="D3069" s="12" t="s">
        <v>189</v>
      </c>
      <c r="E3069" s="12" t="s">
        <v>4968</v>
      </c>
      <c r="F3069" s="12" t="s">
        <v>832</v>
      </c>
      <c r="G3069" s="12" t="s">
        <v>832</v>
      </c>
      <c r="H3069" s="12" t="b">
        <v>0</v>
      </c>
      <c r="I3069" s="12" t="b">
        <v>0</v>
      </c>
      <c r="J3069" s="12" t="b">
        <v>0</v>
      </c>
      <c r="K3069" s="12" t="b">
        <v>0</v>
      </c>
      <c r="L3069" s="12">
        <v>623.15</v>
      </c>
      <c r="M3069" s="12">
        <v>300.032917</v>
      </c>
      <c r="N3069" s="12">
        <v>3000</v>
      </c>
      <c r="O3069" s="12">
        <v>1318.1818181819999</v>
      </c>
      <c r="P3069" s="12">
        <v>0.5</v>
      </c>
      <c r="Q3069" s="12">
        <v>0.85</v>
      </c>
      <c r="R3069" s="12">
        <v>0.75</v>
      </c>
      <c r="S3069" s="12">
        <v>0.4</v>
      </c>
      <c r="T3069" s="12">
        <v>0.75</v>
      </c>
      <c r="U3069" s="12">
        <v>0.8</v>
      </c>
      <c r="V3069" s="12">
        <v>300.032917</v>
      </c>
      <c r="W3069" s="12"/>
      <c r="X3069" s="12"/>
      <c r="Y3069" s="12">
        <v>1681.8181818180001</v>
      </c>
      <c r="Z3069" s="12">
        <v>2.2758620689652038</v>
      </c>
      <c r="AA3069" s="12"/>
      <c r="AB3069" s="12"/>
    </row>
    <row r="3070" spans="1:28" x14ac:dyDescent="0.3">
      <c r="A3070" s="12" t="s">
        <v>4991</v>
      </c>
      <c r="B3070" s="12" t="s">
        <v>188</v>
      </c>
      <c r="C3070" s="12" t="s">
        <v>518</v>
      </c>
      <c r="D3070" s="12" t="s">
        <v>189</v>
      </c>
      <c r="E3070" s="12" t="s">
        <v>4968</v>
      </c>
      <c r="F3070" s="12" t="s">
        <v>32</v>
      </c>
      <c r="G3070" s="12" t="s">
        <v>32</v>
      </c>
      <c r="H3070" s="12" t="b">
        <v>1</v>
      </c>
      <c r="I3070" s="12" t="b">
        <v>1</v>
      </c>
      <c r="J3070" s="12" t="b">
        <v>0</v>
      </c>
      <c r="K3070" s="12" t="b">
        <v>0</v>
      </c>
      <c r="L3070" s="12">
        <v>415</v>
      </c>
      <c r="M3070" s="12">
        <v>300.032917</v>
      </c>
      <c r="N3070" s="12">
        <v>3000</v>
      </c>
      <c r="O3070" s="12">
        <v>400</v>
      </c>
      <c r="P3070" s="12">
        <v>0.5</v>
      </c>
      <c r="Q3070" s="12">
        <v>0.95</v>
      </c>
      <c r="R3070" s="12">
        <v>0.80499999999999994</v>
      </c>
      <c r="S3070" s="12">
        <v>0.95</v>
      </c>
      <c r="T3070" s="12">
        <v>0.95</v>
      </c>
      <c r="U3070" s="12">
        <v>0.95</v>
      </c>
      <c r="V3070" s="12">
        <v>300.032917</v>
      </c>
      <c r="W3070" s="12">
        <v>15.599935760589929</v>
      </c>
      <c r="X3070" s="12">
        <v>71.373183832076137</v>
      </c>
      <c r="Y3070" s="12">
        <v>2600</v>
      </c>
      <c r="Z3070" s="12">
        <v>7.5</v>
      </c>
      <c r="AA3070" s="12"/>
      <c r="AB3070" s="12"/>
    </row>
    <row r="3071" spans="1:28" x14ac:dyDescent="0.3">
      <c r="A3071" s="12" t="s">
        <v>4992</v>
      </c>
      <c r="B3071" s="12" t="s">
        <v>188</v>
      </c>
      <c r="C3071" s="12" t="s">
        <v>528</v>
      </c>
      <c r="D3071" s="12" t="s">
        <v>189</v>
      </c>
      <c r="E3071" s="12" t="s">
        <v>4968</v>
      </c>
      <c r="F3071" s="12" t="s">
        <v>1861</v>
      </c>
      <c r="G3071" s="12" t="s">
        <v>1861</v>
      </c>
      <c r="H3071" s="12" t="b">
        <v>1</v>
      </c>
      <c r="I3071" s="12" t="b">
        <v>0</v>
      </c>
      <c r="J3071" s="12" t="b">
        <v>0</v>
      </c>
      <c r="K3071" s="12" t="b">
        <v>0</v>
      </c>
      <c r="L3071" s="12">
        <v>403</v>
      </c>
      <c r="M3071" s="12">
        <v>300.032917</v>
      </c>
      <c r="N3071" s="12">
        <v>3000</v>
      </c>
      <c r="O3071" s="12">
        <v>563.63636363636374</v>
      </c>
      <c r="P3071" s="12">
        <v>0.5</v>
      </c>
      <c r="Q3071" s="12">
        <v>0.85</v>
      </c>
      <c r="R3071" s="12">
        <v>0.75</v>
      </c>
      <c r="S3071" s="12">
        <v>0.85</v>
      </c>
      <c r="T3071" s="12">
        <v>0.75</v>
      </c>
      <c r="U3071" s="12">
        <v>0.8</v>
      </c>
      <c r="V3071" s="12">
        <v>303.55</v>
      </c>
      <c r="W3071" s="12">
        <v>8.4818912050065691</v>
      </c>
      <c r="X3071" s="12">
        <v>25.941881729421411</v>
      </c>
      <c r="Y3071" s="12">
        <v>2436.363636363636</v>
      </c>
      <c r="Z3071" s="12">
        <v>5.3225806451612891</v>
      </c>
      <c r="AA3071" s="12" t="s">
        <v>1268</v>
      </c>
      <c r="AB3071" s="12"/>
    </row>
    <row r="3072" spans="1:28" x14ac:dyDescent="0.3">
      <c r="A3072" s="12" t="s">
        <v>4993</v>
      </c>
      <c r="B3072" s="12" t="s">
        <v>188</v>
      </c>
      <c r="C3072" s="12" t="s">
        <v>528</v>
      </c>
      <c r="D3072" s="12" t="s">
        <v>189</v>
      </c>
      <c r="E3072" s="12" t="s">
        <v>4968</v>
      </c>
      <c r="F3072" s="12" t="s">
        <v>1861</v>
      </c>
      <c r="G3072" s="12" t="s">
        <v>1861</v>
      </c>
      <c r="H3072" s="12" t="b">
        <v>1</v>
      </c>
      <c r="I3072" s="12" t="b">
        <v>0</v>
      </c>
      <c r="J3072" s="12" t="b">
        <v>0</v>
      </c>
      <c r="K3072" s="12" t="b">
        <v>0</v>
      </c>
      <c r="L3072" s="12">
        <v>410</v>
      </c>
      <c r="M3072" s="12">
        <v>300.032917</v>
      </c>
      <c r="N3072" s="12">
        <v>3000</v>
      </c>
      <c r="O3072" s="12">
        <v>400</v>
      </c>
      <c r="P3072" s="12">
        <v>0.5</v>
      </c>
      <c r="Q3072" s="12">
        <v>0.85</v>
      </c>
      <c r="R3072" s="12">
        <v>0.75</v>
      </c>
      <c r="S3072" s="12">
        <v>0.85</v>
      </c>
      <c r="T3072" s="12">
        <v>0.75</v>
      </c>
      <c r="U3072" s="12">
        <v>0.95</v>
      </c>
      <c r="V3072" s="12">
        <v>303.55</v>
      </c>
      <c r="W3072" s="12">
        <v>10.80651724015787</v>
      </c>
      <c r="X3072" s="12">
        <v>44.308027208977308</v>
      </c>
      <c r="Y3072" s="12">
        <v>2600</v>
      </c>
      <c r="Z3072" s="12">
        <v>7.5</v>
      </c>
      <c r="AA3072" s="12" t="s">
        <v>1268</v>
      </c>
      <c r="AB3072" s="12"/>
    </row>
    <row r="3073" spans="1:28" x14ac:dyDescent="0.3">
      <c r="A3073" s="12" t="s">
        <v>4994</v>
      </c>
      <c r="B3073" s="12" t="s">
        <v>188</v>
      </c>
      <c r="C3073" s="12" t="s">
        <v>528</v>
      </c>
      <c r="D3073" s="12" t="s">
        <v>189</v>
      </c>
      <c r="E3073" s="12" t="s">
        <v>4968</v>
      </c>
      <c r="F3073" s="12" t="s">
        <v>1861</v>
      </c>
      <c r="G3073" s="12" t="s">
        <v>1861</v>
      </c>
      <c r="H3073" s="12" t="b">
        <v>1</v>
      </c>
      <c r="I3073" s="12" t="b">
        <v>0</v>
      </c>
      <c r="J3073" s="12" t="b">
        <v>0</v>
      </c>
      <c r="K3073" s="12" t="b">
        <v>0</v>
      </c>
      <c r="L3073" s="12">
        <v>420</v>
      </c>
      <c r="M3073" s="12">
        <v>300.032917</v>
      </c>
      <c r="N3073" s="12">
        <v>3000</v>
      </c>
      <c r="O3073" s="12">
        <v>736.36363636399994</v>
      </c>
      <c r="P3073" s="12">
        <v>0.5</v>
      </c>
      <c r="Q3073" s="12">
        <v>0.85</v>
      </c>
      <c r="R3073" s="12">
        <v>0.75</v>
      </c>
      <c r="S3073" s="12">
        <v>0.85</v>
      </c>
      <c r="T3073" s="12">
        <v>0.75</v>
      </c>
      <c r="U3073" s="12">
        <v>0.8</v>
      </c>
      <c r="V3073" s="12">
        <v>303.55</v>
      </c>
      <c r="W3073" s="12">
        <v>9.1504210680058602</v>
      </c>
      <c r="X3073" s="12">
        <v>45.999235642006013</v>
      </c>
      <c r="Y3073" s="12">
        <v>2263.6363636360002</v>
      </c>
      <c r="Z3073" s="12">
        <v>4.0740740740720627</v>
      </c>
      <c r="AA3073" s="12" t="s">
        <v>1268</v>
      </c>
      <c r="AB3073" s="12"/>
    </row>
    <row r="3074" spans="1:28" x14ac:dyDescent="0.3">
      <c r="A3074" s="12" t="s">
        <v>4995</v>
      </c>
      <c r="B3074" s="12" t="s">
        <v>188</v>
      </c>
      <c r="C3074" s="12" t="s">
        <v>528</v>
      </c>
      <c r="D3074" s="12" t="s">
        <v>189</v>
      </c>
      <c r="E3074" s="12" t="s">
        <v>4968</v>
      </c>
      <c r="F3074" s="12" t="s">
        <v>1861</v>
      </c>
      <c r="G3074" s="12" t="s">
        <v>1861</v>
      </c>
      <c r="H3074" s="12" t="b">
        <v>1</v>
      </c>
      <c r="I3074" s="12" t="b">
        <v>0</v>
      </c>
      <c r="J3074" s="12" t="b">
        <v>0</v>
      </c>
      <c r="K3074" s="12" t="b">
        <v>0</v>
      </c>
      <c r="L3074" s="12">
        <v>390</v>
      </c>
      <c r="M3074" s="12">
        <v>300.032917</v>
      </c>
      <c r="N3074" s="12">
        <v>3000</v>
      </c>
      <c r="O3074" s="12">
        <v>400</v>
      </c>
      <c r="P3074" s="12">
        <v>0.5</v>
      </c>
      <c r="Q3074" s="12">
        <v>0.85</v>
      </c>
      <c r="R3074" s="12">
        <v>0.75</v>
      </c>
      <c r="S3074" s="12">
        <v>0.85</v>
      </c>
      <c r="T3074" s="12">
        <v>0.75</v>
      </c>
      <c r="U3074" s="12">
        <v>0.875</v>
      </c>
      <c r="V3074" s="12">
        <v>303.55</v>
      </c>
      <c r="W3074" s="12">
        <v>2.5393231202259301</v>
      </c>
      <c r="X3074" s="12">
        <v>3.769197404130745</v>
      </c>
      <c r="Y3074" s="12">
        <v>2600</v>
      </c>
      <c r="Z3074" s="12">
        <v>7.5</v>
      </c>
      <c r="AA3074" s="12" t="s">
        <v>1268</v>
      </c>
      <c r="AB3074" s="12"/>
    </row>
    <row r="3075" spans="1:28" x14ac:dyDescent="0.3">
      <c r="A3075" s="12" t="s">
        <v>4996</v>
      </c>
      <c r="B3075" s="12" t="s">
        <v>188</v>
      </c>
      <c r="C3075" s="12" t="s">
        <v>528</v>
      </c>
      <c r="D3075" s="12" t="s">
        <v>189</v>
      </c>
      <c r="E3075" s="12" t="s">
        <v>4968</v>
      </c>
      <c r="F3075" s="12" t="s">
        <v>1861</v>
      </c>
      <c r="G3075" s="12" t="s">
        <v>1861</v>
      </c>
      <c r="H3075" s="12" t="b">
        <v>1</v>
      </c>
      <c r="I3075" s="12" t="b">
        <v>0</v>
      </c>
      <c r="J3075" s="12" t="b">
        <v>0</v>
      </c>
      <c r="K3075" s="12" t="b">
        <v>0</v>
      </c>
      <c r="L3075" s="12">
        <v>436.09695310912758</v>
      </c>
      <c r="M3075" s="12">
        <v>279.09770132054479</v>
      </c>
      <c r="N3075" s="12">
        <v>4381.8230245237683</v>
      </c>
      <c r="O3075" s="12">
        <v>808.34025773909616</v>
      </c>
      <c r="P3075" s="12">
        <v>0.70474897094989508</v>
      </c>
      <c r="Q3075" s="12">
        <v>0.95</v>
      </c>
      <c r="R3075" s="12">
        <v>0.74608148390036444</v>
      </c>
      <c r="S3075" s="12">
        <v>0.67773110852065166</v>
      </c>
      <c r="T3075" s="12">
        <v>0.94152981924933021</v>
      </c>
      <c r="U3075" s="12">
        <v>0.84182625850716208</v>
      </c>
      <c r="V3075" s="12">
        <v>303.55</v>
      </c>
      <c r="W3075" s="12">
        <v>14.977938638259451</v>
      </c>
      <c r="X3075" s="12">
        <v>111.1205978072659</v>
      </c>
      <c r="Y3075" s="12">
        <v>3573.4827667846721</v>
      </c>
      <c r="Z3075" s="12">
        <v>5.4207655533322043</v>
      </c>
      <c r="AA3075" s="12" t="s">
        <v>1268</v>
      </c>
      <c r="AB3075" s="12"/>
    </row>
    <row r="3076" spans="1:28" x14ac:dyDescent="0.3">
      <c r="A3076" s="12" t="s">
        <v>4997</v>
      </c>
      <c r="B3076" s="12" t="s">
        <v>188</v>
      </c>
      <c r="C3076" s="12" t="s">
        <v>528</v>
      </c>
      <c r="D3076" s="12" t="s">
        <v>189</v>
      </c>
      <c r="E3076" s="12" t="s">
        <v>4968</v>
      </c>
      <c r="F3076" s="12" t="s">
        <v>1861</v>
      </c>
      <c r="G3076" s="12" t="s">
        <v>1861</v>
      </c>
      <c r="H3076" s="12" t="b">
        <v>1</v>
      </c>
      <c r="I3076" s="12" t="b">
        <v>0</v>
      </c>
      <c r="J3076" s="12" t="b">
        <v>0</v>
      </c>
      <c r="K3076" s="12" t="b">
        <v>0</v>
      </c>
      <c r="L3076" s="12">
        <v>420</v>
      </c>
      <c r="M3076" s="12">
        <v>278.14999999999998</v>
      </c>
      <c r="N3076" s="12">
        <v>3000</v>
      </c>
      <c r="O3076" s="12">
        <v>393.75</v>
      </c>
      <c r="P3076" s="12">
        <v>0.5</v>
      </c>
      <c r="Q3076" s="12">
        <v>0.95</v>
      </c>
      <c r="R3076" s="12">
        <v>0.75</v>
      </c>
      <c r="S3076" s="12">
        <v>0.85</v>
      </c>
      <c r="T3076" s="12">
        <v>0.95</v>
      </c>
      <c r="U3076" s="12">
        <v>0.8</v>
      </c>
      <c r="V3076" s="12">
        <v>303.55</v>
      </c>
      <c r="W3076" s="12">
        <v>15.48239750048667</v>
      </c>
      <c r="X3076" s="12">
        <v>74.224320481960703</v>
      </c>
      <c r="Y3076" s="12">
        <v>2606.25</v>
      </c>
      <c r="Z3076" s="12">
        <v>7.6190476190476186</v>
      </c>
      <c r="AA3076" s="12" t="s">
        <v>1268</v>
      </c>
      <c r="AB3076" s="12"/>
    </row>
    <row r="3077" spans="1:28" x14ac:dyDescent="0.3">
      <c r="A3077" s="12" t="s">
        <v>4998</v>
      </c>
      <c r="B3077" s="12" t="s">
        <v>188</v>
      </c>
      <c r="C3077" s="12" t="s">
        <v>528</v>
      </c>
      <c r="D3077" s="12" t="s">
        <v>189</v>
      </c>
      <c r="E3077" s="12" t="s">
        <v>4968</v>
      </c>
      <c r="F3077" s="12" t="s">
        <v>1861</v>
      </c>
      <c r="G3077" s="12" t="s">
        <v>1861</v>
      </c>
      <c r="H3077" s="12" t="b">
        <v>1</v>
      </c>
      <c r="I3077" s="12" t="b">
        <v>0</v>
      </c>
      <c r="J3077" s="12" t="b">
        <v>0</v>
      </c>
      <c r="K3077" s="12" t="b">
        <v>0</v>
      </c>
      <c r="L3077" s="12">
        <v>415</v>
      </c>
      <c r="M3077" s="12">
        <v>300.032917</v>
      </c>
      <c r="N3077" s="12">
        <v>3000</v>
      </c>
      <c r="O3077" s="12">
        <v>400</v>
      </c>
      <c r="P3077" s="12">
        <v>0.5</v>
      </c>
      <c r="Q3077" s="12">
        <v>0.95</v>
      </c>
      <c r="R3077" s="12">
        <v>0.80499999999999994</v>
      </c>
      <c r="S3077" s="12">
        <v>0.95</v>
      </c>
      <c r="T3077" s="12">
        <v>0.95</v>
      </c>
      <c r="U3077" s="12">
        <v>0.95</v>
      </c>
      <c r="V3077" s="12">
        <v>303.55</v>
      </c>
      <c r="W3077" s="12">
        <v>15.59965738845141</v>
      </c>
      <c r="X3077" s="12">
        <v>71.377481216227125</v>
      </c>
      <c r="Y3077" s="12">
        <v>2600</v>
      </c>
      <c r="Z3077" s="12">
        <v>7.5</v>
      </c>
      <c r="AA3077" s="12" t="s">
        <v>1268</v>
      </c>
      <c r="AB3077" s="12"/>
    </row>
    <row r="3078" spans="1:28" x14ac:dyDescent="0.3">
      <c r="A3078" s="12" t="s">
        <v>4999</v>
      </c>
      <c r="B3078" s="12" t="s">
        <v>188</v>
      </c>
      <c r="C3078" s="12" t="s">
        <v>528</v>
      </c>
      <c r="D3078" s="12" t="s">
        <v>189</v>
      </c>
      <c r="E3078" s="12" t="s">
        <v>4968</v>
      </c>
      <c r="F3078" s="12" t="s">
        <v>1861</v>
      </c>
      <c r="G3078" s="12" t="s">
        <v>1861</v>
      </c>
      <c r="H3078" s="12" t="b">
        <v>1</v>
      </c>
      <c r="I3078" s="12" t="b">
        <v>0</v>
      </c>
      <c r="J3078" s="12" t="b">
        <v>0</v>
      </c>
      <c r="K3078" s="12" t="b">
        <v>0</v>
      </c>
      <c r="L3078" s="12">
        <v>436.09695310912758</v>
      </c>
      <c r="M3078" s="12">
        <v>279.09770132054479</v>
      </c>
      <c r="N3078" s="12">
        <v>3481.8230245237678</v>
      </c>
      <c r="O3078" s="12">
        <v>808.34025773909616</v>
      </c>
      <c r="P3078" s="12">
        <v>0.63474897094989513</v>
      </c>
      <c r="Q3078" s="12">
        <v>0.91848298050287225</v>
      </c>
      <c r="R3078" s="12">
        <v>0.74608148390036433</v>
      </c>
      <c r="S3078" s="12">
        <v>0.67773110852065166</v>
      </c>
      <c r="T3078" s="12">
        <v>0.94152981924933021</v>
      </c>
      <c r="U3078" s="12">
        <v>0.84182625850716208</v>
      </c>
      <c r="V3078" s="12">
        <v>303.55</v>
      </c>
      <c r="W3078" s="12">
        <v>12.30159889633283</v>
      </c>
      <c r="X3078" s="12">
        <v>91.418211123925843</v>
      </c>
      <c r="Y3078" s="12">
        <v>2673.4827667846721</v>
      </c>
      <c r="Z3078" s="12">
        <v>4.3073730291032692</v>
      </c>
      <c r="AA3078" s="12" t="s">
        <v>1268</v>
      </c>
      <c r="AB3078" s="12"/>
    </row>
    <row r="3079" spans="1:28" x14ac:dyDescent="0.3">
      <c r="A3079" s="12" t="s">
        <v>5000</v>
      </c>
      <c r="B3079" s="12" t="s">
        <v>188</v>
      </c>
      <c r="C3079" s="12" t="s">
        <v>528</v>
      </c>
      <c r="D3079" s="12" t="s">
        <v>189</v>
      </c>
      <c r="E3079" s="12" t="s">
        <v>4968</v>
      </c>
      <c r="F3079" s="12" t="s">
        <v>32</v>
      </c>
      <c r="G3079" s="12" t="s">
        <v>32</v>
      </c>
      <c r="H3079" s="12" t="b">
        <v>1</v>
      </c>
      <c r="I3079" s="12" t="b">
        <v>1</v>
      </c>
      <c r="J3079" s="12" t="b">
        <v>0</v>
      </c>
      <c r="K3079" s="12" t="b">
        <v>0</v>
      </c>
      <c r="L3079" s="12">
        <v>623.15</v>
      </c>
      <c r="M3079" s="12">
        <v>300.032917</v>
      </c>
      <c r="N3079" s="12">
        <v>5000</v>
      </c>
      <c r="O3079" s="12">
        <v>1359.5567020080759</v>
      </c>
      <c r="P3079" s="12">
        <v>0.85</v>
      </c>
      <c r="Q3079" s="12">
        <v>0.94605590745864798</v>
      </c>
      <c r="R3079" s="12">
        <v>0.83753427271834879</v>
      </c>
      <c r="S3079" s="12">
        <v>0.4963658855761367</v>
      </c>
      <c r="T3079" s="12">
        <v>0.9166775946077288</v>
      </c>
      <c r="U3079" s="12">
        <v>0.94578817753558442</v>
      </c>
      <c r="V3079" s="12">
        <v>303.55</v>
      </c>
      <c r="W3079" s="12">
        <v>12.738675021868531</v>
      </c>
      <c r="X3079" s="12">
        <v>129.3867377753009</v>
      </c>
      <c r="Y3079" s="12">
        <v>3640.4432979919238</v>
      </c>
      <c r="Z3079" s="12">
        <v>3.6776693407600871</v>
      </c>
      <c r="AA3079" s="12"/>
      <c r="AB3079" s="12"/>
    </row>
    <row r="3080" spans="1:28" x14ac:dyDescent="0.3">
      <c r="A3080" s="12" t="s">
        <v>5001</v>
      </c>
      <c r="B3080" s="12" t="s">
        <v>188</v>
      </c>
      <c r="C3080" s="12" t="s">
        <v>528</v>
      </c>
      <c r="D3080" s="12" t="s">
        <v>189</v>
      </c>
      <c r="E3080" s="12" t="s">
        <v>4968</v>
      </c>
      <c r="F3080" s="12" t="s">
        <v>32</v>
      </c>
      <c r="G3080" s="12" t="s">
        <v>32</v>
      </c>
      <c r="H3080" s="12" t="b">
        <v>1</v>
      </c>
      <c r="I3080" s="12" t="b">
        <v>0</v>
      </c>
      <c r="J3080" s="12" t="b">
        <v>1</v>
      </c>
      <c r="K3080" s="12" t="b">
        <v>0</v>
      </c>
      <c r="L3080" s="12">
        <v>623.15</v>
      </c>
      <c r="M3080" s="12">
        <v>302.58136184316999</v>
      </c>
      <c r="N3080" s="12">
        <v>4808.3419580395002</v>
      </c>
      <c r="O3080" s="12">
        <v>1022.274389807265</v>
      </c>
      <c r="P3080" s="12">
        <v>0.5</v>
      </c>
      <c r="Q3080" s="12">
        <v>0.92249167471066718</v>
      </c>
      <c r="R3080" s="12">
        <v>0.57606589946837905</v>
      </c>
      <c r="S3080" s="12">
        <v>0.46230215523492058</v>
      </c>
      <c r="T3080" s="12">
        <v>0.68511451006099677</v>
      </c>
      <c r="U3080" s="12">
        <v>0.87841579594922869</v>
      </c>
      <c r="V3080" s="12">
        <v>303.55</v>
      </c>
      <c r="W3080" s="12">
        <v>11.09411449156198</v>
      </c>
      <c r="X3080" s="12">
        <v>120.0102463378141</v>
      </c>
      <c r="Y3080" s="12">
        <v>3786.0675682322362</v>
      </c>
      <c r="Z3080" s="12">
        <v>4.7035727452255216</v>
      </c>
      <c r="AA3080" s="12"/>
      <c r="AB3080" s="12"/>
    </row>
    <row r="3081" spans="1:28" x14ac:dyDescent="0.3">
      <c r="A3081" s="12" t="s">
        <v>5002</v>
      </c>
      <c r="B3081" s="12" t="s">
        <v>188</v>
      </c>
      <c r="C3081" s="12" t="s">
        <v>528</v>
      </c>
      <c r="D3081" s="12" t="s">
        <v>189</v>
      </c>
      <c r="E3081" s="12" t="s">
        <v>4968</v>
      </c>
      <c r="F3081" s="12" t="s">
        <v>32</v>
      </c>
      <c r="G3081" s="12" t="s">
        <v>32</v>
      </c>
      <c r="H3081" s="12" t="b">
        <v>1</v>
      </c>
      <c r="I3081" s="12" t="b">
        <v>0</v>
      </c>
      <c r="J3081" s="12" t="b">
        <v>1</v>
      </c>
      <c r="K3081" s="12" t="b">
        <v>0</v>
      </c>
      <c r="L3081" s="12">
        <v>438.22595666578081</v>
      </c>
      <c r="M3081" s="12">
        <v>282.8953248402438</v>
      </c>
      <c r="N3081" s="12">
        <v>3655.0315704537861</v>
      </c>
      <c r="O3081" s="12">
        <v>2494.5286687783441</v>
      </c>
      <c r="P3081" s="12">
        <v>0.5781880347009879</v>
      </c>
      <c r="Q3081" s="12">
        <v>0.78074992969467716</v>
      </c>
      <c r="R3081" s="12">
        <v>0.87178269432939537</v>
      </c>
      <c r="S3081" s="12">
        <v>0.82045515847927486</v>
      </c>
      <c r="T3081" s="12">
        <v>0.87258359742785907</v>
      </c>
      <c r="U3081" s="12">
        <v>0.83795017882933232</v>
      </c>
      <c r="V3081" s="12">
        <v>303.55</v>
      </c>
      <c r="W3081" s="12">
        <v>2.6690169702374198</v>
      </c>
      <c r="X3081" s="12">
        <v>20.735670369645302</v>
      </c>
      <c r="Y3081" s="12">
        <v>1160.502901675442</v>
      </c>
      <c r="Z3081" s="12">
        <v>1.465219308240614</v>
      </c>
      <c r="AA3081" s="12"/>
      <c r="AB3081" s="12"/>
    </row>
    <row r="3082" spans="1:28" x14ac:dyDescent="0.3">
      <c r="A3082" s="12" t="s">
        <v>5003</v>
      </c>
      <c r="B3082" s="12" t="s">
        <v>188</v>
      </c>
      <c r="C3082" s="12" t="s">
        <v>528</v>
      </c>
      <c r="D3082" s="12" t="s">
        <v>189</v>
      </c>
      <c r="E3082" s="12" t="s">
        <v>4968</v>
      </c>
      <c r="F3082" s="12" t="s">
        <v>1861</v>
      </c>
      <c r="G3082" s="12" t="s">
        <v>1861</v>
      </c>
      <c r="H3082" s="12" t="b">
        <v>1</v>
      </c>
      <c r="I3082" s="12" t="b">
        <v>0</v>
      </c>
      <c r="J3082" s="12" t="b">
        <v>1</v>
      </c>
      <c r="K3082" s="12" t="b">
        <v>0</v>
      </c>
      <c r="L3082" s="12">
        <v>623.15</v>
      </c>
      <c r="M3082" s="12">
        <v>300.032917</v>
      </c>
      <c r="N3082" s="12">
        <v>3000</v>
      </c>
      <c r="O3082" s="12">
        <v>1318.1818181819999</v>
      </c>
      <c r="P3082" s="12">
        <v>0.5</v>
      </c>
      <c r="Q3082" s="12">
        <v>0.85</v>
      </c>
      <c r="R3082" s="12">
        <v>0.75</v>
      </c>
      <c r="S3082" s="12">
        <v>0.4</v>
      </c>
      <c r="T3082" s="12">
        <v>0.75</v>
      </c>
      <c r="U3082" s="12">
        <v>0.8</v>
      </c>
      <c r="V3082" s="12">
        <v>303.55</v>
      </c>
      <c r="W3082" s="12">
        <v>6.2705141296361004</v>
      </c>
      <c r="X3082" s="12">
        <v>58.77681796654025</v>
      </c>
      <c r="Y3082" s="12">
        <v>1681.8181818180001</v>
      </c>
      <c r="Z3082" s="12">
        <v>2.2758620689652038</v>
      </c>
      <c r="AA3082" s="12" t="s">
        <v>1268</v>
      </c>
      <c r="AB3082" s="12"/>
    </row>
    <row r="3083" spans="1:28" x14ac:dyDescent="0.3">
      <c r="A3083" s="12" t="s">
        <v>5004</v>
      </c>
      <c r="B3083" s="12" t="s">
        <v>188</v>
      </c>
      <c r="C3083" s="12" t="s">
        <v>530</v>
      </c>
      <c r="D3083" s="12" t="s">
        <v>189</v>
      </c>
      <c r="E3083" s="12" t="s">
        <v>4403</v>
      </c>
      <c r="F3083" s="12" t="s">
        <v>32</v>
      </c>
      <c r="G3083" s="12" t="s">
        <v>32</v>
      </c>
      <c r="H3083" s="12" t="b">
        <v>1</v>
      </c>
      <c r="I3083" s="12" t="b">
        <v>1</v>
      </c>
      <c r="J3083" s="12"/>
      <c r="K3083" s="12" t="b">
        <v>0</v>
      </c>
      <c r="L3083" s="12"/>
      <c r="M3083" s="12"/>
      <c r="N3083" s="12"/>
      <c r="O3083" s="12">
        <v>808.34025773909616</v>
      </c>
      <c r="P3083" s="12"/>
      <c r="Q3083" s="12"/>
      <c r="R3083" s="12"/>
      <c r="S3083" s="12"/>
      <c r="T3083" s="12"/>
      <c r="U3083" s="12"/>
      <c r="V3083" s="12"/>
      <c r="W3083" s="12">
        <v>14.977938638259451</v>
      </c>
      <c r="X3083" s="12"/>
      <c r="Y3083" s="12"/>
      <c r="Z3083" s="12"/>
      <c r="AA3083" s="12"/>
      <c r="AB3083" s="12"/>
    </row>
    <row r="3084" spans="1:28" x14ac:dyDescent="0.3">
      <c r="A3084" s="12" t="s">
        <v>5005</v>
      </c>
      <c r="B3084" s="12" t="s">
        <v>188</v>
      </c>
      <c r="C3084" s="12" t="s">
        <v>530</v>
      </c>
      <c r="D3084" s="12" t="s">
        <v>189</v>
      </c>
      <c r="E3084" s="12" t="s">
        <v>4403</v>
      </c>
      <c r="F3084" s="12" t="s">
        <v>32</v>
      </c>
      <c r="G3084" s="12" t="s">
        <v>32</v>
      </c>
      <c r="H3084" s="12" t="b">
        <v>1</v>
      </c>
      <c r="I3084" s="12" t="b">
        <v>1</v>
      </c>
      <c r="J3084" s="12"/>
      <c r="K3084" s="12" t="b">
        <v>0</v>
      </c>
      <c r="L3084" s="12"/>
      <c r="M3084" s="12"/>
      <c r="N3084" s="12"/>
      <c r="O3084" s="12">
        <v>2500</v>
      </c>
      <c r="P3084" s="12"/>
      <c r="Q3084" s="12"/>
      <c r="R3084" s="12"/>
      <c r="S3084" s="12"/>
      <c r="T3084" s="12"/>
      <c r="U3084" s="12"/>
      <c r="V3084" s="12"/>
      <c r="W3084" s="12">
        <v>5.1559569395348399</v>
      </c>
      <c r="X3084" s="12"/>
      <c r="Y3084" s="12"/>
      <c r="Z3084" s="12"/>
      <c r="AA3084" s="12"/>
      <c r="AB3084" s="12"/>
    </row>
    <row r="3085" spans="1:28" x14ac:dyDescent="0.3">
      <c r="A3085" s="12" t="s">
        <v>5006</v>
      </c>
      <c r="B3085" s="12" t="s">
        <v>188</v>
      </c>
      <c r="C3085" s="12" t="s">
        <v>530</v>
      </c>
      <c r="D3085" s="12" t="s">
        <v>189</v>
      </c>
      <c r="E3085" s="12" t="s">
        <v>4403</v>
      </c>
      <c r="F3085" s="12" t="s">
        <v>32</v>
      </c>
      <c r="G3085" s="12" t="s">
        <v>32</v>
      </c>
      <c r="H3085" s="12" t="b">
        <v>1</v>
      </c>
      <c r="I3085" s="12" t="b">
        <v>1</v>
      </c>
      <c r="J3085" s="12"/>
      <c r="K3085" s="12" t="b">
        <v>0</v>
      </c>
      <c r="L3085" s="12"/>
      <c r="M3085" s="12"/>
      <c r="N3085" s="12"/>
      <c r="O3085" s="12">
        <v>1654.1701288695481</v>
      </c>
      <c r="P3085" s="12"/>
      <c r="Q3085" s="12"/>
      <c r="R3085" s="12"/>
      <c r="S3085" s="12"/>
      <c r="T3085" s="12"/>
      <c r="U3085" s="12"/>
      <c r="V3085" s="12"/>
      <c r="W3085" s="12">
        <v>8.8687584361322092</v>
      </c>
      <c r="X3085" s="12"/>
      <c r="Y3085" s="12"/>
      <c r="Z3085" s="12"/>
      <c r="AA3085" s="12"/>
      <c r="AB3085" s="12"/>
    </row>
    <row r="3086" spans="1:28" x14ac:dyDescent="0.3">
      <c r="A3086" s="12" t="s">
        <v>5007</v>
      </c>
      <c r="B3086" s="12" t="s">
        <v>188</v>
      </c>
      <c r="C3086" s="12" t="s">
        <v>530</v>
      </c>
      <c r="D3086" s="12" t="s">
        <v>189</v>
      </c>
      <c r="E3086" s="12" t="s">
        <v>4403</v>
      </c>
      <c r="F3086" s="12" t="s">
        <v>832</v>
      </c>
      <c r="G3086" s="12" t="s">
        <v>832</v>
      </c>
      <c r="H3086" s="12" t="b">
        <v>0</v>
      </c>
      <c r="I3086" s="12" t="b">
        <v>0</v>
      </c>
      <c r="J3086" s="12"/>
      <c r="K3086" s="12" t="b">
        <v>0</v>
      </c>
      <c r="L3086" s="12"/>
      <c r="M3086" s="12"/>
      <c r="N3086" s="12"/>
      <c r="O3086" s="12">
        <v>1231.2551933043219</v>
      </c>
      <c r="P3086" s="12"/>
      <c r="Q3086" s="12"/>
      <c r="R3086" s="12"/>
      <c r="S3086" s="12"/>
      <c r="T3086" s="12"/>
      <c r="U3086" s="12"/>
      <c r="V3086" s="12"/>
      <c r="W3086" s="12"/>
      <c r="X3086" s="12"/>
      <c r="Y3086" s="12"/>
      <c r="Z3086" s="12"/>
      <c r="AA3086" s="12"/>
      <c r="AB3086" s="12"/>
    </row>
    <row r="3087" spans="1:28" x14ac:dyDescent="0.3">
      <c r="A3087" s="12" t="s">
        <v>5008</v>
      </c>
      <c r="B3087" s="12" t="s">
        <v>188</v>
      </c>
      <c r="C3087" s="12" t="s">
        <v>530</v>
      </c>
      <c r="D3087" s="12" t="s">
        <v>189</v>
      </c>
      <c r="E3087" s="12" t="s">
        <v>4403</v>
      </c>
      <c r="F3087" s="12" t="s">
        <v>32</v>
      </c>
      <c r="G3087" s="12" t="s">
        <v>32</v>
      </c>
      <c r="H3087" s="12" t="b">
        <v>1</v>
      </c>
      <c r="I3087" s="12" t="b">
        <v>1</v>
      </c>
      <c r="J3087" s="12"/>
      <c r="K3087" s="12" t="b">
        <v>0</v>
      </c>
      <c r="L3087" s="12"/>
      <c r="M3087" s="12"/>
      <c r="N3087" s="12"/>
      <c r="O3087" s="12">
        <v>1442.712661086935</v>
      </c>
      <c r="P3087" s="12"/>
      <c r="Q3087" s="12"/>
      <c r="R3087" s="12"/>
      <c r="S3087" s="12"/>
      <c r="T3087" s="12"/>
      <c r="U3087" s="12"/>
      <c r="V3087" s="12"/>
      <c r="W3087" s="12">
        <v>10.071437276844589</v>
      </c>
      <c r="X3087" s="12"/>
      <c r="Y3087" s="12"/>
      <c r="Z3087" s="12"/>
      <c r="AA3087" s="12"/>
      <c r="AB3087" s="12"/>
    </row>
    <row r="3088" spans="1:28" x14ac:dyDescent="0.3">
      <c r="A3088" s="12" t="s">
        <v>5009</v>
      </c>
      <c r="B3088" s="12" t="s">
        <v>188</v>
      </c>
      <c r="C3088" s="12" t="s">
        <v>530</v>
      </c>
      <c r="D3088" s="12" t="s">
        <v>189</v>
      </c>
      <c r="E3088" s="12" t="s">
        <v>4403</v>
      </c>
      <c r="F3088" s="12" t="s">
        <v>32</v>
      </c>
      <c r="G3088" s="12" t="s">
        <v>32</v>
      </c>
      <c r="H3088" s="12" t="b">
        <v>1</v>
      </c>
      <c r="I3088" s="12" t="b">
        <v>1</v>
      </c>
      <c r="J3088" s="12"/>
      <c r="K3088" s="12" t="b">
        <v>0</v>
      </c>
      <c r="L3088" s="12"/>
      <c r="M3088" s="12"/>
      <c r="N3088" s="12"/>
      <c r="O3088" s="12">
        <v>1336.983927195628</v>
      </c>
      <c r="P3088" s="12"/>
      <c r="Q3088" s="12"/>
      <c r="R3088" s="12"/>
      <c r="S3088" s="12"/>
      <c r="T3088" s="12"/>
      <c r="U3088" s="12"/>
      <c r="V3088" s="12"/>
      <c r="W3088" s="12">
        <v>10.73390308807015</v>
      </c>
      <c r="X3088" s="12"/>
      <c r="Y3088" s="12"/>
      <c r="Z3088" s="12"/>
      <c r="AA3088" s="12"/>
      <c r="AB3088" s="12"/>
    </row>
    <row r="3089" spans="1:28" x14ac:dyDescent="0.3">
      <c r="A3089" s="12" t="s">
        <v>5010</v>
      </c>
      <c r="B3089" s="12" t="s">
        <v>188</v>
      </c>
      <c r="C3089" s="12" t="s">
        <v>530</v>
      </c>
      <c r="D3089" s="12" t="s">
        <v>189</v>
      </c>
      <c r="E3089" s="12" t="s">
        <v>4403</v>
      </c>
      <c r="F3089" s="12" t="s">
        <v>32</v>
      </c>
      <c r="G3089" s="12" t="s">
        <v>32</v>
      </c>
      <c r="H3089" s="12" t="b">
        <v>1</v>
      </c>
      <c r="I3089" s="12" t="b">
        <v>1</v>
      </c>
      <c r="J3089" s="12"/>
      <c r="K3089" s="12" t="b">
        <v>0</v>
      </c>
      <c r="L3089" s="12"/>
      <c r="M3089" s="12"/>
      <c r="N3089" s="12"/>
      <c r="O3089" s="12">
        <v>1284.1195602499749</v>
      </c>
      <c r="P3089" s="12"/>
      <c r="Q3089" s="12"/>
      <c r="R3089" s="12"/>
      <c r="S3089" s="12"/>
      <c r="T3089" s="12"/>
      <c r="U3089" s="12"/>
      <c r="V3089" s="12"/>
      <c r="W3089" s="12">
        <v>11.083000433588751</v>
      </c>
      <c r="X3089" s="12"/>
      <c r="Y3089" s="12"/>
      <c r="Z3089" s="12"/>
      <c r="AA3089" s="12"/>
      <c r="AB3089" s="12"/>
    </row>
    <row r="3090" spans="1:28" x14ac:dyDescent="0.3">
      <c r="A3090" s="12" t="s">
        <v>5011</v>
      </c>
      <c r="B3090" s="12" t="s">
        <v>188</v>
      </c>
      <c r="C3090" s="12" t="s">
        <v>530</v>
      </c>
      <c r="D3090" s="12" t="s">
        <v>189</v>
      </c>
      <c r="E3090" s="12" t="s">
        <v>4403</v>
      </c>
      <c r="F3090" s="12" t="s">
        <v>32</v>
      </c>
      <c r="G3090" s="12" t="s">
        <v>32</v>
      </c>
      <c r="H3090" s="12" t="b">
        <v>1</v>
      </c>
      <c r="I3090" s="12" t="b">
        <v>1</v>
      </c>
      <c r="J3090" s="12"/>
      <c r="K3090" s="12" t="b">
        <v>0</v>
      </c>
      <c r="L3090" s="12"/>
      <c r="M3090" s="12"/>
      <c r="N3090" s="12"/>
      <c r="O3090" s="12">
        <v>1257.6873767771481</v>
      </c>
      <c r="P3090" s="12"/>
      <c r="Q3090" s="12"/>
      <c r="R3090" s="12"/>
      <c r="S3090" s="12"/>
      <c r="T3090" s="12"/>
      <c r="U3090" s="12"/>
      <c r="V3090" s="12"/>
      <c r="W3090" s="12">
        <v>11.262407885456129</v>
      </c>
      <c r="X3090" s="12"/>
      <c r="Y3090" s="12"/>
      <c r="Z3090" s="12"/>
      <c r="AA3090" s="12"/>
      <c r="AB3090" s="12"/>
    </row>
    <row r="3091" spans="1:28" x14ac:dyDescent="0.3">
      <c r="A3091" s="12" t="s">
        <v>5012</v>
      </c>
      <c r="B3091" s="12" t="s">
        <v>188</v>
      </c>
      <c r="C3091" s="12" t="s">
        <v>530</v>
      </c>
      <c r="D3091" s="12" t="s">
        <v>189</v>
      </c>
      <c r="E3091" s="12" t="s">
        <v>4403</v>
      </c>
      <c r="F3091" s="12" t="s">
        <v>832</v>
      </c>
      <c r="G3091" s="12" t="s">
        <v>832</v>
      </c>
      <c r="H3091" s="12" t="b">
        <v>0</v>
      </c>
      <c r="I3091" s="12" t="b">
        <v>0</v>
      </c>
      <c r="J3091" s="12"/>
      <c r="K3091" s="12" t="b">
        <v>0</v>
      </c>
      <c r="L3091" s="12"/>
      <c r="M3091" s="12"/>
      <c r="N3091" s="12"/>
      <c r="O3091" s="12">
        <v>1244.471285040735</v>
      </c>
      <c r="P3091" s="12"/>
      <c r="Q3091" s="12"/>
      <c r="R3091" s="12"/>
      <c r="S3091" s="12"/>
      <c r="T3091" s="12"/>
      <c r="U3091" s="12"/>
      <c r="V3091" s="12"/>
      <c r="W3091" s="12"/>
      <c r="X3091" s="12"/>
      <c r="Y3091" s="12"/>
      <c r="Z3091" s="12"/>
      <c r="AA3091" s="12"/>
      <c r="AB3091" s="12"/>
    </row>
    <row r="3092" spans="1:28" x14ac:dyDescent="0.3">
      <c r="A3092" s="12" t="s">
        <v>5013</v>
      </c>
      <c r="B3092" s="12" t="s">
        <v>188</v>
      </c>
      <c r="C3092" s="12" t="s">
        <v>530</v>
      </c>
      <c r="D3092" s="12" t="s">
        <v>189</v>
      </c>
      <c r="E3092" s="12" t="s">
        <v>4403</v>
      </c>
      <c r="F3092" s="12" t="s">
        <v>32</v>
      </c>
      <c r="G3092" s="12" t="s">
        <v>32</v>
      </c>
      <c r="H3092" s="12" t="b">
        <v>1</v>
      </c>
      <c r="I3092" s="12" t="b">
        <v>1</v>
      </c>
      <c r="J3092" s="12"/>
      <c r="K3092" s="12" t="b">
        <v>0</v>
      </c>
      <c r="L3092" s="12"/>
      <c r="M3092" s="12"/>
      <c r="N3092" s="12"/>
      <c r="O3092" s="12">
        <v>1251.079330908942</v>
      </c>
      <c r="P3092" s="12"/>
      <c r="Q3092" s="12"/>
      <c r="R3092" s="12"/>
      <c r="S3092" s="12"/>
      <c r="T3092" s="12"/>
      <c r="U3092" s="12"/>
      <c r="V3092" s="12"/>
      <c r="W3092" s="12">
        <v>11.307786887513441</v>
      </c>
      <c r="X3092" s="12"/>
      <c r="Y3092" s="12"/>
      <c r="Z3092" s="12"/>
      <c r="AA3092" s="12"/>
      <c r="AB3092" s="12"/>
    </row>
    <row r="3093" spans="1:28" x14ac:dyDescent="0.3">
      <c r="A3093" s="12" t="s">
        <v>5014</v>
      </c>
      <c r="B3093" s="12" t="s">
        <v>188</v>
      </c>
      <c r="C3093" s="12" t="s">
        <v>530</v>
      </c>
      <c r="D3093" s="12" t="s">
        <v>189</v>
      </c>
      <c r="E3093" s="12" t="s">
        <v>4403</v>
      </c>
      <c r="F3093" s="12" t="s">
        <v>832</v>
      </c>
      <c r="G3093" s="12" t="s">
        <v>832</v>
      </c>
      <c r="H3093" s="12" t="b">
        <v>0</v>
      </c>
      <c r="I3093" s="12" t="b">
        <v>0</v>
      </c>
      <c r="J3093" s="12"/>
      <c r="K3093" s="12" t="b">
        <v>0</v>
      </c>
      <c r="L3093" s="12"/>
      <c r="M3093" s="12"/>
      <c r="N3093" s="12"/>
      <c r="O3093" s="12">
        <v>1247.7753079748391</v>
      </c>
      <c r="P3093" s="12"/>
      <c r="Q3093" s="12"/>
      <c r="R3093" s="12"/>
      <c r="S3093" s="12"/>
      <c r="T3093" s="12"/>
      <c r="U3093" s="12"/>
      <c r="V3093" s="12"/>
      <c r="W3093" s="12"/>
      <c r="X3093" s="12"/>
      <c r="Y3093" s="12"/>
      <c r="Z3093" s="12"/>
      <c r="AA3093" s="12"/>
      <c r="AB3093" s="12"/>
    </row>
    <row r="3094" spans="1:28" x14ac:dyDescent="0.3">
      <c r="A3094" s="12" t="s">
        <v>5015</v>
      </c>
      <c r="B3094" s="12" t="s">
        <v>188</v>
      </c>
      <c r="C3094" s="12" t="s">
        <v>530</v>
      </c>
      <c r="D3094" s="12" t="s">
        <v>189</v>
      </c>
      <c r="E3094" s="12" t="s">
        <v>4403</v>
      </c>
      <c r="F3094" s="12" t="s">
        <v>32</v>
      </c>
      <c r="G3094" s="12" t="s">
        <v>32</v>
      </c>
      <c r="H3094" s="12" t="b">
        <v>1</v>
      </c>
      <c r="I3094" s="12" t="b">
        <v>1</v>
      </c>
      <c r="J3094" s="12"/>
      <c r="K3094" s="12" t="b">
        <v>0</v>
      </c>
      <c r="L3094" s="12"/>
      <c r="M3094" s="12"/>
      <c r="N3094" s="12"/>
      <c r="O3094" s="12">
        <v>400</v>
      </c>
      <c r="P3094" s="12"/>
      <c r="Q3094" s="12"/>
      <c r="R3094" s="12"/>
      <c r="S3094" s="12"/>
      <c r="T3094" s="12"/>
      <c r="U3094" s="12"/>
      <c r="V3094" s="12"/>
      <c r="W3094" s="12">
        <v>10.80651724015787</v>
      </c>
      <c r="X3094" s="12"/>
      <c r="Y3094" s="12"/>
      <c r="Z3094" s="12"/>
      <c r="AA3094" s="12"/>
      <c r="AB3094" s="12"/>
    </row>
    <row r="3095" spans="1:28" x14ac:dyDescent="0.3">
      <c r="A3095" s="12" t="s">
        <v>5016</v>
      </c>
      <c r="B3095" s="12" t="s">
        <v>188</v>
      </c>
      <c r="C3095" s="12" t="s">
        <v>530</v>
      </c>
      <c r="D3095" s="12" t="s">
        <v>189</v>
      </c>
      <c r="E3095" s="12" t="s">
        <v>4403</v>
      </c>
      <c r="F3095" s="12" t="s">
        <v>32</v>
      </c>
      <c r="G3095" s="12" t="s">
        <v>32</v>
      </c>
      <c r="H3095" s="12" t="b">
        <v>1</v>
      </c>
      <c r="I3095" s="12" t="b">
        <v>1</v>
      </c>
      <c r="J3095" s="12"/>
      <c r="K3095" s="12" t="b">
        <v>0</v>
      </c>
      <c r="L3095" s="12"/>
      <c r="M3095" s="12"/>
      <c r="N3095" s="12"/>
      <c r="O3095" s="12">
        <v>1800</v>
      </c>
      <c r="P3095" s="12"/>
      <c r="Q3095" s="12"/>
      <c r="R3095" s="12"/>
      <c r="S3095" s="12"/>
      <c r="T3095" s="12"/>
      <c r="U3095" s="12"/>
      <c r="V3095" s="12"/>
      <c r="W3095" s="12">
        <v>2.7853313238219402</v>
      </c>
      <c r="X3095" s="12"/>
      <c r="Y3095" s="12"/>
      <c r="Z3095" s="12"/>
      <c r="AA3095" s="12"/>
      <c r="AB3095" s="12"/>
    </row>
    <row r="3096" spans="1:28" x14ac:dyDescent="0.3">
      <c r="A3096" s="12" t="s">
        <v>5017</v>
      </c>
      <c r="B3096" s="12" t="s">
        <v>188</v>
      </c>
      <c r="C3096" s="12" t="s">
        <v>530</v>
      </c>
      <c r="D3096" s="12" t="s">
        <v>189</v>
      </c>
      <c r="E3096" s="12" t="s">
        <v>4403</v>
      </c>
      <c r="F3096" s="12" t="s">
        <v>32</v>
      </c>
      <c r="G3096" s="12" t="s">
        <v>32</v>
      </c>
      <c r="H3096" s="12" t="b">
        <v>1</v>
      </c>
      <c r="I3096" s="12" t="b">
        <v>1</v>
      </c>
      <c r="J3096" s="12"/>
      <c r="K3096" s="12" t="b">
        <v>0</v>
      </c>
      <c r="L3096" s="12"/>
      <c r="M3096" s="12"/>
      <c r="N3096" s="12"/>
      <c r="O3096" s="12">
        <v>1100</v>
      </c>
      <c r="P3096" s="12"/>
      <c r="Q3096" s="12"/>
      <c r="R3096" s="12"/>
      <c r="S3096" s="12"/>
      <c r="T3096" s="12"/>
      <c r="U3096" s="12"/>
      <c r="V3096" s="12"/>
      <c r="W3096" s="12">
        <v>5.4885365136072197</v>
      </c>
      <c r="X3096" s="12"/>
      <c r="Y3096" s="12"/>
      <c r="Z3096" s="12"/>
      <c r="AA3096" s="12"/>
      <c r="AB3096" s="12"/>
    </row>
    <row r="3097" spans="1:28" x14ac:dyDescent="0.3">
      <c r="A3097" s="12" t="s">
        <v>5018</v>
      </c>
      <c r="B3097" s="12" t="s">
        <v>188</v>
      </c>
      <c r="C3097" s="12" t="s">
        <v>530</v>
      </c>
      <c r="D3097" s="12" t="s">
        <v>189</v>
      </c>
      <c r="E3097" s="12" t="s">
        <v>4403</v>
      </c>
      <c r="F3097" s="12" t="s">
        <v>32</v>
      </c>
      <c r="G3097" s="12" t="s">
        <v>32</v>
      </c>
      <c r="H3097" s="12" t="b">
        <v>1</v>
      </c>
      <c r="I3097" s="12" t="b">
        <v>1</v>
      </c>
      <c r="J3097" s="12"/>
      <c r="K3097" s="12" t="b">
        <v>0</v>
      </c>
      <c r="L3097" s="12"/>
      <c r="M3097" s="12"/>
      <c r="N3097" s="12"/>
      <c r="O3097" s="12">
        <v>750</v>
      </c>
      <c r="P3097" s="12"/>
      <c r="Q3097" s="12"/>
      <c r="R3097" s="12"/>
      <c r="S3097" s="12"/>
      <c r="T3097" s="12"/>
      <c r="U3097" s="12"/>
      <c r="V3097" s="12"/>
      <c r="W3097" s="12">
        <v>7.5521112558110604</v>
      </c>
      <c r="X3097" s="12"/>
      <c r="Y3097" s="12"/>
      <c r="Z3097" s="12"/>
      <c r="AA3097" s="12"/>
      <c r="AB3097" s="12"/>
    </row>
    <row r="3098" spans="1:28" x14ac:dyDescent="0.3">
      <c r="A3098" s="12" t="s">
        <v>5019</v>
      </c>
      <c r="B3098" s="12" t="s">
        <v>188</v>
      </c>
      <c r="C3098" s="12" t="s">
        <v>530</v>
      </c>
      <c r="D3098" s="12" t="s">
        <v>189</v>
      </c>
      <c r="E3098" s="12" t="s">
        <v>4403</v>
      </c>
      <c r="F3098" s="12" t="s">
        <v>32</v>
      </c>
      <c r="G3098" s="12" t="s">
        <v>32</v>
      </c>
      <c r="H3098" s="12" t="b">
        <v>1</v>
      </c>
      <c r="I3098" s="12" t="b">
        <v>1</v>
      </c>
      <c r="J3098" s="12"/>
      <c r="K3098" s="12" t="b">
        <v>0</v>
      </c>
      <c r="L3098" s="12"/>
      <c r="M3098" s="12"/>
      <c r="N3098" s="12"/>
      <c r="O3098" s="12">
        <v>575</v>
      </c>
      <c r="P3098" s="12"/>
      <c r="Q3098" s="12"/>
      <c r="R3098" s="12"/>
      <c r="S3098" s="12"/>
      <c r="T3098" s="12"/>
      <c r="U3098" s="12"/>
      <c r="V3098" s="12"/>
      <c r="W3098" s="12">
        <v>8.9505194705239699</v>
      </c>
      <c r="X3098" s="12"/>
      <c r="Y3098" s="12"/>
      <c r="Z3098" s="12"/>
      <c r="AA3098" s="12"/>
      <c r="AB3098" s="12"/>
    </row>
    <row r="3099" spans="1:28" x14ac:dyDescent="0.3">
      <c r="A3099" s="12" t="s">
        <v>5020</v>
      </c>
      <c r="B3099" s="12" t="s">
        <v>188</v>
      </c>
      <c r="C3099" s="12" t="s">
        <v>530</v>
      </c>
      <c r="D3099" s="12" t="s">
        <v>189</v>
      </c>
      <c r="E3099" s="12" t="s">
        <v>4403</v>
      </c>
      <c r="F3099" s="12" t="s">
        <v>32</v>
      </c>
      <c r="G3099" s="12" t="s">
        <v>32</v>
      </c>
      <c r="H3099" s="12" t="b">
        <v>1</v>
      </c>
      <c r="I3099" s="12" t="b">
        <v>1</v>
      </c>
      <c r="J3099" s="12"/>
      <c r="K3099" s="12" t="b">
        <v>0</v>
      </c>
      <c r="L3099" s="12"/>
      <c r="M3099" s="12"/>
      <c r="N3099" s="12"/>
      <c r="O3099" s="12">
        <v>487.5</v>
      </c>
      <c r="P3099" s="12"/>
      <c r="Q3099" s="12"/>
      <c r="R3099" s="12"/>
      <c r="S3099" s="12"/>
      <c r="T3099" s="12"/>
      <c r="U3099" s="12"/>
      <c r="V3099" s="12"/>
      <c r="W3099" s="12">
        <v>9.8029857813161492</v>
      </c>
      <c r="X3099" s="12"/>
      <c r="Y3099" s="12"/>
      <c r="Z3099" s="12"/>
      <c r="AA3099" s="12"/>
      <c r="AB3099" s="12"/>
    </row>
    <row r="3100" spans="1:28" x14ac:dyDescent="0.3">
      <c r="A3100" s="12" t="s">
        <v>5021</v>
      </c>
      <c r="B3100" s="12" t="s">
        <v>188</v>
      </c>
      <c r="C3100" s="12" t="s">
        <v>530</v>
      </c>
      <c r="D3100" s="12" t="s">
        <v>189</v>
      </c>
      <c r="E3100" s="12" t="s">
        <v>4403</v>
      </c>
      <c r="F3100" s="12" t="s">
        <v>32</v>
      </c>
      <c r="G3100" s="12" t="s">
        <v>32</v>
      </c>
      <c r="H3100" s="12" t="b">
        <v>1</v>
      </c>
      <c r="I3100" s="12" t="b">
        <v>1</v>
      </c>
      <c r="J3100" s="12"/>
      <c r="K3100" s="12" t="b">
        <v>0</v>
      </c>
      <c r="L3100" s="12"/>
      <c r="M3100" s="12"/>
      <c r="N3100" s="12"/>
      <c r="O3100" s="12">
        <v>443.75</v>
      </c>
      <c r="P3100" s="12"/>
      <c r="Q3100" s="12"/>
      <c r="R3100" s="12"/>
      <c r="S3100" s="12"/>
      <c r="T3100" s="12"/>
      <c r="U3100" s="12"/>
      <c r="V3100" s="12"/>
      <c r="W3100" s="12">
        <v>10.2825001012298</v>
      </c>
      <c r="X3100" s="12"/>
      <c r="Y3100" s="12"/>
      <c r="Z3100" s="12"/>
      <c r="AA3100" s="12"/>
      <c r="AB3100" s="12"/>
    </row>
    <row r="3101" spans="1:28" x14ac:dyDescent="0.3">
      <c r="A3101" s="12" t="s">
        <v>5022</v>
      </c>
      <c r="B3101" s="12" t="s">
        <v>188</v>
      </c>
      <c r="C3101" s="12" t="s">
        <v>530</v>
      </c>
      <c r="D3101" s="12" t="s">
        <v>189</v>
      </c>
      <c r="E3101" s="12" t="s">
        <v>4403</v>
      </c>
      <c r="F3101" s="12" t="s">
        <v>32</v>
      </c>
      <c r="G3101" s="12" t="s">
        <v>32</v>
      </c>
      <c r="H3101" s="12" t="b">
        <v>1</v>
      </c>
      <c r="I3101" s="12" t="b">
        <v>1</v>
      </c>
      <c r="J3101" s="12"/>
      <c r="K3101" s="12" t="b">
        <v>0</v>
      </c>
      <c r="L3101" s="12"/>
      <c r="M3101" s="12"/>
      <c r="N3101" s="12"/>
      <c r="O3101" s="12">
        <v>465.625</v>
      </c>
      <c r="P3101" s="12"/>
      <c r="Q3101" s="12"/>
      <c r="R3101" s="12"/>
      <c r="S3101" s="12"/>
      <c r="T3101" s="12"/>
      <c r="U3101" s="12"/>
      <c r="V3101" s="12"/>
      <c r="W3101" s="12">
        <v>10.03767131496503</v>
      </c>
      <c r="X3101" s="12"/>
      <c r="Y3101" s="12"/>
      <c r="Z3101" s="12"/>
      <c r="AA3101" s="12"/>
      <c r="AB3101" s="12"/>
    </row>
    <row r="3102" spans="1:28" x14ac:dyDescent="0.3">
      <c r="A3102" s="12" t="s">
        <v>5023</v>
      </c>
      <c r="B3102" s="12" t="s">
        <v>188</v>
      </c>
      <c r="C3102" s="12" t="s">
        <v>530</v>
      </c>
      <c r="D3102" s="12" t="s">
        <v>189</v>
      </c>
      <c r="E3102" s="12" t="s">
        <v>4403</v>
      </c>
      <c r="F3102" s="12" t="s">
        <v>32</v>
      </c>
      <c r="G3102" s="12" t="s">
        <v>32</v>
      </c>
      <c r="H3102" s="12" t="b">
        <v>1</v>
      </c>
      <c r="I3102" s="12" t="b">
        <v>1</v>
      </c>
      <c r="J3102" s="12"/>
      <c r="K3102" s="12" t="b">
        <v>0</v>
      </c>
      <c r="L3102" s="12"/>
      <c r="M3102" s="12"/>
      <c r="N3102" s="12"/>
      <c r="O3102" s="12">
        <v>476.5625</v>
      </c>
      <c r="P3102" s="12"/>
      <c r="Q3102" s="12"/>
      <c r="R3102" s="12"/>
      <c r="S3102" s="12"/>
      <c r="T3102" s="12"/>
      <c r="U3102" s="12"/>
      <c r="V3102" s="12"/>
      <c r="W3102" s="12">
        <v>9.9191149241087402</v>
      </c>
      <c r="X3102" s="12"/>
      <c r="Y3102" s="12"/>
      <c r="Z3102" s="12"/>
      <c r="AA3102" s="12"/>
      <c r="AB3102" s="12"/>
    </row>
    <row r="3103" spans="1:28" x14ac:dyDescent="0.3">
      <c r="A3103" s="12" t="s">
        <v>5024</v>
      </c>
      <c r="B3103" s="12" t="s">
        <v>188</v>
      </c>
      <c r="C3103" s="12" t="s">
        <v>530</v>
      </c>
      <c r="D3103" s="12" t="s">
        <v>189</v>
      </c>
      <c r="E3103" s="12" t="s">
        <v>4403</v>
      </c>
      <c r="F3103" s="12" t="s">
        <v>32</v>
      </c>
      <c r="G3103" s="12" t="s">
        <v>32</v>
      </c>
      <c r="H3103" s="12" t="b">
        <v>1</v>
      </c>
      <c r="I3103" s="12" t="b">
        <v>1</v>
      </c>
      <c r="J3103" s="12"/>
      <c r="K3103" s="12" t="b">
        <v>0</v>
      </c>
      <c r="L3103" s="12"/>
      <c r="M3103" s="12"/>
      <c r="N3103" s="12"/>
      <c r="O3103" s="12">
        <v>471.09375</v>
      </c>
      <c r="P3103" s="12"/>
      <c r="Q3103" s="12"/>
      <c r="R3103" s="12"/>
      <c r="S3103" s="12"/>
      <c r="T3103" s="12"/>
      <c r="U3103" s="12"/>
      <c r="V3103" s="12"/>
      <c r="W3103" s="12">
        <v>9.9780832088472202</v>
      </c>
      <c r="X3103" s="12"/>
      <c r="Y3103" s="12"/>
      <c r="Z3103" s="12"/>
      <c r="AA3103" s="12"/>
      <c r="AB3103" s="12"/>
    </row>
    <row r="3104" spans="1:28" x14ac:dyDescent="0.3">
      <c r="A3104" s="12" t="s">
        <v>5025</v>
      </c>
      <c r="B3104" s="12" t="s">
        <v>188</v>
      </c>
      <c r="C3104" s="12" t="s">
        <v>530</v>
      </c>
      <c r="D3104" s="12" t="s">
        <v>189</v>
      </c>
      <c r="E3104" s="12" t="s">
        <v>4403</v>
      </c>
      <c r="F3104" s="12" t="s">
        <v>32</v>
      </c>
      <c r="G3104" s="12" t="s">
        <v>32</v>
      </c>
      <c r="H3104" s="12" t="b">
        <v>1</v>
      </c>
      <c r="I3104" s="12" t="b">
        <v>1</v>
      </c>
      <c r="J3104" s="12"/>
      <c r="K3104" s="12" t="b">
        <v>0</v>
      </c>
      <c r="L3104" s="12"/>
      <c r="M3104" s="12"/>
      <c r="N3104" s="12"/>
      <c r="O3104" s="12">
        <v>468.359375</v>
      </c>
      <c r="P3104" s="12"/>
      <c r="Q3104" s="12"/>
      <c r="R3104" s="12"/>
      <c r="S3104" s="12"/>
      <c r="T3104" s="12"/>
      <c r="U3104" s="12"/>
      <c r="V3104" s="12"/>
      <c r="W3104" s="12">
        <v>10.007798947608221</v>
      </c>
      <c r="X3104" s="12"/>
      <c r="Y3104" s="12"/>
      <c r="Z3104" s="12"/>
      <c r="AA3104" s="12"/>
      <c r="AB3104" s="12"/>
    </row>
    <row r="3105" spans="1:28" x14ac:dyDescent="0.3">
      <c r="A3105" s="12" t="s">
        <v>5026</v>
      </c>
      <c r="B3105" s="12" t="s">
        <v>188</v>
      </c>
      <c r="C3105" s="12" t="s">
        <v>530</v>
      </c>
      <c r="D3105" s="12" t="s">
        <v>189</v>
      </c>
      <c r="E3105" s="12" t="s">
        <v>4403</v>
      </c>
      <c r="F3105" s="12" t="s">
        <v>32</v>
      </c>
      <c r="G3105" s="12" t="s">
        <v>32</v>
      </c>
      <c r="H3105" s="12" t="b">
        <v>1</v>
      </c>
      <c r="I3105" s="12" t="b">
        <v>1</v>
      </c>
      <c r="J3105" s="12"/>
      <c r="K3105" s="12" t="b">
        <v>0</v>
      </c>
      <c r="L3105" s="12"/>
      <c r="M3105" s="12"/>
      <c r="N3105" s="12"/>
      <c r="O3105" s="12">
        <v>400</v>
      </c>
      <c r="P3105" s="12"/>
      <c r="Q3105" s="12"/>
      <c r="R3105" s="12"/>
      <c r="S3105" s="12"/>
      <c r="T3105" s="12"/>
      <c r="U3105" s="12"/>
      <c r="V3105" s="12"/>
      <c r="W3105" s="12">
        <v>10.80651724015787</v>
      </c>
      <c r="X3105" s="12"/>
      <c r="Y3105" s="12"/>
      <c r="Z3105" s="12"/>
      <c r="AA3105" s="12"/>
      <c r="AB3105" s="12"/>
    </row>
    <row r="3106" spans="1:28" x14ac:dyDescent="0.3">
      <c r="A3106" s="12" t="s">
        <v>5027</v>
      </c>
      <c r="B3106" s="12" t="s">
        <v>188</v>
      </c>
      <c r="C3106" s="12" t="s">
        <v>530</v>
      </c>
      <c r="D3106" s="12" t="s">
        <v>189</v>
      </c>
      <c r="E3106" s="12" t="s">
        <v>4403</v>
      </c>
      <c r="F3106" s="12" t="s">
        <v>32</v>
      </c>
      <c r="G3106" s="12" t="s">
        <v>32</v>
      </c>
      <c r="H3106" s="12" t="b">
        <v>1</v>
      </c>
      <c r="I3106" s="12" t="b">
        <v>1</v>
      </c>
      <c r="J3106" s="12"/>
      <c r="K3106" s="12" t="b">
        <v>0</v>
      </c>
      <c r="L3106" s="12"/>
      <c r="M3106" s="12"/>
      <c r="N3106" s="12"/>
      <c r="O3106" s="12">
        <v>1800</v>
      </c>
      <c r="P3106" s="12"/>
      <c r="Q3106" s="12"/>
      <c r="R3106" s="12"/>
      <c r="S3106" s="12"/>
      <c r="T3106" s="12"/>
      <c r="U3106" s="12"/>
      <c r="V3106" s="12"/>
      <c r="W3106" s="12">
        <v>2.7853313238219402</v>
      </c>
      <c r="X3106" s="12"/>
      <c r="Y3106" s="12"/>
      <c r="Z3106" s="12"/>
      <c r="AA3106" s="12"/>
      <c r="AB3106" s="12"/>
    </row>
    <row r="3107" spans="1:28" x14ac:dyDescent="0.3">
      <c r="A3107" s="12" t="s">
        <v>5028</v>
      </c>
      <c r="B3107" s="12" t="s">
        <v>188</v>
      </c>
      <c r="C3107" s="12" t="s">
        <v>530</v>
      </c>
      <c r="D3107" s="12" t="s">
        <v>189</v>
      </c>
      <c r="E3107" s="12" t="s">
        <v>4403</v>
      </c>
      <c r="F3107" s="12" t="s">
        <v>32</v>
      </c>
      <c r="G3107" s="12" t="s">
        <v>32</v>
      </c>
      <c r="H3107" s="12" t="b">
        <v>1</v>
      </c>
      <c r="I3107" s="12" t="b">
        <v>1</v>
      </c>
      <c r="J3107" s="12"/>
      <c r="K3107" s="12" t="b">
        <v>0</v>
      </c>
      <c r="L3107" s="12"/>
      <c r="M3107" s="12"/>
      <c r="N3107" s="12"/>
      <c r="O3107" s="12">
        <v>1100</v>
      </c>
      <c r="P3107" s="12"/>
      <c r="Q3107" s="12"/>
      <c r="R3107" s="12"/>
      <c r="S3107" s="12"/>
      <c r="T3107" s="12"/>
      <c r="U3107" s="12"/>
      <c r="V3107" s="12"/>
      <c r="W3107" s="12">
        <v>5.4885365136072197</v>
      </c>
      <c r="X3107" s="12"/>
      <c r="Y3107" s="12"/>
      <c r="Z3107" s="12"/>
      <c r="AA3107" s="12"/>
      <c r="AB3107" s="12"/>
    </row>
    <row r="3108" spans="1:28" x14ac:dyDescent="0.3">
      <c r="A3108" s="12" t="s">
        <v>5029</v>
      </c>
      <c r="B3108" s="12" t="s">
        <v>188</v>
      </c>
      <c r="C3108" s="12" t="s">
        <v>530</v>
      </c>
      <c r="D3108" s="12" t="s">
        <v>189</v>
      </c>
      <c r="E3108" s="12" t="s">
        <v>4403</v>
      </c>
      <c r="F3108" s="12" t="s">
        <v>32</v>
      </c>
      <c r="G3108" s="12" t="s">
        <v>32</v>
      </c>
      <c r="H3108" s="12" t="b">
        <v>1</v>
      </c>
      <c r="I3108" s="12" t="b">
        <v>1</v>
      </c>
      <c r="J3108" s="12"/>
      <c r="K3108" s="12" t="b">
        <v>0</v>
      </c>
      <c r="L3108" s="12"/>
      <c r="M3108" s="12"/>
      <c r="N3108" s="12"/>
      <c r="O3108" s="12">
        <v>750</v>
      </c>
      <c r="P3108" s="12"/>
      <c r="Q3108" s="12"/>
      <c r="R3108" s="12"/>
      <c r="S3108" s="12"/>
      <c r="T3108" s="12"/>
      <c r="U3108" s="12"/>
      <c r="V3108" s="12"/>
      <c r="W3108" s="12">
        <v>7.5521112558110604</v>
      </c>
      <c r="X3108" s="12"/>
      <c r="Y3108" s="12"/>
      <c r="Z3108" s="12"/>
      <c r="AA3108" s="12"/>
      <c r="AB3108" s="12"/>
    </row>
    <row r="3109" spans="1:28" x14ac:dyDescent="0.3">
      <c r="A3109" s="12" t="s">
        <v>5030</v>
      </c>
      <c r="B3109" s="12" t="s">
        <v>188</v>
      </c>
      <c r="C3109" s="12" t="s">
        <v>530</v>
      </c>
      <c r="D3109" s="12" t="s">
        <v>189</v>
      </c>
      <c r="E3109" s="12" t="s">
        <v>4403</v>
      </c>
      <c r="F3109" s="12" t="s">
        <v>32</v>
      </c>
      <c r="G3109" s="12" t="s">
        <v>32</v>
      </c>
      <c r="H3109" s="12" t="b">
        <v>1</v>
      </c>
      <c r="I3109" s="12" t="b">
        <v>1</v>
      </c>
      <c r="J3109" s="12"/>
      <c r="K3109" s="12" t="b">
        <v>0</v>
      </c>
      <c r="L3109" s="12"/>
      <c r="M3109" s="12"/>
      <c r="N3109" s="12"/>
      <c r="O3109" s="12">
        <v>575</v>
      </c>
      <c r="P3109" s="12"/>
      <c r="Q3109" s="12"/>
      <c r="R3109" s="12"/>
      <c r="S3109" s="12"/>
      <c r="T3109" s="12"/>
      <c r="U3109" s="12"/>
      <c r="V3109" s="12"/>
      <c r="W3109" s="12">
        <v>8.9505194705239699</v>
      </c>
      <c r="X3109" s="12"/>
      <c r="Y3109" s="12"/>
      <c r="Z3109" s="12"/>
      <c r="AA3109" s="12"/>
      <c r="AB3109" s="12"/>
    </row>
    <row r="3110" spans="1:28" x14ac:dyDescent="0.3">
      <c r="A3110" s="12" t="s">
        <v>5031</v>
      </c>
      <c r="B3110" s="12" t="s">
        <v>188</v>
      </c>
      <c r="C3110" s="12" t="s">
        <v>530</v>
      </c>
      <c r="D3110" s="12" t="s">
        <v>189</v>
      </c>
      <c r="E3110" s="12" t="s">
        <v>4403</v>
      </c>
      <c r="F3110" s="12" t="s">
        <v>32</v>
      </c>
      <c r="G3110" s="12" t="s">
        <v>32</v>
      </c>
      <c r="H3110" s="12" t="b">
        <v>1</v>
      </c>
      <c r="I3110" s="12" t="b">
        <v>1</v>
      </c>
      <c r="J3110" s="12"/>
      <c r="K3110" s="12" t="b">
        <v>0</v>
      </c>
      <c r="L3110" s="12"/>
      <c r="M3110" s="12"/>
      <c r="N3110" s="12"/>
      <c r="O3110" s="12">
        <v>487.5</v>
      </c>
      <c r="P3110" s="12"/>
      <c r="Q3110" s="12"/>
      <c r="R3110" s="12"/>
      <c r="S3110" s="12"/>
      <c r="T3110" s="12"/>
      <c r="U3110" s="12"/>
      <c r="V3110" s="12"/>
      <c r="W3110" s="12">
        <v>9.8029857813161492</v>
      </c>
      <c r="X3110" s="12"/>
      <c r="Y3110" s="12"/>
      <c r="Z3110" s="12"/>
      <c r="AA3110" s="12"/>
      <c r="AB3110" s="12"/>
    </row>
    <row r="3111" spans="1:28" x14ac:dyDescent="0.3">
      <c r="A3111" s="12" t="s">
        <v>5032</v>
      </c>
      <c r="B3111" s="12" t="s">
        <v>188</v>
      </c>
      <c r="C3111" s="12" t="s">
        <v>530</v>
      </c>
      <c r="D3111" s="12" t="s">
        <v>189</v>
      </c>
      <c r="E3111" s="12" t="s">
        <v>4403</v>
      </c>
      <c r="F3111" s="12" t="s">
        <v>32</v>
      </c>
      <c r="G3111" s="12" t="s">
        <v>32</v>
      </c>
      <c r="H3111" s="12" t="b">
        <v>1</v>
      </c>
      <c r="I3111" s="12" t="b">
        <v>1</v>
      </c>
      <c r="J3111" s="12"/>
      <c r="K3111" s="12" t="b">
        <v>0</v>
      </c>
      <c r="L3111" s="12"/>
      <c r="M3111" s="12"/>
      <c r="N3111" s="12"/>
      <c r="O3111" s="12">
        <v>443.75</v>
      </c>
      <c r="P3111" s="12"/>
      <c r="Q3111" s="12"/>
      <c r="R3111" s="12"/>
      <c r="S3111" s="12"/>
      <c r="T3111" s="12"/>
      <c r="U3111" s="12"/>
      <c r="V3111" s="12"/>
      <c r="W3111" s="12">
        <v>10.2825001012298</v>
      </c>
      <c r="X3111" s="12"/>
      <c r="Y3111" s="12"/>
      <c r="Z3111" s="12"/>
      <c r="AA3111" s="12"/>
      <c r="AB3111" s="12"/>
    </row>
    <row r="3112" spans="1:28" x14ac:dyDescent="0.3">
      <c r="A3112" s="12" t="s">
        <v>5033</v>
      </c>
      <c r="B3112" s="12" t="s">
        <v>188</v>
      </c>
      <c r="C3112" s="12" t="s">
        <v>530</v>
      </c>
      <c r="D3112" s="12" t="s">
        <v>189</v>
      </c>
      <c r="E3112" s="12" t="s">
        <v>4403</v>
      </c>
      <c r="F3112" s="12" t="s">
        <v>32</v>
      </c>
      <c r="G3112" s="12" t="s">
        <v>32</v>
      </c>
      <c r="H3112" s="12" t="b">
        <v>1</v>
      </c>
      <c r="I3112" s="12" t="b">
        <v>1</v>
      </c>
      <c r="J3112" s="12"/>
      <c r="K3112" s="12" t="b">
        <v>0</v>
      </c>
      <c r="L3112" s="12"/>
      <c r="M3112" s="12"/>
      <c r="N3112" s="12"/>
      <c r="O3112" s="12">
        <v>421.875</v>
      </c>
      <c r="P3112" s="12"/>
      <c r="Q3112" s="12"/>
      <c r="R3112" s="12"/>
      <c r="S3112" s="12"/>
      <c r="T3112" s="12"/>
      <c r="U3112" s="12"/>
      <c r="V3112" s="12"/>
      <c r="W3112" s="12">
        <v>10.53841895122706</v>
      </c>
      <c r="X3112" s="12"/>
      <c r="Y3112" s="12"/>
      <c r="Z3112" s="12"/>
      <c r="AA3112" s="12"/>
      <c r="AB3112" s="12"/>
    </row>
    <row r="3113" spans="1:28" x14ac:dyDescent="0.3">
      <c r="A3113" s="12" t="s">
        <v>5034</v>
      </c>
      <c r="B3113" s="12" t="s">
        <v>188</v>
      </c>
      <c r="C3113" s="12" t="s">
        <v>530</v>
      </c>
      <c r="D3113" s="12" t="s">
        <v>189</v>
      </c>
      <c r="E3113" s="12" t="s">
        <v>4403</v>
      </c>
      <c r="F3113" s="12" t="s">
        <v>32</v>
      </c>
      <c r="G3113" s="12" t="s">
        <v>32</v>
      </c>
      <c r="H3113" s="12" t="b">
        <v>1</v>
      </c>
      <c r="I3113" s="12" t="b">
        <v>1</v>
      </c>
      <c r="J3113" s="12"/>
      <c r="K3113" s="12" t="b">
        <v>0</v>
      </c>
      <c r="L3113" s="12"/>
      <c r="M3113" s="12"/>
      <c r="N3113" s="12"/>
      <c r="O3113" s="12">
        <v>432.8125</v>
      </c>
      <c r="P3113" s="12"/>
      <c r="Q3113" s="12"/>
      <c r="R3113" s="12"/>
      <c r="S3113" s="12"/>
      <c r="T3113" s="12"/>
      <c r="U3113" s="12"/>
      <c r="V3113" s="12"/>
      <c r="W3113" s="12">
        <v>10.40900892316265</v>
      </c>
      <c r="X3113" s="12"/>
      <c r="Y3113" s="12"/>
      <c r="Z3113" s="12"/>
      <c r="AA3113" s="12"/>
      <c r="AB3113" s="12"/>
    </row>
    <row r="3114" spans="1:28" x14ac:dyDescent="0.3">
      <c r="A3114" s="12" t="s">
        <v>5035</v>
      </c>
      <c r="B3114" s="12" t="s">
        <v>188</v>
      </c>
      <c r="C3114" s="12" t="s">
        <v>530</v>
      </c>
      <c r="D3114" s="12" t="s">
        <v>189</v>
      </c>
      <c r="E3114" s="12" t="s">
        <v>4403</v>
      </c>
      <c r="F3114" s="12" t="s">
        <v>32</v>
      </c>
      <c r="G3114" s="12" t="s">
        <v>32</v>
      </c>
      <c r="H3114" s="12" t="b">
        <v>1</v>
      </c>
      <c r="I3114" s="12" t="b">
        <v>1</v>
      </c>
      <c r="J3114" s="12"/>
      <c r="K3114" s="12" t="b">
        <v>0</v>
      </c>
      <c r="L3114" s="12"/>
      <c r="M3114" s="12"/>
      <c r="N3114" s="12"/>
      <c r="O3114" s="12">
        <v>427.34375</v>
      </c>
      <c r="P3114" s="12"/>
      <c r="Q3114" s="12"/>
      <c r="R3114" s="12"/>
      <c r="S3114" s="12"/>
      <c r="T3114" s="12"/>
      <c r="U3114" s="12"/>
      <c r="V3114" s="12"/>
      <c r="W3114" s="12">
        <v>10.47334270680248</v>
      </c>
      <c r="X3114" s="12"/>
      <c r="Y3114" s="12"/>
      <c r="Z3114" s="12"/>
      <c r="AA3114" s="12"/>
      <c r="AB3114" s="12"/>
    </row>
    <row r="3115" spans="1:28" x14ac:dyDescent="0.3">
      <c r="A3115" s="12" t="s">
        <v>5036</v>
      </c>
      <c r="B3115" s="12" t="s">
        <v>188</v>
      </c>
      <c r="C3115" s="12" t="s">
        <v>530</v>
      </c>
      <c r="D3115" s="12" t="s">
        <v>189</v>
      </c>
      <c r="E3115" s="12" t="s">
        <v>4403</v>
      </c>
      <c r="F3115" s="12" t="s">
        <v>32</v>
      </c>
      <c r="G3115" s="12" t="s">
        <v>32</v>
      </c>
      <c r="H3115" s="12" t="b">
        <v>1</v>
      </c>
      <c r="I3115" s="12" t="b">
        <v>1</v>
      </c>
      <c r="J3115" s="12"/>
      <c r="K3115" s="12" t="b">
        <v>0</v>
      </c>
      <c r="L3115" s="12"/>
      <c r="M3115" s="12"/>
      <c r="N3115" s="12"/>
      <c r="O3115" s="12">
        <v>424.609375</v>
      </c>
      <c r="P3115" s="12"/>
      <c r="Q3115" s="12"/>
      <c r="R3115" s="12"/>
      <c r="S3115" s="12"/>
      <c r="T3115" s="12"/>
      <c r="U3115" s="12"/>
      <c r="V3115" s="12"/>
      <c r="W3115" s="12">
        <v>10.50578691682796</v>
      </c>
      <c r="X3115" s="12"/>
      <c r="Y3115" s="12"/>
      <c r="Z3115" s="12"/>
      <c r="AA3115" s="12"/>
      <c r="AB3115" s="12"/>
    </row>
    <row r="3116" spans="1:28" x14ac:dyDescent="0.3">
      <c r="A3116" s="12" t="s">
        <v>5037</v>
      </c>
      <c r="B3116" s="12" t="s">
        <v>188</v>
      </c>
      <c r="C3116" s="12" t="s">
        <v>530</v>
      </c>
      <c r="D3116" s="12" t="s">
        <v>189</v>
      </c>
      <c r="E3116" s="12" t="s">
        <v>4403</v>
      </c>
      <c r="F3116" s="12" t="s">
        <v>32</v>
      </c>
      <c r="G3116" s="12" t="s">
        <v>32</v>
      </c>
      <c r="H3116" s="12" t="b">
        <v>1</v>
      </c>
      <c r="I3116" s="12" t="b">
        <v>1</v>
      </c>
      <c r="J3116" s="12"/>
      <c r="K3116" s="12" t="b">
        <v>0</v>
      </c>
      <c r="L3116" s="12"/>
      <c r="M3116" s="12"/>
      <c r="N3116" s="12"/>
      <c r="O3116" s="12">
        <v>393.75</v>
      </c>
      <c r="P3116" s="12"/>
      <c r="Q3116" s="12"/>
      <c r="R3116" s="12"/>
      <c r="S3116" s="12"/>
      <c r="T3116" s="12"/>
      <c r="U3116" s="12"/>
      <c r="V3116" s="12"/>
      <c r="W3116" s="12">
        <v>15.48239750048667</v>
      </c>
      <c r="X3116" s="12"/>
      <c r="Y3116" s="12"/>
      <c r="Z3116" s="12"/>
      <c r="AA3116" s="12"/>
      <c r="AB3116" s="12"/>
    </row>
    <row r="3117" spans="1:28" x14ac:dyDescent="0.3">
      <c r="A3117" s="12" t="s">
        <v>5038</v>
      </c>
      <c r="B3117" s="12" t="s">
        <v>188</v>
      </c>
      <c r="C3117" s="12" t="s">
        <v>530</v>
      </c>
      <c r="D3117" s="12" t="s">
        <v>189</v>
      </c>
      <c r="E3117" s="12" t="s">
        <v>4403</v>
      </c>
      <c r="F3117" s="12" t="s">
        <v>32</v>
      </c>
      <c r="G3117" s="12" t="s">
        <v>32</v>
      </c>
      <c r="H3117" s="12" t="b">
        <v>1</v>
      </c>
      <c r="I3117" s="12" t="b">
        <v>1</v>
      </c>
      <c r="J3117" s="12"/>
      <c r="K3117" s="12" t="b">
        <v>0</v>
      </c>
      <c r="L3117" s="12"/>
      <c r="M3117" s="12"/>
      <c r="N3117" s="12"/>
      <c r="O3117" s="12">
        <v>563.63636363636374</v>
      </c>
      <c r="P3117" s="12"/>
      <c r="Q3117" s="12"/>
      <c r="R3117" s="12"/>
      <c r="S3117" s="12"/>
      <c r="T3117" s="12"/>
      <c r="U3117" s="12"/>
      <c r="V3117" s="12"/>
      <c r="W3117" s="12">
        <v>8.4818912050065691</v>
      </c>
      <c r="X3117" s="12"/>
      <c r="Y3117" s="12"/>
      <c r="Z3117" s="12"/>
      <c r="AA3117" s="12"/>
      <c r="AB3117" s="12"/>
    </row>
    <row r="3118" spans="1:28" x14ac:dyDescent="0.3">
      <c r="A3118" s="12" t="s">
        <v>5039</v>
      </c>
      <c r="B3118" s="12" t="s">
        <v>188</v>
      </c>
      <c r="C3118" s="12" t="s">
        <v>530</v>
      </c>
      <c r="D3118" s="12" t="s">
        <v>189</v>
      </c>
      <c r="E3118" s="12" t="s">
        <v>4403</v>
      </c>
      <c r="F3118" s="12" t="s">
        <v>32</v>
      </c>
      <c r="G3118" s="12" t="s">
        <v>32</v>
      </c>
      <c r="H3118" s="12" t="b">
        <v>1</v>
      </c>
      <c r="I3118" s="12" t="b">
        <v>1</v>
      </c>
      <c r="J3118" s="12"/>
      <c r="K3118" s="12" t="b">
        <v>0</v>
      </c>
      <c r="L3118" s="12"/>
      <c r="M3118" s="12"/>
      <c r="N3118" s="12"/>
      <c r="O3118" s="12">
        <v>1800</v>
      </c>
      <c r="P3118" s="12"/>
      <c r="Q3118" s="12"/>
      <c r="R3118" s="12"/>
      <c r="S3118" s="12"/>
      <c r="T3118" s="12"/>
      <c r="U3118" s="12"/>
      <c r="V3118" s="12"/>
      <c r="W3118" s="12">
        <v>2.5574141507605401</v>
      </c>
      <c r="X3118" s="12"/>
      <c r="Y3118" s="12"/>
      <c r="Z3118" s="12"/>
      <c r="AA3118" s="12"/>
      <c r="AB3118" s="12"/>
    </row>
    <row r="3119" spans="1:28" x14ac:dyDescent="0.3">
      <c r="A3119" s="12" t="s">
        <v>5040</v>
      </c>
      <c r="B3119" s="12" t="s">
        <v>188</v>
      </c>
      <c r="C3119" s="12" t="s">
        <v>530</v>
      </c>
      <c r="D3119" s="12" t="s">
        <v>189</v>
      </c>
      <c r="E3119" s="12" t="s">
        <v>4403</v>
      </c>
      <c r="F3119" s="12" t="s">
        <v>32</v>
      </c>
      <c r="G3119" s="12" t="s">
        <v>32</v>
      </c>
      <c r="H3119" s="12" t="b">
        <v>1</v>
      </c>
      <c r="I3119" s="12" t="b">
        <v>1</v>
      </c>
      <c r="J3119" s="12"/>
      <c r="K3119" s="12" t="b">
        <v>0</v>
      </c>
      <c r="L3119" s="12"/>
      <c r="M3119" s="12"/>
      <c r="N3119" s="12"/>
      <c r="O3119" s="12">
        <v>1181.818181818182</v>
      </c>
      <c r="P3119" s="12"/>
      <c r="Q3119" s="12"/>
      <c r="R3119" s="12"/>
      <c r="S3119" s="12"/>
      <c r="T3119" s="12"/>
      <c r="U3119" s="12"/>
      <c r="V3119" s="12"/>
      <c r="W3119" s="12">
        <v>4.7273408728368302</v>
      </c>
      <c r="X3119" s="12"/>
      <c r="Y3119" s="12"/>
      <c r="Z3119" s="12"/>
      <c r="AA3119" s="12"/>
      <c r="AB3119" s="12"/>
    </row>
    <row r="3120" spans="1:28" x14ac:dyDescent="0.3">
      <c r="A3120" s="12" t="s">
        <v>5041</v>
      </c>
      <c r="B3120" s="12" t="s">
        <v>188</v>
      </c>
      <c r="C3120" s="12" t="s">
        <v>530</v>
      </c>
      <c r="D3120" s="12" t="s">
        <v>189</v>
      </c>
      <c r="E3120" s="12" t="s">
        <v>4403</v>
      </c>
      <c r="F3120" s="12" t="s">
        <v>32</v>
      </c>
      <c r="G3120" s="12" t="s">
        <v>32</v>
      </c>
      <c r="H3120" s="12" t="b">
        <v>1</v>
      </c>
      <c r="I3120" s="12" t="b">
        <v>1</v>
      </c>
      <c r="J3120" s="12"/>
      <c r="K3120" s="12" t="b">
        <v>0</v>
      </c>
      <c r="L3120" s="12"/>
      <c r="M3120" s="12"/>
      <c r="N3120" s="12"/>
      <c r="O3120" s="12">
        <v>872.72727272727286</v>
      </c>
      <c r="P3120" s="12"/>
      <c r="Q3120" s="12"/>
      <c r="R3120" s="12"/>
      <c r="S3120" s="12"/>
      <c r="T3120" s="12"/>
      <c r="U3120" s="12"/>
      <c r="V3120" s="12"/>
      <c r="W3120" s="12">
        <v>6.2841604076915898</v>
      </c>
      <c r="X3120" s="12"/>
      <c r="Y3120" s="12"/>
      <c r="Z3120" s="12"/>
      <c r="AA3120" s="12"/>
      <c r="AB3120" s="12"/>
    </row>
    <row r="3121" spans="1:28" x14ac:dyDescent="0.3">
      <c r="A3121" s="12" t="s">
        <v>5042</v>
      </c>
      <c r="B3121" s="12" t="s">
        <v>188</v>
      </c>
      <c r="C3121" s="12" t="s">
        <v>530</v>
      </c>
      <c r="D3121" s="12" t="s">
        <v>189</v>
      </c>
      <c r="E3121" s="12" t="s">
        <v>4403</v>
      </c>
      <c r="F3121" s="12" t="s">
        <v>32</v>
      </c>
      <c r="G3121" s="12" t="s">
        <v>32</v>
      </c>
      <c r="H3121" s="12" t="b">
        <v>1</v>
      </c>
      <c r="I3121" s="12" t="b">
        <v>1</v>
      </c>
      <c r="J3121" s="12"/>
      <c r="K3121" s="12" t="b">
        <v>0</v>
      </c>
      <c r="L3121" s="12"/>
      <c r="M3121" s="12"/>
      <c r="N3121" s="12"/>
      <c r="O3121" s="12">
        <v>718.18181818181824</v>
      </c>
      <c r="P3121" s="12"/>
      <c r="Q3121" s="12"/>
      <c r="R3121" s="12"/>
      <c r="S3121" s="12"/>
      <c r="T3121" s="12"/>
      <c r="U3121" s="12"/>
      <c r="V3121" s="12"/>
      <c r="W3121" s="12">
        <v>7.2725414712199994</v>
      </c>
      <c r="X3121" s="12"/>
      <c r="Y3121" s="12"/>
      <c r="Z3121" s="12"/>
      <c r="AA3121" s="12"/>
      <c r="AB3121" s="12"/>
    </row>
    <row r="3122" spans="1:28" x14ac:dyDescent="0.3">
      <c r="A3122" s="12" t="s">
        <v>5043</v>
      </c>
      <c r="B3122" s="12" t="s">
        <v>188</v>
      </c>
      <c r="C3122" s="12" t="s">
        <v>530</v>
      </c>
      <c r="D3122" s="12" t="s">
        <v>189</v>
      </c>
      <c r="E3122" s="12" t="s">
        <v>4403</v>
      </c>
      <c r="F3122" s="12" t="s">
        <v>32</v>
      </c>
      <c r="G3122" s="12" t="s">
        <v>32</v>
      </c>
      <c r="H3122" s="12" t="b">
        <v>1</v>
      </c>
      <c r="I3122" s="12" t="b">
        <v>1</v>
      </c>
      <c r="J3122" s="12"/>
      <c r="K3122" s="12" t="b">
        <v>0</v>
      </c>
      <c r="L3122" s="12"/>
      <c r="M3122" s="12"/>
      <c r="N3122" s="12"/>
      <c r="O3122" s="12">
        <v>640.90909090909099</v>
      </c>
      <c r="P3122" s="12"/>
      <c r="Q3122" s="12"/>
      <c r="R3122" s="12"/>
      <c r="S3122" s="12"/>
      <c r="T3122" s="12"/>
      <c r="U3122" s="12"/>
      <c r="V3122" s="12"/>
      <c r="W3122" s="12">
        <v>7.8436493915521908</v>
      </c>
      <c r="X3122" s="12"/>
      <c r="Y3122" s="12"/>
      <c r="Z3122" s="12"/>
      <c r="AA3122" s="12"/>
      <c r="AB3122" s="12"/>
    </row>
    <row r="3123" spans="1:28" x14ac:dyDescent="0.3">
      <c r="A3123" s="12" t="s">
        <v>5044</v>
      </c>
      <c r="B3123" s="12" t="s">
        <v>188</v>
      </c>
      <c r="C3123" s="12" t="s">
        <v>530</v>
      </c>
      <c r="D3123" s="12" t="s">
        <v>189</v>
      </c>
      <c r="E3123" s="12" t="s">
        <v>4403</v>
      </c>
      <c r="F3123" s="12" t="s">
        <v>32</v>
      </c>
      <c r="G3123" s="12" t="s">
        <v>32</v>
      </c>
      <c r="H3123" s="12" t="b">
        <v>1</v>
      </c>
      <c r="I3123" s="12" t="b">
        <v>1</v>
      </c>
      <c r="J3123" s="12"/>
      <c r="K3123" s="12" t="b">
        <v>0</v>
      </c>
      <c r="L3123" s="12"/>
      <c r="M3123" s="12"/>
      <c r="N3123" s="12"/>
      <c r="O3123" s="12">
        <v>602.27272727272737</v>
      </c>
      <c r="P3123" s="12"/>
      <c r="Q3123" s="12"/>
      <c r="R3123" s="12"/>
      <c r="S3123" s="12"/>
      <c r="T3123" s="12"/>
      <c r="U3123" s="12"/>
      <c r="V3123" s="12"/>
      <c r="W3123" s="12">
        <v>8.1534066504303002</v>
      </c>
      <c r="X3123" s="12"/>
      <c r="Y3123" s="12"/>
      <c r="Z3123" s="12"/>
      <c r="AA3123" s="12"/>
      <c r="AB3123" s="12"/>
    </row>
    <row r="3124" spans="1:28" x14ac:dyDescent="0.3">
      <c r="A3124" s="12" t="s">
        <v>5045</v>
      </c>
      <c r="B3124" s="12" t="s">
        <v>188</v>
      </c>
      <c r="C3124" s="12" t="s">
        <v>530</v>
      </c>
      <c r="D3124" s="12" t="s">
        <v>189</v>
      </c>
      <c r="E3124" s="12" t="s">
        <v>4403</v>
      </c>
      <c r="F3124" s="12" t="s">
        <v>32</v>
      </c>
      <c r="G3124" s="12" t="s">
        <v>32</v>
      </c>
      <c r="H3124" s="12" t="b">
        <v>1</v>
      </c>
      <c r="I3124" s="12" t="b">
        <v>1</v>
      </c>
      <c r="J3124" s="12"/>
      <c r="K3124" s="12" t="b">
        <v>0</v>
      </c>
      <c r="L3124" s="12"/>
      <c r="M3124" s="12"/>
      <c r="N3124" s="12"/>
      <c r="O3124" s="12">
        <v>582.9545454545455</v>
      </c>
      <c r="P3124" s="12"/>
      <c r="Q3124" s="12"/>
      <c r="R3124" s="12"/>
      <c r="S3124" s="12"/>
      <c r="T3124" s="12"/>
      <c r="U3124" s="12"/>
      <c r="V3124" s="12"/>
      <c r="W3124" s="12">
        <v>8.3151669095755896</v>
      </c>
      <c r="X3124" s="12"/>
      <c r="Y3124" s="12"/>
      <c r="Z3124" s="12"/>
      <c r="AA3124" s="12"/>
      <c r="AB3124" s="12"/>
    </row>
    <row r="3125" spans="1:28" x14ac:dyDescent="0.3">
      <c r="A3125" s="12" t="s">
        <v>5046</v>
      </c>
      <c r="B3125" s="12" t="s">
        <v>188</v>
      </c>
      <c r="C3125" s="12" t="s">
        <v>530</v>
      </c>
      <c r="D3125" s="12" t="s">
        <v>189</v>
      </c>
      <c r="E3125" s="12" t="s">
        <v>4403</v>
      </c>
      <c r="F3125" s="12" t="s">
        <v>32</v>
      </c>
      <c r="G3125" s="12" t="s">
        <v>32</v>
      </c>
      <c r="H3125" s="12" t="b">
        <v>1</v>
      </c>
      <c r="I3125" s="12" t="b">
        <v>1</v>
      </c>
      <c r="J3125" s="12"/>
      <c r="K3125" s="12" t="b">
        <v>0</v>
      </c>
      <c r="L3125" s="12"/>
      <c r="M3125" s="12"/>
      <c r="N3125" s="12"/>
      <c r="O3125" s="12">
        <v>592.61363636363649</v>
      </c>
      <c r="P3125" s="12"/>
      <c r="Q3125" s="12"/>
      <c r="R3125" s="12"/>
      <c r="S3125" s="12"/>
      <c r="T3125" s="12"/>
      <c r="U3125" s="12"/>
      <c r="V3125" s="12"/>
      <c r="W3125" s="12">
        <v>8.2336849339707499</v>
      </c>
      <c r="X3125" s="12"/>
      <c r="Y3125" s="12"/>
      <c r="Z3125" s="12"/>
      <c r="AA3125" s="12"/>
      <c r="AB3125" s="12"/>
    </row>
    <row r="3126" spans="1:28" x14ac:dyDescent="0.3">
      <c r="A3126" s="12" t="s">
        <v>5047</v>
      </c>
      <c r="B3126" s="12" t="s">
        <v>188</v>
      </c>
      <c r="C3126" s="12" t="s">
        <v>530</v>
      </c>
      <c r="D3126" s="12" t="s">
        <v>189</v>
      </c>
      <c r="E3126" s="12" t="s">
        <v>4403</v>
      </c>
      <c r="F3126" s="12" t="s">
        <v>32</v>
      </c>
      <c r="G3126" s="12" t="s">
        <v>32</v>
      </c>
      <c r="H3126" s="12" t="b">
        <v>1</v>
      </c>
      <c r="I3126" s="12" t="b">
        <v>1</v>
      </c>
      <c r="J3126" s="12"/>
      <c r="K3126" s="12" t="b">
        <v>0</v>
      </c>
      <c r="L3126" s="12"/>
      <c r="M3126" s="12"/>
      <c r="N3126" s="12"/>
      <c r="O3126" s="12">
        <v>597.44318181818198</v>
      </c>
      <c r="P3126" s="12"/>
      <c r="Q3126" s="12"/>
      <c r="R3126" s="12"/>
      <c r="S3126" s="12"/>
      <c r="T3126" s="12"/>
      <c r="U3126" s="12"/>
      <c r="V3126" s="12"/>
      <c r="W3126" s="12">
        <v>8.1933975686758398</v>
      </c>
      <c r="X3126" s="12"/>
      <c r="Y3126" s="12"/>
      <c r="Z3126" s="12"/>
      <c r="AA3126" s="12"/>
      <c r="AB3126" s="12"/>
    </row>
    <row r="3127" spans="1:28" x14ac:dyDescent="0.3">
      <c r="A3127" s="12" t="s">
        <v>5048</v>
      </c>
      <c r="B3127" s="12" t="s">
        <v>188</v>
      </c>
      <c r="C3127" s="12" t="s">
        <v>530</v>
      </c>
      <c r="D3127" s="12" t="s">
        <v>189</v>
      </c>
      <c r="E3127" s="12" t="s">
        <v>4403</v>
      </c>
      <c r="F3127" s="12" t="s">
        <v>32</v>
      </c>
      <c r="G3127" s="12" t="s">
        <v>32</v>
      </c>
      <c r="H3127" s="12" t="b">
        <v>1</v>
      </c>
      <c r="I3127" s="12" t="b">
        <v>1</v>
      </c>
      <c r="J3127" s="12"/>
      <c r="K3127" s="12" t="b">
        <v>0</v>
      </c>
      <c r="L3127" s="12"/>
      <c r="M3127" s="12"/>
      <c r="N3127" s="12"/>
      <c r="O3127" s="12">
        <v>563.63636363636374</v>
      </c>
      <c r="P3127" s="12"/>
      <c r="Q3127" s="12"/>
      <c r="R3127" s="12"/>
      <c r="S3127" s="12"/>
      <c r="T3127" s="12"/>
      <c r="U3127" s="12"/>
      <c r="V3127" s="12"/>
      <c r="W3127" s="12">
        <v>8.4818912050065691</v>
      </c>
      <c r="X3127" s="12"/>
      <c r="Y3127" s="12"/>
      <c r="Z3127" s="12"/>
      <c r="AA3127" s="12"/>
      <c r="AB3127" s="12"/>
    </row>
    <row r="3128" spans="1:28" x14ac:dyDescent="0.3">
      <c r="A3128" s="12" t="s">
        <v>5049</v>
      </c>
      <c r="B3128" s="12" t="s">
        <v>188</v>
      </c>
      <c r="C3128" s="12" t="s">
        <v>530</v>
      </c>
      <c r="D3128" s="12" t="s">
        <v>189</v>
      </c>
      <c r="E3128" s="12" t="s">
        <v>4403</v>
      </c>
      <c r="F3128" s="12" t="s">
        <v>32</v>
      </c>
      <c r="G3128" s="12" t="s">
        <v>32</v>
      </c>
      <c r="H3128" s="12" t="b">
        <v>1</v>
      </c>
      <c r="I3128" s="12" t="b">
        <v>1</v>
      </c>
      <c r="J3128" s="12"/>
      <c r="K3128" s="12" t="b">
        <v>0</v>
      </c>
      <c r="L3128" s="12"/>
      <c r="M3128" s="12"/>
      <c r="N3128" s="12"/>
      <c r="O3128" s="12">
        <v>1800</v>
      </c>
      <c r="P3128" s="12"/>
      <c r="Q3128" s="12"/>
      <c r="R3128" s="12"/>
      <c r="S3128" s="12"/>
      <c r="T3128" s="12"/>
      <c r="U3128" s="12"/>
      <c r="V3128" s="12"/>
      <c r="W3128" s="12">
        <v>2.5574141507605401</v>
      </c>
      <c r="X3128" s="12"/>
      <c r="Y3128" s="12"/>
      <c r="Z3128" s="12"/>
      <c r="AA3128" s="12"/>
      <c r="AB3128" s="12"/>
    </row>
    <row r="3129" spans="1:28" x14ac:dyDescent="0.3">
      <c r="A3129" s="12" t="s">
        <v>5050</v>
      </c>
      <c r="B3129" s="12" t="s">
        <v>188</v>
      </c>
      <c r="C3129" s="12" t="s">
        <v>530</v>
      </c>
      <c r="D3129" s="12" t="s">
        <v>189</v>
      </c>
      <c r="E3129" s="12" t="s">
        <v>4403</v>
      </c>
      <c r="F3129" s="12" t="s">
        <v>32</v>
      </c>
      <c r="G3129" s="12" t="s">
        <v>32</v>
      </c>
      <c r="H3129" s="12" t="b">
        <v>1</v>
      </c>
      <c r="I3129" s="12" t="b">
        <v>1</v>
      </c>
      <c r="J3129" s="12"/>
      <c r="K3129" s="12" t="b">
        <v>0</v>
      </c>
      <c r="L3129" s="12"/>
      <c r="M3129" s="12"/>
      <c r="N3129" s="12"/>
      <c r="O3129" s="12">
        <v>1181.818181818182</v>
      </c>
      <c r="P3129" s="12"/>
      <c r="Q3129" s="12"/>
      <c r="R3129" s="12"/>
      <c r="S3129" s="12"/>
      <c r="T3129" s="12"/>
      <c r="U3129" s="12"/>
      <c r="V3129" s="12"/>
      <c r="W3129" s="12">
        <v>4.7273408728368302</v>
      </c>
      <c r="X3129" s="12"/>
      <c r="Y3129" s="12"/>
      <c r="Z3129" s="12"/>
      <c r="AA3129" s="12"/>
      <c r="AB3129" s="12"/>
    </row>
    <row r="3130" spans="1:28" x14ac:dyDescent="0.3">
      <c r="A3130" s="12" t="s">
        <v>5051</v>
      </c>
      <c r="B3130" s="12" t="s">
        <v>188</v>
      </c>
      <c r="C3130" s="12" t="s">
        <v>530</v>
      </c>
      <c r="D3130" s="12" t="s">
        <v>189</v>
      </c>
      <c r="E3130" s="12" t="s">
        <v>4403</v>
      </c>
      <c r="F3130" s="12" t="s">
        <v>32</v>
      </c>
      <c r="G3130" s="12" t="s">
        <v>32</v>
      </c>
      <c r="H3130" s="12" t="b">
        <v>1</v>
      </c>
      <c r="I3130" s="12" t="b">
        <v>1</v>
      </c>
      <c r="J3130" s="12"/>
      <c r="K3130" s="12" t="b">
        <v>0</v>
      </c>
      <c r="L3130" s="12"/>
      <c r="M3130" s="12"/>
      <c r="N3130" s="12"/>
      <c r="O3130" s="12">
        <v>872.72727272727286</v>
      </c>
      <c r="P3130" s="12"/>
      <c r="Q3130" s="12"/>
      <c r="R3130" s="12"/>
      <c r="S3130" s="12"/>
      <c r="T3130" s="12"/>
      <c r="U3130" s="12"/>
      <c r="V3130" s="12"/>
      <c r="W3130" s="12">
        <v>6.2841604076915898</v>
      </c>
      <c r="X3130" s="12"/>
      <c r="Y3130" s="12"/>
      <c r="Z3130" s="12"/>
      <c r="AA3130" s="12"/>
      <c r="AB3130" s="12"/>
    </row>
    <row r="3131" spans="1:28" x14ac:dyDescent="0.3">
      <c r="A3131" s="12" t="s">
        <v>5052</v>
      </c>
      <c r="B3131" s="12" t="s">
        <v>188</v>
      </c>
      <c r="C3131" s="12" t="s">
        <v>530</v>
      </c>
      <c r="D3131" s="12" t="s">
        <v>189</v>
      </c>
      <c r="E3131" s="12" t="s">
        <v>4403</v>
      </c>
      <c r="F3131" s="12" t="s">
        <v>32</v>
      </c>
      <c r="G3131" s="12" t="s">
        <v>32</v>
      </c>
      <c r="H3131" s="12" t="b">
        <v>1</v>
      </c>
      <c r="I3131" s="12" t="b">
        <v>1</v>
      </c>
      <c r="J3131" s="12"/>
      <c r="K3131" s="12" t="b">
        <v>0</v>
      </c>
      <c r="L3131" s="12"/>
      <c r="M3131" s="12"/>
      <c r="N3131" s="12"/>
      <c r="O3131" s="12">
        <v>718.18181818181824</v>
      </c>
      <c r="P3131" s="12"/>
      <c r="Q3131" s="12"/>
      <c r="R3131" s="12"/>
      <c r="S3131" s="12"/>
      <c r="T3131" s="12"/>
      <c r="U3131" s="12"/>
      <c r="V3131" s="12"/>
      <c r="W3131" s="12">
        <v>7.2725414712199994</v>
      </c>
      <c r="X3131" s="12"/>
      <c r="Y3131" s="12"/>
      <c r="Z3131" s="12"/>
      <c r="AA3131" s="12"/>
      <c r="AB3131" s="12"/>
    </row>
    <row r="3132" spans="1:28" x14ac:dyDescent="0.3">
      <c r="A3132" s="12" t="s">
        <v>5053</v>
      </c>
      <c r="B3132" s="12" t="s">
        <v>188</v>
      </c>
      <c r="C3132" s="12" t="s">
        <v>530</v>
      </c>
      <c r="D3132" s="12" t="s">
        <v>189</v>
      </c>
      <c r="E3132" s="12" t="s">
        <v>4403</v>
      </c>
      <c r="F3132" s="12" t="s">
        <v>32</v>
      </c>
      <c r="G3132" s="12" t="s">
        <v>32</v>
      </c>
      <c r="H3132" s="12" t="b">
        <v>1</v>
      </c>
      <c r="I3132" s="12" t="b">
        <v>1</v>
      </c>
      <c r="J3132" s="12"/>
      <c r="K3132" s="12" t="b">
        <v>0</v>
      </c>
      <c r="L3132" s="12"/>
      <c r="M3132" s="12"/>
      <c r="N3132" s="12"/>
      <c r="O3132" s="12">
        <v>640.90909090909099</v>
      </c>
      <c r="P3132" s="12"/>
      <c r="Q3132" s="12"/>
      <c r="R3132" s="12"/>
      <c r="S3132" s="12"/>
      <c r="T3132" s="12"/>
      <c r="U3132" s="12"/>
      <c r="V3132" s="12"/>
      <c r="W3132" s="12">
        <v>7.8436493915521908</v>
      </c>
      <c r="X3132" s="12"/>
      <c r="Y3132" s="12"/>
      <c r="Z3132" s="12"/>
      <c r="AA3132" s="12"/>
      <c r="AB3132" s="12"/>
    </row>
    <row r="3133" spans="1:28" x14ac:dyDescent="0.3">
      <c r="A3133" s="12" t="s">
        <v>5054</v>
      </c>
      <c r="B3133" s="12" t="s">
        <v>188</v>
      </c>
      <c r="C3133" s="12" t="s">
        <v>530</v>
      </c>
      <c r="D3133" s="12" t="s">
        <v>189</v>
      </c>
      <c r="E3133" s="12" t="s">
        <v>4403</v>
      </c>
      <c r="F3133" s="12" t="s">
        <v>32</v>
      </c>
      <c r="G3133" s="12" t="s">
        <v>32</v>
      </c>
      <c r="H3133" s="12" t="b">
        <v>1</v>
      </c>
      <c r="I3133" s="12" t="b">
        <v>1</v>
      </c>
      <c r="J3133" s="12"/>
      <c r="K3133" s="12" t="b">
        <v>0</v>
      </c>
      <c r="L3133" s="12"/>
      <c r="M3133" s="12"/>
      <c r="N3133" s="12"/>
      <c r="O3133" s="12">
        <v>679.54545454545462</v>
      </c>
      <c r="P3133" s="12"/>
      <c r="Q3133" s="12"/>
      <c r="R3133" s="12"/>
      <c r="S3133" s="12"/>
      <c r="T3133" s="12"/>
      <c r="U3133" s="12"/>
      <c r="V3133" s="12"/>
      <c r="W3133" s="12">
        <v>7.5505959881711204</v>
      </c>
      <c r="X3133" s="12"/>
      <c r="Y3133" s="12"/>
      <c r="Z3133" s="12"/>
      <c r="AA3133" s="12"/>
      <c r="AB3133" s="12"/>
    </row>
    <row r="3134" spans="1:28" x14ac:dyDescent="0.3">
      <c r="A3134" s="12" t="s">
        <v>5055</v>
      </c>
      <c r="B3134" s="12" t="s">
        <v>188</v>
      </c>
      <c r="C3134" s="12" t="s">
        <v>530</v>
      </c>
      <c r="D3134" s="12" t="s">
        <v>189</v>
      </c>
      <c r="E3134" s="12" t="s">
        <v>4403</v>
      </c>
      <c r="F3134" s="12" t="s">
        <v>32</v>
      </c>
      <c r="G3134" s="12" t="s">
        <v>32</v>
      </c>
      <c r="H3134" s="12" t="b">
        <v>1</v>
      </c>
      <c r="I3134" s="12" t="b">
        <v>1</v>
      </c>
      <c r="J3134" s="12"/>
      <c r="K3134" s="12" t="b">
        <v>0</v>
      </c>
      <c r="L3134" s="12"/>
      <c r="M3134" s="12"/>
      <c r="N3134" s="12"/>
      <c r="O3134" s="12">
        <v>660.22727272727275</v>
      </c>
      <c r="P3134" s="12"/>
      <c r="Q3134" s="12"/>
      <c r="R3134" s="12"/>
      <c r="S3134" s="12"/>
      <c r="T3134" s="12"/>
      <c r="U3134" s="12"/>
      <c r="V3134" s="12"/>
      <c r="W3134" s="12">
        <v>7.6951478878211894</v>
      </c>
      <c r="X3134" s="12"/>
      <c r="Y3134" s="12"/>
      <c r="Z3134" s="12"/>
      <c r="AA3134" s="12"/>
      <c r="AB3134" s="12"/>
    </row>
    <row r="3135" spans="1:28" x14ac:dyDescent="0.3">
      <c r="A3135" s="12" t="s">
        <v>5056</v>
      </c>
      <c r="B3135" s="12" t="s">
        <v>188</v>
      </c>
      <c r="C3135" s="12" t="s">
        <v>530</v>
      </c>
      <c r="D3135" s="12" t="s">
        <v>189</v>
      </c>
      <c r="E3135" s="12" t="s">
        <v>4403</v>
      </c>
      <c r="F3135" s="12" t="s">
        <v>32</v>
      </c>
      <c r="G3135" s="12" t="s">
        <v>32</v>
      </c>
      <c r="H3135" s="12" t="b">
        <v>1</v>
      </c>
      <c r="I3135" s="12" t="b">
        <v>1</v>
      </c>
      <c r="J3135" s="12"/>
      <c r="K3135" s="12" t="b">
        <v>0</v>
      </c>
      <c r="L3135" s="12"/>
      <c r="M3135" s="12"/>
      <c r="N3135" s="12"/>
      <c r="O3135" s="12">
        <v>650.56818181818187</v>
      </c>
      <c r="P3135" s="12"/>
      <c r="Q3135" s="12"/>
      <c r="R3135" s="12"/>
      <c r="S3135" s="12"/>
      <c r="T3135" s="12"/>
      <c r="U3135" s="12"/>
      <c r="V3135" s="12"/>
      <c r="W3135" s="12">
        <v>7.7688915359122603</v>
      </c>
      <c r="X3135" s="12"/>
      <c r="Y3135" s="12"/>
      <c r="Z3135" s="12"/>
      <c r="AA3135" s="12"/>
      <c r="AB3135" s="12"/>
    </row>
    <row r="3136" spans="1:28" x14ac:dyDescent="0.3">
      <c r="A3136" s="12" t="s">
        <v>5057</v>
      </c>
      <c r="B3136" s="12" t="s">
        <v>188</v>
      </c>
      <c r="C3136" s="12" t="s">
        <v>530</v>
      </c>
      <c r="D3136" s="12" t="s">
        <v>189</v>
      </c>
      <c r="E3136" s="12" t="s">
        <v>4403</v>
      </c>
      <c r="F3136" s="12" t="s">
        <v>32</v>
      </c>
      <c r="G3136" s="12" t="s">
        <v>32</v>
      </c>
      <c r="H3136" s="12" t="b">
        <v>1</v>
      </c>
      <c r="I3136" s="12" t="b">
        <v>1</v>
      </c>
      <c r="J3136" s="12"/>
      <c r="K3136" s="12" t="b">
        <v>0</v>
      </c>
      <c r="L3136" s="12"/>
      <c r="M3136" s="12"/>
      <c r="N3136" s="12"/>
      <c r="O3136" s="12">
        <v>645.73863636363649</v>
      </c>
      <c r="P3136" s="12"/>
      <c r="Q3136" s="12"/>
      <c r="R3136" s="12"/>
      <c r="S3136" s="12"/>
      <c r="T3136" s="12"/>
      <c r="U3136" s="12"/>
      <c r="V3136" s="12"/>
      <c r="W3136" s="12">
        <v>7.8061419506054097</v>
      </c>
      <c r="X3136" s="12"/>
      <c r="Y3136" s="12"/>
      <c r="Z3136" s="12"/>
      <c r="AA3136" s="12"/>
      <c r="AB3136" s="12"/>
    </row>
    <row r="3137" spans="1:28" x14ac:dyDescent="0.3">
      <c r="A3137" s="12" t="s">
        <v>5058</v>
      </c>
      <c r="B3137" s="12" t="s">
        <v>188</v>
      </c>
      <c r="C3137" s="12" t="s">
        <v>530</v>
      </c>
      <c r="D3137" s="12" t="s">
        <v>189</v>
      </c>
      <c r="E3137" s="12" t="s">
        <v>4403</v>
      </c>
      <c r="F3137" s="12" t="s">
        <v>32</v>
      </c>
      <c r="G3137" s="12" t="s">
        <v>32</v>
      </c>
      <c r="H3137" s="12" t="b">
        <v>1</v>
      </c>
      <c r="I3137" s="12" t="b">
        <v>1</v>
      </c>
      <c r="J3137" s="12"/>
      <c r="K3137" s="12" t="b">
        <v>0</v>
      </c>
      <c r="L3137" s="12"/>
      <c r="M3137" s="12"/>
      <c r="N3137" s="12"/>
      <c r="O3137" s="12">
        <v>1359.5567020080759</v>
      </c>
      <c r="P3137" s="12"/>
      <c r="Q3137" s="12"/>
      <c r="R3137" s="12"/>
      <c r="S3137" s="12"/>
      <c r="T3137" s="12"/>
      <c r="U3137" s="12"/>
      <c r="V3137" s="12"/>
      <c r="W3137" s="12">
        <v>12.738675021868531</v>
      </c>
      <c r="X3137" s="12"/>
      <c r="Y3137" s="12"/>
      <c r="Z3137" s="12"/>
      <c r="AA3137" s="12"/>
      <c r="AB3137" s="12"/>
    </row>
    <row r="3138" spans="1:28" x14ac:dyDescent="0.3">
      <c r="A3138" s="12" t="s">
        <v>5059</v>
      </c>
      <c r="B3138" s="12" t="s">
        <v>188</v>
      </c>
      <c r="C3138" s="12" t="s">
        <v>530</v>
      </c>
      <c r="D3138" s="12" t="s">
        <v>189</v>
      </c>
      <c r="E3138" s="12" t="s">
        <v>4403</v>
      </c>
      <c r="F3138" s="12" t="s">
        <v>32</v>
      </c>
      <c r="G3138" s="12" t="s">
        <v>32</v>
      </c>
      <c r="H3138" s="12" t="b">
        <v>1</v>
      </c>
      <c r="I3138" s="12" t="b">
        <v>1</v>
      </c>
      <c r="J3138" s="12"/>
      <c r="K3138" s="12" t="b">
        <v>0</v>
      </c>
      <c r="L3138" s="12"/>
      <c r="M3138" s="12"/>
      <c r="N3138" s="12"/>
      <c r="O3138" s="12">
        <v>736.36363636399994</v>
      </c>
      <c r="P3138" s="12"/>
      <c r="Q3138" s="12"/>
      <c r="R3138" s="12"/>
      <c r="S3138" s="12"/>
      <c r="T3138" s="12"/>
      <c r="U3138" s="12"/>
      <c r="V3138" s="12"/>
      <c r="W3138" s="12">
        <v>9.1504210680058602</v>
      </c>
      <c r="X3138" s="12"/>
      <c r="Y3138" s="12"/>
      <c r="Z3138" s="12"/>
      <c r="AA3138" s="12"/>
      <c r="AB3138" s="12"/>
    </row>
    <row r="3139" spans="1:28" x14ac:dyDescent="0.3">
      <c r="A3139" s="12" t="s">
        <v>5060</v>
      </c>
      <c r="B3139" s="12" t="s">
        <v>188</v>
      </c>
      <c r="C3139" s="12" t="s">
        <v>530</v>
      </c>
      <c r="D3139" s="12" t="s">
        <v>189</v>
      </c>
      <c r="E3139" s="12" t="s">
        <v>4403</v>
      </c>
      <c r="F3139" s="12" t="s">
        <v>32</v>
      </c>
      <c r="G3139" s="12" t="s">
        <v>32</v>
      </c>
      <c r="H3139" s="12" t="b">
        <v>1</v>
      </c>
      <c r="I3139" s="12" t="b">
        <v>1</v>
      </c>
      <c r="J3139" s="12"/>
      <c r="K3139" s="12" t="b">
        <v>0</v>
      </c>
      <c r="L3139" s="12"/>
      <c r="M3139" s="12"/>
      <c r="N3139" s="12"/>
      <c r="O3139" s="12">
        <v>1800</v>
      </c>
      <c r="P3139" s="12"/>
      <c r="Q3139" s="12"/>
      <c r="R3139" s="12"/>
      <c r="S3139" s="12"/>
      <c r="T3139" s="12"/>
      <c r="U3139" s="12"/>
      <c r="V3139" s="12"/>
      <c r="W3139" s="12">
        <v>3.3917105741644402</v>
      </c>
      <c r="X3139" s="12"/>
      <c r="Y3139" s="12"/>
      <c r="Z3139" s="12"/>
      <c r="AA3139" s="12"/>
      <c r="AB3139" s="12"/>
    </row>
    <row r="3140" spans="1:28" x14ac:dyDescent="0.3">
      <c r="A3140" s="12" t="s">
        <v>5061</v>
      </c>
      <c r="B3140" s="12" t="s">
        <v>188</v>
      </c>
      <c r="C3140" s="12" t="s">
        <v>530</v>
      </c>
      <c r="D3140" s="12" t="s">
        <v>189</v>
      </c>
      <c r="E3140" s="12" t="s">
        <v>4403</v>
      </c>
      <c r="F3140" s="12" t="s">
        <v>32</v>
      </c>
      <c r="G3140" s="12" t="s">
        <v>32</v>
      </c>
      <c r="H3140" s="12" t="b">
        <v>1</v>
      </c>
      <c r="I3140" s="12" t="b">
        <v>1</v>
      </c>
      <c r="J3140" s="12"/>
      <c r="K3140" s="12" t="b">
        <v>0</v>
      </c>
      <c r="L3140" s="12"/>
      <c r="M3140" s="12"/>
      <c r="N3140" s="12"/>
      <c r="O3140" s="12">
        <v>1268.1818181819999</v>
      </c>
      <c r="P3140" s="12"/>
      <c r="Q3140" s="12"/>
      <c r="R3140" s="12"/>
      <c r="S3140" s="12"/>
      <c r="T3140" s="12"/>
      <c r="U3140" s="12"/>
      <c r="V3140" s="12"/>
      <c r="W3140" s="12">
        <v>5.6898971139474499</v>
      </c>
      <c r="X3140" s="12"/>
      <c r="Y3140" s="12"/>
      <c r="Z3140" s="12"/>
      <c r="AA3140" s="12"/>
      <c r="AB3140" s="12"/>
    </row>
    <row r="3141" spans="1:28" x14ac:dyDescent="0.3">
      <c r="A3141" s="12" t="s">
        <v>5062</v>
      </c>
      <c r="B3141" s="12" t="s">
        <v>188</v>
      </c>
      <c r="C3141" s="12" t="s">
        <v>530</v>
      </c>
      <c r="D3141" s="12" t="s">
        <v>189</v>
      </c>
      <c r="E3141" s="12" t="s">
        <v>4403</v>
      </c>
      <c r="F3141" s="12" t="s">
        <v>32</v>
      </c>
      <c r="G3141" s="12" t="s">
        <v>32</v>
      </c>
      <c r="H3141" s="12" t="b">
        <v>1</v>
      </c>
      <c r="I3141" s="12" t="b">
        <v>1</v>
      </c>
      <c r="J3141" s="12"/>
      <c r="K3141" s="12" t="b">
        <v>0</v>
      </c>
      <c r="L3141" s="12"/>
      <c r="M3141" s="12"/>
      <c r="N3141" s="12"/>
      <c r="O3141" s="12">
        <v>1002.272727273</v>
      </c>
      <c r="P3141" s="12"/>
      <c r="Q3141" s="12"/>
      <c r="R3141" s="12"/>
      <c r="S3141" s="12"/>
      <c r="T3141" s="12"/>
      <c r="U3141" s="12"/>
      <c r="V3141" s="12"/>
      <c r="W3141" s="12">
        <v>7.2064994172549799</v>
      </c>
      <c r="X3141" s="12"/>
      <c r="Y3141" s="12"/>
      <c r="Z3141" s="12"/>
      <c r="AA3141" s="12"/>
      <c r="AB3141" s="12"/>
    </row>
    <row r="3142" spans="1:28" x14ac:dyDescent="0.3">
      <c r="A3142" s="12" t="s">
        <v>5063</v>
      </c>
      <c r="B3142" s="12" t="s">
        <v>188</v>
      </c>
      <c r="C3142" s="12" t="s">
        <v>530</v>
      </c>
      <c r="D3142" s="12" t="s">
        <v>189</v>
      </c>
      <c r="E3142" s="12" t="s">
        <v>4403</v>
      </c>
      <c r="F3142" s="12" t="s">
        <v>32</v>
      </c>
      <c r="G3142" s="12" t="s">
        <v>32</v>
      </c>
      <c r="H3142" s="12" t="b">
        <v>1</v>
      </c>
      <c r="I3142" s="12" t="b">
        <v>1</v>
      </c>
      <c r="J3142" s="12"/>
      <c r="K3142" s="12" t="b">
        <v>0</v>
      </c>
      <c r="L3142" s="12"/>
      <c r="M3142" s="12"/>
      <c r="N3142" s="12"/>
      <c r="O3142" s="12">
        <v>869.31818181849985</v>
      </c>
      <c r="P3142" s="12"/>
      <c r="Q3142" s="12"/>
      <c r="R3142" s="12"/>
      <c r="S3142" s="12"/>
      <c r="T3142" s="12"/>
      <c r="U3142" s="12"/>
      <c r="V3142" s="12"/>
      <c r="W3142" s="12">
        <v>8.1103459592721201</v>
      </c>
      <c r="X3142" s="12"/>
      <c r="Y3142" s="12"/>
      <c r="Z3142" s="12"/>
      <c r="AA3142" s="12"/>
      <c r="AB3142" s="12"/>
    </row>
    <row r="3143" spans="1:28" x14ac:dyDescent="0.3">
      <c r="A3143" s="12" t="s">
        <v>5064</v>
      </c>
      <c r="B3143" s="12" t="s">
        <v>188</v>
      </c>
      <c r="C3143" s="12" t="s">
        <v>530</v>
      </c>
      <c r="D3143" s="12" t="s">
        <v>189</v>
      </c>
      <c r="E3143" s="12" t="s">
        <v>4403</v>
      </c>
      <c r="F3143" s="12" t="s">
        <v>32</v>
      </c>
      <c r="G3143" s="12" t="s">
        <v>32</v>
      </c>
      <c r="H3143" s="12" t="b">
        <v>1</v>
      </c>
      <c r="I3143" s="12" t="b">
        <v>1</v>
      </c>
      <c r="J3143" s="12"/>
      <c r="K3143" s="12" t="b">
        <v>0</v>
      </c>
      <c r="L3143" s="12"/>
      <c r="M3143" s="12"/>
      <c r="N3143" s="12"/>
      <c r="O3143" s="12">
        <v>802.84090909124984</v>
      </c>
      <c r="P3143" s="12"/>
      <c r="Q3143" s="12"/>
      <c r="R3143" s="12"/>
      <c r="S3143" s="12"/>
      <c r="T3143" s="12"/>
      <c r="U3143" s="12"/>
      <c r="V3143" s="12"/>
      <c r="W3143" s="12">
        <v>8.6107843821206114</v>
      </c>
      <c r="X3143" s="12"/>
      <c r="Y3143" s="12"/>
      <c r="Z3143" s="12"/>
      <c r="AA3143" s="12"/>
      <c r="AB3143" s="12"/>
    </row>
    <row r="3144" spans="1:28" x14ac:dyDescent="0.3">
      <c r="A3144" s="12" t="s">
        <v>5065</v>
      </c>
      <c r="B3144" s="12" t="s">
        <v>188</v>
      </c>
      <c r="C3144" s="12" t="s">
        <v>530</v>
      </c>
      <c r="D3144" s="12" t="s">
        <v>189</v>
      </c>
      <c r="E3144" s="12" t="s">
        <v>4403</v>
      </c>
      <c r="F3144" s="12" t="s">
        <v>32</v>
      </c>
      <c r="G3144" s="12" t="s">
        <v>32</v>
      </c>
      <c r="H3144" s="12" t="b">
        <v>1</v>
      </c>
      <c r="I3144" s="12" t="b">
        <v>1</v>
      </c>
      <c r="J3144" s="12"/>
      <c r="K3144" s="12" t="b">
        <v>0</v>
      </c>
      <c r="L3144" s="12"/>
      <c r="M3144" s="12"/>
      <c r="N3144" s="12"/>
      <c r="O3144" s="12">
        <v>769.60227272762495</v>
      </c>
      <c r="P3144" s="12"/>
      <c r="Q3144" s="12"/>
      <c r="R3144" s="12"/>
      <c r="S3144" s="12"/>
      <c r="T3144" s="12"/>
      <c r="U3144" s="12"/>
      <c r="V3144" s="12"/>
      <c r="W3144" s="12">
        <v>8.8753137002339813</v>
      </c>
      <c r="X3144" s="12"/>
      <c r="Y3144" s="12"/>
      <c r="Z3144" s="12"/>
      <c r="AA3144" s="12"/>
      <c r="AB3144" s="12"/>
    </row>
    <row r="3145" spans="1:28" x14ac:dyDescent="0.3">
      <c r="A3145" s="12" t="s">
        <v>5066</v>
      </c>
      <c r="B3145" s="12" t="s">
        <v>188</v>
      </c>
      <c r="C3145" s="12" t="s">
        <v>530</v>
      </c>
      <c r="D3145" s="12" t="s">
        <v>189</v>
      </c>
      <c r="E3145" s="12" t="s">
        <v>4403</v>
      </c>
      <c r="F3145" s="12" t="s">
        <v>32</v>
      </c>
      <c r="G3145" s="12" t="s">
        <v>32</v>
      </c>
      <c r="H3145" s="12" t="b">
        <v>1</v>
      </c>
      <c r="I3145" s="12" t="b">
        <v>1</v>
      </c>
      <c r="J3145" s="12"/>
      <c r="K3145" s="12" t="b">
        <v>0</v>
      </c>
      <c r="L3145" s="12"/>
      <c r="M3145" s="12"/>
      <c r="N3145" s="12"/>
      <c r="O3145" s="12">
        <v>786.2215909094374</v>
      </c>
      <c r="P3145" s="12"/>
      <c r="Q3145" s="12"/>
      <c r="R3145" s="12"/>
      <c r="S3145" s="12"/>
      <c r="T3145" s="12"/>
      <c r="U3145" s="12"/>
      <c r="V3145" s="12"/>
      <c r="W3145" s="12">
        <v>8.7417790965039099</v>
      </c>
      <c r="X3145" s="12"/>
      <c r="Y3145" s="12"/>
      <c r="Z3145" s="12"/>
      <c r="AA3145" s="12"/>
      <c r="AB3145" s="12"/>
    </row>
    <row r="3146" spans="1:28" x14ac:dyDescent="0.3">
      <c r="A3146" s="12" t="s">
        <v>5067</v>
      </c>
      <c r="B3146" s="12" t="s">
        <v>188</v>
      </c>
      <c r="C3146" s="12" t="s">
        <v>530</v>
      </c>
      <c r="D3146" s="12" t="s">
        <v>189</v>
      </c>
      <c r="E3146" s="12" t="s">
        <v>4403</v>
      </c>
      <c r="F3146" s="12" t="s">
        <v>32</v>
      </c>
      <c r="G3146" s="12" t="s">
        <v>32</v>
      </c>
      <c r="H3146" s="12" t="b">
        <v>1</v>
      </c>
      <c r="I3146" s="12" t="b">
        <v>1</v>
      </c>
      <c r="J3146" s="12"/>
      <c r="K3146" s="12" t="b">
        <v>0</v>
      </c>
      <c r="L3146" s="12"/>
      <c r="M3146" s="12"/>
      <c r="N3146" s="12"/>
      <c r="O3146" s="12">
        <v>777.91193181853123</v>
      </c>
      <c r="P3146" s="12"/>
      <c r="Q3146" s="12"/>
      <c r="R3146" s="12"/>
      <c r="S3146" s="12"/>
      <c r="T3146" s="12"/>
      <c r="U3146" s="12"/>
      <c r="V3146" s="12"/>
      <c r="W3146" s="12">
        <v>8.8082226204422103</v>
      </c>
      <c r="X3146" s="12"/>
      <c r="Y3146" s="12"/>
      <c r="Z3146" s="12"/>
      <c r="AA3146" s="12"/>
      <c r="AB3146" s="12"/>
    </row>
    <row r="3147" spans="1:28" x14ac:dyDescent="0.3">
      <c r="A3147" s="12" t="s">
        <v>5068</v>
      </c>
      <c r="B3147" s="12" t="s">
        <v>188</v>
      </c>
      <c r="C3147" s="12" t="s">
        <v>530</v>
      </c>
      <c r="D3147" s="12" t="s">
        <v>189</v>
      </c>
      <c r="E3147" s="12" t="s">
        <v>4403</v>
      </c>
      <c r="F3147" s="12" t="s">
        <v>32</v>
      </c>
      <c r="G3147" s="12" t="s">
        <v>32</v>
      </c>
      <c r="H3147" s="12" t="b">
        <v>1</v>
      </c>
      <c r="I3147" s="12" t="b">
        <v>1</v>
      </c>
      <c r="J3147" s="12"/>
      <c r="K3147" s="12" t="b">
        <v>0</v>
      </c>
      <c r="L3147" s="12"/>
      <c r="M3147" s="12"/>
      <c r="N3147" s="12"/>
      <c r="O3147" s="12">
        <v>782.06676136398437</v>
      </c>
      <c r="P3147" s="12"/>
      <c r="Q3147" s="12"/>
      <c r="R3147" s="12"/>
      <c r="S3147" s="12"/>
      <c r="T3147" s="12"/>
      <c r="U3147" s="12"/>
      <c r="V3147" s="12"/>
      <c r="W3147" s="12">
        <v>8.774920715441489</v>
      </c>
      <c r="X3147" s="12"/>
      <c r="Y3147" s="12"/>
      <c r="Z3147" s="12"/>
      <c r="AA3147" s="12"/>
      <c r="AB3147" s="12"/>
    </row>
    <row r="3148" spans="1:28" x14ac:dyDescent="0.3">
      <c r="A3148" s="12" t="s">
        <v>5069</v>
      </c>
      <c r="B3148" s="12" t="s">
        <v>188</v>
      </c>
      <c r="C3148" s="12" t="s">
        <v>530</v>
      </c>
      <c r="D3148" s="12" t="s">
        <v>189</v>
      </c>
      <c r="E3148" s="12" t="s">
        <v>4403</v>
      </c>
      <c r="F3148" s="12" t="s">
        <v>32</v>
      </c>
      <c r="G3148" s="12" t="s">
        <v>32</v>
      </c>
      <c r="H3148" s="12" t="b">
        <v>1</v>
      </c>
      <c r="I3148" s="12" t="b">
        <v>1</v>
      </c>
      <c r="J3148" s="12"/>
      <c r="K3148" s="12" t="b">
        <v>0</v>
      </c>
      <c r="L3148" s="12"/>
      <c r="M3148" s="12"/>
      <c r="N3148" s="12"/>
      <c r="O3148" s="12">
        <v>736.36363636399994</v>
      </c>
      <c r="P3148" s="12"/>
      <c r="Q3148" s="12"/>
      <c r="R3148" s="12"/>
      <c r="S3148" s="12"/>
      <c r="T3148" s="12"/>
      <c r="U3148" s="12"/>
      <c r="V3148" s="12"/>
      <c r="W3148" s="12">
        <v>9.1504210680058602</v>
      </c>
      <c r="X3148" s="12"/>
      <c r="Y3148" s="12"/>
      <c r="Z3148" s="12"/>
      <c r="AA3148" s="12"/>
      <c r="AB3148" s="12"/>
    </row>
    <row r="3149" spans="1:28" x14ac:dyDescent="0.3">
      <c r="A3149" s="12" t="s">
        <v>5070</v>
      </c>
      <c r="B3149" s="12" t="s">
        <v>188</v>
      </c>
      <c r="C3149" s="12" t="s">
        <v>530</v>
      </c>
      <c r="D3149" s="12" t="s">
        <v>189</v>
      </c>
      <c r="E3149" s="12" t="s">
        <v>4403</v>
      </c>
      <c r="F3149" s="12" t="s">
        <v>32</v>
      </c>
      <c r="G3149" s="12" t="s">
        <v>32</v>
      </c>
      <c r="H3149" s="12" t="b">
        <v>1</v>
      </c>
      <c r="I3149" s="12" t="b">
        <v>1</v>
      </c>
      <c r="J3149" s="12"/>
      <c r="K3149" s="12" t="b">
        <v>0</v>
      </c>
      <c r="L3149" s="12"/>
      <c r="M3149" s="12"/>
      <c r="N3149" s="12"/>
      <c r="O3149" s="12">
        <v>1800</v>
      </c>
      <c r="P3149" s="12"/>
      <c r="Q3149" s="12"/>
      <c r="R3149" s="12"/>
      <c r="S3149" s="12"/>
      <c r="T3149" s="12"/>
      <c r="U3149" s="12"/>
      <c r="V3149" s="12"/>
      <c r="W3149" s="12">
        <v>3.3917105741644402</v>
      </c>
      <c r="X3149" s="12"/>
      <c r="Y3149" s="12"/>
      <c r="Z3149" s="12"/>
      <c r="AA3149" s="12"/>
      <c r="AB3149" s="12"/>
    </row>
    <row r="3150" spans="1:28" x14ac:dyDescent="0.3">
      <c r="A3150" s="12" t="s">
        <v>5071</v>
      </c>
      <c r="B3150" s="12" t="s">
        <v>188</v>
      </c>
      <c r="C3150" s="12" t="s">
        <v>530</v>
      </c>
      <c r="D3150" s="12" t="s">
        <v>189</v>
      </c>
      <c r="E3150" s="12" t="s">
        <v>4403</v>
      </c>
      <c r="F3150" s="12" t="s">
        <v>32</v>
      </c>
      <c r="G3150" s="12" t="s">
        <v>32</v>
      </c>
      <c r="H3150" s="12" t="b">
        <v>1</v>
      </c>
      <c r="I3150" s="12" t="b">
        <v>1</v>
      </c>
      <c r="J3150" s="12"/>
      <c r="K3150" s="12" t="b">
        <v>0</v>
      </c>
      <c r="L3150" s="12"/>
      <c r="M3150" s="12"/>
      <c r="N3150" s="12"/>
      <c r="O3150" s="12">
        <v>1268.1818181819999</v>
      </c>
      <c r="P3150" s="12"/>
      <c r="Q3150" s="12"/>
      <c r="R3150" s="12"/>
      <c r="S3150" s="12"/>
      <c r="T3150" s="12"/>
      <c r="U3150" s="12"/>
      <c r="V3150" s="12"/>
      <c r="W3150" s="12">
        <v>5.6898971139474499</v>
      </c>
      <c r="X3150" s="12"/>
      <c r="Y3150" s="12"/>
      <c r="Z3150" s="12"/>
      <c r="AA3150" s="12"/>
      <c r="AB3150" s="12"/>
    </row>
    <row r="3151" spans="1:28" x14ac:dyDescent="0.3">
      <c r="A3151" s="12" t="s">
        <v>5072</v>
      </c>
      <c r="B3151" s="12" t="s">
        <v>188</v>
      </c>
      <c r="C3151" s="12" t="s">
        <v>530</v>
      </c>
      <c r="D3151" s="12" t="s">
        <v>189</v>
      </c>
      <c r="E3151" s="12" t="s">
        <v>4403</v>
      </c>
      <c r="F3151" s="12" t="s">
        <v>32</v>
      </c>
      <c r="G3151" s="12" t="s">
        <v>32</v>
      </c>
      <c r="H3151" s="12" t="b">
        <v>1</v>
      </c>
      <c r="I3151" s="12" t="b">
        <v>1</v>
      </c>
      <c r="J3151" s="12"/>
      <c r="K3151" s="12" t="b">
        <v>0</v>
      </c>
      <c r="L3151" s="12"/>
      <c r="M3151" s="12"/>
      <c r="N3151" s="12"/>
      <c r="O3151" s="12">
        <v>1002.272727273</v>
      </c>
      <c r="P3151" s="12"/>
      <c r="Q3151" s="12"/>
      <c r="R3151" s="12"/>
      <c r="S3151" s="12"/>
      <c r="T3151" s="12"/>
      <c r="U3151" s="12"/>
      <c r="V3151" s="12"/>
      <c r="W3151" s="12">
        <v>7.2064994172549799</v>
      </c>
      <c r="X3151" s="12"/>
      <c r="Y3151" s="12"/>
      <c r="Z3151" s="12"/>
      <c r="AA3151" s="12"/>
      <c r="AB3151" s="12"/>
    </row>
    <row r="3152" spans="1:28" x14ac:dyDescent="0.3">
      <c r="A3152" s="12" t="s">
        <v>5073</v>
      </c>
      <c r="B3152" s="12" t="s">
        <v>188</v>
      </c>
      <c r="C3152" s="12" t="s">
        <v>530</v>
      </c>
      <c r="D3152" s="12" t="s">
        <v>189</v>
      </c>
      <c r="E3152" s="12" t="s">
        <v>4403</v>
      </c>
      <c r="F3152" s="12" t="s">
        <v>32</v>
      </c>
      <c r="G3152" s="12" t="s">
        <v>32</v>
      </c>
      <c r="H3152" s="12" t="b">
        <v>1</v>
      </c>
      <c r="I3152" s="12" t="b">
        <v>1</v>
      </c>
      <c r="J3152" s="12"/>
      <c r="K3152" s="12" t="b">
        <v>0</v>
      </c>
      <c r="L3152" s="12"/>
      <c r="M3152" s="12"/>
      <c r="N3152" s="12"/>
      <c r="O3152" s="12">
        <v>869.31818181849985</v>
      </c>
      <c r="P3152" s="12"/>
      <c r="Q3152" s="12"/>
      <c r="R3152" s="12"/>
      <c r="S3152" s="12"/>
      <c r="T3152" s="12"/>
      <c r="U3152" s="12"/>
      <c r="V3152" s="12"/>
      <c r="W3152" s="12">
        <v>8.1103459592721201</v>
      </c>
      <c r="X3152" s="12"/>
      <c r="Y3152" s="12"/>
      <c r="Z3152" s="12"/>
      <c r="AA3152" s="12"/>
      <c r="AB3152" s="12"/>
    </row>
    <row r="3153" spans="1:28" x14ac:dyDescent="0.3">
      <c r="A3153" s="12" t="s">
        <v>5074</v>
      </c>
      <c r="B3153" s="12" t="s">
        <v>188</v>
      </c>
      <c r="C3153" s="12" t="s">
        <v>530</v>
      </c>
      <c r="D3153" s="12" t="s">
        <v>189</v>
      </c>
      <c r="E3153" s="12" t="s">
        <v>4403</v>
      </c>
      <c r="F3153" s="12" t="s">
        <v>32</v>
      </c>
      <c r="G3153" s="12" t="s">
        <v>32</v>
      </c>
      <c r="H3153" s="12" t="b">
        <v>1</v>
      </c>
      <c r="I3153" s="12" t="b">
        <v>1</v>
      </c>
      <c r="J3153" s="12"/>
      <c r="K3153" s="12" t="b">
        <v>0</v>
      </c>
      <c r="L3153" s="12"/>
      <c r="M3153" s="12"/>
      <c r="N3153" s="12"/>
      <c r="O3153" s="12">
        <v>802.84090909124984</v>
      </c>
      <c r="P3153" s="12"/>
      <c r="Q3153" s="12"/>
      <c r="R3153" s="12"/>
      <c r="S3153" s="12"/>
      <c r="T3153" s="12"/>
      <c r="U3153" s="12"/>
      <c r="V3153" s="12"/>
      <c r="W3153" s="12">
        <v>8.6107843821206114</v>
      </c>
      <c r="X3153" s="12"/>
      <c r="Y3153" s="12"/>
      <c r="Z3153" s="12"/>
      <c r="AA3153" s="12"/>
      <c r="AB3153" s="12"/>
    </row>
    <row r="3154" spans="1:28" x14ac:dyDescent="0.3">
      <c r="A3154" s="12" t="s">
        <v>5075</v>
      </c>
      <c r="B3154" s="12" t="s">
        <v>188</v>
      </c>
      <c r="C3154" s="12" t="s">
        <v>530</v>
      </c>
      <c r="D3154" s="12" t="s">
        <v>189</v>
      </c>
      <c r="E3154" s="12" t="s">
        <v>4403</v>
      </c>
      <c r="F3154" s="12" t="s">
        <v>32</v>
      </c>
      <c r="G3154" s="12" t="s">
        <v>32</v>
      </c>
      <c r="H3154" s="12" t="b">
        <v>1</v>
      </c>
      <c r="I3154" s="12" t="b">
        <v>1</v>
      </c>
      <c r="J3154" s="12"/>
      <c r="K3154" s="12" t="b">
        <v>0</v>
      </c>
      <c r="L3154" s="12"/>
      <c r="M3154" s="12"/>
      <c r="N3154" s="12"/>
      <c r="O3154" s="12">
        <v>836.07954545487485</v>
      </c>
      <c r="P3154" s="12"/>
      <c r="Q3154" s="12"/>
      <c r="R3154" s="12"/>
      <c r="S3154" s="12"/>
      <c r="T3154" s="12"/>
      <c r="U3154" s="12"/>
      <c r="V3154" s="12"/>
      <c r="W3154" s="12">
        <v>8.3560322729205794</v>
      </c>
      <c r="X3154" s="12"/>
      <c r="Y3154" s="12"/>
      <c r="Z3154" s="12"/>
      <c r="AA3154" s="12"/>
      <c r="AB3154" s="12"/>
    </row>
    <row r="3155" spans="1:28" x14ac:dyDescent="0.3">
      <c r="A3155" s="12" t="s">
        <v>5076</v>
      </c>
      <c r="B3155" s="12" t="s">
        <v>188</v>
      </c>
      <c r="C3155" s="12" t="s">
        <v>530</v>
      </c>
      <c r="D3155" s="12" t="s">
        <v>189</v>
      </c>
      <c r="E3155" s="12" t="s">
        <v>4403</v>
      </c>
      <c r="F3155" s="12" t="s">
        <v>32</v>
      </c>
      <c r="G3155" s="12" t="s">
        <v>32</v>
      </c>
      <c r="H3155" s="12" t="b">
        <v>1</v>
      </c>
      <c r="I3155" s="12" t="b">
        <v>1</v>
      </c>
      <c r="J3155" s="12"/>
      <c r="K3155" s="12" t="b">
        <v>0</v>
      </c>
      <c r="L3155" s="12"/>
      <c r="M3155" s="12"/>
      <c r="N3155" s="12"/>
      <c r="O3155" s="12">
        <v>852.69886363668729</v>
      </c>
      <c r="P3155" s="12"/>
      <c r="Q3155" s="12"/>
      <c r="R3155" s="12"/>
      <c r="S3155" s="12"/>
      <c r="T3155" s="12"/>
      <c r="U3155" s="12"/>
      <c r="V3155" s="12"/>
      <c r="W3155" s="12">
        <v>8.2320972253671112</v>
      </c>
      <c r="X3155" s="12"/>
      <c r="Y3155" s="12"/>
      <c r="Z3155" s="12"/>
      <c r="AA3155" s="12"/>
      <c r="AB3155" s="12"/>
    </row>
    <row r="3156" spans="1:28" x14ac:dyDescent="0.3">
      <c r="A3156" s="12" t="s">
        <v>5077</v>
      </c>
      <c r="B3156" s="12" t="s">
        <v>188</v>
      </c>
      <c r="C3156" s="12" t="s">
        <v>530</v>
      </c>
      <c r="D3156" s="12" t="s">
        <v>189</v>
      </c>
      <c r="E3156" s="12" t="s">
        <v>4403</v>
      </c>
      <c r="F3156" s="12" t="s">
        <v>32</v>
      </c>
      <c r="G3156" s="12" t="s">
        <v>32</v>
      </c>
      <c r="H3156" s="12" t="b">
        <v>1</v>
      </c>
      <c r="I3156" s="12" t="b">
        <v>1</v>
      </c>
      <c r="J3156" s="12"/>
      <c r="K3156" s="12" t="b">
        <v>0</v>
      </c>
      <c r="L3156" s="12"/>
      <c r="M3156" s="12"/>
      <c r="N3156" s="12"/>
      <c r="O3156" s="12">
        <v>844.38920454578101</v>
      </c>
      <c r="P3156" s="12"/>
      <c r="Q3156" s="12"/>
      <c r="R3156" s="12"/>
      <c r="S3156" s="12"/>
      <c r="T3156" s="12"/>
      <c r="U3156" s="12"/>
      <c r="V3156" s="12"/>
      <c r="W3156" s="12">
        <v>8.29378679188215</v>
      </c>
      <c r="X3156" s="12"/>
      <c r="Y3156" s="12"/>
      <c r="Z3156" s="12"/>
      <c r="AA3156" s="12"/>
      <c r="AB3156" s="12"/>
    </row>
    <row r="3157" spans="1:28" x14ac:dyDescent="0.3">
      <c r="A3157" s="12" t="s">
        <v>5078</v>
      </c>
      <c r="B3157" s="12" t="s">
        <v>188</v>
      </c>
      <c r="C3157" s="12" t="s">
        <v>530</v>
      </c>
      <c r="D3157" s="12" t="s">
        <v>189</v>
      </c>
      <c r="E3157" s="12" t="s">
        <v>4403</v>
      </c>
      <c r="F3157" s="12" t="s">
        <v>32</v>
      </c>
      <c r="G3157" s="12" t="s">
        <v>32</v>
      </c>
      <c r="H3157" s="12" t="b">
        <v>1</v>
      </c>
      <c r="I3157" s="12" t="b">
        <v>1</v>
      </c>
      <c r="J3157" s="12"/>
      <c r="K3157" s="12" t="b">
        <v>0</v>
      </c>
      <c r="L3157" s="12"/>
      <c r="M3157" s="12"/>
      <c r="N3157" s="12"/>
      <c r="O3157" s="12">
        <v>848.54403409123415</v>
      </c>
      <c r="P3157" s="12"/>
      <c r="Q3157" s="12"/>
      <c r="R3157" s="12"/>
      <c r="S3157" s="12"/>
      <c r="T3157" s="12"/>
      <c r="U3157" s="12"/>
      <c r="V3157" s="12"/>
      <c r="W3157" s="12">
        <v>8.2628731532936204</v>
      </c>
      <c r="X3157" s="12"/>
      <c r="Y3157" s="12"/>
      <c r="Z3157" s="12"/>
      <c r="AA3157" s="12"/>
      <c r="AB3157" s="12"/>
    </row>
    <row r="3158" spans="1:28" x14ac:dyDescent="0.3">
      <c r="A3158" s="12" t="s">
        <v>5079</v>
      </c>
      <c r="B3158" s="12" t="s">
        <v>188</v>
      </c>
      <c r="C3158" s="12" t="s">
        <v>530</v>
      </c>
      <c r="D3158" s="12" t="s">
        <v>189</v>
      </c>
      <c r="E3158" s="12" t="s">
        <v>4403</v>
      </c>
      <c r="F3158" s="12" t="s">
        <v>32</v>
      </c>
      <c r="G3158" s="12" t="s">
        <v>32</v>
      </c>
      <c r="H3158" s="12" t="b">
        <v>1</v>
      </c>
      <c r="I3158" s="12" t="b">
        <v>1</v>
      </c>
      <c r="J3158" s="12"/>
      <c r="K3158" s="12" t="b">
        <v>0</v>
      </c>
      <c r="L3158" s="12"/>
      <c r="M3158" s="12"/>
      <c r="N3158" s="12"/>
      <c r="O3158" s="12">
        <v>1022.274389807265</v>
      </c>
      <c r="P3158" s="12"/>
      <c r="Q3158" s="12"/>
      <c r="R3158" s="12"/>
      <c r="S3158" s="12"/>
      <c r="T3158" s="12"/>
      <c r="U3158" s="12"/>
      <c r="V3158" s="12"/>
      <c r="W3158" s="12">
        <v>11.09411449156198</v>
      </c>
      <c r="X3158" s="12"/>
      <c r="Y3158" s="12"/>
      <c r="Z3158" s="12"/>
      <c r="AA3158" s="12"/>
      <c r="AB3158" s="12"/>
    </row>
    <row r="3159" spans="1:28" x14ac:dyDescent="0.3">
      <c r="A3159" s="12" t="s">
        <v>5080</v>
      </c>
      <c r="B3159" s="12" t="s">
        <v>188</v>
      </c>
      <c r="C3159" s="12" t="s">
        <v>530</v>
      </c>
      <c r="D3159" s="12" t="s">
        <v>189</v>
      </c>
      <c r="E3159" s="12" t="s">
        <v>4403</v>
      </c>
      <c r="F3159" s="12" t="s">
        <v>32</v>
      </c>
      <c r="G3159" s="12" t="s">
        <v>32</v>
      </c>
      <c r="H3159" s="12" t="b">
        <v>1</v>
      </c>
      <c r="I3159" s="12" t="b">
        <v>1</v>
      </c>
      <c r="J3159" s="12"/>
      <c r="K3159" s="12" t="b">
        <v>0</v>
      </c>
      <c r="L3159" s="12"/>
      <c r="M3159" s="12"/>
      <c r="N3159" s="12"/>
      <c r="O3159" s="12">
        <v>1022.274389807265</v>
      </c>
      <c r="P3159" s="12"/>
      <c r="Q3159" s="12"/>
      <c r="R3159" s="12"/>
      <c r="S3159" s="12"/>
      <c r="T3159" s="12"/>
      <c r="U3159" s="12"/>
      <c r="V3159" s="12"/>
      <c r="W3159" s="12">
        <v>11.09411449156198</v>
      </c>
      <c r="X3159" s="12"/>
      <c r="Y3159" s="12"/>
      <c r="Z3159" s="12"/>
      <c r="AA3159" s="12"/>
      <c r="AB3159" s="12"/>
    </row>
    <row r="3160" spans="1:28" x14ac:dyDescent="0.3">
      <c r="A3160" s="12" t="s">
        <v>5081</v>
      </c>
      <c r="B3160" s="12" t="s">
        <v>188</v>
      </c>
      <c r="C3160" s="12" t="s">
        <v>530</v>
      </c>
      <c r="D3160" s="12" t="s">
        <v>189</v>
      </c>
      <c r="E3160" s="12" t="s">
        <v>4403</v>
      </c>
      <c r="F3160" s="12" t="s">
        <v>32</v>
      </c>
      <c r="G3160" s="12" t="s">
        <v>32</v>
      </c>
      <c r="H3160" s="12" t="b">
        <v>1</v>
      </c>
      <c r="I3160" s="12" t="b">
        <v>1</v>
      </c>
      <c r="J3160" s="12"/>
      <c r="K3160" s="12" t="b">
        <v>0</v>
      </c>
      <c r="L3160" s="12"/>
      <c r="M3160" s="12"/>
      <c r="N3160" s="12"/>
      <c r="O3160" s="12">
        <v>808.34025773909616</v>
      </c>
      <c r="P3160" s="12"/>
      <c r="Q3160" s="12"/>
      <c r="R3160" s="12"/>
      <c r="S3160" s="12"/>
      <c r="T3160" s="12"/>
      <c r="U3160" s="12"/>
      <c r="V3160" s="12"/>
      <c r="W3160" s="12">
        <v>14.977938638259451</v>
      </c>
      <c r="X3160" s="12"/>
      <c r="Y3160" s="12"/>
      <c r="Z3160" s="12"/>
      <c r="AA3160" s="12"/>
      <c r="AB3160" s="12"/>
    </row>
    <row r="3161" spans="1:28" x14ac:dyDescent="0.3">
      <c r="A3161" s="12" t="s">
        <v>5082</v>
      </c>
      <c r="B3161" s="12" t="s">
        <v>188</v>
      </c>
      <c r="C3161" s="12" t="s">
        <v>530</v>
      </c>
      <c r="D3161" s="12" t="s">
        <v>189</v>
      </c>
      <c r="E3161" s="12" t="s">
        <v>4403</v>
      </c>
      <c r="F3161" s="12" t="s">
        <v>32</v>
      </c>
      <c r="G3161" s="12" t="s">
        <v>32</v>
      </c>
      <c r="H3161" s="12" t="b">
        <v>1</v>
      </c>
      <c r="I3161" s="12" t="b">
        <v>1</v>
      </c>
      <c r="J3161" s="12"/>
      <c r="K3161" s="12" t="b">
        <v>0</v>
      </c>
      <c r="L3161" s="12"/>
      <c r="M3161" s="12"/>
      <c r="N3161" s="12"/>
      <c r="O3161" s="12">
        <v>2500</v>
      </c>
      <c r="P3161" s="12"/>
      <c r="Q3161" s="12"/>
      <c r="R3161" s="12"/>
      <c r="S3161" s="12"/>
      <c r="T3161" s="12"/>
      <c r="U3161" s="12"/>
      <c r="V3161" s="12"/>
      <c r="W3161" s="12">
        <v>5.1559569395348399</v>
      </c>
      <c r="X3161" s="12"/>
      <c r="Y3161" s="12"/>
      <c r="Z3161" s="12"/>
      <c r="AA3161" s="12"/>
      <c r="AB3161" s="12"/>
    </row>
    <row r="3162" spans="1:28" x14ac:dyDescent="0.3">
      <c r="A3162" s="12" t="s">
        <v>5083</v>
      </c>
      <c r="B3162" s="12" t="s">
        <v>188</v>
      </c>
      <c r="C3162" s="12" t="s">
        <v>530</v>
      </c>
      <c r="D3162" s="12" t="s">
        <v>189</v>
      </c>
      <c r="E3162" s="12" t="s">
        <v>4403</v>
      </c>
      <c r="F3162" s="12" t="s">
        <v>32</v>
      </c>
      <c r="G3162" s="12" t="s">
        <v>32</v>
      </c>
      <c r="H3162" s="12" t="b">
        <v>1</v>
      </c>
      <c r="I3162" s="12" t="b">
        <v>1</v>
      </c>
      <c r="J3162" s="12"/>
      <c r="K3162" s="12" t="b">
        <v>0</v>
      </c>
      <c r="L3162" s="12"/>
      <c r="M3162" s="12"/>
      <c r="N3162" s="12"/>
      <c r="O3162" s="12">
        <v>1654.1701288695481</v>
      </c>
      <c r="P3162" s="12"/>
      <c r="Q3162" s="12"/>
      <c r="R3162" s="12"/>
      <c r="S3162" s="12"/>
      <c r="T3162" s="12"/>
      <c r="U3162" s="12"/>
      <c r="V3162" s="12"/>
      <c r="W3162" s="12">
        <v>8.8687584361322092</v>
      </c>
      <c r="X3162" s="12"/>
      <c r="Y3162" s="12"/>
      <c r="Z3162" s="12"/>
      <c r="AA3162" s="12"/>
      <c r="AB3162" s="12"/>
    </row>
    <row r="3163" spans="1:28" x14ac:dyDescent="0.3">
      <c r="A3163" s="12" t="s">
        <v>5084</v>
      </c>
      <c r="B3163" s="12" t="s">
        <v>188</v>
      </c>
      <c r="C3163" s="12" t="s">
        <v>530</v>
      </c>
      <c r="D3163" s="12" t="s">
        <v>189</v>
      </c>
      <c r="E3163" s="12" t="s">
        <v>4403</v>
      </c>
      <c r="F3163" s="12" t="s">
        <v>832</v>
      </c>
      <c r="G3163" s="12" t="s">
        <v>832</v>
      </c>
      <c r="H3163" s="12" t="b">
        <v>0</v>
      </c>
      <c r="I3163" s="12" t="b">
        <v>0</v>
      </c>
      <c r="J3163" s="12"/>
      <c r="K3163" s="12" t="b">
        <v>0</v>
      </c>
      <c r="L3163" s="12"/>
      <c r="M3163" s="12"/>
      <c r="N3163" s="12"/>
      <c r="O3163" s="12">
        <v>1231.2551933043219</v>
      </c>
      <c r="P3163" s="12"/>
      <c r="Q3163" s="12"/>
      <c r="R3163" s="12"/>
      <c r="S3163" s="12"/>
      <c r="T3163" s="12"/>
      <c r="U3163" s="12"/>
      <c r="V3163" s="12"/>
      <c r="W3163" s="12"/>
      <c r="X3163" s="12"/>
      <c r="Y3163" s="12"/>
      <c r="Z3163" s="12"/>
      <c r="AA3163" s="12"/>
      <c r="AB3163" s="12"/>
    </row>
    <row r="3164" spans="1:28" x14ac:dyDescent="0.3">
      <c r="A3164" s="12" t="s">
        <v>5085</v>
      </c>
      <c r="B3164" s="12" t="s">
        <v>188</v>
      </c>
      <c r="C3164" s="12" t="s">
        <v>530</v>
      </c>
      <c r="D3164" s="12" t="s">
        <v>189</v>
      </c>
      <c r="E3164" s="12" t="s">
        <v>4403</v>
      </c>
      <c r="F3164" s="12" t="s">
        <v>32</v>
      </c>
      <c r="G3164" s="12" t="s">
        <v>32</v>
      </c>
      <c r="H3164" s="12" t="b">
        <v>1</v>
      </c>
      <c r="I3164" s="12" t="b">
        <v>1</v>
      </c>
      <c r="J3164" s="12"/>
      <c r="K3164" s="12" t="b">
        <v>0</v>
      </c>
      <c r="L3164" s="12"/>
      <c r="M3164" s="12"/>
      <c r="N3164" s="12"/>
      <c r="O3164" s="12">
        <v>1442.712661086935</v>
      </c>
      <c r="P3164" s="12"/>
      <c r="Q3164" s="12"/>
      <c r="R3164" s="12"/>
      <c r="S3164" s="12"/>
      <c r="T3164" s="12"/>
      <c r="U3164" s="12"/>
      <c r="V3164" s="12"/>
      <c r="W3164" s="12">
        <v>10.071437276844589</v>
      </c>
      <c r="X3164" s="12"/>
      <c r="Y3164" s="12"/>
      <c r="Z3164" s="12"/>
      <c r="AA3164" s="12"/>
      <c r="AB3164" s="12"/>
    </row>
    <row r="3165" spans="1:28" x14ac:dyDescent="0.3">
      <c r="A3165" s="12" t="s">
        <v>5086</v>
      </c>
      <c r="B3165" s="12" t="s">
        <v>188</v>
      </c>
      <c r="C3165" s="12" t="s">
        <v>530</v>
      </c>
      <c r="D3165" s="12" t="s">
        <v>189</v>
      </c>
      <c r="E3165" s="12" t="s">
        <v>4403</v>
      </c>
      <c r="F3165" s="12" t="s">
        <v>32</v>
      </c>
      <c r="G3165" s="12" t="s">
        <v>32</v>
      </c>
      <c r="H3165" s="12" t="b">
        <v>1</v>
      </c>
      <c r="I3165" s="12" t="b">
        <v>1</v>
      </c>
      <c r="J3165" s="12"/>
      <c r="K3165" s="12" t="b">
        <v>0</v>
      </c>
      <c r="L3165" s="12"/>
      <c r="M3165" s="12"/>
      <c r="N3165" s="12"/>
      <c r="O3165" s="12">
        <v>1336.983927195628</v>
      </c>
      <c r="P3165" s="12"/>
      <c r="Q3165" s="12"/>
      <c r="R3165" s="12"/>
      <c r="S3165" s="12"/>
      <c r="T3165" s="12"/>
      <c r="U3165" s="12"/>
      <c r="V3165" s="12"/>
      <c r="W3165" s="12">
        <v>10.73390308807015</v>
      </c>
      <c r="X3165" s="12"/>
      <c r="Y3165" s="12"/>
      <c r="Z3165" s="12"/>
      <c r="AA3165" s="12"/>
      <c r="AB3165" s="12"/>
    </row>
    <row r="3166" spans="1:28" x14ac:dyDescent="0.3">
      <c r="A3166" s="12" t="s">
        <v>5087</v>
      </c>
      <c r="B3166" s="12" t="s">
        <v>188</v>
      </c>
      <c r="C3166" s="12" t="s">
        <v>530</v>
      </c>
      <c r="D3166" s="12" t="s">
        <v>189</v>
      </c>
      <c r="E3166" s="12" t="s">
        <v>4403</v>
      </c>
      <c r="F3166" s="12" t="s">
        <v>32</v>
      </c>
      <c r="G3166" s="12" t="s">
        <v>32</v>
      </c>
      <c r="H3166" s="12" t="b">
        <v>1</v>
      </c>
      <c r="I3166" s="12" t="b">
        <v>1</v>
      </c>
      <c r="J3166" s="12"/>
      <c r="K3166" s="12" t="b">
        <v>0</v>
      </c>
      <c r="L3166" s="12"/>
      <c r="M3166" s="12"/>
      <c r="N3166" s="12"/>
      <c r="O3166" s="12">
        <v>1284.1195602499749</v>
      </c>
      <c r="P3166" s="12"/>
      <c r="Q3166" s="12"/>
      <c r="R3166" s="12"/>
      <c r="S3166" s="12"/>
      <c r="T3166" s="12"/>
      <c r="U3166" s="12"/>
      <c r="V3166" s="12"/>
      <c r="W3166" s="12">
        <v>11.083000433588751</v>
      </c>
      <c r="X3166" s="12"/>
      <c r="Y3166" s="12"/>
      <c r="Z3166" s="12"/>
      <c r="AA3166" s="12"/>
      <c r="AB3166" s="12"/>
    </row>
    <row r="3167" spans="1:28" x14ac:dyDescent="0.3">
      <c r="A3167" s="12" t="s">
        <v>5088</v>
      </c>
      <c r="B3167" s="12" t="s">
        <v>188</v>
      </c>
      <c r="C3167" s="12" t="s">
        <v>530</v>
      </c>
      <c r="D3167" s="12" t="s">
        <v>189</v>
      </c>
      <c r="E3167" s="12" t="s">
        <v>4403</v>
      </c>
      <c r="F3167" s="12" t="s">
        <v>32</v>
      </c>
      <c r="G3167" s="12" t="s">
        <v>32</v>
      </c>
      <c r="H3167" s="12" t="b">
        <v>1</v>
      </c>
      <c r="I3167" s="12" t="b">
        <v>1</v>
      </c>
      <c r="J3167" s="12"/>
      <c r="K3167" s="12" t="b">
        <v>0</v>
      </c>
      <c r="L3167" s="12"/>
      <c r="M3167" s="12"/>
      <c r="N3167" s="12"/>
      <c r="O3167" s="12">
        <v>1257.6873767771481</v>
      </c>
      <c r="P3167" s="12"/>
      <c r="Q3167" s="12"/>
      <c r="R3167" s="12"/>
      <c r="S3167" s="12"/>
      <c r="T3167" s="12"/>
      <c r="U3167" s="12"/>
      <c r="V3167" s="12"/>
      <c r="W3167" s="12">
        <v>11.262407885456129</v>
      </c>
      <c r="X3167" s="12"/>
      <c r="Y3167" s="12"/>
      <c r="Z3167" s="12"/>
      <c r="AA3167" s="12"/>
      <c r="AB3167" s="12"/>
    </row>
    <row r="3168" spans="1:28" x14ac:dyDescent="0.3">
      <c r="A3168" s="12" t="s">
        <v>5089</v>
      </c>
      <c r="B3168" s="12" t="s">
        <v>188</v>
      </c>
      <c r="C3168" s="12" t="s">
        <v>530</v>
      </c>
      <c r="D3168" s="12" t="s">
        <v>189</v>
      </c>
      <c r="E3168" s="12" t="s">
        <v>4403</v>
      </c>
      <c r="F3168" s="12" t="s">
        <v>832</v>
      </c>
      <c r="G3168" s="12" t="s">
        <v>832</v>
      </c>
      <c r="H3168" s="12" t="b">
        <v>0</v>
      </c>
      <c r="I3168" s="12" t="b">
        <v>0</v>
      </c>
      <c r="J3168" s="12"/>
      <c r="K3168" s="12" t="b">
        <v>0</v>
      </c>
      <c r="L3168" s="12"/>
      <c r="M3168" s="12"/>
      <c r="N3168" s="12"/>
      <c r="O3168" s="12">
        <v>1244.471285040735</v>
      </c>
      <c r="P3168" s="12"/>
      <c r="Q3168" s="12"/>
      <c r="R3168" s="12"/>
      <c r="S3168" s="12"/>
      <c r="T3168" s="12"/>
      <c r="U3168" s="12"/>
      <c r="V3168" s="12"/>
      <c r="W3168" s="12"/>
      <c r="X3168" s="12"/>
      <c r="Y3168" s="12"/>
      <c r="Z3168" s="12"/>
      <c r="AA3168" s="12"/>
      <c r="AB3168" s="12"/>
    </row>
    <row r="3169" spans="1:28" x14ac:dyDescent="0.3">
      <c r="A3169" s="12" t="s">
        <v>5090</v>
      </c>
      <c r="B3169" s="12" t="s">
        <v>188</v>
      </c>
      <c r="C3169" s="12" t="s">
        <v>530</v>
      </c>
      <c r="D3169" s="12" t="s">
        <v>189</v>
      </c>
      <c r="E3169" s="12" t="s">
        <v>4403</v>
      </c>
      <c r="F3169" s="12" t="s">
        <v>32</v>
      </c>
      <c r="G3169" s="12" t="s">
        <v>32</v>
      </c>
      <c r="H3169" s="12" t="b">
        <v>1</v>
      </c>
      <c r="I3169" s="12" t="b">
        <v>1</v>
      </c>
      <c r="J3169" s="12"/>
      <c r="K3169" s="12" t="b">
        <v>0</v>
      </c>
      <c r="L3169" s="12"/>
      <c r="M3169" s="12"/>
      <c r="N3169" s="12"/>
      <c r="O3169" s="12">
        <v>1251.079330908942</v>
      </c>
      <c r="P3169" s="12"/>
      <c r="Q3169" s="12"/>
      <c r="R3169" s="12"/>
      <c r="S3169" s="12"/>
      <c r="T3169" s="12"/>
      <c r="U3169" s="12"/>
      <c r="V3169" s="12"/>
      <c r="W3169" s="12">
        <v>11.307786887513441</v>
      </c>
      <c r="X3169" s="12"/>
      <c r="Y3169" s="12"/>
      <c r="Z3169" s="12"/>
      <c r="AA3169" s="12"/>
      <c r="AB3169" s="12"/>
    </row>
    <row r="3170" spans="1:28" x14ac:dyDescent="0.3">
      <c r="A3170" s="12" t="s">
        <v>5091</v>
      </c>
      <c r="B3170" s="12" t="s">
        <v>188</v>
      </c>
      <c r="C3170" s="12" t="s">
        <v>530</v>
      </c>
      <c r="D3170" s="12" t="s">
        <v>189</v>
      </c>
      <c r="E3170" s="12" t="s">
        <v>4403</v>
      </c>
      <c r="F3170" s="12" t="s">
        <v>832</v>
      </c>
      <c r="G3170" s="12" t="s">
        <v>832</v>
      </c>
      <c r="H3170" s="12" t="b">
        <v>0</v>
      </c>
      <c r="I3170" s="12" t="b">
        <v>0</v>
      </c>
      <c r="J3170" s="12"/>
      <c r="K3170" s="12" t="b">
        <v>0</v>
      </c>
      <c r="L3170" s="12"/>
      <c r="M3170" s="12"/>
      <c r="N3170" s="12"/>
      <c r="O3170" s="12">
        <v>1247.7753079748391</v>
      </c>
      <c r="P3170" s="12"/>
      <c r="Q3170" s="12"/>
      <c r="R3170" s="12"/>
      <c r="S3170" s="12"/>
      <c r="T3170" s="12"/>
      <c r="U3170" s="12"/>
      <c r="V3170" s="12"/>
      <c r="W3170" s="12"/>
      <c r="X3170" s="12"/>
      <c r="Y3170" s="12"/>
      <c r="Z3170" s="12"/>
      <c r="AA3170" s="12"/>
      <c r="AB3170" s="12"/>
    </row>
    <row r="3171" spans="1:28" x14ac:dyDescent="0.3">
      <c r="A3171" s="12" t="s">
        <v>5092</v>
      </c>
      <c r="B3171" s="12" t="s">
        <v>188</v>
      </c>
      <c r="C3171" s="12" t="s">
        <v>530</v>
      </c>
      <c r="D3171" s="12" t="s">
        <v>189</v>
      </c>
      <c r="E3171" s="12" t="s">
        <v>4403</v>
      </c>
      <c r="F3171" s="12" t="s">
        <v>32</v>
      </c>
      <c r="G3171" s="12" t="s">
        <v>32</v>
      </c>
      <c r="H3171" s="12" t="b">
        <v>1</v>
      </c>
      <c r="I3171" s="12" t="b">
        <v>1</v>
      </c>
      <c r="J3171" s="12"/>
      <c r="K3171" s="12" t="b">
        <v>0</v>
      </c>
      <c r="L3171" s="12"/>
      <c r="M3171" s="12"/>
      <c r="N3171" s="12"/>
      <c r="O3171" s="12">
        <v>400</v>
      </c>
      <c r="P3171" s="12"/>
      <c r="Q3171" s="12"/>
      <c r="R3171" s="12"/>
      <c r="S3171" s="12"/>
      <c r="T3171" s="12"/>
      <c r="U3171" s="12"/>
      <c r="V3171" s="12"/>
      <c r="W3171" s="12">
        <v>15.59965738845141</v>
      </c>
      <c r="X3171" s="12"/>
      <c r="Y3171" s="12"/>
      <c r="Z3171" s="12"/>
      <c r="AA3171" s="12"/>
      <c r="AB3171" s="12"/>
    </row>
    <row r="3172" spans="1:28" x14ac:dyDescent="0.3">
      <c r="A3172" s="12" t="s">
        <v>5093</v>
      </c>
      <c r="B3172" s="12" t="s">
        <v>188</v>
      </c>
      <c r="C3172" s="12" t="s">
        <v>530</v>
      </c>
      <c r="D3172" s="12" t="s">
        <v>189</v>
      </c>
      <c r="E3172" s="12" t="s">
        <v>4403</v>
      </c>
      <c r="F3172" s="12" t="s">
        <v>32</v>
      </c>
      <c r="G3172" s="12" t="s">
        <v>32</v>
      </c>
      <c r="H3172" s="12" t="b">
        <v>1</v>
      </c>
      <c r="I3172" s="12" t="b">
        <v>1</v>
      </c>
      <c r="J3172" s="12"/>
      <c r="K3172" s="12" t="b">
        <v>0</v>
      </c>
      <c r="L3172" s="12"/>
      <c r="M3172" s="12"/>
      <c r="N3172" s="12"/>
      <c r="O3172" s="12">
        <v>1800</v>
      </c>
      <c r="P3172" s="12"/>
      <c r="Q3172" s="12"/>
      <c r="R3172" s="12"/>
      <c r="S3172" s="12"/>
      <c r="T3172" s="12"/>
      <c r="U3172" s="12"/>
      <c r="V3172" s="12"/>
      <c r="W3172" s="12">
        <v>4.1268525870610802</v>
      </c>
      <c r="X3172" s="12"/>
      <c r="Y3172" s="12"/>
      <c r="Z3172" s="12"/>
      <c r="AA3172" s="12"/>
      <c r="AB3172" s="12"/>
    </row>
    <row r="3173" spans="1:28" x14ac:dyDescent="0.3">
      <c r="A3173" s="12" t="s">
        <v>5094</v>
      </c>
      <c r="B3173" s="12" t="s">
        <v>188</v>
      </c>
      <c r="C3173" s="12" t="s">
        <v>530</v>
      </c>
      <c r="D3173" s="12" t="s">
        <v>189</v>
      </c>
      <c r="E3173" s="12" t="s">
        <v>4403</v>
      </c>
      <c r="F3173" s="12" t="s">
        <v>32</v>
      </c>
      <c r="G3173" s="12" t="s">
        <v>32</v>
      </c>
      <c r="H3173" s="12" t="b">
        <v>1</v>
      </c>
      <c r="I3173" s="12" t="b">
        <v>1</v>
      </c>
      <c r="J3173" s="12"/>
      <c r="K3173" s="12" t="b">
        <v>0</v>
      </c>
      <c r="L3173" s="12"/>
      <c r="M3173" s="12"/>
      <c r="N3173" s="12"/>
      <c r="O3173" s="12">
        <v>1100</v>
      </c>
      <c r="P3173" s="12"/>
      <c r="Q3173" s="12"/>
      <c r="R3173" s="12"/>
      <c r="S3173" s="12"/>
      <c r="T3173" s="12"/>
      <c r="U3173" s="12"/>
      <c r="V3173" s="12"/>
      <c r="W3173" s="12">
        <v>8.0336748182809092</v>
      </c>
      <c r="X3173" s="12"/>
      <c r="Y3173" s="12"/>
      <c r="Z3173" s="12"/>
      <c r="AA3173" s="12"/>
      <c r="AB3173" s="12"/>
    </row>
    <row r="3174" spans="1:28" x14ac:dyDescent="0.3">
      <c r="A3174" s="12" t="s">
        <v>5095</v>
      </c>
      <c r="B3174" s="12" t="s">
        <v>188</v>
      </c>
      <c r="C3174" s="12" t="s">
        <v>530</v>
      </c>
      <c r="D3174" s="12" t="s">
        <v>189</v>
      </c>
      <c r="E3174" s="12" t="s">
        <v>4403</v>
      </c>
      <c r="F3174" s="12" t="s">
        <v>32</v>
      </c>
      <c r="G3174" s="12" t="s">
        <v>32</v>
      </c>
      <c r="H3174" s="12" t="b">
        <v>1</v>
      </c>
      <c r="I3174" s="12" t="b">
        <v>1</v>
      </c>
      <c r="J3174" s="12"/>
      <c r="K3174" s="12" t="b">
        <v>0</v>
      </c>
      <c r="L3174" s="12"/>
      <c r="M3174" s="12"/>
      <c r="N3174" s="12"/>
      <c r="O3174" s="12">
        <v>750</v>
      </c>
      <c r="P3174" s="12"/>
      <c r="Q3174" s="12"/>
      <c r="R3174" s="12"/>
      <c r="S3174" s="12"/>
      <c r="T3174" s="12"/>
      <c r="U3174" s="12"/>
      <c r="V3174" s="12"/>
      <c r="W3174" s="12">
        <v>10.98075142927483</v>
      </c>
      <c r="X3174" s="12"/>
      <c r="Y3174" s="12"/>
      <c r="Z3174" s="12"/>
      <c r="AA3174" s="12"/>
      <c r="AB3174" s="12"/>
    </row>
    <row r="3175" spans="1:28" x14ac:dyDescent="0.3">
      <c r="A3175" s="12" t="s">
        <v>5096</v>
      </c>
      <c r="B3175" s="12" t="s">
        <v>188</v>
      </c>
      <c r="C3175" s="12" t="s">
        <v>530</v>
      </c>
      <c r="D3175" s="12" t="s">
        <v>189</v>
      </c>
      <c r="E3175" s="12" t="s">
        <v>4403</v>
      </c>
      <c r="F3175" s="12" t="s">
        <v>32</v>
      </c>
      <c r="G3175" s="12" t="s">
        <v>32</v>
      </c>
      <c r="H3175" s="12" t="b">
        <v>1</v>
      </c>
      <c r="I3175" s="12" t="b">
        <v>1</v>
      </c>
      <c r="J3175" s="12"/>
      <c r="K3175" s="12" t="b">
        <v>0</v>
      </c>
      <c r="L3175" s="12"/>
      <c r="M3175" s="12"/>
      <c r="N3175" s="12"/>
      <c r="O3175" s="12">
        <v>575</v>
      </c>
      <c r="P3175" s="12"/>
      <c r="Q3175" s="12"/>
      <c r="R3175" s="12"/>
      <c r="S3175" s="12"/>
      <c r="T3175" s="12"/>
      <c r="U3175" s="12"/>
      <c r="V3175" s="12"/>
      <c r="W3175" s="12">
        <v>12.968066641918799</v>
      </c>
      <c r="X3175" s="12"/>
      <c r="Y3175" s="12"/>
      <c r="Z3175" s="12"/>
      <c r="AA3175" s="12"/>
      <c r="AB3175" s="12"/>
    </row>
    <row r="3176" spans="1:28" x14ac:dyDescent="0.3">
      <c r="A3176" s="12" t="s">
        <v>5097</v>
      </c>
      <c r="B3176" s="12" t="s">
        <v>188</v>
      </c>
      <c r="C3176" s="12" t="s">
        <v>530</v>
      </c>
      <c r="D3176" s="12" t="s">
        <v>189</v>
      </c>
      <c r="E3176" s="12" t="s">
        <v>4403</v>
      </c>
      <c r="F3176" s="12" t="s">
        <v>32</v>
      </c>
      <c r="G3176" s="12" t="s">
        <v>32</v>
      </c>
      <c r="H3176" s="12" t="b">
        <v>1</v>
      </c>
      <c r="I3176" s="12" t="b">
        <v>1</v>
      </c>
      <c r="J3176" s="12"/>
      <c r="K3176" s="12" t="b">
        <v>0</v>
      </c>
      <c r="L3176" s="12"/>
      <c r="M3176" s="12"/>
      <c r="N3176" s="12"/>
      <c r="O3176" s="12">
        <v>487.5</v>
      </c>
      <c r="P3176" s="12"/>
      <c r="Q3176" s="12"/>
      <c r="R3176" s="12"/>
      <c r="S3176" s="12"/>
      <c r="T3176" s="12"/>
      <c r="U3176" s="12"/>
      <c r="V3176" s="12"/>
      <c r="W3176" s="12">
        <v>14.177281481321669</v>
      </c>
      <c r="X3176" s="12"/>
      <c r="Y3176" s="12"/>
      <c r="Z3176" s="12"/>
      <c r="AA3176" s="12"/>
      <c r="AB3176" s="12"/>
    </row>
    <row r="3177" spans="1:28" x14ac:dyDescent="0.3">
      <c r="A3177" s="12" t="s">
        <v>5098</v>
      </c>
      <c r="B3177" s="12" t="s">
        <v>188</v>
      </c>
      <c r="C3177" s="12" t="s">
        <v>530</v>
      </c>
      <c r="D3177" s="12" t="s">
        <v>189</v>
      </c>
      <c r="E3177" s="12" t="s">
        <v>4403</v>
      </c>
      <c r="F3177" s="12" t="s">
        <v>32</v>
      </c>
      <c r="G3177" s="12" t="s">
        <v>32</v>
      </c>
      <c r="H3177" s="12" t="b">
        <v>1</v>
      </c>
      <c r="I3177" s="12" t="b">
        <v>1</v>
      </c>
      <c r="J3177" s="12"/>
      <c r="K3177" s="12" t="b">
        <v>0</v>
      </c>
      <c r="L3177" s="12"/>
      <c r="M3177" s="12"/>
      <c r="N3177" s="12"/>
      <c r="O3177" s="12">
        <v>443.75</v>
      </c>
      <c r="P3177" s="12"/>
      <c r="Q3177" s="12"/>
      <c r="R3177" s="12"/>
      <c r="S3177" s="12"/>
      <c r="T3177" s="12"/>
      <c r="U3177" s="12"/>
      <c r="V3177" s="12"/>
      <c r="W3177" s="12">
        <v>14.85702703809282</v>
      </c>
      <c r="X3177" s="12"/>
      <c r="Y3177" s="12"/>
      <c r="Z3177" s="12"/>
      <c r="AA3177" s="12"/>
      <c r="AB3177" s="12"/>
    </row>
    <row r="3178" spans="1:28" x14ac:dyDescent="0.3">
      <c r="A3178" s="12" t="s">
        <v>5099</v>
      </c>
      <c r="B3178" s="12" t="s">
        <v>188</v>
      </c>
      <c r="C3178" s="12" t="s">
        <v>530</v>
      </c>
      <c r="D3178" s="12" t="s">
        <v>189</v>
      </c>
      <c r="E3178" s="12" t="s">
        <v>4403</v>
      </c>
      <c r="F3178" s="12" t="s">
        <v>32</v>
      </c>
      <c r="G3178" s="12" t="s">
        <v>32</v>
      </c>
      <c r="H3178" s="12" t="b">
        <v>1</v>
      </c>
      <c r="I3178" s="12" t="b">
        <v>1</v>
      </c>
      <c r="J3178" s="12"/>
      <c r="K3178" s="12" t="b">
        <v>0</v>
      </c>
      <c r="L3178" s="12"/>
      <c r="M3178" s="12"/>
      <c r="N3178" s="12"/>
      <c r="O3178" s="12">
        <v>465.625</v>
      </c>
      <c r="P3178" s="12"/>
      <c r="Q3178" s="12"/>
      <c r="R3178" s="12"/>
      <c r="S3178" s="12"/>
      <c r="T3178" s="12"/>
      <c r="U3178" s="12"/>
      <c r="V3178" s="12"/>
      <c r="W3178" s="12">
        <v>14.50999401900066</v>
      </c>
      <c r="X3178" s="12"/>
      <c r="Y3178" s="12"/>
      <c r="Z3178" s="12"/>
      <c r="AA3178" s="12"/>
      <c r="AB3178" s="12"/>
    </row>
    <row r="3179" spans="1:28" x14ac:dyDescent="0.3">
      <c r="A3179" s="12" t="s">
        <v>5100</v>
      </c>
      <c r="B3179" s="12" t="s">
        <v>188</v>
      </c>
      <c r="C3179" s="12" t="s">
        <v>530</v>
      </c>
      <c r="D3179" s="12" t="s">
        <v>189</v>
      </c>
      <c r="E3179" s="12" t="s">
        <v>4403</v>
      </c>
      <c r="F3179" s="12" t="s">
        <v>32</v>
      </c>
      <c r="G3179" s="12" t="s">
        <v>32</v>
      </c>
      <c r="H3179" s="12" t="b">
        <v>1</v>
      </c>
      <c r="I3179" s="12" t="b">
        <v>1</v>
      </c>
      <c r="J3179" s="12"/>
      <c r="K3179" s="12" t="b">
        <v>0</v>
      </c>
      <c r="L3179" s="12"/>
      <c r="M3179" s="12"/>
      <c r="N3179" s="12"/>
      <c r="O3179" s="12">
        <v>476.5625</v>
      </c>
      <c r="P3179" s="12"/>
      <c r="Q3179" s="12"/>
      <c r="R3179" s="12"/>
      <c r="S3179" s="12"/>
      <c r="T3179" s="12"/>
      <c r="U3179" s="12"/>
      <c r="V3179" s="12"/>
      <c r="W3179" s="12">
        <v>14.34192501287697</v>
      </c>
      <c r="X3179" s="12"/>
      <c r="Y3179" s="12"/>
      <c r="Z3179" s="12"/>
      <c r="AA3179" s="12"/>
      <c r="AB3179" s="12"/>
    </row>
    <row r="3180" spans="1:28" x14ac:dyDescent="0.3">
      <c r="A3180" s="12" t="s">
        <v>5101</v>
      </c>
      <c r="B3180" s="12" t="s">
        <v>188</v>
      </c>
      <c r="C3180" s="12" t="s">
        <v>530</v>
      </c>
      <c r="D3180" s="12" t="s">
        <v>189</v>
      </c>
      <c r="E3180" s="12" t="s">
        <v>4403</v>
      </c>
      <c r="F3180" s="12" t="s">
        <v>32</v>
      </c>
      <c r="G3180" s="12" t="s">
        <v>32</v>
      </c>
      <c r="H3180" s="12" t="b">
        <v>1</v>
      </c>
      <c r="I3180" s="12" t="b">
        <v>1</v>
      </c>
      <c r="J3180" s="12"/>
      <c r="K3180" s="12" t="b">
        <v>0</v>
      </c>
      <c r="L3180" s="12"/>
      <c r="M3180" s="12"/>
      <c r="N3180" s="12"/>
      <c r="O3180" s="12">
        <v>471.09375</v>
      </c>
      <c r="P3180" s="12"/>
      <c r="Q3180" s="12"/>
      <c r="R3180" s="12"/>
      <c r="S3180" s="12"/>
      <c r="T3180" s="12"/>
      <c r="U3180" s="12"/>
      <c r="V3180" s="12"/>
      <c r="W3180" s="12">
        <v>14.42552206885472</v>
      </c>
      <c r="X3180" s="12"/>
      <c r="Y3180" s="12"/>
      <c r="Z3180" s="12"/>
      <c r="AA3180" s="12"/>
      <c r="AB3180" s="12"/>
    </row>
    <row r="3181" spans="1:28" x14ac:dyDescent="0.3">
      <c r="A3181" s="12" t="s">
        <v>5102</v>
      </c>
      <c r="B3181" s="12" t="s">
        <v>188</v>
      </c>
      <c r="C3181" s="12" t="s">
        <v>530</v>
      </c>
      <c r="D3181" s="12" t="s">
        <v>189</v>
      </c>
      <c r="E3181" s="12" t="s">
        <v>4403</v>
      </c>
      <c r="F3181" s="12" t="s">
        <v>32</v>
      </c>
      <c r="G3181" s="12" t="s">
        <v>32</v>
      </c>
      <c r="H3181" s="12" t="b">
        <v>1</v>
      </c>
      <c r="I3181" s="12" t="b">
        <v>1</v>
      </c>
      <c r="J3181" s="12"/>
      <c r="K3181" s="12" t="b">
        <v>0</v>
      </c>
      <c r="L3181" s="12"/>
      <c r="M3181" s="12"/>
      <c r="N3181" s="12"/>
      <c r="O3181" s="12">
        <v>468.359375</v>
      </c>
      <c r="P3181" s="12"/>
      <c r="Q3181" s="12"/>
      <c r="R3181" s="12"/>
      <c r="S3181" s="12"/>
      <c r="T3181" s="12"/>
      <c r="U3181" s="12"/>
      <c r="V3181" s="12"/>
      <c r="W3181" s="12">
        <v>14.46764749049818</v>
      </c>
      <c r="X3181" s="12"/>
      <c r="Y3181" s="12"/>
      <c r="Z3181" s="12"/>
      <c r="AA3181" s="12"/>
      <c r="AB3181" s="12"/>
    </row>
    <row r="3182" spans="1:28" x14ac:dyDescent="0.3">
      <c r="A3182" s="12" t="s">
        <v>5103</v>
      </c>
      <c r="B3182" s="12" t="s">
        <v>188</v>
      </c>
      <c r="C3182" s="12" t="s">
        <v>530</v>
      </c>
      <c r="D3182" s="12" t="s">
        <v>189</v>
      </c>
      <c r="E3182" s="12" t="s">
        <v>4403</v>
      </c>
      <c r="F3182" s="12" t="s">
        <v>32</v>
      </c>
      <c r="G3182" s="12" t="s">
        <v>32</v>
      </c>
      <c r="H3182" s="12" t="b">
        <v>1</v>
      </c>
      <c r="I3182" s="12" t="b">
        <v>1</v>
      </c>
      <c r="J3182" s="12"/>
      <c r="K3182" s="12" t="b">
        <v>0</v>
      </c>
      <c r="L3182" s="12"/>
      <c r="M3182" s="12"/>
      <c r="N3182" s="12"/>
      <c r="O3182" s="12">
        <v>400</v>
      </c>
      <c r="P3182" s="12"/>
      <c r="Q3182" s="12"/>
      <c r="R3182" s="12"/>
      <c r="S3182" s="12"/>
      <c r="T3182" s="12"/>
      <c r="U3182" s="12"/>
      <c r="V3182" s="12"/>
      <c r="W3182" s="12">
        <v>15.59965738845141</v>
      </c>
      <c r="X3182" s="12"/>
      <c r="Y3182" s="12"/>
      <c r="Z3182" s="12"/>
      <c r="AA3182" s="12"/>
      <c r="AB3182" s="12"/>
    </row>
    <row r="3183" spans="1:28" x14ac:dyDescent="0.3">
      <c r="A3183" s="12" t="s">
        <v>5104</v>
      </c>
      <c r="B3183" s="12" t="s">
        <v>188</v>
      </c>
      <c r="C3183" s="12" t="s">
        <v>530</v>
      </c>
      <c r="D3183" s="12" t="s">
        <v>189</v>
      </c>
      <c r="E3183" s="12" t="s">
        <v>4403</v>
      </c>
      <c r="F3183" s="12" t="s">
        <v>32</v>
      </c>
      <c r="G3183" s="12" t="s">
        <v>32</v>
      </c>
      <c r="H3183" s="12" t="b">
        <v>1</v>
      </c>
      <c r="I3183" s="12" t="b">
        <v>1</v>
      </c>
      <c r="J3183" s="12"/>
      <c r="K3183" s="12" t="b">
        <v>0</v>
      </c>
      <c r="L3183" s="12"/>
      <c r="M3183" s="12"/>
      <c r="N3183" s="12"/>
      <c r="O3183" s="12">
        <v>1800</v>
      </c>
      <c r="P3183" s="12"/>
      <c r="Q3183" s="12"/>
      <c r="R3183" s="12"/>
      <c r="S3183" s="12"/>
      <c r="T3183" s="12"/>
      <c r="U3183" s="12"/>
      <c r="V3183" s="12"/>
      <c r="W3183" s="12">
        <v>4.1268525870610802</v>
      </c>
      <c r="X3183" s="12"/>
      <c r="Y3183" s="12"/>
      <c r="Z3183" s="12"/>
      <c r="AA3183" s="12"/>
      <c r="AB3183" s="12"/>
    </row>
    <row r="3184" spans="1:28" x14ac:dyDescent="0.3">
      <c r="A3184" s="12" t="s">
        <v>5105</v>
      </c>
      <c r="B3184" s="12" t="s">
        <v>188</v>
      </c>
      <c r="C3184" s="12" t="s">
        <v>530</v>
      </c>
      <c r="D3184" s="12" t="s">
        <v>189</v>
      </c>
      <c r="E3184" s="12" t="s">
        <v>4403</v>
      </c>
      <c r="F3184" s="12" t="s">
        <v>32</v>
      </c>
      <c r="G3184" s="12" t="s">
        <v>32</v>
      </c>
      <c r="H3184" s="12" t="b">
        <v>1</v>
      </c>
      <c r="I3184" s="12" t="b">
        <v>1</v>
      </c>
      <c r="J3184" s="12"/>
      <c r="K3184" s="12" t="b">
        <v>0</v>
      </c>
      <c r="L3184" s="12"/>
      <c r="M3184" s="12"/>
      <c r="N3184" s="12"/>
      <c r="O3184" s="12">
        <v>1100</v>
      </c>
      <c r="P3184" s="12"/>
      <c r="Q3184" s="12"/>
      <c r="R3184" s="12"/>
      <c r="S3184" s="12"/>
      <c r="T3184" s="12"/>
      <c r="U3184" s="12"/>
      <c r="V3184" s="12"/>
      <c r="W3184" s="12">
        <v>8.0336748182809092</v>
      </c>
      <c r="X3184" s="12"/>
      <c r="Y3184" s="12"/>
      <c r="Z3184" s="12"/>
      <c r="AA3184" s="12"/>
      <c r="AB3184" s="12"/>
    </row>
    <row r="3185" spans="1:28" x14ac:dyDescent="0.3">
      <c r="A3185" s="12" t="s">
        <v>5106</v>
      </c>
      <c r="B3185" s="12" t="s">
        <v>188</v>
      </c>
      <c r="C3185" s="12" t="s">
        <v>530</v>
      </c>
      <c r="D3185" s="12" t="s">
        <v>189</v>
      </c>
      <c r="E3185" s="12" t="s">
        <v>4403</v>
      </c>
      <c r="F3185" s="12" t="s">
        <v>32</v>
      </c>
      <c r="G3185" s="12" t="s">
        <v>32</v>
      </c>
      <c r="H3185" s="12" t="b">
        <v>1</v>
      </c>
      <c r="I3185" s="12" t="b">
        <v>1</v>
      </c>
      <c r="J3185" s="12"/>
      <c r="K3185" s="12" t="b">
        <v>0</v>
      </c>
      <c r="L3185" s="12"/>
      <c r="M3185" s="12"/>
      <c r="N3185" s="12"/>
      <c r="O3185" s="12">
        <v>750</v>
      </c>
      <c r="P3185" s="12"/>
      <c r="Q3185" s="12"/>
      <c r="R3185" s="12"/>
      <c r="S3185" s="12"/>
      <c r="T3185" s="12"/>
      <c r="U3185" s="12"/>
      <c r="V3185" s="12"/>
      <c r="W3185" s="12">
        <v>10.98075142927483</v>
      </c>
      <c r="X3185" s="12"/>
      <c r="Y3185" s="12"/>
      <c r="Z3185" s="12"/>
      <c r="AA3185" s="12"/>
      <c r="AB3185" s="12"/>
    </row>
    <row r="3186" spans="1:28" x14ac:dyDescent="0.3">
      <c r="A3186" s="12" t="s">
        <v>5107</v>
      </c>
      <c r="B3186" s="12" t="s">
        <v>188</v>
      </c>
      <c r="C3186" s="12" t="s">
        <v>530</v>
      </c>
      <c r="D3186" s="12" t="s">
        <v>189</v>
      </c>
      <c r="E3186" s="12" t="s">
        <v>4403</v>
      </c>
      <c r="F3186" s="12" t="s">
        <v>32</v>
      </c>
      <c r="G3186" s="12" t="s">
        <v>32</v>
      </c>
      <c r="H3186" s="12" t="b">
        <v>1</v>
      </c>
      <c r="I3186" s="12" t="b">
        <v>1</v>
      </c>
      <c r="J3186" s="12"/>
      <c r="K3186" s="12" t="b">
        <v>0</v>
      </c>
      <c r="L3186" s="12"/>
      <c r="M3186" s="12"/>
      <c r="N3186" s="12"/>
      <c r="O3186" s="12">
        <v>575</v>
      </c>
      <c r="P3186" s="12"/>
      <c r="Q3186" s="12"/>
      <c r="R3186" s="12"/>
      <c r="S3186" s="12"/>
      <c r="T3186" s="12"/>
      <c r="U3186" s="12"/>
      <c r="V3186" s="12"/>
      <c r="W3186" s="12">
        <v>12.968066641918799</v>
      </c>
      <c r="X3186" s="12"/>
      <c r="Y3186" s="12"/>
      <c r="Z3186" s="12"/>
      <c r="AA3186" s="12"/>
      <c r="AB3186" s="12"/>
    </row>
    <row r="3187" spans="1:28" x14ac:dyDescent="0.3">
      <c r="A3187" s="12" t="s">
        <v>5108</v>
      </c>
      <c r="B3187" s="12" t="s">
        <v>188</v>
      </c>
      <c r="C3187" s="12" t="s">
        <v>530</v>
      </c>
      <c r="D3187" s="12" t="s">
        <v>189</v>
      </c>
      <c r="E3187" s="12" t="s">
        <v>4403</v>
      </c>
      <c r="F3187" s="12" t="s">
        <v>32</v>
      </c>
      <c r="G3187" s="12" t="s">
        <v>32</v>
      </c>
      <c r="H3187" s="12" t="b">
        <v>1</v>
      </c>
      <c r="I3187" s="12" t="b">
        <v>1</v>
      </c>
      <c r="J3187" s="12"/>
      <c r="K3187" s="12" t="b">
        <v>0</v>
      </c>
      <c r="L3187" s="12"/>
      <c r="M3187" s="12"/>
      <c r="N3187" s="12"/>
      <c r="O3187" s="12">
        <v>487.5</v>
      </c>
      <c r="P3187" s="12"/>
      <c r="Q3187" s="12"/>
      <c r="R3187" s="12"/>
      <c r="S3187" s="12"/>
      <c r="T3187" s="12"/>
      <c r="U3187" s="12"/>
      <c r="V3187" s="12"/>
      <c r="W3187" s="12">
        <v>14.177281481321669</v>
      </c>
      <c r="X3187" s="12"/>
      <c r="Y3187" s="12"/>
      <c r="Z3187" s="12"/>
      <c r="AA3187" s="12"/>
      <c r="AB3187" s="12"/>
    </row>
    <row r="3188" spans="1:28" x14ac:dyDescent="0.3">
      <c r="A3188" s="12" t="s">
        <v>5109</v>
      </c>
      <c r="B3188" s="12" t="s">
        <v>188</v>
      </c>
      <c r="C3188" s="12" t="s">
        <v>530</v>
      </c>
      <c r="D3188" s="12" t="s">
        <v>189</v>
      </c>
      <c r="E3188" s="12" t="s">
        <v>4403</v>
      </c>
      <c r="F3188" s="12" t="s">
        <v>32</v>
      </c>
      <c r="G3188" s="12" t="s">
        <v>32</v>
      </c>
      <c r="H3188" s="12" t="b">
        <v>1</v>
      </c>
      <c r="I3188" s="12" t="b">
        <v>1</v>
      </c>
      <c r="J3188" s="12"/>
      <c r="K3188" s="12" t="b">
        <v>0</v>
      </c>
      <c r="L3188" s="12"/>
      <c r="M3188" s="12"/>
      <c r="N3188" s="12"/>
      <c r="O3188" s="12">
        <v>443.75</v>
      </c>
      <c r="P3188" s="12"/>
      <c r="Q3188" s="12"/>
      <c r="R3188" s="12"/>
      <c r="S3188" s="12"/>
      <c r="T3188" s="12"/>
      <c r="U3188" s="12"/>
      <c r="V3188" s="12"/>
      <c r="W3188" s="12">
        <v>14.85702703809282</v>
      </c>
      <c r="X3188" s="12"/>
      <c r="Y3188" s="12"/>
      <c r="Z3188" s="12"/>
      <c r="AA3188" s="12"/>
      <c r="AB3188" s="12"/>
    </row>
    <row r="3189" spans="1:28" x14ac:dyDescent="0.3">
      <c r="A3189" s="12" t="s">
        <v>5110</v>
      </c>
      <c r="B3189" s="12" t="s">
        <v>188</v>
      </c>
      <c r="C3189" s="12" t="s">
        <v>530</v>
      </c>
      <c r="D3189" s="12" t="s">
        <v>189</v>
      </c>
      <c r="E3189" s="12" t="s">
        <v>4403</v>
      </c>
      <c r="F3189" s="12" t="s">
        <v>32</v>
      </c>
      <c r="G3189" s="12" t="s">
        <v>32</v>
      </c>
      <c r="H3189" s="12" t="b">
        <v>1</v>
      </c>
      <c r="I3189" s="12" t="b">
        <v>1</v>
      </c>
      <c r="J3189" s="12"/>
      <c r="K3189" s="12" t="b">
        <v>0</v>
      </c>
      <c r="L3189" s="12"/>
      <c r="M3189" s="12"/>
      <c r="N3189" s="12"/>
      <c r="O3189" s="12">
        <v>421.875</v>
      </c>
      <c r="P3189" s="12"/>
      <c r="Q3189" s="12"/>
      <c r="R3189" s="12"/>
      <c r="S3189" s="12"/>
      <c r="T3189" s="12"/>
      <c r="U3189" s="12"/>
      <c r="V3189" s="12"/>
      <c r="W3189" s="12">
        <v>15.21972990821607</v>
      </c>
      <c r="X3189" s="12"/>
      <c r="Y3189" s="12"/>
      <c r="Z3189" s="12"/>
      <c r="AA3189" s="12"/>
      <c r="AB3189" s="12"/>
    </row>
    <row r="3190" spans="1:28" x14ac:dyDescent="0.3">
      <c r="A3190" s="12" t="s">
        <v>5111</v>
      </c>
      <c r="B3190" s="12" t="s">
        <v>188</v>
      </c>
      <c r="C3190" s="12" t="s">
        <v>530</v>
      </c>
      <c r="D3190" s="12" t="s">
        <v>189</v>
      </c>
      <c r="E3190" s="12" t="s">
        <v>4403</v>
      </c>
      <c r="F3190" s="12" t="s">
        <v>32</v>
      </c>
      <c r="G3190" s="12" t="s">
        <v>32</v>
      </c>
      <c r="H3190" s="12" t="b">
        <v>1</v>
      </c>
      <c r="I3190" s="12" t="b">
        <v>1</v>
      </c>
      <c r="J3190" s="12"/>
      <c r="K3190" s="12" t="b">
        <v>0</v>
      </c>
      <c r="L3190" s="12"/>
      <c r="M3190" s="12"/>
      <c r="N3190" s="12"/>
      <c r="O3190" s="12">
        <v>432.8125</v>
      </c>
      <c r="P3190" s="12"/>
      <c r="Q3190" s="12"/>
      <c r="R3190" s="12"/>
      <c r="S3190" s="12"/>
      <c r="T3190" s="12"/>
      <c r="U3190" s="12"/>
      <c r="V3190" s="12"/>
      <c r="W3190" s="12">
        <v>15.03632785156308</v>
      </c>
      <c r="X3190" s="12"/>
      <c r="Y3190" s="12"/>
      <c r="Z3190" s="12"/>
      <c r="AA3190" s="12"/>
      <c r="AB3190" s="12"/>
    </row>
    <row r="3191" spans="1:28" x14ac:dyDescent="0.3">
      <c r="A3191" s="12" t="s">
        <v>5112</v>
      </c>
      <c r="B3191" s="12" t="s">
        <v>188</v>
      </c>
      <c r="C3191" s="12" t="s">
        <v>530</v>
      </c>
      <c r="D3191" s="12" t="s">
        <v>189</v>
      </c>
      <c r="E3191" s="12" t="s">
        <v>4403</v>
      </c>
      <c r="F3191" s="12" t="s">
        <v>32</v>
      </c>
      <c r="G3191" s="12" t="s">
        <v>32</v>
      </c>
      <c r="H3191" s="12" t="b">
        <v>1</v>
      </c>
      <c r="I3191" s="12" t="b">
        <v>1</v>
      </c>
      <c r="J3191" s="12"/>
      <c r="K3191" s="12" t="b">
        <v>0</v>
      </c>
      <c r="L3191" s="12"/>
      <c r="M3191" s="12"/>
      <c r="N3191" s="12"/>
      <c r="O3191" s="12">
        <v>427.34375</v>
      </c>
      <c r="P3191" s="12"/>
      <c r="Q3191" s="12"/>
      <c r="R3191" s="12"/>
      <c r="S3191" s="12"/>
      <c r="T3191" s="12"/>
      <c r="U3191" s="12"/>
      <c r="V3191" s="12"/>
      <c r="W3191" s="12">
        <v>15.127504005970399</v>
      </c>
      <c r="X3191" s="12"/>
      <c r="Y3191" s="12"/>
      <c r="Z3191" s="12"/>
      <c r="AA3191" s="12"/>
      <c r="AB3191" s="12"/>
    </row>
    <row r="3192" spans="1:28" x14ac:dyDescent="0.3">
      <c r="A3192" s="12" t="s">
        <v>5113</v>
      </c>
      <c r="B3192" s="12" t="s">
        <v>188</v>
      </c>
      <c r="C3192" s="12" t="s">
        <v>530</v>
      </c>
      <c r="D3192" s="12" t="s">
        <v>189</v>
      </c>
      <c r="E3192" s="12" t="s">
        <v>4403</v>
      </c>
      <c r="F3192" s="12" t="s">
        <v>32</v>
      </c>
      <c r="G3192" s="12" t="s">
        <v>32</v>
      </c>
      <c r="H3192" s="12" t="b">
        <v>1</v>
      </c>
      <c r="I3192" s="12" t="b">
        <v>1</v>
      </c>
      <c r="J3192" s="12"/>
      <c r="K3192" s="12" t="b">
        <v>0</v>
      </c>
      <c r="L3192" s="12"/>
      <c r="M3192" s="12"/>
      <c r="N3192" s="12"/>
      <c r="O3192" s="12">
        <v>424.609375</v>
      </c>
      <c r="P3192" s="12"/>
      <c r="Q3192" s="12"/>
      <c r="R3192" s="12"/>
      <c r="S3192" s="12"/>
      <c r="T3192" s="12"/>
      <c r="U3192" s="12"/>
      <c r="V3192" s="12"/>
      <c r="W3192" s="12">
        <v>15.173484162132601</v>
      </c>
      <c r="X3192" s="12"/>
      <c r="Y3192" s="12"/>
      <c r="Z3192" s="12"/>
      <c r="AA3192" s="12"/>
      <c r="AB3192" s="12"/>
    </row>
    <row r="3193" spans="1:28" x14ac:dyDescent="0.3">
      <c r="A3193" s="12" t="s">
        <v>5114</v>
      </c>
      <c r="B3193" s="12" t="s">
        <v>188</v>
      </c>
      <c r="C3193" s="12" t="s">
        <v>530</v>
      </c>
      <c r="D3193" s="12" t="s">
        <v>189</v>
      </c>
      <c r="E3193" s="12" t="s">
        <v>4403</v>
      </c>
      <c r="F3193" s="12" t="s">
        <v>32</v>
      </c>
      <c r="G3193" s="12" t="s">
        <v>32</v>
      </c>
      <c r="H3193" s="12" t="b">
        <v>1</v>
      </c>
      <c r="I3193" s="12" t="b">
        <v>1</v>
      </c>
      <c r="J3193" s="12"/>
      <c r="K3193" s="12" t="b">
        <v>0</v>
      </c>
      <c r="L3193" s="12"/>
      <c r="M3193" s="12"/>
      <c r="N3193" s="12"/>
      <c r="O3193" s="12">
        <v>393.75</v>
      </c>
      <c r="P3193" s="12"/>
      <c r="Q3193" s="12"/>
      <c r="R3193" s="12"/>
      <c r="S3193" s="12"/>
      <c r="T3193" s="12"/>
      <c r="U3193" s="12"/>
      <c r="V3193" s="12"/>
      <c r="W3193" s="12">
        <v>15.48239750048667</v>
      </c>
      <c r="X3193" s="12"/>
      <c r="Y3193" s="12"/>
      <c r="Z3193" s="12"/>
      <c r="AA3193" s="12"/>
      <c r="AB3193" s="12"/>
    </row>
    <row r="3194" spans="1:28" x14ac:dyDescent="0.3">
      <c r="A3194" s="12" t="s">
        <v>5115</v>
      </c>
      <c r="B3194" s="12" t="s">
        <v>188</v>
      </c>
      <c r="C3194" s="12" t="s">
        <v>530</v>
      </c>
      <c r="D3194" s="12" t="s">
        <v>189</v>
      </c>
      <c r="E3194" s="12" t="s">
        <v>4403</v>
      </c>
      <c r="F3194" s="12" t="s">
        <v>32</v>
      </c>
      <c r="G3194" s="12" t="s">
        <v>32</v>
      </c>
      <c r="H3194" s="12" t="b">
        <v>1</v>
      </c>
      <c r="I3194" s="12" t="b">
        <v>1</v>
      </c>
      <c r="J3194" s="12"/>
      <c r="K3194" s="12" t="b">
        <v>0</v>
      </c>
      <c r="L3194" s="12"/>
      <c r="M3194" s="12"/>
      <c r="N3194" s="12"/>
      <c r="O3194" s="12">
        <v>1800</v>
      </c>
      <c r="P3194" s="12"/>
      <c r="Q3194" s="12"/>
      <c r="R3194" s="12"/>
      <c r="S3194" s="12"/>
      <c r="T3194" s="12"/>
      <c r="U3194" s="12"/>
      <c r="V3194" s="12"/>
      <c r="W3194" s="12">
        <v>4.0868194667348696</v>
      </c>
      <c r="X3194" s="12"/>
      <c r="Y3194" s="12"/>
      <c r="Z3194" s="12"/>
      <c r="AA3194" s="12"/>
      <c r="AB3194" s="12"/>
    </row>
    <row r="3195" spans="1:28" x14ac:dyDescent="0.3">
      <c r="A3195" s="12" t="s">
        <v>5116</v>
      </c>
      <c r="B3195" s="12" t="s">
        <v>188</v>
      </c>
      <c r="C3195" s="12" t="s">
        <v>530</v>
      </c>
      <c r="D3195" s="12" t="s">
        <v>189</v>
      </c>
      <c r="E3195" s="12" t="s">
        <v>4403</v>
      </c>
      <c r="F3195" s="12" t="s">
        <v>32</v>
      </c>
      <c r="G3195" s="12" t="s">
        <v>32</v>
      </c>
      <c r="H3195" s="12" t="b">
        <v>1</v>
      </c>
      <c r="I3195" s="12" t="b">
        <v>1</v>
      </c>
      <c r="J3195" s="12"/>
      <c r="K3195" s="12" t="b">
        <v>0</v>
      </c>
      <c r="L3195" s="12"/>
      <c r="M3195" s="12"/>
      <c r="N3195" s="12"/>
      <c r="O3195" s="12">
        <v>1096.875</v>
      </c>
      <c r="P3195" s="12"/>
      <c r="Q3195" s="12"/>
      <c r="R3195" s="12"/>
      <c r="S3195" s="12"/>
      <c r="T3195" s="12"/>
      <c r="U3195" s="12"/>
      <c r="V3195" s="12"/>
      <c r="W3195" s="12">
        <v>7.9653603869170686</v>
      </c>
      <c r="X3195" s="12"/>
      <c r="Y3195" s="12"/>
      <c r="Z3195" s="12"/>
      <c r="AA3195" s="12"/>
      <c r="AB3195" s="12"/>
    </row>
    <row r="3196" spans="1:28" x14ac:dyDescent="0.3">
      <c r="A3196" s="12" t="s">
        <v>5117</v>
      </c>
      <c r="B3196" s="12" t="s">
        <v>188</v>
      </c>
      <c r="C3196" s="12" t="s">
        <v>530</v>
      </c>
      <c r="D3196" s="12" t="s">
        <v>189</v>
      </c>
      <c r="E3196" s="12" t="s">
        <v>4403</v>
      </c>
      <c r="F3196" s="12" t="s">
        <v>32</v>
      </c>
      <c r="G3196" s="12" t="s">
        <v>32</v>
      </c>
      <c r="H3196" s="12" t="b">
        <v>1</v>
      </c>
      <c r="I3196" s="12" t="b">
        <v>1</v>
      </c>
      <c r="J3196" s="12"/>
      <c r="K3196" s="12" t="b">
        <v>0</v>
      </c>
      <c r="L3196" s="12"/>
      <c r="M3196" s="12"/>
      <c r="N3196" s="12"/>
      <c r="O3196" s="12">
        <v>745.3125</v>
      </c>
      <c r="P3196" s="12"/>
      <c r="Q3196" s="12"/>
      <c r="R3196" s="12"/>
      <c r="S3196" s="12"/>
      <c r="T3196" s="12"/>
      <c r="U3196" s="12"/>
      <c r="V3196" s="12"/>
      <c r="W3196" s="12">
        <v>10.89034716384622</v>
      </c>
      <c r="X3196" s="12"/>
      <c r="Y3196" s="12"/>
      <c r="Z3196" s="12"/>
      <c r="AA3196" s="12"/>
      <c r="AB3196" s="12"/>
    </row>
    <row r="3197" spans="1:28" x14ac:dyDescent="0.3">
      <c r="A3197" s="12" t="s">
        <v>5118</v>
      </c>
      <c r="B3197" s="12" t="s">
        <v>188</v>
      </c>
      <c r="C3197" s="12" t="s">
        <v>530</v>
      </c>
      <c r="D3197" s="12" t="s">
        <v>189</v>
      </c>
      <c r="E3197" s="12" t="s">
        <v>4403</v>
      </c>
      <c r="F3197" s="12" t="s">
        <v>32</v>
      </c>
      <c r="G3197" s="12" t="s">
        <v>32</v>
      </c>
      <c r="H3197" s="12" t="b">
        <v>1</v>
      </c>
      <c r="I3197" s="12" t="b">
        <v>1</v>
      </c>
      <c r="J3197" s="12"/>
      <c r="K3197" s="12" t="b">
        <v>0</v>
      </c>
      <c r="L3197" s="12"/>
      <c r="M3197" s="12"/>
      <c r="N3197" s="12"/>
      <c r="O3197" s="12">
        <v>569.53125</v>
      </c>
      <c r="P3197" s="12"/>
      <c r="Q3197" s="12"/>
      <c r="R3197" s="12"/>
      <c r="S3197" s="12"/>
      <c r="T3197" s="12"/>
      <c r="U3197" s="12"/>
      <c r="V3197" s="12"/>
      <c r="W3197" s="12">
        <v>12.8640736468925</v>
      </c>
      <c r="X3197" s="12"/>
      <c r="Y3197" s="12"/>
      <c r="Z3197" s="12"/>
      <c r="AA3197" s="12"/>
      <c r="AB3197" s="12"/>
    </row>
    <row r="3198" spans="1:28" x14ac:dyDescent="0.3">
      <c r="A3198" s="12" t="s">
        <v>5119</v>
      </c>
      <c r="B3198" s="12" t="s">
        <v>188</v>
      </c>
      <c r="C3198" s="12" t="s">
        <v>530</v>
      </c>
      <c r="D3198" s="12" t="s">
        <v>189</v>
      </c>
      <c r="E3198" s="12" t="s">
        <v>4403</v>
      </c>
      <c r="F3198" s="12" t="s">
        <v>32</v>
      </c>
      <c r="G3198" s="12" t="s">
        <v>32</v>
      </c>
      <c r="H3198" s="12" t="b">
        <v>1</v>
      </c>
      <c r="I3198" s="12" t="b">
        <v>1</v>
      </c>
      <c r="J3198" s="12"/>
      <c r="K3198" s="12" t="b">
        <v>0</v>
      </c>
      <c r="L3198" s="12"/>
      <c r="M3198" s="12"/>
      <c r="N3198" s="12"/>
      <c r="O3198" s="12">
        <v>481.640625</v>
      </c>
      <c r="P3198" s="12"/>
      <c r="Q3198" s="12"/>
      <c r="R3198" s="12"/>
      <c r="S3198" s="12"/>
      <c r="T3198" s="12"/>
      <c r="U3198" s="12"/>
      <c r="V3198" s="12"/>
      <c r="W3198" s="12">
        <v>14.06628339117953</v>
      </c>
      <c r="X3198" s="12"/>
      <c r="Y3198" s="12"/>
      <c r="Z3198" s="12"/>
      <c r="AA3198" s="12"/>
      <c r="AB3198" s="12"/>
    </row>
    <row r="3199" spans="1:28" x14ac:dyDescent="0.3">
      <c r="A3199" s="12" t="s">
        <v>5120</v>
      </c>
      <c r="B3199" s="12" t="s">
        <v>188</v>
      </c>
      <c r="C3199" s="12" t="s">
        <v>530</v>
      </c>
      <c r="D3199" s="12" t="s">
        <v>189</v>
      </c>
      <c r="E3199" s="12" t="s">
        <v>4403</v>
      </c>
      <c r="F3199" s="12" t="s">
        <v>32</v>
      </c>
      <c r="G3199" s="12" t="s">
        <v>32</v>
      </c>
      <c r="H3199" s="12" t="b">
        <v>1</v>
      </c>
      <c r="I3199" s="12" t="b">
        <v>1</v>
      </c>
      <c r="J3199" s="12"/>
      <c r="K3199" s="12" t="b">
        <v>0</v>
      </c>
      <c r="L3199" s="12"/>
      <c r="M3199" s="12"/>
      <c r="N3199" s="12"/>
      <c r="O3199" s="12">
        <v>437.6953125</v>
      </c>
      <c r="P3199" s="12"/>
      <c r="Q3199" s="12"/>
      <c r="R3199" s="12"/>
      <c r="S3199" s="12"/>
      <c r="T3199" s="12"/>
      <c r="U3199" s="12"/>
      <c r="V3199" s="12"/>
      <c r="W3199" s="12">
        <v>14.74272871681457</v>
      </c>
      <c r="X3199" s="12"/>
      <c r="Y3199" s="12"/>
      <c r="Z3199" s="12"/>
      <c r="AA3199" s="12"/>
      <c r="AB3199" s="12"/>
    </row>
    <row r="3200" spans="1:28" x14ac:dyDescent="0.3">
      <c r="A3200" s="12" t="s">
        <v>5121</v>
      </c>
      <c r="B3200" s="12" t="s">
        <v>188</v>
      </c>
      <c r="C3200" s="12" t="s">
        <v>530</v>
      </c>
      <c r="D3200" s="12" t="s">
        <v>189</v>
      </c>
      <c r="E3200" s="12" t="s">
        <v>4403</v>
      </c>
      <c r="F3200" s="12" t="s">
        <v>32</v>
      </c>
      <c r="G3200" s="12" t="s">
        <v>32</v>
      </c>
      <c r="H3200" s="12" t="b">
        <v>1</v>
      </c>
      <c r="I3200" s="12" t="b">
        <v>1</v>
      </c>
      <c r="J3200" s="12"/>
      <c r="K3200" s="12" t="b">
        <v>0</v>
      </c>
      <c r="L3200" s="12"/>
      <c r="M3200" s="12"/>
      <c r="N3200" s="12"/>
      <c r="O3200" s="12">
        <v>415.72265625</v>
      </c>
      <c r="P3200" s="12"/>
      <c r="Q3200" s="12"/>
      <c r="R3200" s="12"/>
      <c r="S3200" s="12"/>
      <c r="T3200" s="12"/>
      <c r="U3200" s="12"/>
      <c r="V3200" s="12"/>
      <c r="W3200" s="12">
        <v>15.10388375892261</v>
      </c>
      <c r="X3200" s="12"/>
      <c r="Y3200" s="12"/>
      <c r="Z3200" s="12"/>
      <c r="AA3200" s="12"/>
      <c r="AB3200" s="12"/>
    </row>
    <row r="3201" spans="1:28" x14ac:dyDescent="0.3">
      <c r="A3201" s="12" t="s">
        <v>5122</v>
      </c>
      <c r="B3201" s="12" t="s">
        <v>188</v>
      </c>
      <c r="C3201" s="12" t="s">
        <v>530</v>
      </c>
      <c r="D3201" s="12" t="s">
        <v>189</v>
      </c>
      <c r="E3201" s="12" t="s">
        <v>4403</v>
      </c>
      <c r="F3201" s="12" t="s">
        <v>32</v>
      </c>
      <c r="G3201" s="12" t="s">
        <v>32</v>
      </c>
      <c r="H3201" s="12" t="b">
        <v>1</v>
      </c>
      <c r="I3201" s="12" t="b">
        <v>1</v>
      </c>
      <c r="J3201" s="12"/>
      <c r="K3201" s="12" t="b">
        <v>0</v>
      </c>
      <c r="L3201" s="12"/>
      <c r="M3201" s="12"/>
      <c r="N3201" s="12"/>
      <c r="O3201" s="12">
        <v>404.736328125</v>
      </c>
      <c r="P3201" s="12"/>
      <c r="Q3201" s="12"/>
      <c r="R3201" s="12"/>
      <c r="S3201" s="12"/>
      <c r="T3201" s="12"/>
      <c r="U3201" s="12"/>
      <c r="V3201" s="12"/>
      <c r="W3201" s="12">
        <v>15.2908673414482</v>
      </c>
      <c r="X3201" s="12"/>
      <c r="Y3201" s="12"/>
      <c r="Z3201" s="12"/>
      <c r="AA3201" s="12"/>
      <c r="AB3201" s="12"/>
    </row>
    <row r="3202" spans="1:28" x14ac:dyDescent="0.3">
      <c r="A3202" s="12" t="s">
        <v>5123</v>
      </c>
      <c r="B3202" s="12" t="s">
        <v>188</v>
      </c>
      <c r="C3202" s="12" t="s">
        <v>530</v>
      </c>
      <c r="D3202" s="12" t="s">
        <v>189</v>
      </c>
      <c r="E3202" s="12" t="s">
        <v>4403</v>
      </c>
      <c r="F3202" s="12" t="s">
        <v>32</v>
      </c>
      <c r="G3202" s="12" t="s">
        <v>32</v>
      </c>
      <c r="H3202" s="12" t="b">
        <v>1</v>
      </c>
      <c r="I3202" s="12" t="b">
        <v>1</v>
      </c>
      <c r="J3202" s="12"/>
      <c r="K3202" s="12" t="b">
        <v>0</v>
      </c>
      <c r="L3202" s="12"/>
      <c r="M3202" s="12"/>
      <c r="N3202" s="12"/>
      <c r="O3202" s="12">
        <v>410.2294921875</v>
      </c>
      <c r="P3202" s="12"/>
      <c r="Q3202" s="12"/>
      <c r="R3202" s="12"/>
      <c r="S3202" s="12"/>
      <c r="T3202" s="12"/>
      <c r="U3202" s="12"/>
      <c r="V3202" s="12"/>
      <c r="W3202" s="12">
        <v>15.19682047488179</v>
      </c>
      <c r="X3202" s="12"/>
      <c r="Y3202" s="12"/>
      <c r="Z3202" s="12"/>
      <c r="AA3202" s="12"/>
      <c r="AB3202" s="12"/>
    </row>
    <row r="3203" spans="1:28" x14ac:dyDescent="0.3">
      <c r="A3203" s="12" t="s">
        <v>5124</v>
      </c>
      <c r="B3203" s="12" t="s">
        <v>188</v>
      </c>
      <c r="C3203" s="12" t="s">
        <v>530</v>
      </c>
      <c r="D3203" s="12" t="s">
        <v>189</v>
      </c>
      <c r="E3203" s="12" t="s">
        <v>4403</v>
      </c>
      <c r="F3203" s="12" t="s">
        <v>32</v>
      </c>
      <c r="G3203" s="12" t="s">
        <v>32</v>
      </c>
      <c r="H3203" s="12" t="b">
        <v>1</v>
      </c>
      <c r="I3203" s="12" t="b">
        <v>1</v>
      </c>
      <c r="J3203" s="12"/>
      <c r="K3203" s="12" t="b">
        <v>0</v>
      </c>
      <c r="L3203" s="12"/>
      <c r="M3203" s="12"/>
      <c r="N3203" s="12"/>
      <c r="O3203" s="12">
        <v>412.97607421875</v>
      </c>
      <c r="P3203" s="12"/>
      <c r="Q3203" s="12"/>
      <c r="R3203" s="12"/>
      <c r="S3203" s="12"/>
      <c r="T3203" s="12"/>
      <c r="U3203" s="12"/>
      <c r="V3203" s="12"/>
      <c r="W3203" s="12">
        <v>15.15021507056964</v>
      </c>
      <c r="X3203" s="12"/>
      <c r="Y3203" s="12"/>
      <c r="Z3203" s="12"/>
      <c r="AA3203" s="12"/>
      <c r="AB3203" s="12"/>
    </row>
    <row r="3204" spans="1:28" x14ac:dyDescent="0.3">
      <c r="A3204" s="12" t="s">
        <v>5125</v>
      </c>
      <c r="B3204" s="12" t="s">
        <v>188</v>
      </c>
      <c r="C3204" s="12" t="s">
        <v>530</v>
      </c>
      <c r="D3204" s="12" t="s">
        <v>189</v>
      </c>
      <c r="E3204" s="12" t="s">
        <v>4403</v>
      </c>
      <c r="F3204" s="12" t="s">
        <v>32</v>
      </c>
      <c r="G3204" s="12" t="s">
        <v>32</v>
      </c>
      <c r="H3204" s="12" t="b">
        <v>1</v>
      </c>
      <c r="I3204" s="12" t="b">
        <v>1</v>
      </c>
      <c r="J3204" s="12"/>
      <c r="K3204" s="12" t="b">
        <v>0</v>
      </c>
      <c r="L3204" s="12"/>
      <c r="M3204" s="12"/>
      <c r="N3204" s="12"/>
      <c r="O3204" s="12">
        <v>1359.5567020080759</v>
      </c>
      <c r="P3204" s="12"/>
      <c r="Q3204" s="12"/>
      <c r="R3204" s="12"/>
      <c r="S3204" s="12"/>
      <c r="T3204" s="12"/>
      <c r="U3204" s="12"/>
      <c r="V3204" s="12"/>
      <c r="W3204" s="12">
        <v>12.738675021868531</v>
      </c>
      <c r="X3204" s="12"/>
      <c r="Y3204" s="12"/>
      <c r="Z3204" s="12"/>
      <c r="AA3204" s="12"/>
      <c r="AB3204" s="12"/>
    </row>
    <row r="3205" spans="1:28" x14ac:dyDescent="0.3">
      <c r="A3205" s="12" t="s">
        <v>5126</v>
      </c>
      <c r="B3205" s="12" t="s">
        <v>188</v>
      </c>
      <c r="C3205" s="12" t="s">
        <v>530</v>
      </c>
      <c r="D3205" s="12" t="s">
        <v>189</v>
      </c>
      <c r="E3205" s="12" t="s">
        <v>4403</v>
      </c>
      <c r="F3205" s="12" t="s">
        <v>32</v>
      </c>
      <c r="G3205" s="12" t="s">
        <v>32</v>
      </c>
      <c r="H3205" s="12" t="b">
        <v>1</v>
      </c>
      <c r="I3205" s="12" t="b">
        <v>1</v>
      </c>
      <c r="J3205" s="12"/>
      <c r="K3205" s="12" t="b">
        <v>0</v>
      </c>
      <c r="L3205" s="12"/>
      <c r="M3205" s="12"/>
      <c r="N3205" s="12"/>
      <c r="O3205" s="12">
        <v>2500</v>
      </c>
      <c r="P3205" s="12"/>
      <c r="Q3205" s="12"/>
      <c r="R3205" s="12"/>
      <c r="S3205" s="12"/>
      <c r="T3205" s="12"/>
      <c r="U3205" s="12"/>
      <c r="V3205" s="12"/>
      <c r="W3205" s="12">
        <v>6.9118356147390703</v>
      </c>
      <c r="X3205" s="12"/>
      <c r="Y3205" s="12"/>
      <c r="Z3205" s="12"/>
      <c r="AA3205" s="12"/>
      <c r="AB3205" s="12"/>
    </row>
    <row r="3206" spans="1:28" x14ac:dyDescent="0.3">
      <c r="A3206" s="12" t="s">
        <v>5127</v>
      </c>
      <c r="B3206" s="12" t="s">
        <v>188</v>
      </c>
      <c r="C3206" s="12" t="s">
        <v>530</v>
      </c>
      <c r="D3206" s="12" t="s">
        <v>189</v>
      </c>
      <c r="E3206" s="12" t="s">
        <v>4403</v>
      </c>
      <c r="F3206" s="12" t="s">
        <v>32</v>
      </c>
      <c r="G3206" s="12" t="s">
        <v>32</v>
      </c>
      <c r="H3206" s="12" t="b">
        <v>1</v>
      </c>
      <c r="I3206" s="12" t="b">
        <v>1</v>
      </c>
      <c r="J3206" s="12"/>
      <c r="K3206" s="12" t="b">
        <v>0</v>
      </c>
      <c r="L3206" s="12"/>
      <c r="M3206" s="12"/>
      <c r="N3206" s="12"/>
      <c r="O3206" s="12">
        <v>1929.7783510040381</v>
      </c>
      <c r="P3206" s="12"/>
      <c r="Q3206" s="12"/>
      <c r="R3206" s="12"/>
      <c r="S3206" s="12"/>
      <c r="T3206" s="12"/>
      <c r="U3206" s="12"/>
      <c r="V3206" s="12"/>
      <c r="W3206" s="12">
        <v>9.4285435054372702</v>
      </c>
      <c r="X3206" s="12"/>
      <c r="Y3206" s="12"/>
      <c r="Z3206" s="12"/>
      <c r="AA3206" s="12"/>
      <c r="AB3206" s="12"/>
    </row>
    <row r="3207" spans="1:28" x14ac:dyDescent="0.3">
      <c r="A3207" s="12" t="s">
        <v>5128</v>
      </c>
      <c r="B3207" s="12" t="s">
        <v>188</v>
      </c>
      <c r="C3207" s="12" t="s">
        <v>530</v>
      </c>
      <c r="D3207" s="12" t="s">
        <v>189</v>
      </c>
      <c r="E3207" s="12" t="s">
        <v>4403</v>
      </c>
      <c r="F3207" s="12" t="s">
        <v>32</v>
      </c>
      <c r="G3207" s="12" t="s">
        <v>32</v>
      </c>
      <c r="H3207" s="12" t="b">
        <v>1</v>
      </c>
      <c r="I3207" s="12" t="b">
        <v>1</v>
      </c>
      <c r="J3207" s="12"/>
      <c r="K3207" s="12" t="b">
        <v>0</v>
      </c>
      <c r="L3207" s="12"/>
      <c r="M3207" s="12"/>
      <c r="N3207" s="12"/>
      <c r="O3207" s="12">
        <v>1644.6675265060569</v>
      </c>
      <c r="P3207" s="12"/>
      <c r="Q3207" s="12"/>
      <c r="R3207" s="12"/>
      <c r="S3207" s="12"/>
      <c r="T3207" s="12"/>
      <c r="U3207" s="12"/>
      <c r="V3207" s="12"/>
      <c r="W3207" s="12">
        <v>10.95418079105791</v>
      </c>
      <c r="X3207" s="12"/>
      <c r="Y3207" s="12"/>
      <c r="Z3207" s="12"/>
      <c r="AA3207" s="12"/>
      <c r="AB3207" s="12"/>
    </row>
    <row r="3208" spans="1:28" x14ac:dyDescent="0.3">
      <c r="A3208" s="12" t="s">
        <v>5129</v>
      </c>
      <c r="B3208" s="12" t="s">
        <v>188</v>
      </c>
      <c r="C3208" s="12" t="s">
        <v>530</v>
      </c>
      <c r="D3208" s="12" t="s">
        <v>189</v>
      </c>
      <c r="E3208" s="12" t="s">
        <v>4403</v>
      </c>
      <c r="F3208" s="12" t="s">
        <v>32</v>
      </c>
      <c r="G3208" s="12" t="s">
        <v>32</v>
      </c>
      <c r="H3208" s="12" t="b">
        <v>1</v>
      </c>
      <c r="I3208" s="12" t="b">
        <v>1</v>
      </c>
      <c r="J3208" s="12"/>
      <c r="K3208" s="12" t="b">
        <v>0</v>
      </c>
      <c r="L3208" s="12"/>
      <c r="M3208" s="12"/>
      <c r="N3208" s="12"/>
      <c r="O3208" s="12">
        <v>1502.1121142570671</v>
      </c>
      <c r="P3208" s="12"/>
      <c r="Q3208" s="12"/>
      <c r="R3208" s="12"/>
      <c r="S3208" s="12"/>
      <c r="T3208" s="12"/>
      <c r="U3208" s="12"/>
      <c r="V3208" s="12"/>
      <c r="W3208" s="12">
        <v>11.80859465005525</v>
      </c>
      <c r="X3208" s="12"/>
      <c r="Y3208" s="12"/>
      <c r="Z3208" s="12"/>
      <c r="AA3208" s="12"/>
      <c r="AB3208" s="12"/>
    </row>
    <row r="3209" spans="1:28" x14ac:dyDescent="0.3">
      <c r="A3209" s="12" t="s">
        <v>5130</v>
      </c>
      <c r="B3209" s="12" t="s">
        <v>188</v>
      </c>
      <c r="C3209" s="12" t="s">
        <v>530</v>
      </c>
      <c r="D3209" s="12" t="s">
        <v>189</v>
      </c>
      <c r="E3209" s="12" t="s">
        <v>4403</v>
      </c>
      <c r="F3209" s="12" t="s">
        <v>32</v>
      </c>
      <c r="G3209" s="12" t="s">
        <v>32</v>
      </c>
      <c r="H3209" s="12" t="b">
        <v>1</v>
      </c>
      <c r="I3209" s="12" t="b">
        <v>1</v>
      </c>
      <c r="J3209" s="12"/>
      <c r="K3209" s="12" t="b">
        <v>0</v>
      </c>
      <c r="L3209" s="12"/>
      <c r="M3209" s="12"/>
      <c r="N3209" s="12"/>
      <c r="O3209" s="12">
        <v>1430.834408132572</v>
      </c>
      <c r="P3209" s="12"/>
      <c r="Q3209" s="12"/>
      <c r="R3209" s="12"/>
      <c r="S3209" s="12"/>
      <c r="T3209" s="12"/>
      <c r="U3209" s="12"/>
      <c r="V3209" s="12"/>
      <c r="W3209" s="12">
        <v>12.263327527150039</v>
      </c>
      <c r="X3209" s="12"/>
      <c r="Y3209" s="12"/>
      <c r="Z3209" s="12"/>
      <c r="AA3209" s="12"/>
      <c r="AB3209" s="12"/>
    </row>
    <row r="3210" spans="1:28" x14ac:dyDescent="0.3">
      <c r="A3210" s="12" t="s">
        <v>5131</v>
      </c>
      <c r="B3210" s="12" t="s">
        <v>188</v>
      </c>
      <c r="C3210" s="12" t="s">
        <v>530</v>
      </c>
      <c r="D3210" s="12" t="s">
        <v>189</v>
      </c>
      <c r="E3210" s="12" t="s">
        <v>4403</v>
      </c>
      <c r="F3210" s="12" t="s">
        <v>32</v>
      </c>
      <c r="G3210" s="12" t="s">
        <v>32</v>
      </c>
      <c r="H3210" s="12" t="b">
        <v>1</v>
      </c>
      <c r="I3210" s="12" t="b">
        <v>1</v>
      </c>
      <c r="J3210" s="12"/>
      <c r="K3210" s="12" t="b">
        <v>0</v>
      </c>
      <c r="L3210" s="12"/>
      <c r="M3210" s="12"/>
      <c r="N3210" s="12"/>
      <c r="O3210" s="12">
        <v>1395.195555070324</v>
      </c>
      <c r="P3210" s="12"/>
      <c r="Q3210" s="12"/>
      <c r="R3210" s="12"/>
      <c r="S3210" s="12"/>
      <c r="T3210" s="12"/>
      <c r="U3210" s="12"/>
      <c r="V3210" s="12"/>
      <c r="W3210" s="12">
        <v>12.49830534856795</v>
      </c>
      <c r="X3210" s="12"/>
      <c r="Y3210" s="12"/>
      <c r="Z3210" s="12"/>
      <c r="AA3210" s="12"/>
      <c r="AB3210" s="12"/>
    </row>
    <row r="3211" spans="1:28" x14ac:dyDescent="0.3">
      <c r="A3211" s="12" t="s">
        <v>5132</v>
      </c>
      <c r="B3211" s="12" t="s">
        <v>188</v>
      </c>
      <c r="C3211" s="12" t="s">
        <v>530</v>
      </c>
      <c r="D3211" s="12" t="s">
        <v>189</v>
      </c>
      <c r="E3211" s="12" t="s">
        <v>4403</v>
      </c>
      <c r="F3211" s="12" t="s">
        <v>32</v>
      </c>
      <c r="G3211" s="12" t="s">
        <v>32</v>
      </c>
      <c r="H3211" s="12" t="b">
        <v>1</v>
      </c>
      <c r="I3211" s="12" t="b">
        <v>1</v>
      </c>
      <c r="J3211" s="12"/>
      <c r="K3211" s="12" t="b">
        <v>0</v>
      </c>
      <c r="L3211" s="12"/>
      <c r="M3211" s="12"/>
      <c r="N3211" s="12"/>
      <c r="O3211" s="12">
        <v>1413.014981601448</v>
      </c>
      <c r="P3211" s="12"/>
      <c r="Q3211" s="12"/>
      <c r="R3211" s="12"/>
      <c r="S3211" s="12"/>
      <c r="T3211" s="12"/>
      <c r="U3211" s="12"/>
      <c r="V3211" s="12"/>
      <c r="W3211" s="12">
        <v>12.38015813509532</v>
      </c>
      <c r="X3211" s="12"/>
      <c r="Y3211" s="12"/>
      <c r="Z3211" s="12"/>
      <c r="AA3211" s="12"/>
      <c r="AB3211" s="12"/>
    </row>
    <row r="3212" spans="1:28" x14ac:dyDescent="0.3">
      <c r="A3212" s="12" t="s">
        <v>5133</v>
      </c>
      <c r="B3212" s="12" t="s">
        <v>188</v>
      </c>
      <c r="C3212" s="12" t="s">
        <v>530</v>
      </c>
      <c r="D3212" s="12" t="s">
        <v>189</v>
      </c>
      <c r="E3212" s="12" t="s">
        <v>4403</v>
      </c>
      <c r="F3212" s="12" t="s">
        <v>32</v>
      </c>
      <c r="G3212" s="12" t="s">
        <v>32</v>
      </c>
      <c r="H3212" s="12" t="b">
        <v>1</v>
      </c>
      <c r="I3212" s="12" t="b">
        <v>1</v>
      </c>
      <c r="J3212" s="12"/>
      <c r="K3212" s="12" t="b">
        <v>0</v>
      </c>
      <c r="L3212" s="12"/>
      <c r="M3212" s="12"/>
      <c r="N3212" s="12"/>
      <c r="O3212" s="12">
        <v>1404.105268335886</v>
      </c>
      <c r="P3212" s="12"/>
      <c r="Q3212" s="12"/>
      <c r="R3212" s="12"/>
      <c r="S3212" s="12"/>
      <c r="T3212" s="12"/>
      <c r="U3212" s="12"/>
      <c r="V3212" s="12"/>
      <c r="W3212" s="12">
        <v>12.43906530169887</v>
      </c>
      <c r="X3212" s="12"/>
      <c r="Y3212" s="12"/>
      <c r="Z3212" s="12"/>
      <c r="AA3212" s="12"/>
      <c r="AB3212" s="12"/>
    </row>
    <row r="3213" spans="1:28" x14ac:dyDescent="0.3">
      <c r="A3213" s="12" t="s">
        <v>5134</v>
      </c>
      <c r="B3213" s="12" t="s">
        <v>188</v>
      </c>
      <c r="C3213" s="12" t="s">
        <v>530</v>
      </c>
      <c r="D3213" s="12" t="s">
        <v>189</v>
      </c>
      <c r="E3213" s="12" t="s">
        <v>4403</v>
      </c>
      <c r="F3213" s="12" t="s">
        <v>32</v>
      </c>
      <c r="G3213" s="12" t="s">
        <v>32</v>
      </c>
      <c r="H3213" s="12" t="b">
        <v>1</v>
      </c>
      <c r="I3213" s="12" t="b">
        <v>1</v>
      </c>
      <c r="J3213" s="12"/>
      <c r="K3213" s="12" t="b">
        <v>0</v>
      </c>
      <c r="L3213" s="12"/>
      <c r="M3213" s="12"/>
      <c r="N3213" s="12"/>
      <c r="O3213" s="12">
        <v>1408.560124968667</v>
      </c>
      <c r="P3213" s="12"/>
      <c r="Q3213" s="12"/>
      <c r="R3213" s="12"/>
      <c r="S3213" s="12"/>
      <c r="T3213" s="12"/>
      <c r="U3213" s="12"/>
      <c r="V3213" s="12"/>
      <c r="W3213" s="12">
        <v>12.40957041554624</v>
      </c>
      <c r="X3213" s="12"/>
      <c r="Y3213" s="12"/>
      <c r="Z3213" s="12"/>
      <c r="AA3213" s="12"/>
      <c r="AB3213" s="12"/>
    </row>
    <row r="3214" spans="1:28" x14ac:dyDescent="0.3">
      <c r="A3214" s="12" t="s">
        <v>5135</v>
      </c>
      <c r="B3214" s="12" t="s">
        <v>206</v>
      </c>
      <c r="C3214" s="12" t="s">
        <v>532</v>
      </c>
      <c r="D3214" s="12" t="s">
        <v>5136</v>
      </c>
      <c r="E3214" s="12" t="s">
        <v>2978</v>
      </c>
      <c r="F3214" s="12" t="s">
        <v>832</v>
      </c>
      <c r="G3214" s="12" t="s">
        <v>832</v>
      </c>
      <c r="H3214" s="12" t="b">
        <v>0</v>
      </c>
      <c r="I3214" s="12" t="b">
        <v>0</v>
      </c>
      <c r="J3214" s="12" t="b">
        <v>0</v>
      </c>
      <c r="K3214" s="12" t="b">
        <v>0</v>
      </c>
      <c r="L3214" s="12">
        <v>623.15</v>
      </c>
      <c r="M3214" s="12">
        <v>279.68473443985641</v>
      </c>
      <c r="N3214" s="12">
        <v>2249.0753571397759</v>
      </c>
      <c r="O3214" s="12">
        <v>624.17182897011367</v>
      </c>
      <c r="P3214" s="12">
        <v>0.84409700316526093</v>
      </c>
      <c r="Q3214" s="12">
        <v>0.50134114410504271</v>
      </c>
      <c r="R3214" s="12">
        <v>0.76666503287565368</v>
      </c>
      <c r="S3214" s="12">
        <v>0.85347133305948164</v>
      </c>
      <c r="T3214" s="12">
        <v>0.51085205092420904</v>
      </c>
      <c r="U3214" s="12">
        <v>0.59689233036926981</v>
      </c>
      <c r="V3214" s="12">
        <v>279.68473443985641</v>
      </c>
      <c r="W3214" s="12"/>
      <c r="X3214" s="12"/>
      <c r="Y3214" s="12">
        <v>1624.903528169662</v>
      </c>
      <c r="Z3214" s="12">
        <v>3.6032952029423702</v>
      </c>
      <c r="AA3214" s="12"/>
      <c r="AB3214" s="12"/>
    </row>
    <row r="3215" spans="1:28" x14ac:dyDescent="0.3">
      <c r="A3215" s="12" t="s">
        <v>5137</v>
      </c>
      <c r="B3215" s="12" t="s">
        <v>206</v>
      </c>
      <c r="C3215" s="12" t="s">
        <v>532</v>
      </c>
      <c r="D3215" s="12" t="s">
        <v>5136</v>
      </c>
      <c r="E3215" s="12" t="s">
        <v>2978</v>
      </c>
      <c r="F3215" s="12" t="s">
        <v>832</v>
      </c>
      <c r="G3215" s="12" t="s">
        <v>832</v>
      </c>
      <c r="H3215" s="12" t="b">
        <v>0</v>
      </c>
      <c r="I3215" s="12" t="b">
        <v>0</v>
      </c>
      <c r="J3215" s="12" t="b">
        <v>0</v>
      </c>
      <c r="K3215" s="12" t="b">
        <v>0</v>
      </c>
      <c r="L3215" s="12">
        <v>623.15</v>
      </c>
      <c r="M3215" s="12">
        <v>298.17455533213291</v>
      </c>
      <c r="N3215" s="12">
        <v>4856.4792089329158</v>
      </c>
      <c r="O3215" s="12">
        <v>562.67867216980198</v>
      </c>
      <c r="P3215" s="12">
        <v>0.7255459655772305</v>
      </c>
      <c r="Q3215" s="12">
        <v>0.53077315640040901</v>
      </c>
      <c r="R3215" s="12">
        <v>0.54880278730277787</v>
      </c>
      <c r="S3215" s="12">
        <v>0.51141532053835692</v>
      </c>
      <c r="T3215" s="12">
        <v>0.42474858125724879</v>
      </c>
      <c r="U3215" s="12">
        <v>0.51819118441001144</v>
      </c>
      <c r="V3215" s="12">
        <v>298.17455533213291</v>
      </c>
      <c r="W3215" s="12"/>
      <c r="X3215" s="12"/>
      <c r="Y3215" s="12">
        <v>4293.800536763114</v>
      </c>
      <c r="Z3215" s="12">
        <v>8.6309992703390659</v>
      </c>
      <c r="AA3215" s="12"/>
      <c r="AB3215" s="12"/>
    </row>
    <row r="3216" spans="1:28" x14ac:dyDescent="0.3">
      <c r="A3216" s="12" t="s">
        <v>5138</v>
      </c>
      <c r="B3216" s="12" t="s">
        <v>206</v>
      </c>
      <c r="C3216" s="12" t="s">
        <v>532</v>
      </c>
      <c r="D3216" s="12" t="s">
        <v>5136</v>
      </c>
      <c r="E3216" s="12" t="s">
        <v>2978</v>
      </c>
      <c r="F3216" s="12" t="s">
        <v>832</v>
      </c>
      <c r="G3216" s="12" t="s">
        <v>832</v>
      </c>
      <c r="H3216" s="12" t="b">
        <v>0</v>
      </c>
      <c r="I3216" s="12" t="b">
        <v>0</v>
      </c>
      <c r="J3216" s="12" t="b">
        <v>0</v>
      </c>
      <c r="K3216" s="12" t="b">
        <v>0</v>
      </c>
      <c r="L3216" s="12">
        <v>623.15</v>
      </c>
      <c r="M3216" s="12">
        <v>289.58304153770922</v>
      </c>
      <c r="N3216" s="12">
        <v>4047.6724602487702</v>
      </c>
      <c r="O3216" s="12">
        <v>1806.2990320297399</v>
      </c>
      <c r="P3216" s="12">
        <v>0.7560709074525318</v>
      </c>
      <c r="Q3216" s="12">
        <v>0.42125389159562021</v>
      </c>
      <c r="R3216" s="12">
        <v>0.78702718309175768</v>
      </c>
      <c r="S3216" s="12">
        <v>0.62308098640421483</v>
      </c>
      <c r="T3216" s="12">
        <v>0.47695579207389383</v>
      </c>
      <c r="U3216" s="12">
        <v>0.40059195146333249</v>
      </c>
      <c r="V3216" s="12">
        <v>289.58304153770922</v>
      </c>
      <c r="W3216" s="12"/>
      <c r="X3216" s="12"/>
      <c r="Y3216" s="12">
        <v>2241.3734282190298</v>
      </c>
      <c r="Z3216" s="12">
        <v>2.2408650995623889</v>
      </c>
      <c r="AA3216" s="12"/>
      <c r="AB3216" s="12"/>
    </row>
    <row r="3217" spans="1:28" x14ac:dyDescent="0.3">
      <c r="A3217" s="12" t="s">
        <v>5139</v>
      </c>
      <c r="B3217" s="12" t="s">
        <v>206</v>
      </c>
      <c r="C3217" s="12" t="s">
        <v>532</v>
      </c>
      <c r="D3217" s="12" t="s">
        <v>5136</v>
      </c>
      <c r="E3217" s="12" t="s">
        <v>2978</v>
      </c>
      <c r="F3217" s="12" t="s">
        <v>1861</v>
      </c>
      <c r="G3217" s="12" t="s">
        <v>1861</v>
      </c>
      <c r="H3217" s="12" t="b">
        <v>1</v>
      </c>
      <c r="I3217" s="12" t="b">
        <v>0</v>
      </c>
      <c r="J3217" s="12" t="b">
        <v>1</v>
      </c>
      <c r="K3217" s="12" t="b">
        <v>0</v>
      </c>
      <c r="L3217" s="12">
        <v>623.15</v>
      </c>
      <c r="M3217" s="12">
        <v>293.26988271745518</v>
      </c>
      <c r="N3217" s="12">
        <v>4417.572942369412</v>
      </c>
      <c r="O3217" s="12">
        <v>1513.504865631809</v>
      </c>
      <c r="P3217" s="12">
        <v>0.71276770946282253</v>
      </c>
      <c r="Q3217" s="12">
        <v>0.74676299544852331</v>
      </c>
      <c r="R3217" s="12">
        <v>0.68926460534906853</v>
      </c>
      <c r="S3217" s="12">
        <v>0.44986785991021327</v>
      </c>
      <c r="T3217" s="12">
        <v>0.41455408475029421</v>
      </c>
      <c r="U3217" s="12">
        <v>0.85012164123271883</v>
      </c>
      <c r="V3217" s="12">
        <v>293.26988271745518</v>
      </c>
      <c r="W3217" s="12">
        <v>7.2622507113955193</v>
      </c>
      <c r="X3217" s="12">
        <v>72.751877998964474</v>
      </c>
      <c r="Y3217" s="12">
        <v>2904.068076737603</v>
      </c>
      <c r="Z3217" s="12">
        <v>2.918770228416351</v>
      </c>
      <c r="AA3217" s="12" t="s">
        <v>1268</v>
      </c>
      <c r="AB3217" s="12"/>
    </row>
    <row r="3218" spans="1:28" x14ac:dyDescent="0.3">
      <c r="A3218" s="12" t="s">
        <v>5140</v>
      </c>
      <c r="B3218" s="12" t="s">
        <v>206</v>
      </c>
      <c r="C3218" s="12" t="s">
        <v>532</v>
      </c>
      <c r="D3218" s="12" t="s">
        <v>5136</v>
      </c>
      <c r="E3218" s="12" t="s">
        <v>2978</v>
      </c>
      <c r="F3218" s="12" t="s">
        <v>1862</v>
      </c>
      <c r="G3218" s="12" t="s">
        <v>1862</v>
      </c>
      <c r="H3218" s="12" t="b">
        <v>1</v>
      </c>
      <c r="I3218" s="12" t="b">
        <v>0</v>
      </c>
      <c r="J3218" s="12" t="b">
        <v>1</v>
      </c>
      <c r="K3218" s="12" t="b">
        <v>0</v>
      </c>
      <c r="L3218" s="12">
        <v>623.15</v>
      </c>
      <c r="M3218" s="12">
        <v>300.6022649902078</v>
      </c>
      <c r="N3218" s="12">
        <v>4960.1321118925516</v>
      </c>
      <c r="O3218" s="12">
        <v>373.2525081237647</v>
      </c>
      <c r="P3218" s="12">
        <v>0.53156771091952804</v>
      </c>
      <c r="Q3218" s="12">
        <v>0.57074045392082939</v>
      </c>
      <c r="R3218" s="12">
        <v>0.42699265094051131</v>
      </c>
      <c r="S3218" s="12">
        <v>0.7003755039481474</v>
      </c>
      <c r="T3218" s="12">
        <v>0.49810399403013028</v>
      </c>
      <c r="U3218" s="12">
        <v>0.64565243420553298</v>
      </c>
      <c r="V3218" s="12">
        <v>300.6022649902078</v>
      </c>
      <c r="W3218" s="12">
        <v>-8.0071503452542014</v>
      </c>
      <c r="X3218" s="12">
        <v>-90.389092020285958</v>
      </c>
      <c r="Y3218" s="12">
        <v>4586.8796037687871</v>
      </c>
      <c r="Z3218" s="12">
        <v>13.288945161616571</v>
      </c>
      <c r="AA3218" s="12" t="s">
        <v>2513</v>
      </c>
      <c r="AB3218" s="12"/>
    </row>
    <row r="3219" spans="1:28" x14ac:dyDescent="0.3">
      <c r="A3219" s="12" t="s">
        <v>5141</v>
      </c>
      <c r="B3219" s="12" t="s">
        <v>206</v>
      </c>
      <c r="C3219" s="12" t="s">
        <v>532</v>
      </c>
      <c r="D3219" s="12" t="s">
        <v>5136</v>
      </c>
      <c r="E3219" s="12" t="s">
        <v>2978</v>
      </c>
      <c r="F3219" s="12" t="s">
        <v>1863</v>
      </c>
      <c r="G3219" s="12" t="s">
        <v>832</v>
      </c>
      <c r="H3219" s="12" t="b">
        <v>0</v>
      </c>
      <c r="I3219" s="12" t="b">
        <v>0</v>
      </c>
      <c r="J3219" s="12" t="b">
        <v>1</v>
      </c>
      <c r="K3219" s="12" t="b">
        <v>0</v>
      </c>
      <c r="L3219" s="12">
        <v>623.15</v>
      </c>
      <c r="M3219" s="12">
        <v>294.72913278242282</v>
      </c>
      <c r="N3219" s="12">
        <v>3544.8194226526371</v>
      </c>
      <c r="O3219" s="12">
        <v>443.92297861393229</v>
      </c>
      <c r="P3219" s="12">
        <v>0.56306372246162473</v>
      </c>
      <c r="Q3219" s="12">
        <v>0.77368770753053462</v>
      </c>
      <c r="R3219" s="12">
        <v>0.93307611251073397</v>
      </c>
      <c r="S3219" s="12">
        <v>0.84244202989859263</v>
      </c>
      <c r="T3219" s="12">
        <v>0.40095795499647441</v>
      </c>
      <c r="U3219" s="12">
        <v>0.92352160942850436</v>
      </c>
      <c r="V3219" s="12">
        <v>294.72913278242282</v>
      </c>
      <c r="W3219" s="12">
        <v>14.448724680768279</v>
      </c>
      <c r="X3219" s="12">
        <v>308.8395166372361</v>
      </c>
      <c r="Y3219" s="12">
        <v>3100.896444038704</v>
      </c>
      <c r="Z3219" s="12">
        <v>7.985212736048676</v>
      </c>
      <c r="AA3219" s="12" t="s">
        <v>3442</v>
      </c>
      <c r="AB3219" s="12"/>
    </row>
    <row r="3220" spans="1:28" x14ac:dyDescent="0.3">
      <c r="A3220" s="12" t="s">
        <v>5142</v>
      </c>
      <c r="B3220" s="12" t="s">
        <v>206</v>
      </c>
      <c r="C3220" s="12" t="s">
        <v>532</v>
      </c>
      <c r="D3220" s="12" t="s">
        <v>5136</v>
      </c>
      <c r="E3220" s="12" t="s">
        <v>2978</v>
      </c>
      <c r="F3220" s="12" t="s">
        <v>1861</v>
      </c>
      <c r="G3220" s="12" t="s">
        <v>1861</v>
      </c>
      <c r="H3220" s="12" t="b">
        <v>1</v>
      </c>
      <c r="I3220" s="12" t="b">
        <v>0</v>
      </c>
      <c r="J3220" s="12" t="b">
        <v>1</v>
      </c>
      <c r="K3220" s="12" t="b">
        <v>0</v>
      </c>
      <c r="L3220" s="12">
        <v>623.15</v>
      </c>
      <c r="M3220" s="12">
        <v>285.15160243666139</v>
      </c>
      <c r="N3220" s="12">
        <v>3818.4974390039979</v>
      </c>
      <c r="O3220" s="12">
        <v>1463.898791773516</v>
      </c>
      <c r="P3220" s="12">
        <v>0.74045600174596404</v>
      </c>
      <c r="Q3220" s="12">
        <v>0.8698676786747479</v>
      </c>
      <c r="R3220" s="12">
        <v>0.93415665578095364</v>
      </c>
      <c r="S3220" s="12">
        <v>0.50272520512629859</v>
      </c>
      <c r="T3220" s="12">
        <v>0.94142105522061315</v>
      </c>
      <c r="U3220" s="12">
        <v>0.50095542356375644</v>
      </c>
      <c r="V3220" s="12">
        <v>285.15160243666139</v>
      </c>
      <c r="W3220" s="12">
        <v>7.2435504450516799</v>
      </c>
      <c r="X3220" s="12">
        <v>58.941799008741953</v>
      </c>
      <c r="Y3220" s="12">
        <v>2354.598647230483</v>
      </c>
      <c r="Z3220" s="12">
        <v>2.608443603111307</v>
      </c>
      <c r="AA3220" s="12" t="s">
        <v>1268</v>
      </c>
      <c r="AB3220" s="12"/>
    </row>
    <row r="3221" spans="1:28" x14ac:dyDescent="0.3">
      <c r="A3221" s="12" t="s">
        <v>5143</v>
      </c>
      <c r="B3221" s="12" t="s">
        <v>206</v>
      </c>
      <c r="C3221" s="12" t="s">
        <v>532</v>
      </c>
      <c r="D3221" s="12" t="s">
        <v>5136</v>
      </c>
      <c r="E3221" s="12" t="s">
        <v>2978</v>
      </c>
      <c r="F3221" s="12" t="s">
        <v>1861</v>
      </c>
      <c r="G3221" s="12" t="s">
        <v>1861</v>
      </c>
      <c r="H3221" s="12" t="b">
        <v>1</v>
      </c>
      <c r="I3221" s="12" t="b">
        <v>0</v>
      </c>
      <c r="J3221" s="12" t="b">
        <v>1</v>
      </c>
      <c r="K3221" s="12" t="b">
        <v>0</v>
      </c>
      <c r="L3221" s="12">
        <v>623.15</v>
      </c>
      <c r="M3221" s="12">
        <v>287.73277030593653</v>
      </c>
      <c r="N3221" s="12">
        <v>4262.2008802706468</v>
      </c>
      <c r="O3221" s="12">
        <v>1372.352633531222</v>
      </c>
      <c r="P3221" s="12">
        <v>0.51138869397450815</v>
      </c>
      <c r="Q3221" s="12">
        <v>0.83663534433428688</v>
      </c>
      <c r="R3221" s="12">
        <v>0.80307286392319566</v>
      </c>
      <c r="S3221" s="12">
        <v>0.57688849076651771</v>
      </c>
      <c r="T3221" s="12">
        <v>0.7733378777417389</v>
      </c>
      <c r="U3221" s="12">
        <v>0.70319549936321524</v>
      </c>
      <c r="V3221" s="12">
        <v>287.73277030593653</v>
      </c>
      <c r="W3221" s="12">
        <v>8.4403223741770397</v>
      </c>
      <c r="X3221" s="12">
        <v>105.75181441717331</v>
      </c>
      <c r="Y3221" s="12">
        <v>2889.8482467394242</v>
      </c>
      <c r="Z3221" s="12">
        <v>3.105762160636155</v>
      </c>
      <c r="AA3221" s="12" t="s">
        <v>1268</v>
      </c>
      <c r="AB3221" s="12"/>
    </row>
    <row r="3222" spans="1:28" x14ac:dyDescent="0.3">
      <c r="A3222" s="12" t="s">
        <v>5144</v>
      </c>
      <c r="B3222" s="12" t="s">
        <v>206</v>
      </c>
      <c r="C3222" s="12" t="s">
        <v>532</v>
      </c>
      <c r="D3222" s="12" t="s">
        <v>5136</v>
      </c>
      <c r="E3222" s="12" t="s">
        <v>2978</v>
      </c>
      <c r="F3222" s="12" t="s">
        <v>832</v>
      </c>
      <c r="G3222" s="12" t="s">
        <v>832</v>
      </c>
      <c r="H3222" s="12" t="b">
        <v>0</v>
      </c>
      <c r="I3222" s="12" t="b">
        <v>0</v>
      </c>
      <c r="J3222" s="12" t="b">
        <v>0</v>
      </c>
      <c r="K3222" s="12" t="b">
        <v>0</v>
      </c>
      <c r="L3222" s="12">
        <v>623.15</v>
      </c>
      <c r="M3222" s="12">
        <v>284.60637412026023</v>
      </c>
      <c r="N3222" s="12">
        <v>3341.4978644556782</v>
      </c>
      <c r="O3222" s="12">
        <v>1645.1543595446769</v>
      </c>
      <c r="P3222" s="12">
        <v>0.63749911866131748</v>
      </c>
      <c r="Q3222" s="12">
        <v>0.44848505208944428</v>
      </c>
      <c r="R3222" s="12">
        <v>0.40020366465318868</v>
      </c>
      <c r="S3222" s="12">
        <v>0.88184786876334853</v>
      </c>
      <c r="T3222" s="12">
        <v>0.55609346238068935</v>
      </c>
      <c r="U3222" s="12">
        <v>0.76526370328872984</v>
      </c>
      <c r="V3222" s="12">
        <v>284.60637412026023</v>
      </c>
      <c r="W3222" s="12"/>
      <c r="X3222" s="12"/>
      <c r="Y3222" s="12">
        <v>1696.343504911001</v>
      </c>
      <c r="Z3222" s="12">
        <v>2.031115101795367</v>
      </c>
      <c r="AA3222" s="12"/>
      <c r="AB3222" s="12"/>
    </row>
    <row r="3223" spans="1:28" x14ac:dyDescent="0.3">
      <c r="A3223" s="12" t="s">
        <v>5145</v>
      </c>
      <c r="B3223" s="12" t="s">
        <v>206</v>
      </c>
      <c r="C3223" s="12" t="s">
        <v>532</v>
      </c>
      <c r="D3223" s="12" t="s">
        <v>5136</v>
      </c>
      <c r="E3223" s="12" t="s">
        <v>2978</v>
      </c>
      <c r="F3223" s="12" t="s">
        <v>832</v>
      </c>
      <c r="G3223" s="12" t="s">
        <v>832</v>
      </c>
      <c r="H3223" s="12" t="b">
        <v>0</v>
      </c>
      <c r="I3223" s="12" t="b">
        <v>0</v>
      </c>
      <c r="J3223" s="12" t="b">
        <v>0</v>
      </c>
      <c r="K3223" s="12" t="b">
        <v>0</v>
      </c>
      <c r="L3223" s="12">
        <v>623.15</v>
      </c>
      <c r="M3223" s="12">
        <v>278.97546229533339</v>
      </c>
      <c r="N3223" s="12">
        <v>4122.7048632959522</v>
      </c>
      <c r="O3223" s="12">
        <v>1583.4251911752431</v>
      </c>
      <c r="P3223" s="12">
        <v>0.75156000130429534</v>
      </c>
      <c r="Q3223" s="12">
        <v>0.61032731050759514</v>
      </c>
      <c r="R3223" s="12">
        <v>0.54460449725907623</v>
      </c>
      <c r="S3223" s="12">
        <v>0.87147964455918059</v>
      </c>
      <c r="T3223" s="12">
        <v>0.56024143678349303</v>
      </c>
      <c r="U3223" s="12">
        <v>0.68045160790543924</v>
      </c>
      <c r="V3223" s="12">
        <v>278.97546229533339</v>
      </c>
      <c r="W3223" s="12"/>
      <c r="X3223" s="12"/>
      <c r="Y3223" s="12">
        <v>2539.2796721207092</v>
      </c>
      <c r="Z3223" s="12">
        <v>2.6036625451411539</v>
      </c>
      <c r="AA3223" s="12"/>
      <c r="AB3223" s="12"/>
    </row>
    <row r="3224" spans="1:28" x14ac:dyDescent="0.3">
      <c r="A3224" s="12" t="s">
        <v>5146</v>
      </c>
      <c r="B3224" s="12" t="s">
        <v>206</v>
      </c>
      <c r="C3224" s="12" t="s">
        <v>532</v>
      </c>
      <c r="D3224" s="12" t="s">
        <v>5136</v>
      </c>
      <c r="E3224" s="12" t="s">
        <v>2978</v>
      </c>
      <c r="F3224" s="12" t="s">
        <v>1861</v>
      </c>
      <c r="G3224" s="12" t="s">
        <v>1861</v>
      </c>
      <c r="H3224" s="12" t="b">
        <v>1</v>
      </c>
      <c r="I3224" s="12" t="b">
        <v>0</v>
      </c>
      <c r="J3224" s="12" t="b">
        <v>1</v>
      </c>
      <c r="K3224" s="12" t="b">
        <v>0</v>
      </c>
      <c r="L3224" s="12">
        <v>623.15</v>
      </c>
      <c r="M3224" s="12">
        <v>288.84177457930213</v>
      </c>
      <c r="N3224" s="12">
        <v>4734.7345995021551</v>
      </c>
      <c r="O3224" s="12">
        <v>1620.2020197994791</v>
      </c>
      <c r="P3224" s="12">
        <v>0.55038283567567436</v>
      </c>
      <c r="Q3224" s="12">
        <v>0.85042849504089779</v>
      </c>
      <c r="R3224" s="12">
        <v>0.84867004134027724</v>
      </c>
      <c r="S3224" s="12">
        <v>0.40752104845906278</v>
      </c>
      <c r="T3224" s="12">
        <v>0.78266918647805017</v>
      </c>
      <c r="U3224" s="12">
        <v>0.69281671600220007</v>
      </c>
      <c r="V3224" s="12">
        <v>288.84177457930213</v>
      </c>
      <c r="W3224" s="12">
        <v>8.5646152739334305</v>
      </c>
      <c r="X3224" s="12">
        <v>75.713299842490429</v>
      </c>
      <c r="Y3224" s="12">
        <v>3114.5325797026758</v>
      </c>
      <c r="Z3224" s="12">
        <v>2.9223112560297522</v>
      </c>
      <c r="AA3224" s="12" t="s">
        <v>1268</v>
      </c>
      <c r="AB3224" s="12"/>
    </row>
    <row r="3225" spans="1:28" x14ac:dyDescent="0.3">
      <c r="A3225" s="12" t="s">
        <v>5147</v>
      </c>
      <c r="B3225" s="12" t="s">
        <v>206</v>
      </c>
      <c r="C3225" s="12" t="s">
        <v>532</v>
      </c>
      <c r="D3225" s="12" t="s">
        <v>5136</v>
      </c>
      <c r="E3225" s="12" t="s">
        <v>2978</v>
      </c>
      <c r="F3225" s="12" t="s">
        <v>832</v>
      </c>
      <c r="G3225" s="12" t="s">
        <v>832</v>
      </c>
      <c r="H3225" s="12" t="b">
        <v>0</v>
      </c>
      <c r="I3225" s="12" t="b">
        <v>0</v>
      </c>
      <c r="J3225" s="12" t="b">
        <v>0</v>
      </c>
      <c r="K3225" s="12" t="b">
        <v>0</v>
      </c>
      <c r="L3225" s="12">
        <v>623.15</v>
      </c>
      <c r="M3225" s="12">
        <v>295.26944228049678</v>
      </c>
      <c r="N3225" s="12">
        <v>2066.316847956331</v>
      </c>
      <c r="O3225" s="12">
        <v>855.91342883005916</v>
      </c>
      <c r="P3225" s="12">
        <v>0.65370647001449111</v>
      </c>
      <c r="Q3225" s="12">
        <v>0.69204582481015819</v>
      </c>
      <c r="R3225" s="12">
        <v>0.51001174633852031</v>
      </c>
      <c r="S3225" s="12">
        <v>0.77728864518794993</v>
      </c>
      <c r="T3225" s="12">
        <v>0.79978200633040752</v>
      </c>
      <c r="U3225" s="12">
        <v>0.67227486595008479</v>
      </c>
      <c r="V3225" s="12">
        <v>295.26944228049678</v>
      </c>
      <c r="W3225" s="12"/>
      <c r="X3225" s="12"/>
      <c r="Y3225" s="12">
        <v>1210.403419126272</v>
      </c>
      <c r="Z3225" s="12">
        <v>2.414165706899543</v>
      </c>
      <c r="AA3225" s="12"/>
      <c r="AB3225" s="12"/>
    </row>
    <row r="3226" spans="1:28" x14ac:dyDescent="0.3">
      <c r="A3226" s="12" t="s">
        <v>5148</v>
      </c>
      <c r="B3226" s="12" t="s">
        <v>206</v>
      </c>
      <c r="C3226" s="12" t="s">
        <v>532</v>
      </c>
      <c r="D3226" s="12" t="s">
        <v>5136</v>
      </c>
      <c r="E3226" s="12" t="s">
        <v>2978</v>
      </c>
      <c r="F3226" s="12" t="s">
        <v>1861</v>
      </c>
      <c r="G3226" s="12" t="s">
        <v>1861</v>
      </c>
      <c r="H3226" s="12" t="b">
        <v>1</v>
      </c>
      <c r="I3226" s="12" t="b">
        <v>0</v>
      </c>
      <c r="J3226" s="12" t="b">
        <v>1</v>
      </c>
      <c r="K3226" s="12" t="b">
        <v>0</v>
      </c>
      <c r="L3226" s="12">
        <v>623.15</v>
      </c>
      <c r="M3226" s="12">
        <v>298.30688898223639</v>
      </c>
      <c r="N3226" s="12">
        <v>4901.0612235191547</v>
      </c>
      <c r="O3226" s="12">
        <v>351.5925808025371</v>
      </c>
      <c r="P3226" s="12">
        <v>0.50407048484550154</v>
      </c>
      <c r="Q3226" s="12">
        <v>0.79548861671938043</v>
      </c>
      <c r="R3226" s="12">
        <v>0.49694449393436141</v>
      </c>
      <c r="S3226" s="12">
        <v>0.58815264743072204</v>
      </c>
      <c r="T3226" s="12">
        <v>0.58192939995248172</v>
      </c>
      <c r="U3226" s="12">
        <v>0.62116502222020276</v>
      </c>
      <c r="V3226" s="12">
        <v>298.30688898223639</v>
      </c>
      <c r="W3226" s="12">
        <v>6.0715868867007199</v>
      </c>
      <c r="X3226" s="12">
        <v>65.792811172988934</v>
      </c>
      <c r="Y3226" s="12">
        <v>4549.468642716618</v>
      </c>
      <c r="Z3226" s="12">
        <v>13.939603652420949</v>
      </c>
      <c r="AA3226" s="12" t="s">
        <v>1981</v>
      </c>
      <c r="AB3226" s="12"/>
    </row>
    <row r="3227" spans="1:28" x14ac:dyDescent="0.3">
      <c r="A3227" s="12" t="s">
        <v>5149</v>
      </c>
      <c r="B3227" s="12" t="s">
        <v>206</v>
      </c>
      <c r="C3227" s="12" t="s">
        <v>532</v>
      </c>
      <c r="D3227" s="12" t="s">
        <v>5136</v>
      </c>
      <c r="E3227" s="12" t="s">
        <v>2978</v>
      </c>
      <c r="F3227" s="12" t="s">
        <v>1861</v>
      </c>
      <c r="G3227" s="12" t="s">
        <v>1861</v>
      </c>
      <c r="H3227" s="12" t="b">
        <v>1</v>
      </c>
      <c r="I3227" s="12" t="b">
        <v>0</v>
      </c>
      <c r="J3227" s="12" t="b">
        <v>1</v>
      </c>
      <c r="K3227" s="12" t="b">
        <v>0</v>
      </c>
      <c r="L3227" s="12">
        <v>623.15</v>
      </c>
      <c r="M3227" s="12">
        <v>303.37621546790228</v>
      </c>
      <c r="N3227" s="12">
        <v>3979.7697645374542</v>
      </c>
      <c r="O3227" s="12">
        <v>1913.689364019559</v>
      </c>
      <c r="P3227" s="12">
        <v>0.66786475955418823</v>
      </c>
      <c r="Q3227" s="12">
        <v>0.44238647152607541</v>
      </c>
      <c r="R3227" s="12">
        <v>0.55543772056347251</v>
      </c>
      <c r="S3227" s="12">
        <v>0.57012495120213558</v>
      </c>
      <c r="T3227" s="12">
        <v>0.43349556186832239</v>
      </c>
      <c r="U3227" s="12">
        <v>0.8401557519919477</v>
      </c>
      <c r="V3227" s="12">
        <v>303.37621546790228</v>
      </c>
      <c r="W3227" s="12">
        <v>2.7521765409834602</v>
      </c>
      <c r="X3227" s="12">
        <v>34.602766097815852</v>
      </c>
      <c r="Y3227" s="12">
        <v>2066.0804005178952</v>
      </c>
      <c r="Z3227" s="12">
        <v>2.0796320653516358</v>
      </c>
      <c r="AA3227" s="12" t="s">
        <v>1268</v>
      </c>
      <c r="AB3227" s="12"/>
    </row>
    <row r="3228" spans="1:28" x14ac:dyDescent="0.3">
      <c r="A3228" s="12" t="s">
        <v>5150</v>
      </c>
      <c r="B3228" s="12" t="s">
        <v>206</v>
      </c>
      <c r="C3228" s="12" t="s">
        <v>532</v>
      </c>
      <c r="D3228" s="12" t="s">
        <v>5136</v>
      </c>
      <c r="E3228" s="12" t="s">
        <v>2978</v>
      </c>
      <c r="F3228" s="12" t="s">
        <v>832</v>
      </c>
      <c r="G3228" s="12" t="s">
        <v>832</v>
      </c>
      <c r="H3228" s="12" t="b">
        <v>0</v>
      </c>
      <c r="I3228" s="12" t="b">
        <v>0</v>
      </c>
      <c r="J3228" s="12" t="b">
        <v>0</v>
      </c>
      <c r="K3228" s="12" t="b">
        <v>0</v>
      </c>
      <c r="L3228" s="12">
        <v>623.15</v>
      </c>
      <c r="M3228" s="12">
        <v>294.41511730171032</v>
      </c>
      <c r="N3228" s="12">
        <v>3396.178542909995</v>
      </c>
      <c r="O3228" s="12">
        <v>349.53430769420089</v>
      </c>
      <c r="P3228" s="12">
        <v>0.69345595888687361</v>
      </c>
      <c r="Q3228" s="12">
        <v>0.86646935312782603</v>
      </c>
      <c r="R3228" s="12">
        <v>0.77535920394295488</v>
      </c>
      <c r="S3228" s="12">
        <v>0.79341210767562065</v>
      </c>
      <c r="T3228" s="12">
        <v>0.87820329596004643</v>
      </c>
      <c r="U3228" s="12">
        <v>0.44685794131611178</v>
      </c>
      <c r="V3228" s="12">
        <v>294.41511730171032</v>
      </c>
      <c r="W3228" s="12"/>
      <c r="X3228" s="12"/>
      <c r="Y3228" s="12">
        <v>3046.6442352157942</v>
      </c>
      <c r="Z3228" s="12">
        <v>9.7162952767464219</v>
      </c>
      <c r="AA3228" s="12"/>
      <c r="AB3228" s="12"/>
    </row>
    <row r="3229" spans="1:28" x14ac:dyDescent="0.3">
      <c r="A3229" s="12" t="s">
        <v>5151</v>
      </c>
      <c r="B3229" s="12" t="s">
        <v>206</v>
      </c>
      <c r="C3229" s="12" t="s">
        <v>532</v>
      </c>
      <c r="D3229" s="12" t="s">
        <v>5136</v>
      </c>
      <c r="E3229" s="12" t="s">
        <v>2978</v>
      </c>
      <c r="F3229" s="12" t="s">
        <v>1861</v>
      </c>
      <c r="G3229" s="12" t="s">
        <v>1861</v>
      </c>
      <c r="H3229" s="12" t="b">
        <v>1</v>
      </c>
      <c r="I3229" s="12" t="b">
        <v>0</v>
      </c>
      <c r="J3229" s="12" t="b">
        <v>1</v>
      </c>
      <c r="K3229" s="12" t="b">
        <v>0</v>
      </c>
      <c r="L3229" s="12">
        <v>623.15</v>
      </c>
      <c r="M3229" s="12">
        <v>299.60039191831788</v>
      </c>
      <c r="N3229" s="12">
        <v>4070.8587077965331</v>
      </c>
      <c r="O3229" s="12">
        <v>1489.72064604664</v>
      </c>
      <c r="P3229" s="12">
        <v>0.67393950193507701</v>
      </c>
      <c r="Q3229" s="12">
        <v>0.52637075121885801</v>
      </c>
      <c r="R3229" s="12">
        <v>0.91359763788979642</v>
      </c>
      <c r="S3229" s="12">
        <v>0.46809308148244499</v>
      </c>
      <c r="T3229" s="12">
        <v>0.57881802074145261</v>
      </c>
      <c r="U3229" s="12">
        <v>0.60451851780073262</v>
      </c>
      <c r="V3229" s="12">
        <v>299.60039191831788</v>
      </c>
      <c r="W3229" s="12">
        <v>2.65200357672258</v>
      </c>
      <c r="X3229" s="12">
        <v>23.09252768406493</v>
      </c>
      <c r="Y3229" s="12">
        <v>2581.138061749893</v>
      </c>
      <c r="Z3229" s="12">
        <v>2.732632268069596</v>
      </c>
      <c r="AA3229" s="12" t="s">
        <v>1268</v>
      </c>
      <c r="AB3229" s="12"/>
    </row>
    <row r="3230" spans="1:28" x14ac:dyDescent="0.3">
      <c r="A3230" s="12" t="s">
        <v>5152</v>
      </c>
      <c r="B3230" s="12" t="s">
        <v>206</v>
      </c>
      <c r="C3230" s="12" t="s">
        <v>532</v>
      </c>
      <c r="D3230" s="12" t="s">
        <v>5136</v>
      </c>
      <c r="E3230" s="12" t="s">
        <v>2978</v>
      </c>
      <c r="F3230" s="12" t="s">
        <v>1861</v>
      </c>
      <c r="G3230" s="12" t="s">
        <v>1861</v>
      </c>
      <c r="H3230" s="12" t="b">
        <v>1</v>
      </c>
      <c r="I3230" s="12" t="b">
        <v>0</v>
      </c>
      <c r="J3230" s="12" t="b">
        <v>1</v>
      </c>
      <c r="K3230" s="12" t="b">
        <v>0</v>
      </c>
      <c r="L3230" s="12">
        <v>623.15</v>
      </c>
      <c r="M3230" s="12">
        <v>291.5597314839689</v>
      </c>
      <c r="N3230" s="12">
        <v>2028.570774216978</v>
      </c>
      <c r="O3230" s="12">
        <v>1430.2711088073941</v>
      </c>
      <c r="P3230" s="12">
        <v>0.60217778307344494</v>
      </c>
      <c r="Q3230" s="12">
        <v>0.71598845544147971</v>
      </c>
      <c r="R3230" s="12">
        <v>0.80005546551244988</v>
      </c>
      <c r="S3230" s="12">
        <v>0.71424951527384739</v>
      </c>
      <c r="T3230" s="12">
        <v>0.92214115831436916</v>
      </c>
      <c r="U3230" s="12">
        <v>0.57567345165605954</v>
      </c>
      <c r="V3230" s="12">
        <v>291.5597314839689</v>
      </c>
      <c r="W3230" s="12">
        <v>1.3503547568444301</v>
      </c>
      <c r="X3230" s="12">
        <v>16.738627356497808</v>
      </c>
      <c r="Y3230" s="12">
        <v>598.29966540958435</v>
      </c>
      <c r="Z3230" s="12">
        <v>1.4183120680585271</v>
      </c>
      <c r="AA3230" s="12" t="s">
        <v>1268</v>
      </c>
      <c r="AB3230" s="12"/>
    </row>
    <row r="3231" spans="1:28" x14ac:dyDescent="0.3">
      <c r="A3231" s="12" t="s">
        <v>5153</v>
      </c>
      <c r="B3231" s="12" t="s">
        <v>206</v>
      </c>
      <c r="C3231" s="12" t="s">
        <v>532</v>
      </c>
      <c r="D3231" s="12" t="s">
        <v>5136</v>
      </c>
      <c r="E3231" s="12" t="s">
        <v>2978</v>
      </c>
      <c r="F3231" s="12" t="s">
        <v>832</v>
      </c>
      <c r="G3231" s="12" t="s">
        <v>832</v>
      </c>
      <c r="H3231" s="12" t="b">
        <v>0</v>
      </c>
      <c r="I3231" s="12" t="b">
        <v>0</v>
      </c>
      <c r="J3231" s="12" t="b">
        <v>0</v>
      </c>
      <c r="K3231" s="12" t="b">
        <v>0</v>
      </c>
      <c r="L3231" s="12">
        <v>623.15</v>
      </c>
      <c r="M3231" s="12">
        <v>296.49392138553122</v>
      </c>
      <c r="N3231" s="12">
        <v>2387.5983081317572</v>
      </c>
      <c r="O3231" s="12">
        <v>544.72442390306367</v>
      </c>
      <c r="P3231" s="12">
        <v>0.50722669550285338</v>
      </c>
      <c r="Q3231" s="12">
        <v>0.49542249425637719</v>
      </c>
      <c r="R3231" s="12">
        <v>0.56257078622510648</v>
      </c>
      <c r="S3231" s="12">
        <v>0.88892300259988799</v>
      </c>
      <c r="T3231" s="12">
        <v>0.50356127605612921</v>
      </c>
      <c r="U3231" s="12">
        <v>0.72064630489092707</v>
      </c>
      <c r="V3231" s="12">
        <v>296.49392138553122</v>
      </c>
      <c r="W3231" s="12"/>
      <c r="X3231" s="12"/>
      <c r="Y3231" s="12">
        <v>1842.873884228693</v>
      </c>
      <c r="Z3231" s="12">
        <v>4.3831306314927447</v>
      </c>
      <c r="AA3231" s="12"/>
      <c r="AB3231" s="12"/>
    </row>
    <row r="3232" spans="1:28" x14ac:dyDescent="0.3">
      <c r="A3232" s="12" t="s">
        <v>5154</v>
      </c>
      <c r="B3232" s="12" t="s">
        <v>206</v>
      </c>
      <c r="C3232" s="12" t="s">
        <v>532</v>
      </c>
      <c r="D3232" s="12" t="s">
        <v>5136</v>
      </c>
      <c r="E3232" s="12" t="s">
        <v>2978</v>
      </c>
      <c r="F3232" s="12" t="s">
        <v>1861</v>
      </c>
      <c r="G3232" s="12" t="s">
        <v>1861</v>
      </c>
      <c r="H3232" s="12" t="b">
        <v>1</v>
      </c>
      <c r="I3232" s="12" t="b">
        <v>0</v>
      </c>
      <c r="J3232" s="12" t="b">
        <v>1</v>
      </c>
      <c r="K3232" s="12" t="b">
        <v>0</v>
      </c>
      <c r="L3232" s="12">
        <v>623.15</v>
      </c>
      <c r="M3232" s="12">
        <v>300.30796854149793</v>
      </c>
      <c r="N3232" s="12">
        <v>2107.512844541744</v>
      </c>
      <c r="O3232" s="12">
        <v>1176.3686312509039</v>
      </c>
      <c r="P3232" s="12">
        <v>0.70891556479519469</v>
      </c>
      <c r="Q3232" s="12">
        <v>0.89701224509730282</v>
      </c>
      <c r="R3232" s="12">
        <v>0.73103522212377492</v>
      </c>
      <c r="S3232" s="12">
        <v>0.73762533626615423</v>
      </c>
      <c r="T3232" s="12">
        <v>0.67832270973066566</v>
      </c>
      <c r="U3232" s="12">
        <v>0.78386277602005494</v>
      </c>
      <c r="V3232" s="12">
        <v>300.30796854149793</v>
      </c>
      <c r="W3232" s="12">
        <v>4.5512162880782201</v>
      </c>
      <c r="X3232" s="12">
        <v>68.770309990020607</v>
      </c>
      <c r="Y3232" s="12">
        <v>931.14421329083996</v>
      </c>
      <c r="Z3232" s="12">
        <v>1.791541178976098</v>
      </c>
      <c r="AA3232" s="12" t="s">
        <v>1268</v>
      </c>
      <c r="AB3232" s="12"/>
    </row>
    <row r="3233" spans="1:28" x14ac:dyDescent="0.3">
      <c r="A3233" s="12" t="s">
        <v>5155</v>
      </c>
      <c r="B3233" s="12" t="s">
        <v>206</v>
      </c>
      <c r="C3233" s="12" t="s">
        <v>532</v>
      </c>
      <c r="D3233" s="12" t="s">
        <v>5136</v>
      </c>
      <c r="E3233" s="12" t="s">
        <v>2978</v>
      </c>
      <c r="F3233" s="12" t="s">
        <v>1861</v>
      </c>
      <c r="G3233" s="12" t="s">
        <v>1861</v>
      </c>
      <c r="H3233" s="12" t="b">
        <v>1</v>
      </c>
      <c r="I3233" s="12" t="b">
        <v>0</v>
      </c>
      <c r="J3233" s="12" t="b">
        <v>1</v>
      </c>
      <c r="K3233" s="12" t="b">
        <v>0</v>
      </c>
      <c r="L3233" s="12">
        <v>623.15</v>
      </c>
      <c r="M3233" s="12">
        <v>283.80436533932908</v>
      </c>
      <c r="N3233" s="12">
        <v>4921.2129027236324</v>
      </c>
      <c r="O3233" s="12">
        <v>320.64661635935562</v>
      </c>
      <c r="P3233" s="12">
        <v>0.55308252040885297</v>
      </c>
      <c r="Q3233" s="12">
        <v>0.88728407112245966</v>
      </c>
      <c r="R3233" s="12">
        <v>0.77078692490639023</v>
      </c>
      <c r="S3233" s="12">
        <v>0.66502938090749164</v>
      </c>
      <c r="T3233" s="12">
        <v>0.63010604975880213</v>
      </c>
      <c r="U3233" s="12">
        <v>0.8360917300721773</v>
      </c>
      <c r="V3233" s="12">
        <v>283.80436533932908</v>
      </c>
      <c r="W3233" s="12">
        <v>18.508924910927838</v>
      </c>
      <c r="X3233" s="12">
        <v>290.10530431977492</v>
      </c>
      <c r="Y3233" s="12">
        <v>4600.5662863642756</v>
      </c>
      <c r="Z3233" s="12">
        <v>15.34777743361035</v>
      </c>
      <c r="AA3233" s="12" t="s">
        <v>1981</v>
      </c>
      <c r="AB3233" s="12"/>
    </row>
    <row r="3234" spans="1:28" x14ac:dyDescent="0.3">
      <c r="A3234" s="12" t="s">
        <v>5156</v>
      </c>
      <c r="B3234" s="12" t="s">
        <v>206</v>
      </c>
      <c r="C3234" s="12" t="s">
        <v>532</v>
      </c>
      <c r="D3234" s="12" t="s">
        <v>5136</v>
      </c>
      <c r="E3234" s="12" t="s">
        <v>2978</v>
      </c>
      <c r="F3234" s="12" t="s">
        <v>1861</v>
      </c>
      <c r="G3234" s="12" t="s">
        <v>1861</v>
      </c>
      <c r="H3234" s="12" t="b">
        <v>1</v>
      </c>
      <c r="I3234" s="12" t="b">
        <v>0</v>
      </c>
      <c r="J3234" s="12" t="b">
        <v>1</v>
      </c>
      <c r="K3234" s="12" t="b">
        <v>0</v>
      </c>
      <c r="L3234" s="12">
        <v>623.15</v>
      </c>
      <c r="M3234" s="12">
        <v>280.7041844554679</v>
      </c>
      <c r="N3234" s="12">
        <v>4726.0336528390308</v>
      </c>
      <c r="O3234" s="12">
        <v>754.64779542384872</v>
      </c>
      <c r="P3234" s="12">
        <v>0.73071167861876563</v>
      </c>
      <c r="Q3234" s="12">
        <v>0.53948263056005452</v>
      </c>
      <c r="R3234" s="12">
        <v>0.40667278682976599</v>
      </c>
      <c r="S3234" s="12">
        <v>0.79995074782349529</v>
      </c>
      <c r="T3234" s="12">
        <v>0.78787788334598596</v>
      </c>
      <c r="U3234" s="12">
        <v>0.93684117243451437</v>
      </c>
      <c r="V3234" s="12">
        <v>280.7041844554679</v>
      </c>
      <c r="W3234" s="12">
        <v>8.2213223159276207</v>
      </c>
      <c r="X3234" s="12">
        <v>155.79019252661391</v>
      </c>
      <c r="Y3234" s="12">
        <v>3971.3858574151818</v>
      </c>
      <c r="Z3234" s="12">
        <v>6.2625686863428109</v>
      </c>
      <c r="AA3234" s="12" t="s">
        <v>1268</v>
      </c>
      <c r="AB3234" s="12"/>
    </row>
    <row r="3235" spans="1:28" x14ac:dyDescent="0.3">
      <c r="A3235" s="12" t="s">
        <v>5157</v>
      </c>
      <c r="B3235" s="12" t="s">
        <v>206</v>
      </c>
      <c r="C3235" s="12" t="s">
        <v>532</v>
      </c>
      <c r="D3235" s="12" t="s">
        <v>5136</v>
      </c>
      <c r="E3235" s="12" t="s">
        <v>2978</v>
      </c>
      <c r="F3235" s="12" t="s">
        <v>832</v>
      </c>
      <c r="G3235" s="12" t="s">
        <v>832</v>
      </c>
      <c r="H3235" s="12" t="b">
        <v>0</v>
      </c>
      <c r="I3235" s="12" t="b">
        <v>0</v>
      </c>
      <c r="J3235" s="12" t="b">
        <v>0</v>
      </c>
      <c r="K3235" s="12" t="b">
        <v>0</v>
      </c>
      <c r="L3235" s="12">
        <v>623.15</v>
      </c>
      <c r="M3235" s="12">
        <v>288.13764563152102</v>
      </c>
      <c r="N3235" s="12">
        <v>2474.0000767846009</v>
      </c>
      <c r="O3235" s="12">
        <v>1223.655609521988</v>
      </c>
      <c r="P3235" s="12">
        <v>0.52441622429471524</v>
      </c>
      <c r="Q3235" s="12">
        <v>0.66226199122878593</v>
      </c>
      <c r="R3235" s="12">
        <v>0.86787503196568938</v>
      </c>
      <c r="S3235" s="12">
        <v>0.88958076345119408</v>
      </c>
      <c r="T3235" s="12">
        <v>0.68187618269229766</v>
      </c>
      <c r="U3235" s="12">
        <v>0.80083392400628373</v>
      </c>
      <c r="V3235" s="12">
        <v>288.13764563152102</v>
      </c>
      <c r="W3235" s="12"/>
      <c r="X3235" s="12"/>
      <c r="Y3235" s="12">
        <v>1250.3444672626131</v>
      </c>
      <c r="Z3235" s="12">
        <v>2.0218107591163261</v>
      </c>
      <c r="AA3235" s="12"/>
      <c r="AB3235" s="12"/>
    </row>
    <row r="3236" spans="1:28" x14ac:dyDescent="0.3">
      <c r="A3236" s="12" t="s">
        <v>5158</v>
      </c>
      <c r="B3236" s="12" t="s">
        <v>206</v>
      </c>
      <c r="C3236" s="12" t="s">
        <v>532</v>
      </c>
      <c r="D3236" s="12" t="s">
        <v>5136</v>
      </c>
      <c r="E3236" s="12" t="s">
        <v>2978</v>
      </c>
      <c r="F3236" s="12" t="s">
        <v>32</v>
      </c>
      <c r="G3236" s="12" t="s">
        <v>32</v>
      </c>
      <c r="H3236" s="12" t="b">
        <v>1</v>
      </c>
      <c r="I3236" s="12" t="b">
        <v>0</v>
      </c>
      <c r="J3236" s="12" t="b">
        <v>1</v>
      </c>
      <c r="K3236" s="12" t="b">
        <v>0</v>
      </c>
      <c r="L3236" s="12">
        <v>623.15</v>
      </c>
      <c r="M3236" s="12">
        <v>281.26474866177858</v>
      </c>
      <c r="N3236" s="12">
        <v>2864.874245178099</v>
      </c>
      <c r="O3236" s="12">
        <v>1829.6188492964709</v>
      </c>
      <c r="P3236" s="12">
        <v>0.61317925318730404</v>
      </c>
      <c r="Q3236" s="12">
        <v>0.83094356334414199</v>
      </c>
      <c r="R3236" s="12">
        <v>0.60334504711253611</v>
      </c>
      <c r="S3236" s="12">
        <v>0.67042204427383045</v>
      </c>
      <c r="T3236" s="12">
        <v>0.65467502762644936</v>
      </c>
      <c r="U3236" s="12">
        <v>0.91059910180179782</v>
      </c>
      <c r="V3236" s="12">
        <v>281.26474866177858</v>
      </c>
      <c r="W3236" s="12">
        <v>3.28919941242133</v>
      </c>
      <c r="X3236" s="12">
        <v>54.21712199305324</v>
      </c>
      <c r="Y3236" s="12">
        <v>1035.2553958816279</v>
      </c>
      <c r="Z3236" s="12">
        <v>1.565831181876874</v>
      </c>
      <c r="AA3236" s="12"/>
      <c r="AB3236" s="12"/>
    </row>
    <row r="3237" spans="1:28" x14ac:dyDescent="0.3">
      <c r="A3237" s="12" t="s">
        <v>5159</v>
      </c>
      <c r="B3237" s="12" t="s">
        <v>206</v>
      </c>
      <c r="C3237" s="12" t="s">
        <v>532</v>
      </c>
      <c r="D3237" s="12" t="s">
        <v>5136</v>
      </c>
      <c r="E3237" s="12" t="s">
        <v>2978</v>
      </c>
      <c r="F3237" s="12" t="s">
        <v>832</v>
      </c>
      <c r="G3237" s="12" t="s">
        <v>832</v>
      </c>
      <c r="H3237" s="12" t="b">
        <v>0</v>
      </c>
      <c r="I3237" s="12" t="b">
        <v>0</v>
      </c>
      <c r="J3237" s="12" t="b">
        <v>0</v>
      </c>
      <c r="K3237" s="12" t="b">
        <v>0</v>
      </c>
      <c r="L3237" s="12">
        <v>623.15</v>
      </c>
      <c r="M3237" s="12">
        <v>289.07558371665567</v>
      </c>
      <c r="N3237" s="12">
        <v>2814.0238540745081</v>
      </c>
      <c r="O3237" s="12">
        <v>1986.5550700359749</v>
      </c>
      <c r="P3237" s="12">
        <v>0.62234020750978625</v>
      </c>
      <c r="Q3237" s="12">
        <v>0.87694791590449017</v>
      </c>
      <c r="R3237" s="12">
        <v>0.53028135675728583</v>
      </c>
      <c r="S3237" s="12">
        <v>0.7325609137012421</v>
      </c>
      <c r="T3237" s="12">
        <v>0.70128086975760728</v>
      </c>
      <c r="U3237" s="12">
        <v>0.43701831455333029</v>
      </c>
      <c r="V3237" s="12">
        <v>289.07558371665567</v>
      </c>
      <c r="W3237" s="12"/>
      <c r="X3237" s="12"/>
      <c r="Y3237" s="12">
        <v>827.46878403853316</v>
      </c>
      <c r="Z3237" s="12">
        <v>1.416534530816479</v>
      </c>
      <c r="AA3237" s="12"/>
      <c r="AB3237" s="12"/>
    </row>
    <row r="3238" spans="1:28" x14ac:dyDescent="0.3">
      <c r="A3238" s="12" t="s">
        <v>5160</v>
      </c>
      <c r="B3238" s="12" t="s">
        <v>206</v>
      </c>
      <c r="C3238" s="12" t="s">
        <v>532</v>
      </c>
      <c r="D3238" s="12" t="s">
        <v>5136</v>
      </c>
      <c r="E3238" s="12" t="s">
        <v>2978</v>
      </c>
      <c r="F3238" s="12" t="s">
        <v>832</v>
      </c>
      <c r="G3238" s="12" t="s">
        <v>832</v>
      </c>
      <c r="H3238" s="12" t="b">
        <v>0</v>
      </c>
      <c r="I3238" s="12" t="b">
        <v>0</v>
      </c>
      <c r="J3238" s="12" t="b">
        <v>0</v>
      </c>
      <c r="K3238" s="12" t="b">
        <v>0</v>
      </c>
      <c r="L3238" s="12">
        <v>623.15</v>
      </c>
      <c r="M3238" s="12">
        <v>281.99191423732452</v>
      </c>
      <c r="N3238" s="12">
        <v>4025.2375384594802</v>
      </c>
      <c r="O3238" s="12">
        <v>482.36889183814822</v>
      </c>
      <c r="P3238" s="12">
        <v>0.58877614824781777</v>
      </c>
      <c r="Q3238" s="12">
        <v>0.66976239743524646</v>
      </c>
      <c r="R3238" s="12">
        <v>0.75196339893682262</v>
      </c>
      <c r="S3238" s="12">
        <v>0.69608022230121402</v>
      </c>
      <c r="T3238" s="12">
        <v>0.81483438348129722</v>
      </c>
      <c r="U3238" s="12">
        <v>0.46855547566522021</v>
      </c>
      <c r="V3238" s="12">
        <v>281.99191423732452</v>
      </c>
      <c r="W3238" s="12"/>
      <c r="X3238" s="12"/>
      <c r="Y3238" s="12">
        <v>3542.8686466213321</v>
      </c>
      <c r="Z3238" s="12">
        <v>8.3447287057020443</v>
      </c>
      <c r="AA3238" s="12"/>
      <c r="AB3238" s="12"/>
    </row>
    <row r="3239" spans="1:28" x14ac:dyDescent="0.3">
      <c r="A3239" s="12" t="s">
        <v>5161</v>
      </c>
      <c r="B3239" s="12" t="s">
        <v>206</v>
      </c>
      <c r="C3239" s="12" t="s">
        <v>532</v>
      </c>
      <c r="D3239" s="12" t="s">
        <v>5136</v>
      </c>
      <c r="E3239" s="12" t="s">
        <v>2978</v>
      </c>
      <c r="F3239" s="12" t="s">
        <v>832</v>
      </c>
      <c r="G3239" s="12" t="s">
        <v>832</v>
      </c>
      <c r="H3239" s="12" t="b">
        <v>0</v>
      </c>
      <c r="I3239" s="12" t="b">
        <v>0</v>
      </c>
      <c r="J3239" s="12" t="b">
        <v>0</v>
      </c>
      <c r="K3239" s="12" t="b">
        <v>0</v>
      </c>
      <c r="L3239" s="12">
        <v>623.15</v>
      </c>
      <c r="M3239" s="12">
        <v>284.88273565978898</v>
      </c>
      <c r="N3239" s="12">
        <v>3450.6127258391248</v>
      </c>
      <c r="O3239" s="12">
        <v>523.40485983025815</v>
      </c>
      <c r="P3239" s="12">
        <v>0.80793843762132345</v>
      </c>
      <c r="Q3239" s="12">
        <v>0.64645911115063603</v>
      </c>
      <c r="R3239" s="12">
        <v>0.72366229409544625</v>
      </c>
      <c r="S3239" s="12">
        <v>0.82382093572146675</v>
      </c>
      <c r="T3239" s="12">
        <v>0.53612730908088224</v>
      </c>
      <c r="U3239" s="12">
        <v>0.79505157053638043</v>
      </c>
      <c r="V3239" s="12">
        <v>284.88273565978898</v>
      </c>
      <c r="W3239" s="12"/>
      <c r="X3239" s="12"/>
      <c r="Y3239" s="12">
        <v>2927.2078660088659</v>
      </c>
      <c r="Z3239" s="12">
        <v>6.5926264554711418</v>
      </c>
      <c r="AA3239" s="12"/>
      <c r="AB3239" s="12"/>
    </row>
    <row r="3240" spans="1:28" x14ac:dyDescent="0.3">
      <c r="A3240" s="12" t="s">
        <v>5162</v>
      </c>
      <c r="B3240" s="12" t="s">
        <v>206</v>
      </c>
      <c r="C3240" s="12" t="s">
        <v>532</v>
      </c>
      <c r="D3240" s="12" t="s">
        <v>5136</v>
      </c>
      <c r="E3240" s="12" t="s">
        <v>2978</v>
      </c>
      <c r="F3240" s="12" t="s">
        <v>1861</v>
      </c>
      <c r="G3240" s="12" t="s">
        <v>1861</v>
      </c>
      <c r="H3240" s="12" t="b">
        <v>1</v>
      </c>
      <c r="I3240" s="12" t="b">
        <v>0</v>
      </c>
      <c r="J3240" s="12" t="b">
        <v>0</v>
      </c>
      <c r="K3240" s="12" t="b">
        <v>0</v>
      </c>
      <c r="L3240" s="12">
        <v>623.15</v>
      </c>
      <c r="M3240" s="12">
        <v>283.65275141699618</v>
      </c>
      <c r="N3240" s="12">
        <v>4249.3525202453347</v>
      </c>
      <c r="O3240" s="12">
        <v>791.57067278828367</v>
      </c>
      <c r="P3240" s="12">
        <v>0.81133596976621714</v>
      </c>
      <c r="Q3240" s="12">
        <v>0.5939402233437997</v>
      </c>
      <c r="R3240" s="12">
        <v>0.45390397388628378</v>
      </c>
      <c r="S3240" s="12">
        <v>0.49572880846846901</v>
      </c>
      <c r="T3240" s="12">
        <v>0.54001053418473899</v>
      </c>
      <c r="U3240" s="12">
        <v>0.77168769542195048</v>
      </c>
      <c r="V3240" s="12">
        <v>283.65275141699618</v>
      </c>
      <c r="W3240" s="12">
        <v>7.1159423292043504</v>
      </c>
      <c r="X3240" s="12">
        <v>70.75197091694487</v>
      </c>
      <c r="Y3240" s="12">
        <v>3457.7818474570522</v>
      </c>
      <c r="Z3240" s="12">
        <v>5.3682541134035704</v>
      </c>
      <c r="AA3240" s="12" t="s">
        <v>1268</v>
      </c>
      <c r="AB3240" s="12"/>
    </row>
    <row r="3241" spans="1:28" x14ac:dyDescent="0.3">
      <c r="A3241" s="12" t="s">
        <v>5163</v>
      </c>
      <c r="B3241" s="12" t="s">
        <v>206</v>
      </c>
      <c r="C3241" s="12" t="s">
        <v>532</v>
      </c>
      <c r="D3241" s="12" t="s">
        <v>5136</v>
      </c>
      <c r="E3241" s="12" t="s">
        <v>2978</v>
      </c>
      <c r="F3241" s="12" t="s">
        <v>1861</v>
      </c>
      <c r="G3241" s="12" t="s">
        <v>1861</v>
      </c>
      <c r="H3241" s="12" t="b">
        <v>1</v>
      </c>
      <c r="I3241" s="12" t="b">
        <v>0</v>
      </c>
      <c r="J3241" s="12" t="b">
        <v>1</v>
      </c>
      <c r="K3241" s="12" t="b">
        <v>0</v>
      </c>
      <c r="L3241" s="12">
        <v>623.15</v>
      </c>
      <c r="M3241" s="12">
        <v>301.90843756707551</v>
      </c>
      <c r="N3241" s="12">
        <v>2192.9544056034752</v>
      </c>
      <c r="O3241" s="12">
        <v>843.53114145607015</v>
      </c>
      <c r="P3241" s="12">
        <v>0.61082362246130539</v>
      </c>
      <c r="Q3241" s="12">
        <v>0.82489817185322845</v>
      </c>
      <c r="R3241" s="12">
        <v>0.6589136253768082</v>
      </c>
      <c r="S3241" s="12">
        <v>0.657404506223223</v>
      </c>
      <c r="T3241" s="12">
        <v>0.60820851148534483</v>
      </c>
      <c r="U3241" s="12">
        <v>0.70023587283914357</v>
      </c>
      <c r="V3241" s="12">
        <v>301.90843756707551</v>
      </c>
      <c r="W3241" s="12">
        <v>5.1327779932780304</v>
      </c>
      <c r="X3241" s="12">
        <v>67.269821308206033</v>
      </c>
      <c r="Y3241" s="12">
        <v>1349.423264147405</v>
      </c>
      <c r="Z3241" s="12">
        <v>2.599731412189576</v>
      </c>
      <c r="AA3241" s="12" t="s">
        <v>1268</v>
      </c>
      <c r="AB3241" s="12"/>
    </row>
    <row r="3242" spans="1:28" x14ac:dyDescent="0.3">
      <c r="A3242" s="12" t="s">
        <v>5164</v>
      </c>
      <c r="B3242" s="12" t="s">
        <v>206</v>
      </c>
      <c r="C3242" s="12" t="s">
        <v>532</v>
      </c>
      <c r="D3242" s="12" t="s">
        <v>5136</v>
      </c>
      <c r="E3242" s="12" t="s">
        <v>2978</v>
      </c>
      <c r="F3242" s="12" t="s">
        <v>1861</v>
      </c>
      <c r="G3242" s="12" t="s">
        <v>1861</v>
      </c>
      <c r="H3242" s="12" t="b">
        <v>1</v>
      </c>
      <c r="I3242" s="12" t="b">
        <v>0</v>
      </c>
      <c r="J3242" s="12" t="b">
        <v>1</v>
      </c>
      <c r="K3242" s="12" t="b">
        <v>0</v>
      </c>
      <c r="L3242" s="12">
        <v>623.15</v>
      </c>
      <c r="M3242" s="12">
        <v>295.00920553448452</v>
      </c>
      <c r="N3242" s="12">
        <v>4163.8993885355467</v>
      </c>
      <c r="O3242" s="12">
        <v>1017.136905360568</v>
      </c>
      <c r="P3242" s="12">
        <v>0.70058962163593796</v>
      </c>
      <c r="Q3242" s="12">
        <v>0.91533213902458765</v>
      </c>
      <c r="R3242" s="12">
        <v>0.61775766872443971</v>
      </c>
      <c r="S3242" s="12">
        <v>0.54255122085160368</v>
      </c>
      <c r="T3242" s="12">
        <v>0.63237362442577238</v>
      </c>
      <c r="U3242" s="12">
        <v>0.85236922179079955</v>
      </c>
      <c r="V3242" s="12">
        <v>295.00920553448452</v>
      </c>
      <c r="W3242" s="12">
        <v>12.057051976027701</v>
      </c>
      <c r="X3242" s="12">
        <v>144.0675602746947</v>
      </c>
      <c r="Y3242" s="12">
        <v>3146.762483174979</v>
      </c>
      <c r="Z3242" s="12">
        <v>4.0937452633866167</v>
      </c>
      <c r="AA3242" s="12" t="s">
        <v>1268</v>
      </c>
      <c r="AB3242" s="12"/>
    </row>
    <row r="3243" spans="1:28" x14ac:dyDescent="0.3">
      <c r="A3243" s="12" t="s">
        <v>5165</v>
      </c>
      <c r="B3243" s="12" t="s">
        <v>206</v>
      </c>
      <c r="C3243" s="12" t="s">
        <v>532</v>
      </c>
      <c r="D3243" s="12" t="s">
        <v>5136</v>
      </c>
      <c r="E3243" s="12" t="s">
        <v>2978</v>
      </c>
      <c r="F3243" s="12" t="s">
        <v>1861</v>
      </c>
      <c r="G3243" s="12" t="s">
        <v>1861</v>
      </c>
      <c r="H3243" s="12" t="b">
        <v>1</v>
      </c>
      <c r="I3243" s="12" t="b">
        <v>0</v>
      </c>
      <c r="J3243" s="12" t="b">
        <v>1</v>
      </c>
      <c r="K3243" s="12" t="b">
        <v>0</v>
      </c>
      <c r="L3243" s="12">
        <v>623.15</v>
      </c>
      <c r="M3243" s="12">
        <v>295.98795244559687</v>
      </c>
      <c r="N3243" s="12">
        <v>4549.4748413780471</v>
      </c>
      <c r="O3243" s="12">
        <v>1307.3508956627979</v>
      </c>
      <c r="P3243" s="12">
        <v>0.83564219190172506</v>
      </c>
      <c r="Q3243" s="12">
        <v>0.78692124476853875</v>
      </c>
      <c r="R3243" s="12">
        <v>0.64433697693335101</v>
      </c>
      <c r="S3243" s="12">
        <v>0.72160541767282826</v>
      </c>
      <c r="T3243" s="12">
        <v>0.48014531739986338</v>
      </c>
      <c r="U3243" s="12">
        <v>0.83049411080971236</v>
      </c>
      <c r="V3243" s="12">
        <v>295.98795244559687</v>
      </c>
      <c r="W3243" s="12">
        <v>9.8924101891059593</v>
      </c>
      <c r="X3243" s="12">
        <v>141.1525863205492</v>
      </c>
      <c r="Y3243" s="12">
        <v>3242.1239457152501</v>
      </c>
      <c r="Z3243" s="12">
        <v>3.4799187092548438</v>
      </c>
      <c r="AA3243" s="12" t="s">
        <v>1268</v>
      </c>
      <c r="AB3243" s="12"/>
    </row>
    <row r="3244" spans="1:28" x14ac:dyDescent="0.3">
      <c r="A3244" s="12" t="s">
        <v>5166</v>
      </c>
      <c r="B3244" s="12" t="s">
        <v>206</v>
      </c>
      <c r="C3244" s="12" t="s">
        <v>532</v>
      </c>
      <c r="D3244" s="12" t="s">
        <v>5136</v>
      </c>
      <c r="E3244" s="12" t="s">
        <v>2978</v>
      </c>
      <c r="F3244" s="12" t="s">
        <v>1861</v>
      </c>
      <c r="G3244" s="12" t="s">
        <v>1861</v>
      </c>
      <c r="H3244" s="12" t="b">
        <v>1</v>
      </c>
      <c r="I3244" s="12" t="b">
        <v>0</v>
      </c>
      <c r="J3244" s="12" t="b">
        <v>1</v>
      </c>
      <c r="K3244" s="12" t="b">
        <v>0</v>
      </c>
      <c r="L3244" s="12">
        <v>623.15</v>
      </c>
      <c r="M3244" s="12">
        <v>288.64551345405567</v>
      </c>
      <c r="N3244" s="12">
        <v>2226.354286417979</v>
      </c>
      <c r="O3244" s="12">
        <v>1189.939730375967</v>
      </c>
      <c r="P3244" s="12">
        <v>0.59974762230305489</v>
      </c>
      <c r="Q3244" s="12">
        <v>0.51935845579464757</v>
      </c>
      <c r="R3244" s="12">
        <v>0.90145096906692845</v>
      </c>
      <c r="S3244" s="12">
        <v>0.75081618767089164</v>
      </c>
      <c r="T3244" s="12">
        <v>0.51950137058394918</v>
      </c>
      <c r="U3244" s="12">
        <v>0.71069207181712724</v>
      </c>
      <c r="V3244" s="12">
        <v>288.64551345405567</v>
      </c>
      <c r="W3244" s="12">
        <v>2.0765816619520598</v>
      </c>
      <c r="X3244" s="12">
        <v>31.83340084901517</v>
      </c>
      <c r="Y3244" s="12">
        <v>1036.414556042012</v>
      </c>
      <c r="Z3244" s="12">
        <v>1.8709807140522581</v>
      </c>
      <c r="AA3244" s="12" t="s">
        <v>1268</v>
      </c>
      <c r="AB3244" s="12"/>
    </row>
    <row r="3245" spans="1:28" x14ac:dyDescent="0.3">
      <c r="A3245" s="12" t="s">
        <v>5167</v>
      </c>
      <c r="B3245" s="12" t="s">
        <v>206</v>
      </c>
      <c r="C3245" s="12" t="s">
        <v>532</v>
      </c>
      <c r="D3245" s="12" t="s">
        <v>5136</v>
      </c>
      <c r="E3245" s="12" t="s">
        <v>2978</v>
      </c>
      <c r="F3245" s="12" t="s">
        <v>1861</v>
      </c>
      <c r="G3245" s="12" t="s">
        <v>1861</v>
      </c>
      <c r="H3245" s="12" t="b">
        <v>1</v>
      </c>
      <c r="I3245" s="12" t="b">
        <v>0</v>
      </c>
      <c r="J3245" s="12" t="b">
        <v>1</v>
      </c>
      <c r="K3245" s="12" t="b">
        <v>0</v>
      </c>
      <c r="L3245" s="12">
        <v>623.15</v>
      </c>
      <c r="M3245" s="12">
        <v>301.5654840821386</v>
      </c>
      <c r="N3245" s="12">
        <v>4508.9383871018472</v>
      </c>
      <c r="O3245" s="12">
        <v>1038.9421862585741</v>
      </c>
      <c r="P3245" s="12">
        <v>0.58533420617735676</v>
      </c>
      <c r="Q3245" s="12">
        <v>0.57928185965658119</v>
      </c>
      <c r="R3245" s="12">
        <v>0.72748705053447793</v>
      </c>
      <c r="S3245" s="12">
        <v>0.48786153237202118</v>
      </c>
      <c r="T3245" s="12">
        <v>0.44692890714197669</v>
      </c>
      <c r="U3245" s="12">
        <v>0.72842196573219042</v>
      </c>
      <c r="V3245" s="12">
        <v>301.5654840821386</v>
      </c>
      <c r="W3245" s="12">
        <v>5.9577947015591501</v>
      </c>
      <c r="X3245" s="12">
        <v>62.468302488844927</v>
      </c>
      <c r="Y3245" s="12">
        <v>3469.9962008432731</v>
      </c>
      <c r="Z3245" s="12">
        <v>4.3399319488020627</v>
      </c>
      <c r="AA3245" s="12" t="s">
        <v>1268</v>
      </c>
      <c r="AB3245" s="12"/>
    </row>
    <row r="3246" spans="1:28" x14ac:dyDescent="0.3">
      <c r="A3246" s="12" t="s">
        <v>5168</v>
      </c>
      <c r="B3246" s="12" t="s">
        <v>206</v>
      </c>
      <c r="C3246" s="12" t="s">
        <v>532</v>
      </c>
      <c r="D3246" s="12" t="s">
        <v>5136</v>
      </c>
      <c r="E3246" s="12" t="s">
        <v>2978</v>
      </c>
      <c r="F3246" s="12" t="s">
        <v>832</v>
      </c>
      <c r="G3246" s="12" t="s">
        <v>832</v>
      </c>
      <c r="H3246" s="12" t="b">
        <v>0</v>
      </c>
      <c r="I3246" s="12" t="b">
        <v>0</v>
      </c>
      <c r="J3246" s="12" t="b">
        <v>0</v>
      </c>
      <c r="K3246" s="12" t="b">
        <v>0</v>
      </c>
      <c r="L3246" s="12">
        <v>623.15</v>
      </c>
      <c r="M3246" s="12">
        <v>282.29006162280609</v>
      </c>
      <c r="N3246" s="12">
        <v>3481.0463926763082</v>
      </c>
      <c r="O3246" s="12">
        <v>1342.5891173844391</v>
      </c>
      <c r="P3246" s="12">
        <v>0.7713556347898225</v>
      </c>
      <c r="Q3246" s="12">
        <v>0.81754133275405783</v>
      </c>
      <c r="R3246" s="12">
        <v>0.90735661549780755</v>
      </c>
      <c r="S3246" s="12">
        <v>0.81003408369464303</v>
      </c>
      <c r="T3246" s="12">
        <v>0.85623167648247067</v>
      </c>
      <c r="U3246" s="12">
        <v>0.86905669562687726</v>
      </c>
      <c r="V3246" s="12">
        <v>282.29006162280609</v>
      </c>
      <c r="W3246" s="12"/>
      <c r="X3246" s="12"/>
      <c r="Y3246" s="12">
        <v>2138.4572752918689</v>
      </c>
      <c r="Z3246" s="12">
        <v>2.5927860933789622</v>
      </c>
      <c r="AA3246" s="12"/>
      <c r="AB3246" s="12"/>
    </row>
    <row r="3247" spans="1:28" x14ac:dyDescent="0.3">
      <c r="A3247" s="12" t="s">
        <v>5169</v>
      </c>
      <c r="B3247" s="12" t="s">
        <v>206</v>
      </c>
      <c r="C3247" s="12" t="s">
        <v>532</v>
      </c>
      <c r="D3247" s="12" t="s">
        <v>5136</v>
      </c>
      <c r="E3247" s="12" t="s">
        <v>2978</v>
      </c>
      <c r="F3247" s="12" t="s">
        <v>1861</v>
      </c>
      <c r="G3247" s="12" t="s">
        <v>1861</v>
      </c>
      <c r="H3247" s="12" t="b">
        <v>1</v>
      </c>
      <c r="I3247" s="12" t="b">
        <v>0</v>
      </c>
      <c r="J3247" s="12" t="b">
        <v>1</v>
      </c>
      <c r="K3247" s="12" t="b">
        <v>0</v>
      </c>
      <c r="L3247" s="12">
        <v>623.15</v>
      </c>
      <c r="M3247" s="12">
        <v>279.63792349955122</v>
      </c>
      <c r="N3247" s="12">
        <v>2889.43384974427</v>
      </c>
      <c r="O3247" s="12">
        <v>1964.4246381497769</v>
      </c>
      <c r="P3247" s="12">
        <v>0.62332429015004687</v>
      </c>
      <c r="Q3247" s="12">
        <v>0.93892442997892123</v>
      </c>
      <c r="R3247" s="12">
        <v>0.52069900132673153</v>
      </c>
      <c r="S3247" s="12">
        <v>0.53613671200183743</v>
      </c>
      <c r="T3247" s="12">
        <v>0.73826462326938991</v>
      </c>
      <c r="U3247" s="12">
        <v>0.69094543019372701</v>
      </c>
      <c r="V3247" s="12">
        <v>279.63792349955122</v>
      </c>
      <c r="W3247" s="12">
        <v>3.1672415368831199</v>
      </c>
      <c r="X3247" s="12">
        <v>35.896489879015682</v>
      </c>
      <c r="Y3247" s="12">
        <v>925.00921159449365</v>
      </c>
      <c r="Z3247" s="12">
        <v>1.4708804774846069</v>
      </c>
      <c r="AA3247" s="12" t="s">
        <v>1268</v>
      </c>
      <c r="AB3247" s="12"/>
    </row>
    <row r="3248" spans="1:28" x14ac:dyDescent="0.3">
      <c r="A3248" s="12" t="s">
        <v>5170</v>
      </c>
      <c r="B3248" s="12" t="s">
        <v>206</v>
      </c>
      <c r="C3248" s="12" t="s">
        <v>532</v>
      </c>
      <c r="D3248" s="12" t="s">
        <v>5136</v>
      </c>
      <c r="E3248" s="12" t="s">
        <v>2978</v>
      </c>
      <c r="F3248" s="12" t="s">
        <v>832</v>
      </c>
      <c r="G3248" s="12" t="s">
        <v>832</v>
      </c>
      <c r="H3248" s="12" t="b">
        <v>0</v>
      </c>
      <c r="I3248" s="12" t="b">
        <v>0</v>
      </c>
      <c r="J3248" s="12" t="b">
        <v>0</v>
      </c>
      <c r="K3248" s="12" t="b">
        <v>0</v>
      </c>
      <c r="L3248" s="12">
        <v>623.15</v>
      </c>
      <c r="M3248" s="12">
        <v>279.99644597759942</v>
      </c>
      <c r="N3248" s="12">
        <v>4974.7499984451561</v>
      </c>
      <c r="O3248" s="12">
        <v>467.29525518330428</v>
      </c>
      <c r="P3248" s="12">
        <v>0.82510585107681589</v>
      </c>
      <c r="Q3248" s="12">
        <v>0.94910870454351359</v>
      </c>
      <c r="R3248" s="12">
        <v>0.59528792464890978</v>
      </c>
      <c r="S3248" s="12">
        <v>0.8337807480475391</v>
      </c>
      <c r="T3248" s="12">
        <v>0.59791734761138993</v>
      </c>
      <c r="U3248" s="12">
        <v>0.8789852175265902</v>
      </c>
      <c r="V3248" s="12">
        <v>279.99644597759942</v>
      </c>
      <c r="W3248" s="12"/>
      <c r="X3248" s="12"/>
      <c r="Y3248" s="12">
        <v>4507.4547432618519</v>
      </c>
      <c r="Z3248" s="12">
        <v>10.645838885082901</v>
      </c>
      <c r="AA3248" s="12"/>
      <c r="AB3248" s="12"/>
    </row>
    <row r="3249" spans="1:28" x14ac:dyDescent="0.3">
      <c r="A3249" s="12" t="s">
        <v>5171</v>
      </c>
      <c r="B3249" s="12" t="s">
        <v>206</v>
      </c>
      <c r="C3249" s="12" t="s">
        <v>532</v>
      </c>
      <c r="D3249" s="12" t="s">
        <v>5136</v>
      </c>
      <c r="E3249" s="12" t="s">
        <v>2978</v>
      </c>
      <c r="F3249" s="12" t="s">
        <v>1861</v>
      </c>
      <c r="G3249" s="12" t="s">
        <v>1861</v>
      </c>
      <c r="H3249" s="12" t="b">
        <v>1</v>
      </c>
      <c r="I3249" s="12" t="b">
        <v>0</v>
      </c>
      <c r="J3249" s="12" t="b">
        <v>1</v>
      </c>
      <c r="K3249" s="12" t="b">
        <v>0</v>
      </c>
      <c r="L3249" s="12">
        <v>623.15</v>
      </c>
      <c r="M3249" s="12">
        <v>299.36110948767049</v>
      </c>
      <c r="N3249" s="12">
        <v>2276.1821968596291</v>
      </c>
      <c r="O3249" s="12">
        <v>884.52305988972296</v>
      </c>
      <c r="P3249" s="12">
        <v>0.64468054968001753</v>
      </c>
      <c r="Q3249" s="12">
        <v>0.76076679109944978</v>
      </c>
      <c r="R3249" s="12">
        <v>0.85529649668356811</v>
      </c>
      <c r="S3249" s="12">
        <v>0.64825007268032264</v>
      </c>
      <c r="T3249" s="12">
        <v>0.42990904770766991</v>
      </c>
      <c r="U3249" s="12">
        <v>0.65429432858947711</v>
      </c>
      <c r="V3249" s="12">
        <v>299.36110948767049</v>
      </c>
      <c r="W3249" s="12">
        <v>4.9854944923684403</v>
      </c>
      <c r="X3249" s="12">
        <v>61.040476199226752</v>
      </c>
      <c r="Y3249" s="12">
        <v>1391.6591369699061</v>
      </c>
      <c r="Z3249" s="12">
        <v>2.5733440992973202</v>
      </c>
      <c r="AA3249" s="12" t="s">
        <v>1268</v>
      </c>
      <c r="AB3249" s="12"/>
    </row>
    <row r="3250" spans="1:28" x14ac:dyDescent="0.3">
      <c r="A3250" s="12" t="s">
        <v>5172</v>
      </c>
      <c r="B3250" s="12" t="s">
        <v>206</v>
      </c>
      <c r="C3250" s="12" t="s">
        <v>532</v>
      </c>
      <c r="D3250" s="12" t="s">
        <v>5136</v>
      </c>
      <c r="E3250" s="12" t="s">
        <v>2978</v>
      </c>
      <c r="F3250" s="12" t="s">
        <v>832</v>
      </c>
      <c r="G3250" s="12" t="s">
        <v>832</v>
      </c>
      <c r="H3250" s="12" t="b">
        <v>0</v>
      </c>
      <c r="I3250" s="12" t="b">
        <v>0</v>
      </c>
      <c r="J3250" s="12" t="b">
        <v>0</v>
      </c>
      <c r="K3250" s="12" t="b">
        <v>0</v>
      </c>
      <c r="L3250" s="12">
        <v>623.15</v>
      </c>
      <c r="M3250" s="12">
        <v>297.47760057673298</v>
      </c>
      <c r="N3250" s="12">
        <v>3931.7873677198072</v>
      </c>
      <c r="O3250" s="12">
        <v>694.17654222672104</v>
      </c>
      <c r="P3250" s="12">
        <v>0.849887882493227</v>
      </c>
      <c r="Q3250" s="12">
        <v>0.46152307564089939</v>
      </c>
      <c r="R3250" s="12">
        <v>0.6985436479168714</v>
      </c>
      <c r="S3250" s="12">
        <v>0.58509440720784156</v>
      </c>
      <c r="T3250" s="12">
        <v>0.7593751958548085</v>
      </c>
      <c r="U3250" s="12">
        <v>0.5420425310185043</v>
      </c>
      <c r="V3250" s="12">
        <v>297.47760057673298</v>
      </c>
      <c r="W3250" s="12"/>
      <c r="X3250" s="12"/>
      <c r="Y3250" s="12">
        <v>3237.6108254930859</v>
      </c>
      <c r="Z3250" s="12">
        <v>5.6639588469926556</v>
      </c>
      <c r="AA3250" s="12"/>
      <c r="AB3250" s="12"/>
    </row>
    <row r="3251" spans="1:28" x14ac:dyDescent="0.3">
      <c r="A3251" s="12" t="s">
        <v>5173</v>
      </c>
      <c r="B3251" s="12" t="s">
        <v>206</v>
      </c>
      <c r="C3251" s="12" t="s">
        <v>532</v>
      </c>
      <c r="D3251" s="12" t="s">
        <v>5136</v>
      </c>
      <c r="E3251" s="12" t="s">
        <v>2978</v>
      </c>
      <c r="F3251" s="12" t="s">
        <v>832</v>
      </c>
      <c r="G3251" s="12" t="s">
        <v>832</v>
      </c>
      <c r="H3251" s="12" t="b">
        <v>0</v>
      </c>
      <c r="I3251" s="12" t="b">
        <v>0</v>
      </c>
      <c r="J3251" s="12" t="b">
        <v>0</v>
      </c>
      <c r="K3251" s="12" t="b">
        <v>0</v>
      </c>
      <c r="L3251" s="12">
        <v>623.15</v>
      </c>
      <c r="M3251" s="12">
        <v>295.48608163548619</v>
      </c>
      <c r="N3251" s="12">
        <v>2579.394207427144</v>
      </c>
      <c r="O3251" s="12">
        <v>1064.3513182211459</v>
      </c>
      <c r="P3251" s="12">
        <v>0.59316621301448813</v>
      </c>
      <c r="Q3251" s="12">
        <v>0.92537477525388201</v>
      </c>
      <c r="R3251" s="12">
        <v>0.64006838315644676</v>
      </c>
      <c r="S3251" s="12">
        <v>0.94317585489974043</v>
      </c>
      <c r="T3251" s="12">
        <v>0.64509857870433707</v>
      </c>
      <c r="U3251" s="12">
        <v>0.49822898857956938</v>
      </c>
      <c r="V3251" s="12">
        <v>295.48608163548619</v>
      </c>
      <c r="W3251" s="12"/>
      <c r="X3251" s="12"/>
      <c r="Y3251" s="12">
        <v>1515.0428892059981</v>
      </c>
      <c r="Z3251" s="12">
        <v>2.4234424886494179</v>
      </c>
      <c r="AA3251" s="12"/>
      <c r="AB3251" s="12"/>
    </row>
    <row r="3252" spans="1:28" x14ac:dyDescent="0.3">
      <c r="A3252" s="12" t="s">
        <v>5174</v>
      </c>
      <c r="B3252" s="12" t="s">
        <v>206</v>
      </c>
      <c r="C3252" s="12" t="s">
        <v>532</v>
      </c>
      <c r="D3252" s="12" t="s">
        <v>5136</v>
      </c>
      <c r="E3252" s="12" t="s">
        <v>2978</v>
      </c>
      <c r="F3252" s="12" t="s">
        <v>832</v>
      </c>
      <c r="G3252" s="12" t="s">
        <v>832</v>
      </c>
      <c r="H3252" s="12" t="b">
        <v>0</v>
      </c>
      <c r="I3252" s="12" t="b">
        <v>0</v>
      </c>
      <c r="J3252" s="12" t="b">
        <v>0</v>
      </c>
      <c r="K3252" s="12" t="b">
        <v>0</v>
      </c>
      <c r="L3252" s="12">
        <v>623.15</v>
      </c>
      <c r="M3252" s="12">
        <v>286.03219835003222</v>
      </c>
      <c r="N3252" s="12">
        <v>3586.316408192994</v>
      </c>
      <c r="O3252" s="12">
        <v>1099.7280893317541</v>
      </c>
      <c r="P3252" s="12">
        <v>0.68985000857038814</v>
      </c>
      <c r="Q3252" s="12">
        <v>0.49349401217909461</v>
      </c>
      <c r="R3252" s="12">
        <v>0.74273964182162033</v>
      </c>
      <c r="S3252" s="12">
        <v>0.83990291004443485</v>
      </c>
      <c r="T3252" s="12">
        <v>0.63785401398095232</v>
      </c>
      <c r="U3252" s="12">
        <v>0.47366626240723148</v>
      </c>
      <c r="V3252" s="12">
        <v>286.03219835003222</v>
      </c>
      <c r="W3252" s="12"/>
      <c r="X3252" s="12"/>
      <c r="Y3252" s="12">
        <v>2486.5883188612402</v>
      </c>
      <c r="Z3252" s="12">
        <v>3.2610937585237152</v>
      </c>
      <c r="AA3252" s="12"/>
      <c r="AB3252" s="12"/>
    </row>
    <row r="3253" spans="1:28" x14ac:dyDescent="0.3">
      <c r="A3253" s="12" t="s">
        <v>5175</v>
      </c>
      <c r="B3253" s="12" t="s">
        <v>206</v>
      </c>
      <c r="C3253" s="12" t="s">
        <v>532</v>
      </c>
      <c r="D3253" s="12" t="s">
        <v>5136</v>
      </c>
      <c r="E3253" s="12" t="s">
        <v>2978</v>
      </c>
      <c r="F3253" s="12" t="s">
        <v>1861</v>
      </c>
      <c r="G3253" s="12" t="s">
        <v>1861</v>
      </c>
      <c r="H3253" s="12" t="b">
        <v>1</v>
      </c>
      <c r="I3253" s="12" t="b">
        <v>0</v>
      </c>
      <c r="J3253" s="12" t="b">
        <v>0</v>
      </c>
      <c r="K3253" s="12" t="b">
        <v>0</v>
      </c>
      <c r="L3253" s="12">
        <v>623.15</v>
      </c>
      <c r="M3253" s="12">
        <v>290.77356320662892</v>
      </c>
      <c r="N3253" s="12">
        <v>4555.2780879880147</v>
      </c>
      <c r="O3253" s="12">
        <v>643.37594931989474</v>
      </c>
      <c r="P3253" s="12">
        <v>0.82131994734661973</v>
      </c>
      <c r="Q3253" s="12">
        <v>0.62096727649124184</v>
      </c>
      <c r="R3253" s="12">
        <v>0.56847708989063606</v>
      </c>
      <c r="S3253" s="12">
        <v>0.43385998966352318</v>
      </c>
      <c r="T3253" s="12">
        <v>0.56805946665126839</v>
      </c>
      <c r="U3253" s="12">
        <v>0.65060133262916997</v>
      </c>
      <c r="V3253" s="12">
        <v>290.77356320662892</v>
      </c>
      <c r="W3253" s="12">
        <v>1.87418434584009</v>
      </c>
      <c r="X3253" s="12">
        <v>14.032974516167711</v>
      </c>
      <c r="Y3253" s="12">
        <v>3911.9021386681202</v>
      </c>
      <c r="Z3253" s="12">
        <v>7.0802741271310294</v>
      </c>
      <c r="AA3253" s="12" t="s">
        <v>1268</v>
      </c>
      <c r="AB3253" s="12"/>
    </row>
    <row r="3254" spans="1:28" x14ac:dyDescent="0.3">
      <c r="A3254" s="12" t="s">
        <v>5176</v>
      </c>
      <c r="B3254" s="12" t="s">
        <v>206</v>
      </c>
      <c r="C3254" s="12" t="s">
        <v>532</v>
      </c>
      <c r="D3254" s="12" t="s">
        <v>5136</v>
      </c>
      <c r="E3254" s="12" t="s">
        <v>2978</v>
      </c>
      <c r="F3254" s="12" t="s">
        <v>832</v>
      </c>
      <c r="G3254" s="12" t="s">
        <v>832</v>
      </c>
      <c r="H3254" s="12" t="b">
        <v>0</v>
      </c>
      <c r="I3254" s="12" t="b">
        <v>0</v>
      </c>
      <c r="J3254" s="12" t="b">
        <v>0</v>
      </c>
      <c r="K3254" s="12" t="b">
        <v>0</v>
      </c>
      <c r="L3254" s="12">
        <v>623.15</v>
      </c>
      <c r="M3254" s="12">
        <v>292.86347826658698</v>
      </c>
      <c r="N3254" s="12">
        <v>2482.5937466726268</v>
      </c>
      <c r="O3254" s="12">
        <v>389.14077276127358</v>
      </c>
      <c r="P3254" s="12">
        <v>0.77995489838845744</v>
      </c>
      <c r="Q3254" s="12">
        <v>0.86141797313717272</v>
      </c>
      <c r="R3254" s="12">
        <v>0.43808238835623092</v>
      </c>
      <c r="S3254" s="12">
        <v>0.60730072194780838</v>
      </c>
      <c r="T3254" s="12">
        <v>0.72271383696359803</v>
      </c>
      <c r="U3254" s="12">
        <v>0.40668429595622269</v>
      </c>
      <c r="V3254" s="12">
        <v>292.86347826658698</v>
      </c>
      <c r="W3254" s="12"/>
      <c r="X3254" s="12"/>
      <c r="Y3254" s="12">
        <v>2093.4529739113532</v>
      </c>
      <c r="Z3254" s="12">
        <v>6.3796803636292951</v>
      </c>
      <c r="AA3254" s="12"/>
      <c r="AB3254" s="12"/>
    </row>
    <row r="3255" spans="1:28" x14ac:dyDescent="0.3">
      <c r="A3255" s="12" t="s">
        <v>5177</v>
      </c>
      <c r="B3255" s="12" t="s">
        <v>206</v>
      </c>
      <c r="C3255" s="12" t="s">
        <v>532</v>
      </c>
      <c r="D3255" s="12" t="s">
        <v>5136</v>
      </c>
      <c r="E3255" s="12" t="s">
        <v>2978</v>
      </c>
      <c r="F3255" s="12" t="s">
        <v>1862</v>
      </c>
      <c r="G3255" s="12" t="s">
        <v>1862</v>
      </c>
      <c r="H3255" s="12" t="b">
        <v>1</v>
      </c>
      <c r="I3255" s="12" t="b">
        <v>0</v>
      </c>
      <c r="J3255" s="12" t="b">
        <v>1</v>
      </c>
      <c r="K3255" s="12" t="b">
        <v>0</v>
      </c>
      <c r="L3255" s="12">
        <v>623.15</v>
      </c>
      <c r="M3255" s="12">
        <v>285.68081475105203</v>
      </c>
      <c r="N3255" s="12">
        <v>2166.4524864434161</v>
      </c>
      <c r="O3255" s="12">
        <v>1858.5467153204399</v>
      </c>
      <c r="P3255" s="12">
        <v>0.74222508543617671</v>
      </c>
      <c r="Q3255" s="12">
        <v>0.41319856527598359</v>
      </c>
      <c r="R3255" s="12">
        <v>0.81432736675218043</v>
      </c>
      <c r="S3255" s="12">
        <v>0.64007374092037161</v>
      </c>
      <c r="T3255" s="12">
        <v>0.4845611876870754</v>
      </c>
      <c r="U3255" s="12">
        <v>0.4900164968154071</v>
      </c>
      <c r="V3255" s="12">
        <v>285.68081475105203</v>
      </c>
      <c r="W3255" s="12">
        <v>-0.51238948384746996</v>
      </c>
      <c r="X3255" s="12">
        <v>-4.8638301058749498</v>
      </c>
      <c r="Y3255" s="12">
        <v>307.90577112297609</v>
      </c>
      <c r="Z3255" s="12">
        <v>1.1656701812146211</v>
      </c>
      <c r="AA3255" s="12" t="s">
        <v>2513</v>
      </c>
      <c r="AB3255" s="12"/>
    </row>
    <row r="3256" spans="1:28" x14ac:dyDescent="0.3">
      <c r="A3256" s="12" t="s">
        <v>5178</v>
      </c>
      <c r="B3256" s="12" t="s">
        <v>206</v>
      </c>
      <c r="C3256" s="12" t="s">
        <v>532</v>
      </c>
      <c r="D3256" s="12" t="s">
        <v>5136</v>
      </c>
      <c r="E3256" s="12" t="s">
        <v>2978</v>
      </c>
      <c r="F3256" s="12" t="s">
        <v>832</v>
      </c>
      <c r="G3256" s="12" t="s">
        <v>832</v>
      </c>
      <c r="H3256" s="12" t="b">
        <v>0</v>
      </c>
      <c r="I3256" s="12" t="b">
        <v>0</v>
      </c>
      <c r="J3256" s="12" t="b">
        <v>0</v>
      </c>
      <c r="K3256" s="12" t="b">
        <v>0</v>
      </c>
      <c r="L3256" s="12">
        <v>623.15</v>
      </c>
      <c r="M3256" s="12">
        <v>281.55578781847362</v>
      </c>
      <c r="N3256" s="12">
        <v>2680.201092388168</v>
      </c>
      <c r="O3256" s="12">
        <v>426.19411498846762</v>
      </c>
      <c r="P3256" s="12">
        <v>0.83808836177410673</v>
      </c>
      <c r="Q3256" s="12">
        <v>0.6035762756286368</v>
      </c>
      <c r="R3256" s="12">
        <v>0.4842620568171454</v>
      </c>
      <c r="S3256" s="12">
        <v>0.7295017684268954</v>
      </c>
      <c r="T3256" s="12">
        <v>0.86834178560783126</v>
      </c>
      <c r="U3256" s="12">
        <v>0.89585477612023146</v>
      </c>
      <c r="V3256" s="12">
        <v>281.55578781847362</v>
      </c>
      <c r="W3256" s="12"/>
      <c r="X3256" s="12"/>
      <c r="Y3256" s="12">
        <v>2254.0069773997002</v>
      </c>
      <c r="Z3256" s="12">
        <v>6.2886863007498164</v>
      </c>
      <c r="AA3256" s="12"/>
      <c r="AB3256" s="12"/>
    </row>
    <row r="3257" spans="1:28" x14ac:dyDescent="0.3">
      <c r="A3257" s="12" t="s">
        <v>5179</v>
      </c>
      <c r="B3257" s="12" t="s">
        <v>206</v>
      </c>
      <c r="C3257" s="12" t="s">
        <v>532</v>
      </c>
      <c r="D3257" s="12" t="s">
        <v>5136</v>
      </c>
      <c r="E3257" s="12" t="s">
        <v>2978</v>
      </c>
      <c r="F3257" s="12" t="s">
        <v>832</v>
      </c>
      <c r="G3257" s="12" t="s">
        <v>832</v>
      </c>
      <c r="H3257" s="12" t="b">
        <v>0</v>
      </c>
      <c r="I3257" s="12" t="b">
        <v>0</v>
      </c>
      <c r="J3257" s="12" t="b">
        <v>0</v>
      </c>
      <c r="K3257" s="12" t="b">
        <v>0</v>
      </c>
      <c r="L3257" s="12">
        <v>623.15</v>
      </c>
      <c r="M3257" s="12">
        <v>281.81810683011651</v>
      </c>
      <c r="N3257" s="12">
        <v>4386.7880762824043</v>
      </c>
      <c r="O3257" s="12">
        <v>1404.4876908163089</v>
      </c>
      <c r="P3257" s="12">
        <v>0.63528678951716744</v>
      </c>
      <c r="Q3257" s="12">
        <v>0.51130582416168346</v>
      </c>
      <c r="R3257" s="12">
        <v>0.69190084278469055</v>
      </c>
      <c r="S3257" s="12">
        <v>0.92459843188791679</v>
      </c>
      <c r="T3257" s="12">
        <v>0.59249095556928277</v>
      </c>
      <c r="U3257" s="12">
        <v>0.81415845013873667</v>
      </c>
      <c r="V3257" s="12">
        <v>281.81810683011651</v>
      </c>
      <c r="W3257" s="12"/>
      <c r="X3257" s="12"/>
      <c r="Y3257" s="12">
        <v>2982.3003854660951</v>
      </c>
      <c r="Z3257" s="12">
        <v>3.1234079906622298</v>
      </c>
      <c r="AA3257" s="12"/>
      <c r="AB3257" s="12"/>
    </row>
    <row r="3258" spans="1:28" x14ac:dyDescent="0.3">
      <c r="A3258" s="12" t="s">
        <v>5180</v>
      </c>
      <c r="B3258" s="12" t="s">
        <v>206</v>
      </c>
      <c r="C3258" s="12" t="s">
        <v>532</v>
      </c>
      <c r="D3258" s="12" t="s">
        <v>5136</v>
      </c>
      <c r="E3258" s="12" t="s">
        <v>2978</v>
      </c>
      <c r="F3258" s="12" t="s">
        <v>1861</v>
      </c>
      <c r="G3258" s="12" t="s">
        <v>1861</v>
      </c>
      <c r="H3258" s="12" t="b">
        <v>1</v>
      </c>
      <c r="I3258" s="12" t="b">
        <v>0</v>
      </c>
      <c r="J3258" s="12" t="b">
        <v>1</v>
      </c>
      <c r="K3258" s="12" t="b">
        <v>0</v>
      </c>
      <c r="L3258" s="12">
        <v>623.15</v>
      </c>
      <c r="M3258" s="12">
        <v>296.30261879281278</v>
      </c>
      <c r="N3258" s="12">
        <v>4652.1027285428318</v>
      </c>
      <c r="O3258" s="12">
        <v>1364.7292239732619</v>
      </c>
      <c r="P3258" s="12">
        <v>0.56957663093975297</v>
      </c>
      <c r="Q3258" s="12">
        <v>0.54475319252318599</v>
      </c>
      <c r="R3258" s="12">
        <v>0.68556819175313621</v>
      </c>
      <c r="S3258" s="12">
        <v>0.43852095186300538</v>
      </c>
      <c r="T3258" s="12">
        <v>0.84276449346373361</v>
      </c>
      <c r="U3258" s="12">
        <v>0.65925972613071226</v>
      </c>
      <c r="V3258" s="12">
        <v>296.30261879281278</v>
      </c>
      <c r="W3258" s="12">
        <v>4.49732036300761</v>
      </c>
      <c r="X3258" s="12">
        <v>40.649738468684333</v>
      </c>
      <c r="Y3258" s="12">
        <v>3287.3735045695698</v>
      </c>
      <c r="Z3258" s="12">
        <v>3.40881007515816</v>
      </c>
      <c r="AA3258" s="12" t="s">
        <v>1268</v>
      </c>
      <c r="AB3258" s="12"/>
    </row>
    <row r="3259" spans="1:28" x14ac:dyDescent="0.3">
      <c r="A3259" s="12" t="s">
        <v>5181</v>
      </c>
      <c r="B3259" s="12" t="s">
        <v>206</v>
      </c>
      <c r="C3259" s="12" t="s">
        <v>532</v>
      </c>
      <c r="D3259" s="12" t="s">
        <v>5136</v>
      </c>
      <c r="E3259" s="12" t="s">
        <v>2978</v>
      </c>
      <c r="F3259" s="12" t="s">
        <v>832</v>
      </c>
      <c r="G3259" s="12" t="s">
        <v>832</v>
      </c>
      <c r="H3259" s="12" t="b">
        <v>0</v>
      </c>
      <c r="I3259" s="12" t="b">
        <v>0</v>
      </c>
      <c r="J3259" s="12" t="b">
        <v>0</v>
      </c>
      <c r="K3259" s="12" t="b">
        <v>0</v>
      </c>
      <c r="L3259" s="12">
        <v>623.15</v>
      </c>
      <c r="M3259" s="12">
        <v>299.05949206881968</v>
      </c>
      <c r="N3259" s="12">
        <v>2391.3444252070321</v>
      </c>
      <c r="O3259" s="12">
        <v>928.92842414346444</v>
      </c>
      <c r="P3259" s="12">
        <v>0.64711841779467605</v>
      </c>
      <c r="Q3259" s="12">
        <v>0.61484827258644958</v>
      </c>
      <c r="R3259" s="12">
        <v>0.65372581164826493</v>
      </c>
      <c r="S3259" s="12">
        <v>0.8631988033743867</v>
      </c>
      <c r="T3259" s="12">
        <v>0.86382816832310205</v>
      </c>
      <c r="U3259" s="12">
        <v>0.61050205997173301</v>
      </c>
      <c r="V3259" s="12">
        <v>299.05949206881968</v>
      </c>
      <c r="W3259" s="12"/>
      <c r="X3259" s="12"/>
      <c r="Y3259" s="12">
        <v>1462.416001063568</v>
      </c>
      <c r="Z3259" s="12">
        <v>2.574304287665667</v>
      </c>
      <c r="AA3259" s="12"/>
      <c r="AB3259" s="12"/>
    </row>
    <row r="3260" spans="1:28" x14ac:dyDescent="0.3">
      <c r="A3260" s="12" t="s">
        <v>5182</v>
      </c>
      <c r="B3260" s="12" t="s">
        <v>206</v>
      </c>
      <c r="C3260" s="12" t="s">
        <v>532</v>
      </c>
      <c r="D3260" s="12" t="s">
        <v>5136</v>
      </c>
      <c r="E3260" s="12" t="s">
        <v>2978</v>
      </c>
      <c r="F3260" s="12" t="s">
        <v>1862</v>
      </c>
      <c r="G3260" s="12" t="s">
        <v>1862</v>
      </c>
      <c r="H3260" s="12" t="b">
        <v>1</v>
      </c>
      <c r="I3260" s="12" t="b">
        <v>0</v>
      </c>
      <c r="J3260" s="12" t="b">
        <v>1</v>
      </c>
      <c r="K3260" s="12" t="b">
        <v>0</v>
      </c>
      <c r="L3260" s="12">
        <v>623.15</v>
      </c>
      <c r="M3260" s="12">
        <v>289.57606866556131</v>
      </c>
      <c r="N3260" s="12">
        <v>4296.7591432517593</v>
      </c>
      <c r="O3260" s="12">
        <v>1671.4840290274931</v>
      </c>
      <c r="P3260" s="12">
        <v>0.53119711850764662</v>
      </c>
      <c r="Q3260" s="12">
        <v>0.7130172173223901</v>
      </c>
      <c r="R3260" s="12">
        <v>0.61401612835637354</v>
      </c>
      <c r="S3260" s="12">
        <v>0.69131660380860716</v>
      </c>
      <c r="T3260" s="12">
        <v>0.59884471437598807</v>
      </c>
      <c r="U3260" s="12">
        <v>0.45121809771487381</v>
      </c>
      <c r="V3260" s="12">
        <v>289.57606866556131</v>
      </c>
      <c r="W3260" s="12">
        <v>-0.72058745794155998</v>
      </c>
      <c r="X3260" s="12">
        <v>-7.0138810639794968</v>
      </c>
      <c r="Y3260" s="12">
        <v>2625.275114224266</v>
      </c>
      <c r="Z3260" s="12">
        <v>2.5706253057958981</v>
      </c>
      <c r="AA3260" s="12" t="s">
        <v>2513</v>
      </c>
      <c r="AB3260" s="12"/>
    </row>
    <row r="3261" spans="1:28" x14ac:dyDescent="0.3">
      <c r="A3261" s="12" t="s">
        <v>5183</v>
      </c>
      <c r="B3261" s="12" t="s">
        <v>206</v>
      </c>
      <c r="C3261" s="12" t="s">
        <v>532</v>
      </c>
      <c r="D3261" s="12" t="s">
        <v>5136</v>
      </c>
      <c r="E3261" s="12" t="s">
        <v>2978</v>
      </c>
      <c r="F3261" s="12" t="s">
        <v>1861</v>
      </c>
      <c r="G3261" s="12" t="s">
        <v>1861</v>
      </c>
      <c r="H3261" s="12" t="b">
        <v>1</v>
      </c>
      <c r="I3261" s="12" t="b">
        <v>0</v>
      </c>
      <c r="J3261" s="12" t="b">
        <v>0</v>
      </c>
      <c r="K3261" s="12" t="b">
        <v>0</v>
      </c>
      <c r="L3261" s="12">
        <v>623.15</v>
      </c>
      <c r="M3261" s="12">
        <v>290.11079629507242</v>
      </c>
      <c r="N3261" s="12">
        <v>3718.5048944308101</v>
      </c>
      <c r="O3261" s="12">
        <v>508.9177783129735</v>
      </c>
      <c r="P3261" s="12">
        <v>0.76056373311537961</v>
      </c>
      <c r="Q3261" s="12">
        <v>0.80659723130457361</v>
      </c>
      <c r="R3261" s="12">
        <v>0.49970916042516678</v>
      </c>
      <c r="S3261" s="12">
        <v>0.44845521605795841</v>
      </c>
      <c r="T3261" s="12">
        <v>0.7649582109737163</v>
      </c>
      <c r="U3261" s="12">
        <v>0.89256751599556128</v>
      </c>
      <c r="V3261" s="12">
        <v>290.11079629507242</v>
      </c>
      <c r="W3261" s="12">
        <v>8.8715261590860592</v>
      </c>
      <c r="X3261" s="12">
        <v>76.299537086092357</v>
      </c>
      <c r="Y3261" s="12">
        <v>3209.5871161178361</v>
      </c>
      <c r="Z3261" s="12">
        <v>7.3066908897492064</v>
      </c>
      <c r="AA3261" s="12" t="s">
        <v>1268</v>
      </c>
      <c r="AB3261" s="12"/>
    </row>
    <row r="3262" spans="1:28" x14ac:dyDescent="0.3">
      <c r="A3262" s="12" t="s">
        <v>5184</v>
      </c>
      <c r="B3262" s="12" t="s">
        <v>206</v>
      </c>
      <c r="C3262" s="12" t="s">
        <v>532</v>
      </c>
      <c r="D3262" s="12" t="s">
        <v>5136</v>
      </c>
      <c r="E3262" s="12" t="s">
        <v>2978</v>
      </c>
      <c r="F3262" s="12" t="s">
        <v>1861</v>
      </c>
      <c r="G3262" s="12" t="s">
        <v>1861</v>
      </c>
      <c r="H3262" s="12" t="b">
        <v>1</v>
      </c>
      <c r="I3262" s="12" t="b">
        <v>0</v>
      </c>
      <c r="J3262" s="12" t="b">
        <v>0</v>
      </c>
      <c r="K3262" s="12" t="b">
        <v>0</v>
      </c>
      <c r="L3262" s="12">
        <v>623.15</v>
      </c>
      <c r="M3262" s="12">
        <v>278.43111715653879</v>
      </c>
      <c r="N3262" s="12">
        <v>3511.1155252934468</v>
      </c>
      <c r="O3262" s="12">
        <v>1241.100319129622</v>
      </c>
      <c r="P3262" s="12">
        <v>0.83011287224334818</v>
      </c>
      <c r="Q3262" s="12">
        <v>0.84196279304059862</v>
      </c>
      <c r="R3262" s="12">
        <v>0.73643388745343197</v>
      </c>
      <c r="S3262" s="12">
        <v>0.53006660962393692</v>
      </c>
      <c r="T3262" s="12">
        <v>0.61297352459132814</v>
      </c>
      <c r="U3262" s="12">
        <v>0.73200047143327251</v>
      </c>
      <c r="V3262" s="12">
        <v>278.43111715653879</v>
      </c>
      <c r="W3262" s="12">
        <v>9.0583368560965294</v>
      </c>
      <c r="X3262" s="12">
        <v>94.550918279014127</v>
      </c>
      <c r="Y3262" s="12">
        <v>2270.015206163825</v>
      </c>
      <c r="Z3262" s="12">
        <v>2.829034423064023</v>
      </c>
      <c r="AA3262" s="12" t="s">
        <v>1268</v>
      </c>
      <c r="AB3262" s="12"/>
    </row>
    <row r="3263" spans="1:28" x14ac:dyDescent="0.3">
      <c r="A3263" s="12" t="s">
        <v>5185</v>
      </c>
      <c r="B3263" s="12" t="s">
        <v>206</v>
      </c>
      <c r="C3263" s="12" t="s">
        <v>532</v>
      </c>
      <c r="D3263" s="12" t="s">
        <v>5136</v>
      </c>
      <c r="E3263" s="12" t="s">
        <v>2978</v>
      </c>
      <c r="F3263" s="12" t="s">
        <v>1861</v>
      </c>
      <c r="G3263" s="12" t="s">
        <v>1861</v>
      </c>
      <c r="H3263" s="12" t="b">
        <v>1</v>
      </c>
      <c r="I3263" s="12" t="b">
        <v>0</v>
      </c>
      <c r="J3263" s="12" t="b">
        <v>1</v>
      </c>
      <c r="K3263" s="12" t="b">
        <v>0</v>
      </c>
      <c r="L3263" s="12">
        <v>623.15</v>
      </c>
      <c r="M3263" s="12">
        <v>287.23872439208259</v>
      </c>
      <c r="N3263" s="12">
        <v>3705.4595286151189</v>
      </c>
      <c r="O3263" s="12">
        <v>598.76957976649157</v>
      </c>
      <c r="P3263" s="12">
        <v>0.76283748064011248</v>
      </c>
      <c r="Q3263" s="12">
        <v>0.75384865995800676</v>
      </c>
      <c r="R3263" s="12">
        <v>0.92546241854551758</v>
      </c>
      <c r="S3263" s="12">
        <v>0.51832296864463989</v>
      </c>
      <c r="T3263" s="12">
        <v>0.74169913594950321</v>
      </c>
      <c r="U3263" s="12">
        <v>0.55246768721547379</v>
      </c>
      <c r="V3263" s="12">
        <v>287.23872439208259</v>
      </c>
      <c r="W3263" s="12">
        <v>9.1010870554593204</v>
      </c>
      <c r="X3263" s="12">
        <v>78.061713932823494</v>
      </c>
      <c r="Y3263" s="12">
        <v>3106.6899488486279</v>
      </c>
      <c r="Z3263" s="12">
        <v>6.1884565512833438</v>
      </c>
      <c r="AA3263" s="12" t="s">
        <v>1268</v>
      </c>
      <c r="AB3263" s="12"/>
    </row>
    <row r="3264" spans="1:28" x14ac:dyDescent="0.3">
      <c r="A3264" s="12" t="s">
        <v>5186</v>
      </c>
      <c r="B3264" s="12" t="s">
        <v>206</v>
      </c>
      <c r="C3264" s="12" t="s">
        <v>532</v>
      </c>
      <c r="D3264" s="12" t="s">
        <v>5136</v>
      </c>
      <c r="E3264" s="12" t="s">
        <v>2978</v>
      </c>
      <c r="F3264" s="12" t="s">
        <v>1862</v>
      </c>
      <c r="G3264" s="12" t="s">
        <v>1862</v>
      </c>
      <c r="H3264" s="12" t="b">
        <v>1</v>
      </c>
      <c r="I3264" s="12" t="b">
        <v>0</v>
      </c>
      <c r="J3264" s="12" t="b">
        <v>1</v>
      </c>
      <c r="K3264" s="12" t="b">
        <v>0</v>
      </c>
      <c r="L3264" s="12">
        <v>623.15</v>
      </c>
      <c r="M3264" s="12">
        <v>278.69598922192648</v>
      </c>
      <c r="N3264" s="12">
        <v>3907.4235230408949</v>
      </c>
      <c r="O3264" s="12">
        <v>930.35754847682858</v>
      </c>
      <c r="P3264" s="12">
        <v>0.68284783797117243</v>
      </c>
      <c r="Q3264" s="12">
        <v>0.73039362685232057</v>
      </c>
      <c r="R3264" s="12">
        <v>0.41781537150952408</v>
      </c>
      <c r="S3264" s="12">
        <v>0.45851339637893318</v>
      </c>
      <c r="T3264" s="12">
        <v>0.50506318610971968</v>
      </c>
      <c r="U3264" s="12">
        <v>0.48778338675605842</v>
      </c>
      <c r="V3264" s="12">
        <v>278.69598922192648</v>
      </c>
      <c r="W3264" s="12">
        <v>-10.30500403193281</v>
      </c>
      <c r="X3264" s="12">
        <v>-72.628880249651303</v>
      </c>
      <c r="Y3264" s="12">
        <v>2977.065974564066</v>
      </c>
      <c r="Z3264" s="12">
        <v>4.1999159671871169</v>
      </c>
      <c r="AA3264" s="12" t="s">
        <v>2513</v>
      </c>
      <c r="AB3264" s="12"/>
    </row>
    <row r="3265" spans="1:28" x14ac:dyDescent="0.3">
      <c r="A3265" s="12" t="s">
        <v>5187</v>
      </c>
      <c r="B3265" s="12" t="s">
        <v>206</v>
      </c>
      <c r="C3265" s="12" t="s">
        <v>532</v>
      </c>
      <c r="D3265" s="12" t="s">
        <v>5136</v>
      </c>
      <c r="E3265" s="12" t="s">
        <v>2978</v>
      </c>
      <c r="F3265" s="12" t="s">
        <v>832</v>
      </c>
      <c r="G3265" s="12" t="s">
        <v>832</v>
      </c>
      <c r="H3265" s="12" t="b">
        <v>0</v>
      </c>
      <c r="I3265" s="12" t="b">
        <v>0</v>
      </c>
      <c r="J3265" s="12" t="b">
        <v>0</v>
      </c>
      <c r="K3265" s="12" t="b">
        <v>0</v>
      </c>
      <c r="L3265" s="12">
        <v>623.15</v>
      </c>
      <c r="M3265" s="12">
        <v>299.77861546457382</v>
      </c>
      <c r="N3265" s="12">
        <v>2611.2023076655641</v>
      </c>
      <c r="O3265" s="12">
        <v>1505.223808681337</v>
      </c>
      <c r="P3265" s="12">
        <v>0.6302323694654699</v>
      </c>
      <c r="Q3265" s="12">
        <v>0.70063112939952354</v>
      </c>
      <c r="R3265" s="12">
        <v>0.78189537111810492</v>
      </c>
      <c r="S3265" s="12">
        <v>0.81334941331185973</v>
      </c>
      <c r="T3265" s="12">
        <v>0.52634859653604982</v>
      </c>
      <c r="U3265" s="12">
        <v>0.80904362712563271</v>
      </c>
      <c r="V3265" s="12">
        <v>299.77861546457382</v>
      </c>
      <c r="W3265" s="12"/>
      <c r="X3265" s="12"/>
      <c r="Y3265" s="12">
        <v>1105.9784989842269</v>
      </c>
      <c r="Z3265" s="12">
        <v>1.734760168292268</v>
      </c>
      <c r="AA3265" s="12"/>
      <c r="AB3265" s="12"/>
    </row>
    <row r="3266" spans="1:28" x14ac:dyDescent="0.3">
      <c r="A3266" s="12" t="s">
        <v>5188</v>
      </c>
      <c r="B3266" s="12" t="s">
        <v>206</v>
      </c>
      <c r="C3266" s="12" t="s">
        <v>532</v>
      </c>
      <c r="D3266" s="12" t="s">
        <v>5136</v>
      </c>
      <c r="E3266" s="12" t="s">
        <v>2978</v>
      </c>
      <c r="F3266" s="12" t="s">
        <v>1861</v>
      </c>
      <c r="G3266" s="12" t="s">
        <v>1861</v>
      </c>
      <c r="H3266" s="12" t="b">
        <v>1</v>
      </c>
      <c r="I3266" s="12" t="b">
        <v>0</v>
      </c>
      <c r="J3266" s="12" t="b">
        <v>1</v>
      </c>
      <c r="K3266" s="12" t="b">
        <v>0</v>
      </c>
      <c r="L3266" s="12">
        <v>623.15</v>
      </c>
      <c r="M3266" s="12">
        <v>280.36246956035552</v>
      </c>
      <c r="N3266" s="12">
        <v>3273.705587787349</v>
      </c>
      <c r="O3266" s="12">
        <v>813.4598554704487</v>
      </c>
      <c r="P3266" s="12">
        <v>0.68027669664439405</v>
      </c>
      <c r="Q3266" s="12">
        <v>0.59131891019864502</v>
      </c>
      <c r="R3266" s="12">
        <v>0.57113861803446364</v>
      </c>
      <c r="S3266" s="12">
        <v>0.62787657976248568</v>
      </c>
      <c r="T3266" s="12">
        <v>0.47074076249122498</v>
      </c>
      <c r="U3266" s="12">
        <v>0.79042957066707575</v>
      </c>
      <c r="V3266" s="12">
        <v>280.36246956035552</v>
      </c>
      <c r="W3266" s="12">
        <v>6.2644292796437702</v>
      </c>
      <c r="X3266" s="12">
        <v>86.1609067063347</v>
      </c>
      <c r="Y3266" s="12">
        <v>2460.2457323169001</v>
      </c>
      <c r="Z3266" s="12">
        <v>4.0244218147606867</v>
      </c>
      <c r="AA3266" s="12" t="s">
        <v>1268</v>
      </c>
      <c r="AB3266" s="12"/>
    </row>
    <row r="3267" spans="1:28" x14ac:dyDescent="0.3">
      <c r="A3267" s="12" t="s">
        <v>5189</v>
      </c>
      <c r="B3267" s="12" t="s">
        <v>206</v>
      </c>
      <c r="C3267" s="12" t="s">
        <v>532</v>
      </c>
      <c r="D3267" s="12" t="s">
        <v>5136</v>
      </c>
      <c r="E3267" s="12" t="s">
        <v>2978</v>
      </c>
      <c r="F3267" s="12" t="s">
        <v>832</v>
      </c>
      <c r="G3267" s="12" t="s">
        <v>832</v>
      </c>
      <c r="H3267" s="12" t="b">
        <v>0</v>
      </c>
      <c r="I3267" s="12" t="b">
        <v>0</v>
      </c>
      <c r="J3267" s="12" t="b">
        <v>0</v>
      </c>
      <c r="K3267" s="12" t="b">
        <v>0</v>
      </c>
      <c r="L3267" s="12">
        <v>623.15</v>
      </c>
      <c r="M3267" s="12">
        <v>293.92393730285858</v>
      </c>
      <c r="N3267" s="12">
        <v>2797.289610968453</v>
      </c>
      <c r="O3267" s="12">
        <v>1412.658312310471</v>
      </c>
      <c r="P3267" s="12">
        <v>0.71744893950162636</v>
      </c>
      <c r="Q3267" s="12">
        <v>0.5502904249886158</v>
      </c>
      <c r="R3267" s="12">
        <v>0.82883816258222831</v>
      </c>
      <c r="S3267" s="12">
        <v>0.94523065082971125</v>
      </c>
      <c r="T3267" s="12">
        <v>0.44356118145689521</v>
      </c>
      <c r="U3267" s="12">
        <v>0.73880725657521995</v>
      </c>
      <c r="V3267" s="12">
        <v>293.92393730285858</v>
      </c>
      <c r="W3267" s="12"/>
      <c r="X3267" s="12"/>
      <c r="Y3267" s="12">
        <v>1384.6312986579831</v>
      </c>
      <c r="Z3267" s="12">
        <v>1.980160090088134</v>
      </c>
      <c r="AA3267" s="12"/>
      <c r="AB3267" s="12"/>
    </row>
    <row r="3268" spans="1:28" x14ac:dyDescent="0.3">
      <c r="A3268" s="12" t="s">
        <v>5190</v>
      </c>
      <c r="B3268" s="12" t="s">
        <v>206</v>
      </c>
      <c r="C3268" s="12" t="s">
        <v>532</v>
      </c>
      <c r="D3268" s="12" t="s">
        <v>5136</v>
      </c>
      <c r="E3268" s="12" t="s">
        <v>2978</v>
      </c>
      <c r="F3268" s="12" t="s">
        <v>32</v>
      </c>
      <c r="G3268" s="12" t="s">
        <v>32</v>
      </c>
      <c r="H3268" s="12" t="b">
        <v>1</v>
      </c>
      <c r="I3268" s="12" t="b">
        <v>0</v>
      </c>
      <c r="J3268" s="12" t="b">
        <v>1</v>
      </c>
      <c r="K3268" s="12" t="b">
        <v>0</v>
      </c>
      <c r="L3268" s="12">
        <v>623.15</v>
      </c>
      <c r="M3268" s="12">
        <v>284.0922709211751</v>
      </c>
      <c r="N3268" s="12">
        <v>3667.3592454363552</v>
      </c>
      <c r="O3268" s="12">
        <v>1288.964926104858</v>
      </c>
      <c r="P3268" s="12">
        <v>0.55953178104690049</v>
      </c>
      <c r="Q3268" s="12">
        <v>0.90745013349674797</v>
      </c>
      <c r="R3268" s="12">
        <v>0.64797401175590275</v>
      </c>
      <c r="S3268" s="12">
        <v>0.77289148710651523</v>
      </c>
      <c r="T3268" s="12">
        <v>0.4067397500597173</v>
      </c>
      <c r="U3268" s="12">
        <v>0.94093576292020198</v>
      </c>
      <c r="V3268" s="12">
        <v>284.0922709211751</v>
      </c>
      <c r="W3268" s="12">
        <v>7.6866198313119192</v>
      </c>
      <c r="X3268" s="12">
        <v>153.6511301177157</v>
      </c>
      <c r="Y3268" s="12">
        <v>2378.3943193314972</v>
      </c>
      <c r="Z3268" s="12">
        <v>2.8451970811329992</v>
      </c>
      <c r="AA3268" s="12"/>
      <c r="AB3268" s="12"/>
    </row>
    <row r="3269" spans="1:28" x14ac:dyDescent="0.3">
      <c r="A3269" s="12" t="s">
        <v>5191</v>
      </c>
      <c r="B3269" s="12" t="s">
        <v>206</v>
      </c>
      <c r="C3269" s="12" t="s">
        <v>532</v>
      </c>
      <c r="D3269" s="12" t="s">
        <v>5136</v>
      </c>
      <c r="E3269" s="12" t="s">
        <v>2978</v>
      </c>
      <c r="F3269" s="12" t="s">
        <v>832</v>
      </c>
      <c r="G3269" s="12" t="s">
        <v>832</v>
      </c>
      <c r="H3269" s="12" t="b">
        <v>0</v>
      </c>
      <c r="I3269" s="12" t="b">
        <v>0</v>
      </c>
      <c r="J3269" s="12" t="b">
        <v>0</v>
      </c>
      <c r="K3269" s="12" t="b">
        <v>0</v>
      </c>
      <c r="L3269" s="12">
        <v>623.15</v>
      </c>
      <c r="M3269" s="12">
        <v>292.23336016933428</v>
      </c>
      <c r="N3269" s="12">
        <v>4802.001829474736</v>
      </c>
      <c r="O3269" s="12">
        <v>588.77070042723369</v>
      </c>
      <c r="P3269" s="12">
        <v>0.77599334713748003</v>
      </c>
      <c r="Q3269" s="12">
        <v>0.76750135786304075</v>
      </c>
      <c r="R3269" s="12">
        <v>0.46546221378431951</v>
      </c>
      <c r="S3269" s="12">
        <v>0.66333527772569423</v>
      </c>
      <c r="T3269" s="12">
        <v>0.41774264217022339</v>
      </c>
      <c r="U3269" s="12">
        <v>0.56128638696606448</v>
      </c>
      <c r="V3269" s="12">
        <v>292.23336016933428</v>
      </c>
      <c r="W3269" s="12"/>
      <c r="X3269" s="12"/>
      <c r="Y3269" s="12">
        <v>4213.2311290475027</v>
      </c>
      <c r="Z3269" s="12">
        <v>8.1559796130993387</v>
      </c>
      <c r="AA3269" s="12"/>
      <c r="AB3269" s="12"/>
    </row>
    <row r="3270" spans="1:28" x14ac:dyDescent="0.3">
      <c r="A3270" s="12" t="s">
        <v>5192</v>
      </c>
      <c r="B3270" s="12" t="s">
        <v>206</v>
      </c>
      <c r="C3270" s="12" t="s">
        <v>532</v>
      </c>
      <c r="D3270" s="12" t="s">
        <v>5136</v>
      </c>
      <c r="E3270" s="12" t="s">
        <v>2978</v>
      </c>
      <c r="F3270" s="12" t="s">
        <v>832</v>
      </c>
      <c r="G3270" s="12" t="s">
        <v>832</v>
      </c>
      <c r="H3270" s="12" t="b">
        <v>0</v>
      </c>
      <c r="I3270" s="12" t="b">
        <v>0</v>
      </c>
      <c r="J3270" s="12" t="b">
        <v>0</v>
      </c>
      <c r="K3270" s="12" t="b">
        <v>0</v>
      </c>
      <c r="L3270" s="12">
        <v>623.15</v>
      </c>
      <c r="M3270" s="12">
        <v>285.36676187179302</v>
      </c>
      <c r="N3270" s="12">
        <v>2355.6532822413078</v>
      </c>
      <c r="O3270" s="12">
        <v>1896.6600370648721</v>
      </c>
      <c r="P3270" s="12">
        <v>0.61645399796153233</v>
      </c>
      <c r="Q3270" s="12">
        <v>0.80748198846078956</v>
      </c>
      <c r="R3270" s="12">
        <v>0.91779228001936164</v>
      </c>
      <c r="S3270" s="12">
        <v>0.91044387958079076</v>
      </c>
      <c r="T3270" s="12">
        <v>0.8085829245503553</v>
      </c>
      <c r="U3270" s="12">
        <v>0.5450054469464628</v>
      </c>
      <c r="V3270" s="12">
        <v>285.36676187179302</v>
      </c>
      <c r="W3270" s="12"/>
      <c r="X3270" s="12"/>
      <c r="Y3270" s="12">
        <v>458.99324517643601</v>
      </c>
      <c r="Z3270" s="12">
        <v>1.2420007994088069</v>
      </c>
      <c r="AA3270" s="12"/>
      <c r="AB3270" s="12"/>
    </row>
    <row r="3271" spans="1:28" x14ac:dyDescent="0.3">
      <c r="A3271" s="12" t="s">
        <v>5193</v>
      </c>
      <c r="B3271" s="12" t="s">
        <v>206</v>
      </c>
      <c r="C3271" s="12" t="s">
        <v>532</v>
      </c>
      <c r="D3271" s="12" t="s">
        <v>5136</v>
      </c>
      <c r="E3271" s="12" t="s">
        <v>2978</v>
      </c>
      <c r="F3271" s="12" t="s">
        <v>1861</v>
      </c>
      <c r="G3271" s="12" t="s">
        <v>1861</v>
      </c>
      <c r="H3271" s="12" t="b">
        <v>1</v>
      </c>
      <c r="I3271" s="12" t="b">
        <v>0</v>
      </c>
      <c r="J3271" s="12" t="b">
        <v>1</v>
      </c>
      <c r="K3271" s="12" t="b">
        <v>0</v>
      </c>
      <c r="L3271" s="12">
        <v>623.15</v>
      </c>
      <c r="M3271" s="12">
        <v>285.91740456860009</v>
      </c>
      <c r="N3271" s="12">
        <v>4149.9036604892117</v>
      </c>
      <c r="O3271" s="12">
        <v>1094.9980095895371</v>
      </c>
      <c r="P3271" s="12">
        <v>0.52669731027120648</v>
      </c>
      <c r="Q3271" s="12">
        <v>0.4865092934154237</v>
      </c>
      <c r="R3271" s="12">
        <v>0.4566863809177687</v>
      </c>
      <c r="S3271" s="12">
        <v>0.76796757421770279</v>
      </c>
      <c r="T3271" s="12">
        <v>0.70952543666411838</v>
      </c>
      <c r="U3271" s="12">
        <v>0.80501269478647941</v>
      </c>
      <c r="V3271" s="12">
        <v>285.91740456860009</v>
      </c>
      <c r="W3271" s="12">
        <v>4.7501694030457902</v>
      </c>
      <c r="X3271" s="12">
        <v>83.805393548989684</v>
      </c>
      <c r="Y3271" s="12">
        <v>3054.905650899675</v>
      </c>
      <c r="Z3271" s="12">
        <v>3.7898732455639932</v>
      </c>
      <c r="AA3271" s="12" t="s">
        <v>1268</v>
      </c>
      <c r="AB3271" s="12"/>
    </row>
    <row r="3272" spans="1:28" x14ac:dyDescent="0.3">
      <c r="A3272" s="12" t="s">
        <v>5194</v>
      </c>
      <c r="B3272" s="12" t="s">
        <v>206</v>
      </c>
      <c r="C3272" s="12" t="s">
        <v>532</v>
      </c>
      <c r="D3272" s="12" t="s">
        <v>5136</v>
      </c>
      <c r="E3272" s="12" t="s">
        <v>2978</v>
      </c>
      <c r="F3272" s="12" t="s">
        <v>832</v>
      </c>
      <c r="G3272" s="12" t="s">
        <v>832</v>
      </c>
      <c r="H3272" s="12" t="b">
        <v>0</v>
      </c>
      <c r="I3272" s="12" t="b">
        <v>0</v>
      </c>
      <c r="J3272" s="12" t="b">
        <v>0</v>
      </c>
      <c r="K3272" s="12" t="b">
        <v>0</v>
      </c>
      <c r="L3272" s="12">
        <v>623.15</v>
      </c>
      <c r="M3272" s="12">
        <v>300.96592590710429</v>
      </c>
      <c r="N3272" s="12">
        <v>3619.001163880559</v>
      </c>
      <c r="O3272" s="12">
        <v>1782.1096454696631</v>
      </c>
      <c r="P3272" s="12">
        <v>0.60525294903820748</v>
      </c>
      <c r="Q3272" s="12">
        <v>0.58441594288939591</v>
      </c>
      <c r="R3272" s="12">
        <v>0.82163560390303614</v>
      </c>
      <c r="S3272" s="12">
        <v>0.89621491791873931</v>
      </c>
      <c r="T3272" s="12">
        <v>0.46037998653987888</v>
      </c>
      <c r="U3272" s="12">
        <v>0.43216745276294222</v>
      </c>
      <c r="V3272" s="12">
        <v>300.96592590710429</v>
      </c>
      <c r="W3272" s="12"/>
      <c r="X3272" s="12"/>
      <c r="Y3272" s="12">
        <v>1836.891518410896</v>
      </c>
      <c r="Z3272" s="12">
        <v>2.0307399003649942</v>
      </c>
      <c r="AA3272" s="12"/>
      <c r="AB3272" s="12"/>
    </row>
    <row r="3273" spans="1:28" x14ac:dyDescent="0.3">
      <c r="A3273" s="12" t="s">
        <v>5195</v>
      </c>
      <c r="B3273" s="12" t="s">
        <v>206</v>
      </c>
      <c r="C3273" s="12" t="s">
        <v>532</v>
      </c>
      <c r="D3273" s="12" t="s">
        <v>5136</v>
      </c>
      <c r="E3273" s="12" t="s">
        <v>2978</v>
      </c>
      <c r="F3273" s="12" t="s">
        <v>1861</v>
      </c>
      <c r="G3273" s="12" t="s">
        <v>1861</v>
      </c>
      <c r="H3273" s="12" t="b">
        <v>1</v>
      </c>
      <c r="I3273" s="12" t="b">
        <v>0</v>
      </c>
      <c r="J3273" s="12" t="b">
        <v>0</v>
      </c>
      <c r="K3273" s="12" t="b">
        <v>0</v>
      </c>
      <c r="L3273" s="12">
        <v>623.15</v>
      </c>
      <c r="M3273" s="12">
        <v>301.30858001639513</v>
      </c>
      <c r="N3273" s="12">
        <v>3858.8692690335838</v>
      </c>
      <c r="O3273" s="12">
        <v>1065.534345890562</v>
      </c>
      <c r="P3273" s="12">
        <v>0.84162047373250681</v>
      </c>
      <c r="Q3273" s="12">
        <v>0.87851105330625789</v>
      </c>
      <c r="R3273" s="12">
        <v>0.71758562845189777</v>
      </c>
      <c r="S3273" s="12">
        <v>0.48044796249303068</v>
      </c>
      <c r="T3273" s="12">
        <v>0.75231988512126091</v>
      </c>
      <c r="U3273" s="12">
        <v>0.82542682562889458</v>
      </c>
      <c r="V3273" s="12">
        <v>301.30858001639513</v>
      </c>
      <c r="W3273" s="12">
        <v>11.81965366538607</v>
      </c>
      <c r="X3273" s="12">
        <v>112.8983424980789</v>
      </c>
      <c r="Y3273" s="12">
        <v>2793.334923143022</v>
      </c>
      <c r="Z3273" s="12">
        <v>3.621534382177408</v>
      </c>
      <c r="AA3273" s="12" t="s">
        <v>1268</v>
      </c>
      <c r="AB3273" s="12"/>
    </row>
    <row r="3274" spans="1:28" x14ac:dyDescent="0.3">
      <c r="A3274" s="12" t="s">
        <v>5196</v>
      </c>
      <c r="B3274" s="12" t="s">
        <v>206</v>
      </c>
      <c r="C3274" s="12" t="s">
        <v>532</v>
      </c>
      <c r="D3274" s="12" t="s">
        <v>5136</v>
      </c>
      <c r="E3274" s="12" t="s">
        <v>2978</v>
      </c>
      <c r="F3274" s="12" t="s">
        <v>1861</v>
      </c>
      <c r="G3274" s="12" t="s">
        <v>1861</v>
      </c>
      <c r="H3274" s="12" t="b">
        <v>1</v>
      </c>
      <c r="I3274" s="12" t="b">
        <v>0</v>
      </c>
      <c r="J3274" s="12" t="b">
        <v>0</v>
      </c>
      <c r="K3274" s="12" t="b">
        <v>0</v>
      </c>
      <c r="L3274" s="12">
        <v>623.15</v>
      </c>
      <c r="M3274" s="12">
        <v>279.33489806831909</v>
      </c>
      <c r="N3274" s="12">
        <v>2518.6681855505021</v>
      </c>
      <c r="O3274" s="12">
        <v>1279.0422849177471</v>
      </c>
      <c r="P3274" s="12">
        <v>0.79793321977624165</v>
      </c>
      <c r="Q3274" s="12">
        <v>0.66934772938855258</v>
      </c>
      <c r="R3274" s="12">
        <v>0.4454877098020939</v>
      </c>
      <c r="S3274" s="12">
        <v>0.50791037581812626</v>
      </c>
      <c r="T3274" s="12">
        <v>0.75134749653699706</v>
      </c>
      <c r="U3274" s="12">
        <v>0.74344679804038483</v>
      </c>
      <c r="V3274" s="12">
        <v>279.33489806831909</v>
      </c>
      <c r="W3274" s="12">
        <v>3.4601431968148701</v>
      </c>
      <c r="X3274" s="12">
        <v>35.452963766458417</v>
      </c>
      <c r="Y3274" s="12">
        <v>1239.625900632755</v>
      </c>
      <c r="Z3274" s="12">
        <v>1.9691828919576919</v>
      </c>
      <c r="AA3274" s="12" t="s">
        <v>1268</v>
      </c>
      <c r="AB3274" s="12"/>
    </row>
    <row r="3275" spans="1:28" x14ac:dyDescent="0.3">
      <c r="A3275" s="12" t="s">
        <v>5197</v>
      </c>
      <c r="B3275" s="12" t="s">
        <v>206</v>
      </c>
      <c r="C3275" s="12" t="s">
        <v>532</v>
      </c>
      <c r="D3275" s="12" t="s">
        <v>5136</v>
      </c>
      <c r="E3275" s="12" t="s">
        <v>2978</v>
      </c>
      <c r="F3275" s="12" t="s">
        <v>1862</v>
      </c>
      <c r="G3275" s="12" t="s">
        <v>1862</v>
      </c>
      <c r="H3275" s="12" t="b">
        <v>1</v>
      </c>
      <c r="I3275" s="12" t="b">
        <v>0</v>
      </c>
      <c r="J3275" s="12" t="b">
        <v>1</v>
      </c>
      <c r="K3275" s="12" t="b">
        <v>0</v>
      </c>
      <c r="L3275" s="12">
        <v>623.15</v>
      </c>
      <c r="M3275" s="12">
        <v>291.27454496927288</v>
      </c>
      <c r="N3275" s="12">
        <v>4832.2589427689763</v>
      </c>
      <c r="O3275" s="12">
        <v>1150.3884102600341</v>
      </c>
      <c r="P3275" s="12">
        <v>0.62666555684090808</v>
      </c>
      <c r="Q3275" s="12">
        <v>0.56816083183135424</v>
      </c>
      <c r="R3275" s="12">
        <v>0.70384032410664643</v>
      </c>
      <c r="S3275" s="12">
        <v>0.67604777165628005</v>
      </c>
      <c r="T3275" s="12">
        <v>0.89858552149645432</v>
      </c>
      <c r="U3275" s="12">
        <v>0.53383134532078325</v>
      </c>
      <c r="V3275" s="12">
        <v>291.27454496927288</v>
      </c>
      <c r="W3275" s="12">
        <v>-0.51720536834126996</v>
      </c>
      <c r="X3275" s="12">
        <v>-5.3664585004962362</v>
      </c>
      <c r="Y3275" s="12">
        <v>3681.8705325089418</v>
      </c>
      <c r="Z3275" s="12">
        <v>4.2005455719748523</v>
      </c>
      <c r="AA3275" s="12" t="s">
        <v>2513</v>
      </c>
      <c r="AB3275" s="12"/>
    </row>
    <row r="3276" spans="1:28" x14ac:dyDescent="0.3">
      <c r="A3276" s="12" t="s">
        <v>5198</v>
      </c>
      <c r="B3276" s="12" t="s">
        <v>206</v>
      </c>
      <c r="C3276" s="12" t="s">
        <v>532</v>
      </c>
      <c r="D3276" s="12" t="s">
        <v>5136</v>
      </c>
      <c r="E3276" s="12" t="s">
        <v>2978</v>
      </c>
      <c r="F3276" s="12" t="s">
        <v>32</v>
      </c>
      <c r="G3276" s="12" t="s">
        <v>32</v>
      </c>
      <c r="H3276" s="12" t="b">
        <v>1</v>
      </c>
      <c r="I3276" s="12" t="b">
        <v>0</v>
      </c>
      <c r="J3276" s="12" t="b">
        <v>1</v>
      </c>
      <c r="K3276" s="12" t="b">
        <v>0</v>
      </c>
      <c r="L3276" s="12">
        <v>623.15</v>
      </c>
      <c r="M3276" s="12">
        <v>290.49213384136408</v>
      </c>
      <c r="N3276" s="12">
        <v>2443.4127445325421</v>
      </c>
      <c r="O3276" s="12">
        <v>905.21204025768839</v>
      </c>
      <c r="P3276" s="12">
        <v>0.54816665074111204</v>
      </c>
      <c r="Q3276" s="12">
        <v>0.73927244101761458</v>
      </c>
      <c r="R3276" s="12">
        <v>0.48977289206911701</v>
      </c>
      <c r="S3276" s="12">
        <v>0.5589072165110619</v>
      </c>
      <c r="T3276" s="12">
        <v>0.66405415899815468</v>
      </c>
      <c r="U3276" s="12">
        <v>0.94904670248989043</v>
      </c>
      <c r="V3276" s="12">
        <v>290.49213384136408</v>
      </c>
      <c r="W3276" s="12">
        <v>5.9078892588467804</v>
      </c>
      <c r="X3276" s="12">
        <v>83.357205574139854</v>
      </c>
      <c r="Y3276" s="12">
        <v>1538.200704274853</v>
      </c>
      <c r="Z3276" s="12">
        <v>2.699271149593824</v>
      </c>
      <c r="AA3276" s="12"/>
      <c r="AB3276" s="12"/>
    </row>
    <row r="3277" spans="1:28" x14ac:dyDescent="0.3">
      <c r="A3277" s="12" t="s">
        <v>5199</v>
      </c>
      <c r="B3277" s="12" t="s">
        <v>206</v>
      </c>
      <c r="C3277" s="12" t="s">
        <v>532</v>
      </c>
      <c r="D3277" s="12" t="s">
        <v>5136</v>
      </c>
      <c r="E3277" s="12" t="s">
        <v>2978</v>
      </c>
      <c r="F3277" s="12" t="s">
        <v>1861</v>
      </c>
      <c r="G3277" s="12" t="s">
        <v>1861</v>
      </c>
      <c r="H3277" s="12" t="b">
        <v>1</v>
      </c>
      <c r="I3277" s="12" t="b">
        <v>0</v>
      </c>
      <c r="J3277" s="12" t="b">
        <v>1</v>
      </c>
      <c r="K3277" s="12" t="b">
        <v>0</v>
      </c>
      <c r="L3277" s="12">
        <v>623.15</v>
      </c>
      <c r="M3277" s="12">
        <v>289.96894306298708</v>
      </c>
      <c r="N3277" s="12">
        <v>4316.3875938018055</v>
      </c>
      <c r="O3277" s="12">
        <v>1567.8052811059531</v>
      </c>
      <c r="P3277" s="12">
        <v>0.66959019712933787</v>
      </c>
      <c r="Q3277" s="12">
        <v>0.56147887163644927</v>
      </c>
      <c r="R3277" s="12">
        <v>0.41502066160782208</v>
      </c>
      <c r="S3277" s="12">
        <v>0.68260452469854438</v>
      </c>
      <c r="T3277" s="12">
        <v>0.70675066986980717</v>
      </c>
      <c r="U3277" s="12">
        <v>0.85745871379633143</v>
      </c>
      <c r="V3277" s="12">
        <v>289.96894306298708</v>
      </c>
      <c r="W3277" s="12">
        <v>5.0173724787974097</v>
      </c>
      <c r="X3277" s="12">
        <v>76.862763805192685</v>
      </c>
      <c r="Y3277" s="12">
        <v>2748.5823126958521</v>
      </c>
      <c r="Z3277" s="12">
        <v>2.7531401034425409</v>
      </c>
      <c r="AA3277" s="12" t="s">
        <v>1268</v>
      </c>
      <c r="AB3277" s="12"/>
    </row>
    <row r="3278" spans="1:28" x14ac:dyDescent="0.3">
      <c r="A3278" s="12" t="s">
        <v>5200</v>
      </c>
      <c r="B3278" s="12" t="s">
        <v>206</v>
      </c>
      <c r="C3278" s="12" t="s">
        <v>532</v>
      </c>
      <c r="D3278" s="12" t="s">
        <v>5136</v>
      </c>
      <c r="E3278" s="12" t="s">
        <v>2978</v>
      </c>
      <c r="F3278" s="12" t="s">
        <v>1863</v>
      </c>
      <c r="G3278" s="12" t="s">
        <v>832</v>
      </c>
      <c r="H3278" s="12" t="b">
        <v>0</v>
      </c>
      <c r="I3278" s="12" t="b">
        <v>0</v>
      </c>
      <c r="J3278" s="12" t="b">
        <v>1</v>
      </c>
      <c r="K3278" s="12" t="b">
        <v>0</v>
      </c>
      <c r="L3278" s="12">
        <v>623.15</v>
      </c>
      <c r="M3278" s="12">
        <v>294.34424278427679</v>
      </c>
      <c r="N3278" s="12">
        <v>3224.8712218427381</v>
      </c>
      <c r="O3278" s="12">
        <v>1596.6549937480861</v>
      </c>
      <c r="P3278" s="12">
        <v>0.65781276429610491</v>
      </c>
      <c r="Q3278" s="12">
        <v>0.41014777083752091</v>
      </c>
      <c r="R3278" s="12">
        <v>0.60710331040607612</v>
      </c>
      <c r="S3278" s="12">
        <v>0.81925819072858252</v>
      </c>
      <c r="T3278" s="12">
        <v>0.49115290350683538</v>
      </c>
      <c r="U3278" s="12">
        <v>0.91394512020425922</v>
      </c>
      <c r="V3278" s="12">
        <v>294.34424278427679</v>
      </c>
      <c r="W3278" s="12">
        <v>2.84226190533643</v>
      </c>
      <c r="X3278" s="12">
        <v>55.78882646668076</v>
      </c>
      <c r="Y3278" s="12">
        <v>1628.2162280946509</v>
      </c>
      <c r="Z3278" s="12">
        <v>2.019767097131282</v>
      </c>
      <c r="AA3278" s="12" t="s">
        <v>3442</v>
      </c>
      <c r="AB3278" s="12"/>
    </row>
    <row r="3279" spans="1:28" x14ac:dyDescent="0.3">
      <c r="A3279" s="12" t="s">
        <v>5201</v>
      </c>
      <c r="B3279" s="12" t="s">
        <v>206</v>
      </c>
      <c r="C3279" s="12" t="s">
        <v>532</v>
      </c>
      <c r="D3279" s="12" t="s">
        <v>5136</v>
      </c>
      <c r="E3279" s="12" t="s">
        <v>2978</v>
      </c>
      <c r="F3279" s="12" t="s">
        <v>1861</v>
      </c>
      <c r="G3279" s="12" t="s">
        <v>1861</v>
      </c>
      <c r="H3279" s="12" t="b">
        <v>1</v>
      </c>
      <c r="I3279" s="12" t="b">
        <v>0</v>
      </c>
      <c r="J3279" s="12" t="b">
        <v>1</v>
      </c>
      <c r="K3279" s="12" t="b">
        <v>0</v>
      </c>
      <c r="L3279" s="12">
        <v>623.15</v>
      </c>
      <c r="M3279" s="12">
        <v>291.78780501757791</v>
      </c>
      <c r="N3279" s="12">
        <v>3074.4024588998368</v>
      </c>
      <c r="O3279" s="12">
        <v>957.66952073672996</v>
      </c>
      <c r="P3279" s="12">
        <v>0.51511147741292318</v>
      </c>
      <c r="Q3279" s="12">
        <v>0.79644004191998219</v>
      </c>
      <c r="R3279" s="12">
        <v>0.48072156383649001</v>
      </c>
      <c r="S3279" s="12">
        <v>0.40275085174277953</v>
      </c>
      <c r="T3279" s="12">
        <v>0.69519670181572613</v>
      </c>
      <c r="U3279" s="12">
        <v>0.59126622022333031</v>
      </c>
      <c r="V3279" s="12">
        <v>291.78780501757791</v>
      </c>
      <c r="W3279" s="12">
        <v>3.6849204399295501</v>
      </c>
      <c r="X3279" s="12">
        <v>30.625553686316788</v>
      </c>
      <c r="Y3279" s="12">
        <v>2116.7329381631071</v>
      </c>
      <c r="Z3279" s="12">
        <v>3.2102958195168578</v>
      </c>
      <c r="AA3279" s="12" t="s">
        <v>1268</v>
      </c>
      <c r="AB3279" s="12"/>
    </row>
    <row r="3280" spans="1:28" x14ac:dyDescent="0.3">
      <c r="A3280" s="12" t="s">
        <v>5202</v>
      </c>
      <c r="B3280" s="12" t="s">
        <v>206</v>
      </c>
      <c r="C3280" s="12" t="s">
        <v>532</v>
      </c>
      <c r="D3280" s="12" t="s">
        <v>5136</v>
      </c>
      <c r="E3280" s="12" t="s">
        <v>2978</v>
      </c>
      <c r="F3280" s="12" t="s">
        <v>1861</v>
      </c>
      <c r="G3280" s="12" t="s">
        <v>1861</v>
      </c>
      <c r="H3280" s="12" t="b">
        <v>1</v>
      </c>
      <c r="I3280" s="12" t="b">
        <v>0</v>
      </c>
      <c r="J3280" s="12" t="b">
        <v>0</v>
      </c>
      <c r="K3280" s="12" t="b">
        <v>0</v>
      </c>
      <c r="L3280" s="12">
        <v>623.15</v>
      </c>
      <c r="M3280" s="12">
        <v>297.86850353502979</v>
      </c>
      <c r="N3280" s="12">
        <v>3243.711540412276</v>
      </c>
      <c r="O3280" s="12">
        <v>762.56805878465639</v>
      </c>
      <c r="P3280" s="12">
        <v>0.78003882631544785</v>
      </c>
      <c r="Q3280" s="12">
        <v>0.47581371361831809</v>
      </c>
      <c r="R3280" s="12">
        <v>0.88930611235418755</v>
      </c>
      <c r="S3280" s="12">
        <v>0.41332308861219541</v>
      </c>
      <c r="T3280" s="12">
        <v>0.94825314183149356</v>
      </c>
      <c r="U3280" s="12">
        <v>0.58282047924699087</v>
      </c>
      <c r="V3280" s="12">
        <v>297.86850353502979</v>
      </c>
      <c r="W3280" s="12">
        <v>0.67749164916406002</v>
      </c>
      <c r="X3280" s="12">
        <v>4.8129112584531981</v>
      </c>
      <c r="Y3280" s="12">
        <v>2481.1434816276201</v>
      </c>
      <c r="Z3280" s="12">
        <v>4.2536682503879657</v>
      </c>
      <c r="AA3280" s="12" t="s">
        <v>1268</v>
      </c>
      <c r="AB3280" s="12"/>
    </row>
    <row r="3281" spans="1:28" x14ac:dyDescent="0.3">
      <c r="A3281" s="12" t="s">
        <v>5203</v>
      </c>
      <c r="B3281" s="12" t="s">
        <v>206</v>
      </c>
      <c r="C3281" s="12" t="s">
        <v>532</v>
      </c>
      <c r="D3281" s="12" t="s">
        <v>5136</v>
      </c>
      <c r="E3281" s="12" t="s">
        <v>2978</v>
      </c>
      <c r="F3281" s="12" t="s">
        <v>1861</v>
      </c>
      <c r="G3281" s="12" t="s">
        <v>1861</v>
      </c>
      <c r="H3281" s="12" t="b">
        <v>1</v>
      </c>
      <c r="I3281" s="12" t="b">
        <v>0</v>
      </c>
      <c r="J3281" s="12" t="b">
        <v>1</v>
      </c>
      <c r="K3281" s="12" t="b">
        <v>0</v>
      </c>
      <c r="L3281" s="12">
        <v>623.15</v>
      </c>
      <c r="M3281" s="12">
        <v>283.4085108210341</v>
      </c>
      <c r="N3281" s="12">
        <v>3011.3453536832772</v>
      </c>
      <c r="O3281" s="12">
        <v>1704.5617549403989</v>
      </c>
      <c r="P3281" s="12">
        <v>0.65490515130861615</v>
      </c>
      <c r="Q3281" s="12">
        <v>0.70436875491111051</v>
      </c>
      <c r="R3281" s="12">
        <v>0.62700871143564241</v>
      </c>
      <c r="S3281" s="12">
        <v>0.7120872674618679</v>
      </c>
      <c r="T3281" s="12">
        <v>0.90404125617587905</v>
      </c>
      <c r="U3281" s="12">
        <v>0.68391885391368146</v>
      </c>
      <c r="V3281" s="12">
        <v>283.4085108210341</v>
      </c>
      <c r="W3281" s="12">
        <v>2.6190133504008801</v>
      </c>
      <c r="X3281" s="12">
        <v>36.316636397296563</v>
      </c>
      <c r="Y3281" s="12">
        <v>1306.783598742878</v>
      </c>
      <c r="Z3281" s="12">
        <v>1.766639046637867</v>
      </c>
      <c r="AA3281" s="12" t="s">
        <v>1268</v>
      </c>
      <c r="AB3281" s="12"/>
    </row>
    <row r="3282" spans="1:28" x14ac:dyDescent="0.3">
      <c r="A3282" s="12" t="s">
        <v>5204</v>
      </c>
      <c r="B3282" s="12" t="s">
        <v>206</v>
      </c>
      <c r="C3282" s="12" t="s">
        <v>532</v>
      </c>
      <c r="D3282" s="12" t="s">
        <v>5136</v>
      </c>
      <c r="E3282" s="12" t="s">
        <v>2978</v>
      </c>
      <c r="F3282" s="12" t="s">
        <v>32</v>
      </c>
      <c r="G3282" s="12" t="s">
        <v>32</v>
      </c>
      <c r="H3282" s="12" t="b">
        <v>1</v>
      </c>
      <c r="I3282" s="12" t="b">
        <v>0</v>
      </c>
      <c r="J3282" s="12" t="b">
        <v>1</v>
      </c>
      <c r="K3282" s="12" t="b">
        <v>0</v>
      </c>
      <c r="L3282" s="12">
        <v>623.15</v>
      </c>
      <c r="M3282" s="12">
        <v>286.28083196307779</v>
      </c>
      <c r="N3282" s="12">
        <v>4679.3342118382898</v>
      </c>
      <c r="O3282" s="12">
        <v>739.95240418746585</v>
      </c>
      <c r="P3282" s="12">
        <v>0.5387309398513489</v>
      </c>
      <c r="Q3282" s="12">
        <v>0.81825758369394697</v>
      </c>
      <c r="R3282" s="12">
        <v>0.66789013374010475</v>
      </c>
      <c r="S3282" s="12">
        <v>0.42281085521592682</v>
      </c>
      <c r="T3282" s="12">
        <v>0.91302952315770403</v>
      </c>
      <c r="U3282" s="12">
        <v>0.87385775945150834</v>
      </c>
      <c r="V3282" s="12">
        <v>286.28083196307779</v>
      </c>
      <c r="W3282" s="12">
        <v>12.30456993263531</v>
      </c>
      <c r="X3282" s="12">
        <v>119.0026229935704</v>
      </c>
      <c r="Y3282" s="12">
        <v>3939.3818076508242</v>
      </c>
      <c r="Z3282" s="12">
        <v>6.3238313509861754</v>
      </c>
      <c r="AA3282" s="12"/>
      <c r="AB3282" s="12"/>
    </row>
    <row r="3283" spans="1:28" x14ac:dyDescent="0.3">
      <c r="A3283" s="12" t="s">
        <v>5205</v>
      </c>
      <c r="B3283" s="12" t="s">
        <v>206</v>
      </c>
      <c r="C3283" s="12" t="s">
        <v>532</v>
      </c>
      <c r="D3283" s="12" t="s">
        <v>5136</v>
      </c>
      <c r="E3283" s="12" t="s">
        <v>2978</v>
      </c>
      <c r="F3283" s="12" t="s">
        <v>32</v>
      </c>
      <c r="G3283" s="12" t="s">
        <v>32</v>
      </c>
      <c r="H3283" s="12" t="b">
        <v>1</v>
      </c>
      <c r="I3283" s="12" t="b">
        <v>0</v>
      </c>
      <c r="J3283" s="12" t="b">
        <v>1</v>
      </c>
      <c r="K3283" s="12" t="b">
        <v>0</v>
      </c>
      <c r="L3283" s="12">
        <v>623.15</v>
      </c>
      <c r="M3283" s="12">
        <v>298.84328639694428</v>
      </c>
      <c r="N3283" s="12">
        <v>3171.6843970419218</v>
      </c>
      <c r="O3283" s="12">
        <v>1731.5040559818869</v>
      </c>
      <c r="P3283" s="12">
        <v>0.78963103974150528</v>
      </c>
      <c r="Q3283" s="12">
        <v>0.68073483830261561</v>
      </c>
      <c r="R3283" s="12">
        <v>0.89996491828849456</v>
      </c>
      <c r="S3283" s="12">
        <v>0.63365383734292913</v>
      </c>
      <c r="T3283" s="12">
        <v>0.67144716181635711</v>
      </c>
      <c r="U3283" s="12">
        <v>0.91781386488400762</v>
      </c>
      <c r="V3283" s="12">
        <v>298.84328639694428</v>
      </c>
      <c r="W3283" s="12">
        <v>4.3228118194079501</v>
      </c>
      <c r="X3283" s="12">
        <v>59.633638406447673</v>
      </c>
      <c r="Y3283" s="12">
        <v>1440.1803410600351</v>
      </c>
      <c r="Z3283" s="12">
        <v>1.8317510641020991</v>
      </c>
      <c r="AA3283" s="12"/>
      <c r="AB3283" s="12"/>
    </row>
    <row r="3284" spans="1:28" x14ac:dyDescent="0.3">
      <c r="A3284" s="12" t="s">
        <v>5206</v>
      </c>
      <c r="B3284" s="12" t="s">
        <v>206</v>
      </c>
      <c r="C3284" s="12" t="s">
        <v>532</v>
      </c>
      <c r="D3284" s="12" t="s">
        <v>5136</v>
      </c>
      <c r="E3284" s="12" t="s">
        <v>2978</v>
      </c>
      <c r="F3284" s="12" t="s">
        <v>1861</v>
      </c>
      <c r="G3284" s="12" t="s">
        <v>1861</v>
      </c>
      <c r="H3284" s="12" t="b">
        <v>1</v>
      </c>
      <c r="I3284" s="12" t="b">
        <v>0</v>
      </c>
      <c r="J3284" s="12" t="b">
        <v>1</v>
      </c>
      <c r="K3284" s="12" t="b">
        <v>0</v>
      </c>
      <c r="L3284" s="12">
        <v>623.15</v>
      </c>
      <c r="M3284" s="12">
        <v>287.96629931613768</v>
      </c>
      <c r="N3284" s="12">
        <v>2962.3347719201802</v>
      </c>
      <c r="O3284" s="12">
        <v>1123.376047576045</v>
      </c>
      <c r="P3284" s="12">
        <v>0.57058564966197378</v>
      </c>
      <c r="Q3284" s="12">
        <v>0.63372462565442</v>
      </c>
      <c r="R3284" s="12">
        <v>0.86151027008784886</v>
      </c>
      <c r="S3284" s="12">
        <v>0.42904938494858369</v>
      </c>
      <c r="T3284" s="12">
        <v>0.82695983075880841</v>
      </c>
      <c r="U3284" s="12">
        <v>0.75086488278045382</v>
      </c>
      <c r="V3284" s="12">
        <v>287.96629931613768</v>
      </c>
      <c r="W3284" s="12">
        <v>5.6779274352812914</v>
      </c>
      <c r="X3284" s="12">
        <v>55.106491732360659</v>
      </c>
      <c r="Y3284" s="12">
        <v>1838.958724344136</v>
      </c>
      <c r="Z3284" s="12">
        <v>2.636992998303759</v>
      </c>
      <c r="AA3284" s="12" t="s">
        <v>1268</v>
      </c>
      <c r="AB3284" s="12"/>
    </row>
    <row r="3285" spans="1:28" x14ac:dyDescent="0.3">
      <c r="A3285" s="12" t="s">
        <v>5207</v>
      </c>
      <c r="B3285" s="12" t="s">
        <v>206</v>
      </c>
      <c r="C3285" s="12" t="s">
        <v>532</v>
      </c>
      <c r="D3285" s="12" t="s">
        <v>5136</v>
      </c>
      <c r="E3285" s="12" t="s">
        <v>2978</v>
      </c>
      <c r="F3285" s="12" t="s">
        <v>1861</v>
      </c>
      <c r="G3285" s="12" t="s">
        <v>1861</v>
      </c>
      <c r="H3285" s="12" t="b">
        <v>1</v>
      </c>
      <c r="I3285" s="12" t="b">
        <v>0</v>
      </c>
      <c r="J3285" s="12" t="b">
        <v>1</v>
      </c>
      <c r="K3285" s="12" t="b">
        <v>0</v>
      </c>
      <c r="L3285" s="12">
        <v>623.15</v>
      </c>
      <c r="M3285" s="12">
        <v>302.22512634638042</v>
      </c>
      <c r="N3285" s="12">
        <v>3137.768653048317</v>
      </c>
      <c r="O3285" s="12">
        <v>1265.166286110094</v>
      </c>
      <c r="P3285" s="12">
        <v>0.58329836586654127</v>
      </c>
      <c r="Q3285" s="12">
        <v>0.90468576401110301</v>
      </c>
      <c r="R3285" s="12">
        <v>0.86679467233171259</v>
      </c>
      <c r="S3285" s="12">
        <v>0.55393119228153986</v>
      </c>
      <c r="T3285" s="12">
        <v>0.89396425690506431</v>
      </c>
      <c r="U3285" s="12">
        <v>0.60184432640237462</v>
      </c>
      <c r="V3285" s="12">
        <v>302.22512634638042</v>
      </c>
      <c r="W3285" s="12">
        <v>6.8458355402020903</v>
      </c>
      <c r="X3285" s="12">
        <v>71.411633673678324</v>
      </c>
      <c r="Y3285" s="12">
        <v>1872.602366938223</v>
      </c>
      <c r="Z3285" s="12">
        <v>2.4801235122189071</v>
      </c>
      <c r="AA3285" s="12" t="s">
        <v>1268</v>
      </c>
      <c r="AB3285" s="12"/>
    </row>
    <row r="3286" spans="1:28" x14ac:dyDescent="0.3">
      <c r="A3286" s="12" t="s">
        <v>5208</v>
      </c>
      <c r="B3286" s="12" t="s">
        <v>206</v>
      </c>
      <c r="C3286" s="12" t="s">
        <v>532</v>
      </c>
      <c r="D3286" s="12" t="s">
        <v>5136</v>
      </c>
      <c r="E3286" s="12" t="s">
        <v>2978</v>
      </c>
      <c r="F3286" s="12" t="s">
        <v>832</v>
      </c>
      <c r="G3286" s="12" t="s">
        <v>832</v>
      </c>
      <c r="H3286" s="12" t="b">
        <v>0</v>
      </c>
      <c r="I3286" s="12" t="b">
        <v>0</v>
      </c>
      <c r="J3286" s="12" t="b">
        <v>0</v>
      </c>
      <c r="K3286" s="12" t="b">
        <v>0</v>
      </c>
      <c r="L3286" s="12">
        <v>623.15</v>
      </c>
      <c r="M3286" s="12">
        <v>303.08261656500491</v>
      </c>
      <c r="N3286" s="12">
        <v>2562.012774157251</v>
      </c>
      <c r="O3286" s="12">
        <v>500.77758789360371</v>
      </c>
      <c r="P3286" s="12">
        <v>0.66111238597478206</v>
      </c>
      <c r="Q3286" s="12">
        <v>0.60047616178799712</v>
      </c>
      <c r="R3286" s="12">
        <v>0.93997343460453642</v>
      </c>
      <c r="S3286" s="12">
        <v>0.90450527024929817</v>
      </c>
      <c r="T3286" s="12">
        <v>0.5494018254029317</v>
      </c>
      <c r="U3286" s="12">
        <v>0.66537650602598308</v>
      </c>
      <c r="V3286" s="12">
        <v>303.08261656500491</v>
      </c>
      <c r="W3286" s="12"/>
      <c r="X3286" s="12"/>
      <c r="Y3286" s="12">
        <v>2061.2351862636478</v>
      </c>
      <c r="Z3286" s="12">
        <v>5.1160691614289702</v>
      </c>
      <c r="AA3286" s="12"/>
      <c r="AB3286" s="12"/>
    </row>
    <row r="3287" spans="1:28" x14ac:dyDescent="0.3">
      <c r="A3287" s="12" t="s">
        <v>5209</v>
      </c>
      <c r="B3287" s="12" t="s">
        <v>206</v>
      </c>
      <c r="C3287" s="12" t="s">
        <v>532</v>
      </c>
      <c r="D3287" s="12" t="s">
        <v>5136</v>
      </c>
      <c r="E3287" s="12" t="s">
        <v>2978</v>
      </c>
      <c r="F3287" s="12" t="s">
        <v>1861</v>
      </c>
      <c r="G3287" s="12" t="s">
        <v>1861</v>
      </c>
      <c r="H3287" s="12" t="b">
        <v>1</v>
      </c>
      <c r="I3287" s="12" t="b">
        <v>0</v>
      </c>
      <c r="J3287" s="12" t="b">
        <v>1</v>
      </c>
      <c r="K3287" s="12" t="b">
        <v>0</v>
      </c>
      <c r="L3287" s="12">
        <v>623.15</v>
      </c>
      <c r="M3287" s="12">
        <v>302.76540234947299</v>
      </c>
      <c r="N3287" s="12">
        <v>3420.2895195252531</v>
      </c>
      <c r="O3287" s="12">
        <v>711.36535717672643</v>
      </c>
      <c r="P3287" s="12">
        <v>0.7667448043210493</v>
      </c>
      <c r="Q3287" s="12">
        <v>0.72217325955796108</v>
      </c>
      <c r="R3287" s="12">
        <v>0.75687606212329062</v>
      </c>
      <c r="S3287" s="12">
        <v>0.47444563477690321</v>
      </c>
      <c r="T3287" s="12">
        <v>0.66189937935822618</v>
      </c>
      <c r="U3287" s="12">
        <v>0.63986032252564007</v>
      </c>
      <c r="V3287" s="12">
        <v>302.76540234947299</v>
      </c>
      <c r="W3287" s="12">
        <v>0.55104949821382998</v>
      </c>
      <c r="X3287" s="12">
        <v>3.767488716539162</v>
      </c>
      <c r="Y3287" s="12">
        <v>2708.9241623485268</v>
      </c>
      <c r="Z3287" s="12">
        <v>4.8080630930633603</v>
      </c>
      <c r="AA3287" s="12" t="s">
        <v>1268</v>
      </c>
      <c r="AB3287" s="12"/>
    </row>
    <row r="3288" spans="1:28" x14ac:dyDescent="0.3">
      <c r="A3288" s="12" t="s">
        <v>5210</v>
      </c>
      <c r="B3288" s="12" t="s">
        <v>206</v>
      </c>
      <c r="C3288" s="12" t="s">
        <v>532</v>
      </c>
      <c r="D3288" s="12" t="s">
        <v>5136</v>
      </c>
      <c r="E3288" s="12" t="s">
        <v>2978</v>
      </c>
      <c r="F3288" s="12" t="s">
        <v>832</v>
      </c>
      <c r="G3288" s="12" t="s">
        <v>832</v>
      </c>
      <c r="H3288" s="12" t="b">
        <v>0</v>
      </c>
      <c r="I3288" s="12" t="b">
        <v>0</v>
      </c>
      <c r="J3288" s="12" t="b">
        <v>0</v>
      </c>
      <c r="K3288" s="12" t="b">
        <v>0</v>
      </c>
      <c r="L3288" s="12">
        <v>623.15</v>
      </c>
      <c r="M3288" s="12">
        <v>278.34407307773279</v>
      </c>
      <c r="N3288" s="12">
        <v>2033.36837504094</v>
      </c>
      <c r="O3288" s="12">
        <v>1203.633974024935</v>
      </c>
      <c r="P3288" s="12">
        <v>0.81318101427701683</v>
      </c>
      <c r="Q3288" s="12">
        <v>0.42488102706066988</v>
      </c>
      <c r="R3288" s="12">
        <v>0.88241595358747438</v>
      </c>
      <c r="S3288" s="12">
        <v>0.76294115432296805</v>
      </c>
      <c r="T3288" s="12">
        <v>0.69139215830676637</v>
      </c>
      <c r="U3288" s="12">
        <v>0.52308499973656486</v>
      </c>
      <c r="V3288" s="12">
        <v>278.34407307773279</v>
      </c>
      <c r="W3288" s="12"/>
      <c r="X3288" s="12"/>
      <c r="Y3288" s="12">
        <v>829.73440101600499</v>
      </c>
      <c r="Z3288" s="12">
        <v>1.689357744066815</v>
      </c>
      <c r="AA3288" s="12"/>
      <c r="AB3288" s="12"/>
    </row>
    <row r="3289" spans="1:28" x14ac:dyDescent="0.3">
      <c r="A3289" s="12" t="s">
        <v>5211</v>
      </c>
      <c r="B3289" s="12" t="s">
        <v>206</v>
      </c>
      <c r="C3289" s="12" t="s">
        <v>532</v>
      </c>
      <c r="D3289" s="12" t="s">
        <v>5136</v>
      </c>
      <c r="E3289" s="12" t="s">
        <v>2978</v>
      </c>
      <c r="F3289" s="12" t="s">
        <v>832</v>
      </c>
      <c r="G3289" s="12" t="s">
        <v>832</v>
      </c>
      <c r="H3289" s="12" t="b">
        <v>0</v>
      </c>
      <c r="I3289" s="12" t="b">
        <v>0</v>
      </c>
      <c r="J3289" s="12" t="b">
        <v>0</v>
      </c>
      <c r="K3289" s="12" t="b">
        <v>0</v>
      </c>
      <c r="L3289" s="12">
        <v>623.15</v>
      </c>
      <c r="M3289" s="12">
        <v>286.54086764183171</v>
      </c>
      <c r="N3289" s="12">
        <v>3153.1743072936351</v>
      </c>
      <c r="O3289" s="12">
        <v>877.57383646606388</v>
      </c>
      <c r="P3289" s="12">
        <v>0.74500056289705918</v>
      </c>
      <c r="Q3289" s="12">
        <v>0.40228819394185489</v>
      </c>
      <c r="R3289" s="12">
        <v>0.70971123467325237</v>
      </c>
      <c r="S3289" s="12">
        <v>0.9211909209856336</v>
      </c>
      <c r="T3289" s="12">
        <v>0.92523400956197976</v>
      </c>
      <c r="U3289" s="12">
        <v>0.75653767041014142</v>
      </c>
      <c r="V3289" s="12">
        <v>286.54086764183171</v>
      </c>
      <c r="W3289" s="12"/>
      <c r="X3289" s="12"/>
      <c r="Y3289" s="12">
        <v>2275.6004708275718</v>
      </c>
      <c r="Z3289" s="12">
        <v>3.593058699187381</v>
      </c>
      <c r="AA3289" s="12"/>
      <c r="AB3289" s="12"/>
    </row>
    <row r="3290" spans="1:28" x14ac:dyDescent="0.3">
      <c r="A3290" s="12" t="s">
        <v>5212</v>
      </c>
      <c r="B3290" s="12" t="s">
        <v>206</v>
      </c>
      <c r="C3290" s="12" t="s">
        <v>532</v>
      </c>
      <c r="D3290" s="12" t="s">
        <v>5136</v>
      </c>
      <c r="E3290" s="12" t="s">
        <v>2978</v>
      </c>
      <c r="F3290" s="12" t="s">
        <v>1861</v>
      </c>
      <c r="G3290" s="12" t="s">
        <v>1861</v>
      </c>
      <c r="H3290" s="12" t="b">
        <v>1</v>
      </c>
      <c r="I3290" s="12" t="b">
        <v>0</v>
      </c>
      <c r="J3290" s="12" t="b">
        <v>1</v>
      </c>
      <c r="K3290" s="12" t="b">
        <v>0</v>
      </c>
      <c r="L3290" s="12">
        <v>623.15</v>
      </c>
      <c r="M3290" s="12">
        <v>282.52368885103152</v>
      </c>
      <c r="N3290" s="12">
        <v>3645.0148236238342</v>
      </c>
      <c r="O3290" s="12">
        <v>1009.620705087861</v>
      </c>
      <c r="P3290" s="12">
        <v>0.59621194739680705</v>
      </c>
      <c r="Q3290" s="12">
        <v>0.63022818948891157</v>
      </c>
      <c r="R3290" s="12">
        <v>0.87486439575488673</v>
      </c>
      <c r="S3290" s="12">
        <v>0.78718793729783654</v>
      </c>
      <c r="T3290" s="12">
        <v>0.45036731024702209</v>
      </c>
      <c r="U3290" s="12">
        <v>0.71776995833619006</v>
      </c>
      <c r="V3290" s="12">
        <v>282.52368885103152</v>
      </c>
      <c r="W3290" s="12">
        <v>6.0743057585741402</v>
      </c>
      <c r="X3290" s="12">
        <v>98.138513130350802</v>
      </c>
      <c r="Y3290" s="12">
        <v>2635.3941185359731</v>
      </c>
      <c r="Z3290" s="12">
        <v>3.6102813712666779</v>
      </c>
      <c r="AA3290" s="12" t="s">
        <v>1268</v>
      </c>
      <c r="AB3290" s="12"/>
    </row>
    <row r="3291" spans="1:28" x14ac:dyDescent="0.3">
      <c r="A3291" s="12" t="s">
        <v>5213</v>
      </c>
      <c r="B3291" s="12" t="s">
        <v>206</v>
      </c>
      <c r="C3291" s="12" t="s">
        <v>532</v>
      </c>
      <c r="D3291" s="12" t="s">
        <v>5136</v>
      </c>
      <c r="E3291" s="12" t="s">
        <v>2978</v>
      </c>
      <c r="F3291" s="12" t="s">
        <v>832</v>
      </c>
      <c r="G3291" s="12" t="s">
        <v>832</v>
      </c>
      <c r="H3291" s="12" t="b">
        <v>0</v>
      </c>
      <c r="I3291" s="12" t="b">
        <v>0</v>
      </c>
      <c r="J3291" s="12" t="b">
        <v>0</v>
      </c>
      <c r="K3291" s="12" t="b">
        <v>0</v>
      </c>
      <c r="L3291" s="12">
        <v>623.15</v>
      </c>
      <c r="M3291" s="12">
        <v>293.06191222233548</v>
      </c>
      <c r="N3291" s="12">
        <v>2143.828810243298</v>
      </c>
      <c r="O3291" s="12">
        <v>984.32835110971916</v>
      </c>
      <c r="P3291" s="12">
        <v>0.75421088676312176</v>
      </c>
      <c r="Q3291" s="12">
        <v>0.85396202548387024</v>
      </c>
      <c r="R3291" s="12">
        <v>0.46861560754066101</v>
      </c>
      <c r="S3291" s="12">
        <v>0.85887798470685484</v>
      </c>
      <c r="T3291" s="12">
        <v>0.82040977738705634</v>
      </c>
      <c r="U3291" s="12">
        <v>0.57630936695314749</v>
      </c>
      <c r="V3291" s="12">
        <v>293.06191222233548</v>
      </c>
      <c r="W3291" s="12"/>
      <c r="X3291" s="12"/>
      <c r="Y3291" s="12">
        <v>1159.5004591335789</v>
      </c>
      <c r="Z3291" s="12">
        <v>2.177961051133368</v>
      </c>
      <c r="AA3291" s="12"/>
      <c r="AB3291" s="12"/>
    </row>
    <row r="3292" spans="1:28" x14ac:dyDescent="0.3">
      <c r="A3292" s="12" t="s">
        <v>5214</v>
      </c>
      <c r="B3292" s="12" t="s">
        <v>206</v>
      </c>
      <c r="C3292" s="12" t="s">
        <v>532</v>
      </c>
      <c r="D3292" s="12" t="s">
        <v>5136</v>
      </c>
      <c r="E3292" s="12" t="s">
        <v>2978</v>
      </c>
      <c r="F3292" s="12" t="s">
        <v>832</v>
      </c>
      <c r="G3292" s="12" t="s">
        <v>832</v>
      </c>
      <c r="H3292" s="12" t="b">
        <v>0</v>
      </c>
      <c r="I3292" s="12" t="b">
        <v>0</v>
      </c>
      <c r="J3292" s="12" t="b">
        <v>0</v>
      </c>
      <c r="K3292" s="12" t="b">
        <v>0</v>
      </c>
      <c r="L3292" s="12">
        <v>623.15</v>
      </c>
      <c r="M3292" s="12">
        <v>302.34033534615708</v>
      </c>
      <c r="N3292" s="12">
        <v>4485.7240435563308</v>
      </c>
      <c r="O3292" s="12">
        <v>1916.257875981152</v>
      </c>
      <c r="P3292" s="12">
        <v>0.69632446869005982</v>
      </c>
      <c r="Q3292" s="12">
        <v>0.46734710742074009</v>
      </c>
      <c r="R3292" s="12">
        <v>0.52317535709583585</v>
      </c>
      <c r="S3292" s="12">
        <v>0.80244495014438311</v>
      </c>
      <c r="T3292" s="12">
        <v>0.62507329055015848</v>
      </c>
      <c r="U3292" s="12">
        <v>0.48110144581447928</v>
      </c>
      <c r="V3292" s="12">
        <v>302.34033534615708</v>
      </c>
      <c r="W3292" s="12"/>
      <c r="X3292" s="12"/>
      <c r="Y3292" s="12">
        <v>2569.466167575179</v>
      </c>
      <c r="Z3292" s="12">
        <v>2.3408770290165539</v>
      </c>
      <c r="AA3292" s="12"/>
      <c r="AB3292" s="12"/>
    </row>
    <row r="3293" spans="1:28" x14ac:dyDescent="0.3">
      <c r="A3293" s="12" t="s">
        <v>5215</v>
      </c>
      <c r="B3293" s="12" t="s">
        <v>206</v>
      </c>
      <c r="C3293" s="12" t="s">
        <v>532</v>
      </c>
      <c r="D3293" s="12" t="s">
        <v>5136</v>
      </c>
      <c r="E3293" s="12" t="s">
        <v>2978</v>
      </c>
      <c r="F3293" s="12" t="s">
        <v>32</v>
      </c>
      <c r="G3293" s="12" t="s">
        <v>32</v>
      </c>
      <c r="H3293" s="12" t="b">
        <v>1</v>
      </c>
      <c r="I3293" s="12" t="b">
        <v>0</v>
      </c>
      <c r="J3293" s="12" t="b">
        <v>1</v>
      </c>
      <c r="K3293" s="12" t="b">
        <v>0</v>
      </c>
      <c r="L3293" s="12">
        <v>623.15</v>
      </c>
      <c r="M3293" s="12">
        <v>298.68971234187131</v>
      </c>
      <c r="N3293" s="12">
        <v>4437.477885379416</v>
      </c>
      <c r="O3293" s="12">
        <v>1139.110604868654</v>
      </c>
      <c r="P3293" s="12">
        <v>0.5033969051317454</v>
      </c>
      <c r="Q3293" s="12">
        <v>0.91914107762561903</v>
      </c>
      <c r="R3293" s="12">
        <v>0.430438892458963</v>
      </c>
      <c r="S3293" s="12">
        <v>0.74253647518325749</v>
      </c>
      <c r="T3293" s="12">
        <v>0.79232308774522164</v>
      </c>
      <c r="U3293" s="12">
        <v>0.93106439887802239</v>
      </c>
      <c r="V3293" s="12">
        <v>298.68971234187131</v>
      </c>
      <c r="W3293" s="12">
        <v>9.9575531557750097</v>
      </c>
      <c r="X3293" s="12">
        <v>184.9077698686641</v>
      </c>
      <c r="Y3293" s="12">
        <v>3298.3672805107631</v>
      </c>
      <c r="Z3293" s="12">
        <v>3.895563667314891</v>
      </c>
      <c r="AA3293" s="12"/>
      <c r="AB3293" s="12"/>
    </row>
    <row r="3294" spans="1:28" x14ac:dyDescent="0.3">
      <c r="A3294" s="12" t="s">
        <v>5216</v>
      </c>
      <c r="B3294" s="12" t="s">
        <v>206</v>
      </c>
      <c r="C3294" s="12" t="s">
        <v>532</v>
      </c>
      <c r="D3294" s="12" t="s">
        <v>5136</v>
      </c>
      <c r="E3294" s="12" t="s">
        <v>2978</v>
      </c>
      <c r="F3294" s="12" t="s">
        <v>832</v>
      </c>
      <c r="G3294" s="12" t="s">
        <v>832</v>
      </c>
      <c r="H3294" s="12" t="b">
        <v>0</v>
      </c>
      <c r="I3294" s="12" t="b">
        <v>0</v>
      </c>
      <c r="J3294" s="12" t="b">
        <v>0</v>
      </c>
      <c r="K3294" s="12" t="b">
        <v>0</v>
      </c>
      <c r="L3294" s="12">
        <v>623.15</v>
      </c>
      <c r="M3294" s="12">
        <v>300.04224637540221</v>
      </c>
      <c r="N3294" s="12">
        <v>3752.5883206191711</v>
      </c>
      <c r="O3294" s="12">
        <v>687.80474760469065</v>
      </c>
      <c r="P3294" s="12">
        <v>0.57367317404619467</v>
      </c>
      <c r="Q3294" s="12">
        <v>0.69094943951863774</v>
      </c>
      <c r="R3294" s="12">
        <v>0.53210586683547034</v>
      </c>
      <c r="S3294" s="12">
        <v>0.93299912188260925</v>
      </c>
      <c r="T3294" s="12">
        <v>0.61911364751581677</v>
      </c>
      <c r="U3294" s="12">
        <v>0.56937076954972121</v>
      </c>
      <c r="V3294" s="12">
        <v>300.04224637540221</v>
      </c>
      <c r="W3294" s="12"/>
      <c r="X3294" s="12"/>
      <c r="Y3294" s="12">
        <v>3064.7835730144811</v>
      </c>
      <c r="Z3294" s="12">
        <v>5.4558918554832889</v>
      </c>
      <c r="AA3294" s="12"/>
      <c r="AB3294" s="12"/>
    </row>
    <row r="3295" spans="1:28" x14ac:dyDescent="0.3">
      <c r="A3295" s="12" t="s">
        <v>5217</v>
      </c>
      <c r="B3295" s="12" t="s">
        <v>206</v>
      </c>
      <c r="C3295" s="12" t="s">
        <v>532</v>
      </c>
      <c r="D3295" s="12" t="s">
        <v>5136</v>
      </c>
      <c r="E3295" s="12" t="s">
        <v>2978</v>
      </c>
      <c r="F3295" s="12" t="s">
        <v>1861</v>
      </c>
      <c r="G3295" s="12" t="s">
        <v>1861</v>
      </c>
      <c r="H3295" s="12" t="b">
        <v>1</v>
      </c>
      <c r="I3295" s="12" t="b">
        <v>0</v>
      </c>
      <c r="J3295" s="12" t="b">
        <v>1</v>
      </c>
      <c r="K3295" s="12" t="b">
        <v>0</v>
      </c>
      <c r="L3295" s="12">
        <v>623.15</v>
      </c>
      <c r="M3295" s="12">
        <v>286.94731172697323</v>
      </c>
      <c r="N3295" s="12">
        <v>4005.2864622911989</v>
      </c>
      <c r="O3295" s="12">
        <v>1442.9968005398659</v>
      </c>
      <c r="P3295" s="12">
        <v>0.64346354336758227</v>
      </c>
      <c r="Q3295" s="12">
        <v>0.92923089350077337</v>
      </c>
      <c r="R3295" s="12">
        <v>0.76030168609642335</v>
      </c>
      <c r="S3295" s="12">
        <v>0.61086908908154525</v>
      </c>
      <c r="T3295" s="12">
        <v>0.72779187041837079</v>
      </c>
      <c r="U3295" s="12">
        <v>0.52771996216213513</v>
      </c>
      <c r="V3295" s="12">
        <v>286.94731172697323</v>
      </c>
      <c r="W3295" s="12">
        <v>6.8175019147107898</v>
      </c>
      <c r="X3295" s="12">
        <v>69.055160206178414</v>
      </c>
      <c r="Y3295" s="12">
        <v>2562.2896617513329</v>
      </c>
      <c r="Z3295" s="12">
        <v>2.7756724483330162</v>
      </c>
      <c r="AA3295" s="12" t="s">
        <v>1268</v>
      </c>
      <c r="AB3295" s="12"/>
    </row>
    <row r="3296" spans="1:28" x14ac:dyDescent="0.3">
      <c r="A3296" s="12" t="s">
        <v>5218</v>
      </c>
      <c r="B3296" s="12" t="s">
        <v>206</v>
      </c>
      <c r="C3296" s="12" t="s">
        <v>532</v>
      </c>
      <c r="D3296" s="12" t="s">
        <v>5136</v>
      </c>
      <c r="E3296" s="12" t="s">
        <v>2978</v>
      </c>
      <c r="F3296" s="12" t="s">
        <v>832</v>
      </c>
      <c r="G3296" s="12" t="s">
        <v>832</v>
      </c>
      <c r="H3296" s="12" t="b">
        <v>0</v>
      </c>
      <c r="I3296" s="12" t="b">
        <v>0</v>
      </c>
      <c r="J3296" s="12" t="b">
        <v>0</v>
      </c>
      <c r="K3296" s="12" t="b">
        <v>0</v>
      </c>
      <c r="L3296" s="12">
        <v>623.15</v>
      </c>
      <c r="M3296" s="12">
        <v>295.74134485576229</v>
      </c>
      <c r="N3296" s="12">
        <v>3889.6223656331722</v>
      </c>
      <c r="O3296" s="12">
        <v>411.44554456963021</v>
      </c>
      <c r="P3296" s="12">
        <v>0.78557590495713314</v>
      </c>
      <c r="Q3296" s="12">
        <v>0.88964480195341733</v>
      </c>
      <c r="R3296" s="12">
        <v>0.59070994731646875</v>
      </c>
      <c r="S3296" s="12">
        <v>0.84636621497088838</v>
      </c>
      <c r="T3296" s="12">
        <v>0.80290424854994469</v>
      </c>
      <c r="U3296" s="12">
        <v>0.76154668854492003</v>
      </c>
      <c r="V3296" s="12">
        <v>295.74134485576229</v>
      </c>
      <c r="W3296" s="12"/>
      <c r="X3296" s="12"/>
      <c r="Y3296" s="12">
        <v>3478.1768210635419</v>
      </c>
      <c r="Z3296" s="12">
        <v>9.4535532513827434</v>
      </c>
      <c r="AA3296" s="12"/>
      <c r="AB3296" s="12"/>
    </row>
    <row r="3297" spans="1:28" x14ac:dyDescent="0.3">
      <c r="A3297" s="12" t="s">
        <v>5219</v>
      </c>
      <c r="B3297" s="12" t="s">
        <v>206</v>
      </c>
      <c r="C3297" s="12" t="s">
        <v>532</v>
      </c>
      <c r="D3297" s="12" t="s">
        <v>5136</v>
      </c>
      <c r="E3297" s="12" t="s">
        <v>2978</v>
      </c>
      <c r="F3297" s="12" t="s">
        <v>1861</v>
      </c>
      <c r="G3297" s="12" t="s">
        <v>1861</v>
      </c>
      <c r="H3297" s="12" t="b">
        <v>1</v>
      </c>
      <c r="I3297" s="12" t="b">
        <v>0</v>
      </c>
      <c r="J3297" s="12" t="b">
        <v>1</v>
      </c>
      <c r="K3297" s="12" t="b">
        <v>0</v>
      </c>
      <c r="L3297" s="12">
        <v>623.15</v>
      </c>
      <c r="M3297" s="12">
        <v>293.55236076761361</v>
      </c>
      <c r="N3297" s="12">
        <v>2951.481828266029</v>
      </c>
      <c r="O3297" s="12">
        <v>670.03879239137405</v>
      </c>
      <c r="P3297" s="12">
        <v>0.73172889503726779</v>
      </c>
      <c r="Q3297" s="12">
        <v>0.64838892224027878</v>
      </c>
      <c r="R3297" s="12">
        <v>0.8400657239601953</v>
      </c>
      <c r="S3297" s="12">
        <v>0.64597337559753487</v>
      </c>
      <c r="T3297" s="12">
        <v>0.83667631062752612</v>
      </c>
      <c r="U3297" s="12">
        <v>0.6312693768873846</v>
      </c>
      <c r="V3297" s="12">
        <v>293.55236076761361</v>
      </c>
      <c r="W3297" s="12">
        <v>4.9303972850516793</v>
      </c>
      <c r="X3297" s="12">
        <v>54.944640745994093</v>
      </c>
      <c r="Y3297" s="12">
        <v>2281.4430358746549</v>
      </c>
      <c r="Z3297" s="12">
        <v>4.4049417164820648</v>
      </c>
      <c r="AA3297" s="12" t="s">
        <v>1268</v>
      </c>
      <c r="AB3297" s="12"/>
    </row>
    <row r="3298" spans="1:28" x14ac:dyDescent="0.3">
      <c r="A3298" s="12" t="s">
        <v>5220</v>
      </c>
      <c r="B3298" s="12" t="s">
        <v>206</v>
      </c>
      <c r="C3298" s="12" t="s">
        <v>532</v>
      </c>
      <c r="D3298" s="12" t="s">
        <v>5136</v>
      </c>
      <c r="E3298" s="12" t="s">
        <v>2978</v>
      </c>
      <c r="F3298" s="12" t="s">
        <v>1861</v>
      </c>
      <c r="G3298" s="12" t="s">
        <v>1861</v>
      </c>
      <c r="H3298" s="12" t="b">
        <v>1</v>
      </c>
      <c r="I3298" s="12" t="b">
        <v>0</v>
      </c>
      <c r="J3298" s="12" t="b">
        <v>1</v>
      </c>
      <c r="K3298" s="12" t="b">
        <v>0</v>
      </c>
      <c r="L3298" s="12">
        <v>623.15</v>
      </c>
      <c r="M3298" s="12">
        <v>297.31230458276508</v>
      </c>
      <c r="N3298" s="12">
        <v>4603.1064998073989</v>
      </c>
      <c r="O3298" s="12">
        <v>1865.4226013546449</v>
      </c>
      <c r="P3298" s="12">
        <v>0.55808693681734045</v>
      </c>
      <c r="Q3298" s="12">
        <v>0.94247422179628837</v>
      </c>
      <c r="R3298" s="12">
        <v>0.89018202120778667</v>
      </c>
      <c r="S3298" s="12">
        <v>0.56448218582389931</v>
      </c>
      <c r="T3298" s="12">
        <v>0.9299000224483982</v>
      </c>
      <c r="U3298" s="12">
        <v>0.61532818502695663</v>
      </c>
      <c r="V3298" s="12">
        <v>297.31230458276508</v>
      </c>
      <c r="W3298" s="12">
        <v>7.9038794118641897</v>
      </c>
      <c r="X3298" s="12">
        <v>86.056258117160993</v>
      </c>
      <c r="Y3298" s="12">
        <v>2737.683898452754</v>
      </c>
      <c r="Z3298" s="12">
        <v>2.467594472407852</v>
      </c>
      <c r="AA3298" s="12" t="s">
        <v>1268</v>
      </c>
      <c r="AB3298" s="12"/>
    </row>
    <row r="3299" spans="1:28" x14ac:dyDescent="0.3">
      <c r="A3299" s="12" t="s">
        <v>5221</v>
      </c>
      <c r="B3299" s="12" t="s">
        <v>206</v>
      </c>
      <c r="C3299" s="12" t="s">
        <v>532</v>
      </c>
      <c r="D3299" s="12" t="s">
        <v>5136</v>
      </c>
      <c r="E3299" s="12" t="s">
        <v>2978</v>
      </c>
      <c r="F3299" s="12" t="s">
        <v>1861</v>
      </c>
      <c r="G3299" s="12" t="s">
        <v>1861</v>
      </c>
      <c r="H3299" s="12" t="b">
        <v>1</v>
      </c>
      <c r="I3299" s="12" t="b">
        <v>0</v>
      </c>
      <c r="J3299" s="12" t="b">
        <v>1</v>
      </c>
      <c r="K3299" s="12" t="b">
        <v>0</v>
      </c>
      <c r="L3299" s="12">
        <v>623.15</v>
      </c>
      <c r="M3299" s="12">
        <v>281.18658619349549</v>
      </c>
      <c r="N3299" s="12">
        <v>2733.6358331485271</v>
      </c>
      <c r="O3299" s="12">
        <v>794.31544050601576</v>
      </c>
      <c r="P3299" s="12">
        <v>0.71441281825169367</v>
      </c>
      <c r="Q3299" s="12">
        <v>0.5335882904664272</v>
      </c>
      <c r="R3299" s="12">
        <v>0.79366099584490069</v>
      </c>
      <c r="S3299" s="12">
        <v>0.59688744740006439</v>
      </c>
      <c r="T3299" s="12">
        <v>0.91010154585513281</v>
      </c>
      <c r="U3299" s="12">
        <v>0.77767930644862115</v>
      </c>
      <c r="V3299" s="12">
        <v>281.18658619349549</v>
      </c>
      <c r="W3299" s="12">
        <v>5.2970070945894099</v>
      </c>
      <c r="X3299" s="12">
        <v>67.055885530674331</v>
      </c>
      <c r="Y3299" s="12">
        <v>1939.3203926425119</v>
      </c>
      <c r="Z3299" s="12">
        <v>3.4414990490516901</v>
      </c>
      <c r="AA3299" s="12" t="s">
        <v>1268</v>
      </c>
      <c r="AB3299" s="12"/>
    </row>
    <row r="3300" spans="1:28" x14ac:dyDescent="0.3">
      <c r="A3300" s="12" t="s">
        <v>5222</v>
      </c>
      <c r="B3300" s="12" t="s">
        <v>206</v>
      </c>
      <c r="C3300" s="12" t="s">
        <v>532</v>
      </c>
      <c r="D3300" s="12" t="s">
        <v>5136</v>
      </c>
      <c r="E3300" s="12" t="s">
        <v>2978</v>
      </c>
      <c r="F3300" s="12" t="s">
        <v>832</v>
      </c>
      <c r="G3300" s="12" t="s">
        <v>832</v>
      </c>
      <c r="H3300" s="12" t="b">
        <v>0</v>
      </c>
      <c r="I3300" s="12" t="b">
        <v>0</v>
      </c>
      <c r="J3300" s="12" t="b">
        <v>0</v>
      </c>
      <c r="K3300" s="12" t="b">
        <v>0</v>
      </c>
      <c r="L3300" s="12">
        <v>623.15</v>
      </c>
      <c r="M3300" s="12">
        <v>284.43491781645622</v>
      </c>
      <c r="N3300" s="12">
        <v>3356.686636381773</v>
      </c>
      <c r="O3300" s="12">
        <v>1968.9851288975581</v>
      </c>
      <c r="P3300" s="12">
        <v>0.67844384963562721</v>
      </c>
      <c r="Q3300" s="12">
        <v>0.47885728077290829</v>
      </c>
      <c r="R3300" s="12">
        <v>0.83413101888091545</v>
      </c>
      <c r="S3300" s="12">
        <v>0.93852522016310025</v>
      </c>
      <c r="T3300" s="12">
        <v>0.73006301115122896</v>
      </c>
      <c r="U3300" s="12">
        <v>0.4438427726290578</v>
      </c>
      <c r="V3300" s="12">
        <v>284.43491781645622</v>
      </c>
      <c r="W3300" s="12"/>
      <c r="X3300" s="12"/>
      <c r="Y3300" s="12">
        <v>1387.701507484215</v>
      </c>
      <c r="Z3300" s="12">
        <v>1.704780085495716</v>
      </c>
      <c r="AA3300" s="12"/>
      <c r="AB3300" s="12"/>
    </row>
    <row r="3301" spans="1:28" x14ac:dyDescent="0.3">
      <c r="A3301" s="12" t="s">
        <v>5223</v>
      </c>
      <c r="B3301" s="12" t="s">
        <v>206</v>
      </c>
      <c r="C3301" s="12" t="s">
        <v>532</v>
      </c>
      <c r="D3301" s="12" t="s">
        <v>5136</v>
      </c>
      <c r="E3301" s="12" t="s">
        <v>2978</v>
      </c>
      <c r="F3301" s="12" t="s">
        <v>832</v>
      </c>
      <c r="G3301" s="12" t="s">
        <v>832</v>
      </c>
      <c r="H3301" s="12" t="b">
        <v>0</v>
      </c>
      <c r="I3301" s="12" t="b">
        <v>0</v>
      </c>
      <c r="J3301" s="12" t="b">
        <v>0</v>
      </c>
      <c r="K3301" s="12" t="b">
        <v>0</v>
      </c>
      <c r="L3301" s="12">
        <v>623.15</v>
      </c>
      <c r="M3301" s="12">
        <v>283.19256508251692</v>
      </c>
      <c r="N3301" s="12">
        <v>3303.4625495627561</v>
      </c>
      <c r="O3301" s="12">
        <v>1547.340801233267</v>
      </c>
      <c r="P3301" s="12">
        <v>0.7919712413039488</v>
      </c>
      <c r="Q3301" s="12">
        <v>0.67579131967050188</v>
      </c>
      <c r="R3301" s="12">
        <v>0.54211414230289734</v>
      </c>
      <c r="S3301" s="12">
        <v>0.59947352660479114</v>
      </c>
      <c r="T3301" s="12">
        <v>0.5753098981511009</v>
      </c>
      <c r="U3301" s="12">
        <v>0.41875183276952138</v>
      </c>
      <c r="V3301" s="12">
        <v>283.19256508251692</v>
      </c>
      <c r="W3301" s="12"/>
      <c r="X3301" s="12"/>
      <c r="Y3301" s="12">
        <v>1756.121748329489</v>
      </c>
      <c r="Z3301" s="12">
        <v>2.1349288708278218</v>
      </c>
      <c r="AA3301" s="12"/>
      <c r="AB3301" s="12"/>
    </row>
    <row r="3302" spans="1:28" x14ac:dyDescent="0.3">
      <c r="A3302" s="12" t="s">
        <v>5224</v>
      </c>
      <c r="B3302" s="12" t="s">
        <v>206</v>
      </c>
      <c r="C3302" s="12" t="s">
        <v>532</v>
      </c>
      <c r="D3302" s="12" t="s">
        <v>5136</v>
      </c>
      <c r="E3302" s="12" t="s">
        <v>2978</v>
      </c>
      <c r="F3302" s="12" t="s">
        <v>1862</v>
      </c>
      <c r="G3302" s="12" t="s">
        <v>1862</v>
      </c>
      <c r="H3302" s="12" t="b">
        <v>1</v>
      </c>
      <c r="I3302" s="12" t="b">
        <v>0</v>
      </c>
      <c r="J3302" s="12" t="b">
        <v>1</v>
      </c>
      <c r="K3302" s="12" t="b">
        <v>0</v>
      </c>
      <c r="L3302" s="12">
        <v>623.15</v>
      </c>
      <c r="M3302" s="12">
        <v>280.54085669201612</v>
      </c>
      <c r="N3302" s="12">
        <v>4218.9776843259733</v>
      </c>
      <c r="O3302" s="12">
        <v>1721.07184235145</v>
      </c>
      <c r="P3302" s="12">
        <v>0.68841007531274501</v>
      </c>
      <c r="Q3302" s="12">
        <v>0.5564982564170502</v>
      </c>
      <c r="R3302" s="12">
        <v>0.80908758737058384</v>
      </c>
      <c r="S3302" s="12">
        <v>0.52137617496299193</v>
      </c>
      <c r="T3302" s="12">
        <v>0.71845954168932002</v>
      </c>
      <c r="U3302" s="12">
        <v>0.46282424688244639</v>
      </c>
      <c r="V3302" s="12">
        <v>280.54085669201612</v>
      </c>
      <c r="W3302" s="12">
        <v>-0.44593848347284998</v>
      </c>
      <c r="X3302" s="12">
        <v>-3.566523049955165</v>
      </c>
      <c r="Y3302" s="12">
        <v>2497.9058419745238</v>
      </c>
      <c r="Z3302" s="12">
        <v>2.4513663988376622</v>
      </c>
      <c r="AA3302" s="12" t="s">
        <v>2513</v>
      </c>
      <c r="AB3302" s="12"/>
    </row>
    <row r="3303" spans="1:28" x14ac:dyDescent="0.3">
      <c r="A3303" s="12" t="s">
        <v>5225</v>
      </c>
      <c r="B3303" s="12" t="s">
        <v>206</v>
      </c>
      <c r="C3303" s="12" t="s">
        <v>532</v>
      </c>
      <c r="D3303" s="12" t="s">
        <v>5136</v>
      </c>
      <c r="E3303" s="12" t="s">
        <v>2978</v>
      </c>
      <c r="F3303" s="12" t="s">
        <v>1861</v>
      </c>
      <c r="G3303" s="12" t="s">
        <v>1861</v>
      </c>
      <c r="H3303" s="12" t="b">
        <v>1</v>
      </c>
      <c r="I3303" s="12" t="b">
        <v>0</v>
      </c>
      <c r="J3303" s="12" t="b">
        <v>0</v>
      </c>
      <c r="K3303" s="12" t="b">
        <v>0</v>
      </c>
      <c r="L3303" s="12">
        <v>623.15</v>
      </c>
      <c r="M3303" s="12">
        <v>297.02362117845252</v>
      </c>
      <c r="N3303" s="12">
        <v>2701.6308326279482</v>
      </c>
      <c r="O3303" s="12">
        <v>1688.8394368780421</v>
      </c>
      <c r="P3303" s="12">
        <v>0.72325518198136118</v>
      </c>
      <c r="Q3303" s="12">
        <v>0.64002896160747846</v>
      </c>
      <c r="R3303" s="12">
        <v>0.47257946248679827</v>
      </c>
      <c r="S3303" s="12">
        <v>0.41675775107151591</v>
      </c>
      <c r="T3303" s="12">
        <v>0.46127326443472932</v>
      </c>
      <c r="U3303" s="12">
        <v>0.62687125024412083</v>
      </c>
      <c r="V3303" s="12">
        <v>297.02362117845252</v>
      </c>
      <c r="W3303" s="12">
        <v>0.28218475950470001</v>
      </c>
      <c r="X3303" s="12">
        <v>2.2548417506995482</v>
      </c>
      <c r="Y3303" s="12">
        <v>1012.791395749906</v>
      </c>
      <c r="Z3303" s="12">
        <v>1.5996966755005051</v>
      </c>
      <c r="AA3303" s="12" t="s">
        <v>1268</v>
      </c>
      <c r="AB3303" s="12"/>
    </row>
    <row r="3304" spans="1:28" x14ac:dyDescent="0.3">
      <c r="A3304" s="12" t="s">
        <v>5226</v>
      </c>
      <c r="B3304" s="12" t="s">
        <v>206</v>
      </c>
      <c r="C3304" s="12" t="s">
        <v>532</v>
      </c>
      <c r="D3304" s="12" t="s">
        <v>5136</v>
      </c>
      <c r="E3304" s="12" t="s">
        <v>2978</v>
      </c>
      <c r="F3304" s="12" t="s">
        <v>1862</v>
      </c>
      <c r="G3304" s="12" t="s">
        <v>1862</v>
      </c>
      <c r="H3304" s="12" t="b">
        <v>1</v>
      </c>
      <c r="I3304" s="12" t="b">
        <v>0</v>
      </c>
      <c r="J3304" s="12" t="b">
        <v>1</v>
      </c>
      <c r="K3304" s="12" t="b">
        <v>0</v>
      </c>
      <c r="L3304" s="12">
        <v>623.15</v>
      </c>
      <c r="M3304" s="12">
        <v>290.8687457477053</v>
      </c>
      <c r="N3304" s="12">
        <v>4771.0072398305729</v>
      </c>
      <c r="O3304" s="12">
        <v>1323.993703260858</v>
      </c>
      <c r="P3304" s="12">
        <v>0.57745427190280985</v>
      </c>
      <c r="Q3304" s="12">
        <v>0.65685182016564458</v>
      </c>
      <c r="R3304" s="12">
        <v>0.4419190139429327</v>
      </c>
      <c r="S3304" s="12">
        <v>0.46228856945523877</v>
      </c>
      <c r="T3304" s="12">
        <v>0.93823709696089364</v>
      </c>
      <c r="U3304" s="12">
        <v>0.51017683287298521</v>
      </c>
      <c r="V3304" s="12">
        <v>290.8687457477053</v>
      </c>
      <c r="W3304" s="12">
        <v>-4.5701384685136199</v>
      </c>
      <c r="X3304" s="12">
        <v>-35.481317250684398</v>
      </c>
      <c r="Y3304" s="12">
        <v>3447.0135365697151</v>
      </c>
      <c r="Z3304" s="12">
        <v>3.6034969260654961</v>
      </c>
      <c r="AA3304" s="12" t="s">
        <v>2513</v>
      </c>
      <c r="AB3304" s="12"/>
    </row>
    <row r="3305" spans="1:28" x14ac:dyDescent="0.3">
      <c r="A3305" s="12" t="s">
        <v>5227</v>
      </c>
      <c r="B3305" s="12" t="s">
        <v>206</v>
      </c>
      <c r="C3305" s="12" t="s">
        <v>532</v>
      </c>
      <c r="D3305" s="12" t="s">
        <v>5136</v>
      </c>
      <c r="E3305" s="12" t="s">
        <v>2978</v>
      </c>
      <c r="F3305" s="12" t="s">
        <v>832</v>
      </c>
      <c r="G3305" s="12" t="s">
        <v>832</v>
      </c>
      <c r="H3305" s="12" t="b">
        <v>0</v>
      </c>
      <c r="I3305" s="12" t="b">
        <v>0</v>
      </c>
      <c r="J3305" s="12" t="b">
        <v>0</v>
      </c>
      <c r="K3305" s="12" t="b">
        <v>0</v>
      </c>
      <c r="L3305" s="12">
        <v>623.15</v>
      </c>
      <c r="M3305" s="12">
        <v>292.5316375401303</v>
      </c>
      <c r="N3305" s="12">
        <v>3030.4384890784449</v>
      </c>
      <c r="O3305" s="12">
        <v>1749.0061608234739</v>
      </c>
      <c r="P3305" s="12">
        <v>0.80109181586109524</v>
      </c>
      <c r="Q3305" s="12">
        <v>0.43616191458263448</v>
      </c>
      <c r="R3305" s="12">
        <v>0.50731281739663947</v>
      </c>
      <c r="S3305" s="12">
        <v>0.78404254481142277</v>
      </c>
      <c r="T3305" s="12">
        <v>0.84908979058231093</v>
      </c>
      <c r="U3305" s="12">
        <v>0.55763692906289808</v>
      </c>
      <c r="V3305" s="12">
        <v>292.5316375401303</v>
      </c>
      <c r="W3305" s="12"/>
      <c r="X3305" s="12"/>
      <c r="Y3305" s="12">
        <v>1281.432328254971</v>
      </c>
      <c r="Z3305" s="12">
        <v>1.7326631300438891</v>
      </c>
      <c r="AA3305" s="12"/>
      <c r="AB3305" s="12"/>
    </row>
    <row r="3306" spans="1:28" x14ac:dyDescent="0.3">
      <c r="A3306" s="12" t="s">
        <v>5228</v>
      </c>
      <c r="B3306" s="12" t="s">
        <v>206</v>
      </c>
      <c r="C3306" s="12" t="s">
        <v>532</v>
      </c>
      <c r="D3306" s="12" t="s">
        <v>5136</v>
      </c>
      <c r="E3306" s="12" t="s">
        <v>2978</v>
      </c>
      <c r="F3306" s="12" t="s">
        <v>1862</v>
      </c>
      <c r="G3306" s="12" t="s">
        <v>1862</v>
      </c>
      <c r="H3306" s="12" t="b">
        <v>1</v>
      </c>
      <c r="I3306" s="12" t="b">
        <v>0</v>
      </c>
      <c r="J3306" s="12" t="b">
        <v>1</v>
      </c>
      <c r="K3306" s="12" t="b">
        <v>0</v>
      </c>
      <c r="L3306" s="12">
        <v>623.15</v>
      </c>
      <c r="M3306" s="12">
        <v>302.87418591651652</v>
      </c>
      <c r="N3306" s="12">
        <v>2649.6247104509798</v>
      </c>
      <c r="O3306" s="12">
        <v>1638.1967123512929</v>
      </c>
      <c r="P3306" s="12">
        <v>0.51928324168223883</v>
      </c>
      <c r="Q3306" s="12">
        <v>0.45738151407591532</v>
      </c>
      <c r="R3306" s="12">
        <v>0.58192668091454236</v>
      </c>
      <c r="S3306" s="12">
        <v>0.61909388901539653</v>
      </c>
      <c r="T3306" s="12">
        <v>0.54786582762977265</v>
      </c>
      <c r="U3306" s="12">
        <v>0.41526612369189192</v>
      </c>
      <c r="V3306" s="12">
        <v>302.87418591651652</v>
      </c>
      <c r="W3306" s="12">
        <v>-4.6477791387080796</v>
      </c>
      <c r="X3306" s="12">
        <v>-39.514192612472179</v>
      </c>
      <c r="Y3306" s="12">
        <v>1011.427998099687</v>
      </c>
      <c r="Z3306" s="12">
        <v>1.617403264500507</v>
      </c>
      <c r="AA3306" s="12" t="s">
        <v>2513</v>
      </c>
      <c r="AB3306" s="12"/>
    </row>
    <row r="3307" spans="1:28" x14ac:dyDescent="0.3">
      <c r="A3307" s="12" t="s">
        <v>5229</v>
      </c>
      <c r="B3307" s="12" t="s">
        <v>206</v>
      </c>
      <c r="C3307" s="12" t="s">
        <v>532</v>
      </c>
      <c r="D3307" s="12" t="s">
        <v>5136</v>
      </c>
      <c r="E3307" s="12" t="s">
        <v>2978</v>
      </c>
      <c r="F3307" s="12" t="s">
        <v>832</v>
      </c>
      <c r="G3307" s="12" t="s">
        <v>832</v>
      </c>
      <c r="H3307" s="12" t="b">
        <v>0</v>
      </c>
      <c r="I3307" s="12" t="b">
        <v>0</v>
      </c>
      <c r="J3307" s="12" t="b">
        <v>0</v>
      </c>
      <c r="K3307" s="12" t="b">
        <v>0</v>
      </c>
      <c r="L3307" s="12">
        <v>623.15</v>
      </c>
      <c r="M3307" s="12">
        <v>301.2407405396475</v>
      </c>
      <c r="N3307" s="12">
        <v>4364.9832117882861</v>
      </c>
      <c r="O3307" s="12">
        <v>310.76100381092579</v>
      </c>
      <c r="P3307" s="12">
        <v>0.82662312933310889</v>
      </c>
      <c r="Q3307" s="12">
        <v>0.74127213871330788</v>
      </c>
      <c r="R3307" s="12">
        <v>0.83793692793016306</v>
      </c>
      <c r="S3307" s="12">
        <v>0.8751716232416038</v>
      </c>
      <c r="T3307" s="12">
        <v>0.88552657819455838</v>
      </c>
      <c r="U3307" s="12">
        <v>0.45577754993479092</v>
      </c>
      <c r="V3307" s="12">
        <v>301.2407405396475</v>
      </c>
      <c r="W3307" s="12"/>
      <c r="X3307" s="12"/>
      <c r="Y3307" s="12">
        <v>4054.2222079773601</v>
      </c>
      <c r="Z3307" s="12">
        <v>14.046109898795549</v>
      </c>
      <c r="AA3307" s="12"/>
      <c r="AB3307" s="12"/>
    </row>
    <row r="3308" spans="1:28" x14ac:dyDescent="0.3">
      <c r="A3308" s="12" t="s">
        <v>5230</v>
      </c>
      <c r="B3308" s="12" t="s">
        <v>206</v>
      </c>
      <c r="C3308" s="12" t="s">
        <v>532</v>
      </c>
      <c r="D3308" s="12" t="s">
        <v>5136</v>
      </c>
      <c r="E3308" s="12" t="s">
        <v>2978</v>
      </c>
      <c r="F3308" s="12" t="s">
        <v>832</v>
      </c>
      <c r="G3308" s="12" t="s">
        <v>832</v>
      </c>
      <c r="H3308" s="12" t="b">
        <v>0</v>
      </c>
      <c r="I3308" s="12" t="b">
        <v>0</v>
      </c>
      <c r="J3308" s="12" t="b">
        <v>0</v>
      </c>
      <c r="K3308" s="12" t="b">
        <v>0</v>
      </c>
      <c r="L3308" s="12">
        <v>623.15</v>
      </c>
      <c r="M3308" s="12">
        <v>291.93099129512399</v>
      </c>
      <c r="N3308" s="12">
        <v>2771.4599424546318</v>
      </c>
      <c r="O3308" s="12">
        <v>1846.4172320102959</v>
      </c>
      <c r="P3308" s="12">
        <v>0.81767456518909909</v>
      </c>
      <c r="Q3308" s="12">
        <v>0.77473823039557055</v>
      </c>
      <c r="R3308" s="12">
        <v>0.63163442739980769</v>
      </c>
      <c r="S3308" s="12">
        <v>0.91668770119427123</v>
      </c>
      <c r="T3308" s="12">
        <v>0.8803377782292201</v>
      </c>
      <c r="U3308" s="12">
        <v>0.42406747062241951</v>
      </c>
      <c r="V3308" s="12">
        <v>291.93099129512399</v>
      </c>
      <c r="W3308" s="12"/>
      <c r="X3308" s="12"/>
      <c r="Y3308" s="12">
        <v>925.04271044433597</v>
      </c>
      <c r="Z3308" s="12">
        <v>1.5009933261060351</v>
      </c>
      <c r="AA3308" s="12"/>
      <c r="AB3308" s="12"/>
    </row>
    <row r="3309" spans="1:28" x14ac:dyDescent="0.3">
      <c r="A3309" s="12" t="s">
        <v>5231</v>
      </c>
      <c r="B3309" s="12" t="s">
        <v>206</v>
      </c>
      <c r="C3309" s="12" t="s">
        <v>532</v>
      </c>
      <c r="D3309" s="12" t="s">
        <v>5136</v>
      </c>
      <c r="E3309" s="12" t="s">
        <v>2978</v>
      </c>
      <c r="F3309" s="12" t="s">
        <v>1862</v>
      </c>
      <c r="G3309" s="12" t="s">
        <v>1862</v>
      </c>
      <c r="H3309" s="12" t="b">
        <v>1</v>
      </c>
      <c r="I3309" s="12" t="b">
        <v>0</v>
      </c>
      <c r="J3309" s="12" t="b">
        <v>1</v>
      </c>
      <c r="K3309" s="12" t="b">
        <v>0</v>
      </c>
      <c r="L3309" s="12">
        <v>623.15</v>
      </c>
      <c r="M3309" s="12">
        <v>287.45019299957482</v>
      </c>
      <c r="N3309" s="12">
        <v>2308.085894579523</v>
      </c>
      <c r="O3309" s="12">
        <v>1935.692557992732</v>
      </c>
      <c r="P3309" s="12">
        <v>0.53527976015689449</v>
      </c>
      <c r="Q3309" s="12">
        <v>0.45207943982119098</v>
      </c>
      <c r="R3309" s="12">
        <v>0.66962989044803312</v>
      </c>
      <c r="S3309" s="12">
        <v>0.57183460076365311</v>
      </c>
      <c r="T3309" s="12">
        <v>0.83449582415612855</v>
      </c>
      <c r="U3309" s="12">
        <v>0.50620841395316718</v>
      </c>
      <c r="V3309" s="12">
        <v>287.45019299957482</v>
      </c>
      <c r="W3309" s="12">
        <v>-0.37658253431477001</v>
      </c>
      <c r="X3309" s="12">
        <v>-3.7586524916779358</v>
      </c>
      <c r="Y3309" s="12">
        <v>372.39333658679112</v>
      </c>
      <c r="Z3309" s="12">
        <v>1.192382480910581</v>
      </c>
      <c r="AA3309" s="12" t="s">
        <v>2513</v>
      </c>
      <c r="AB3309" s="12"/>
    </row>
    <row r="3310" spans="1:28" x14ac:dyDescent="0.3">
      <c r="A3310" s="12" t="s">
        <v>5232</v>
      </c>
      <c r="B3310" s="12" t="s">
        <v>206</v>
      </c>
      <c r="C3310" s="12" t="s">
        <v>532</v>
      </c>
      <c r="D3310" s="12" t="s">
        <v>5136</v>
      </c>
      <c r="E3310" s="12" t="s">
        <v>2978</v>
      </c>
      <c r="F3310" s="12" t="s">
        <v>32</v>
      </c>
      <c r="G3310" s="12" t="s">
        <v>32</v>
      </c>
      <c r="H3310" s="12" t="b">
        <v>1</v>
      </c>
      <c r="I3310" s="12" t="b">
        <v>0</v>
      </c>
      <c r="J3310" s="12" t="b">
        <v>1</v>
      </c>
      <c r="K3310" s="12" t="b">
        <v>0</v>
      </c>
      <c r="L3310" s="12">
        <v>623.15</v>
      </c>
      <c r="M3310" s="12">
        <v>296.92477845177558</v>
      </c>
      <c r="N3310" s="12">
        <v>3788.9407172169458</v>
      </c>
      <c r="O3310" s="12">
        <v>965.45742397982758</v>
      </c>
      <c r="P3310" s="12">
        <v>0.54440817760420379</v>
      </c>
      <c r="Q3310" s="12">
        <v>0.72450684375651364</v>
      </c>
      <c r="R3310" s="12">
        <v>0.94989021930279838</v>
      </c>
      <c r="S3310" s="12">
        <v>0.49317339328235749</v>
      </c>
      <c r="T3310" s="12">
        <v>0.65197758380018045</v>
      </c>
      <c r="U3310" s="12">
        <v>0.90285137108852076</v>
      </c>
      <c r="V3310" s="12">
        <v>296.92477845177558</v>
      </c>
      <c r="W3310" s="12">
        <v>8.1116423740922805</v>
      </c>
      <c r="X3310" s="12">
        <v>95.971528007501377</v>
      </c>
      <c r="Y3310" s="12">
        <v>2823.4832932371178</v>
      </c>
      <c r="Z3310" s="12">
        <v>3.9245031661759868</v>
      </c>
      <c r="AA3310" s="12"/>
      <c r="AB3310" s="12"/>
    </row>
    <row r="3311" spans="1:28" x14ac:dyDescent="0.3">
      <c r="A3311" s="12" t="s">
        <v>5233</v>
      </c>
      <c r="B3311" s="12" t="s">
        <v>206</v>
      </c>
      <c r="C3311" s="12" t="s">
        <v>532</v>
      </c>
      <c r="D3311" s="12" t="s">
        <v>5136</v>
      </c>
      <c r="E3311" s="12" t="s">
        <v>2978</v>
      </c>
      <c r="F3311" s="12" t="s">
        <v>1861</v>
      </c>
      <c r="G3311" s="12" t="s">
        <v>1861</v>
      </c>
      <c r="H3311" s="12" t="b">
        <v>1</v>
      </c>
      <c r="I3311" s="12" t="b">
        <v>0</v>
      </c>
      <c r="J3311" s="12" t="b">
        <v>1</v>
      </c>
      <c r="K3311" s="12" t="b">
        <v>0</v>
      </c>
      <c r="L3311" s="12">
        <v>623.15</v>
      </c>
      <c r="M3311" s="12">
        <v>282.95966290348832</v>
      </c>
      <c r="N3311" s="12">
        <v>2926.7799280249769</v>
      </c>
      <c r="O3311" s="12">
        <v>1536.3514820151661</v>
      </c>
      <c r="P3311" s="12">
        <v>0.73666385724866357</v>
      </c>
      <c r="Q3311" s="12">
        <v>0.78027723365733681</v>
      </c>
      <c r="R3311" s="12">
        <v>0.6224289733268602</v>
      </c>
      <c r="S3311" s="12">
        <v>0.75254734293594294</v>
      </c>
      <c r="T3311" s="12">
        <v>0.77923521503003634</v>
      </c>
      <c r="U3311" s="12">
        <v>0.8863992838492134</v>
      </c>
      <c r="V3311" s="12">
        <v>282.95966290348832</v>
      </c>
      <c r="W3311" s="12">
        <v>4.9562000550834293</v>
      </c>
      <c r="X3311" s="12">
        <v>84.96381285239724</v>
      </c>
      <c r="Y3311" s="12">
        <v>1390.4284460098111</v>
      </c>
      <c r="Z3311" s="12">
        <v>1.9050197577093779</v>
      </c>
      <c r="AA3311" s="12" t="s">
        <v>1268</v>
      </c>
      <c r="AB3311" s="12"/>
    </row>
    <row r="3312" spans="1:28" x14ac:dyDescent="0.3">
      <c r="A3312" s="12" t="s">
        <v>5234</v>
      </c>
      <c r="B3312" s="12" t="s">
        <v>206</v>
      </c>
      <c r="C3312" s="12" t="s">
        <v>532</v>
      </c>
      <c r="D3312" s="12" t="s">
        <v>5136</v>
      </c>
      <c r="E3312" s="12" t="s">
        <v>2978</v>
      </c>
      <c r="F3312" s="12" t="s">
        <v>1861</v>
      </c>
      <c r="G3312" s="12" t="s">
        <v>1861</v>
      </c>
      <c r="H3312" s="12" t="b">
        <v>1</v>
      </c>
      <c r="I3312" s="12" t="b">
        <v>0</v>
      </c>
      <c r="J3312" s="12" t="b">
        <v>0</v>
      </c>
      <c r="K3312" s="12" t="b">
        <v>0</v>
      </c>
      <c r="L3312" s="12">
        <v>623.15</v>
      </c>
      <c r="M3312" s="12">
        <v>288.48906896122048</v>
      </c>
      <c r="N3312" s="12">
        <v>3093.549445566448</v>
      </c>
      <c r="O3312" s="12">
        <v>1764.545055331969</v>
      </c>
      <c r="P3312" s="12">
        <v>0.7960045780393018</v>
      </c>
      <c r="Q3312" s="12">
        <v>0.50567153008981469</v>
      </c>
      <c r="R3312" s="12">
        <v>0.57706247682326683</v>
      </c>
      <c r="S3312" s="12">
        <v>0.54388976744396855</v>
      </c>
      <c r="T3312" s="12">
        <v>0.85841834917253967</v>
      </c>
      <c r="U3312" s="12">
        <v>0.82015879623474652</v>
      </c>
      <c r="V3312" s="12">
        <v>288.48906896122048</v>
      </c>
      <c r="W3312" s="12">
        <v>2.95814228955137</v>
      </c>
      <c r="X3312" s="12">
        <v>33.362943001865503</v>
      </c>
      <c r="Y3312" s="12">
        <v>1329.0043902344801</v>
      </c>
      <c r="Z3312" s="12">
        <v>1.7531711282852169</v>
      </c>
      <c r="AA3312" s="12" t="s">
        <v>1268</v>
      </c>
      <c r="AB3312" s="12"/>
    </row>
    <row r="3313" spans="1:28" x14ac:dyDescent="0.3">
      <c r="A3313" s="12" t="s">
        <v>5235</v>
      </c>
      <c r="B3313" s="12" t="s">
        <v>206</v>
      </c>
      <c r="C3313" s="12" t="s">
        <v>532</v>
      </c>
      <c r="D3313" s="12" t="s">
        <v>5136</v>
      </c>
      <c r="E3313" s="12" t="s">
        <v>2978</v>
      </c>
      <c r="F3313" s="12" t="s">
        <v>1861</v>
      </c>
      <c r="G3313" s="12" t="s">
        <v>1861</v>
      </c>
      <c r="H3313" s="12" t="b">
        <v>1</v>
      </c>
      <c r="I3313" s="12" t="b">
        <v>0</v>
      </c>
      <c r="J3313" s="12" t="b">
        <v>1</v>
      </c>
      <c r="K3313" s="12" t="b">
        <v>0</v>
      </c>
      <c r="L3313" s="12">
        <v>623.15</v>
      </c>
      <c r="M3313" s="12">
        <v>293.88510759715439</v>
      </c>
      <c r="N3313" s="12">
        <v>4626.7559133667928</v>
      </c>
      <c r="O3313" s="12">
        <v>607.39935341892078</v>
      </c>
      <c r="P3313" s="12">
        <v>0.70599788435656397</v>
      </c>
      <c r="Q3313" s="12">
        <v>0.42791089689959061</v>
      </c>
      <c r="R3313" s="12">
        <v>0.67777810834708752</v>
      </c>
      <c r="S3313" s="12">
        <v>0.70536517112782837</v>
      </c>
      <c r="T3313" s="12">
        <v>0.53123236048327038</v>
      </c>
      <c r="U3313" s="12">
        <v>0.86744528988480174</v>
      </c>
      <c r="V3313" s="12">
        <v>293.88510759715439</v>
      </c>
      <c r="W3313" s="12">
        <v>6.5107720445949298</v>
      </c>
      <c r="X3313" s="12">
        <v>100.882420017722</v>
      </c>
      <c r="Y3313" s="12">
        <v>4019.356559947872</v>
      </c>
      <c r="Z3313" s="12">
        <v>7.6173211040212268</v>
      </c>
      <c r="AA3313" s="12" t="s">
        <v>1268</v>
      </c>
      <c r="AB3313" s="12"/>
    </row>
    <row r="3314" spans="1:28" x14ac:dyDescent="0.3">
      <c r="A3314" s="12" t="s">
        <v>5236</v>
      </c>
      <c r="B3314" s="12" t="s">
        <v>206</v>
      </c>
      <c r="C3314" s="12" t="s">
        <v>542</v>
      </c>
      <c r="D3314" s="12" t="s">
        <v>5237</v>
      </c>
      <c r="E3314" s="12" t="s">
        <v>2978</v>
      </c>
      <c r="F3314" s="12" t="s">
        <v>1861</v>
      </c>
      <c r="G3314" s="12" t="s">
        <v>1861</v>
      </c>
      <c r="H3314" s="12" t="b">
        <v>1</v>
      </c>
      <c r="I3314" s="12" t="b">
        <v>0</v>
      </c>
      <c r="J3314" s="12" t="b">
        <v>1</v>
      </c>
      <c r="K3314" s="12" t="b">
        <v>0</v>
      </c>
      <c r="L3314" s="12">
        <v>508.97893726767501</v>
      </c>
      <c r="M3314" s="12">
        <v>286.2701850215268</v>
      </c>
      <c r="N3314" s="12">
        <v>2509.1118007331552</v>
      </c>
      <c r="O3314" s="12">
        <v>601.04727933828667</v>
      </c>
      <c r="P3314" s="12">
        <v>0.63041807709723208</v>
      </c>
      <c r="Q3314" s="12">
        <v>0.85</v>
      </c>
      <c r="R3314" s="12">
        <v>0.75</v>
      </c>
      <c r="S3314" s="12">
        <v>0.85</v>
      </c>
      <c r="T3314" s="12">
        <v>0.75</v>
      </c>
      <c r="U3314" s="12">
        <v>0.8</v>
      </c>
      <c r="V3314" s="12">
        <v>286.2701850215268</v>
      </c>
      <c r="W3314" s="12">
        <v>9.9658406407154487</v>
      </c>
      <c r="X3314" s="12">
        <v>163.3635480445304</v>
      </c>
      <c r="Y3314" s="12">
        <v>1908.0645213948681</v>
      </c>
      <c r="Z3314" s="12">
        <v>4.1745664392583572</v>
      </c>
      <c r="AA3314" s="12" t="s">
        <v>1268</v>
      </c>
      <c r="AB3314" s="12"/>
    </row>
    <row r="3315" spans="1:28" x14ac:dyDescent="0.3">
      <c r="A3315" s="12" t="s">
        <v>5238</v>
      </c>
      <c r="B3315" s="12" t="s">
        <v>206</v>
      </c>
      <c r="C3315" s="12" t="s">
        <v>542</v>
      </c>
      <c r="D3315" s="12" t="s">
        <v>5237</v>
      </c>
      <c r="E3315" s="12" t="s">
        <v>2978</v>
      </c>
      <c r="F3315" s="12" t="s">
        <v>1861</v>
      </c>
      <c r="G3315" s="12" t="s">
        <v>1861</v>
      </c>
      <c r="H3315" s="12" t="b">
        <v>1</v>
      </c>
      <c r="I3315" s="12" t="b">
        <v>0</v>
      </c>
      <c r="J3315" s="12" t="b">
        <v>1</v>
      </c>
      <c r="K3315" s="12" t="b">
        <v>0</v>
      </c>
      <c r="L3315" s="12">
        <v>463.85543436669599</v>
      </c>
      <c r="M3315" s="12">
        <v>300.15861168806049</v>
      </c>
      <c r="N3315" s="12">
        <v>2082.367266100714</v>
      </c>
      <c r="O3315" s="12">
        <v>1416.236445321354</v>
      </c>
      <c r="P3315" s="12">
        <v>0.53690600914282549</v>
      </c>
      <c r="Q3315" s="12">
        <v>0.85</v>
      </c>
      <c r="R3315" s="12">
        <v>0.75</v>
      </c>
      <c r="S3315" s="12">
        <v>0.85</v>
      </c>
      <c r="T3315" s="12">
        <v>0.75</v>
      </c>
      <c r="U3315" s="12">
        <v>0.8</v>
      </c>
      <c r="V3315" s="12">
        <v>300.15861168806049</v>
      </c>
      <c r="W3315" s="12">
        <v>2.9003034114706701</v>
      </c>
      <c r="X3315" s="12">
        <v>46.195818318610442</v>
      </c>
      <c r="Y3315" s="12">
        <v>666.13082077935906</v>
      </c>
      <c r="Z3315" s="12">
        <v>1.470352830546038</v>
      </c>
      <c r="AA3315" s="12" t="s">
        <v>1268</v>
      </c>
      <c r="AB3315" s="12"/>
    </row>
    <row r="3316" spans="1:28" x14ac:dyDescent="0.3">
      <c r="A3316" s="12" t="s">
        <v>5239</v>
      </c>
      <c r="B3316" s="12" t="s">
        <v>206</v>
      </c>
      <c r="C3316" s="12" t="s">
        <v>542</v>
      </c>
      <c r="D3316" s="12" t="s">
        <v>5237</v>
      </c>
      <c r="E3316" s="12" t="s">
        <v>2978</v>
      </c>
      <c r="F3316" s="12" t="s">
        <v>32</v>
      </c>
      <c r="G3316" s="12" t="s">
        <v>32</v>
      </c>
      <c r="H3316" s="12" t="b">
        <v>1</v>
      </c>
      <c r="I3316" s="12" t="b">
        <v>1</v>
      </c>
      <c r="J3316" s="12" t="b">
        <v>0</v>
      </c>
      <c r="K3316" s="12" t="b">
        <v>0</v>
      </c>
      <c r="L3316" s="12">
        <v>391.70401077034597</v>
      </c>
      <c r="M3316" s="12">
        <v>282.68147916966831</v>
      </c>
      <c r="N3316" s="12">
        <v>3279.1669450439872</v>
      </c>
      <c r="O3316" s="12">
        <v>1881.0861804245951</v>
      </c>
      <c r="P3316" s="12">
        <v>0.65356454991021895</v>
      </c>
      <c r="Q3316" s="12">
        <v>0.85</v>
      </c>
      <c r="R3316" s="12">
        <v>0.75</v>
      </c>
      <c r="S3316" s="12">
        <v>0.85</v>
      </c>
      <c r="T3316" s="12">
        <v>0.75</v>
      </c>
      <c r="U3316" s="12">
        <v>0.8</v>
      </c>
      <c r="V3316" s="12">
        <v>282.68147916966831</v>
      </c>
      <c r="W3316" s="12">
        <v>3.8483779103648899</v>
      </c>
      <c r="X3316" s="12">
        <v>18.561678062674169</v>
      </c>
      <c r="Y3316" s="12">
        <v>1398.0807646193921</v>
      </c>
      <c r="Z3316" s="12">
        <v>1.7432305755942661</v>
      </c>
      <c r="AA3316" s="12"/>
      <c r="AB3316" s="12"/>
    </row>
    <row r="3317" spans="1:28" x14ac:dyDescent="0.3">
      <c r="A3317" s="12" t="s">
        <v>5240</v>
      </c>
      <c r="B3317" s="12" t="s">
        <v>206</v>
      </c>
      <c r="C3317" s="12" t="s">
        <v>542</v>
      </c>
      <c r="D3317" s="12" t="s">
        <v>5237</v>
      </c>
      <c r="E3317" s="12" t="s">
        <v>2978</v>
      </c>
      <c r="F3317" s="12" t="s">
        <v>1861</v>
      </c>
      <c r="G3317" s="12" t="s">
        <v>1861</v>
      </c>
      <c r="H3317" s="12" t="b">
        <v>1</v>
      </c>
      <c r="I3317" s="12" t="b">
        <v>0</v>
      </c>
      <c r="J3317" s="12" t="b">
        <v>1</v>
      </c>
      <c r="K3317" s="12" t="b">
        <v>0</v>
      </c>
      <c r="L3317" s="12">
        <v>465.50420221068151</v>
      </c>
      <c r="M3317" s="12">
        <v>301.1939397869653</v>
      </c>
      <c r="N3317" s="12">
        <v>4267.6837207705121</v>
      </c>
      <c r="O3317" s="12">
        <v>1796.5321347496049</v>
      </c>
      <c r="P3317" s="12">
        <v>0.69025621624173406</v>
      </c>
      <c r="Q3317" s="12">
        <v>0.85</v>
      </c>
      <c r="R3317" s="12">
        <v>0.75</v>
      </c>
      <c r="S3317" s="12">
        <v>0.85</v>
      </c>
      <c r="T3317" s="12">
        <v>0.75</v>
      </c>
      <c r="U3317" s="12">
        <v>0.8</v>
      </c>
      <c r="V3317" s="12">
        <v>301.1939397869653</v>
      </c>
      <c r="W3317" s="12">
        <v>7.3045747153785596</v>
      </c>
      <c r="X3317" s="12">
        <v>99.311376577851476</v>
      </c>
      <c r="Y3317" s="12">
        <v>2471.151586020907</v>
      </c>
      <c r="Z3317" s="12">
        <v>2.3755120424635918</v>
      </c>
      <c r="AA3317" s="12" t="s">
        <v>1268</v>
      </c>
      <c r="AB3317" s="12"/>
    </row>
    <row r="3318" spans="1:28" x14ac:dyDescent="0.3">
      <c r="A3318" s="12" t="s">
        <v>5241</v>
      </c>
      <c r="B3318" s="12" t="s">
        <v>206</v>
      </c>
      <c r="C3318" s="12" t="s">
        <v>542</v>
      </c>
      <c r="D3318" s="12" t="s">
        <v>5237</v>
      </c>
      <c r="E3318" s="12" t="s">
        <v>2978</v>
      </c>
      <c r="F3318" s="12" t="s">
        <v>832</v>
      </c>
      <c r="G3318" s="12" t="s">
        <v>832</v>
      </c>
      <c r="H3318" s="12" t="b">
        <v>0</v>
      </c>
      <c r="I3318" s="12" t="b">
        <v>0</v>
      </c>
      <c r="J3318" s="12" t="b">
        <v>0</v>
      </c>
      <c r="K3318" s="12" t="b">
        <v>0</v>
      </c>
      <c r="L3318" s="12">
        <v>512.49854344370135</v>
      </c>
      <c r="M3318" s="12">
        <v>302.68471198706982</v>
      </c>
      <c r="N3318" s="12">
        <v>3079.6643301532199</v>
      </c>
      <c r="O3318" s="12">
        <v>409.32368814172071</v>
      </c>
      <c r="P3318" s="12">
        <v>0.84766156885563382</v>
      </c>
      <c r="Q3318" s="12">
        <v>0.85</v>
      </c>
      <c r="R3318" s="12">
        <v>0.75</v>
      </c>
      <c r="S3318" s="12">
        <v>0.85</v>
      </c>
      <c r="T3318" s="12">
        <v>0.75</v>
      </c>
      <c r="U3318" s="12">
        <v>0.8</v>
      </c>
      <c r="V3318" s="12">
        <v>302.68471198706982</v>
      </c>
      <c r="W3318" s="12"/>
      <c r="X3318" s="12"/>
      <c r="Y3318" s="12">
        <v>2670.3406420115002</v>
      </c>
      <c r="Z3318" s="12">
        <v>7.523787211374251</v>
      </c>
      <c r="AA3318" s="12"/>
      <c r="AB3318" s="12"/>
    </row>
    <row r="3319" spans="1:28" x14ac:dyDescent="0.3">
      <c r="A3319" s="12" t="s">
        <v>5242</v>
      </c>
      <c r="B3319" s="12" t="s">
        <v>206</v>
      </c>
      <c r="C3319" s="12" t="s">
        <v>542</v>
      </c>
      <c r="D3319" s="12" t="s">
        <v>5237</v>
      </c>
      <c r="E3319" s="12" t="s">
        <v>2978</v>
      </c>
      <c r="F3319" s="12" t="s">
        <v>1861</v>
      </c>
      <c r="G3319" s="12" t="s">
        <v>1861</v>
      </c>
      <c r="H3319" s="12" t="b">
        <v>1</v>
      </c>
      <c r="I3319" s="12" t="b">
        <v>0</v>
      </c>
      <c r="J3319" s="12" t="b">
        <v>1</v>
      </c>
      <c r="K3319" s="12" t="b">
        <v>0</v>
      </c>
      <c r="L3319" s="12">
        <v>476.62648036599359</v>
      </c>
      <c r="M3319" s="12">
        <v>284.85969693623417</v>
      </c>
      <c r="N3319" s="12">
        <v>2627.07507803935</v>
      </c>
      <c r="O3319" s="12">
        <v>327.02787070545071</v>
      </c>
      <c r="P3319" s="12">
        <v>0.72117287399329211</v>
      </c>
      <c r="Q3319" s="12">
        <v>0.85</v>
      </c>
      <c r="R3319" s="12">
        <v>0.75</v>
      </c>
      <c r="S3319" s="12">
        <v>0.85</v>
      </c>
      <c r="T3319" s="12">
        <v>0.75</v>
      </c>
      <c r="U3319" s="12">
        <v>0.8</v>
      </c>
      <c r="V3319" s="12">
        <v>284.85969693623417</v>
      </c>
      <c r="W3319" s="12">
        <v>10.673439019268571</v>
      </c>
      <c r="X3319" s="12">
        <v>121.558304729437</v>
      </c>
      <c r="Y3319" s="12">
        <v>2300.0472073338992</v>
      </c>
      <c r="Z3319" s="12">
        <v>8.033184059732692</v>
      </c>
      <c r="AA3319" s="12" t="s">
        <v>1268</v>
      </c>
      <c r="AB3319" s="12"/>
    </row>
    <row r="3320" spans="1:28" x14ac:dyDescent="0.3">
      <c r="A3320" s="12" t="s">
        <v>5243</v>
      </c>
      <c r="B3320" s="12" t="s">
        <v>206</v>
      </c>
      <c r="C3320" s="12" t="s">
        <v>542</v>
      </c>
      <c r="D3320" s="12" t="s">
        <v>5237</v>
      </c>
      <c r="E3320" s="12" t="s">
        <v>2978</v>
      </c>
      <c r="F3320" s="12" t="s">
        <v>1861</v>
      </c>
      <c r="G3320" s="12" t="s">
        <v>1861</v>
      </c>
      <c r="H3320" s="12" t="b">
        <v>1</v>
      </c>
      <c r="I3320" s="12" t="b">
        <v>0</v>
      </c>
      <c r="J3320" s="12" t="b">
        <v>0</v>
      </c>
      <c r="K3320" s="12" t="b">
        <v>0</v>
      </c>
      <c r="L3320" s="12">
        <v>416.52299071370118</v>
      </c>
      <c r="M3320" s="12">
        <v>292.06379774663128</v>
      </c>
      <c r="N3320" s="12">
        <v>2431.1275717819699</v>
      </c>
      <c r="O3320" s="12">
        <v>475.57627427470908</v>
      </c>
      <c r="P3320" s="12">
        <v>0.83430476200519055</v>
      </c>
      <c r="Q3320" s="12">
        <v>0.85</v>
      </c>
      <c r="R3320" s="12">
        <v>0.75</v>
      </c>
      <c r="S3320" s="12">
        <v>0.85</v>
      </c>
      <c r="T3320" s="12">
        <v>0.75</v>
      </c>
      <c r="U3320" s="12">
        <v>0.8</v>
      </c>
      <c r="V3320" s="12">
        <v>292.06379774663128</v>
      </c>
      <c r="W3320" s="12">
        <v>2.2243804198056099</v>
      </c>
      <c r="X3320" s="12">
        <v>12.3343291869783</v>
      </c>
      <c r="Y3320" s="12">
        <v>1955.5512975072611</v>
      </c>
      <c r="Z3320" s="12">
        <v>5.1119614314015749</v>
      </c>
      <c r="AA3320" s="12" t="s">
        <v>1268</v>
      </c>
      <c r="AB3320" s="12"/>
    </row>
    <row r="3321" spans="1:28" x14ac:dyDescent="0.3">
      <c r="A3321" s="12" t="s">
        <v>5244</v>
      </c>
      <c r="B3321" s="12" t="s">
        <v>206</v>
      </c>
      <c r="C3321" s="12" t="s">
        <v>542</v>
      </c>
      <c r="D3321" s="12" t="s">
        <v>5237</v>
      </c>
      <c r="E3321" s="12" t="s">
        <v>2978</v>
      </c>
      <c r="F3321" s="12" t="s">
        <v>1861</v>
      </c>
      <c r="G3321" s="12" t="s">
        <v>1861</v>
      </c>
      <c r="H3321" s="12" t="b">
        <v>1</v>
      </c>
      <c r="I3321" s="12" t="b">
        <v>0</v>
      </c>
      <c r="J3321" s="12" t="b">
        <v>1</v>
      </c>
      <c r="K3321" s="12" t="b">
        <v>0</v>
      </c>
      <c r="L3321" s="12">
        <v>433.23279748059781</v>
      </c>
      <c r="M3321" s="12">
        <v>296.76860743324318</v>
      </c>
      <c r="N3321" s="12">
        <v>3372.529864140196</v>
      </c>
      <c r="O3321" s="12">
        <v>1128.54482183143</v>
      </c>
      <c r="P3321" s="12">
        <v>0.59813054123787623</v>
      </c>
      <c r="Q3321" s="12">
        <v>0.85</v>
      </c>
      <c r="R3321" s="12">
        <v>0.75</v>
      </c>
      <c r="S3321" s="12">
        <v>0.85</v>
      </c>
      <c r="T3321" s="12">
        <v>0.75</v>
      </c>
      <c r="U3321" s="12">
        <v>0.8</v>
      </c>
      <c r="V3321" s="12">
        <v>296.76860743324318</v>
      </c>
      <c r="W3321" s="12">
        <v>8.6316455061300505</v>
      </c>
      <c r="X3321" s="12">
        <v>69.781421705661899</v>
      </c>
      <c r="Y3321" s="12">
        <v>2243.9850423087651</v>
      </c>
      <c r="Z3321" s="12">
        <v>2.9883880541555898</v>
      </c>
      <c r="AA3321" s="12" t="s">
        <v>1268</v>
      </c>
      <c r="AB3321" s="12"/>
    </row>
    <row r="3322" spans="1:28" x14ac:dyDescent="0.3">
      <c r="A3322" s="12" t="s">
        <v>5245</v>
      </c>
      <c r="B3322" s="12" t="s">
        <v>206</v>
      </c>
      <c r="C3322" s="12" t="s">
        <v>542</v>
      </c>
      <c r="D3322" s="12" t="s">
        <v>5237</v>
      </c>
      <c r="E3322" s="12" t="s">
        <v>2978</v>
      </c>
      <c r="F3322" s="12" t="s">
        <v>1861</v>
      </c>
      <c r="G3322" s="12" t="s">
        <v>1861</v>
      </c>
      <c r="H3322" s="12" t="b">
        <v>1</v>
      </c>
      <c r="I3322" s="12" t="b">
        <v>0</v>
      </c>
      <c r="J3322" s="12" t="b">
        <v>0</v>
      </c>
      <c r="K3322" s="12" t="b">
        <v>0</v>
      </c>
      <c r="L3322" s="12">
        <v>399.93602025790778</v>
      </c>
      <c r="M3322" s="12">
        <v>298.62422211801811</v>
      </c>
      <c r="N3322" s="12">
        <v>2106.6403329251821</v>
      </c>
      <c r="O3322" s="12">
        <v>1065.9187733051081</v>
      </c>
      <c r="P3322" s="12">
        <v>0.6558052278610278</v>
      </c>
      <c r="Q3322" s="12">
        <v>0.85</v>
      </c>
      <c r="R3322" s="12">
        <v>0.75</v>
      </c>
      <c r="S3322" s="12">
        <v>0.85</v>
      </c>
      <c r="T3322" s="12">
        <v>0.75</v>
      </c>
      <c r="U3322" s="12">
        <v>0.8</v>
      </c>
      <c r="V3322" s="12">
        <v>298.62422211801811</v>
      </c>
      <c r="W3322" s="12">
        <v>5.7621478911499704</v>
      </c>
      <c r="X3322" s="12">
        <v>42.438398631611598</v>
      </c>
      <c r="Y3322" s="12">
        <v>1040.7215596200731</v>
      </c>
      <c r="Z3322" s="12">
        <v>1.9763610377112451</v>
      </c>
      <c r="AA3322" s="12" t="s">
        <v>1268</v>
      </c>
      <c r="AB3322" s="12"/>
    </row>
    <row r="3323" spans="1:28" x14ac:dyDescent="0.3">
      <c r="A3323" s="12" t="s">
        <v>5246</v>
      </c>
      <c r="B3323" s="12" t="s">
        <v>206</v>
      </c>
      <c r="C3323" s="12" t="s">
        <v>542</v>
      </c>
      <c r="D3323" s="12" t="s">
        <v>5237</v>
      </c>
      <c r="E3323" s="12" t="s">
        <v>2978</v>
      </c>
      <c r="F3323" s="12" t="s">
        <v>1861</v>
      </c>
      <c r="G3323" s="12" t="s">
        <v>1861</v>
      </c>
      <c r="H3323" s="12" t="b">
        <v>1</v>
      </c>
      <c r="I3323" s="12" t="b">
        <v>0</v>
      </c>
      <c r="J3323" s="12" t="b">
        <v>1</v>
      </c>
      <c r="K3323" s="12" t="b">
        <v>0</v>
      </c>
      <c r="L3323" s="12">
        <v>482.87228332855358</v>
      </c>
      <c r="M3323" s="12">
        <v>292.90225415010048</v>
      </c>
      <c r="N3323" s="12">
        <v>3505.3061082988079</v>
      </c>
      <c r="O3323" s="12">
        <v>1375.6701750232719</v>
      </c>
      <c r="P3323" s="12">
        <v>0.82166055762391466</v>
      </c>
      <c r="Q3323" s="12">
        <v>0.85</v>
      </c>
      <c r="R3323" s="12">
        <v>0.75</v>
      </c>
      <c r="S3323" s="12">
        <v>0.85</v>
      </c>
      <c r="T3323" s="12">
        <v>0.75</v>
      </c>
      <c r="U3323" s="12">
        <v>0.8</v>
      </c>
      <c r="V3323" s="12">
        <v>292.90225415010048</v>
      </c>
      <c r="W3323" s="12">
        <v>8.1771992930977095</v>
      </c>
      <c r="X3323" s="12">
        <v>110.4420796451993</v>
      </c>
      <c r="Y3323" s="12">
        <v>2129.635933275536</v>
      </c>
      <c r="Z3323" s="12">
        <v>2.5480716031657149</v>
      </c>
      <c r="AA3323" s="12" t="s">
        <v>1268</v>
      </c>
      <c r="AB3323" s="12"/>
    </row>
    <row r="3324" spans="1:28" x14ac:dyDescent="0.3">
      <c r="A3324" s="12" t="s">
        <v>5247</v>
      </c>
      <c r="B3324" s="12" t="s">
        <v>206</v>
      </c>
      <c r="C3324" s="12" t="s">
        <v>542</v>
      </c>
      <c r="D3324" s="12" t="s">
        <v>5237</v>
      </c>
      <c r="E3324" s="12" t="s">
        <v>2978</v>
      </c>
      <c r="F3324" s="12" t="s">
        <v>32</v>
      </c>
      <c r="G3324" s="12" t="s">
        <v>32</v>
      </c>
      <c r="H3324" s="12" t="b">
        <v>1</v>
      </c>
      <c r="I3324" s="12" t="b">
        <v>1</v>
      </c>
      <c r="J3324" s="12" t="b">
        <v>0</v>
      </c>
      <c r="K3324" s="12" t="b">
        <v>0</v>
      </c>
      <c r="L3324" s="12">
        <v>397.80872665300842</v>
      </c>
      <c r="M3324" s="12">
        <v>287.33856728402219</v>
      </c>
      <c r="N3324" s="12">
        <v>4388.1350344871043</v>
      </c>
      <c r="O3324" s="12">
        <v>496.43061021704892</v>
      </c>
      <c r="P3324" s="12">
        <v>0.59535521778203904</v>
      </c>
      <c r="Q3324" s="12">
        <v>0.85</v>
      </c>
      <c r="R3324" s="12">
        <v>0.75</v>
      </c>
      <c r="S3324" s="12">
        <v>0.85</v>
      </c>
      <c r="T3324" s="12">
        <v>0.75</v>
      </c>
      <c r="U3324" s="12">
        <v>0.8</v>
      </c>
      <c r="V3324" s="12">
        <v>287.33856728402219</v>
      </c>
      <c r="W3324" s="12">
        <v>5.4972097786432101</v>
      </c>
      <c r="X3324" s="12">
        <v>12.0090539200942</v>
      </c>
      <c r="Y3324" s="12">
        <v>3891.7044242700558</v>
      </c>
      <c r="Z3324" s="12">
        <v>8.8393724000390073</v>
      </c>
      <c r="AA3324" s="12"/>
      <c r="AB3324" s="12"/>
    </row>
    <row r="3325" spans="1:28" x14ac:dyDescent="0.3">
      <c r="A3325" s="12" t="s">
        <v>5248</v>
      </c>
      <c r="B3325" s="12" t="s">
        <v>206</v>
      </c>
      <c r="C3325" s="12" t="s">
        <v>542</v>
      </c>
      <c r="D3325" s="12" t="s">
        <v>5237</v>
      </c>
      <c r="E3325" s="12" t="s">
        <v>2978</v>
      </c>
      <c r="F3325" s="12" t="s">
        <v>1861</v>
      </c>
      <c r="G3325" s="12" t="s">
        <v>1861</v>
      </c>
      <c r="H3325" s="12" t="b">
        <v>1</v>
      </c>
      <c r="I3325" s="12" t="b">
        <v>0</v>
      </c>
      <c r="J3325" s="12" t="b">
        <v>1</v>
      </c>
      <c r="K3325" s="12" t="b">
        <v>0</v>
      </c>
      <c r="L3325" s="12">
        <v>484.3549594795349</v>
      </c>
      <c r="M3325" s="12">
        <v>290.72299667132222</v>
      </c>
      <c r="N3325" s="12">
        <v>4489.9457432255449</v>
      </c>
      <c r="O3325" s="12">
        <v>987.91525417713717</v>
      </c>
      <c r="P3325" s="12">
        <v>0.53055536218463573</v>
      </c>
      <c r="Q3325" s="12">
        <v>0.85</v>
      </c>
      <c r="R3325" s="12">
        <v>0.75</v>
      </c>
      <c r="S3325" s="12">
        <v>0.85</v>
      </c>
      <c r="T3325" s="12">
        <v>0.75</v>
      </c>
      <c r="U3325" s="12">
        <v>0.8</v>
      </c>
      <c r="V3325" s="12">
        <v>290.72299667132222</v>
      </c>
      <c r="W3325" s="12">
        <v>11.11489298369704</v>
      </c>
      <c r="X3325" s="12">
        <v>164.17574859498771</v>
      </c>
      <c r="Y3325" s="12">
        <v>3502.0304890484081</v>
      </c>
      <c r="Z3325" s="12">
        <v>4.5448693339241419</v>
      </c>
      <c r="AA3325" s="12" t="s">
        <v>1268</v>
      </c>
      <c r="AB3325" s="12"/>
    </row>
    <row r="3326" spans="1:28" x14ac:dyDescent="0.3">
      <c r="A3326" s="12" t="s">
        <v>5249</v>
      </c>
      <c r="B3326" s="12" t="s">
        <v>206</v>
      </c>
      <c r="C3326" s="12" t="s">
        <v>542</v>
      </c>
      <c r="D3326" s="12" t="s">
        <v>5237</v>
      </c>
      <c r="E3326" s="12" t="s">
        <v>2978</v>
      </c>
      <c r="F3326" s="12" t="s">
        <v>1861</v>
      </c>
      <c r="G3326" s="12" t="s">
        <v>1861</v>
      </c>
      <c r="H3326" s="12" t="b">
        <v>1</v>
      </c>
      <c r="I3326" s="12" t="b">
        <v>0</v>
      </c>
      <c r="J3326" s="12" t="b">
        <v>1</v>
      </c>
      <c r="K3326" s="12" t="b">
        <v>0</v>
      </c>
      <c r="L3326" s="12">
        <v>450.09682080453808</v>
      </c>
      <c r="M3326" s="12">
        <v>288.63930612336031</v>
      </c>
      <c r="N3326" s="12">
        <v>3543.780861703975</v>
      </c>
      <c r="O3326" s="12">
        <v>1715.244346295611</v>
      </c>
      <c r="P3326" s="12">
        <v>0.64810862374185019</v>
      </c>
      <c r="Q3326" s="12">
        <v>0.85</v>
      </c>
      <c r="R3326" s="12">
        <v>0.75</v>
      </c>
      <c r="S3326" s="12">
        <v>0.85</v>
      </c>
      <c r="T3326" s="12">
        <v>0.75</v>
      </c>
      <c r="U3326" s="12">
        <v>0.8</v>
      </c>
      <c r="V3326" s="12">
        <v>288.63930612336031</v>
      </c>
      <c r="W3326" s="12">
        <v>6.1606337017716797</v>
      </c>
      <c r="X3326" s="12">
        <v>71.420472313857957</v>
      </c>
      <c r="Y3326" s="12">
        <v>1828.536515408364</v>
      </c>
      <c r="Z3326" s="12">
        <v>2.0660501632653272</v>
      </c>
      <c r="AA3326" s="12" t="s">
        <v>1268</v>
      </c>
      <c r="AB3326" s="12"/>
    </row>
    <row r="3327" spans="1:28" x14ac:dyDescent="0.3">
      <c r="A3327" s="12" t="s">
        <v>5250</v>
      </c>
      <c r="B3327" s="12" t="s">
        <v>206</v>
      </c>
      <c r="C3327" s="12" t="s">
        <v>542</v>
      </c>
      <c r="D3327" s="12" t="s">
        <v>5237</v>
      </c>
      <c r="E3327" s="12" t="s">
        <v>2978</v>
      </c>
      <c r="F3327" s="12" t="s">
        <v>1861</v>
      </c>
      <c r="G3327" s="12" t="s">
        <v>1861</v>
      </c>
      <c r="H3327" s="12" t="b">
        <v>1</v>
      </c>
      <c r="I3327" s="12" t="b">
        <v>0</v>
      </c>
      <c r="J3327" s="12" t="b">
        <v>0</v>
      </c>
      <c r="K3327" s="12" t="b">
        <v>0</v>
      </c>
      <c r="L3327" s="12">
        <v>426.31711419061412</v>
      </c>
      <c r="M3327" s="12">
        <v>301.84243851003009</v>
      </c>
      <c r="N3327" s="12">
        <v>2546.427473513349</v>
      </c>
      <c r="O3327" s="12">
        <v>1231.0119360043691</v>
      </c>
      <c r="P3327" s="12">
        <v>0.72583556925989867</v>
      </c>
      <c r="Q3327" s="12">
        <v>0.85</v>
      </c>
      <c r="R3327" s="12">
        <v>0.75</v>
      </c>
      <c r="S3327" s="12">
        <v>0.85</v>
      </c>
      <c r="T3327" s="12">
        <v>0.75</v>
      </c>
      <c r="U3327" s="12">
        <v>0.8</v>
      </c>
      <c r="V3327" s="12">
        <v>301.84243851003009</v>
      </c>
      <c r="W3327" s="12">
        <v>6.0348699885028303</v>
      </c>
      <c r="X3327" s="12">
        <v>64.539970430810456</v>
      </c>
      <c r="Y3327" s="12">
        <v>1315.4155375089799</v>
      </c>
      <c r="Z3327" s="12">
        <v>2.0685644054586252</v>
      </c>
      <c r="AA3327" s="12" t="s">
        <v>1268</v>
      </c>
      <c r="AB3327" s="12"/>
    </row>
    <row r="3328" spans="1:28" x14ac:dyDescent="0.3">
      <c r="A3328" s="12" t="s">
        <v>5251</v>
      </c>
      <c r="B3328" s="12" t="s">
        <v>206</v>
      </c>
      <c r="C3328" s="12" t="s">
        <v>542</v>
      </c>
      <c r="D3328" s="12" t="s">
        <v>5237</v>
      </c>
      <c r="E3328" s="12" t="s">
        <v>2978</v>
      </c>
      <c r="F3328" s="12" t="s">
        <v>1862</v>
      </c>
      <c r="G3328" s="12" t="s">
        <v>1862</v>
      </c>
      <c r="H3328" s="12" t="b">
        <v>1</v>
      </c>
      <c r="I3328" s="12" t="b">
        <v>0</v>
      </c>
      <c r="J3328" s="12" t="b">
        <v>0</v>
      </c>
      <c r="K3328" s="12" t="b">
        <v>0</v>
      </c>
      <c r="L3328" s="12">
        <v>385.3124249578205</v>
      </c>
      <c r="M3328" s="12">
        <v>299.43012581896812</v>
      </c>
      <c r="N3328" s="12">
        <v>4966.4352092063746</v>
      </c>
      <c r="O3328" s="12">
        <v>569.75058786089369</v>
      </c>
      <c r="P3328" s="12">
        <v>0.70317768465182029</v>
      </c>
      <c r="Q3328" s="12">
        <v>0.85</v>
      </c>
      <c r="R3328" s="12">
        <v>0.75</v>
      </c>
      <c r="S3328" s="12">
        <v>0.85</v>
      </c>
      <c r="T3328" s="12">
        <v>0.75</v>
      </c>
      <c r="U3328" s="12">
        <v>0.8</v>
      </c>
      <c r="V3328" s="12">
        <v>299.43012581896812</v>
      </c>
      <c r="W3328" s="12">
        <v>-107.7598998125976</v>
      </c>
      <c r="X3328" s="12">
        <v>-45.503300517829828</v>
      </c>
      <c r="Y3328" s="12">
        <v>4396.684621345481</v>
      </c>
      <c r="Z3328" s="12">
        <v>8.7168584201951624</v>
      </c>
      <c r="AA3328" s="12" t="s">
        <v>2513</v>
      </c>
      <c r="AB3328" s="12"/>
    </row>
    <row r="3329" spans="1:28" x14ac:dyDescent="0.3">
      <c r="A3329" s="12" t="s">
        <v>5252</v>
      </c>
      <c r="B3329" s="12" t="s">
        <v>206</v>
      </c>
      <c r="C3329" s="12" t="s">
        <v>542</v>
      </c>
      <c r="D3329" s="12" t="s">
        <v>5237</v>
      </c>
      <c r="E3329" s="12" t="s">
        <v>2978</v>
      </c>
      <c r="F3329" s="12" t="s">
        <v>1861</v>
      </c>
      <c r="G3329" s="12" t="s">
        <v>1861</v>
      </c>
      <c r="H3329" s="12" t="b">
        <v>1</v>
      </c>
      <c r="I3329" s="12" t="b">
        <v>0</v>
      </c>
      <c r="J3329" s="12" t="b">
        <v>1</v>
      </c>
      <c r="K3329" s="12" t="b">
        <v>0</v>
      </c>
      <c r="L3329" s="12">
        <v>432.72096856294871</v>
      </c>
      <c r="M3329" s="12">
        <v>287.93146380739228</v>
      </c>
      <c r="N3329" s="12">
        <v>3929.246794813761</v>
      </c>
      <c r="O3329" s="12">
        <v>449.77587608069462</v>
      </c>
      <c r="P3329" s="12">
        <v>0.62532506818679134</v>
      </c>
      <c r="Q3329" s="12">
        <v>0.85</v>
      </c>
      <c r="R3329" s="12">
        <v>0.75</v>
      </c>
      <c r="S3329" s="12">
        <v>0.85</v>
      </c>
      <c r="T3329" s="12">
        <v>0.75</v>
      </c>
      <c r="U3329" s="12">
        <v>0.8</v>
      </c>
      <c r="V3329" s="12">
        <v>287.93146380739228</v>
      </c>
      <c r="W3329" s="12">
        <v>14.987309021307439</v>
      </c>
      <c r="X3329" s="12">
        <v>117.7399228917063</v>
      </c>
      <c r="Y3329" s="12">
        <v>3479.4709187330668</v>
      </c>
      <c r="Z3329" s="12">
        <v>8.7360105416343252</v>
      </c>
      <c r="AA3329" s="12" t="s">
        <v>1268</v>
      </c>
      <c r="AB3329" s="12"/>
    </row>
    <row r="3330" spans="1:28" x14ac:dyDescent="0.3">
      <c r="A3330" s="12" t="s">
        <v>5253</v>
      </c>
      <c r="B3330" s="12" t="s">
        <v>206</v>
      </c>
      <c r="C3330" s="12" t="s">
        <v>542</v>
      </c>
      <c r="D3330" s="12" t="s">
        <v>5237</v>
      </c>
      <c r="E3330" s="12" t="s">
        <v>2978</v>
      </c>
      <c r="F3330" s="12" t="s">
        <v>1861</v>
      </c>
      <c r="G3330" s="12" t="s">
        <v>1861</v>
      </c>
      <c r="H3330" s="12" t="b">
        <v>1</v>
      </c>
      <c r="I3330" s="12" t="b">
        <v>0</v>
      </c>
      <c r="J3330" s="12" t="b">
        <v>1</v>
      </c>
      <c r="K3330" s="12" t="b">
        <v>0</v>
      </c>
      <c r="L3330" s="12">
        <v>471.76103211387391</v>
      </c>
      <c r="M3330" s="12">
        <v>280.01471304705677</v>
      </c>
      <c r="N3330" s="12">
        <v>2664.8525314194731</v>
      </c>
      <c r="O3330" s="12">
        <v>576.21618501103876</v>
      </c>
      <c r="P3330" s="12">
        <v>0.64488891796471959</v>
      </c>
      <c r="Q3330" s="12">
        <v>0.85</v>
      </c>
      <c r="R3330" s="12">
        <v>0.75</v>
      </c>
      <c r="S3330" s="12">
        <v>0.85</v>
      </c>
      <c r="T3330" s="12">
        <v>0.75</v>
      </c>
      <c r="U3330" s="12">
        <v>0.8</v>
      </c>
      <c r="V3330" s="12">
        <v>280.01471304705677</v>
      </c>
      <c r="W3330" s="12">
        <v>10.93933956235689</v>
      </c>
      <c r="X3330" s="12">
        <v>171.51740630624619</v>
      </c>
      <c r="Y3330" s="12">
        <v>2088.6363464084338</v>
      </c>
      <c r="Z3330" s="12">
        <v>4.62474432468158</v>
      </c>
      <c r="AA3330" s="12" t="s">
        <v>1268</v>
      </c>
      <c r="AB3330" s="12"/>
    </row>
    <row r="3331" spans="1:28" x14ac:dyDescent="0.3">
      <c r="A3331" s="12" t="s">
        <v>5254</v>
      </c>
      <c r="B3331" s="12" t="s">
        <v>206</v>
      </c>
      <c r="C3331" s="12" t="s">
        <v>542</v>
      </c>
      <c r="D3331" s="12" t="s">
        <v>5237</v>
      </c>
      <c r="E3331" s="12" t="s">
        <v>2978</v>
      </c>
      <c r="F3331" s="12" t="s">
        <v>1863</v>
      </c>
      <c r="G3331" s="12" t="s">
        <v>832</v>
      </c>
      <c r="H3331" s="12" t="b">
        <v>0</v>
      </c>
      <c r="I3331" s="12" t="b">
        <v>0</v>
      </c>
      <c r="J3331" s="12" t="b">
        <v>0</v>
      </c>
      <c r="K3331" s="12" t="b">
        <v>0</v>
      </c>
      <c r="L3331" s="12">
        <v>380.4381400834103</v>
      </c>
      <c r="M3331" s="12">
        <v>291.86155219085208</v>
      </c>
      <c r="N3331" s="12">
        <v>4901.5862348364881</v>
      </c>
      <c r="O3331" s="12">
        <v>784.69800487733937</v>
      </c>
      <c r="P3331" s="12">
        <v>0.66595156129345767</v>
      </c>
      <c r="Q3331" s="12">
        <v>0.85</v>
      </c>
      <c r="R3331" s="12">
        <v>0.75</v>
      </c>
      <c r="S3331" s="12">
        <v>0.85</v>
      </c>
      <c r="T3331" s="12">
        <v>0.75</v>
      </c>
      <c r="U3331" s="12">
        <v>0.8</v>
      </c>
      <c r="V3331" s="12">
        <v>291.86155219085208</v>
      </c>
      <c r="W3331" s="12">
        <v>-725.61093915428285</v>
      </c>
      <c r="X3331" s="12">
        <v>-64.931955940408727</v>
      </c>
      <c r="Y3331" s="12">
        <v>4116.8882299591487</v>
      </c>
      <c r="Z3331" s="12">
        <v>6.2464619565366206</v>
      </c>
      <c r="AA3331" s="12" t="s">
        <v>2018</v>
      </c>
      <c r="AB3331" s="12"/>
    </row>
    <row r="3332" spans="1:28" x14ac:dyDescent="0.3">
      <c r="A3332" s="12" t="s">
        <v>5255</v>
      </c>
      <c r="B3332" s="12" t="s">
        <v>206</v>
      </c>
      <c r="C3332" s="12" t="s">
        <v>542</v>
      </c>
      <c r="D3332" s="12" t="s">
        <v>5237</v>
      </c>
      <c r="E3332" s="12" t="s">
        <v>2978</v>
      </c>
      <c r="F3332" s="12" t="s">
        <v>832</v>
      </c>
      <c r="G3332" s="12" t="s">
        <v>832</v>
      </c>
      <c r="H3332" s="12" t="b">
        <v>0</v>
      </c>
      <c r="I3332" s="12" t="b">
        <v>0</v>
      </c>
      <c r="J3332" s="12" t="b">
        <v>0</v>
      </c>
      <c r="K3332" s="12" t="b">
        <v>0</v>
      </c>
      <c r="L3332" s="12">
        <v>492.79723110165833</v>
      </c>
      <c r="M3332" s="12">
        <v>286.87454532216771</v>
      </c>
      <c r="N3332" s="12">
        <v>4620.0235391825699</v>
      </c>
      <c r="O3332" s="12">
        <v>1614.0950845743139</v>
      </c>
      <c r="P3332" s="12">
        <v>0.79888695135470544</v>
      </c>
      <c r="Q3332" s="12">
        <v>0.85</v>
      </c>
      <c r="R3332" s="12">
        <v>0.75</v>
      </c>
      <c r="S3332" s="12">
        <v>0.85</v>
      </c>
      <c r="T3332" s="12">
        <v>0.75</v>
      </c>
      <c r="U3332" s="12">
        <v>0.8</v>
      </c>
      <c r="V3332" s="12">
        <v>286.87454532216771</v>
      </c>
      <c r="W3332" s="12"/>
      <c r="X3332" s="12"/>
      <c r="Y3332" s="12">
        <v>3005.9284546082558</v>
      </c>
      <c r="Z3332" s="12">
        <v>2.862299491111461</v>
      </c>
      <c r="AA3332" s="12"/>
      <c r="AB3332" s="12"/>
    </row>
    <row r="3333" spans="1:28" x14ac:dyDescent="0.3">
      <c r="A3333" s="12" t="s">
        <v>5256</v>
      </c>
      <c r="B3333" s="12" t="s">
        <v>206</v>
      </c>
      <c r="C3333" s="12" t="s">
        <v>542</v>
      </c>
      <c r="D3333" s="12" t="s">
        <v>5237</v>
      </c>
      <c r="E3333" s="12" t="s">
        <v>2978</v>
      </c>
      <c r="F3333" s="12" t="s">
        <v>1861</v>
      </c>
      <c r="G3333" s="12" t="s">
        <v>1861</v>
      </c>
      <c r="H3333" s="12" t="b">
        <v>1</v>
      </c>
      <c r="I3333" s="12" t="b">
        <v>0</v>
      </c>
      <c r="J3333" s="12" t="b">
        <v>1</v>
      </c>
      <c r="K3333" s="12" t="b">
        <v>0</v>
      </c>
      <c r="L3333" s="12">
        <v>437.76353652250378</v>
      </c>
      <c r="M3333" s="12">
        <v>291.54928812833299</v>
      </c>
      <c r="N3333" s="12">
        <v>2926.3331757871838</v>
      </c>
      <c r="O3333" s="12">
        <v>1359.493828179777</v>
      </c>
      <c r="P3333" s="12">
        <v>0.81685694940325071</v>
      </c>
      <c r="Q3333" s="12">
        <v>0.85</v>
      </c>
      <c r="R3333" s="12">
        <v>0.75</v>
      </c>
      <c r="S3333" s="12">
        <v>0.85</v>
      </c>
      <c r="T3333" s="12">
        <v>0.75</v>
      </c>
      <c r="U3333" s="12">
        <v>0.8</v>
      </c>
      <c r="V3333" s="12">
        <v>291.54928812833299</v>
      </c>
      <c r="W3333" s="12">
        <v>6.74476805830197</v>
      </c>
      <c r="X3333" s="12">
        <v>85.809244926976831</v>
      </c>
      <c r="Y3333" s="12">
        <v>1566.839347607407</v>
      </c>
      <c r="Z3333" s="12">
        <v>2.1525167052102359</v>
      </c>
      <c r="AA3333" s="12" t="s">
        <v>1268</v>
      </c>
      <c r="AB3333" s="12"/>
    </row>
    <row r="3334" spans="1:28" x14ac:dyDescent="0.3">
      <c r="A3334" s="12" t="s">
        <v>5257</v>
      </c>
      <c r="B3334" s="12" t="s">
        <v>206</v>
      </c>
      <c r="C3334" s="12" t="s">
        <v>542</v>
      </c>
      <c r="D3334" s="12" t="s">
        <v>5237</v>
      </c>
      <c r="E3334" s="12" t="s">
        <v>2978</v>
      </c>
      <c r="F3334" s="12" t="s">
        <v>1861</v>
      </c>
      <c r="G3334" s="12" t="s">
        <v>1861</v>
      </c>
      <c r="H3334" s="12" t="b">
        <v>1</v>
      </c>
      <c r="I3334" s="12" t="b">
        <v>0</v>
      </c>
      <c r="J3334" s="12" t="b">
        <v>1</v>
      </c>
      <c r="K3334" s="12" t="b">
        <v>0</v>
      </c>
      <c r="L3334" s="12">
        <v>468.54588492648509</v>
      </c>
      <c r="M3334" s="12">
        <v>303.52764238271737</v>
      </c>
      <c r="N3334" s="12">
        <v>4999.5174437342239</v>
      </c>
      <c r="O3334" s="12">
        <v>1260.6544759162041</v>
      </c>
      <c r="P3334" s="12">
        <v>0.55699093774638209</v>
      </c>
      <c r="Q3334" s="12">
        <v>0.85</v>
      </c>
      <c r="R3334" s="12">
        <v>0.75</v>
      </c>
      <c r="S3334" s="12">
        <v>0.85</v>
      </c>
      <c r="T3334" s="12">
        <v>0.75</v>
      </c>
      <c r="U3334" s="12">
        <v>0.8</v>
      </c>
      <c r="V3334" s="12">
        <v>303.52764238271737</v>
      </c>
      <c r="W3334" s="12">
        <v>10.32900017560144</v>
      </c>
      <c r="X3334" s="12">
        <v>101.0962471909808</v>
      </c>
      <c r="Y3334" s="12">
        <v>3738.86296781802</v>
      </c>
      <c r="Z3334" s="12">
        <v>3.9658110443789369</v>
      </c>
      <c r="AA3334" s="12" t="s">
        <v>1268</v>
      </c>
      <c r="AB3334" s="12"/>
    </row>
    <row r="3335" spans="1:28" x14ac:dyDescent="0.3">
      <c r="A3335" s="12" t="s">
        <v>5258</v>
      </c>
      <c r="B3335" s="12" t="s">
        <v>206</v>
      </c>
      <c r="C3335" s="12" t="s">
        <v>542</v>
      </c>
      <c r="D3335" s="12" t="s">
        <v>5237</v>
      </c>
      <c r="E3335" s="12" t="s">
        <v>2978</v>
      </c>
      <c r="F3335" s="12" t="s">
        <v>832</v>
      </c>
      <c r="G3335" s="12" t="s">
        <v>832</v>
      </c>
      <c r="H3335" s="12" t="b">
        <v>0</v>
      </c>
      <c r="I3335" s="12" t="b">
        <v>0</v>
      </c>
      <c r="J3335" s="12" t="b">
        <v>0</v>
      </c>
      <c r="K3335" s="12" t="b">
        <v>0</v>
      </c>
      <c r="L3335" s="12">
        <v>443.91282729111077</v>
      </c>
      <c r="M3335" s="12">
        <v>295.85283232899252</v>
      </c>
      <c r="N3335" s="12">
        <v>3766.496186434566</v>
      </c>
      <c r="O3335" s="12">
        <v>1979.0998131336301</v>
      </c>
      <c r="P3335" s="12">
        <v>0.54591972121489407</v>
      </c>
      <c r="Q3335" s="12">
        <v>0.85</v>
      </c>
      <c r="R3335" s="12">
        <v>0.75</v>
      </c>
      <c r="S3335" s="12">
        <v>0.85</v>
      </c>
      <c r="T3335" s="12">
        <v>0.75</v>
      </c>
      <c r="U3335" s="12">
        <v>0.8</v>
      </c>
      <c r="V3335" s="12">
        <v>295.85283232899252</v>
      </c>
      <c r="W3335" s="12"/>
      <c r="X3335" s="12"/>
      <c r="Y3335" s="12">
        <v>1787.3963733009371</v>
      </c>
      <c r="Z3335" s="12">
        <v>1.9031360426793451</v>
      </c>
      <c r="AA3335" s="12"/>
      <c r="AB3335" s="12"/>
    </row>
    <row r="3336" spans="1:28" x14ac:dyDescent="0.3">
      <c r="A3336" s="12" t="s">
        <v>5259</v>
      </c>
      <c r="B3336" s="12" t="s">
        <v>206</v>
      </c>
      <c r="C3336" s="12" t="s">
        <v>542</v>
      </c>
      <c r="D3336" s="12" t="s">
        <v>5237</v>
      </c>
      <c r="E3336" s="12" t="s">
        <v>2978</v>
      </c>
      <c r="F3336" s="12" t="s">
        <v>1861</v>
      </c>
      <c r="G3336" s="12" t="s">
        <v>1861</v>
      </c>
      <c r="H3336" s="12" t="b">
        <v>1</v>
      </c>
      <c r="I3336" s="12" t="b">
        <v>0</v>
      </c>
      <c r="J3336" s="12" t="b">
        <v>1</v>
      </c>
      <c r="K3336" s="12" t="b">
        <v>0</v>
      </c>
      <c r="L3336" s="12">
        <v>500.52778137796139</v>
      </c>
      <c r="M3336" s="12">
        <v>297.27059181780407</v>
      </c>
      <c r="N3336" s="12">
        <v>4087.4772386982531</v>
      </c>
      <c r="O3336" s="12">
        <v>1571.230458428018</v>
      </c>
      <c r="P3336" s="12">
        <v>0.63414051920488312</v>
      </c>
      <c r="Q3336" s="12">
        <v>0.85</v>
      </c>
      <c r="R3336" s="12">
        <v>0.75</v>
      </c>
      <c r="S3336" s="12">
        <v>0.85</v>
      </c>
      <c r="T3336" s="12">
        <v>0.75</v>
      </c>
      <c r="U3336" s="12">
        <v>0.8</v>
      </c>
      <c r="V3336" s="12">
        <v>297.27059181780407</v>
      </c>
      <c r="W3336" s="12">
        <v>7.6379520007253197</v>
      </c>
      <c r="X3336" s="12">
        <v>118.5259566815604</v>
      </c>
      <c r="Y3336" s="12">
        <v>2516.246780270234</v>
      </c>
      <c r="Z3336" s="12">
        <v>2.6014498489213889</v>
      </c>
      <c r="AA3336" s="12" t="s">
        <v>1268</v>
      </c>
      <c r="AB3336" s="12"/>
    </row>
    <row r="3337" spans="1:28" x14ac:dyDescent="0.3">
      <c r="A3337" s="12" t="s">
        <v>5260</v>
      </c>
      <c r="B3337" s="12" t="s">
        <v>206</v>
      </c>
      <c r="C3337" s="12" t="s">
        <v>542</v>
      </c>
      <c r="D3337" s="12" t="s">
        <v>5237</v>
      </c>
      <c r="E3337" s="12" t="s">
        <v>2978</v>
      </c>
      <c r="F3337" s="12" t="s">
        <v>32</v>
      </c>
      <c r="G3337" s="12" t="s">
        <v>32</v>
      </c>
      <c r="H3337" s="12" t="b">
        <v>1</v>
      </c>
      <c r="I3337" s="12" t="b">
        <v>1</v>
      </c>
      <c r="J3337" s="12" t="b">
        <v>0</v>
      </c>
      <c r="K3337" s="12" t="b">
        <v>0</v>
      </c>
      <c r="L3337" s="12">
        <v>401.0982216367089</v>
      </c>
      <c r="M3337" s="12">
        <v>289.63366943629188</v>
      </c>
      <c r="N3337" s="12">
        <v>3982.1183722334158</v>
      </c>
      <c r="O3337" s="12">
        <v>1927.1274621936</v>
      </c>
      <c r="P3337" s="12">
        <v>0.6154884096281672</v>
      </c>
      <c r="Q3337" s="12">
        <v>0.85</v>
      </c>
      <c r="R3337" s="12">
        <v>0.75</v>
      </c>
      <c r="S3337" s="12">
        <v>0.85</v>
      </c>
      <c r="T3337" s="12">
        <v>0.75</v>
      </c>
      <c r="U3337" s="12">
        <v>0.8</v>
      </c>
      <c r="V3337" s="12">
        <v>289.63366943629188</v>
      </c>
      <c r="W3337" s="12">
        <v>4.1350329620240398</v>
      </c>
      <c r="X3337" s="12">
        <v>15.84967869568934</v>
      </c>
      <c r="Y3337" s="12">
        <v>2054.9909100398158</v>
      </c>
      <c r="Z3337" s="12">
        <v>2.0663492427743582</v>
      </c>
      <c r="AA3337" s="12"/>
      <c r="AB3337" s="12"/>
    </row>
    <row r="3338" spans="1:28" x14ac:dyDescent="0.3">
      <c r="A3338" s="12" t="s">
        <v>5261</v>
      </c>
      <c r="B3338" s="12" t="s">
        <v>206</v>
      </c>
      <c r="C3338" s="12" t="s">
        <v>542</v>
      </c>
      <c r="D3338" s="12" t="s">
        <v>5237</v>
      </c>
      <c r="E3338" s="12" t="s">
        <v>2978</v>
      </c>
      <c r="F3338" s="12" t="s">
        <v>1863</v>
      </c>
      <c r="G3338" s="12" t="s">
        <v>832</v>
      </c>
      <c r="H3338" s="12" t="b">
        <v>0</v>
      </c>
      <c r="I3338" s="12" t="b">
        <v>0</v>
      </c>
      <c r="J3338" s="12" t="b">
        <v>0</v>
      </c>
      <c r="K3338" s="12" t="b">
        <v>0</v>
      </c>
      <c r="L3338" s="12">
        <v>390.42568868295979</v>
      </c>
      <c r="M3338" s="12">
        <v>286.69044248624959</v>
      </c>
      <c r="N3338" s="12">
        <v>3496.2217078662338</v>
      </c>
      <c r="O3338" s="12">
        <v>1833.6570349119941</v>
      </c>
      <c r="P3338" s="12">
        <v>0.51878238298510837</v>
      </c>
      <c r="Q3338" s="12">
        <v>0.85</v>
      </c>
      <c r="R3338" s="12">
        <v>0.75</v>
      </c>
      <c r="S3338" s="12">
        <v>0.85</v>
      </c>
      <c r="T3338" s="12">
        <v>0.75</v>
      </c>
      <c r="U3338" s="12">
        <v>0.8</v>
      </c>
      <c r="V3338" s="12">
        <v>286.69044248624959</v>
      </c>
      <c r="W3338" s="12">
        <v>-6.7183914074464504</v>
      </c>
      <c r="X3338" s="12">
        <v>-6.6302634473787014</v>
      </c>
      <c r="Y3338" s="12">
        <v>1662.56467295424</v>
      </c>
      <c r="Z3338" s="12">
        <v>1.906693368116156</v>
      </c>
      <c r="AA3338" s="12" t="s">
        <v>2846</v>
      </c>
      <c r="AB3338" s="12"/>
    </row>
    <row r="3339" spans="1:28" x14ac:dyDescent="0.3">
      <c r="A3339" s="12" t="s">
        <v>5262</v>
      </c>
      <c r="B3339" s="12" t="s">
        <v>206</v>
      </c>
      <c r="C3339" s="12" t="s">
        <v>542</v>
      </c>
      <c r="D3339" s="12" t="s">
        <v>5237</v>
      </c>
      <c r="E3339" s="12" t="s">
        <v>2978</v>
      </c>
      <c r="F3339" s="12" t="s">
        <v>1861</v>
      </c>
      <c r="G3339" s="12" t="s">
        <v>1861</v>
      </c>
      <c r="H3339" s="12" t="b">
        <v>1</v>
      </c>
      <c r="I3339" s="12" t="b">
        <v>0</v>
      </c>
      <c r="J3339" s="12" t="b">
        <v>1</v>
      </c>
      <c r="K3339" s="12" t="b">
        <v>0</v>
      </c>
      <c r="L3339" s="12">
        <v>449.16033633090512</v>
      </c>
      <c r="M3339" s="12">
        <v>278.92061332712149</v>
      </c>
      <c r="N3339" s="12">
        <v>4194.916865812369</v>
      </c>
      <c r="O3339" s="12">
        <v>1905.3109130602199</v>
      </c>
      <c r="P3339" s="12">
        <v>0.77795477553942449</v>
      </c>
      <c r="Q3339" s="12">
        <v>0.85</v>
      </c>
      <c r="R3339" s="12">
        <v>0.75</v>
      </c>
      <c r="S3339" s="12">
        <v>0.85</v>
      </c>
      <c r="T3339" s="12">
        <v>0.75</v>
      </c>
      <c r="U3339" s="12">
        <v>0.8</v>
      </c>
      <c r="V3339" s="12">
        <v>278.92061332712149</v>
      </c>
      <c r="W3339" s="12">
        <v>7.1987682308190486</v>
      </c>
      <c r="X3339" s="12">
        <v>92.163919168000916</v>
      </c>
      <c r="Y3339" s="12">
        <v>2289.6059527521488</v>
      </c>
      <c r="Z3339" s="12">
        <v>2.2016967609106342</v>
      </c>
      <c r="AA3339" s="12" t="s">
        <v>1268</v>
      </c>
      <c r="AB3339" s="12"/>
    </row>
    <row r="3340" spans="1:28" x14ac:dyDescent="0.3">
      <c r="A3340" s="12" t="s">
        <v>5263</v>
      </c>
      <c r="B3340" s="12" t="s">
        <v>206</v>
      </c>
      <c r="C3340" s="12" t="s">
        <v>542</v>
      </c>
      <c r="D3340" s="12" t="s">
        <v>5237</v>
      </c>
      <c r="E3340" s="12" t="s">
        <v>2978</v>
      </c>
      <c r="F3340" s="12" t="s">
        <v>1861</v>
      </c>
      <c r="G3340" s="12" t="s">
        <v>1861</v>
      </c>
      <c r="H3340" s="12" t="b">
        <v>1</v>
      </c>
      <c r="I3340" s="12" t="b">
        <v>0</v>
      </c>
      <c r="J3340" s="12" t="b">
        <v>1</v>
      </c>
      <c r="K3340" s="12" t="b">
        <v>0</v>
      </c>
      <c r="L3340" s="12">
        <v>457.8292868986901</v>
      </c>
      <c r="M3340" s="12">
        <v>288.27450810065397</v>
      </c>
      <c r="N3340" s="12">
        <v>3777.0235761231629</v>
      </c>
      <c r="O3340" s="12">
        <v>1874.3583924927059</v>
      </c>
      <c r="P3340" s="12">
        <v>0.67813288432423424</v>
      </c>
      <c r="Q3340" s="12">
        <v>0.85</v>
      </c>
      <c r="R3340" s="12">
        <v>0.75</v>
      </c>
      <c r="S3340" s="12">
        <v>0.85</v>
      </c>
      <c r="T3340" s="12">
        <v>0.75</v>
      </c>
      <c r="U3340" s="12">
        <v>0.8</v>
      </c>
      <c r="V3340" s="12">
        <v>288.27450810065397</v>
      </c>
      <c r="W3340" s="12">
        <v>6.0459595911412896</v>
      </c>
      <c r="X3340" s="12">
        <v>79.959731722991563</v>
      </c>
      <c r="Y3340" s="12">
        <v>1902.6651836304579</v>
      </c>
      <c r="Z3340" s="12">
        <v>2.0151021230790911</v>
      </c>
      <c r="AA3340" s="12" t="s">
        <v>1268</v>
      </c>
      <c r="AB3340" s="12"/>
    </row>
    <row r="3341" spans="1:28" x14ac:dyDescent="0.3">
      <c r="A3341" s="12" t="s">
        <v>5264</v>
      </c>
      <c r="B3341" s="12" t="s">
        <v>206</v>
      </c>
      <c r="C3341" s="12" t="s">
        <v>542</v>
      </c>
      <c r="D3341" s="12" t="s">
        <v>5237</v>
      </c>
      <c r="E3341" s="12" t="s">
        <v>2978</v>
      </c>
      <c r="F3341" s="12" t="s">
        <v>1861</v>
      </c>
      <c r="G3341" s="12" t="s">
        <v>1861</v>
      </c>
      <c r="H3341" s="12" t="b">
        <v>1</v>
      </c>
      <c r="I3341" s="12" t="b">
        <v>0</v>
      </c>
      <c r="J3341" s="12" t="b">
        <v>1</v>
      </c>
      <c r="K3341" s="12" t="b">
        <v>0</v>
      </c>
      <c r="L3341" s="12">
        <v>447.64005180378211</v>
      </c>
      <c r="M3341" s="12">
        <v>287.10345040418662</v>
      </c>
      <c r="N3341" s="12">
        <v>2700.0959327211181</v>
      </c>
      <c r="O3341" s="12">
        <v>1585.1958650714171</v>
      </c>
      <c r="P3341" s="12">
        <v>0.5838666182305684</v>
      </c>
      <c r="Q3341" s="12">
        <v>0.85</v>
      </c>
      <c r="R3341" s="12">
        <v>0.75</v>
      </c>
      <c r="S3341" s="12">
        <v>0.85</v>
      </c>
      <c r="T3341" s="12">
        <v>0.75</v>
      </c>
      <c r="U3341" s="12">
        <v>0.8</v>
      </c>
      <c r="V3341" s="12">
        <v>287.10345040418662</v>
      </c>
      <c r="W3341" s="12">
        <v>4.3977985210828807</v>
      </c>
      <c r="X3341" s="12">
        <v>53.829944605585403</v>
      </c>
      <c r="Y3341" s="12">
        <v>1114.900067649701</v>
      </c>
      <c r="Z3341" s="12">
        <v>1.7033200705450191</v>
      </c>
      <c r="AA3341" s="12" t="s">
        <v>1268</v>
      </c>
      <c r="AB3341" s="12"/>
    </row>
    <row r="3342" spans="1:28" x14ac:dyDescent="0.3">
      <c r="A3342" s="12" t="s">
        <v>5265</v>
      </c>
      <c r="B3342" s="12" t="s">
        <v>206</v>
      </c>
      <c r="C3342" s="12" t="s">
        <v>542</v>
      </c>
      <c r="D3342" s="12" t="s">
        <v>5237</v>
      </c>
      <c r="E3342" s="12" t="s">
        <v>2978</v>
      </c>
      <c r="F3342" s="12" t="s">
        <v>32</v>
      </c>
      <c r="G3342" s="12" t="s">
        <v>32</v>
      </c>
      <c r="H3342" s="12" t="b">
        <v>1</v>
      </c>
      <c r="I3342" s="12" t="b">
        <v>1</v>
      </c>
      <c r="J3342" s="12" t="b">
        <v>0</v>
      </c>
      <c r="K3342" s="12" t="b">
        <v>0</v>
      </c>
      <c r="L3342" s="12">
        <v>421.59038529028822</v>
      </c>
      <c r="M3342" s="12">
        <v>282.03899778122639</v>
      </c>
      <c r="N3342" s="12">
        <v>2976.8800729972909</v>
      </c>
      <c r="O3342" s="12">
        <v>1696.2539737374391</v>
      </c>
      <c r="P3342" s="12">
        <v>0.57257729859444206</v>
      </c>
      <c r="Q3342" s="12">
        <v>0.85</v>
      </c>
      <c r="R3342" s="12">
        <v>0.75</v>
      </c>
      <c r="S3342" s="12">
        <v>0.85</v>
      </c>
      <c r="T3342" s="12">
        <v>0.75</v>
      </c>
      <c r="U3342" s="12">
        <v>0.8</v>
      </c>
      <c r="V3342" s="12">
        <v>282.03899778122639</v>
      </c>
      <c r="W3342" s="12">
        <v>4.16141323005019</v>
      </c>
      <c r="X3342" s="12">
        <v>29.409963946665538</v>
      </c>
      <c r="Y3342" s="12">
        <v>1280.626099259852</v>
      </c>
      <c r="Z3342" s="12">
        <v>1.754973087218882</v>
      </c>
      <c r="AA3342" s="12"/>
      <c r="AB3342" s="12"/>
    </row>
    <row r="3343" spans="1:28" x14ac:dyDescent="0.3">
      <c r="A3343" s="12" t="s">
        <v>5266</v>
      </c>
      <c r="B3343" s="12" t="s">
        <v>206</v>
      </c>
      <c r="C3343" s="12" t="s">
        <v>542</v>
      </c>
      <c r="D3343" s="12" t="s">
        <v>5237</v>
      </c>
      <c r="E3343" s="12" t="s">
        <v>2978</v>
      </c>
      <c r="F3343" s="12" t="s">
        <v>1861</v>
      </c>
      <c r="G3343" s="12" t="s">
        <v>1861</v>
      </c>
      <c r="H3343" s="12" t="b">
        <v>1</v>
      </c>
      <c r="I3343" s="12" t="b">
        <v>0</v>
      </c>
      <c r="J3343" s="12" t="b">
        <v>0</v>
      </c>
      <c r="K3343" s="12" t="b">
        <v>0</v>
      </c>
      <c r="L3343" s="12">
        <v>410.30448245630299</v>
      </c>
      <c r="M3343" s="12">
        <v>283.19948917469509</v>
      </c>
      <c r="N3343" s="12">
        <v>4297.3728630861606</v>
      </c>
      <c r="O3343" s="12">
        <v>616.78070849260848</v>
      </c>
      <c r="P3343" s="12">
        <v>0.82516999063334673</v>
      </c>
      <c r="Q3343" s="12">
        <v>0.85</v>
      </c>
      <c r="R3343" s="12">
        <v>0.75</v>
      </c>
      <c r="S3343" s="12">
        <v>0.85</v>
      </c>
      <c r="T3343" s="12">
        <v>0.75</v>
      </c>
      <c r="U3343" s="12">
        <v>0.8</v>
      </c>
      <c r="V3343" s="12">
        <v>283.19948917469509</v>
      </c>
      <c r="W3343" s="12">
        <v>15.387222712895619</v>
      </c>
      <c r="X3343" s="12">
        <v>134.14765266393059</v>
      </c>
      <c r="Y3343" s="12">
        <v>3680.5921545935521</v>
      </c>
      <c r="Z3343" s="12">
        <v>6.9674242464372744</v>
      </c>
      <c r="AA3343" s="12" t="s">
        <v>1268</v>
      </c>
      <c r="AB3343" s="12"/>
    </row>
    <row r="3344" spans="1:28" x14ac:dyDescent="0.3">
      <c r="A3344" s="12" t="s">
        <v>5267</v>
      </c>
      <c r="B3344" s="12" t="s">
        <v>206</v>
      </c>
      <c r="C3344" s="12" t="s">
        <v>542</v>
      </c>
      <c r="D3344" s="12" t="s">
        <v>5237</v>
      </c>
      <c r="E3344" s="12" t="s">
        <v>2978</v>
      </c>
      <c r="F3344" s="12" t="s">
        <v>1861</v>
      </c>
      <c r="G3344" s="12" t="s">
        <v>1861</v>
      </c>
      <c r="H3344" s="12" t="b">
        <v>1</v>
      </c>
      <c r="I3344" s="12" t="b">
        <v>0</v>
      </c>
      <c r="J3344" s="12" t="b">
        <v>1</v>
      </c>
      <c r="K3344" s="12" t="b">
        <v>0</v>
      </c>
      <c r="L3344" s="12">
        <v>445.9447090649993</v>
      </c>
      <c r="M3344" s="12">
        <v>299.73333298908352</v>
      </c>
      <c r="N3344" s="12">
        <v>3095.3871091551141</v>
      </c>
      <c r="O3344" s="12">
        <v>1340.843494068004</v>
      </c>
      <c r="P3344" s="12">
        <v>0.73484568483787693</v>
      </c>
      <c r="Q3344" s="12">
        <v>0.85</v>
      </c>
      <c r="R3344" s="12">
        <v>0.75</v>
      </c>
      <c r="S3344" s="12">
        <v>0.85</v>
      </c>
      <c r="T3344" s="12">
        <v>0.75</v>
      </c>
      <c r="U3344" s="12">
        <v>0.8</v>
      </c>
      <c r="V3344" s="12">
        <v>299.73333298908352</v>
      </c>
      <c r="W3344" s="12">
        <v>6.8522889508335503</v>
      </c>
      <c r="X3344" s="12">
        <v>89.612679302204782</v>
      </c>
      <c r="Y3344" s="12">
        <v>1754.5436150871089</v>
      </c>
      <c r="Z3344" s="12">
        <v>2.308537217691212</v>
      </c>
      <c r="AA3344" s="12" t="s">
        <v>1268</v>
      </c>
      <c r="AB3344" s="12"/>
    </row>
    <row r="3345" spans="1:28" x14ac:dyDescent="0.3">
      <c r="A3345" s="12" t="s">
        <v>5268</v>
      </c>
      <c r="B3345" s="12" t="s">
        <v>206</v>
      </c>
      <c r="C3345" s="12" t="s">
        <v>542</v>
      </c>
      <c r="D3345" s="12" t="s">
        <v>5237</v>
      </c>
      <c r="E3345" s="12" t="s">
        <v>2978</v>
      </c>
      <c r="F3345" s="12" t="s">
        <v>1861</v>
      </c>
      <c r="G3345" s="12" t="s">
        <v>1861</v>
      </c>
      <c r="H3345" s="12" t="b">
        <v>1</v>
      </c>
      <c r="I3345" s="12" t="b">
        <v>0</v>
      </c>
      <c r="J3345" s="12" t="b">
        <v>1</v>
      </c>
      <c r="K3345" s="12" t="b">
        <v>0</v>
      </c>
      <c r="L3345" s="12">
        <v>486.59992404782918</v>
      </c>
      <c r="M3345" s="12">
        <v>280.82288128934232</v>
      </c>
      <c r="N3345" s="12">
        <v>2812.895129703621</v>
      </c>
      <c r="O3345" s="12">
        <v>1469.8593625416991</v>
      </c>
      <c r="P3345" s="12">
        <v>0.71882104701158545</v>
      </c>
      <c r="Q3345" s="12">
        <v>0.85</v>
      </c>
      <c r="R3345" s="12">
        <v>0.75</v>
      </c>
      <c r="S3345" s="12">
        <v>0.85</v>
      </c>
      <c r="T3345" s="12">
        <v>0.75</v>
      </c>
      <c r="U3345" s="12">
        <v>0.8</v>
      </c>
      <c r="V3345" s="12">
        <v>280.82288128934232</v>
      </c>
      <c r="W3345" s="12">
        <v>5.4012046621738898</v>
      </c>
      <c r="X3345" s="12">
        <v>82.18938681686636</v>
      </c>
      <c r="Y3345" s="12">
        <v>1343.035767161922</v>
      </c>
      <c r="Z3345" s="12">
        <v>1.913717190493333</v>
      </c>
      <c r="AA3345" s="12" t="s">
        <v>1268</v>
      </c>
      <c r="AB3345" s="12"/>
    </row>
    <row r="3346" spans="1:28" x14ac:dyDescent="0.3">
      <c r="A3346" s="12" t="s">
        <v>5269</v>
      </c>
      <c r="B3346" s="12" t="s">
        <v>206</v>
      </c>
      <c r="C3346" s="12" t="s">
        <v>542</v>
      </c>
      <c r="D3346" s="12" t="s">
        <v>5237</v>
      </c>
      <c r="E3346" s="12" t="s">
        <v>2978</v>
      </c>
      <c r="F3346" s="12" t="s">
        <v>1861</v>
      </c>
      <c r="G3346" s="12" t="s">
        <v>1861</v>
      </c>
      <c r="H3346" s="12" t="b">
        <v>1</v>
      </c>
      <c r="I3346" s="12" t="b">
        <v>0</v>
      </c>
      <c r="J3346" s="12" t="b">
        <v>1</v>
      </c>
      <c r="K3346" s="12" t="b">
        <v>0</v>
      </c>
      <c r="L3346" s="12">
        <v>460.87626476575713</v>
      </c>
      <c r="M3346" s="12">
        <v>297.91949470680828</v>
      </c>
      <c r="N3346" s="12">
        <v>3958.6663132225299</v>
      </c>
      <c r="O3346" s="12">
        <v>1041.1683180807011</v>
      </c>
      <c r="P3346" s="12">
        <v>0.84644690236816855</v>
      </c>
      <c r="Q3346" s="12">
        <v>0.85</v>
      </c>
      <c r="R3346" s="12">
        <v>0.75</v>
      </c>
      <c r="S3346" s="12">
        <v>0.85</v>
      </c>
      <c r="T3346" s="12">
        <v>0.75</v>
      </c>
      <c r="U3346" s="12">
        <v>0.8</v>
      </c>
      <c r="V3346" s="12">
        <v>297.91949470680828</v>
      </c>
      <c r="W3346" s="12">
        <v>11.50547560673558</v>
      </c>
      <c r="X3346" s="12">
        <v>143.51531504699969</v>
      </c>
      <c r="Y3346" s="12">
        <v>2917.4979951418291</v>
      </c>
      <c r="Z3346" s="12">
        <v>3.8021386595012512</v>
      </c>
      <c r="AA3346" s="12" t="s">
        <v>1268</v>
      </c>
      <c r="AB3346" s="12"/>
    </row>
    <row r="3347" spans="1:28" x14ac:dyDescent="0.3">
      <c r="A3347" s="12" t="s">
        <v>5270</v>
      </c>
      <c r="B3347" s="12" t="s">
        <v>206</v>
      </c>
      <c r="C3347" s="12" t="s">
        <v>542</v>
      </c>
      <c r="D3347" s="12" t="s">
        <v>5237</v>
      </c>
      <c r="E3347" s="12" t="s">
        <v>2978</v>
      </c>
      <c r="F3347" s="12" t="s">
        <v>832</v>
      </c>
      <c r="G3347" s="12" t="s">
        <v>832</v>
      </c>
      <c r="H3347" s="12" t="b">
        <v>0</v>
      </c>
      <c r="I3347" s="12" t="b">
        <v>0</v>
      </c>
      <c r="J3347" s="12" t="b">
        <v>0</v>
      </c>
      <c r="K3347" s="12" t="b">
        <v>0</v>
      </c>
      <c r="L3347" s="12">
        <v>444.79187579804562</v>
      </c>
      <c r="M3347" s="12">
        <v>284.12389299082389</v>
      </c>
      <c r="N3347" s="12">
        <v>4860.4047795530532</v>
      </c>
      <c r="O3347" s="12">
        <v>957.58009406847577</v>
      </c>
      <c r="P3347" s="12">
        <v>0.69762009068843944</v>
      </c>
      <c r="Q3347" s="12">
        <v>0.85</v>
      </c>
      <c r="R3347" s="12">
        <v>0.75</v>
      </c>
      <c r="S3347" s="12">
        <v>0.85</v>
      </c>
      <c r="T3347" s="12">
        <v>0.75</v>
      </c>
      <c r="U3347" s="12">
        <v>0.8</v>
      </c>
      <c r="V3347" s="12">
        <v>284.12389299082389</v>
      </c>
      <c r="W3347" s="12"/>
      <c r="X3347" s="12"/>
      <c r="Y3347" s="12">
        <v>3902.824685484577</v>
      </c>
      <c r="Z3347" s="12">
        <v>5.0757161825520258</v>
      </c>
      <c r="AA3347" s="12"/>
      <c r="AB3347" s="12"/>
    </row>
    <row r="3348" spans="1:28" x14ac:dyDescent="0.3">
      <c r="A3348" s="12" t="s">
        <v>5271</v>
      </c>
      <c r="B3348" s="12" t="s">
        <v>206</v>
      </c>
      <c r="C3348" s="12" t="s">
        <v>542</v>
      </c>
      <c r="D3348" s="12" t="s">
        <v>5237</v>
      </c>
      <c r="E3348" s="12" t="s">
        <v>2978</v>
      </c>
      <c r="F3348" s="12" t="s">
        <v>1861</v>
      </c>
      <c r="G3348" s="12" t="s">
        <v>1861</v>
      </c>
      <c r="H3348" s="12" t="b">
        <v>1</v>
      </c>
      <c r="I3348" s="12" t="b">
        <v>0</v>
      </c>
      <c r="J3348" s="12" t="b">
        <v>1</v>
      </c>
      <c r="K3348" s="12" t="b">
        <v>0</v>
      </c>
      <c r="L3348" s="12">
        <v>474.77566855508911</v>
      </c>
      <c r="M3348" s="12">
        <v>297.66704462219133</v>
      </c>
      <c r="N3348" s="12">
        <v>3463.2260439914912</v>
      </c>
      <c r="O3348" s="12">
        <v>1011.05225480979</v>
      </c>
      <c r="P3348" s="12">
        <v>0.83844761807457702</v>
      </c>
      <c r="Q3348" s="12">
        <v>0.85</v>
      </c>
      <c r="R3348" s="12">
        <v>0.75</v>
      </c>
      <c r="S3348" s="12">
        <v>0.85</v>
      </c>
      <c r="T3348" s="12">
        <v>0.75</v>
      </c>
      <c r="U3348" s="12">
        <v>0.8</v>
      </c>
      <c r="V3348" s="12">
        <v>297.66704462219133</v>
      </c>
      <c r="W3348" s="12">
        <v>10.348191478285971</v>
      </c>
      <c r="X3348" s="12">
        <v>133.95567371843441</v>
      </c>
      <c r="Y3348" s="12">
        <v>2452.1737891817011</v>
      </c>
      <c r="Z3348" s="12">
        <v>3.4253680039940471</v>
      </c>
      <c r="AA3348" s="12" t="s">
        <v>1268</v>
      </c>
      <c r="AB3348" s="12"/>
    </row>
    <row r="3349" spans="1:28" x14ac:dyDescent="0.3">
      <c r="A3349" s="12" t="s">
        <v>5272</v>
      </c>
      <c r="B3349" s="12" t="s">
        <v>206</v>
      </c>
      <c r="C3349" s="12" t="s">
        <v>542</v>
      </c>
      <c r="D3349" s="12" t="s">
        <v>5237</v>
      </c>
      <c r="E3349" s="12" t="s">
        <v>2978</v>
      </c>
      <c r="F3349" s="12" t="s">
        <v>1861</v>
      </c>
      <c r="G3349" s="12" t="s">
        <v>1861</v>
      </c>
      <c r="H3349" s="12" t="b">
        <v>1</v>
      </c>
      <c r="I3349" s="12" t="b">
        <v>0</v>
      </c>
      <c r="J3349" s="12" t="b">
        <v>1</v>
      </c>
      <c r="K3349" s="12" t="b">
        <v>0</v>
      </c>
      <c r="L3349" s="12">
        <v>517.30196593351957</v>
      </c>
      <c r="M3349" s="12">
        <v>299.78065738516091</v>
      </c>
      <c r="N3349" s="12">
        <v>2386.906949143377</v>
      </c>
      <c r="O3349" s="12">
        <v>1442.4780598803729</v>
      </c>
      <c r="P3349" s="12">
        <v>0.74668576661223462</v>
      </c>
      <c r="Q3349" s="12">
        <v>0.85</v>
      </c>
      <c r="R3349" s="12">
        <v>0.75</v>
      </c>
      <c r="S3349" s="12">
        <v>0.85</v>
      </c>
      <c r="T3349" s="12">
        <v>0.75</v>
      </c>
      <c r="U3349" s="12">
        <v>0.8</v>
      </c>
      <c r="V3349" s="12">
        <v>299.78065738516091</v>
      </c>
      <c r="W3349" s="12">
        <v>3.9684378569344401</v>
      </c>
      <c r="X3349" s="12">
        <v>59.336962431008267</v>
      </c>
      <c r="Y3349" s="12">
        <v>944.42888926300384</v>
      </c>
      <c r="Z3349" s="12">
        <v>1.65472669257883</v>
      </c>
      <c r="AA3349" s="12" t="s">
        <v>1268</v>
      </c>
      <c r="AB3349" s="12"/>
    </row>
    <row r="3350" spans="1:28" x14ac:dyDescent="0.3">
      <c r="A3350" s="12" t="s">
        <v>5273</v>
      </c>
      <c r="B3350" s="12" t="s">
        <v>206</v>
      </c>
      <c r="C3350" s="12" t="s">
        <v>542</v>
      </c>
      <c r="D3350" s="12" t="s">
        <v>5237</v>
      </c>
      <c r="E3350" s="12" t="s">
        <v>2978</v>
      </c>
      <c r="F3350" s="12" t="s">
        <v>1861</v>
      </c>
      <c r="G3350" s="12" t="s">
        <v>1861</v>
      </c>
      <c r="H3350" s="12" t="b">
        <v>1</v>
      </c>
      <c r="I3350" s="12" t="b">
        <v>0</v>
      </c>
      <c r="J3350" s="12" t="b">
        <v>1</v>
      </c>
      <c r="K3350" s="12" t="b">
        <v>0</v>
      </c>
      <c r="L3350" s="12">
        <v>434.99739552967168</v>
      </c>
      <c r="M3350" s="12">
        <v>291.33486762558692</v>
      </c>
      <c r="N3350" s="12">
        <v>4721.1741915917</v>
      </c>
      <c r="O3350" s="12">
        <v>1597.900792178647</v>
      </c>
      <c r="P3350" s="12">
        <v>0.71655441851946322</v>
      </c>
      <c r="Q3350" s="12">
        <v>0.85</v>
      </c>
      <c r="R3350" s="12">
        <v>0.75</v>
      </c>
      <c r="S3350" s="12">
        <v>0.85</v>
      </c>
      <c r="T3350" s="12">
        <v>0.75</v>
      </c>
      <c r="U3350" s="12">
        <v>0.8</v>
      </c>
      <c r="V3350" s="12">
        <v>291.33486762558692</v>
      </c>
      <c r="W3350" s="12">
        <v>9.1698488609238495</v>
      </c>
      <c r="X3350" s="12">
        <v>80.027998296615408</v>
      </c>
      <c r="Y3350" s="12">
        <v>3123.2733994130531</v>
      </c>
      <c r="Z3350" s="12">
        <v>2.9546103329447928</v>
      </c>
      <c r="AA3350" s="12" t="s">
        <v>1268</v>
      </c>
      <c r="AB3350" s="12"/>
    </row>
    <row r="3351" spans="1:28" x14ac:dyDescent="0.3">
      <c r="A3351" s="12" t="s">
        <v>5274</v>
      </c>
      <c r="B3351" s="12" t="s">
        <v>206</v>
      </c>
      <c r="C3351" s="12" t="s">
        <v>542</v>
      </c>
      <c r="D3351" s="12" t="s">
        <v>5237</v>
      </c>
      <c r="E3351" s="12" t="s">
        <v>2978</v>
      </c>
      <c r="F3351" s="12" t="s">
        <v>1861</v>
      </c>
      <c r="G3351" s="12" t="s">
        <v>1861</v>
      </c>
      <c r="H3351" s="12" t="b">
        <v>1</v>
      </c>
      <c r="I3351" s="12" t="b">
        <v>0</v>
      </c>
      <c r="J3351" s="12" t="b">
        <v>1</v>
      </c>
      <c r="K3351" s="12" t="b">
        <v>0</v>
      </c>
      <c r="L3351" s="12">
        <v>454.01317469668328</v>
      </c>
      <c r="M3351" s="12">
        <v>300.56402662500182</v>
      </c>
      <c r="N3351" s="12">
        <v>3214.0297692585309</v>
      </c>
      <c r="O3351" s="12">
        <v>1289.4683865995121</v>
      </c>
      <c r="P3351" s="12">
        <v>0.5348704274223921</v>
      </c>
      <c r="Q3351" s="12">
        <v>0.85</v>
      </c>
      <c r="R3351" s="12">
        <v>0.75</v>
      </c>
      <c r="S3351" s="12">
        <v>0.85</v>
      </c>
      <c r="T3351" s="12">
        <v>0.75</v>
      </c>
      <c r="U3351" s="12">
        <v>0.8</v>
      </c>
      <c r="V3351" s="12">
        <v>300.56402662500182</v>
      </c>
      <c r="W3351" s="12">
        <v>7.1444764610806901</v>
      </c>
      <c r="X3351" s="12">
        <v>75.370382952348081</v>
      </c>
      <c r="Y3351" s="12">
        <v>1924.5613826590179</v>
      </c>
      <c r="Z3351" s="12">
        <v>2.4925231224429818</v>
      </c>
      <c r="AA3351" s="12" t="s">
        <v>1268</v>
      </c>
      <c r="AB3351" s="12"/>
    </row>
    <row r="3352" spans="1:28" x14ac:dyDescent="0.3">
      <c r="A3352" s="12" t="s">
        <v>5275</v>
      </c>
      <c r="B3352" s="12" t="s">
        <v>206</v>
      </c>
      <c r="C3352" s="12" t="s">
        <v>542</v>
      </c>
      <c r="D3352" s="12" t="s">
        <v>5237</v>
      </c>
      <c r="E3352" s="12" t="s">
        <v>2978</v>
      </c>
      <c r="F3352" s="12" t="s">
        <v>1861</v>
      </c>
      <c r="G3352" s="12" t="s">
        <v>1861</v>
      </c>
      <c r="H3352" s="12" t="b">
        <v>1</v>
      </c>
      <c r="I3352" s="12" t="b">
        <v>0</v>
      </c>
      <c r="J3352" s="12" t="b">
        <v>0</v>
      </c>
      <c r="K3352" s="12" t="b">
        <v>0</v>
      </c>
      <c r="L3352" s="12">
        <v>430.53082595448262</v>
      </c>
      <c r="M3352" s="12">
        <v>281.38446479899608</v>
      </c>
      <c r="N3352" s="12">
        <v>2220.6538442367728</v>
      </c>
      <c r="O3352" s="12">
        <v>718.95924297758268</v>
      </c>
      <c r="P3352" s="12">
        <v>0.77038016297609246</v>
      </c>
      <c r="Q3352" s="12">
        <v>0.85</v>
      </c>
      <c r="R3352" s="12">
        <v>0.75</v>
      </c>
      <c r="S3352" s="12">
        <v>0.85</v>
      </c>
      <c r="T3352" s="12">
        <v>0.75</v>
      </c>
      <c r="U3352" s="12">
        <v>0.8</v>
      </c>
      <c r="V3352" s="12">
        <v>281.38446479899608</v>
      </c>
      <c r="W3352" s="12">
        <v>8.8367799211678193</v>
      </c>
      <c r="X3352" s="12">
        <v>119.83271940131</v>
      </c>
      <c r="Y3352" s="12">
        <v>1501.69460125919</v>
      </c>
      <c r="Z3352" s="12">
        <v>3.088706162313033</v>
      </c>
      <c r="AA3352" s="12" t="s">
        <v>1268</v>
      </c>
      <c r="AB3352" s="12"/>
    </row>
    <row r="3353" spans="1:28" x14ac:dyDescent="0.3">
      <c r="A3353" s="12" t="s">
        <v>5276</v>
      </c>
      <c r="B3353" s="12" t="s">
        <v>206</v>
      </c>
      <c r="C3353" s="12" t="s">
        <v>542</v>
      </c>
      <c r="D3353" s="12" t="s">
        <v>5237</v>
      </c>
      <c r="E3353" s="12" t="s">
        <v>2978</v>
      </c>
      <c r="F3353" s="12" t="s">
        <v>3483</v>
      </c>
      <c r="G3353" s="12"/>
      <c r="H3353" s="12" t="b">
        <v>0</v>
      </c>
      <c r="I3353" s="12" t="b">
        <v>0</v>
      </c>
      <c r="J3353" s="12"/>
      <c r="K3353" s="12" t="b">
        <v>1</v>
      </c>
      <c r="L3353" s="12">
        <v>519.55981325731</v>
      </c>
      <c r="M3353" s="12">
        <v>286.31125530847021</v>
      </c>
      <c r="N3353" s="12">
        <v>2031.4691020003261</v>
      </c>
      <c r="O3353" s="12">
        <v>1782.517858013988</v>
      </c>
      <c r="P3353" s="12">
        <v>0.73949038374367293</v>
      </c>
      <c r="Q3353" s="12">
        <v>0.85</v>
      </c>
      <c r="R3353" s="12">
        <v>0.75</v>
      </c>
      <c r="S3353" s="12">
        <v>0.85</v>
      </c>
      <c r="T3353" s="12">
        <v>0.75</v>
      </c>
      <c r="U3353" s="12">
        <v>0.8</v>
      </c>
      <c r="V3353" s="12"/>
      <c r="W3353" s="12"/>
      <c r="X3353" s="12"/>
      <c r="Y3353" s="12">
        <v>248.95124398633811</v>
      </c>
      <c r="Z3353" s="12">
        <v>1.139662692784301</v>
      </c>
      <c r="AA3353" s="12"/>
      <c r="AB3353" s="12"/>
    </row>
    <row r="3354" spans="1:28" x14ac:dyDescent="0.3">
      <c r="A3354" s="12" t="s">
        <v>5277</v>
      </c>
      <c r="B3354" s="12" t="s">
        <v>206</v>
      </c>
      <c r="C3354" s="12" t="s">
        <v>542</v>
      </c>
      <c r="D3354" s="12" t="s">
        <v>5237</v>
      </c>
      <c r="E3354" s="12" t="s">
        <v>2978</v>
      </c>
      <c r="F3354" s="12" t="s">
        <v>1862</v>
      </c>
      <c r="G3354" s="12" t="s">
        <v>1862</v>
      </c>
      <c r="H3354" s="12" t="b">
        <v>1</v>
      </c>
      <c r="I3354" s="12" t="b">
        <v>0</v>
      </c>
      <c r="J3354" s="12" t="b">
        <v>0</v>
      </c>
      <c r="K3354" s="12" t="b">
        <v>0</v>
      </c>
      <c r="L3354" s="12">
        <v>406.96844422694852</v>
      </c>
      <c r="M3354" s="12">
        <v>298.118017268524</v>
      </c>
      <c r="N3354" s="12">
        <v>4312.6069797028586</v>
      </c>
      <c r="O3354" s="12">
        <v>369.96125367989413</v>
      </c>
      <c r="P3354" s="12">
        <v>0.50442172717221212</v>
      </c>
      <c r="Q3354" s="12">
        <v>0.85</v>
      </c>
      <c r="R3354" s="12">
        <v>0.75</v>
      </c>
      <c r="S3354" s="12">
        <v>0.85</v>
      </c>
      <c r="T3354" s="12">
        <v>0.75</v>
      </c>
      <c r="U3354" s="12">
        <v>0.8</v>
      </c>
      <c r="V3354" s="12">
        <v>298.118017268524</v>
      </c>
      <c r="W3354" s="12">
        <v>-4.8185277514126694</v>
      </c>
      <c r="X3354" s="12">
        <v>-6.0141933964351963</v>
      </c>
      <c r="Y3354" s="12">
        <v>3942.6457260229649</v>
      </c>
      <c r="Z3354" s="12">
        <v>11.656915249385291</v>
      </c>
      <c r="AA3354" s="12" t="s">
        <v>2513</v>
      </c>
      <c r="AB3354" s="12"/>
    </row>
    <row r="3355" spans="1:28" x14ac:dyDescent="0.3">
      <c r="A3355" s="12" t="s">
        <v>5278</v>
      </c>
      <c r="B3355" s="12" t="s">
        <v>206</v>
      </c>
      <c r="C3355" s="12" t="s">
        <v>542</v>
      </c>
      <c r="D3355" s="12" t="s">
        <v>5237</v>
      </c>
      <c r="E3355" s="12" t="s">
        <v>2978</v>
      </c>
      <c r="F3355" s="12" t="s">
        <v>1861</v>
      </c>
      <c r="G3355" s="12" t="s">
        <v>1861</v>
      </c>
      <c r="H3355" s="12" t="b">
        <v>1</v>
      </c>
      <c r="I3355" s="12" t="b">
        <v>0</v>
      </c>
      <c r="J3355" s="12" t="b">
        <v>1</v>
      </c>
      <c r="K3355" s="12" t="b">
        <v>0</v>
      </c>
      <c r="L3355" s="12">
        <v>516.858967217751</v>
      </c>
      <c r="M3355" s="12">
        <v>283.6657210175033</v>
      </c>
      <c r="N3355" s="12">
        <v>2245.0647429099672</v>
      </c>
      <c r="O3355" s="12">
        <v>1477.62389661774</v>
      </c>
      <c r="P3355" s="12">
        <v>0.56951928288233256</v>
      </c>
      <c r="Q3355" s="12">
        <v>0.85</v>
      </c>
      <c r="R3355" s="12">
        <v>0.75</v>
      </c>
      <c r="S3355" s="12">
        <v>0.85</v>
      </c>
      <c r="T3355" s="12">
        <v>0.75</v>
      </c>
      <c r="U3355" s="12">
        <v>0.8</v>
      </c>
      <c r="V3355" s="12">
        <v>283.6657210175033</v>
      </c>
      <c r="W3355" s="12">
        <v>3.22585608607003</v>
      </c>
      <c r="X3355" s="12">
        <v>55.690769486631801</v>
      </c>
      <c r="Y3355" s="12">
        <v>767.4408462922263</v>
      </c>
      <c r="Z3355" s="12">
        <v>1.5193749560012439</v>
      </c>
      <c r="AA3355" s="12" t="s">
        <v>1268</v>
      </c>
      <c r="AB3355" s="12"/>
    </row>
    <row r="3356" spans="1:28" x14ac:dyDescent="0.3">
      <c r="A3356" s="12" t="s">
        <v>5279</v>
      </c>
      <c r="B3356" s="12" t="s">
        <v>206</v>
      </c>
      <c r="C3356" s="12" t="s">
        <v>542</v>
      </c>
      <c r="D3356" s="12" t="s">
        <v>5237</v>
      </c>
      <c r="E3356" s="12" t="s">
        <v>2978</v>
      </c>
      <c r="F3356" s="12" t="s">
        <v>1861</v>
      </c>
      <c r="G3356" s="12" t="s">
        <v>1861</v>
      </c>
      <c r="H3356" s="12" t="b">
        <v>1</v>
      </c>
      <c r="I3356" s="12" t="b">
        <v>0</v>
      </c>
      <c r="J3356" s="12" t="b">
        <v>1</v>
      </c>
      <c r="K3356" s="12" t="b">
        <v>0</v>
      </c>
      <c r="L3356" s="12">
        <v>494.68574383776462</v>
      </c>
      <c r="M3356" s="12">
        <v>282.8430366419779</v>
      </c>
      <c r="N3356" s="12">
        <v>3861.8011474380819</v>
      </c>
      <c r="O3356" s="12">
        <v>310.67549346650509</v>
      </c>
      <c r="P3356" s="12">
        <v>0.50239792667188754</v>
      </c>
      <c r="Q3356" s="12">
        <v>0.85</v>
      </c>
      <c r="R3356" s="12">
        <v>0.75</v>
      </c>
      <c r="S3356" s="12">
        <v>0.85</v>
      </c>
      <c r="T3356" s="12">
        <v>0.75</v>
      </c>
      <c r="U3356" s="12">
        <v>0.8</v>
      </c>
      <c r="V3356" s="12">
        <v>282.8430366419779</v>
      </c>
      <c r="W3356" s="12">
        <v>16.282772935161361</v>
      </c>
      <c r="X3356" s="12">
        <v>275.90766893557287</v>
      </c>
      <c r="Y3356" s="12">
        <v>3551.1256539715769</v>
      </c>
      <c r="Z3356" s="12">
        <v>12.430337212466471</v>
      </c>
      <c r="AA3356" s="12" t="s">
        <v>1981</v>
      </c>
      <c r="AB3356" s="12"/>
    </row>
    <row r="3357" spans="1:28" x14ac:dyDescent="0.3">
      <c r="A3357" s="12" t="s">
        <v>5280</v>
      </c>
      <c r="B3357" s="12" t="s">
        <v>206</v>
      </c>
      <c r="C3357" s="12" t="s">
        <v>542</v>
      </c>
      <c r="D3357" s="12" t="s">
        <v>5237</v>
      </c>
      <c r="E3357" s="12" t="s">
        <v>2978</v>
      </c>
      <c r="F3357" s="12" t="s">
        <v>1861</v>
      </c>
      <c r="G3357" s="12" t="s">
        <v>1861</v>
      </c>
      <c r="H3357" s="12" t="b">
        <v>1</v>
      </c>
      <c r="I3357" s="12" t="b">
        <v>0</v>
      </c>
      <c r="J3357" s="12" t="b">
        <v>0</v>
      </c>
      <c r="K3357" s="12" t="b">
        <v>0</v>
      </c>
      <c r="L3357" s="12">
        <v>388.24715558048968</v>
      </c>
      <c r="M3357" s="12">
        <v>297.16936076897048</v>
      </c>
      <c r="N3357" s="12">
        <v>2000.100902831723</v>
      </c>
      <c r="O3357" s="12">
        <v>639.33941843842808</v>
      </c>
      <c r="P3357" s="12">
        <v>0.66373558635974783</v>
      </c>
      <c r="Q3357" s="12">
        <v>0.85</v>
      </c>
      <c r="R3357" s="12">
        <v>0.75</v>
      </c>
      <c r="S3357" s="12">
        <v>0.85</v>
      </c>
      <c r="T3357" s="12">
        <v>0.75</v>
      </c>
      <c r="U3357" s="12">
        <v>0.8</v>
      </c>
      <c r="V3357" s="12">
        <v>297.16936076897048</v>
      </c>
      <c r="W3357" s="12">
        <v>8.7002864907780495</v>
      </c>
      <c r="X3357" s="12">
        <v>57.008515532661413</v>
      </c>
      <c r="Y3357" s="12">
        <v>1360.7614843932949</v>
      </c>
      <c r="Z3357" s="12">
        <v>3.128386652143119</v>
      </c>
      <c r="AA3357" s="12" t="s">
        <v>1268</v>
      </c>
      <c r="AB3357" s="12"/>
    </row>
    <row r="3358" spans="1:28" x14ac:dyDescent="0.3">
      <c r="A3358" s="12" t="s">
        <v>5281</v>
      </c>
      <c r="B3358" s="12" t="s">
        <v>206</v>
      </c>
      <c r="C3358" s="12" t="s">
        <v>542</v>
      </c>
      <c r="D3358" s="12" t="s">
        <v>5237</v>
      </c>
      <c r="E3358" s="12" t="s">
        <v>2978</v>
      </c>
      <c r="F3358" s="12" t="s">
        <v>32</v>
      </c>
      <c r="G3358" s="12" t="s">
        <v>32</v>
      </c>
      <c r="H3358" s="12" t="b">
        <v>1</v>
      </c>
      <c r="I3358" s="12" t="b">
        <v>1</v>
      </c>
      <c r="J3358" s="12" t="b">
        <v>0</v>
      </c>
      <c r="K3358" s="12" t="b">
        <v>0</v>
      </c>
      <c r="L3358" s="12">
        <v>411.08352618920492</v>
      </c>
      <c r="M3358" s="12">
        <v>300.28874511998413</v>
      </c>
      <c r="N3358" s="12">
        <v>3594.9759843436182</v>
      </c>
      <c r="O3358" s="12">
        <v>1945.984061674744</v>
      </c>
      <c r="P3358" s="12">
        <v>0.62073666372400238</v>
      </c>
      <c r="Q3358" s="12">
        <v>0.85</v>
      </c>
      <c r="R3358" s="12">
        <v>0.75</v>
      </c>
      <c r="S3358" s="12">
        <v>0.85</v>
      </c>
      <c r="T3358" s="12">
        <v>0.75</v>
      </c>
      <c r="U3358" s="12">
        <v>0.8</v>
      </c>
      <c r="V3358" s="12">
        <v>300.28874511998413</v>
      </c>
      <c r="W3358" s="12">
        <v>4.6525316386108306</v>
      </c>
      <c r="X3358" s="12">
        <v>25.507256449653251</v>
      </c>
      <c r="Y3358" s="12">
        <v>1648.9919226688739</v>
      </c>
      <c r="Z3358" s="12">
        <v>1.8473820290438181</v>
      </c>
      <c r="AA3358" s="12"/>
      <c r="AB3358" s="12"/>
    </row>
    <row r="3359" spans="1:28" x14ac:dyDescent="0.3">
      <c r="A3359" s="12" t="s">
        <v>5282</v>
      </c>
      <c r="B3359" s="12" t="s">
        <v>206</v>
      </c>
      <c r="C3359" s="12" t="s">
        <v>542</v>
      </c>
      <c r="D3359" s="12" t="s">
        <v>5237</v>
      </c>
      <c r="E3359" s="12" t="s">
        <v>2978</v>
      </c>
      <c r="F3359" s="12" t="s">
        <v>32</v>
      </c>
      <c r="G3359" s="12" t="s">
        <v>32</v>
      </c>
      <c r="H3359" s="12" t="b">
        <v>1</v>
      </c>
      <c r="I3359" s="12" t="b">
        <v>1</v>
      </c>
      <c r="J3359" s="12" t="b">
        <v>0</v>
      </c>
      <c r="K3359" s="12" t="b">
        <v>0</v>
      </c>
      <c r="L3359" s="12">
        <v>389.42500793847182</v>
      </c>
      <c r="M3359" s="12">
        <v>294.95991528977652</v>
      </c>
      <c r="N3359" s="12">
        <v>3121.5259299028871</v>
      </c>
      <c r="O3359" s="12">
        <v>767.00871405375085</v>
      </c>
      <c r="P3359" s="12">
        <v>0.59107492198939382</v>
      </c>
      <c r="Q3359" s="12">
        <v>0.85</v>
      </c>
      <c r="R3359" s="12">
        <v>0.75</v>
      </c>
      <c r="S3359" s="12">
        <v>0.85</v>
      </c>
      <c r="T3359" s="12">
        <v>0.75</v>
      </c>
      <c r="U3359" s="12">
        <v>0.8</v>
      </c>
      <c r="V3359" s="12">
        <v>294.95991528977652</v>
      </c>
      <c r="W3359" s="12">
        <v>8.1097460332729696</v>
      </c>
      <c r="X3359" s="12">
        <v>26.777106640984702</v>
      </c>
      <c r="Y3359" s="12">
        <v>2354.5172158491359</v>
      </c>
      <c r="Z3359" s="12">
        <v>4.0697398513312519</v>
      </c>
      <c r="AA3359" s="12"/>
      <c r="AB3359" s="12"/>
    </row>
    <row r="3360" spans="1:28" x14ac:dyDescent="0.3">
      <c r="A3360" s="12" t="s">
        <v>5283</v>
      </c>
      <c r="B3360" s="12" t="s">
        <v>206</v>
      </c>
      <c r="C3360" s="12" t="s">
        <v>542</v>
      </c>
      <c r="D3360" s="12" t="s">
        <v>5237</v>
      </c>
      <c r="E3360" s="12" t="s">
        <v>2978</v>
      </c>
      <c r="F3360" s="12" t="s">
        <v>1861</v>
      </c>
      <c r="G3360" s="12" t="s">
        <v>1861</v>
      </c>
      <c r="H3360" s="12" t="b">
        <v>1</v>
      </c>
      <c r="I3360" s="12" t="b">
        <v>0</v>
      </c>
      <c r="J3360" s="12" t="b">
        <v>1</v>
      </c>
      <c r="K3360" s="12" t="b">
        <v>0</v>
      </c>
      <c r="L3360" s="12">
        <v>455.23219864309078</v>
      </c>
      <c r="M3360" s="12">
        <v>281.80348367028841</v>
      </c>
      <c r="N3360" s="12">
        <v>2879.332160475833</v>
      </c>
      <c r="O3360" s="12">
        <v>1111.9600032469821</v>
      </c>
      <c r="P3360" s="12">
        <v>0.62822790525898331</v>
      </c>
      <c r="Q3360" s="12">
        <v>0.85</v>
      </c>
      <c r="R3360" s="12">
        <v>0.75</v>
      </c>
      <c r="S3360" s="12">
        <v>0.85</v>
      </c>
      <c r="T3360" s="12">
        <v>0.75</v>
      </c>
      <c r="U3360" s="12">
        <v>0.8</v>
      </c>
      <c r="V3360" s="12">
        <v>281.80348367028841</v>
      </c>
      <c r="W3360" s="12">
        <v>7.4771507244029607</v>
      </c>
      <c r="X3360" s="12">
        <v>109.919634911702</v>
      </c>
      <c r="Y3360" s="12">
        <v>1767.3721572288509</v>
      </c>
      <c r="Z3360" s="12">
        <v>2.589420619507925</v>
      </c>
      <c r="AA3360" s="12" t="s">
        <v>1268</v>
      </c>
      <c r="AB3360" s="12"/>
    </row>
    <row r="3361" spans="1:28" x14ac:dyDescent="0.3">
      <c r="A3361" s="12" t="s">
        <v>5284</v>
      </c>
      <c r="B3361" s="12" t="s">
        <v>206</v>
      </c>
      <c r="C3361" s="12" t="s">
        <v>542</v>
      </c>
      <c r="D3361" s="12" t="s">
        <v>5237</v>
      </c>
      <c r="E3361" s="12" t="s">
        <v>2978</v>
      </c>
      <c r="F3361" s="12" t="s">
        <v>1861</v>
      </c>
      <c r="G3361" s="12" t="s">
        <v>1861</v>
      </c>
      <c r="H3361" s="12" t="b">
        <v>1</v>
      </c>
      <c r="I3361" s="12" t="b">
        <v>0</v>
      </c>
      <c r="J3361" s="12" t="b">
        <v>1</v>
      </c>
      <c r="K3361" s="12" t="b">
        <v>0</v>
      </c>
      <c r="L3361" s="12">
        <v>475.39744664145292</v>
      </c>
      <c r="M3361" s="12">
        <v>278.1881636973086</v>
      </c>
      <c r="N3361" s="12">
        <v>3168.4533336174909</v>
      </c>
      <c r="O3361" s="12">
        <v>1857.973125165069</v>
      </c>
      <c r="P3361" s="12">
        <v>0.54279889487236488</v>
      </c>
      <c r="Q3361" s="12">
        <v>0.85</v>
      </c>
      <c r="R3361" s="12">
        <v>0.75</v>
      </c>
      <c r="S3361" s="12">
        <v>0.85</v>
      </c>
      <c r="T3361" s="12">
        <v>0.75</v>
      </c>
      <c r="U3361" s="12">
        <v>0.8</v>
      </c>
      <c r="V3361" s="12">
        <v>278.1881636973086</v>
      </c>
      <c r="W3361" s="12">
        <v>4.2815670987209202</v>
      </c>
      <c r="X3361" s="12">
        <v>70.584886514407756</v>
      </c>
      <c r="Y3361" s="12">
        <v>1310.480208452421</v>
      </c>
      <c r="Z3361" s="12">
        <v>1.705327860076552</v>
      </c>
      <c r="AA3361" s="12" t="s">
        <v>1268</v>
      </c>
      <c r="AB3361" s="12"/>
    </row>
    <row r="3362" spans="1:28" x14ac:dyDescent="0.3">
      <c r="A3362" s="12" t="s">
        <v>5285</v>
      </c>
      <c r="B3362" s="12" t="s">
        <v>206</v>
      </c>
      <c r="C3362" s="12" t="s">
        <v>542</v>
      </c>
      <c r="D3362" s="12" t="s">
        <v>5237</v>
      </c>
      <c r="E3362" s="12" t="s">
        <v>2978</v>
      </c>
      <c r="F3362" s="12" t="s">
        <v>1861</v>
      </c>
      <c r="G3362" s="12" t="s">
        <v>1861</v>
      </c>
      <c r="H3362" s="12" t="b">
        <v>1</v>
      </c>
      <c r="I3362" s="12" t="b">
        <v>0</v>
      </c>
      <c r="J3362" s="12" t="b">
        <v>1</v>
      </c>
      <c r="K3362" s="12" t="b">
        <v>0</v>
      </c>
      <c r="L3362" s="12">
        <v>498.13510844565241</v>
      </c>
      <c r="M3362" s="12">
        <v>287.59446842440042</v>
      </c>
      <c r="N3362" s="12">
        <v>4661.6835286698233</v>
      </c>
      <c r="O3362" s="12">
        <v>922.97397836325763</v>
      </c>
      <c r="P3362" s="12">
        <v>0.55145784092040673</v>
      </c>
      <c r="Q3362" s="12">
        <v>0.85</v>
      </c>
      <c r="R3362" s="12">
        <v>0.75</v>
      </c>
      <c r="S3362" s="12">
        <v>0.85</v>
      </c>
      <c r="T3362" s="12">
        <v>0.75</v>
      </c>
      <c r="U3362" s="12">
        <v>0.8</v>
      </c>
      <c r="V3362" s="12">
        <v>287.59446842440042</v>
      </c>
      <c r="W3362" s="12">
        <v>11.83797947256774</v>
      </c>
      <c r="X3362" s="12">
        <v>192.86875264310569</v>
      </c>
      <c r="Y3362" s="12">
        <v>3738.7095503065661</v>
      </c>
      <c r="Z3362" s="12">
        <v>5.0507204297747936</v>
      </c>
      <c r="AA3362" s="12" t="s">
        <v>1268</v>
      </c>
      <c r="AB3362" s="12"/>
    </row>
    <row r="3363" spans="1:28" x14ac:dyDescent="0.3">
      <c r="A3363" s="12" t="s">
        <v>5286</v>
      </c>
      <c r="B3363" s="12" t="s">
        <v>206</v>
      </c>
      <c r="C3363" s="12" t="s">
        <v>542</v>
      </c>
      <c r="D3363" s="12" t="s">
        <v>5237</v>
      </c>
      <c r="E3363" s="12" t="s">
        <v>2978</v>
      </c>
      <c r="F3363" s="12" t="s">
        <v>1861</v>
      </c>
      <c r="G3363" s="12" t="s">
        <v>1861</v>
      </c>
      <c r="H3363" s="12" t="b">
        <v>1</v>
      </c>
      <c r="I3363" s="12" t="b">
        <v>0</v>
      </c>
      <c r="J3363" s="12" t="b">
        <v>0</v>
      </c>
      <c r="K3363" s="12" t="b">
        <v>0</v>
      </c>
      <c r="L3363" s="12">
        <v>422.76572683046618</v>
      </c>
      <c r="M3363" s="12">
        <v>285.9528524184102</v>
      </c>
      <c r="N3363" s="12">
        <v>2147.9886732056411</v>
      </c>
      <c r="O3363" s="12">
        <v>754.8333463380402</v>
      </c>
      <c r="P3363" s="12">
        <v>0.7097437910177582</v>
      </c>
      <c r="Q3363" s="12">
        <v>0.85</v>
      </c>
      <c r="R3363" s="12">
        <v>0.75</v>
      </c>
      <c r="S3363" s="12">
        <v>0.85</v>
      </c>
      <c r="T3363" s="12">
        <v>0.75</v>
      </c>
      <c r="U3363" s="12">
        <v>0.8</v>
      </c>
      <c r="V3363" s="12">
        <v>285.9528524184102</v>
      </c>
      <c r="W3363" s="12">
        <v>8.2281479304700795</v>
      </c>
      <c r="X3363" s="12">
        <v>93.852685432112807</v>
      </c>
      <c r="Y3363" s="12">
        <v>1393.1553268676009</v>
      </c>
      <c r="Z3363" s="12">
        <v>2.845646239168266</v>
      </c>
      <c r="AA3363" s="12" t="s">
        <v>1268</v>
      </c>
      <c r="AB3363" s="12"/>
    </row>
    <row r="3364" spans="1:28" x14ac:dyDescent="0.3">
      <c r="A3364" s="12" t="s">
        <v>5287</v>
      </c>
      <c r="B3364" s="12" t="s">
        <v>206</v>
      </c>
      <c r="C3364" s="12" t="s">
        <v>542</v>
      </c>
      <c r="D3364" s="12" t="s">
        <v>5237</v>
      </c>
      <c r="E3364" s="12" t="s">
        <v>2978</v>
      </c>
      <c r="F3364" s="12" t="s">
        <v>1861</v>
      </c>
      <c r="G3364" s="12" t="s">
        <v>1861</v>
      </c>
      <c r="H3364" s="12" t="b">
        <v>1</v>
      </c>
      <c r="I3364" s="12" t="b">
        <v>0</v>
      </c>
      <c r="J3364" s="12" t="b">
        <v>0</v>
      </c>
      <c r="K3364" s="12" t="b">
        <v>0</v>
      </c>
      <c r="L3364" s="12">
        <v>429.9435968564149</v>
      </c>
      <c r="M3364" s="12">
        <v>285.70332809779171</v>
      </c>
      <c r="N3364" s="12">
        <v>4768.9847103643333</v>
      </c>
      <c r="O3364" s="12">
        <v>1093.785694089325</v>
      </c>
      <c r="P3364" s="12">
        <v>0.83158472508905268</v>
      </c>
      <c r="Q3364" s="12">
        <v>0.85</v>
      </c>
      <c r="R3364" s="12">
        <v>0.75</v>
      </c>
      <c r="S3364" s="12">
        <v>0.85</v>
      </c>
      <c r="T3364" s="12">
        <v>0.75</v>
      </c>
      <c r="U3364" s="12">
        <v>0.8</v>
      </c>
      <c r="V3364" s="12">
        <v>285.70332809779171</v>
      </c>
      <c r="W3364" s="12">
        <v>12.96046165375798</v>
      </c>
      <c r="X3364" s="12">
        <v>132.8468569025336</v>
      </c>
      <c r="Y3364" s="12">
        <v>3675.1990162750089</v>
      </c>
      <c r="Z3364" s="12">
        <v>4.3600723031351611</v>
      </c>
      <c r="AA3364" s="12" t="s">
        <v>1268</v>
      </c>
      <c r="AB3364" s="12"/>
    </row>
    <row r="3365" spans="1:28" x14ac:dyDescent="0.3">
      <c r="A3365" s="12" t="s">
        <v>5288</v>
      </c>
      <c r="B3365" s="12" t="s">
        <v>206</v>
      </c>
      <c r="C3365" s="12" t="s">
        <v>542</v>
      </c>
      <c r="D3365" s="12" t="s">
        <v>5237</v>
      </c>
      <c r="E3365" s="12" t="s">
        <v>2978</v>
      </c>
      <c r="F3365" s="12" t="s">
        <v>1863</v>
      </c>
      <c r="G3365" s="12" t="s">
        <v>832</v>
      </c>
      <c r="H3365" s="12" t="b">
        <v>0</v>
      </c>
      <c r="I3365" s="12" t="b">
        <v>0</v>
      </c>
      <c r="J3365" s="12" t="b">
        <v>0</v>
      </c>
      <c r="K3365" s="12" t="b">
        <v>0</v>
      </c>
      <c r="L3365" s="12">
        <v>383.24329729156437</v>
      </c>
      <c r="M3365" s="12">
        <v>283.91266222095919</v>
      </c>
      <c r="N3365" s="12">
        <v>4822.4969085839684</v>
      </c>
      <c r="O3365" s="12">
        <v>728.81241524478651</v>
      </c>
      <c r="P3365" s="12">
        <v>0.63877996615054056</v>
      </c>
      <c r="Q3365" s="12">
        <v>0.85</v>
      </c>
      <c r="R3365" s="12">
        <v>0.75</v>
      </c>
      <c r="S3365" s="12">
        <v>0.85</v>
      </c>
      <c r="T3365" s="12">
        <v>0.75</v>
      </c>
      <c r="U3365" s="12">
        <v>0.8</v>
      </c>
      <c r="V3365" s="12">
        <v>283.91266222095919</v>
      </c>
      <c r="W3365" s="12">
        <v>-214.59757573284011</v>
      </c>
      <c r="X3365" s="12">
        <v>-58.165426854687873</v>
      </c>
      <c r="Y3365" s="12">
        <v>4093.6844933391822</v>
      </c>
      <c r="Z3365" s="12">
        <v>6.6169247500596358</v>
      </c>
      <c r="AA3365" s="12" t="s">
        <v>2018</v>
      </c>
      <c r="AB3365" s="12"/>
    </row>
    <row r="3366" spans="1:28" x14ac:dyDescent="0.3">
      <c r="A3366" s="12" t="s">
        <v>5289</v>
      </c>
      <c r="B3366" s="12" t="s">
        <v>206</v>
      </c>
      <c r="C3366" s="12" t="s">
        <v>542</v>
      </c>
      <c r="D3366" s="12" t="s">
        <v>5237</v>
      </c>
      <c r="E3366" s="12" t="s">
        <v>2978</v>
      </c>
      <c r="F3366" s="12" t="s">
        <v>32</v>
      </c>
      <c r="G3366" s="12" t="s">
        <v>32</v>
      </c>
      <c r="H3366" s="12" t="b">
        <v>1</v>
      </c>
      <c r="I3366" s="12" t="b">
        <v>1</v>
      </c>
      <c r="J3366" s="12" t="b">
        <v>0</v>
      </c>
      <c r="K3366" s="12" t="b">
        <v>0</v>
      </c>
      <c r="L3366" s="12">
        <v>419.03886533123432</v>
      </c>
      <c r="M3366" s="12">
        <v>303.03510505460781</v>
      </c>
      <c r="N3366" s="12">
        <v>3338.2075117805739</v>
      </c>
      <c r="O3366" s="12">
        <v>1955.0188380918401</v>
      </c>
      <c r="P3366" s="12">
        <v>0.65833461816523331</v>
      </c>
      <c r="Q3366" s="12">
        <v>0.85</v>
      </c>
      <c r="R3366" s="12">
        <v>0.75</v>
      </c>
      <c r="S3366" s="12">
        <v>0.85</v>
      </c>
      <c r="T3366" s="12">
        <v>0.75</v>
      </c>
      <c r="U3366" s="12">
        <v>0.8</v>
      </c>
      <c r="V3366" s="12">
        <v>303.03510505460781</v>
      </c>
      <c r="W3366" s="12">
        <v>4.6558413919459998</v>
      </c>
      <c r="X3366" s="12">
        <v>34.15885380571261</v>
      </c>
      <c r="Y3366" s="12">
        <v>1383.1886736887341</v>
      </c>
      <c r="Z3366" s="12">
        <v>1.707506570647048</v>
      </c>
      <c r="AA3366" s="12"/>
      <c r="AB3366" s="12"/>
    </row>
    <row r="3367" spans="1:28" x14ac:dyDescent="0.3">
      <c r="A3367" s="12" t="s">
        <v>5290</v>
      </c>
      <c r="B3367" s="12" t="s">
        <v>206</v>
      </c>
      <c r="C3367" s="12" t="s">
        <v>542</v>
      </c>
      <c r="D3367" s="12" t="s">
        <v>5237</v>
      </c>
      <c r="E3367" s="12" t="s">
        <v>2978</v>
      </c>
      <c r="F3367" s="12" t="s">
        <v>1863</v>
      </c>
      <c r="G3367" s="12" t="s">
        <v>832</v>
      </c>
      <c r="H3367" s="12" t="b">
        <v>0</v>
      </c>
      <c r="I3367" s="12" t="b">
        <v>0</v>
      </c>
      <c r="J3367" s="12" t="b">
        <v>0</v>
      </c>
      <c r="K3367" s="12" t="b">
        <v>0</v>
      </c>
      <c r="L3367" s="12">
        <v>409.03533214696819</v>
      </c>
      <c r="M3367" s="12">
        <v>298.92562597924848</v>
      </c>
      <c r="N3367" s="12">
        <v>4939.8654165873932</v>
      </c>
      <c r="O3367" s="12">
        <v>1742.938832602282</v>
      </c>
      <c r="P3367" s="12">
        <v>0.51259649393537776</v>
      </c>
      <c r="Q3367" s="12">
        <v>0.85</v>
      </c>
      <c r="R3367" s="12">
        <v>0.75</v>
      </c>
      <c r="S3367" s="12">
        <v>0.85</v>
      </c>
      <c r="T3367" s="12">
        <v>0.75</v>
      </c>
      <c r="U3367" s="12">
        <v>0.8</v>
      </c>
      <c r="V3367" s="12">
        <v>298.92562597924848</v>
      </c>
      <c r="W3367" s="12">
        <v>-18.217642277383231</v>
      </c>
      <c r="X3367" s="12">
        <v>-16.685208564974101</v>
      </c>
      <c r="Y3367" s="12">
        <v>3196.9265839851109</v>
      </c>
      <c r="Z3367" s="12">
        <v>2.8342161665030798</v>
      </c>
      <c r="AA3367" s="12" t="s">
        <v>2846</v>
      </c>
      <c r="AB3367" s="12"/>
    </row>
    <row r="3368" spans="1:28" x14ac:dyDescent="0.3">
      <c r="A3368" s="12" t="s">
        <v>5291</v>
      </c>
      <c r="B3368" s="12" t="s">
        <v>206</v>
      </c>
      <c r="C3368" s="12" t="s">
        <v>542</v>
      </c>
      <c r="D3368" s="12" t="s">
        <v>5237</v>
      </c>
      <c r="E3368" s="12" t="s">
        <v>2978</v>
      </c>
      <c r="F3368" s="12" t="s">
        <v>1861</v>
      </c>
      <c r="G3368" s="12" t="s">
        <v>1861</v>
      </c>
      <c r="H3368" s="12" t="b">
        <v>1</v>
      </c>
      <c r="I3368" s="12" t="b">
        <v>0</v>
      </c>
      <c r="J3368" s="12" t="b">
        <v>1</v>
      </c>
      <c r="K3368" s="12" t="b">
        <v>0</v>
      </c>
      <c r="L3368" s="12">
        <v>480.51937561841589</v>
      </c>
      <c r="M3368" s="12">
        <v>301.55216164922962</v>
      </c>
      <c r="N3368" s="12">
        <v>4179.5373139206949</v>
      </c>
      <c r="O3368" s="12">
        <v>1686.20494730681</v>
      </c>
      <c r="P3368" s="12">
        <v>0.64051533932075611</v>
      </c>
      <c r="Q3368" s="12">
        <v>0.85</v>
      </c>
      <c r="R3368" s="12">
        <v>0.75</v>
      </c>
      <c r="S3368" s="12">
        <v>0.85</v>
      </c>
      <c r="T3368" s="12">
        <v>0.75</v>
      </c>
      <c r="U3368" s="12">
        <v>0.8</v>
      </c>
      <c r="V3368" s="12">
        <v>301.55216164922962</v>
      </c>
      <c r="W3368" s="12">
        <v>7.34521880400625</v>
      </c>
      <c r="X3368" s="12">
        <v>108.6505597446826</v>
      </c>
      <c r="Y3368" s="12">
        <v>2493.3323666138849</v>
      </c>
      <c r="Z3368" s="12">
        <v>2.4786650760313642</v>
      </c>
      <c r="AA3368" s="12" t="s">
        <v>1268</v>
      </c>
      <c r="AB3368" s="12"/>
    </row>
    <row r="3369" spans="1:28" x14ac:dyDescent="0.3">
      <c r="A3369" s="12" t="s">
        <v>5292</v>
      </c>
      <c r="B3369" s="12" t="s">
        <v>206</v>
      </c>
      <c r="C3369" s="12" t="s">
        <v>542</v>
      </c>
      <c r="D3369" s="12" t="s">
        <v>5237</v>
      </c>
      <c r="E3369" s="12" t="s">
        <v>2978</v>
      </c>
      <c r="F3369" s="12" t="s">
        <v>1861</v>
      </c>
      <c r="G3369" s="12" t="s">
        <v>1861</v>
      </c>
      <c r="H3369" s="12" t="b">
        <v>1</v>
      </c>
      <c r="I3369" s="12" t="b">
        <v>0</v>
      </c>
      <c r="J3369" s="12" t="b">
        <v>1</v>
      </c>
      <c r="K3369" s="12" t="b">
        <v>0</v>
      </c>
      <c r="L3369" s="12">
        <v>504.43125236702042</v>
      </c>
      <c r="M3369" s="12">
        <v>278.8958222509965</v>
      </c>
      <c r="N3369" s="12">
        <v>4564.6636425756897</v>
      </c>
      <c r="O3369" s="12">
        <v>689.06017813155154</v>
      </c>
      <c r="P3369" s="12">
        <v>0.84016703746737265</v>
      </c>
      <c r="Q3369" s="12">
        <v>0.85</v>
      </c>
      <c r="R3369" s="12">
        <v>0.75</v>
      </c>
      <c r="S3369" s="12">
        <v>0.85</v>
      </c>
      <c r="T3369" s="12">
        <v>0.75</v>
      </c>
      <c r="U3369" s="12">
        <v>0.8</v>
      </c>
      <c r="V3369" s="12">
        <v>278.8958222509965</v>
      </c>
      <c r="W3369" s="12">
        <v>15.64491901196914</v>
      </c>
      <c r="X3369" s="12">
        <v>221.21847895570809</v>
      </c>
      <c r="Y3369" s="12">
        <v>3875.6034644441379</v>
      </c>
      <c r="Z3369" s="12">
        <v>6.6244774947714804</v>
      </c>
      <c r="AA3369" s="12" t="s">
        <v>1268</v>
      </c>
      <c r="AB3369" s="12"/>
    </row>
    <row r="3370" spans="1:28" x14ac:dyDescent="0.3">
      <c r="A3370" s="12" t="s">
        <v>5293</v>
      </c>
      <c r="B3370" s="12" t="s">
        <v>206</v>
      </c>
      <c r="C3370" s="12" t="s">
        <v>542</v>
      </c>
      <c r="D3370" s="12" t="s">
        <v>5237</v>
      </c>
      <c r="E3370" s="12" t="s">
        <v>2978</v>
      </c>
      <c r="F3370" s="12" t="s">
        <v>1861</v>
      </c>
      <c r="G3370" s="12" t="s">
        <v>1861</v>
      </c>
      <c r="H3370" s="12" t="b">
        <v>1</v>
      </c>
      <c r="I3370" s="12" t="b">
        <v>0</v>
      </c>
      <c r="J3370" s="12" t="b">
        <v>0</v>
      </c>
      <c r="K3370" s="12" t="b">
        <v>0</v>
      </c>
      <c r="L3370" s="12">
        <v>436.31928183146908</v>
      </c>
      <c r="M3370" s="12">
        <v>285.41464554412158</v>
      </c>
      <c r="N3370" s="12">
        <v>2274.9449956829039</v>
      </c>
      <c r="O3370" s="12">
        <v>1207.5523039001639</v>
      </c>
      <c r="P3370" s="12">
        <v>0.82616906440936344</v>
      </c>
      <c r="Q3370" s="12">
        <v>0.85</v>
      </c>
      <c r="R3370" s="12">
        <v>0.75</v>
      </c>
      <c r="S3370" s="12">
        <v>0.85</v>
      </c>
      <c r="T3370" s="12">
        <v>0.75</v>
      </c>
      <c r="U3370" s="12">
        <v>0.8</v>
      </c>
      <c r="V3370" s="12">
        <v>285.41464554412158</v>
      </c>
      <c r="W3370" s="12">
        <v>5.5024746823470299</v>
      </c>
      <c r="X3370" s="12">
        <v>71.215840370923146</v>
      </c>
      <c r="Y3370" s="12">
        <v>1067.39269178274</v>
      </c>
      <c r="Z3370" s="12">
        <v>1.8839308147028211</v>
      </c>
      <c r="AA3370" s="12" t="s">
        <v>1268</v>
      </c>
      <c r="AB3370" s="12"/>
    </row>
    <row r="3371" spans="1:28" x14ac:dyDescent="0.3">
      <c r="A3371" s="12" t="s">
        <v>5294</v>
      </c>
      <c r="B3371" s="12" t="s">
        <v>206</v>
      </c>
      <c r="C3371" s="12" t="s">
        <v>542</v>
      </c>
      <c r="D3371" s="12" t="s">
        <v>5237</v>
      </c>
      <c r="E3371" s="12" t="s">
        <v>2978</v>
      </c>
      <c r="F3371" s="12" t="s">
        <v>1861</v>
      </c>
      <c r="G3371" s="12" t="s">
        <v>1861</v>
      </c>
      <c r="H3371" s="12" t="b">
        <v>1</v>
      </c>
      <c r="I3371" s="12" t="b">
        <v>0</v>
      </c>
      <c r="J3371" s="12" t="b">
        <v>1</v>
      </c>
      <c r="K3371" s="12" t="b">
        <v>0</v>
      </c>
      <c r="L3371" s="12">
        <v>481.98861384197221</v>
      </c>
      <c r="M3371" s="12">
        <v>279.44133784729229</v>
      </c>
      <c r="N3371" s="12">
        <v>3695.8519408174479</v>
      </c>
      <c r="O3371" s="12">
        <v>549.89905316033673</v>
      </c>
      <c r="P3371" s="12">
        <v>0.58860101813187116</v>
      </c>
      <c r="Q3371" s="12">
        <v>0.85</v>
      </c>
      <c r="R3371" s="12">
        <v>0.75</v>
      </c>
      <c r="S3371" s="12">
        <v>0.85</v>
      </c>
      <c r="T3371" s="12">
        <v>0.75</v>
      </c>
      <c r="U3371" s="12">
        <v>0.8</v>
      </c>
      <c r="V3371" s="12">
        <v>279.44133784729229</v>
      </c>
      <c r="W3371" s="12">
        <v>13.40718171048913</v>
      </c>
      <c r="X3371" s="12">
        <v>216.60148565539629</v>
      </c>
      <c r="Y3371" s="12">
        <v>3145.9528876571112</v>
      </c>
      <c r="Z3371" s="12">
        <v>6.7209643653265756</v>
      </c>
      <c r="AA3371" s="12" t="s">
        <v>1268</v>
      </c>
      <c r="AB3371" s="12"/>
    </row>
    <row r="3372" spans="1:28" x14ac:dyDescent="0.3">
      <c r="A3372" s="12" t="s">
        <v>5295</v>
      </c>
      <c r="B3372" s="12" t="s">
        <v>206</v>
      </c>
      <c r="C3372" s="12" t="s">
        <v>542</v>
      </c>
      <c r="D3372" s="12" t="s">
        <v>5237</v>
      </c>
      <c r="E3372" s="12" t="s">
        <v>2978</v>
      </c>
      <c r="F3372" s="12" t="s">
        <v>1861</v>
      </c>
      <c r="G3372" s="12" t="s">
        <v>1861</v>
      </c>
      <c r="H3372" s="12" t="b">
        <v>1</v>
      </c>
      <c r="I3372" s="12" t="b">
        <v>0</v>
      </c>
      <c r="J3372" s="12" t="b">
        <v>1</v>
      </c>
      <c r="K3372" s="12" t="b">
        <v>0</v>
      </c>
      <c r="L3372" s="12">
        <v>495.1608411060871</v>
      </c>
      <c r="M3372" s="12">
        <v>280.5879856910413</v>
      </c>
      <c r="N3372" s="12">
        <v>4514.3854836806622</v>
      </c>
      <c r="O3372" s="12">
        <v>1243.030893886252</v>
      </c>
      <c r="P3372" s="12">
        <v>0.68445121041137424</v>
      </c>
      <c r="Q3372" s="12">
        <v>0.85</v>
      </c>
      <c r="R3372" s="12">
        <v>0.75</v>
      </c>
      <c r="S3372" s="12">
        <v>0.85</v>
      </c>
      <c r="T3372" s="12">
        <v>0.75</v>
      </c>
      <c r="U3372" s="12">
        <v>0.8</v>
      </c>
      <c r="V3372" s="12">
        <v>280.5879856910413</v>
      </c>
      <c r="W3372" s="12">
        <v>10.359209030130129</v>
      </c>
      <c r="X3372" s="12">
        <v>159.6405630325136</v>
      </c>
      <c r="Y3372" s="12">
        <v>3271.35458979441</v>
      </c>
      <c r="Z3372" s="12">
        <v>3.631756463885417</v>
      </c>
      <c r="AA3372" s="12" t="s">
        <v>1268</v>
      </c>
      <c r="AB3372" s="12"/>
    </row>
    <row r="3373" spans="1:28" x14ac:dyDescent="0.3">
      <c r="A3373" s="12" t="s">
        <v>5296</v>
      </c>
      <c r="B3373" s="12" t="s">
        <v>206</v>
      </c>
      <c r="C3373" s="12" t="s">
        <v>542</v>
      </c>
      <c r="D3373" s="12" t="s">
        <v>5237</v>
      </c>
      <c r="E3373" s="12" t="s">
        <v>2978</v>
      </c>
      <c r="F3373" s="12" t="s">
        <v>1861</v>
      </c>
      <c r="G3373" s="12" t="s">
        <v>1861</v>
      </c>
      <c r="H3373" s="12" t="b">
        <v>1</v>
      </c>
      <c r="I3373" s="12" t="b">
        <v>0</v>
      </c>
      <c r="J3373" s="12" t="b">
        <v>0</v>
      </c>
      <c r="K3373" s="12" t="b">
        <v>0</v>
      </c>
      <c r="L3373" s="12">
        <v>393.05100346027029</v>
      </c>
      <c r="M3373" s="12">
        <v>289.88422466895008</v>
      </c>
      <c r="N3373" s="12">
        <v>3647.5669534807862</v>
      </c>
      <c r="O3373" s="12">
        <v>536.06977028929475</v>
      </c>
      <c r="P3373" s="12">
        <v>0.66915476600861656</v>
      </c>
      <c r="Q3373" s="12">
        <v>0.85</v>
      </c>
      <c r="R3373" s="12">
        <v>0.75</v>
      </c>
      <c r="S3373" s="12">
        <v>0.85</v>
      </c>
      <c r="T3373" s="12">
        <v>0.75</v>
      </c>
      <c r="U3373" s="12">
        <v>0.8</v>
      </c>
      <c r="V3373" s="12">
        <v>289.88422466895008</v>
      </c>
      <c r="W3373" s="12">
        <v>12.223334975477099</v>
      </c>
      <c r="X3373" s="12">
        <v>56.165410655616213</v>
      </c>
      <c r="Y3373" s="12">
        <v>3111.4971831914918</v>
      </c>
      <c r="Z3373" s="12">
        <v>6.8042765245134884</v>
      </c>
      <c r="AA3373" s="12" t="s">
        <v>1268</v>
      </c>
      <c r="AB3373" s="12"/>
    </row>
    <row r="3374" spans="1:28" x14ac:dyDescent="0.3">
      <c r="A3374" s="12" t="s">
        <v>5297</v>
      </c>
      <c r="B3374" s="12" t="s">
        <v>206</v>
      </c>
      <c r="C3374" s="12" t="s">
        <v>542</v>
      </c>
      <c r="D3374" s="12" t="s">
        <v>5237</v>
      </c>
      <c r="E3374" s="12" t="s">
        <v>2978</v>
      </c>
      <c r="F3374" s="12" t="s">
        <v>1861</v>
      </c>
      <c r="G3374" s="12" t="s">
        <v>1861</v>
      </c>
      <c r="H3374" s="12" t="b">
        <v>1</v>
      </c>
      <c r="I3374" s="12" t="b">
        <v>0</v>
      </c>
      <c r="J3374" s="12" t="b">
        <v>1</v>
      </c>
      <c r="K3374" s="12" t="b">
        <v>0</v>
      </c>
      <c r="L3374" s="12">
        <v>505.66900429973452</v>
      </c>
      <c r="M3374" s="12">
        <v>294.45473501371271</v>
      </c>
      <c r="N3374" s="12">
        <v>4358.9111336343776</v>
      </c>
      <c r="O3374" s="12">
        <v>464.16186585243298</v>
      </c>
      <c r="P3374" s="12">
        <v>0.57436397545498097</v>
      </c>
      <c r="Q3374" s="12">
        <v>0.85</v>
      </c>
      <c r="R3374" s="12">
        <v>0.75</v>
      </c>
      <c r="S3374" s="12">
        <v>0.85</v>
      </c>
      <c r="T3374" s="12">
        <v>0.75</v>
      </c>
      <c r="U3374" s="12">
        <v>0.8</v>
      </c>
      <c r="V3374" s="12">
        <v>294.45473501371271</v>
      </c>
      <c r="W3374" s="12">
        <v>15.118281077716629</v>
      </c>
      <c r="X3374" s="12">
        <v>243.78721484505141</v>
      </c>
      <c r="Y3374" s="12">
        <v>3894.749267781945</v>
      </c>
      <c r="Z3374" s="12">
        <v>9.3909290148798394</v>
      </c>
      <c r="AA3374" s="12" t="s">
        <v>1981</v>
      </c>
      <c r="AB3374" s="12"/>
    </row>
    <row r="3375" spans="1:28" x14ac:dyDescent="0.3">
      <c r="A3375" s="12" t="s">
        <v>5298</v>
      </c>
      <c r="B3375" s="12" t="s">
        <v>206</v>
      </c>
      <c r="C3375" s="12" t="s">
        <v>542</v>
      </c>
      <c r="D3375" s="12" t="s">
        <v>5237</v>
      </c>
      <c r="E3375" s="12" t="s">
        <v>2978</v>
      </c>
      <c r="F3375" s="12" t="s">
        <v>1861</v>
      </c>
      <c r="G3375" s="12" t="s">
        <v>1861</v>
      </c>
      <c r="H3375" s="12" t="b">
        <v>1</v>
      </c>
      <c r="I3375" s="12" t="b">
        <v>0</v>
      </c>
      <c r="J3375" s="12" t="b">
        <v>1</v>
      </c>
      <c r="K3375" s="12" t="b">
        <v>0</v>
      </c>
      <c r="L3375" s="12">
        <v>467.28645553337282</v>
      </c>
      <c r="M3375" s="12">
        <v>298.36589947025749</v>
      </c>
      <c r="N3375" s="12">
        <v>2167.7189123117491</v>
      </c>
      <c r="O3375" s="12">
        <v>427.06621327627067</v>
      </c>
      <c r="P3375" s="12">
        <v>0.70038201356282903</v>
      </c>
      <c r="Q3375" s="12">
        <v>0.85</v>
      </c>
      <c r="R3375" s="12">
        <v>0.75</v>
      </c>
      <c r="S3375" s="12">
        <v>0.85</v>
      </c>
      <c r="T3375" s="12">
        <v>0.75</v>
      </c>
      <c r="U3375" s="12">
        <v>0.8</v>
      </c>
      <c r="V3375" s="12">
        <v>298.36589947025749</v>
      </c>
      <c r="W3375" s="12">
        <v>7.5817943809309201</v>
      </c>
      <c r="X3375" s="12">
        <v>81.924964321465609</v>
      </c>
      <c r="Y3375" s="12">
        <v>1740.652699035478</v>
      </c>
      <c r="Z3375" s="12">
        <v>5.0758379963657863</v>
      </c>
      <c r="AA3375" s="12" t="s">
        <v>1268</v>
      </c>
      <c r="AB3375" s="12"/>
    </row>
    <row r="3376" spans="1:28" x14ac:dyDescent="0.3">
      <c r="A3376" s="12" t="s">
        <v>5299</v>
      </c>
      <c r="B3376" s="12" t="s">
        <v>206</v>
      </c>
      <c r="C3376" s="12" t="s">
        <v>542</v>
      </c>
      <c r="D3376" s="12" t="s">
        <v>5237</v>
      </c>
      <c r="E3376" s="12" t="s">
        <v>2978</v>
      </c>
      <c r="F3376" s="12" t="s">
        <v>1861</v>
      </c>
      <c r="G3376" s="12" t="s">
        <v>1861</v>
      </c>
      <c r="H3376" s="12" t="b">
        <v>1</v>
      </c>
      <c r="I3376" s="12" t="b">
        <v>0</v>
      </c>
      <c r="J3376" s="12" t="b">
        <v>1</v>
      </c>
      <c r="K3376" s="12" t="b">
        <v>0</v>
      </c>
      <c r="L3376" s="12">
        <v>497.40671030133819</v>
      </c>
      <c r="M3376" s="12">
        <v>294.25653370034388</v>
      </c>
      <c r="N3376" s="12">
        <v>2465.5606767002332</v>
      </c>
      <c r="O3376" s="12">
        <v>1285.352935678214</v>
      </c>
      <c r="P3376" s="12">
        <v>0.51403964850111494</v>
      </c>
      <c r="Q3376" s="12">
        <v>0.85</v>
      </c>
      <c r="R3376" s="12">
        <v>0.75</v>
      </c>
      <c r="S3376" s="12">
        <v>0.85</v>
      </c>
      <c r="T3376" s="12">
        <v>0.75</v>
      </c>
      <c r="U3376" s="12">
        <v>0.8</v>
      </c>
      <c r="V3376" s="12">
        <v>294.25653370034388</v>
      </c>
      <c r="W3376" s="12">
        <v>4.89307479928347</v>
      </c>
      <c r="X3376" s="12">
        <v>82.86537205152851</v>
      </c>
      <c r="Y3376" s="12">
        <v>1180.207741022019</v>
      </c>
      <c r="Z3376" s="12">
        <v>1.9181974135370721</v>
      </c>
      <c r="AA3376" s="12" t="s">
        <v>1268</v>
      </c>
      <c r="AB3376" s="12"/>
    </row>
    <row r="3377" spans="1:28" x14ac:dyDescent="0.3">
      <c r="A3377" s="12" t="s">
        <v>5300</v>
      </c>
      <c r="B3377" s="12" t="s">
        <v>206</v>
      </c>
      <c r="C3377" s="12" t="s">
        <v>542</v>
      </c>
      <c r="D3377" s="12" t="s">
        <v>5237</v>
      </c>
      <c r="E3377" s="12" t="s">
        <v>2978</v>
      </c>
      <c r="F3377" s="12" t="s">
        <v>1861</v>
      </c>
      <c r="G3377" s="12" t="s">
        <v>1861</v>
      </c>
      <c r="H3377" s="12" t="b">
        <v>1</v>
      </c>
      <c r="I3377" s="12" t="b">
        <v>0</v>
      </c>
      <c r="J3377" s="12" t="b">
        <v>0</v>
      </c>
      <c r="K3377" s="12" t="b">
        <v>0</v>
      </c>
      <c r="L3377" s="12">
        <v>404.21255707624027</v>
      </c>
      <c r="M3377" s="12">
        <v>290.92284580838538</v>
      </c>
      <c r="N3377" s="12">
        <v>3719.696486678743</v>
      </c>
      <c r="O3377" s="12">
        <v>798.03844167024681</v>
      </c>
      <c r="P3377" s="12">
        <v>0.73283996293001552</v>
      </c>
      <c r="Q3377" s="12">
        <v>0.85</v>
      </c>
      <c r="R3377" s="12">
        <v>0.75</v>
      </c>
      <c r="S3377" s="12">
        <v>0.85</v>
      </c>
      <c r="T3377" s="12">
        <v>0.75</v>
      </c>
      <c r="U3377" s="12">
        <v>0.8</v>
      </c>
      <c r="V3377" s="12">
        <v>290.92284580838538</v>
      </c>
      <c r="W3377" s="12">
        <v>12.07137225497058</v>
      </c>
      <c r="X3377" s="12">
        <v>83.685586539963595</v>
      </c>
      <c r="Y3377" s="12">
        <v>2921.6580450084962</v>
      </c>
      <c r="Z3377" s="12">
        <v>4.6610492583460523</v>
      </c>
      <c r="AA3377" s="12" t="s">
        <v>1268</v>
      </c>
      <c r="AB3377" s="12"/>
    </row>
    <row r="3378" spans="1:28" x14ac:dyDescent="0.3">
      <c r="A3378" s="12" t="s">
        <v>5301</v>
      </c>
      <c r="B3378" s="12" t="s">
        <v>206</v>
      </c>
      <c r="C3378" s="12" t="s">
        <v>542</v>
      </c>
      <c r="D3378" s="12" t="s">
        <v>5237</v>
      </c>
      <c r="E3378" s="12" t="s">
        <v>2978</v>
      </c>
      <c r="F3378" s="12" t="s">
        <v>32</v>
      </c>
      <c r="G3378" s="12" t="s">
        <v>32</v>
      </c>
      <c r="H3378" s="12" t="b">
        <v>1</v>
      </c>
      <c r="I3378" s="12" t="b">
        <v>1</v>
      </c>
      <c r="J3378" s="12" t="b">
        <v>0</v>
      </c>
      <c r="K3378" s="12" t="b">
        <v>0</v>
      </c>
      <c r="L3378" s="12">
        <v>419.21914876241652</v>
      </c>
      <c r="M3378" s="12">
        <v>289.38891119008048</v>
      </c>
      <c r="N3378" s="12">
        <v>4601.4868444168533</v>
      </c>
      <c r="O3378" s="12">
        <v>1400.1523980387931</v>
      </c>
      <c r="P3378" s="12">
        <v>0.53965954827399076</v>
      </c>
      <c r="Q3378" s="12">
        <v>0.85</v>
      </c>
      <c r="R3378" s="12">
        <v>0.75</v>
      </c>
      <c r="S3378" s="12">
        <v>0.85</v>
      </c>
      <c r="T3378" s="12">
        <v>0.75</v>
      </c>
      <c r="U3378" s="12">
        <v>0.8</v>
      </c>
      <c r="V3378" s="12">
        <v>289.38891119008048</v>
      </c>
      <c r="W3378" s="12">
        <v>5.0058990088884698</v>
      </c>
      <c r="X3378" s="12">
        <v>16.849466696314249</v>
      </c>
      <c r="Y3378" s="12">
        <v>3201.33444637806</v>
      </c>
      <c r="Z3378" s="12">
        <v>3.2864185719084569</v>
      </c>
      <c r="AA3378" s="12"/>
      <c r="AB3378" s="12"/>
    </row>
    <row r="3379" spans="1:28" x14ac:dyDescent="0.3">
      <c r="A3379" s="12" t="s">
        <v>5302</v>
      </c>
      <c r="B3379" s="12" t="s">
        <v>206</v>
      </c>
      <c r="C3379" s="12" t="s">
        <v>542</v>
      </c>
      <c r="D3379" s="12" t="s">
        <v>5237</v>
      </c>
      <c r="E3379" s="12" t="s">
        <v>2978</v>
      </c>
      <c r="F3379" s="12" t="s">
        <v>1861</v>
      </c>
      <c r="G3379" s="12" t="s">
        <v>1861</v>
      </c>
      <c r="H3379" s="12" t="b">
        <v>1</v>
      </c>
      <c r="I3379" s="12" t="b">
        <v>0</v>
      </c>
      <c r="J3379" s="12" t="b">
        <v>1</v>
      </c>
      <c r="K3379" s="12" t="b">
        <v>0</v>
      </c>
      <c r="L3379" s="12">
        <v>439.00038765376058</v>
      </c>
      <c r="M3379" s="12">
        <v>293.42015379205509</v>
      </c>
      <c r="N3379" s="12">
        <v>3047.46461387508</v>
      </c>
      <c r="O3379" s="12">
        <v>1054.2088603964321</v>
      </c>
      <c r="P3379" s="12">
        <v>0.77631973454721948</v>
      </c>
      <c r="Q3379" s="12">
        <v>0.85</v>
      </c>
      <c r="R3379" s="12">
        <v>0.75</v>
      </c>
      <c r="S3379" s="12">
        <v>0.85</v>
      </c>
      <c r="T3379" s="12">
        <v>0.75</v>
      </c>
      <c r="U3379" s="12">
        <v>0.8</v>
      </c>
      <c r="V3379" s="12">
        <v>293.42015379205509</v>
      </c>
      <c r="W3379" s="12">
        <v>8.7733385565426207</v>
      </c>
      <c r="X3379" s="12">
        <v>111.7029081755183</v>
      </c>
      <c r="Y3379" s="12">
        <v>1993.2557534786481</v>
      </c>
      <c r="Z3379" s="12">
        <v>2.890759818437771</v>
      </c>
      <c r="AA3379" s="12" t="s">
        <v>1268</v>
      </c>
      <c r="AB3379" s="12"/>
    </row>
    <row r="3380" spans="1:28" x14ac:dyDescent="0.3">
      <c r="A3380" s="12" t="s">
        <v>5303</v>
      </c>
      <c r="B3380" s="12" t="s">
        <v>206</v>
      </c>
      <c r="C3380" s="12" t="s">
        <v>542</v>
      </c>
      <c r="D3380" s="12" t="s">
        <v>5237</v>
      </c>
      <c r="E3380" s="12" t="s">
        <v>2978</v>
      </c>
      <c r="F3380" s="12" t="s">
        <v>1862</v>
      </c>
      <c r="G3380" s="12" t="s">
        <v>1862</v>
      </c>
      <c r="H3380" s="12" t="b">
        <v>1</v>
      </c>
      <c r="I3380" s="12" t="b">
        <v>0</v>
      </c>
      <c r="J3380" s="12" t="b">
        <v>0</v>
      </c>
      <c r="K3380" s="12" t="b">
        <v>0</v>
      </c>
      <c r="L3380" s="12">
        <v>424.88301922843999</v>
      </c>
      <c r="M3380" s="12">
        <v>294.68809923111729</v>
      </c>
      <c r="N3380" s="12">
        <v>4126.1546429010014</v>
      </c>
      <c r="O3380" s="12">
        <v>354.25006593116223</v>
      </c>
      <c r="P3380" s="12">
        <v>0.71206931438211063</v>
      </c>
      <c r="Q3380" s="12">
        <v>0.85</v>
      </c>
      <c r="R3380" s="12">
        <v>0.75</v>
      </c>
      <c r="S3380" s="12">
        <v>0.85</v>
      </c>
      <c r="T3380" s="12">
        <v>0.75</v>
      </c>
      <c r="U3380" s="12">
        <v>0.8</v>
      </c>
      <c r="V3380" s="12">
        <v>294.68809923111729</v>
      </c>
      <c r="W3380" s="12">
        <v>-2.5737999747689901E-2</v>
      </c>
      <c r="X3380" s="12">
        <v>-0.10104750844325849</v>
      </c>
      <c r="Y3380" s="12">
        <v>3771.9045769698391</v>
      </c>
      <c r="Z3380" s="12">
        <v>11.64757621725551</v>
      </c>
      <c r="AA3380" s="12" t="s">
        <v>2513</v>
      </c>
      <c r="AB3380" s="12"/>
    </row>
    <row r="3381" spans="1:28" x14ac:dyDescent="0.3">
      <c r="A3381" s="12" t="s">
        <v>5304</v>
      </c>
      <c r="B3381" s="12" t="s">
        <v>206</v>
      </c>
      <c r="C3381" s="12" t="s">
        <v>542</v>
      </c>
      <c r="D3381" s="12" t="s">
        <v>5237</v>
      </c>
      <c r="E3381" s="12" t="s">
        <v>2978</v>
      </c>
      <c r="F3381" s="12" t="s">
        <v>1861</v>
      </c>
      <c r="G3381" s="12" t="s">
        <v>1861</v>
      </c>
      <c r="H3381" s="12" t="b">
        <v>1</v>
      </c>
      <c r="I3381" s="12" t="b">
        <v>0</v>
      </c>
      <c r="J3381" s="12" t="b">
        <v>0</v>
      </c>
      <c r="K3381" s="12" t="b">
        <v>0</v>
      </c>
      <c r="L3381" s="12">
        <v>423.48091810062618</v>
      </c>
      <c r="M3381" s="12">
        <v>295.43124317711448</v>
      </c>
      <c r="N3381" s="12">
        <v>3306.2482558099541</v>
      </c>
      <c r="O3381" s="12">
        <v>647.98148514241348</v>
      </c>
      <c r="P3381" s="12">
        <v>0.56210273011310363</v>
      </c>
      <c r="Q3381" s="12">
        <v>0.85</v>
      </c>
      <c r="R3381" s="12">
        <v>0.75</v>
      </c>
      <c r="S3381" s="12">
        <v>0.85</v>
      </c>
      <c r="T3381" s="12">
        <v>0.75</v>
      </c>
      <c r="U3381" s="12">
        <v>0.8</v>
      </c>
      <c r="V3381" s="12">
        <v>295.43124317711448</v>
      </c>
      <c r="W3381" s="12">
        <v>11.36957144139066</v>
      </c>
      <c r="X3381" s="12">
        <v>71.480844298468412</v>
      </c>
      <c r="Y3381" s="12">
        <v>2658.2667706675402</v>
      </c>
      <c r="Z3381" s="12">
        <v>5.1023807494797566</v>
      </c>
      <c r="AA3381" s="12" t="s">
        <v>1268</v>
      </c>
      <c r="AB3381" s="12"/>
    </row>
    <row r="3382" spans="1:28" x14ac:dyDescent="0.3">
      <c r="A3382" s="12" t="s">
        <v>5305</v>
      </c>
      <c r="B3382" s="12" t="s">
        <v>206</v>
      </c>
      <c r="C3382" s="12" t="s">
        <v>542</v>
      </c>
      <c r="D3382" s="12" t="s">
        <v>5237</v>
      </c>
      <c r="E3382" s="12" t="s">
        <v>2978</v>
      </c>
      <c r="F3382" s="12" t="s">
        <v>32</v>
      </c>
      <c r="G3382" s="12" t="s">
        <v>32</v>
      </c>
      <c r="H3382" s="12" t="b">
        <v>1</v>
      </c>
      <c r="I3382" s="12" t="b">
        <v>1</v>
      </c>
      <c r="J3382" s="12" t="b">
        <v>0</v>
      </c>
      <c r="K3382" s="12" t="b">
        <v>0</v>
      </c>
      <c r="L3382" s="12">
        <v>386.56306986357271</v>
      </c>
      <c r="M3382" s="12">
        <v>292.84566890788852</v>
      </c>
      <c r="N3382" s="12">
        <v>3674.7318772216199</v>
      </c>
      <c r="O3382" s="12">
        <v>1815.0962295815771</v>
      </c>
      <c r="P3382" s="12">
        <v>0.69299609604690948</v>
      </c>
      <c r="Q3382" s="12">
        <v>0.85</v>
      </c>
      <c r="R3382" s="12">
        <v>0.75</v>
      </c>
      <c r="S3382" s="12">
        <v>0.85</v>
      </c>
      <c r="T3382" s="12">
        <v>0.75</v>
      </c>
      <c r="U3382" s="12">
        <v>0.8</v>
      </c>
      <c r="V3382" s="12">
        <v>292.84566890788852</v>
      </c>
      <c r="W3382" s="12">
        <v>4.8518234771070299</v>
      </c>
      <c r="X3382" s="12">
        <v>20.36842647952059</v>
      </c>
      <c r="Y3382" s="12">
        <v>1859.635647640042</v>
      </c>
      <c r="Z3382" s="12">
        <v>2.0245383232759688</v>
      </c>
      <c r="AA3382" s="12"/>
      <c r="AB3382" s="12"/>
    </row>
    <row r="3383" spans="1:28" x14ac:dyDescent="0.3">
      <c r="A3383" s="12" t="s">
        <v>5306</v>
      </c>
      <c r="B3383" s="12" t="s">
        <v>206</v>
      </c>
      <c r="C3383" s="12" t="s">
        <v>542</v>
      </c>
      <c r="D3383" s="12" t="s">
        <v>5237</v>
      </c>
      <c r="E3383" s="12" t="s">
        <v>2978</v>
      </c>
      <c r="F3383" s="12" t="s">
        <v>32</v>
      </c>
      <c r="G3383" s="12" t="s">
        <v>32</v>
      </c>
      <c r="H3383" s="12" t="b">
        <v>1</v>
      </c>
      <c r="I3383" s="12" t="b">
        <v>1</v>
      </c>
      <c r="J3383" s="12" t="b">
        <v>0</v>
      </c>
      <c r="K3383" s="12" t="b">
        <v>0</v>
      </c>
      <c r="L3383" s="12">
        <v>403.35987603867608</v>
      </c>
      <c r="M3383" s="12">
        <v>292.41024843553907</v>
      </c>
      <c r="N3383" s="12">
        <v>3811.2245628980809</v>
      </c>
      <c r="O3383" s="12">
        <v>966.39121786351041</v>
      </c>
      <c r="P3383" s="12">
        <v>0.55406363196417374</v>
      </c>
      <c r="Q3383" s="12">
        <v>0.85</v>
      </c>
      <c r="R3383" s="12">
        <v>0.75</v>
      </c>
      <c r="S3383" s="12">
        <v>0.85</v>
      </c>
      <c r="T3383" s="12">
        <v>0.75</v>
      </c>
      <c r="U3383" s="12">
        <v>0.8</v>
      </c>
      <c r="V3383" s="12">
        <v>292.41024843553907</v>
      </c>
      <c r="W3383" s="12">
        <v>6.1015559170697102</v>
      </c>
      <c r="X3383" s="12">
        <v>18.08115885097229</v>
      </c>
      <c r="Y3383" s="12">
        <v>2844.8333450345699</v>
      </c>
      <c r="Z3383" s="12">
        <v>3.943769865090355</v>
      </c>
      <c r="AA3383" s="12"/>
      <c r="AB3383" s="12"/>
    </row>
    <row r="3384" spans="1:28" x14ac:dyDescent="0.3">
      <c r="A3384" s="12" t="s">
        <v>5307</v>
      </c>
      <c r="B3384" s="12" t="s">
        <v>206</v>
      </c>
      <c r="C3384" s="12" t="s">
        <v>542</v>
      </c>
      <c r="D3384" s="12" t="s">
        <v>5237</v>
      </c>
      <c r="E3384" s="12" t="s">
        <v>2978</v>
      </c>
      <c r="F3384" s="12" t="s">
        <v>1861</v>
      </c>
      <c r="G3384" s="12" t="s">
        <v>1861</v>
      </c>
      <c r="H3384" s="12" t="b">
        <v>1</v>
      </c>
      <c r="I3384" s="12" t="b">
        <v>0</v>
      </c>
      <c r="J3384" s="12" t="b">
        <v>1</v>
      </c>
      <c r="K3384" s="12" t="b">
        <v>0</v>
      </c>
      <c r="L3384" s="12">
        <v>458.73934453390598</v>
      </c>
      <c r="M3384" s="12">
        <v>282.36418862362711</v>
      </c>
      <c r="N3384" s="12">
        <v>3857.7918888547351</v>
      </c>
      <c r="O3384" s="12">
        <v>1986.9966072721411</v>
      </c>
      <c r="P3384" s="12">
        <v>0.72861100941724322</v>
      </c>
      <c r="Q3384" s="12">
        <v>0.85</v>
      </c>
      <c r="R3384" s="12">
        <v>0.75</v>
      </c>
      <c r="S3384" s="12">
        <v>0.85</v>
      </c>
      <c r="T3384" s="12">
        <v>0.75</v>
      </c>
      <c r="U3384" s="12">
        <v>0.8</v>
      </c>
      <c r="V3384" s="12">
        <v>282.36418862362711</v>
      </c>
      <c r="W3384" s="12">
        <v>5.8836608317942902</v>
      </c>
      <c r="X3384" s="12">
        <v>83.325592197386442</v>
      </c>
      <c r="Y3384" s="12">
        <v>1870.795281582594</v>
      </c>
      <c r="Z3384" s="12">
        <v>1.941519112179525</v>
      </c>
      <c r="AA3384" s="12" t="s">
        <v>1268</v>
      </c>
      <c r="AB3384" s="12"/>
    </row>
    <row r="3385" spans="1:28" x14ac:dyDescent="0.3">
      <c r="A3385" s="12" t="s">
        <v>5308</v>
      </c>
      <c r="B3385" s="12" t="s">
        <v>206</v>
      </c>
      <c r="C3385" s="12" t="s">
        <v>542</v>
      </c>
      <c r="D3385" s="12" t="s">
        <v>5237</v>
      </c>
      <c r="E3385" s="12" t="s">
        <v>2978</v>
      </c>
      <c r="F3385" s="12" t="s">
        <v>1861</v>
      </c>
      <c r="G3385" s="12" t="s">
        <v>1861</v>
      </c>
      <c r="H3385" s="12" t="b">
        <v>1</v>
      </c>
      <c r="I3385" s="12" t="b">
        <v>0</v>
      </c>
      <c r="J3385" s="12" t="b">
        <v>0</v>
      </c>
      <c r="K3385" s="12" t="b">
        <v>0</v>
      </c>
      <c r="L3385" s="12">
        <v>382.56848740756851</v>
      </c>
      <c r="M3385" s="12">
        <v>296.04806526142352</v>
      </c>
      <c r="N3385" s="12">
        <v>3576.1713730399788</v>
      </c>
      <c r="O3385" s="12">
        <v>832.25096466898106</v>
      </c>
      <c r="P3385" s="12">
        <v>0.75657238800372206</v>
      </c>
      <c r="Q3385" s="12">
        <v>0.85</v>
      </c>
      <c r="R3385" s="12">
        <v>0.75</v>
      </c>
      <c r="S3385" s="12">
        <v>0.85</v>
      </c>
      <c r="T3385" s="12">
        <v>0.75</v>
      </c>
      <c r="U3385" s="12">
        <v>0.8</v>
      </c>
      <c r="V3385" s="12">
        <v>296.04806526142352</v>
      </c>
      <c r="W3385" s="12">
        <v>10.866442510929231</v>
      </c>
      <c r="X3385" s="12">
        <v>56.683667059968187</v>
      </c>
      <c r="Y3385" s="12">
        <v>2743.9204083709978</v>
      </c>
      <c r="Z3385" s="12">
        <v>4.296986756227267</v>
      </c>
      <c r="AA3385" s="12" t="s">
        <v>1268</v>
      </c>
      <c r="AB3385" s="12"/>
    </row>
    <row r="3386" spans="1:28" x14ac:dyDescent="0.3">
      <c r="A3386" s="12" t="s">
        <v>5309</v>
      </c>
      <c r="B3386" s="12" t="s">
        <v>206</v>
      </c>
      <c r="C3386" s="12" t="s">
        <v>542</v>
      </c>
      <c r="D3386" s="12" t="s">
        <v>5237</v>
      </c>
      <c r="E3386" s="12" t="s">
        <v>2978</v>
      </c>
      <c r="F3386" s="12" t="s">
        <v>1861</v>
      </c>
      <c r="G3386" s="12" t="s">
        <v>1861</v>
      </c>
      <c r="H3386" s="12" t="b">
        <v>1</v>
      </c>
      <c r="I3386" s="12" t="b">
        <v>0</v>
      </c>
      <c r="J3386" s="12" t="b">
        <v>1</v>
      </c>
      <c r="K3386" s="12" t="b">
        <v>0</v>
      </c>
      <c r="L3386" s="12">
        <v>470.97381324038889</v>
      </c>
      <c r="M3386" s="12">
        <v>302.43682975679639</v>
      </c>
      <c r="N3386" s="12">
        <v>2866.962602014089</v>
      </c>
      <c r="O3386" s="12">
        <v>1671.976663773145</v>
      </c>
      <c r="P3386" s="12">
        <v>0.76662788230931078</v>
      </c>
      <c r="Q3386" s="12">
        <v>0.85</v>
      </c>
      <c r="R3386" s="12">
        <v>0.75</v>
      </c>
      <c r="S3386" s="12">
        <v>0.85</v>
      </c>
      <c r="T3386" s="12">
        <v>0.75</v>
      </c>
      <c r="U3386" s="12">
        <v>0.8</v>
      </c>
      <c r="V3386" s="12">
        <v>302.43682975679639</v>
      </c>
      <c r="W3386" s="12">
        <v>4.5106318136032399</v>
      </c>
      <c r="X3386" s="12">
        <v>61.352847466972733</v>
      </c>
      <c r="Y3386" s="12">
        <v>1194.9859382409441</v>
      </c>
      <c r="Z3386" s="12">
        <v>1.7147144838398769</v>
      </c>
      <c r="AA3386" s="12" t="s">
        <v>1268</v>
      </c>
      <c r="AB3386" s="12"/>
    </row>
    <row r="3387" spans="1:28" x14ac:dyDescent="0.3">
      <c r="A3387" s="12" t="s">
        <v>5310</v>
      </c>
      <c r="B3387" s="12" t="s">
        <v>206</v>
      </c>
      <c r="C3387" s="12" t="s">
        <v>542</v>
      </c>
      <c r="D3387" s="12" t="s">
        <v>5237</v>
      </c>
      <c r="E3387" s="12" t="s">
        <v>2978</v>
      </c>
      <c r="F3387" s="12" t="s">
        <v>832</v>
      </c>
      <c r="G3387" s="12" t="s">
        <v>832</v>
      </c>
      <c r="H3387" s="12" t="b">
        <v>0</v>
      </c>
      <c r="I3387" s="12" t="b">
        <v>0</v>
      </c>
      <c r="J3387" s="12" t="b">
        <v>0</v>
      </c>
      <c r="K3387" s="12" t="b">
        <v>0</v>
      </c>
      <c r="L3387" s="12">
        <v>490.14496593528457</v>
      </c>
      <c r="M3387" s="12">
        <v>301.28363903592339</v>
      </c>
      <c r="N3387" s="12">
        <v>4415.1955860840208</v>
      </c>
      <c r="O3387" s="12">
        <v>1653.695772292054</v>
      </c>
      <c r="P3387" s="12">
        <v>0.81176321292264353</v>
      </c>
      <c r="Q3387" s="12">
        <v>0.85</v>
      </c>
      <c r="R3387" s="12">
        <v>0.75</v>
      </c>
      <c r="S3387" s="12">
        <v>0.85</v>
      </c>
      <c r="T3387" s="12">
        <v>0.75</v>
      </c>
      <c r="U3387" s="12">
        <v>0.8</v>
      </c>
      <c r="V3387" s="12">
        <v>301.28363903592339</v>
      </c>
      <c r="W3387" s="12"/>
      <c r="X3387" s="12"/>
      <c r="Y3387" s="12">
        <v>2761.499813791967</v>
      </c>
      <c r="Z3387" s="12">
        <v>2.6698959143884582</v>
      </c>
      <c r="AA3387" s="12"/>
      <c r="AB3387" s="12"/>
    </row>
    <row r="3388" spans="1:28" x14ac:dyDescent="0.3">
      <c r="A3388" s="12" t="s">
        <v>5311</v>
      </c>
      <c r="B3388" s="12" t="s">
        <v>206</v>
      </c>
      <c r="C3388" s="12" t="s">
        <v>542</v>
      </c>
      <c r="D3388" s="12" t="s">
        <v>5237</v>
      </c>
      <c r="E3388" s="12" t="s">
        <v>2978</v>
      </c>
      <c r="F3388" s="12" t="s">
        <v>1861</v>
      </c>
      <c r="G3388" s="12" t="s">
        <v>1861</v>
      </c>
      <c r="H3388" s="12" t="b">
        <v>1</v>
      </c>
      <c r="I3388" s="12" t="b">
        <v>0</v>
      </c>
      <c r="J3388" s="12" t="b">
        <v>1</v>
      </c>
      <c r="K3388" s="12" t="b">
        <v>0</v>
      </c>
      <c r="L3388" s="12">
        <v>515.43321464960979</v>
      </c>
      <c r="M3388" s="12">
        <v>284.73424297329137</v>
      </c>
      <c r="N3388" s="12">
        <v>2746.746322140576</v>
      </c>
      <c r="O3388" s="12">
        <v>668.99875967280525</v>
      </c>
      <c r="P3388" s="12">
        <v>0.57821914321165913</v>
      </c>
      <c r="Q3388" s="12">
        <v>0.85</v>
      </c>
      <c r="R3388" s="12">
        <v>0.75</v>
      </c>
      <c r="S3388" s="12">
        <v>0.85</v>
      </c>
      <c r="T3388" s="12">
        <v>0.75</v>
      </c>
      <c r="U3388" s="12">
        <v>0.8</v>
      </c>
      <c r="V3388" s="12">
        <v>284.73424297329137</v>
      </c>
      <c r="W3388" s="12">
        <v>9.9625118725767194</v>
      </c>
      <c r="X3388" s="12">
        <v>169.93619390811199</v>
      </c>
      <c r="Y3388" s="12">
        <v>2077.7475624677709</v>
      </c>
      <c r="Z3388" s="12">
        <v>4.1057569725300507</v>
      </c>
      <c r="AA3388" s="12" t="s">
        <v>1268</v>
      </c>
      <c r="AB3388" s="12"/>
    </row>
    <row r="3389" spans="1:28" x14ac:dyDescent="0.3">
      <c r="A3389" s="12" t="s">
        <v>5312</v>
      </c>
      <c r="B3389" s="12" t="s">
        <v>206</v>
      </c>
      <c r="C3389" s="12" t="s">
        <v>542</v>
      </c>
      <c r="D3389" s="12" t="s">
        <v>5237</v>
      </c>
      <c r="E3389" s="12" t="s">
        <v>2978</v>
      </c>
      <c r="F3389" s="12" t="s">
        <v>1861</v>
      </c>
      <c r="G3389" s="12" t="s">
        <v>1861</v>
      </c>
      <c r="H3389" s="12" t="b">
        <v>1</v>
      </c>
      <c r="I3389" s="12" t="b">
        <v>0</v>
      </c>
      <c r="J3389" s="12" t="b">
        <v>1</v>
      </c>
      <c r="K3389" s="12" t="b">
        <v>0</v>
      </c>
      <c r="L3389" s="12">
        <v>499.50698488308268</v>
      </c>
      <c r="M3389" s="12">
        <v>279.85048275366699</v>
      </c>
      <c r="N3389" s="12">
        <v>3002.1959957181148</v>
      </c>
      <c r="O3389" s="12">
        <v>881.76564968547518</v>
      </c>
      <c r="P3389" s="12">
        <v>0.67409950176626798</v>
      </c>
      <c r="Q3389" s="12">
        <v>0.85</v>
      </c>
      <c r="R3389" s="12">
        <v>0.75</v>
      </c>
      <c r="S3389" s="12">
        <v>0.85</v>
      </c>
      <c r="T3389" s="12">
        <v>0.75</v>
      </c>
      <c r="U3389" s="12">
        <v>0.8</v>
      </c>
      <c r="V3389" s="12">
        <v>279.85048275366699</v>
      </c>
      <c r="W3389" s="12">
        <v>9.3347233335302207</v>
      </c>
      <c r="X3389" s="12">
        <v>148.93547661822959</v>
      </c>
      <c r="Y3389" s="12">
        <v>2120.43034603264</v>
      </c>
      <c r="Z3389" s="12">
        <v>3.404754989932977</v>
      </c>
      <c r="AA3389" s="12" t="s">
        <v>1268</v>
      </c>
      <c r="AB3389" s="12"/>
    </row>
    <row r="3390" spans="1:28" x14ac:dyDescent="0.3">
      <c r="A3390" s="12" t="s">
        <v>5313</v>
      </c>
      <c r="B3390" s="12" t="s">
        <v>206</v>
      </c>
      <c r="C3390" s="12" t="s">
        <v>542</v>
      </c>
      <c r="D3390" s="12" t="s">
        <v>5237</v>
      </c>
      <c r="E3390" s="12" t="s">
        <v>2978</v>
      </c>
      <c r="F3390" s="12" t="s">
        <v>1861</v>
      </c>
      <c r="G3390" s="12" t="s">
        <v>1861</v>
      </c>
      <c r="H3390" s="12" t="b">
        <v>1</v>
      </c>
      <c r="I3390" s="12" t="b">
        <v>0</v>
      </c>
      <c r="J3390" s="12" t="b">
        <v>1</v>
      </c>
      <c r="K3390" s="12" t="b">
        <v>0</v>
      </c>
      <c r="L3390" s="12">
        <v>488.89605379607218</v>
      </c>
      <c r="M3390" s="12">
        <v>288.96276098095751</v>
      </c>
      <c r="N3390" s="12">
        <v>2598.5073588188961</v>
      </c>
      <c r="O3390" s="12">
        <v>1193.6037652547459</v>
      </c>
      <c r="P3390" s="12">
        <v>0.60751957193770922</v>
      </c>
      <c r="Q3390" s="12">
        <v>0.85</v>
      </c>
      <c r="R3390" s="12">
        <v>0.75</v>
      </c>
      <c r="S3390" s="12">
        <v>0.85</v>
      </c>
      <c r="T3390" s="12">
        <v>0.75</v>
      </c>
      <c r="U3390" s="12">
        <v>0.8</v>
      </c>
      <c r="V3390" s="12">
        <v>288.96276098095751</v>
      </c>
      <c r="W3390" s="12">
        <v>5.9067804050357102</v>
      </c>
      <c r="X3390" s="12">
        <v>95.142570647425075</v>
      </c>
      <c r="Y3390" s="12">
        <v>1404.90359356415</v>
      </c>
      <c r="Z3390" s="12">
        <v>2.1770267776126762</v>
      </c>
      <c r="AA3390" s="12" t="s">
        <v>1268</v>
      </c>
      <c r="AB3390" s="12"/>
    </row>
    <row r="3391" spans="1:28" x14ac:dyDescent="0.3">
      <c r="A3391" s="12" t="s">
        <v>5314</v>
      </c>
      <c r="B3391" s="12" t="s">
        <v>206</v>
      </c>
      <c r="C3391" s="12" t="s">
        <v>542</v>
      </c>
      <c r="D3391" s="12" t="s">
        <v>5237</v>
      </c>
      <c r="E3391" s="12" t="s">
        <v>2978</v>
      </c>
      <c r="F3391" s="12" t="s">
        <v>1861</v>
      </c>
      <c r="G3391" s="12" t="s">
        <v>1861</v>
      </c>
      <c r="H3391" s="12" t="b">
        <v>1</v>
      </c>
      <c r="I3391" s="12" t="b">
        <v>0</v>
      </c>
      <c r="J3391" s="12" t="b">
        <v>1</v>
      </c>
      <c r="K3391" s="12" t="b">
        <v>0</v>
      </c>
      <c r="L3391" s="12">
        <v>510.91603687363829</v>
      </c>
      <c r="M3391" s="12">
        <v>293.66196513906721</v>
      </c>
      <c r="N3391" s="12">
        <v>4060.7451724706948</v>
      </c>
      <c r="O3391" s="12">
        <v>907.38136698848382</v>
      </c>
      <c r="P3391" s="12">
        <v>0.78527138800567919</v>
      </c>
      <c r="Q3391" s="12">
        <v>0.85</v>
      </c>
      <c r="R3391" s="12">
        <v>0.75</v>
      </c>
      <c r="S3391" s="12">
        <v>0.85</v>
      </c>
      <c r="T3391" s="12">
        <v>0.75</v>
      </c>
      <c r="U3391" s="12">
        <v>0.8</v>
      </c>
      <c r="V3391" s="12">
        <v>293.66196513906721</v>
      </c>
      <c r="W3391" s="12">
        <v>12.006474010891241</v>
      </c>
      <c r="X3391" s="12">
        <v>172.5783235966878</v>
      </c>
      <c r="Y3391" s="12">
        <v>3153.3638054822109</v>
      </c>
      <c r="Z3391" s="12">
        <v>4.4752353532979621</v>
      </c>
      <c r="AA3391" s="12" t="s">
        <v>1268</v>
      </c>
      <c r="AB3391" s="12"/>
    </row>
    <row r="3392" spans="1:28" x14ac:dyDescent="0.3">
      <c r="A3392" s="12" t="s">
        <v>5315</v>
      </c>
      <c r="B3392" s="12" t="s">
        <v>206</v>
      </c>
      <c r="C3392" s="12" t="s">
        <v>542</v>
      </c>
      <c r="D3392" s="12" t="s">
        <v>5237</v>
      </c>
      <c r="E3392" s="12" t="s">
        <v>2978</v>
      </c>
      <c r="F3392" s="12" t="s">
        <v>1861</v>
      </c>
      <c r="G3392" s="12" t="s">
        <v>1861</v>
      </c>
      <c r="H3392" s="12" t="b">
        <v>1</v>
      </c>
      <c r="I3392" s="12" t="b">
        <v>0</v>
      </c>
      <c r="J3392" s="12" t="b">
        <v>1</v>
      </c>
      <c r="K3392" s="12" t="b">
        <v>0</v>
      </c>
      <c r="L3392" s="12">
        <v>428.6024797135866</v>
      </c>
      <c r="M3392" s="12">
        <v>285.01344984181873</v>
      </c>
      <c r="N3392" s="12">
        <v>3187.2253327762928</v>
      </c>
      <c r="O3392" s="12">
        <v>398.73210626325641</v>
      </c>
      <c r="P3392" s="12">
        <v>0.76146239209844335</v>
      </c>
      <c r="Q3392" s="12">
        <v>0.85</v>
      </c>
      <c r="R3392" s="12">
        <v>0.75</v>
      </c>
      <c r="S3392" s="12">
        <v>0.85</v>
      </c>
      <c r="T3392" s="12">
        <v>0.75</v>
      </c>
      <c r="U3392" s="12">
        <v>0.8</v>
      </c>
      <c r="V3392" s="12">
        <v>285.01344984181873</v>
      </c>
      <c r="W3392" s="12">
        <v>10.772809446984221</v>
      </c>
      <c r="X3392" s="12">
        <v>84.022147800025067</v>
      </c>
      <c r="Y3392" s="12">
        <v>2788.493226513036</v>
      </c>
      <c r="Z3392" s="12">
        <v>7.9934002873397381</v>
      </c>
      <c r="AA3392" s="12" t="s">
        <v>1268</v>
      </c>
      <c r="AB3392" s="12"/>
    </row>
    <row r="3393" spans="1:28" x14ac:dyDescent="0.3">
      <c r="A3393" s="12" t="s">
        <v>5316</v>
      </c>
      <c r="B3393" s="12" t="s">
        <v>206</v>
      </c>
      <c r="C3393" s="12" t="s">
        <v>542</v>
      </c>
      <c r="D3393" s="12" t="s">
        <v>5237</v>
      </c>
      <c r="E3393" s="12" t="s">
        <v>2978</v>
      </c>
      <c r="F3393" s="12" t="s">
        <v>1861</v>
      </c>
      <c r="G3393" s="12" t="s">
        <v>1861</v>
      </c>
      <c r="H3393" s="12" t="b">
        <v>1</v>
      </c>
      <c r="I3393" s="12" t="b">
        <v>0</v>
      </c>
      <c r="J3393" s="12" t="b">
        <v>0</v>
      </c>
      <c r="K3393" s="12" t="b">
        <v>0</v>
      </c>
      <c r="L3393" s="12">
        <v>394.53482150974969</v>
      </c>
      <c r="M3393" s="12">
        <v>293.31914558052608</v>
      </c>
      <c r="N3393" s="12">
        <v>4430.5680973678373</v>
      </c>
      <c r="O3393" s="12">
        <v>1140.0191972421071</v>
      </c>
      <c r="P3393" s="12">
        <v>0.80616939192927684</v>
      </c>
      <c r="Q3393" s="12">
        <v>0.85</v>
      </c>
      <c r="R3393" s="12">
        <v>0.75</v>
      </c>
      <c r="S3393" s="12">
        <v>0.85</v>
      </c>
      <c r="T3393" s="12">
        <v>0.75</v>
      </c>
      <c r="U3393" s="12">
        <v>0.8</v>
      </c>
      <c r="V3393" s="12">
        <v>293.31914558052608</v>
      </c>
      <c r="W3393" s="12">
        <v>10.99532959131809</v>
      </c>
      <c r="X3393" s="12">
        <v>71.149387716684743</v>
      </c>
      <c r="Y3393" s="12">
        <v>3290.5489001257301</v>
      </c>
      <c r="Z3393" s="12">
        <v>3.88639779758631</v>
      </c>
      <c r="AA3393" s="12" t="s">
        <v>1268</v>
      </c>
      <c r="AB3393" s="12"/>
    </row>
    <row r="3394" spans="1:28" x14ac:dyDescent="0.3">
      <c r="A3394" s="12" t="s">
        <v>5317</v>
      </c>
      <c r="B3394" s="12" t="s">
        <v>206</v>
      </c>
      <c r="C3394" s="12" t="s">
        <v>542</v>
      </c>
      <c r="D3394" s="12" t="s">
        <v>5237</v>
      </c>
      <c r="E3394" s="12" t="s">
        <v>2978</v>
      </c>
      <c r="F3394" s="12" t="s">
        <v>1861</v>
      </c>
      <c r="G3394" s="12" t="s">
        <v>1861</v>
      </c>
      <c r="H3394" s="12" t="b">
        <v>1</v>
      </c>
      <c r="I3394" s="12" t="b">
        <v>0</v>
      </c>
      <c r="J3394" s="12" t="b">
        <v>1</v>
      </c>
      <c r="K3394" s="12" t="b">
        <v>0</v>
      </c>
      <c r="L3394" s="12">
        <v>464.28225882950039</v>
      </c>
      <c r="M3394" s="12">
        <v>299.16508586756152</v>
      </c>
      <c r="N3394" s="12">
        <v>4239.2160562803901</v>
      </c>
      <c r="O3394" s="12">
        <v>1757.3245631645141</v>
      </c>
      <c r="P3394" s="12">
        <v>0.60903153373593444</v>
      </c>
      <c r="Q3394" s="12">
        <v>0.85</v>
      </c>
      <c r="R3394" s="12">
        <v>0.75</v>
      </c>
      <c r="S3394" s="12">
        <v>0.85</v>
      </c>
      <c r="T3394" s="12">
        <v>0.75</v>
      </c>
      <c r="U3394" s="12">
        <v>0.8</v>
      </c>
      <c r="V3394" s="12">
        <v>299.16508586756152</v>
      </c>
      <c r="W3394" s="12">
        <v>7.2400615936500792</v>
      </c>
      <c r="X3394" s="12">
        <v>85.216413550688372</v>
      </c>
      <c r="Y3394" s="12">
        <v>2481.8914931158761</v>
      </c>
      <c r="Z3394" s="12">
        <v>2.412312526177061</v>
      </c>
      <c r="AA3394" s="12" t="s">
        <v>1268</v>
      </c>
      <c r="AB3394" s="12"/>
    </row>
    <row r="3395" spans="1:28" x14ac:dyDescent="0.3">
      <c r="A3395" s="12" t="s">
        <v>5318</v>
      </c>
      <c r="B3395" s="12" t="s">
        <v>206</v>
      </c>
      <c r="C3395" s="12" t="s">
        <v>542</v>
      </c>
      <c r="D3395" s="12" t="s">
        <v>5237</v>
      </c>
      <c r="E3395" s="12" t="s">
        <v>2978</v>
      </c>
      <c r="F3395" s="12" t="s">
        <v>832</v>
      </c>
      <c r="G3395" s="12" t="s">
        <v>832</v>
      </c>
      <c r="H3395" s="12" t="b">
        <v>0</v>
      </c>
      <c r="I3395" s="12" t="b">
        <v>0</v>
      </c>
      <c r="J3395" s="12" t="b">
        <v>0</v>
      </c>
      <c r="K3395" s="12" t="b">
        <v>0</v>
      </c>
      <c r="L3395" s="12">
        <v>398.94970018319032</v>
      </c>
      <c r="M3395" s="12">
        <v>280.96531036061918</v>
      </c>
      <c r="N3395" s="12">
        <v>4020.449262482321</v>
      </c>
      <c r="O3395" s="12">
        <v>1542.466273107116</v>
      </c>
      <c r="P3395" s="12">
        <v>0.68181572972985527</v>
      </c>
      <c r="Q3395" s="12">
        <v>0.85</v>
      </c>
      <c r="R3395" s="12">
        <v>0.75</v>
      </c>
      <c r="S3395" s="12">
        <v>0.85</v>
      </c>
      <c r="T3395" s="12">
        <v>0.75</v>
      </c>
      <c r="U3395" s="12">
        <v>0.8</v>
      </c>
      <c r="V3395" s="12">
        <v>280.96531036061918</v>
      </c>
      <c r="W3395" s="12"/>
      <c r="X3395" s="12"/>
      <c r="Y3395" s="12">
        <v>2477.9829893752039</v>
      </c>
      <c r="Z3395" s="12">
        <v>2.6065070806271828</v>
      </c>
      <c r="AA3395" s="12"/>
      <c r="AB3395" s="12"/>
    </row>
    <row r="3396" spans="1:28" x14ac:dyDescent="0.3">
      <c r="A3396" s="12" t="s">
        <v>5319</v>
      </c>
      <c r="B3396" s="12" t="s">
        <v>206</v>
      </c>
      <c r="C3396" s="12" t="s">
        <v>542</v>
      </c>
      <c r="D3396" s="12" t="s">
        <v>5237</v>
      </c>
      <c r="E3396" s="12" t="s">
        <v>2978</v>
      </c>
      <c r="F3396" s="12" t="s">
        <v>1861</v>
      </c>
      <c r="G3396" s="12" t="s">
        <v>1861</v>
      </c>
      <c r="H3396" s="12" t="b">
        <v>1</v>
      </c>
      <c r="I3396" s="12" t="b">
        <v>0</v>
      </c>
      <c r="J3396" s="12" t="b">
        <v>1</v>
      </c>
      <c r="K3396" s="12" t="b">
        <v>0</v>
      </c>
      <c r="L3396" s="12">
        <v>451.7417673798069</v>
      </c>
      <c r="M3396" s="12">
        <v>302.13078828719381</v>
      </c>
      <c r="N3396" s="12">
        <v>2411.037946517878</v>
      </c>
      <c r="O3396" s="12">
        <v>513.03294125655293</v>
      </c>
      <c r="P3396" s="12">
        <v>0.75205624142094873</v>
      </c>
      <c r="Q3396" s="12">
        <v>0.85</v>
      </c>
      <c r="R3396" s="12">
        <v>0.75</v>
      </c>
      <c r="S3396" s="12">
        <v>0.85</v>
      </c>
      <c r="T3396" s="12">
        <v>0.75</v>
      </c>
      <c r="U3396" s="12">
        <v>0.8</v>
      </c>
      <c r="V3396" s="12">
        <v>302.13078828719381</v>
      </c>
      <c r="W3396" s="12">
        <v>5.7296127496645486</v>
      </c>
      <c r="X3396" s="12">
        <v>50.414885137381532</v>
      </c>
      <c r="Y3396" s="12">
        <v>1898.0050052613251</v>
      </c>
      <c r="Z3396" s="12">
        <v>4.6995772642057068</v>
      </c>
      <c r="AA3396" s="12" t="s">
        <v>1268</v>
      </c>
      <c r="AB3396" s="12"/>
    </row>
    <row r="3397" spans="1:28" x14ac:dyDescent="0.3">
      <c r="A3397" s="12" t="s">
        <v>5320</v>
      </c>
      <c r="B3397" s="12" t="s">
        <v>206</v>
      </c>
      <c r="C3397" s="12" t="s">
        <v>542</v>
      </c>
      <c r="D3397" s="12" t="s">
        <v>5237</v>
      </c>
      <c r="E3397" s="12" t="s">
        <v>2978</v>
      </c>
      <c r="F3397" s="12" t="s">
        <v>1861</v>
      </c>
      <c r="G3397" s="12" t="s">
        <v>1861</v>
      </c>
      <c r="H3397" s="12" t="b">
        <v>1</v>
      </c>
      <c r="I3397" s="12" t="b">
        <v>0</v>
      </c>
      <c r="J3397" s="12" t="b">
        <v>1</v>
      </c>
      <c r="K3397" s="12" t="b">
        <v>0</v>
      </c>
      <c r="L3397" s="12">
        <v>506.0605708064441</v>
      </c>
      <c r="M3397" s="12">
        <v>296.60402746859631</v>
      </c>
      <c r="N3397" s="12">
        <v>2538.4813108203311</v>
      </c>
      <c r="O3397" s="12">
        <v>1627.851152782602</v>
      </c>
      <c r="P3397" s="12">
        <v>0.6017841728252773</v>
      </c>
      <c r="Q3397" s="12">
        <v>0.85</v>
      </c>
      <c r="R3397" s="12">
        <v>0.75</v>
      </c>
      <c r="S3397" s="12">
        <v>0.85</v>
      </c>
      <c r="T3397" s="12">
        <v>0.75</v>
      </c>
      <c r="U3397" s="12">
        <v>0.8</v>
      </c>
      <c r="V3397" s="12">
        <v>296.60402746859631</v>
      </c>
      <c r="W3397" s="12">
        <v>3.4414075926063501</v>
      </c>
      <c r="X3397" s="12">
        <v>55.961071482272523</v>
      </c>
      <c r="Y3397" s="12">
        <v>910.63015803772839</v>
      </c>
      <c r="Z3397" s="12">
        <v>1.559406280163345</v>
      </c>
      <c r="AA3397" s="12" t="s">
        <v>1268</v>
      </c>
      <c r="AB3397" s="12"/>
    </row>
    <row r="3398" spans="1:28" x14ac:dyDescent="0.3">
      <c r="A3398" s="12" t="s">
        <v>5321</v>
      </c>
      <c r="B3398" s="12" t="s">
        <v>206</v>
      </c>
      <c r="C3398" s="12" t="s">
        <v>542</v>
      </c>
      <c r="D3398" s="12" t="s">
        <v>5237</v>
      </c>
      <c r="E3398" s="12" t="s">
        <v>2978</v>
      </c>
      <c r="F3398" s="12" t="s">
        <v>1861</v>
      </c>
      <c r="G3398" s="12" t="s">
        <v>1861</v>
      </c>
      <c r="H3398" s="12" t="b">
        <v>1</v>
      </c>
      <c r="I3398" s="12" t="b">
        <v>0</v>
      </c>
      <c r="J3398" s="12" t="b">
        <v>1</v>
      </c>
      <c r="K3398" s="12" t="b">
        <v>0</v>
      </c>
      <c r="L3398" s="12">
        <v>490.86589719031372</v>
      </c>
      <c r="M3398" s="12">
        <v>280.3613123521767</v>
      </c>
      <c r="N3398" s="12">
        <v>4807.0209007936382</v>
      </c>
      <c r="O3398" s="12">
        <v>697.75077525769871</v>
      </c>
      <c r="P3398" s="12">
        <v>0.56484198229898996</v>
      </c>
      <c r="Q3398" s="12">
        <v>0.85</v>
      </c>
      <c r="R3398" s="12">
        <v>0.75</v>
      </c>
      <c r="S3398" s="12">
        <v>0.85</v>
      </c>
      <c r="T3398" s="12">
        <v>0.75</v>
      </c>
      <c r="U3398" s="12">
        <v>0.8</v>
      </c>
      <c r="V3398" s="12">
        <v>280.3613123521767</v>
      </c>
      <c r="W3398" s="12">
        <v>13.72769716211735</v>
      </c>
      <c r="X3398" s="12">
        <v>222.08630369065719</v>
      </c>
      <c r="Y3398" s="12">
        <v>4109.2701255359398</v>
      </c>
      <c r="Z3398" s="12">
        <v>6.889309293878279</v>
      </c>
      <c r="AA3398" s="12" t="s">
        <v>1981</v>
      </c>
      <c r="AB3398" s="12"/>
    </row>
    <row r="3399" spans="1:28" x14ac:dyDescent="0.3">
      <c r="A3399" s="12" t="s">
        <v>5322</v>
      </c>
      <c r="B3399" s="12" t="s">
        <v>206</v>
      </c>
      <c r="C3399" s="12" t="s">
        <v>542</v>
      </c>
      <c r="D3399" s="12" t="s">
        <v>5237</v>
      </c>
      <c r="E3399" s="12" t="s">
        <v>2978</v>
      </c>
      <c r="F3399" s="12" t="s">
        <v>832</v>
      </c>
      <c r="G3399" s="12" t="s">
        <v>832</v>
      </c>
      <c r="H3399" s="12" t="b">
        <v>0</v>
      </c>
      <c r="I3399" s="12" t="b">
        <v>0</v>
      </c>
      <c r="J3399" s="12" t="b">
        <v>0</v>
      </c>
      <c r="K3399" s="12" t="b">
        <v>0</v>
      </c>
      <c r="L3399" s="12">
        <v>478.15429677563031</v>
      </c>
      <c r="M3399" s="12">
        <v>300.9335568148303</v>
      </c>
      <c r="N3399" s="12">
        <v>2648.9790550570251</v>
      </c>
      <c r="O3399" s="12">
        <v>1025.9442831851891</v>
      </c>
      <c r="P3399" s="12">
        <v>0.81007801333479268</v>
      </c>
      <c r="Q3399" s="12">
        <v>0.85</v>
      </c>
      <c r="R3399" s="12">
        <v>0.75</v>
      </c>
      <c r="S3399" s="12">
        <v>0.85</v>
      </c>
      <c r="T3399" s="12">
        <v>0.75</v>
      </c>
      <c r="U3399" s="12">
        <v>0.8</v>
      </c>
      <c r="V3399" s="12">
        <v>300.9335568148303</v>
      </c>
      <c r="W3399" s="12"/>
      <c r="X3399" s="12"/>
      <c r="Y3399" s="12">
        <v>1623.034771871836</v>
      </c>
      <c r="Z3399" s="12">
        <v>2.581991145594082</v>
      </c>
      <c r="AA3399" s="12"/>
      <c r="AB3399" s="12"/>
    </row>
    <row r="3400" spans="1:28" x14ac:dyDescent="0.3">
      <c r="A3400" s="12" t="s">
        <v>5323</v>
      </c>
      <c r="B3400" s="12" t="s">
        <v>206</v>
      </c>
      <c r="C3400" s="12" t="s">
        <v>542</v>
      </c>
      <c r="D3400" s="12" t="s">
        <v>5237</v>
      </c>
      <c r="E3400" s="12" t="s">
        <v>2978</v>
      </c>
      <c r="F3400" s="12" t="s">
        <v>1861</v>
      </c>
      <c r="G3400" s="12" t="s">
        <v>1861</v>
      </c>
      <c r="H3400" s="12" t="b">
        <v>1</v>
      </c>
      <c r="I3400" s="12" t="b">
        <v>0</v>
      </c>
      <c r="J3400" s="12" t="b">
        <v>1</v>
      </c>
      <c r="K3400" s="12" t="b">
        <v>0</v>
      </c>
      <c r="L3400" s="12">
        <v>508.64647782775052</v>
      </c>
      <c r="M3400" s="12">
        <v>290.38999353767662</v>
      </c>
      <c r="N3400" s="12">
        <v>2956.7599028958421</v>
      </c>
      <c r="O3400" s="12">
        <v>1529.7011044303631</v>
      </c>
      <c r="P3400" s="12">
        <v>0.76381681780687583</v>
      </c>
      <c r="Q3400" s="12">
        <v>0.85</v>
      </c>
      <c r="R3400" s="12">
        <v>0.75</v>
      </c>
      <c r="S3400" s="12">
        <v>0.85</v>
      </c>
      <c r="T3400" s="12">
        <v>0.75</v>
      </c>
      <c r="U3400" s="12">
        <v>0.8</v>
      </c>
      <c r="V3400" s="12">
        <v>290.38999353767662</v>
      </c>
      <c r="W3400" s="12">
        <v>5.5104771111187096</v>
      </c>
      <c r="X3400" s="12">
        <v>81.808260523037632</v>
      </c>
      <c r="Y3400" s="12">
        <v>1427.058798465479</v>
      </c>
      <c r="Z3400" s="12">
        <v>1.932900417168028</v>
      </c>
      <c r="AA3400" s="12" t="s">
        <v>1268</v>
      </c>
      <c r="AB3400" s="12"/>
    </row>
    <row r="3401" spans="1:28" x14ac:dyDescent="0.3">
      <c r="A3401" s="12" t="s">
        <v>5324</v>
      </c>
      <c r="B3401" s="12" t="s">
        <v>206</v>
      </c>
      <c r="C3401" s="12" t="s">
        <v>542</v>
      </c>
      <c r="D3401" s="12" t="s">
        <v>5237</v>
      </c>
      <c r="E3401" s="12" t="s">
        <v>2978</v>
      </c>
      <c r="F3401" s="12" t="s">
        <v>1861</v>
      </c>
      <c r="G3401" s="12" t="s">
        <v>1861</v>
      </c>
      <c r="H3401" s="12" t="b">
        <v>1</v>
      </c>
      <c r="I3401" s="12" t="b">
        <v>0</v>
      </c>
      <c r="J3401" s="12" t="b">
        <v>0</v>
      </c>
      <c r="K3401" s="12" t="b">
        <v>0</v>
      </c>
      <c r="L3401" s="12">
        <v>413.33679721715561</v>
      </c>
      <c r="M3401" s="12">
        <v>278.51603774910029</v>
      </c>
      <c r="N3401" s="12">
        <v>2766.1934221548481</v>
      </c>
      <c r="O3401" s="12">
        <v>940.10745646373857</v>
      </c>
      <c r="P3401" s="12">
        <v>0.68791263708986194</v>
      </c>
      <c r="Q3401" s="12">
        <v>0.85</v>
      </c>
      <c r="R3401" s="12">
        <v>0.75</v>
      </c>
      <c r="S3401" s="12">
        <v>0.85</v>
      </c>
      <c r="T3401" s="12">
        <v>0.75</v>
      </c>
      <c r="U3401" s="12">
        <v>0.8</v>
      </c>
      <c r="V3401" s="12">
        <v>278.51603774910029</v>
      </c>
      <c r="W3401" s="12">
        <v>8.9232870674518914</v>
      </c>
      <c r="X3401" s="12">
        <v>77.626940094975311</v>
      </c>
      <c r="Y3401" s="12">
        <v>1826.0859656911091</v>
      </c>
      <c r="Z3401" s="12">
        <v>2.942422595561601</v>
      </c>
      <c r="AA3401" s="12" t="s">
        <v>1268</v>
      </c>
      <c r="AB3401" s="12"/>
    </row>
    <row r="3402" spans="1:28" x14ac:dyDescent="0.3">
      <c r="A3402" s="12" t="s">
        <v>5325</v>
      </c>
      <c r="B3402" s="12" t="s">
        <v>206</v>
      </c>
      <c r="C3402" s="12" t="s">
        <v>542</v>
      </c>
      <c r="D3402" s="12" t="s">
        <v>5237</v>
      </c>
      <c r="E3402" s="12" t="s">
        <v>2978</v>
      </c>
      <c r="F3402" s="12" t="s">
        <v>1861</v>
      </c>
      <c r="G3402" s="12" t="s">
        <v>1861</v>
      </c>
      <c r="H3402" s="12" t="b">
        <v>1</v>
      </c>
      <c r="I3402" s="12" t="b">
        <v>0</v>
      </c>
      <c r="J3402" s="12" t="b">
        <v>0</v>
      </c>
      <c r="K3402" s="12" t="b">
        <v>0</v>
      </c>
      <c r="L3402" s="12">
        <v>415.61134236708051</v>
      </c>
      <c r="M3402" s="12">
        <v>296.2873421508769</v>
      </c>
      <c r="N3402" s="12">
        <v>3413.1314851782481</v>
      </c>
      <c r="O3402" s="12">
        <v>861.26359889276716</v>
      </c>
      <c r="P3402" s="12">
        <v>0.74998492946343176</v>
      </c>
      <c r="Q3402" s="12">
        <v>0.85</v>
      </c>
      <c r="R3402" s="12">
        <v>0.75</v>
      </c>
      <c r="S3402" s="12">
        <v>0.85</v>
      </c>
      <c r="T3402" s="12">
        <v>0.75</v>
      </c>
      <c r="U3402" s="12">
        <v>0.8</v>
      </c>
      <c r="V3402" s="12">
        <v>296.2873421508769</v>
      </c>
      <c r="W3402" s="12">
        <v>11.36479472066873</v>
      </c>
      <c r="X3402" s="12">
        <v>97.393349032410356</v>
      </c>
      <c r="Y3402" s="12">
        <v>2551.8678862854808</v>
      </c>
      <c r="Z3402" s="12">
        <v>3.962934796694229</v>
      </c>
      <c r="AA3402" s="12" t="s">
        <v>1268</v>
      </c>
      <c r="AB3402" s="12"/>
    </row>
    <row r="3403" spans="1:28" x14ac:dyDescent="0.3">
      <c r="A3403" s="12" t="s">
        <v>5326</v>
      </c>
      <c r="B3403" s="12" t="s">
        <v>206</v>
      </c>
      <c r="C3403" s="12" t="s">
        <v>542</v>
      </c>
      <c r="D3403" s="12" t="s">
        <v>5237</v>
      </c>
      <c r="E3403" s="12" t="s">
        <v>2978</v>
      </c>
      <c r="F3403" s="12" t="s">
        <v>32</v>
      </c>
      <c r="G3403" s="12" t="s">
        <v>32</v>
      </c>
      <c r="H3403" s="12" t="b">
        <v>1</v>
      </c>
      <c r="I3403" s="12" t="b">
        <v>1</v>
      </c>
      <c r="J3403" s="12" t="b">
        <v>0</v>
      </c>
      <c r="K3403" s="12" t="b">
        <v>0</v>
      </c>
      <c r="L3403" s="12">
        <v>406.54239133052721</v>
      </c>
      <c r="M3403" s="12">
        <v>292.25317376603329</v>
      </c>
      <c r="N3403" s="12">
        <v>4670.3937608807018</v>
      </c>
      <c r="O3403" s="12">
        <v>1507.4372846893141</v>
      </c>
      <c r="P3403" s="12">
        <v>0.74266621181671089</v>
      </c>
      <c r="Q3403" s="12">
        <v>0.85</v>
      </c>
      <c r="R3403" s="12">
        <v>0.75</v>
      </c>
      <c r="S3403" s="12">
        <v>0.85</v>
      </c>
      <c r="T3403" s="12">
        <v>0.75</v>
      </c>
      <c r="U3403" s="12">
        <v>0.8</v>
      </c>
      <c r="V3403" s="12">
        <v>292.25317376603329</v>
      </c>
      <c r="W3403" s="12">
        <v>8.8824493505667999</v>
      </c>
      <c r="X3403" s="12">
        <v>54.924822468003832</v>
      </c>
      <c r="Y3403" s="12">
        <v>3162.956476191388</v>
      </c>
      <c r="Z3403" s="12">
        <v>3.0982342073642419</v>
      </c>
      <c r="AA3403" s="12"/>
      <c r="AB3403" s="12"/>
    </row>
    <row r="3404" spans="1:28" x14ac:dyDescent="0.3">
      <c r="A3404" s="12" t="s">
        <v>5327</v>
      </c>
      <c r="B3404" s="12" t="s">
        <v>206</v>
      </c>
      <c r="C3404" s="12" t="s">
        <v>542</v>
      </c>
      <c r="D3404" s="12" t="s">
        <v>5237</v>
      </c>
      <c r="E3404" s="12" t="s">
        <v>2978</v>
      </c>
      <c r="F3404" s="12" t="s">
        <v>1861</v>
      </c>
      <c r="G3404" s="12" t="s">
        <v>1861</v>
      </c>
      <c r="H3404" s="12" t="b">
        <v>1</v>
      </c>
      <c r="I3404" s="12" t="b">
        <v>0</v>
      </c>
      <c r="J3404" s="12" t="b">
        <v>1</v>
      </c>
      <c r="K3404" s="12" t="b">
        <v>0</v>
      </c>
      <c r="L3404" s="12">
        <v>442.34078798595368</v>
      </c>
      <c r="M3404" s="12">
        <v>290.1805633753919</v>
      </c>
      <c r="N3404" s="12">
        <v>2349.7100942259908</v>
      </c>
      <c r="O3404" s="12">
        <v>344.88127753850699</v>
      </c>
      <c r="P3404" s="12">
        <v>0.78199186295976153</v>
      </c>
      <c r="Q3404" s="12">
        <v>0.85</v>
      </c>
      <c r="R3404" s="12">
        <v>0.75</v>
      </c>
      <c r="S3404" s="12">
        <v>0.85</v>
      </c>
      <c r="T3404" s="12">
        <v>0.75</v>
      </c>
      <c r="U3404" s="12">
        <v>0.8</v>
      </c>
      <c r="V3404" s="12">
        <v>290.1805633753919</v>
      </c>
      <c r="W3404" s="12">
        <v>4.9511400801338299</v>
      </c>
      <c r="X3404" s="12">
        <v>37.456359570883819</v>
      </c>
      <c r="Y3404" s="12">
        <v>2004.828816687484</v>
      </c>
      <c r="Z3404" s="12">
        <v>6.8130984407051161</v>
      </c>
      <c r="AA3404" s="12" t="s">
        <v>1268</v>
      </c>
      <c r="AB3404" s="12"/>
    </row>
    <row r="3405" spans="1:28" x14ac:dyDescent="0.3">
      <c r="A3405" s="12" t="s">
        <v>5328</v>
      </c>
      <c r="B3405" s="12" t="s">
        <v>206</v>
      </c>
      <c r="C3405" s="12" t="s">
        <v>542</v>
      </c>
      <c r="D3405" s="12" t="s">
        <v>5237</v>
      </c>
      <c r="E3405" s="12" t="s">
        <v>2978</v>
      </c>
      <c r="F3405" s="12" t="s">
        <v>32</v>
      </c>
      <c r="G3405" s="12" t="s">
        <v>32</v>
      </c>
      <c r="H3405" s="12" t="b">
        <v>1</v>
      </c>
      <c r="I3405" s="12" t="b">
        <v>0</v>
      </c>
      <c r="J3405" s="12" t="b">
        <v>1</v>
      </c>
      <c r="K3405" s="12" t="b">
        <v>0</v>
      </c>
      <c r="L3405" s="12">
        <v>456.76182004762688</v>
      </c>
      <c r="M3405" s="12">
        <v>294.03935367615219</v>
      </c>
      <c r="N3405" s="12">
        <v>4525.3301599913793</v>
      </c>
      <c r="O3405" s="12">
        <v>1172.6230082697521</v>
      </c>
      <c r="P3405" s="12">
        <v>0.52797446826069017</v>
      </c>
      <c r="Q3405" s="12">
        <v>0.85</v>
      </c>
      <c r="R3405" s="12">
        <v>0.75</v>
      </c>
      <c r="S3405" s="12">
        <v>0.85</v>
      </c>
      <c r="T3405" s="12">
        <v>0.75</v>
      </c>
      <c r="U3405" s="12">
        <v>0.8</v>
      </c>
      <c r="V3405" s="12">
        <v>294.03935367615219</v>
      </c>
      <c r="W3405" s="12">
        <v>9.4328682777074313</v>
      </c>
      <c r="X3405" s="12">
        <v>76.450470574789819</v>
      </c>
      <c r="Y3405" s="12">
        <v>3352.7071517216282</v>
      </c>
      <c r="Z3405" s="12">
        <v>3.8591517717775878</v>
      </c>
      <c r="AA3405" s="12"/>
      <c r="AB3405" s="12"/>
    </row>
    <row r="3406" spans="1:28" x14ac:dyDescent="0.3">
      <c r="A3406" s="12" t="s">
        <v>5329</v>
      </c>
      <c r="B3406" s="12" t="s">
        <v>206</v>
      </c>
      <c r="C3406" s="12" t="s">
        <v>542</v>
      </c>
      <c r="D3406" s="12" t="s">
        <v>5237</v>
      </c>
      <c r="E3406" s="12" t="s">
        <v>2978</v>
      </c>
      <c r="F3406" s="12" t="s">
        <v>1861</v>
      </c>
      <c r="G3406" s="12" t="s">
        <v>1861</v>
      </c>
      <c r="H3406" s="12" t="b">
        <v>1</v>
      </c>
      <c r="I3406" s="12" t="b">
        <v>0</v>
      </c>
      <c r="J3406" s="12" t="b">
        <v>0</v>
      </c>
      <c r="K3406" s="12" t="b">
        <v>0</v>
      </c>
      <c r="L3406" s="12">
        <v>440.2205093120067</v>
      </c>
      <c r="M3406" s="12">
        <v>295.35556834392321</v>
      </c>
      <c r="N3406" s="12">
        <v>2198.1907068425271</v>
      </c>
      <c r="O3406" s="12">
        <v>1312.083005406048</v>
      </c>
      <c r="P3406" s="12">
        <v>0.80377329155869426</v>
      </c>
      <c r="Q3406" s="12">
        <v>0.85</v>
      </c>
      <c r="R3406" s="12">
        <v>0.75</v>
      </c>
      <c r="S3406" s="12">
        <v>0.85</v>
      </c>
      <c r="T3406" s="12">
        <v>0.75</v>
      </c>
      <c r="U3406" s="12">
        <v>0.8</v>
      </c>
      <c r="V3406" s="12">
        <v>295.35556834392321</v>
      </c>
      <c r="W3406" s="12">
        <v>4.33350624872251</v>
      </c>
      <c r="X3406" s="12">
        <v>56.051375168004157</v>
      </c>
      <c r="Y3406" s="12">
        <v>886.10770143647869</v>
      </c>
      <c r="Z3406" s="12">
        <v>1.675344241016411</v>
      </c>
      <c r="AA3406" s="12" t="s">
        <v>1268</v>
      </c>
      <c r="AB3406" s="12"/>
    </row>
    <row r="3407" spans="1:28" x14ac:dyDescent="0.3">
      <c r="A3407" s="12" t="s">
        <v>5330</v>
      </c>
      <c r="B3407" s="12" t="s">
        <v>206</v>
      </c>
      <c r="C3407" s="12" t="s">
        <v>542</v>
      </c>
      <c r="D3407" s="12" t="s">
        <v>5237</v>
      </c>
      <c r="E3407" s="12" t="s">
        <v>2978</v>
      </c>
      <c r="F3407" s="12" t="s">
        <v>1861</v>
      </c>
      <c r="G3407" s="12" t="s">
        <v>1861</v>
      </c>
      <c r="H3407" s="12" t="b">
        <v>1</v>
      </c>
      <c r="I3407" s="12" t="b">
        <v>0</v>
      </c>
      <c r="J3407" s="12" t="b">
        <v>1</v>
      </c>
      <c r="K3407" s="12" t="b">
        <v>0</v>
      </c>
      <c r="L3407" s="12">
        <v>472.85582952184131</v>
      </c>
      <c r="M3407" s="12">
        <v>303.21625778837841</v>
      </c>
      <c r="N3407" s="12">
        <v>4756.5870774877549</v>
      </c>
      <c r="O3407" s="12">
        <v>1491.961529886994</v>
      </c>
      <c r="P3407" s="12">
        <v>0.58580022999468406</v>
      </c>
      <c r="Q3407" s="12">
        <v>0.85</v>
      </c>
      <c r="R3407" s="12">
        <v>0.75</v>
      </c>
      <c r="S3407" s="12">
        <v>0.85</v>
      </c>
      <c r="T3407" s="12">
        <v>0.75</v>
      </c>
      <c r="U3407" s="12">
        <v>0.8</v>
      </c>
      <c r="V3407" s="12">
        <v>303.21625778837841</v>
      </c>
      <c r="W3407" s="12">
        <v>9.04307766243193</v>
      </c>
      <c r="X3407" s="12">
        <v>107.1284778955721</v>
      </c>
      <c r="Y3407" s="12">
        <v>3264.6255476007609</v>
      </c>
      <c r="Z3407" s="12">
        <v>3.1881432478007889</v>
      </c>
      <c r="AA3407" s="12" t="s">
        <v>1268</v>
      </c>
      <c r="AB3407" s="12"/>
    </row>
    <row r="3408" spans="1:28" x14ac:dyDescent="0.3">
      <c r="A3408" s="12" t="s">
        <v>5331</v>
      </c>
      <c r="B3408" s="12" t="s">
        <v>206</v>
      </c>
      <c r="C3408" s="12" t="s">
        <v>542</v>
      </c>
      <c r="D3408" s="12" t="s">
        <v>5237</v>
      </c>
      <c r="E3408" s="12" t="s">
        <v>2978</v>
      </c>
      <c r="F3408" s="12" t="s">
        <v>32</v>
      </c>
      <c r="G3408" s="12" t="s">
        <v>32</v>
      </c>
      <c r="H3408" s="12" t="b">
        <v>1</v>
      </c>
      <c r="I3408" s="12" t="b">
        <v>0</v>
      </c>
      <c r="J3408" s="12" t="b">
        <v>1</v>
      </c>
      <c r="K3408" s="12" t="b">
        <v>0</v>
      </c>
      <c r="L3408" s="12">
        <v>462.3375137573484</v>
      </c>
      <c r="M3408" s="12">
        <v>288.53651315771111</v>
      </c>
      <c r="N3408" s="12">
        <v>4133.2582088883764</v>
      </c>
      <c r="O3408" s="12">
        <v>1776.0480171169529</v>
      </c>
      <c r="P3408" s="12">
        <v>0.51029211027350596</v>
      </c>
      <c r="Q3408" s="12">
        <v>0.85</v>
      </c>
      <c r="R3408" s="12">
        <v>0.75</v>
      </c>
      <c r="S3408" s="12">
        <v>0.85</v>
      </c>
      <c r="T3408" s="12">
        <v>0.75</v>
      </c>
      <c r="U3408" s="12">
        <v>0.8</v>
      </c>
      <c r="V3408" s="12">
        <v>288.53651315771111</v>
      </c>
      <c r="W3408" s="12">
        <v>6.0705334503621602</v>
      </c>
      <c r="X3408" s="12">
        <v>57.904981634122031</v>
      </c>
      <c r="Y3408" s="12">
        <v>2357.2101917714231</v>
      </c>
      <c r="Z3408" s="12">
        <v>2.3272221072028589</v>
      </c>
      <c r="AA3408" s="12"/>
      <c r="AB3408" s="12"/>
    </row>
    <row r="3409" spans="1:28" x14ac:dyDescent="0.3">
      <c r="A3409" s="12" t="s">
        <v>5332</v>
      </c>
      <c r="B3409" s="12" t="s">
        <v>206</v>
      </c>
      <c r="C3409" s="12" t="s">
        <v>542</v>
      </c>
      <c r="D3409" s="12" t="s">
        <v>5237</v>
      </c>
      <c r="E3409" s="12" t="s">
        <v>2978</v>
      </c>
      <c r="F3409" s="12" t="s">
        <v>1861</v>
      </c>
      <c r="G3409" s="12" t="s">
        <v>1861</v>
      </c>
      <c r="H3409" s="12" t="b">
        <v>1</v>
      </c>
      <c r="I3409" s="12" t="b">
        <v>0</v>
      </c>
      <c r="J3409" s="12" t="b">
        <v>0</v>
      </c>
      <c r="K3409" s="12" t="b">
        <v>0</v>
      </c>
      <c r="L3409" s="12">
        <v>396.04196701834712</v>
      </c>
      <c r="M3409" s="12">
        <v>284.32275917474931</v>
      </c>
      <c r="N3409" s="12">
        <v>3233.5648495218338</v>
      </c>
      <c r="O3409" s="12">
        <v>811.21010972075442</v>
      </c>
      <c r="P3409" s="12">
        <v>0.79646318693081386</v>
      </c>
      <c r="Q3409" s="12">
        <v>0.85</v>
      </c>
      <c r="R3409" s="12">
        <v>0.75</v>
      </c>
      <c r="S3409" s="12">
        <v>0.85</v>
      </c>
      <c r="T3409" s="12">
        <v>0.75</v>
      </c>
      <c r="U3409" s="12">
        <v>0.8</v>
      </c>
      <c r="V3409" s="12">
        <v>284.32275917474931</v>
      </c>
      <c r="W3409" s="12">
        <v>11.516588441305631</v>
      </c>
      <c r="X3409" s="12">
        <v>92.374964903908918</v>
      </c>
      <c r="Y3409" s="12">
        <v>2422.3547398010801</v>
      </c>
      <c r="Z3409" s="12">
        <v>3.986100284961851</v>
      </c>
      <c r="AA3409" s="12" t="s">
        <v>1268</v>
      </c>
      <c r="AB3409" s="12"/>
    </row>
    <row r="3410" spans="1:28" x14ac:dyDescent="0.3">
      <c r="A3410" s="12" t="s">
        <v>5333</v>
      </c>
      <c r="B3410" s="12" t="s">
        <v>206</v>
      </c>
      <c r="C3410" s="12" t="s">
        <v>542</v>
      </c>
      <c r="D3410" s="12" t="s">
        <v>5237</v>
      </c>
      <c r="E3410" s="12" t="s">
        <v>2978</v>
      </c>
      <c r="F3410" s="12" t="s">
        <v>1861</v>
      </c>
      <c r="G3410" s="12" t="s">
        <v>1861</v>
      </c>
      <c r="H3410" s="12" t="b">
        <v>1</v>
      </c>
      <c r="I3410" s="12" t="b">
        <v>0</v>
      </c>
      <c r="J3410" s="12" t="b">
        <v>0</v>
      </c>
      <c r="K3410" s="12" t="b">
        <v>0</v>
      </c>
      <c r="L3410" s="12">
        <v>414.71828358340321</v>
      </c>
      <c r="M3410" s="12">
        <v>283.24724722447331</v>
      </c>
      <c r="N3410" s="12">
        <v>2318.6633936156741</v>
      </c>
      <c r="O3410" s="12">
        <v>1160.0250264135429</v>
      </c>
      <c r="P3410" s="12">
        <v>0.79215374867658195</v>
      </c>
      <c r="Q3410" s="12">
        <v>0.85</v>
      </c>
      <c r="R3410" s="12">
        <v>0.75</v>
      </c>
      <c r="S3410" s="12">
        <v>0.85</v>
      </c>
      <c r="T3410" s="12">
        <v>0.75</v>
      </c>
      <c r="U3410" s="12">
        <v>0.8</v>
      </c>
      <c r="V3410" s="12">
        <v>283.24724722447331</v>
      </c>
      <c r="W3410" s="12">
        <v>6.1688578996107504</v>
      </c>
      <c r="X3410" s="12">
        <v>68.630681512680042</v>
      </c>
      <c r="Y3410" s="12">
        <v>1158.6383672021309</v>
      </c>
      <c r="Z3410" s="12">
        <v>1.998804629917599</v>
      </c>
      <c r="AA3410" s="12" t="s">
        <v>1268</v>
      </c>
      <c r="AB3410" s="12"/>
    </row>
    <row r="3411" spans="1:28" x14ac:dyDescent="0.3">
      <c r="A3411" s="12" t="s">
        <v>5334</v>
      </c>
      <c r="B3411" s="12" t="s">
        <v>206</v>
      </c>
      <c r="C3411" s="12" t="s">
        <v>548</v>
      </c>
      <c r="D3411" s="12" t="s">
        <v>5335</v>
      </c>
      <c r="E3411" s="12" t="s">
        <v>2978</v>
      </c>
      <c r="F3411" s="12" t="s">
        <v>1861</v>
      </c>
      <c r="G3411" s="12" t="s">
        <v>1861</v>
      </c>
      <c r="H3411" s="12" t="b">
        <v>1</v>
      </c>
      <c r="I3411" s="12" t="b">
        <v>0</v>
      </c>
      <c r="J3411" s="12" t="b">
        <v>0</v>
      </c>
      <c r="K3411" s="12" t="b">
        <v>0</v>
      </c>
      <c r="L3411" s="12">
        <v>425.60479184697721</v>
      </c>
      <c r="M3411" s="12">
        <v>284.49412430428191</v>
      </c>
      <c r="N3411" s="12">
        <v>3000</v>
      </c>
      <c r="O3411" s="12">
        <v>396.54982757782631</v>
      </c>
      <c r="P3411" s="12">
        <v>0.7774597738852369</v>
      </c>
      <c r="Q3411" s="12">
        <v>0.78807090556203141</v>
      </c>
      <c r="R3411" s="12">
        <v>0.75130607196809729</v>
      </c>
      <c r="S3411" s="12">
        <v>0.4663444618085531</v>
      </c>
      <c r="T3411" s="12">
        <v>0.94000191519619758</v>
      </c>
      <c r="U3411" s="12">
        <v>0.86374826483494149</v>
      </c>
      <c r="V3411" s="12">
        <v>284.49412430428191</v>
      </c>
      <c r="W3411" s="12">
        <v>4.6185266506724698</v>
      </c>
      <c r="X3411" s="12">
        <v>21.520592688374499</v>
      </c>
      <c r="Y3411" s="12">
        <v>2603.4501724221741</v>
      </c>
      <c r="Z3411" s="12">
        <v>7.5652535731117529</v>
      </c>
      <c r="AA3411" s="12" t="s">
        <v>1268</v>
      </c>
      <c r="AB3411" s="12"/>
    </row>
    <row r="3412" spans="1:28" x14ac:dyDescent="0.3">
      <c r="A3412" s="12" t="s">
        <v>5336</v>
      </c>
      <c r="B3412" s="12" t="s">
        <v>206</v>
      </c>
      <c r="C3412" s="12" t="s">
        <v>542</v>
      </c>
      <c r="D3412" s="12" t="s">
        <v>5237</v>
      </c>
      <c r="E3412" s="12" t="s">
        <v>2978</v>
      </c>
      <c r="F3412" s="12" t="s">
        <v>1861</v>
      </c>
      <c r="G3412" s="12" t="s">
        <v>1861</v>
      </c>
      <c r="H3412" s="12" t="b">
        <v>1</v>
      </c>
      <c r="I3412" s="12" t="b">
        <v>0</v>
      </c>
      <c r="J3412" s="12" t="b">
        <v>1</v>
      </c>
      <c r="K3412" s="12" t="b">
        <v>0</v>
      </c>
      <c r="L3412" s="12">
        <v>485.77817768789282</v>
      </c>
      <c r="M3412" s="12">
        <v>281.54017272042142</v>
      </c>
      <c r="N3412" s="12">
        <v>2799.9520939167551</v>
      </c>
      <c r="O3412" s="12">
        <v>1329.7550038239399</v>
      </c>
      <c r="P3412" s="12">
        <v>0.5228437499151023</v>
      </c>
      <c r="Q3412" s="12">
        <v>0.85</v>
      </c>
      <c r="R3412" s="12">
        <v>0.75</v>
      </c>
      <c r="S3412" s="12">
        <v>0.85</v>
      </c>
      <c r="T3412" s="12">
        <v>0.75</v>
      </c>
      <c r="U3412" s="12">
        <v>0.8</v>
      </c>
      <c r="V3412" s="12">
        <v>281.54017272042142</v>
      </c>
      <c r="W3412" s="12">
        <v>5.74577281019178</v>
      </c>
      <c r="X3412" s="12">
        <v>97.347348395130098</v>
      </c>
      <c r="Y3412" s="12">
        <v>1470.197090092815</v>
      </c>
      <c r="Z3412" s="12">
        <v>2.1056150086782979</v>
      </c>
      <c r="AA3412" s="12" t="s">
        <v>1268</v>
      </c>
      <c r="AB3412" s="12"/>
    </row>
    <row r="3413" spans="1:28" x14ac:dyDescent="0.3">
      <c r="A3413" s="12" t="s">
        <v>5337</v>
      </c>
      <c r="B3413" s="12" t="s">
        <v>206</v>
      </c>
      <c r="C3413" s="12" t="s">
        <v>548</v>
      </c>
      <c r="D3413" s="12" t="s">
        <v>5335</v>
      </c>
      <c r="E3413" s="12" t="s">
        <v>2978</v>
      </c>
      <c r="F3413" s="12" t="s">
        <v>832</v>
      </c>
      <c r="G3413" s="12" t="s">
        <v>832</v>
      </c>
      <c r="H3413" s="12" t="b">
        <v>0</v>
      </c>
      <c r="I3413" s="12" t="b">
        <v>0</v>
      </c>
      <c r="J3413" s="12" t="b">
        <v>0</v>
      </c>
      <c r="K3413" s="12" t="b">
        <v>0</v>
      </c>
      <c r="L3413" s="12">
        <v>441.57286987503232</v>
      </c>
      <c r="M3413" s="12">
        <v>280.98745491633741</v>
      </c>
      <c r="N3413" s="12">
        <v>3000</v>
      </c>
      <c r="O3413" s="12">
        <v>968.31953666971003</v>
      </c>
      <c r="P3413" s="12">
        <v>0.64422203639398701</v>
      </c>
      <c r="Q3413" s="12">
        <v>0.81247505589677749</v>
      </c>
      <c r="R3413" s="12">
        <v>0.82193726473733242</v>
      </c>
      <c r="S3413" s="12">
        <v>0.45122641508663008</v>
      </c>
      <c r="T3413" s="12">
        <v>0.73140989308686155</v>
      </c>
      <c r="U3413" s="12">
        <v>0.91357397275899177</v>
      </c>
      <c r="V3413" s="12">
        <v>280.98745491633741</v>
      </c>
      <c r="W3413" s="12"/>
      <c r="X3413" s="12"/>
      <c r="Y3413" s="12">
        <v>2031.68046333029</v>
      </c>
      <c r="Z3413" s="12">
        <v>3.0981508545389271</v>
      </c>
      <c r="AA3413" s="12"/>
      <c r="AB3413" s="12"/>
    </row>
    <row r="3414" spans="1:28" x14ac:dyDescent="0.3">
      <c r="A3414" s="12" t="s">
        <v>5338</v>
      </c>
      <c r="B3414" s="12" t="s">
        <v>206</v>
      </c>
      <c r="C3414" s="12" t="s">
        <v>548</v>
      </c>
      <c r="D3414" s="12" t="s">
        <v>5335</v>
      </c>
      <c r="E3414" s="12" t="s">
        <v>2978</v>
      </c>
      <c r="F3414" s="12" t="s">
        <v>1861</v>
      </c>
      <c r="G3414" s="12" t="s">
        <v>1861</v>
      </c>
      <c r="H3414" s="12" t="b">
        <v>1</v>
      </c>
      <c r="I3414" s="12" t="b">
        <v>0</v>
      </c>
      <c r="J3414" s="12" t="b">
        <v>0</v>
      </c>
      <c r="K3414" s="12" t="b">
        <v>0</v>
      </c>
      <c r="L3414" s="12">
        <v>389.85859517935307</v>
      </c>
      <c r="M3414" s="12">
        <v>292.95599991348001</v>
      </c>
      <c r="N3414" s="12">
        <v>3000</v>
      </c>
      <c r="O3414" s="12">
        <v>1279.569153355726</v>
      </c>
      <c r="P3414" s="12">
        <v>0.84419752190761632</v>
      </c>
      <c r="Q3414" s="12">
        <v>0.85007019426226438</v>
      </c>
      <c r="R3414" s="12">
        <v>0.91717139684822124</v>
      </c>
      <c r="S3414" s="12">
        <v>0.84219187354050562</v>
      </c>
      <c r="T3414" s="12">
        <v>0.85322271370272207</v>
      </c>
      <c r="U3414" s="12">
        <v>0.48820848046084248</v>
      </c>
      <c r="V3414" s="12">
        <v>292.95599991348001</v>
      </c>
      <c r="W3414" s="12">
        <v>6.4417985851031014</v>
      </c>
      <c r="X3414" s="12">
        <v>34.025097575257021</v>
      </c>
      <c r="Y3414" s="12">
        <v>1720.430846644274</v>
      </c>
      <c r="Z3414" s="12">
        <v>2.3445391694011768</v>
      </c>
      <c r="AA3414" s="12" t="s">
        <v>1268</v>
      </c>
      <c r="AB3414" s="12"/>
    </row>
    <row r="3415" spans="1:28" x14ac:dyDescent="0.3">
      <c r="A3415" s="12" t="s">
        <v>5339</v>
      </c>
      <c r="B3415" s="12" t="s">
        <v>206</v>
      </c>
      <c r="C3415" s="12" t="s">
        <v>542</v>
      </c>
      <c r="D3415" s="12" t="s">
        <v>5237</v>
      </c>
      <c r="E3415" s="12" t="s">
        <v>2978</v>
      </c>
      <c r="F3415" s="12" t="s">
        <v>1861</v>
      </c>
      <c r="G3415" s="12" t="s">
        <v>1861</v>
      </c>
      <c r="H3415" s="12" t="b">
        <v>1</v>
      </c>
      <c r="I3415" s="12" t="b">
        <v>0</v>
      </c>
      <c r="J3415" s="12" t="b">
        <v>1</v>
      </c>
      <c r="K3415" s="12" t="b">
        <v>0</v>
      </c>
      <c r="L3415" s="12">
        <v>513.2827334723919</v>
      </c>
      <c r="M3415" s="12">
        <v>279.33904528255277</v>
      </c>
      <c r="N3415" s="12">
        <v>3398.4627017116791</v>
      </c>
      <c r="O3415" s="12">
        <v>1437.905391114698</v>
      </c>
      <c r="P3415" s="12">
        <v>0.61639488200914694</v>
      </c>
      <c r="Q3415" s="12">
        <v>0.85</v>
      </c>
      <c r="R3415" s="12">
        <v>0.75</v>
      </c>
      <c r="S3415" s="12">
        <v>0.85</v>
      </c>
      <c r="T3415" s="12">
        <v>0.75</v>
      </c>
      <c r="U3415" s="12">
        <v>0.8</v>
      </c>
      <c r="V3415" s="12">
        <v>279.33904528255277</v>
      </c>
      <c r="W3415" s="12">
        <v>6.8400434879193011</v>
      </c>
      <c r="X3415" s="12">
        <v>114.4445727243141</v>
      </c>
      <c r="Y3415" s="12">
        <v>1960.5573105969811</v>
      </c>
      <c r="Z3415" s="12">
        <v>2.3634814381474092</v>
      </c>
      <c r="AA3415" s="12" t="s">
        <v>1268</v>
      </c>
      <c r="AB3415" s="12"/>
    </row>
    <row r="3416" spans="1:28" x14ac:dyDescent="0.3">
      <c r="A3416" s="12" t="s">
        <v>5340</v>
      </c>
      <c r="B3416" s="12" t="s">
        <v>206</v>
      </c>
      <c r="C3416" s="12" t="s">
        <v>548</v>
      </c>
      <c r="D3416" s="12" t="s">
        <v>5335</v>
      </c>
      <c r="E3416" s="12" t="s">
        <v>2978</v>
      </c>
      <c r="F3416" s="12" t="s">
        <v>832</v>
      </c>
      <c r="G3416" s="12" t="s">
        <v>832</v>
      </c>
      <c r="H3416" s="12" t="b">
        <v>0</v>
      </c>
      <c r="I3416" s="12" t="b">
        <v>0</v>
      </c>
      <c r="J3416" s="12" t="b">
        <v>0</v>
      </c>
      <c r="K3416" s="12" t="b">
        <v>0</v>
      </c>
      <c r="L3416" s="12">
        <v>508.42913293791543</v>
      </c>
      <c r="M3416" s="12">
        <v>301.97381327088613</v>
      </c>
      <c r="N3416" s="12">
        <v>3000</v>
      </c>
      <c r="O3416" s="12">
        <v>1324.8430334173549</v>
      </c>
      <c r="P3416" s="12">
        <v>0.54663591175527038</v>
      </c>
      <c r="Q3416" s="12">
        <v>0.69622593297676594</v>
      </c>
      <c r="R3416" s="12">
        <v>0.51041288970198073</v>
      </c>
      <c r="S3416" s="12">
        <v>0.91635380021671997</v>
      </c>
      <c r="T3416" s="12">
        <v>0.46334576249573028</v>
      </c>
      <c r="U3416" s="12">
        <v>0.55155341090691201</v>
      </c>
      <c r="V3416" s="12">
        <v>301.97381327088613</v>
      </c>
      <c r="W3416" s="12"/>
      <c r="X3416" s="12"/>
      <c r="Y3416" s="12">
        <v>1675.1569665826451</v>
      </c>
      <c r="Z3416" s="12">
        <v>2.2644191985987021</v>
      </c>
      <c r="AA3416" s="12"/>
      <c r="AB3416" s="12"/>
    </row>
    <row r="3417" spans="1:28" x14ac:dyDescent="0.3">
      <c r="A3417" s="12" t="s">
        <v>5341</v>
      </c>
      <c r="B3417" s="12" t="s">
        <v>206</v>
      </c>
      <c r="C3417" s="12" t="s">
        <v>542</v>
      </c>
      <c r="D3417" s="12" t="s">
        <v>5237</v>
      </c>
      <c r="E3417" s="12" t="s">
        <v>2978</v>
      </c>
      <c r="F3417" s="12" t="s">
        <v>1861</v>
      </c>
      <c r="G3417" s="12" t="s">
        <v>1861</v>
      </c>
      <c r="H3417" s="12" t="b">
        <v>1</v>
      </c>
      <c r="I3417" s="12" t="b">
        <v>0</v>
      </c>
      <c r="J3417" s="12" t="b">
        <v>1</v>
      </c>
      <c r="K3417" s="12" t="b">
        <v>0</v>
      </c>
      <c r="L3417" s="12">
        <v>502.57576945133161</v>
      </c>
      <c r="M3417" s="12">
        <v>289.08597728721662</v>
      </c>
      <c r="N3417" s="12">
        <v>3907.5787722691248</v>
      </c>
      <c r="O3417" s="12">
        <v>854.36652204131872</v>
      </c>
      <c r="P3417" s="12">
        <v>0.7879390399783659</v>
      </c>
      <c r="Q3417" s="12">
        <v>0.85</v>
      </c>
      <c r="R3417" s="12">
        <v>0.75</v>
      </c>
      <c r="S3417" s="12">
        <v>0.85</v>
      </c>
      <c r="T3417" s="12">
        <v>0.75</v>
      </c>
      <c r="U3417" s="12">
        <v>0.8</v>
      </c>
      <c r="V3417" s="12">
        <v>289.08597728721662</v>
      </c>
      <c r="W3417" s="12">
        <v>12.23523157850979</v>
      </c>
      <c r="X3417" s="12">
        <v>175.66235763718839</v>
      </c>
      <c r="Y3417" s="12">
        <v>3053.2122502278062</v>
      </c>
      <c r="Z3417" s="12">
        <v>4.5736562370595184</v>
      </c>
      <c r="AA3417" s="12" t="s">
        <v>1268</v>
      </c>
      <c r="AB3417" s="12"/>
    </row>
    <row r="3418" spans="1:28" x14ac:dyDescent="0.3">
      <c r="A3418" s="12" t="s">
        <v>5342</v>
      </c>
      <c r="B3418" s="12" t="s">
        <v>206</v>
      </c>
      <c r="C3418" s="12" t="s">
        <v>548</v>
      </c>
      <c r="D3418" s="12" t="s">
        <v>5335</v>
      </c>
      <c r="E3418" s="12" t="s">
        <v>2978</v>
      </c>
      <c r="F3418" s="12" t="s">
        <v>1862</v>
      </c>
      <c r="G3418" s="12" t="s">
        <v>1862</v>
      </c>
      <c r="H3418" s="12" t="b">
        <v>1</v>
      </c>
      <c r="I3418" s="12" t="b">
        <v>0</v>
      </c>
      <c r="J3418" s="12" t="b">
        <v>1</v>
      </c>
      <c r="K3418" s="12" t="b">
        <v>0</v>
      </c>
      <c r="L3418" s="12">
        <v>467.3929355047112</v>
      </c>
      <c r="M3418" s="12">
        <v>293.95420055533577</v>
      </c>
      <c r="N3418" s="12">
        <v>3000</v>
      </c>
      <c r="O3418" s="12">
        <v>1835.731613707424</v>
      </c>
      <c r="P3418" s="12">
        <v>0.7435008918598891</v>
      </c>
      <c r="Q3418" s="12">
        <v>0.51837698221401407</v>
      </c>
      <c r="R3418" s="12">
        <v>0.40063801387728609</v>
      </c>
      <c r="S3418" s="12">
        <v>0.68762865783835525</v>
      </c>
      <c r="T3418" s="12">
        <v>0.76941976401333267</v>
      </c>
      <c r="U3418" s="12">
        <v>0.54149799714974489</v>
      </c>
      <c r="V3418" s="12">
        <v>293.95420055533577</v>
      </c>
      <c r="W3418" s="12">
        <v>-4.4783409217695898</v>
      </c>
      <c r="X3418" s="12">
        <v>-36.688123040559503</v>
      </c>
      <c r="Y3418" s="12">
        <v>1164.268386292576</v>
      </c>
      <c r="Z3418" s="12">
        <v>1.6342258190679799</v>
      </c>
      <c r="AA3418" s="12" t="s">
        <v>2513</v>
      </c>
      <c r="AB3418" s="12"/>
    </row>
    <row r="3419" spans="1:28" x14ac:dyDescent="0.3">
      <c r="A3419" s="12" t="s">
        <v>5343</v>
      </c>
      <c r="B3419" s="12" t="s">
        <v>206</v>
      </c>
      <c r="C3419" s="12" t="s">
        <v>548</v>
      </c>
      <c r="D3419" s="12" t="s">
        <v>5335</v>
      </c>
      <c r="E3419" s="12" t="s">
        <v>2978</v>
      </c>
      <c r="F3419" s="12" t="s">
        <v>1861</v>
      </c>
      <c r="G3419" s="12" t="s">
        <v>1861</v>
      </c>
      <c r="H3419" s="12" t="b">
        <v>1</v>
      </c>
      <c r="I3419" s="12" t="b">
        <v>0</v>
      </c>
      <c r="J3419" s="12" t="b">
        <v>0</v>
      </c>
      <c r="K3419" s="12" t="b">
        <v>0</v>
      </c>
      <c r="L3419" s="12">
        <v>491.09765876797547</v>
      </c>
      <c r="M3419" s="12">
        <v>282.96156667987009</v>
      </c>
      <c r="N3419" s="12">
        <v>3000</v>
      </c>
      <c r="O3419" s="12">
        <v>1682.6023503158499</v>
      </c>
      <c r="P3419" s="12">
        <v>0.73492632741042541</v>
      </c>
      <c r="Q3419" s="12">
        <v>0.6707557177548864</v>
      </c>
      <c r="R3419" s="12">
        <v>0.77161200649271411</v>
      </c>
      <c r="S3419" s="12">
        <v>0.58853615045549845</v>
      </c>
      <c r="T3419" s="12">
        <v>0.48989042071446781</v>
      </c>
      <c r="U3419" s="12">
        <v>0.74217526236044939</v>
      </c>
      <c r="V3419" s="12">
        <v>282.96156667987009</v>
      </c>
      <c r="W3419" s="12">
        <v>3.8182436307202101</v>
      </c>
      <c r="X3419" s="12">
        <v>39.54178004908141</v>
      </c>
      <c r="Y3419" s="12">
        <v>1317.3976496841501</v>
      </c>
      <c r="Z3419" s="12">
        <v>1.782952460179825</v>
      </c>
      <c r="AA3419" s="12" t="s">
        <v>1268</v>
      </c>
      <c r="AB3419" s="12"/>
    </row>
    <row r="3420" spans="1:28" x14ac:dyDescent="0.3">
      <c r="A3420" s="12" t="s">
        <v>5344</v>
      </c>
      <c r="B3420" s="12" t="s">
        <v>206</v>
      </c>
      <c r="C3420" s="12" t="s">
        <v>548</v>
      </c>
      <c r="D3420" s="12" t="s">
        <v>5335</v>
      </c>
      <c r="E3420" s="12" t="s">
        <v>2978</v>
      </c>
      <c r="F3420" s="12" t="s">
        <v>32</v>
      </c>
      <c r="G3420" s="12" t="s">
        <v>32</v>
      </c>
      <c r="H3420" s="12" t="b">
        <v>1</v>
      </c>
      <c r="I3420" s="12" t="b">
        <v>1</v>
      </c>
      <c r="J3420" s="12" t="b">
        <v>0</v>
      </c>
      <c r="K3420" s="12" t="b">
        <v>0</v>
      </c>
      <c r="L3420" s="12">
        <v>426.55637830565121</v>
      </c>
      <c r="M3420" s="12">
        <v>281.79312242784567</v>
      </c>
      <c r="N3420" s="12">
        <v>3000</v>
      </c>
      <c r="O3420" s="12">
        <v>489.36212844153607</v>
      </c>
      <c r="P3420" s="12">
        <v>0.52175780900757596</v>
      </c>
      <c r="Q3420" s="12">
        <v>0.54651645093530477</v>
      </c>
      <c r="R3420" s="12">
        <v>0.623732760156537</v>
      </c>
      <c r="S3420" s="12">
        <v>0.78793820855074281</v>
      </c>
      <c r="T3420" s="12">
        <v>0.50953002160713301</v>
      </c>
      <c r="U3420" s="12">
        <v>0.84854998013072624</v>
      </c>
      <c r="V3420" s="12">
        <v>281.79312242784567</v>
      </c>
      <c r="W3420" s="12">
        <v>6.1111108545707102</v>
      </c>
      <c r="X3420" s="12">
        <v>42.395970969273279</v>
      </c>
      <c r="Y3420" s="12">
        <v>2510.6378715584642</v>
      </c>
      <c r="Z3420" s="12">
        <v>6.13042944200454</v>
      </c>
      <c r="AA3420" s="12"/>
      <c r="AB3420" s="12"/>
    </row>
    <row r="3421" spans="1:28" x14ac:dyDescent="0.3">
      <c r="A3421" s="12" t="s">
        <v>5345</v>
      </c>
      <c r="B3421" s="12" t="s">
        <v>206</v>
      </c>
      <c r="C3421" s="12" t="s">
        <v>548</v>
      </c>
      <c r="D3421" s="12" t="s">
        <v>5335</v>
      </c>
      <c r="E3421" s="12" t="s">
        <v>2978</v>
      </c>
      <c r="F3421" s="12" t="s">
        <v>1861</v>
      </c>
      <c r="G3421" s="12" t="s">
        <v>1861</v>
      </c>
      <c r="H3421" s="12" t="b">
        <v>1</v>
      </c>
      <c r="I3421" s="12" t="b">
        <v>0</v>
      </c>
      <c r="J3421" s="12" t="b">
        <v>0</v>
      </c>
      <c r="K3421" s="12" t="b">
        <v>0</v>
      </c>
      <c r="L3421" s="12">
        <v>396.04868378092698</v>
      </c>
      <c r="M3421" s="12">
        <v>289.30940118218848</v>
      </c>
      <c r="N3421" s="12">
        <v>3000</v>
      </c>
      <c r="O3421" s="12">
        <v>631.56037491903976</v>
      </c>
      <c r="P3421" s="12">
        <v>0.64131459593548357</v>
      </c>
      <c r="Q3421" s="12">
        <v>0.91263471861278722</v>
      </c>
      <c r="R3421" s="12">
        <v>0.87247278351540913</v>
      </c>
      <c r="S3421" s="12">
        <v>0.56720522809846985</v>
      </c>
      <c r="T3421" s="12">
        <v>0.75190103920088203</v>
      </c>
      <c r="U3421" s="12">
        <v>0.59832273556979609</v>
      </c>
      <c r="V3421" s="12">
        <v>289.30940118218848</v>
      </c>
      <c r="W3421" s="12">
        <v>10.49253552261129</v>
      </c>
      <c r="X3421" s="12">
        <v>35.67380608890015</v>
      </c>
      <c r="Y3421" s="12">
        <v>2368.43962508096</v>
      </c>
      <c r="Z3421" s="12">
        <v>4.7501396844040009</v>
      </c>
      <c r="AA3421" s="12" t="s">
        <v>1268</v>
      </c>
      <c r="AB3421" s="12"/>
    </row>
    <row r="3422" spans="1:28" x14ac:dyDescent="0.3">
      <c r="A3422" s="12" t="s">
        <v>5346</v>
      </c>
      <c r="B3422" s="12" t="s">
        <v>206</v>
      </c>
      <c r="C3422" s="12" t="s">
        <v>548</v>
      </c>
      <c r="D3422" s="12" t="s">
        <v>5335</v>
      </c>
      <c r="E3422" s="12" t="s">
        <v>2978</v>
      </c>
      <c r="F3422" s="12" t="s">
        <v>1861</v>
      </c>
      <c r="G3422" s="12" t="s">
        <v>1861</v>
      </c>
      <c r="H3422" s="12" t="b">
        <v>1</v>
      </c>
      <c r="I3422" s="12" t="b">
        <v>0</v>
      </c>
      <c r="J3422" s="12" t="b">
        <v>0</v>
      </c>
      <c r="K3422" s="12" t="b">
        <v>0</v>
      </c>
      <c r="L3422" s="12">
        <v>431.98027670257488</v>
      </c>
      <c r="M3422" s="12">
        <v>300.69735941117989</v>
      </c>
      <c r="N3422" s="12">
        <v>3000</v>
      </c>
      <c r="O3422" s="12">
        <v>769.90779266861807</v>
      </c>
      <c r="P3422" s="12">
        <v>0.65190992905222012</v>
      </c>
      <c r="Q3422" s="12">
        <v>0.90256615974713839</v>
      </c>
      <c r="R3422" s="12">
        <v>0.52710967229783356</v>
      </c>
      <c r="S3422" s="12">
        <v>0.67315627153012181</v>
      </c>
      <c r="T3422" s="12">
        <v>0.47505915961700718</v>
      </c>
      <c r="U3422" s="12">
        <v>0.89368298217622966</v>
      </c>
      <c r="V3422" s="12">
        <v>300.69735941117989</v>
      </c>
      <c r="W3422" s="12">
        <v>10.25072351379759</v>
      </c>
      <c r="X3422" s="12">
        <v>86.467132979349415</v>
      </c>
      <c r="Y3422" s="12">
        <v>2230.0922073313818</v>
      </c>
      <c r="Z3422" s="12">
        <v>3.8965705095691279</v>
      </c>
      <c r="AA3422" s="12" t="s">
        <v>1268</v>
      </c>
      <c r="AB3422" s="12"/>
    </row>
    <row r="3423" spans="1:28" x14ac:dyDescent="0.3">
      <c r="A3423" s="12" t="s">
        <v>5347</v>
      </c>
      <c r="B3423" s="12" t="s">
        <v>206</v>
      </c>
      <c r="C3423" s="12" t="s">
        <v>548</v>
      </c>
      <c r="D3423" s="12" t="s">
        <v>5335</v>
      </c>
      <c r="E3423" s="12" t="s">
        <v>2978</v>
      </c>
      <c r="F3423" s="12" t="s">
        <v>1862</v>
      </c>
      <c r="G3423" s="12" t="s">
        <v>1862</v>
      </c>
      <c r="H3423" s="12" t="b">
        <v>1</v>
      </c>
      <c r="I3423" s="12" t="b">
        <v>0</v>
      </c>
      <c r="J3423" s="12" t="b">
        <v>0</v>
      </c>
      <c r="K3423" s="12" t="b">
        <v>0</v>
      </c>
      <c r="L3423" s="12">
        <v>413.89313210858109</v>
      </c>
      <c r="M3423" s="12">
        <v>295.50427122769901</v>
      </c>
      <c r="N3423" s="12">
        <v>3000</v>
      </c>
      <c r="O3423" s="12">
        <v>699.4973435513092</v>
      </c>
      <c r="P3423" s="12">
        <v>0.50393888420565791</v>
      </c>
      <c r="Q3423" s="12">
        <v>0.54227195793251426</v>
      </c>
      <c r="R3423" s="12">
        <v>0.40950196336712791</v>
      </c>
      <c r="S3423" s="12">
        <v>0.80528248595888718</v>
      </c>
      <c r="T3423" s="12">
        <v>0.72516798090820089</v>
      </c>
      <c r="U3423" s="12">
        <v>0.45826377160025311</v>
      </c>
      <c r="V3423" s="12">
        <v>295.50427122769901</v>
      </c>
      <c r="W3423" s="12">
        <v>-7.4863112616746701</v>
      </c>
      <c r="X3423" s="12">
        <v>-22.88480545022702</v>
      </c>
      <c r="Y3423" s="12">
        <v>2300.5026564486911</v>
      </c>
      <c r="Z3423" s="12">
        <v>4.2887939856485611</v>
      </c>
      <c r="AA3423" s="12" t="s">
        <v>2513</v>
      </c>
      <c r="AB3423" s="12"/>
    </row>
    <row r="3424" spans="1:28" x14ac:dyDescent="0.3">
      <c r="A3424" s="12" t="s">
        <v>5348</v>
      </c>
      <c r="B3424" s="12" t="s">
        <v>206</v>
      </c>
      <c r="C3424" s="12" t="s">
        <v>548</v>
      </c>
      <c r="D3424" s="12" t="s">
        <v>5335</v>
      </c>
      <c r="E3424" s="12" t="s">
        <v>2978</v>
      </c>
      <c r="F3424" s="12" t="s">
        <v>1861</v>
      </c>
      <c r="G3424" s="12" t="s">
        <v>1861</v>
      </c>
      <c r="H3424" s="12" t="b">
        <v>1</v>
      </c>
      <c r="I3424" s="12" t="b">
        <v>0</v>
      </c>
      <c r="J3424" s="12" t="b">
        <v>1</v>
      </c>
      <c r="K3424" s="12" t="b">
        <v>0</v>
      </c>
      <c r="L3424" s="12">
        <v>449.89673108785991</v>
      </c>
      <c r="M3424" s="12">
        <v>299.29390819211392</v>
      </c>
      <c r="N3424" s="12">
        <v>3000</v>
      </c>
      <c r="O3424" s="12">
        <v>853.83073497845578</v>
      </c>
      <c r="P3424" s="12">
        <v>0.72455997231511304</v>
      </c>
      <c r="Q3424" s="12">
        <v>0.79301847547652105</v>
      </c>
      <c r="R3424" s="12">
        <v>0.93039886221610124</v>
      </c>
      <c r="S3424" s="12">
        <v>0.88066008376023852</v>
      </c>
      <c r="T3424" s="12">
        <v>0.72377095924647716</v>
      </c>
      <c r="U3424" s="12">
        <v>0.79740333224543747</v>
      </c>
      <c r="V3424" s="12">
        <v>299.29390819211392</v>
      </c>
      <c r="W3424" s="12">
        <v>9.0634025446745099</v>
      </c>
      <c r="X3424" s="12">
        <v>127.3349545337489</v>
      </c>
      <c r="Y3424" s="12">
        <v>2146.1692650215441</v>
      </c>
      <c r="Z3424" s="12">
        <v>3.5135769621547972</v>
      </c>
      <c r="AA3424" s="12" t="s">
        <v>1268</v>
      </c>
      <c r="AB3424" s="12"/>
    </row>
    <row r="3425" spans="1:28" x14ac:dyDescent="0.3">
      <c r="A3425" s="12" t="s">
        <v>5349</v>
      </c>
      <c r="B3425" s="12" t="s">
        <v>206</v>
      </c>
      <c r="C3425" s="12" t="s">
        <v>548</v>
      </c>
      <c r="D3425" s="12" t="s">
        <v>5335</v>
      </c>
      <c r="E3425" s="12" t="s">
        <v>2978</v>
      </c>
      <c r="F3425" s="12" t="s">
        <v>1861</v>
      </c>
      <c r="G3425" s="12" t="s">
        <v>1861</v>
      </c>
      <c r="H3425" s="12" t="b">
        <v>1</v>
      </c>
      <c r="I3425" s="12" t="b">
        <v>0</v>
      </c>
      <c r="J3425" s="12" t="b">
        <v>1</v>
      </c>
      <c r="K3425" s="12" t="b">
        <v>0</v>
      </c>
      <c r="L3425" s="12">
        <v>506.2984890548546</v>
      </c>
      <c r="M3425" s="12">
        <v>290.65414152841748</v>
      </c>
      <c r="N3425" s="12">
        <v>3000</v>
      </c>
      <c r="O3425" s="12">
        <v>331.61076440652658</v>
      </c>
      <c r="P3425" s="12">
        <v>0.60077709915916067</v>
      </c>
      <c r="Q3425" s="12">
        <v>0.67953002857530742</v>
      </c>
      <c r="R3425" s="12">
        <v>0.89400463628753535</v>
      </c>
      <c r="S3425" s="12">
        <v>0.40999772918345467</v>
      </c>
      <c r="T3425" s="12">
        <v>0.54843210225989736</v>
      </c>
      <c r="U3425" s="12">
        <v>0.67360139030785948</v>
      </c>
      <c r="V3425" s="12">
        <v>290.65414152841748</v>
      </c>
      <c r="W3425" s="12">
        <v>7.3821341330294592</v>
      </c>
      <c r="X3425" s="12">
        <v>53.628700620130843</v>
      </c>
      <c r="Y3425" s="12">
        <v>2668.389235593474</v>
      </c>
      <c r="Z3425" s="12">
        <v>9.0467509562574246</v>
      </c>
      <c r="AA3425" s="12" t="s">
        <v>1268</v>
      </c>
      <c r="AB3425" s="12"/>
    </row>
    <row r="3426" spans="1:28" x14ac:dyDescent="0.3">
      <c r="A3426" s="12" t="s">
        <v>5350</v>
      </c>
      <c r="B3426" s="12" t="s">
        <v>206</v>
      </c>
      <c r="C3426" s="12" t="s">
        <v>548</v>
      </c>
      <c r="D3426" s="12" t="s">
        <v>5335</v>
      </c>
      <c r="E3426" s="12" t="s">
        <v>2978</v>
      </c>
      <c r="F3426" s="12" t="s">
        <v>32</v>
      </c>
      <c r="G3426" s="12" t="s">
        <v>32</v>
      </c>
      <c r="H3426" s="12" t="b">
        <v>1</v>
      </c>
      <c r="I3426" s="12" t="b">
        <v>1</v>
      </c>
      <c r="J3426" s="12" t="b">
        <v>0</v>
      </c>
      <c r="K3426" s="12" t="b">
        <v>0</v>
      </c>
      <c r="L3426" s="12">
        <v>412.23894832347457</v>
      </c>
      <c r="M3426" s="12">
        <v>284.21139997056639</v>
      </c>
      <c r="N3426" s="12">
        <v>3000</v>
      </c>
      <c r="O3426" s="12">
        <v>1976.343340407803</v>
      </c>
      <c r="P3426" s="12">
        <v>0.57481003475995107</v>
      </c>
      <c r="Q3426" s="12">
        <v>0.74738708656715935</v>
      </c>
      <c r="R3426" s="12">
        <v>0.75942463463542165</v>
      </c>
      <c r="S3426" s="12">
        <v>0.41955512045124849</v>
      </c>
      <c r="T3426" s="12">
        <v>0.73718253767380326</v>
      </c>
      <c r="U3426" s="12">
        <v>0.55618842275369018</v>
      </c>
      <c r="V3426" s="12">
        <v>284.21139997056639</v>
      </c>
      <c r="W3426" s="12">
        <v>2.1919191690347999</v>
      </c>
      <c r="X3426" s="12">
        <v>6.1854833285139197</v>
      </c>
      <c r="Y3426" s="12">
        <v>1023.656659592197</v>
      </c>
      <c r="Z3426" s="12">
        <v>1.5179548708277439</v>
      </c>
      <c r="AA3426" s="12"/>
      <c r="AB3426" s="12"/>
    </row>
    <row r="3427" spans="1:28" x14ac:dyDescent="0.3">
      <c r="A3427" s="12" t="s">
        <v>5351</v>
      </c>
      <c r="B3427" s="12" t="s">
        <v>206</v>
      </c>
      <c r="C3427" s="12" t="s">
        <v>548</v>
      </c>
      <c r="D3427" s="12" t="s">
        <v>5335</v>
      </c>
      <c r="E3427" s="12" t="s">
        <v>2978</v>
      </c>
      <c r="F3427" s="12" t="s">
        <v>1861</v>
      </c>
      <c r="G3427" s="12" t="s">
        <v>1861</v>
      </c>
      <c r="H3427" s="12" t="b">
        <v>1</v>
      </c>
      <c r="I3427" s="12" t="b">
        <v>0</v>
      </c>
      <c r="J3427" s="12" t="b">
        <v>1</v>
      </c>
      <c r="K3427" s="12" t="b">
        <v>0</v>
      </c>
      <c r="L3427" s="12">
        <v>495.08769404623263</v>
      </c>
      <c r="M3427" s="12">
        <v>291.25065513531189</v>
      </c>
      <c r="N3427" s="12">
        <v>3000</v>
      </c>
      <c r="O3427" s="12">
        <v>1717.216386859179</v>
      </c>
      <c r="P3427" s="12">
        <v>0.57297368191811726</v>
      </c>
      <c r="Q3427" s="12">
        <v>0.858253177312571</v>
      </c>
      <c r="R3427" s="12">
        <v>0.82378821214813813</v>
      </c>
      <c r="S3427" s="12">
        <v>0.58619724526681294</v>
      </c>
      <c r="T3427" s="12">
        <v>0.70197919528009645</v>
      </c>
      <c r="U3427" s="12">
        <v>0.47734417181091793</v>
      </c>
      <c r="V3427" s="12">
        <v>291.25065513531189</v>
      </c>
      <c r="W3427" s="12">
        <v>3.2280307697057302</v>
      </c>
      <c r="X3427" s="12">
        <v>26.569747578885121</v>
      </c>
      <c r="Y3427" s="12">
        <v>1282.783613140821</v>
      </c>
      <c r="Z3427" s="12">
        <v>1.747013377555205</v>
      </c>
      <c r="AA3427" s="12" t="s">
        <v>1268</v>
      </c>
      <c r="AB3427" s="12"/>
    </row>
    <row r="3428" spans="1:28" x14ac:dyDescent="0.3">
      <c r="A3428" s="12" t="s">
        <v>5352</v>
      </c>
      <c r="B3428" s="12" t="s">
        <v>206</v>
      </c>
      <c r="C3428" s="12" t="s">
        <v>548</v>
      </c>
      <c r="D3428" s="12" t="s">
        <v>5335</v>
      </c>
      <c r="E3428" s="12" t="s">
        <v>2978</v>
      </c>
      <c r="F3428" s="12" t="s">
        <v>1861</v>
      </c>
      <c r="G3428" s="12" t="s">
        <v>1861</v>
      </c>
      <c r="H3428" s="12" t="b">
        <v>1</v>
      </c>
      <c r="I3428" s="12" t="b">
        <v>0</v>
      </c>
      <c r="J3428" s="12" t="b">
        <v>0</v>
      </c>
      <c r="K3428" s="12" t="b">
        <v>0</v>
      </c>
      <c r="L3428" s="12">
        <v>451.04498866630922</v>
      </c>
      <c r="M3428" s="12">
        <v>283.3082358966559</v>
      </c>
      <c r="N3428" s="12">
        <v>3000</v>
      </c>
      <c r="O3428" s="12">
        <v>350.22836707093433</v>
      </c>
      <c r="P3428" s="12">
        <v>0.54228120708580407</v>
      </c>
      <c r="Q3428" s="12">
        <v>0.5846430737440802</v>
      </c>
      <c r="R3428" s="12">
        <v>0.6826498268247948</v>
      </c>
      <c r="S3428" s="12">
        <v>0.47664179683766711</v>
      </c>
      <c r="T3428" s="12">
        <v>0.53121601716615896</v>
      </c>
      <c r="U3428" s="12">
        <v>0.74740008450256568</v>
      </c>
      <c r="V3428" s="12">
        <v>283.3082358966559</v>
      </c>
      <c r="W3428" s="12">
        <v>7.5721524525219897</v>
      </c>
      <c r="X3428" s="12">
        <v>49.349560896397733</v>
      </c>
      <c r="Y3428" s="12">
        <v>2649.7716329290661</v>
      </c>
      <c r="Z3428" s="12">
        <v>8.5658395551734063</v>
      </c>
      <c r="AA3428" s="12" t="s">
        <v>1268</v>
      </c>
      <c r="AB3428" s="12"/>
    </row>
    <row r="3429" spans="1:28" x14ac:dyDescent="0.3">
      <c r="A3429" s="12" t="s">
        <v>5353</v>
      </c>
      <c r="B3429" s="12" t="s">
        <v>206</v>
      </c>
      <c r="C3429" s="12" t="s">
        <v>548</v>
      </c>
      <c r="D3429" s="12" t="s">
        <v>5335</v>
      </c>
      <c r="E3429" s="12" t="s">
        <v>2978</v>
      </c>
      <c r="F3429" s="12" t="s">
        <v>1862</v>
      </c>
      <c r="G3429" s="12" t="s">
        <v>1862</v>
      </c>
      <c r="H3429" s="12" t="b">
        <v>1</v>
      </c>
      <c r="I3429" s="12" t="b">
        <v>0</v>
      </c>
      <c r="J3429" s="12" t="b">
        <v>1</v>
      </c>
      <c r="K3429" s="12" t="b">
        <v>0</v>
      </c>
      <c r="L3429" s="12">
        <v>480.18086333290398</v>
      </c>
      <c r="M3429" s="12">
        <v>287.44228483409881</v>
      </c>
      <c r="N3429" s="12">
        <v>3000</v>
      </c>
      <c r="O3429" s="12">
        <v>886.37742356643457</v>
      </c>
      <c r="P3429" s="12">
        <v>0.52540428014610141</v>
      </c>
      <c r="Q3429" s="12">
        <v>0.42970186284784218</v>
      </c>
      <c r="R3429" s="12">
        <v>0.440477749565864</v>
      </c>
      <c r="S3429" s="12">
        <v>0.74453442781990631</v>
      </c>
      <c r="T3429" s="12">
        <v>0.70738750488324764</v>
      </c>
      <c r="U3429" s="12">
        <v>0.50639103714905997</v>
      </c>
      <c r="V3429" s="12">
        <v>287.44228483409881</v>
      </c>
      <c r="W3429" s="12">
        <v>-11.8022648785933</v>
      </c>
      <c r="X3429" s="12">
        <v>-105.805453607</v>
      </c>
      <c r="Y3429" s="12">
        <v>2113.622576433565</v>
      </c>
      <c r="Z3429" s="12">
        <v>3.3845627384429289</v>
      </c>
      <c r="AA3429" s="12" t="s">
        <v>2513</v>
      </c>
      <c r="AB3429" s="12"/>
    </row>
    <row r="3430" spans="1:28" x14ac:dyDescent="0.3">
      <c r="A3430" s="12" t="s">
        <v>5354</v>
      </c>
      <c r="B3430" s="12" t="s">
        <v>206</v>
      </c>
      <c r="C3430" s="12" t="s">
        <v>548</v>
      </c>
      <c r="D3430" s="12" t="s">
        <v>5335</v>
      </c>
      <c r="E3430" s="12" t="s">
        <v>2978</v>
      </c>
      <c r="F3430" s="12" t="s">
        <v>1861</v>
      </c>
      <c r="G3430" s="12" t="s">
        <v>1861</v>
      </c>
      <c r="H3430" s="12" t="b">
        <v>1</v>
      </c>
      <c r="I3430" s="12" t="b">
        <v>0</v>
      </c>
      <c r="J3430" s="12" t="b">
        <v>0</v>
      </c>
      <c r="K3430" s="12" t="b">
        <v>0</v>
      </c>
      <c r="L3430" s="12">
        <v>398.27134190694892</v>
      </c>
      <c r="M3430" s="12">
        <v>296.34039640292241</v>
      </c>
      <c r="N3430" s="12">
        <v>3000</v>
      </c>
      <c r="O3430" s="12">
        <v>1047.416439501432</v>
      </c>
      <c r="P3430" s="12">
        <v>0.70623339714417976</v>
      </c>
      <c r="Q3430" s="12">
        <v>0.84467508139530834</v>
      </c>
      <c r="R3430" s="12">
        <v>0.75501920257542332</v>
      </c>
      <c r="S3430" s="12">
        <v>0.56166735269979962</v>
      </c>
      <c r="T3430" s="12">
        <v>0.79859994866182049</v>
      </c>
      <c r="U3430" s="12">
        <v>0.69211143465491864</v>
      </c>
      <c r="V3430" s="12">
        <v>296.34039640292241</v>
      </c>
      <c r="W3430" s="12">
        <v>8.1036017525806496</v>
      </c>
      <c r="X3430" s="12">
        <v>35.160630481640133</v>
      </c>
      <c r="Y3430" s="12">
        <v>1952.583560498568</v>
      </c>
      <c r="Z3430" s="12">
        <v>2.8641902941947261</v>
      </c>
      <c r="AA3430" s="12" t="s">
        <v>1268</v>
      </c>
      <c r="AB3430" s="12"/>
    </row>
    <row r="3431" spans="1:28" x14ac:dyDescent="0.3">
      <c r="A3431" s="12" t="s">
        <v>5355</v>
      </c>
      <c r="B3431" s="12" t="s">
        <v>206</v>
      </c>
      <c r="C3431" s="12" t="s">
        <v>548</v>
      </c>
      <c r="D3431" s="12" t="s">
        <v>5335</v>
      </c>
      <c r="E3431" s="12" t="s">
        <v>2978</v>
      </c>
      <c r="F3431" s="12" t="s">
        <v>832</v>
      </c>
      <c r="G3431" s="12" t="s">
        <v>832</v>
      </c>
      <c r="H3431" s="12" t="b">
        <v>0</v>
      </c>
      <c r="I3431" s="12" t="b">
        <v>0</v>
      </c>
      <c r="J3431" s="12" t="b">
        <v>0</v>
      </c>
      <c r="K3431" s="12" t="b">
        <v>0</v>
      </c>
      <c r="L3431" s="12">
        <v>515.72655332192699</v>
      </c>
      <c r="M3431" s="12">
        <v>300.78757112990883</v>
      </c>
      <c r="N3431" s="12">
        <v>3000</v>
      </c>
      <c r="O3431" s="12">
        <v>681.58748737375572</v>
      </c>
      <c r="P3431" s="12">
        <v>0.83915185841925011</v>
      </c>
      <c r="Q3431" s="12">
        <v>0.64253872141153356</v>
      </c>
      <c r="R3431" s="12">
        <v>0.7438543313614896</v>
      </c>
      <c r="S3431" s="12">
        <v>0.89684496652110313</v>
      </c>
      <c r="T3431" s="12">
        <v>0.48315818481819978</v>
      </c>
      <c r="U3431" s="12">
        <v>0.72135626800976127</v>
      </c>
      <c r="V3431" s="12">
        <v>300.78757112990883</v>
      </c>
      <c r="W3431" s="12"/>
      <c r="X3431" s="12"/>
      <c r="Y3431" s="12">
        <v>2318.4125126262438</v>
      </c>
      <c r="Z3431" s="12">
        <v>4.401489252039215</v>
      </c>
      <c r="AA3431" s="12"/>
      <c r="AB3431" s="12"/>
    </row>
    <row r="3432" spans="1:28" x14ac:dyDescent="0.3">
      <c r="A3432" s="12" t="s">
        <v>5356</v>
      </c>
      <c r="B3432" s="12" t="s">
        <v>206</v>
      </c>
      <c r="C3432" s="12" t="s">
        <v>548</v>
      </c>
      <c r="D3432" s="12" t="s">
        <v>5335</v>
      </c>
      <c r="E3432" s="12" t="s">
        <v>2978</v>
      </c>
      <c r="F3432" s="12" t="s">
        <v>832</v>
      </c>
      <c r="G3432" s="12" t="s">
        <v>832</v>
      </c>
      <c r="H3432" s="12" t="b">
        <v>0</v>
      </c>
      <c r="I3432" s="12" t="b">
        <v>0</v>
      </c>
      <c r="J3432" s="12" t="b">
        <v>0</v>
      </c>
      <c r="K3432" s="12" t="b">
        <v>0</v>
      </c>
      <c r="L3432" s="12">
        <v>493.16042735911918</v>
      </c>
      <c r="M3432" s="12">
        <v>279.08382260933081</v>
      </c>
      <c r="N3432" s="12">
        <v>3000</v>
      </c>
      <c r="O3432" s="12">
        <v>1317.2251126364811</v>
      </c>
      <c r="P3432" s="12">
        <v>0.7905445089334795</v>
      </c>
      <c r="Q3432" s="12">
        <v>0.7055464149812547</v>
      </c>
      <c r="R3432" s="12">
        <v>0.81335320792079302</v>
      </c>
      <c r="S3432" s="12">
        <v>0.93849452299279024</v>
      </c>
      <c r="T3432" s="12">
        <v>0.8707030085563876</v>
      </c>
      <c r="U3432" s="12">
        <v>0.54693123289454348</v>
      </c>
      <c r="V3432" s="12">
        <v>279.08382260933081</v>
      </c>
      <c r="W3432" s="12"/>
      <c r="X3432" s="12"/>
      <c r="Y3432" s="12">
        <v>1682.7748873635189</v>
      </c>
      <c r="Z3432" s="12">
        <v>2.2775150361318079</v>
      </c>
      <c r="AA3432" s="12"/>
      <c r="AB3432" s="12"/>
    </row>
    <row r="3433" spans="1:28" x14ac:dyDescent="0.3">
      <c r="A3433" s="12" t="s">
        <v>5357</v>
      </c>
      <c r="B3433" s="12" t="s">
        <v>206</v>
      </c>
      <c r="C3433" s="12" t="s">
        <v>548</v>
      </c>
      <c r="D3433" s="12" t="s">
        <v>5335</v>
      </c>
      <c r="E3433" s="12" t="s">
        <v>2978</v>
      </c>
      <c r="F3433" s="12" t="s">
        <v>1861</v>
      </c>
      <c r="G3433" s="12" t="s">
        <v>1861</v>
      </c>
      <c r="H3433" s="12" t="b">
        <v>1</v>
      </c>
      <c r="I3433" s="12" t="b">
        <v>0</v>
      </c>
      <c r="J3433" s="12" t="b">
        <v>0</v>
      </c>
      <c r="K3433" s="12" t="b">
        <v>0</v>
      </c>
      <c r="L3433" s="12">
        <v>384.56948699366262</v>
      </c>
      <c r="M3433" s="12">
        <v>302.82434251353641</v>
      </c>
      <c r="N3433" s="12">
        <v>3000</v>
      </c>
      <c r="O3433" s="12">
        <v>810.81648821928218</v>
      </c>
      <c r="P3433" s="12">
        <v>0.63862529050345596</v>
      </c>
      <c r="Q3433" s="12">
        <v>0.74162904584558742</v>
      </c>
      <c r="R3433" s="12">
        <v>0.94501344657916142</v>
      </c>
      <c r="S3433" s="12">
        <v>0.81955672357187159</v>
      </c>
      <c r="T3433" s="12">
        <v>0.78702627923703228</v>
      </c>
      <c r="U3433" s="12">
        <v>0.89924554644543042</v>
      </c>
      <c r="V3433" s="12">
        <v>302.82434251353641</v>
      </c>
      <c r="W3433" s="12">
        <v>7.80199203858648</v>
      </c>
      <c r="X3433" s="12">
        <v>29.764405507304581</v>
      </c>
      <c r="Y3433" s="12">
        <v>2189.1835117807182</v>
      </c>
      <c r="Z3433" s="12">
        <v>3.6999740922740849</v>
      </c>
      <c r="AA3433" s="12" t="s">
        <v>1268</v>
      </c>
      <c r="AB3433" s="12"/>
    </row>
    <row r="3434" spans="1:28" x14ac:dyDescent="0.3">
      <c r="A3434" s="12" t="s">
        <v>5358</v>
      </c>
      <c r="B3434" s="12" t="s">
        <v>206</v>
      </c>
      <c r="C3434" s="12" t="s">
        <v>548</v>
      </c>
      <c r="D3434" s="12" t="s">
        <v>5335</v>
      </c>
      <c r="E3434" s="12" t="s">
        <v>2978</v>
      </c>
      <c r="F3434" s="12" t="s">
        <v>1861</v>
      </c>
      <c r="G3434" s="12" t="s">
        <v>1861</v>
      </c>
      <c r="H3434" s="12" t="b">
        <v>1</v>
      </c>
      <c r="I3434" s="12" t="b">
        <v>0</v>
      </c>
      <c r="J3434" s="12" t="b">
        <v>1</v>
      </c>
      <c r="K3434" s="12" t="b">
        <v>0</v>
      </c>
      <c r="L3434" s="12">
        <v>476.93584115412352</v>
      </c>
      <c r="M3434" s="12">
        <v>285.59150103746799</v>
      </c>
      <c r="N3434" s="12">
        <v>3000</v>
      </c>
      <c r="O3434" s="12">
        <v>1512.759760634953</v>
      </c>
      <c r="P3434" s="12">
        <v>0.73132743337442996</v>
      </c>
      <c r="Q3434" s="12">
        <v>0.50957805823499591</v>
      </c>
      <c r="R3434" s="12">
        <v>0.77682437692911077</v>
      </c>
      <c r="S3434" s="12">
        <v>0.86094909433987765</v>
      </c>
      <c r="T3434" s="12">
        <v>0.44304560819693711</v>
      </c>
      <c r="U3434" s="12">
        <v>0.67645018005797364</v>
      </c>
      <c r="V3434" s="12">
        <v>285.59150103746799</v>
      </c>
      <c r="W3434" s="12">
        <v>1.74304826077079</v>
      </c>
      <c r="X3434" s="12">
        <v>22.044924213626409</v>
      </c>
      <c r="Y3434" s="12">
        <v>1487.240239365047</v>
      </c>
      <c r="Z3434" s="12">
        <v>1.9831304864566239</v>
      </c>
      <c r="AA3434" s="12" t="s">
        <v>1268</v>
      </c>
      <c r="AB3434" s="12"/>
    </row>
    <row r="3435" spans="1:28" x14ac:dyDescent="0.3">
      <c r="A3435" s="12" t="s">
        <v>5359</v>
      </c>
      <c r="B3435" s="12" t="s">
        <v>206</v>
      </c>
      <c r="C3435" s="12" t="s">
        <v>548</v>
      </c>
      <c r="D3435" s="12" t="s">
        <v>5335</v>
      </c>
      <c r="E3435" s="12" t="s">
        <v>2978</v>
      </c>
      <c r="F3435" s="12" t="s">
        <v>1861</v>
      </c>
      <c r="G3435" s="12" t="s">
        <v>1861</v>
      </c>
      <c r="H3435" s="12" t="b">
        <v>1</v>
      </c>
      <c r="I3435" s="12" t="b">
        <v>0</v>
      </c>
      <c r="J3435" s="12" t="b">
        <v>0</v>
      </c>
      <c r="K3435" s="12" t="b">
        <v>0</v>
      </c>
      <c r="L3435" s="12">
        <v>434.3082040064433</v>
      </c>
      <c r="M3435" s="12">
        <v>279.46576660505173</v>
      </c>
      <c r="N3435" s="12">
        <v>3000</v>
      </c>
      <c r="O3435" s="12">
        <v>619.3500639882202</v>
      </c>
      <c r="P3435" s="12">
        <v>0.82110399514138388</v>
      </c>
      <c r="Q3435" s="12">
        <v>0.94171159663548465</v>
      </c>
      <c r="R3435" s="12">
        <v>0.66279876004529314</v>
      </c>
      <c r="S3435" s="12">
        <v>0.6544558292040189</v>
      </c>
      <c r="T3435" s="12">
        <v>0.82300160924599564</v>
      </c>
      <c r="U3435" s="12">
        <v>0.48500460245320148</v>
      </c>
      <c r="V3435" s="12">
        <v>279.46576660505173</v>
      </c>
      <c r="W3435" s="12">
        <v>8.0575632790958096</v>
      </c>
      <c r="X3435" s="12">
        <v>54.427877935785887</v>
      </c>
      <c r="Y3435" s="12">
        <v>2380.64993601178</v>
      </c>
      <c r="Z3435" s="12">
        <v>4.8437873416560411</v>
      </c>
      <c r="AA3435" s="12" t="s">
        <v>1268</v>
      </c>
      <c r="AB3435" s="12"/>
    </row>
    <row r="3436" spans="1:28" x14ac:dyDescent="0.3">
      <c r="A3436" s="12" t="s">
        <v>5360</v>
      </c>
      <c r="B3436" s="12" t="s">
        <v>206</v>
      </c>
      <c r="C3436" s="12" t="s">
        <v>548</v>
      </c>
      <c r="D3436" s="12" t="s">
        <v>5335</v>
      </c>
      <c r="E3436" s="12" t="s">
        <v>2978</v>
      </c>
      <c r="F3436" s="12" t="s">
        <v>1861</v>
      </c>
      <c r="G3436" s="12" t="s">
        <v>1861</v>
      </c>
      <c r="H3436" s="12" t="b">
        <v>1</v>
      </c>
      <c r="I3436" s="12" t="b">
        <v>0</v>
      </c>
      <c r="J3436" s="12" t="b">
        <v>1</v>
      </c>
      <c r="K3436" s="12" t="b">
        <v>0</v>
      </c>
      <c r="L3436" s="12">
        <v>464.68069154939769</v>
      </c>
      <c r="M3436" s="12">
        <v>287.67597118102242</v>
      </c>
      <c r="N3436" s="12">
        <v>3000</v>
      </c>
      <c r="O3436" s="12">
        <v>443.07367968021703</v>
      </c>
      <c r="P3436" s="12">
        <v>0.78593917530968194</v>
      </c>
      <c r="Q3436" s="12">
        <v>0.8531730318565629</v>
      </c>
      <c r="R3436" s="12">
        <v>0.8777685084717769</v>
      </c>
      <c r="S3436" s="12">
        <v>0.71441582762033939</v>
      </c>
      <c r="T3436" s="12">
        <v>0.49694645159209228</v>
      </c>
      <c r="U3436" s="12">
        <v>0.63795169102016391</v>
      </c>
      <c r="V3436" s="12">
        <v>287.67597118102242</v>
      </c>
      <c r="W3436" s="12">
        <v>9.0408906033073606</v>
      </c>
      <c r="X3436" s="12">
        <v>64.344422971851344</v>
      </c>
      <c r="Y3436" s="12">
        <v>2556.9263203197829</v>
      </c>
      <c r="Z3436" s="12">
        <v>6.7708828973213064</v>
      </c>
      <c r="AA3436" s="12" t="s">
        <v>1268</v>
      </c>
      <c r="AB3436" s="12"/>
    </row>
    <row r="3437" spans="1:28" x14ac:dyDescent="0.3">
      <c r="A3437" s="12" t="s">
        <v>5361</v>
      </c>
      <c r="B3437" s="12" t="s">
        <v>206</v>
      </c>
      <c r="C3437" s="12" t="s">
        <v>548</v>
      </c>
      <c r="D3437" s="12" t="s">
        <v>5335</v>
      </c>
      <c r="E3437" s="12" t="s">
        <v>2978</v>
      </c>
      <c r="F3437" s="12" t="s">
        <v>832</v>
      </c>
      <c r="G3437" s="12" t="s">
        <v>832</v>
      </c>
      <c r="H3437" s="12" t="b">
        <v>0</v>
      </c>
      <c r="I3437" s="12" t="b">
        <v>0</v>
      </c>
      <c r="J3437" s="12" t="b">
        <v>0</v>
      </c>
      <c r="K3437" s="12" t="b">
        <v>0</v>
      </c>
      <c r="L3437" s="12">
        <v>494.53415738908859</v>
      </c>
      <c r="M3437" s="12">
        <v>279.85794889455809</v>
      </c>
      <c r="N3437" s="12">
        <v>3000</v>
      </c>
      <c r="O3437" s="12">
        <v>1400.349394132309</v>
      </c>
      <c r="P3437" s="12">
        <v>0.70039811625303106</v>
      </c>
      <c r="Q3437" s="12">
        <v>0.57975083420044127</v>
      </c>
      <c r="R3437" s="12">
        <v>0.59788011645652683</v>
      </c>
      <c r="S3437" s="12">
        <v>0.9277035119872088</v>
      </c>
      <c r="T3437" s="12">
        <v>0.91220069166822382</v>
      </c>
      <c r="U3437" s="12">
        <v>0.52359723336931496</v>
      </c>
      <c r="V3437" s="12">
        <v>279.85794889455809</v>
      </c>
      <c r="W3437" s="12"/>
      <c r="X3437" s="12"/>
      <c r="Y3437" s="12">
        <v>1599.650605867691</v>
      </c>
      <c r="Z3437" s="12">
        <v>2.1423224893519328</v>
      </c>
      <c r="AA3437" s="12"/>
      <c r="AB3437" s="12"/>
    </row>
    <row r="3438" spans="1:28" x14ac:dyDescent="0.3">
      <c r="A3438" s="12" t="s">
        <v>5362</v>
      </c>
      <c r="B3438" s="12" t="s">
        <v>206</v>
      </c>
      <c r="C3438" s="12" t="s">
        <v>548</v>
      </c>
      <c r="D3438" s="12" t="s">
        <v>5335</v>
      </c>
      <c r="E3438" s="12" t="s">
        <v>2978</v>
      </c>
      <c r="F3438" s="12" t="s">
        <v>1862</v>
      </c>
      <c r="G3438" s="12" t="s">
        <v>1862</v>
      </c>
      <c r="H3438" s="12" t="b">
        <v>1</v>
      </c>
      <c r="I3438" s="12" t="b">
        <v>0</v>
      </c>
      <c r="J3438" s="12" t="b">
        <v>0</v>
      </c>
      <c r="K3438" s="12" t="b">
        <v>0</v>
      </c>
      <c r="L3438" s="12">
        <v>387.52117473238661</v>
      </c>
      <c r="M3438" s="12">
        <v>303.24493993353059</v>
      </c>
      <c r="N3438" s="12">
        <v>3000</v>
      </c>
      <c r="O3438" s="12">
        <v>653.71020029055626</v>
      </c>
      <c r="P3438" s="12">
        <v>0.670712935498883</v>
      </c>
      <c r="Q3438" s="12">
        <v>0.43399117041232649</v>
      </c>
      <c r="R3438" s="12">
        <v>0.54547316984960859</v>
      </c>
      <c r="S3438" s="12">
        <v>0.94949544324039203</v>
      </c>
      <c r="T3438" s="12">
        <v>0.51046264625719406</v>
      </c>
      <c r="U3438" s="12">
        <v>0.51279699003076229</v>
      </c>
      <c r="V3438" s="12">
        <v>303.24493993353059</v>
      </c>
      <c r="W3438" s="12">
        <v>-25.010042274294449</v>
      </c>
      <c r="X3438" s="12">
        <v>-64.033689593709752</v>
      </c>
      <c r="Y3438" s="12">
        <v>2346.2897997094442</v>
      </c>
      <c r="Z3438" s="12">
        <v>4.5891895195555801</v>
      </c>
      <c r="AA3438" s="12" t="s">
        <v>2513</v>
      </c>
      <c r="AB3438" s="12"/>
    </row>
    <row r="3439" spans="1:28" x14ac:dyDescent="0.3">
      <c r="A3439" s="12" t="s">
        <v>5363</v>
      </c>
      <c r="B3439" s="12" t="s">
        <v>206</v>
      </c>
      <c r="C3439" s="12" t="s">
        <v>548</v>
      </c>
      <c r="D3439" s="12" t="s">
        <v>5335</v>
      </c>
      <c r="E3439" s="12" t="s">
        <v>2978</v>
      </c>
      <c r="F3439" s="12" t="s">
        <v>1861</v>
      </c>
      <c r="G3439" s="12" t="s">
        <v>1861</v>
      </c>
      <c r="H3439" s="12" t="b">
        <v>1</v>
      </c>
      <c r="I3439" s="12" t="b">
        <v>0</v>
      </c>
      <c r="J3439" s="12" t="b">
        <v>1</v>
      </c>
      <c r="K3439" s="12" t="b">
        <v>0</v>
      </c>
      <c r="L3439" s="12">
        <v>444.37100208101327</v>
      </c>
      <c r="M3439" s="12">
        <v>296.57488115203438</v>
      </c>
      <c r="N3439" s="12">
        <v>3000</v>
      </c>
      <c r="O3439" s="12">
        <v>665.72041325087912</v>
      </c>
      <c r="P3439" s="12">
        <v>0.59427637298954061</v>
      </c>
      <c r="Q3439" s="12">
        <v>0.83538554058665104</v>
      </c>
      <c r="R3439" s="12">
        <v>0.84070754023657046</v>
      </c>
      <c r="S3439" s="12">
        <v>0.69720970691543593</v>
      </c>
      <c r="T3439" s="12">
        <v>0.71625185487048804</v>
      </c>
      <c r="U3439" s="12">
        <v>0.75252697314051908</v>
      </c>
      <c r="V3439" s="12">
        <v>296.57488115203438</v>
      </c>
      <c r="W3439" s="12">
        <v>10.78728811658905</v>
      </c>
      <c r="X3439" s="12">
        <v>92.3616916673178</v>
      </c>
      <c r="Y3439" s="12">
        <v>2334.2795867491209</v>
      </c>
      <c r="Z3439" s="12">
        <v>4.5063962893224954</v>
      </c>
      <c r="AA3439" s="12" t="s">
        <v>1268</v>
      </c>
      <c r="AB3439" s="12"/>
    </row>
    <row r="3440" spans="1:28" x14ac:dyDescent="0.3">
      <c r="A3440" s="12" t="s">
        <v>5364</v>
      </c>
      <c r="B3440" s="12" t="s">
        <v>206</v>
      </c>
      <c r="C3440" s="12" t="s">
        <v>548</v>
      </c>
      <c r="D3440" s="12" t="s">
        <v>5335</v>
      </c>
      <c r="E3440" s="12" t="s">
        <v>2978</v>
      </c>
      <c r="F3440" s="12" t="s">
        <v>1861</v>
      </c>
      <c r="G3440" s="12" t="s">
        <v>1861</v>
      </c>
      <c r="H3440" s="12" t="b">
        <v>1</v>
      </c>
      <c r="I3440" s="12" t="b">
        <v>0</v>
      </c>
      <c r="J3440" s="12" t="b">
        <v>1</v>
      </c>
      <c r="K3440" s="12" t="b">
        <v>0</v>
      </c>
      <c r="L3440" s="12">
        <v>501.68881688652652</v>
      </c>
      <c r="M3440" s="12">
        <v>299.92644838613978</v>
      </c>
      <c r="N3440" s="12">
        <v>3000</v>
      </c>
      <c r="O3440" s="12">
        <v>1370.3032424427031</v>
      </c>
      <c r="P3440" s="12">
        <v>0.50041752071312873</v>
      </c>
      <c r="Q3440" s="12">
        <v>0.7559852035450878</v>
      </c>
      <c r="R3440" s="12">
        <v>0.51586627705331889</v>
      </c>
      <c r="S3440" s="12">
        <v>0.84709985945132826</v>
      </c>
      <c r="T3440" s="12">
        <v>0.57287022274674837</v>
      </c>
      <c r="U3440" s="12">
        <v>0.72869424450692888</v>
      </c>
      <c r="V3440" s="12">
        <v>299.92644838613978</v>
      </c>
      <c r="W3440" s="12">
        <v>3.9845281981321898</v>
      </c>
      <c r="X3440" s="12">
        <v>61.135162759133543</v>
      </c>
      <c r="Y3440" s="12">
        <v>1629.6967575572969</v>
      </c>
      <c r="Z3440" s="12">
        <v>2.1892964324102451</v>
      </c>
      <c r="AA3440" s="12" t="s">
        <v>1268</v>
      </c>
      <c r="AB3440" s="12"/>
    </row>
    <row r="3441" spans="1:28" x14ac:dyDescent="0.3">
      <c r="A3441" s="12" t="s">
        <v>5365</v>
      </c>
      <c r="B3441" s="12" t="s">
        <v>206</v>
      </c>
      <c r="C3441" s="12" t="s">
        <v>548</v>
      </c>
      <c r="D3441" s="12" t="s">
        <v>5335</v>
      </c>
      <c r="E3441" s="12" t="s">
        <v>2978</v>
      </c>
      <c r="F3441" s="12" t="s">
        <v>1861</v>
      </c>
      <c r="G3441" s="12" t="s">
        <v>1861</v>
      </c>
      <c r="H3441" s="12" t="b">
        <v>1</v>
      </c>
      <c r="I3441" s="12" t="b">
        <v>0</v>
      </c>
      <c r="J3441" s="12" t="b">
        <v>1</v>
      </c>
      <c r="K3441" s="12" t="b">
        <v>0</v>
      </c>
      <c r="L3441" s="12">
        <v>489.80007750901041</v>
      </c>
      <c r="M3441" s="12">
        <v>287.94429762980229</v>
      </c>
      <c r="N3441" s="12">
        <v>3000</v>
      </c>
      <c r="O3441" s="12">
        <v>1352.397765336264</v>
      </c>
      <c r="P3441" s="12">
        <v>0.67532882473343392</v>
      </c>
      <c r="Q3441" s="12">
        <v>0.72960419530567533</v>
      </c>
      <c r="R3441" s="12">
        <v>0.87984378778063466</v>
      </c>
      <c r="S3441" s="12">
        <v>0.91937894057433678</v>
      </c>
      <c r="T3441" s="12">
        <v>0.4513357887937966</v>
      </c>
      <c r="U3441" s="12">
        <v>0.62607918560272857</v>
      </c>
      <c r="V3441" s="12">
        <v>287.94429762980229</v>
      </c>
      <c r="W3441" s="12">
        <v>4.1668547065521198</v>
      </c>
      <c r="X3441" s="12">
        <v>54.389127428543077</v>
      </c>
      <c r="Y3441" s="12">
        <v>1647.602234663736</v>
      </c>
      <c r="Z3441" s="12">
        <v>2.2182822812148562</v>
      </c>
      <c r="AA3441" s="12" t="s">
        <v>1268</v>
      </c>
      <c r="AB3441" s="12"/>
    </row>
    <row r="3442" spans="1:28" x14ac:dyDescent="0.3">
      <c r="A3442" s="12" t="s">
        <v>5366</v>
      </c>
      <c r="B3442" s="12" t="s">
        <v>206</v>
      </c>
      <c r="C3442" s="12" t="s">
        <v>548</v>
      </c>
      <c r="D3442" s="12" t="s">
        <v>5335</v>
      </c>
      <c r="E3442" s="12" t="s">
        <v>2978</v>
      </c>
      <c r="F3442" s="12" t="s">
        <v>1861</v>
      </c>
      <c r="G3442" s="12" t="s">
        <v>1861</v>
      </c>
      <c r="H3442" s="12" t="b">
        <v>1</v>
      </c>
      <c r="I3442" s="12" t="b">
        <v>0</v>
      </c>
      <c r="J3442" s="12" t="b">
        <v>0</v>
      </c>
      <c r="K3442" s="12" t="b">
        <v>0</v>
      </c>
      <c r="L3442" s="12">
        <v>395.39257224014341</v>
      </c>
      <c r="M3442" s="12">
        <v>278.18000846797497</v>
      </c>
      <c r="N3442" s="12">
        <v>3000</v>
      </c>
      <c r="O3442" s="12">
        <v>1668.3688065958991</v>
      </c>
      <c r="P3442" s="12">
        <v>0.79758820213824788</v>
      </c>
      <c r="Q3442" s="12">
        <v>0.45221130126307357</v>
      </c>
      <c r="R3442" s="12">
        <v>0.79848555660016585</v>
      </c>
      <c r="S3442" s="12">
        <v>0.54954063112422924</v>
      </c>
      <c r="T3442" s="12">
        <v>0.5193302495214227</v>
      </c>
      <c r="U3442" s="12">
        <v>0.66110936667803344</v>
      </c>
      <c r="V3442" s="12">
        <v>278.18000846797497</v>
      </c>
      <c r="W3442" s="12">
        <v>2.43519128526109</v>
      </c>
      <c r="X3442" s="12">
        <v>12.895473400308701</v>
      </c>
      <c r="Y3442" s="12">
        <v>1331.6311934041009</v>
      </c>
      <c r="Z3442" s="12">
        <v>1.798163564398648</v>
      </c>
      <c r="AA3442" s="12" t="s">
        <v>1268</v>
      </c>
      <c r="AB3442" s="12"/>
    </row>
    <row r="3443" spans="1:28" x14ac:dyDescent="0.3">
      <c r="A3443" s="12" t="s">
        <v>5367</v>
      </c>
      <c r="B3443" s="12" t="s">
        <v>206</v>
      </c>
      <c r="C3443" s="12" t="s">
        <v>548</v>
      </c>
      <c r="D3443" s="12" t="s">
        <v>5335</v>
      </c>
      <c r="E3443" s="12" t="s">
        <v>2978</v>
      </c>
      <c r="F3443" s="12" t="s">
        <v>32</v>
      </c>
      <c r="G3443" s="12" t="s">
        <v>32</v>
      </c>
      <c r="H3443" s="12" t="b">
        <v>1</v>
      </c>
      <c r="I3443" s="12" t="b">
        <v>1</v>
      </c>
      <c r="J3443" s="12" t="b">
        <v>0</v>
      </c>
      <c r="K3443" s="12" t="b">
        <v>0</v>
      </c>
      <c r="L3443" s="12">
        <v>403.35802195088951</v>
      </c>
      <c r="M3443" s="12">
        <v>288.10845964485998</v>
      </c>
      <c r="N3443" s="12">
        <v>3000</v>
      </c>
      <c r="O3443" s="12">
        <v>1125.3525864817441</v>
      </c>
      <c r="P3443" s="12">
        <v>0.53860043202126084</v>
      </c>
      <c r="Q3443" s="12">
        <v>0.5952744481605291</v>
      </c>
      <c r="R3443" s="12">
        <v>0.45069093292397849</v>
      </c>
      <c r="S3443" s="12">
        <v>0.51602872263003596</v>
      </c>
      <c r="T3443" s="12">
        <v>0.65320132674293896</v>
      </c>
      <c r="U3443" s="12">
        <v>0.88284654503985005</v>
      </c>
      <c r="V3443" s="12">
        <v>288.10845964485998</v>
      </c>
      <c r="W3443" s="12">
        <v>1.0719374680977201</v>
      </c>
      <c r="X3443" s="12">
        <v>2.9969942495345769</v>
      </c>
      <c r="Y3443" s="12">
        <v>1874.6474135182559</v>
      </c>
      <c r="Z3443" s="12">
        <v>2.6658311679711661</v>
      </c>
      <c r="AA3443" s="12"/>
      <c r="AB3443" s="12"/>
    </row>
    <row r="3444" spans="1:28" x14ac:dyDescent="0.3">
      <c r="A3444" s="12" t="s">
        <v>5368</v>
      </c>
      <c r="B3444" s="12" t="s">
        <v>206</v>
      </c>
      <c r="C3444" s="12" t="s">
        <v>548</v>
      </c>
      <c r="D3444" s="12" t="s">
        <v>5335</v>
      </c>
      <c r="E3444" s="12" t="s">
        <v>2978</v>
      </c>
      <c r="F3444" s="12" t="s">
        <v>1861</v>
      </c>
      <c r="G3444" s="12" t="s">
        <v>1861</v>
      </c>
      <c r="H3444" s="12" t="b">
        <v>1</v>
      </c>
      <c r="I3444" s="12" t="b">
        <v>0</v>
      </c>
      <c r="J3444" s="12" t="b">
        <v>1</v>
      </c>
      <c r="K3444" s="12" t="b">
        <v>0</v>
      </c>
      <c r="L3444" s="12">
        <v>517.40182463843212</v>
      </c>
      <c r="M3444" s="12">
        <v>301.61288685283841</v>
      </c>
      <c r="N3444" s="12">
        <v>3000</v>
      </c>
      <c r="O3444" s="12">
        <v>1482.1494233045121</v>
      </c>
      <c r="P3444" s="12">
        <v>0.63213804531784445</v>
      </c>
      <c r="Q3444" s="12">
        <v>0.57443045682921934</v>
      </c>
      <c r="R3444" s="12">
        <v>0.94417909728951877</v>
      </c>
      <c r="S3444" s="12">
        <v>0.87709580368674744</v>
      </c>
      <c r="T3444" s="12">
        <v>0.57757888359440956</v>
      </c>
      <c r="U3444" s="12">
        <v>0.63458568366877954</v>
      </c>
      <c r="V3444" s="12">
        <v>301.61288685283841</v>
      </c>
      <c r="W3444" s="12">
        <v>2.3483122179231199</v>
      </c>
      <c r="X3444" s="12">
        <v>30.983858169393532</v>
      </c>
      <c r="Y3444" s="12">
        <v>1517.8505766954879</v>
      </c>
      <c r="Z3444" s="12">
        <v>2.024087418467821</v>
      </c>
      <c r="AA3444" s="12" t="s">
        <v>1268</v>
      </c>
      <c r="AB3444" s="12"/>
    </row>
    <row r="3445" spans="1:28" x14ac:dyDescent="0.3">
      <c r="A3445" s="12" t="s">
        <v>5369</v>
      </c>
      <c r="B3445" s="12" t="s">
        <v>206</v>
      </c>
      <c r="C3445" s="12" t="s">
        <v>548</v>
      </c>
      <c r="D3445" s="12" t="s">
        <v>5335</v>
      </c>
      <c r="E3445" s="12" t="s">
        <v>2978</v>
      </c>
      <c r="F3445" s="12" t="s">
        <v>1861</v>
      </c>
      <c r="G3445" s="12" t="s">
        <v>1861</v>
      </c>
      <c r="H3445" s="12" t="b">
        <v>1</v>
      </c>
      <c r="I3445" s="12" t="b">
        <v>0</v>
      </c>
      <c r="J3445" s="12" t="b">
        <v>0</v>
      </c>
      <c r="K3445" s="12" t="b">
        <v>0</v>
      </c>
      <c r="L3445" s="12">
        <v>419.2222620450907</v>
      </c>
      <c r="M3445" s="12">
        <v>289.8827803235136</v>
      </c>
      <c r="N3445" s="12">
        <v>3000</v>
      </c>
      <c r="O3445" s="12">
        <v>466.06143880214478</v>
      </c>
      <c r="P3445" s="12">
        <v>0.68947207212412209</v>
      </c>
      <c r="Q3445" s="12">
        <v>0.41381111353333527</v>
      </c>
      <c r="R3445" s="12">
        <v>0.93702989812635196</v>
      </c>
      <c r="S3445" s="12">
        <v>0.62587595039146238</v>
      </c>
      <c r="T3445" s="12">
        <v>0.87627860473013031</v>
      </c>
      <c r="U3445" s="12">
        <v>0.91867593572133599</v>
      </c>
      <c r="V3445" s="12">
        <v>289.8827803235136</v>
      </c>
      <c r="W3445" s="12">
        <v>6.0989229160067104</v>
      </c>
      <c r="X3445" s="12">
        <v>39.830625470558097</v>
      </c>
      <c r="Y3445" s="12">
        <v>2533.9385611978551</v>
      </c>
      <c r="Z3445" s="12">
        <v>6.4369195780506914</v>
      </c>
      <c r="AA3445" s="12" t="s">
        <v>1268</v>
      </c>
      <c r="AB3445" s="12"/>
    </row>
    <row r="3446" spans="1:28" x14ac:dyDescent="0.3">
      <c r="A3446" s="12" t="s">
        <v>5370</v>
      </c>
      <c r="B3446" s="12" t="s">
        <v>206</v>
      </c>
      <c r="C3446" s="12" t="s">
        <v>548</v>
      </c>
      <c r="D3446" s="12" t="s">
        <v>5335</v>
      </c>
      <c r="E3446" s="12" t="s">
        <v>2978</v>
      </c>
      <c r="F3446" s="12" t="s">
        <v>32</v>
      </c>
      <c r="G3446" s="12" t="s">
        <v>32</v>
      </c>
      <c r="H3446" s="12" t="b">
        <v>1</v>
      </c>
      <c r="I3446" s="12" t="b">
        <v>0</v>
      </c>
      <c r="J3446" s="12" t="b">
        <v>1</v>
      </c>
      <c r="K3446" s="12" t="b">
        <v>0</v>
      </c>
      <c r="L3446" s="12">
        <v>471.9191035778756</v>
      </c>
      <c r="M3446" s="12">
        <v>283.8661695344004</v>
      </c>
      <c r="N3446" s="12">
        <v>3000</v>
      </c>
      <c r="O3446" s="12">
        <v>1379.7646596899151</v>
      </c>
      <c r="P3446" s="12">
        <v>0.51190812202028202</v>
      </c>
      <c r="Q3446" s="12">
        <v>0.88269404734910106</v>
      </c>
      <c r="R3446" s="12">
        <v>0.52138970422649344</v>
      </c>
      <c r="S3446" s="12">
        <v>0.81105534972251569</v>
      </c>
      <c r="T3446" s="12">
        <v>0.44675179275052312</v>
      </c>
      <c r="U3446" s="12">
        <v>0.84312378065920324</v>
      </c>
      <c r="V3446" s="12">
        <v>283.8661695344004</v>
      </c>
      <c r="W3446" s="12">
        <v>5.9100059704561501</v>
      </c>
      <c r="X3446" s="12">
        <v>98.232582004566595</v>
      </c>
      <c r="Y3446" s="12">
        <v>1620.2353403100849</v>
      </c>
      <c r="Z3446" s="12">
        <v>2.174283838139623</v>
      </c>
      <c r="AA3446" s="12"/>
      <c r="AB3446" s="12"/>
    </row>
    <row r="3447" spans="1:28" x14ac:dyDescent="0.3">
      <c r="A3447" s="12" t="s">
        <v>5371</v>
      </c>
      <c r="B3447" s="12" t="s">
        <v>206</v>
      </c>
      <c r="C3447" s="12" t="s">
        <v>548</v>
      </c>
      <c r="D3447" s="12" t="s">
        <v>5335</v>
      </c>
      <c r="E3447" s="12" t="s">
        <v>2978</v>
      </c>
      <c r="F3447" s="12" t="s">
        <v>1861</v>
      </c>
      <c r="G3447" s="12" t="s">
        <v>1861</v>
      </c>
      <c r="H3447" s="12" t="b">
        <v>1</v>
      </c>
      <c r="I3447" s="12" t="b">
        <v>0</v>
      </c>
      <c r="J3447" s="12" t="b">
        <v>1</v>
      </c>
      <c r="K3447" s="12" t="b">
        <v>0</v>
      </c>
      <c r="L3447" s="12">
        <v>485.83074589573192</v>
      </c>
      <c r="M3447" s="12">
        <v>290.9555917099965</v>
      </c>
      <c r="N3447" s="12">
        <v>3000</v>
      </c>
      <c r="O3447" s="12">
        <v>1548.671522489014</v>
      </c>
      <c r="P3447" s="12">
        <v>0.58189491790259207</v>
      </c>
      <c r="Q3447" s="12">
        <v>0.61644240398707439</v>
      </c>
      <c r="R3447" s="12">
        <v>0.70034869367238817</v>
      </c>
      <c r="S3447" s="12">
        <v>0.73591140035954838</v>
      </c>
      <c r="T3447" s="12">
        <v>0.60078693938982786</v>
      </c>
      <c r="U3447" s="12">
        <v>0.57199627918346119</v>
      </c>
      <c r="V3447" s="12">
        <v>290.9555917099965</v>
      </c>
      <c r="W3447" s="12">
        <v>1.28643487109611</v>
      </c>
      <c r="X3447" s="12">
        <v>13.760324230050459</v>
      </c>
      <c r="Y3447" s="12">
        <v>1451.328477510986</v>
      </c>
      <c r="Z3447" s="12">
        <v>1.9371441628747841</v>
      </c>
      <c r="AA3447" s="12" t="s">
        <v>1268</v>
      </c>
      <c r="AB3447" s="12"/>
    </row>
    <row r="3448" spans="1:28" x14ac:dyDescent="0.3">
      <c r="A3448" s="12" t="s">
        <v>5372</v>
      </c>
      <c r="B3448" s="12" t="s">
        <v>206</v>
      </c>
      <c r="C3448" s="12" t="s">
        <v>548</v>
      </c>
      <c r="D3448" s="12" t="s">
        <v>5335</v>
      </c>
      <c r="E3448" s="12" t="s">
        <v>2978</v>
      </c>
      <c r="F3448" s="12" t="s">
        <v>1861</v>
      </c>
      <c r="G3448" s="12" t="s">
        <v>1861</v>
      </c>
      <c r="H3448" s="12" t="b">
        <v>1</v>
      </c>
      <c r="I3448" s="12" t="b">
        <v>0</v>
      </c>
      <c r="J3448" s="12" t="b">
        <v>1</v>
      </c>
      <c r="K3448" s="12" t="b">
        <v>0</v>
      </c>
      <c r="L3448" s="12">
        <v>488.94173612528982</v>
      </c>
      <c r="M3448" s="12">
        <v>298.08209927628297</v>
      </c>
      <c r="N3448" s="12">
        <v>3000</v>
      </c>
      <c r="O3448" s="12">
        <v>1143.874309299714</v>
      </c>
      <c r="P3448" s="12">
        <v>0.53554542207659761</v>
      </c>
      <c r="Q3448" s="12">
        <v>0.93745895473742735</v>
      </c>
      <c r="R3448" s="12">
        <v>0.66529163683285963</v>
      </c>
      <c r="S3448" s="12">
        <v>0.66071240936928377</v>
      </c>
      <c r="T3448" s="12">
        <v>0.65038597272250409</v>
      </c>
      <c r="U3448" s="12">
        <v>0.68475744936179339</v>
      </c>
      <c r="V3448" s="12">
        <v>298.08209927628297</v>
      </c>
      <c r="W3448" s="12">
        <v>7.199098659563739</v>
      </c>
      <c r="X3448" s="12">
        <v>83.745244054554817</v>
      </c>
      <c r="Y3448" s="12">
        <v>1856.125690700286</v>
      </c>
      <c r="Z3448" s="12">
        <v>2.622665773337121</v>
      </c>
      <c r="AA3448" s="12" t="s">
        <v>1268</v>
      </c>
      <c r="AB3448" s="12"/>
    </row>
    <row r="3449" spans="1:28" x14ac:dyDescent="0.3">
      <c r="A3449" s="12" t="s">
        <v>5373</v>
      </c>
      <c r="B3449" s="12" t="s">
        <v>206</v>
      </c>
      <c r="C3449" s="12" t="s">
        <v>548</v>
      </c>
      <c r="D3449" s="12" t="s">
        <v>5335</v>
      </c>
      <c r="E3449" s="12" t="s">
        <v>2978</v>
      </c>
      <c r="F3449" s="12" t="s">
        <v>32</v>
      </c>
      <c r="G3449" s="12" t="s">
        <v>32</v>
      </c>
      <c r="H3449" s="12" t="b">
        <v>1</v>
      </c>
      <c r="I3449" s="12" t="b">
        <v>0</v>
      </c>
      <c r="J3449" s="12" t="b">
        <v>1</v>
      </c>
      <c r="K3449" s="12" t="b">
        <v>0</v>
      </c>
      <c r="L3449" s="12">
        <v>460.8730875481204</v>
      </c>
      <c r="M3449" s="12">
        <v>298.43334215170142</v>
      </c>
      <c r="N3449" s="12">
        <v>3000</v>
      </c>
      <c r="O3449" s="12">
        <v>1463.177714606448</v>
      </c>
      <c r="P3449" s="12">
        <v>0.52850827590038829</v>
      </c>
      <c r="Q3449" s="12">
        <v>0.87836821277986077</v>
      </c>
      <c r="R3449" s="12">
        <v>0.80761351525422298</v>
      </c>
      <c r="S3449" s="12">
        <v>0.52192095067736366</v>
      </c>
      <c r="T3449" s="12">
        <v>0.58315286305471092</v>
      </c>
      <c r="U3449" s="12">
        <v>0.78899721519119093</v>
      </c>
      <c r="V3449" s="12">
        <v>298.43334215170142</v>
      </c>
      <c r="W3449" s="12">
        <v>5.5170740024461002</v>
      </c>
      <c r="X3449" s="12">
        <v>45.611449225743733</v>
      </c>
      <c r="Y3449" s="12">
        <v>1536.822285393552</v>
      </c>
      <c r="Z3449" s="12">
        <v>2.0503319385279939</v>
      </c>
      <c r="AA3449" s="12"/>
      <c r="AB3449" s="12"/>
    </row>
    <row r="3450" spans="1:28" x14ac:dyDescent="0.3">
      <c r="A3450" s="12" t="s">
        <v>5374</v>
      </c>
      <c r="B3450" s="12" t="s">
        <v>206</v>
      </c>
      <c r="C3450" s="12" t="s">
        <v>548</v>
      </c>
      <c r="D3450" s="12" t="s">
        <v>5335</v>
      </c>
      <c r="E3450" s="12" t="s">
        <v>2978</v>
      </c>
      <c r="F3450" s="12" t="s">
        <v>832</v>
      </c>
      <c r="G3450" s="12" t="s">
        <v>832</v>
      </c>
      <c r="H3450" s="12" t="b">
        <v>0</v>
      </c>
      <c r="I3450" s="12" t="b">
        <v>0</v>
      </c>
      <c r="J3450" s="12" t="b">
        <v>0</v>
      </c>
      <c r="K3450" s="12" t="b">
        <v>0</v>
      </c>
      <c r="L3450" s="12">
        <v>487.52677947340919</v>
      </c>
      <c r="M3450" s="12">
        <v>295.8898825579351</v>
      </c>
      <c r="N3450" s="12">
        <v>3000</v>
      </c>
      <c r="O3450" s="12">
        <v>1880.773939492396</v>
      </c>
      <c r="P3450" s="12">
        <v>0.82633569855194633</v>
      </c>
      <c r="Q3450" s="12">
        <v>0.41795431026621982</v>
      </c>
      <c r="R3450" s="12">
        <v>0.73321087994840672</v>
      </c>
      <c r="S3450" s="12">
        <v>0.62120785055866468</v>
      </c>
      <c r="T3450" s="12">
        <v>0.7747021775261751</v>
      </c>
      <c r="U3450" s="12">
        <v>0.77386082835826664</v>
      </c>
      <c r="V3450" s="12">
        <v>295.8898825579351</v>
      </c>
      <c r="W3450" s="12"/>
      <c r="X3450" s="12"/>
      <c r="Y3450" s="12">
        <v>1119.226060507604</v>
      </c>
      <c r="Z3450" s="12">
        <v>1.595088031052617</v>
      </c>
      <c r="AA3450" s="12"/>
      <c r="AB3450" s="12"/>
    </row>
    <row r="3451" spans="1:28" x14ac:dyDescent="0.3">
      <c r="A3451" s="12" t="s">
        <v>5375</v>
      </c>
      <c r="B3451" s="12" t="s">
        <v>206</v>
      </c>
      <c r="C3451" s="12" t="s">
        <v>548</v>
      </c>
      <c r="D3451" s="12" t="s">
        <v>5335</v>
      </c>
      <c r="E3451" s="12" t="s">
        <v>2978</v>
      </c>
      <c r="F3451" s="12" t="s">
        <v>1861</v>
      </c>
      <c r="G3451" s="12" t="s">
        <v>1861</v>
      </c>
      <c r="H3451" s="12" t="b">
        <v>1</v>
      </c>
      <c r="I3451" s="12" t="b">
        <v>0</v>
      </c>
      <c r="J3451" s="12" t="b">
        <v>0</v>
      </c>
      <c r="K3451" s="12" t="b">
        <v>0</v>
      </c>
      <c r="L3451" s="12">
        <v>386.66160149549069</v>
      </c>
      <c r="M3451" s="12">
        <v>293.54950207472842</v>
      </c>
      <c r="N3451" s="12">
        <v>3000</v>
      </c>
      <c r="O3451" s="12">
        <v>749.40406035873866</v>
      </c>
      <c r="P3451" s="12">
        <v>0.81282962155150607</v>
      </c>
      <c r="Q3451" s="12">
        <v>0.89522066324663352</v>
      </c>
      <c r="R3451" s="12">
        <v>0.83923657338896462</v>
      </c>
      <c r="S3451" s="12">
        <v>0.42610713280015272</v>
      </c>
      <c r="T3451" s="12">
        <v>0.6614333562513437</v>
      </c>
      <c r="U3451" s="12">
        <v>0.7829703339412214</v>
      </c>
      <c r="V3451" s="12">
        <v>293.54950207472842</v>
      </c>
      <c r="W3451" s="12">
        <v>10.05825160720757</v>
      </c>
      <c r="X3451" s="12">
        <v>39.998777770025647</v>
      </c>
      <c r="Y3451" s="12">
        <v>2250.5959396412609</v>
      </c>
      <c r="Z3451" s="12">
        <v>4.0031808722305353</v>
      </c>
      <c r="AA3451" s="12" t="s">
        <v>1268</v>
      </c>
      <c r="AB3451" s="12"/>
    </row>
    <row r="3452" spans="1:28" x14ac:dyDescent="0.3">
      <c r="A3452" s="12" t="s">
        <v>5376</v>
      </c>
      <c r="B3452" s="12" t="s">
        <v>206</v>
      </c>
      <c r="C3452" s="12" t="s">
        <v>548</v>
      </c>
      <c r="D3452" s="12" t="s">
        <v>5335</v>
      </c>
      <c r="E3452" s="12" t="s">
        <v>2978</v>
      </c>
      <c r="F3452" s="12" t="s">
        <v>832</v>
      </c>
      <c r="G3452" s="12" t="s">
        <v>832</v>
      </c>
      <c r="H3452" s="12" t="b">
        <v>0</v>
      </c>
      <c r="I3452" s="12" t="b">
        <v>0</v>
      </c>
      <c r="J3452" s="12" t="b">
        <v>0</v>
      </c>
      <c r="K3452" s="12" t="b">
        <v>0</v>
      </c>
      <c r="L3452" s="12">
        <v>483.59633962544791</v>
      </c>
      <c r="M3452" s="12">
        <v>298.99082193673672</v>
      </c>
      <c r="N3452" s="12">
        <v>3000</v>
      </c>
      <c r="O3452" s="12">
        <v>835.73551451338426</v>
      </c>
      <c r="P3452" s="12">
        <v>0.83971580512432686</v>
      </c>
      <c r="Q3452" s="12">
        <v>0.7751456321500747</v>
      </c>
      <c r="R3452" s="12">
        <v>0.59838910617565133</v>
      </c>
      <c r="S3452" s="12">
        <v>0.73151635315470021</v>
      </c>
      <c r="T3452" s="12">
        <v>0.67447860706585949</v>
      </c>
      <c r="U3452" s="12">
        <v>0.42075251571980821</v>
      </c>
      <c r="V3452" s="12">
        <v>298.99082193673672</v>
      </c>
      <c r="W3452" s="12"/>
      <c r="X3452" s="12"/>
      <c r="Y3452" s="12">
        <v>2164.2644854866162</v>
      </c>
      <c r="Z3452" s="12">
        <v>3.5896524054584198</v>
      </c>
      <c r="AA3452" s="12"/>
      <c r="AB3452" s="12"/>
    </row>
    <row r="3453" spans="1:28" x14ac:dyDescent="0.3">
      <c r="A3453" s="12" t="s">
        <v>5377</v>
      </c>
      <c r="B3453" s="12" t="s">
        <v>206</v>
      </c>
      <c r="C3453" s="12" t="s">
        <v>548</v>
      </c>
      <c r="D3453" s="12" t="s">
        <v>5335</v>
      </c>
      <c r="E3453" s="12" t="s">
        <v>2978</v>
      </c>
      <c r="F3453" s="12" t="s">
        <v>1861</v>
      </c>
      <c r="G3453" s="12" t="s">
        <v>1861</v>
      </c>
      <c r="H3453" s="12" t="b">
        <v>1</v>
      </c>
      <c r="I3453" s="12" t="b">
        <v>0</v>
      </c>
      <c r="J3453" s="12" t="b">
        <v>1</v>
      </c>
      <c r="K3453" s="12" t="b">
        <v>0</v>
      </c>
      <c r="L3453" s="12">
        <v>519.22544465137867</v>
      </c>
      <c r="M3453" s="12">
        <v>280.8197766285914</v>
      </c>
      <c r="N3453" s="12">
        <v>3000</v>
      </c>
      <c r="O3453" s="12">
        <v>1006.755202959311</v>
      </c>
      <c r="P3453" s="12">
        <v>0.63490867214157165</v>
      </c>
      <c r="Q3453" s="12">
        <v>0.93030123434478895</v>
      </c>
      <c r="R3453" s="12">
        <v>0.68998627955724778</v>
      </c>
      <c r="S3453" s="12">
        <v>0.60390480081265918</v>
      </c>
      <c r="T3453" s="12">
        <v>0.64108656212058646</v>
      </c>
      <c r="U3453" s="12">
        <v>0.68637370634985806</v>
      </c>
      <c r="V3453" s="12">
        <v>280.8197766285914</v>
      </c>
      <c r="W3453" s="12">
        <v>8.5569001869438601</v>
      </c>
      <c r="X3453" s="12">
        <v>94.7019377890866</v>
      </c>
      <c r="Y3453" s="12">
        <v>1993.244797040689</v>
      </c>
      <c r="Z3453" s="12">
        <v>2.979870370852455</v>
      </c>
      <c r="AA3453" s="12" t="s">
        <v>1268</v>
      </c>
      <c r="AB3453" s="12"/>
    </row>
    <row r="3454" spans="1:28" x14ac:dyDescent="0.3">
      <c r="A3454" s="12" t="s">
        <v>5378</v>
      </c>
      <c r="B3454" s="12" t="s">
        <v>206</v>
      </c>
      <c r="C3454" s="12" t="s">
        <v>548</v>
      </c>
      <c r="D3454" s="12" t="s">
        <v>5335</v>
      </c>
      <c r="E3454" s="12" t="s">
        <v>2978</v>
      </c>
      <c r="F3454" s="12" t="s">
        <v>1862</v>
      </c>
      <c r="G3454" s="12" t="s">
        <v>1862</v>
      </c>
      <c r="H3454" s="12" t="b">
        <v>1</v>
      </c>
      <c r="I3454" s="12" t="b">
        <v>0</v>
      </c>
      <c r="J3454" s="12" t="b">
        <v>0</v>
      </c>
      <c r="K3454" s="12" t="b">
        <v>0</v>
      </c>
      <c r="L3454" s="12">
        <v>392.89123395100182</v>
      </c>
      <c r="M3454" s="12">
        <v>297.04848178545831</v>
      </c>
      <c r="N3454" s="12">
        <v>3000</v>
      </c>
      <c r="O3454" s="12">
        <v>375.46744346554073</v>
      </c>
      <c r="P3454" s="12">
        <v>0.61874610459452029</v>
      </c>
      <c r="Q3454" s="12">
        <v>0.94581009849457642</v>
      </c>
      <c r="R3454" s="12">
        <v>0.86180016687147387</v>
      </c>
      <c r="S3454" s="12">
        <v>0.83461717962138271</v>
      </c>
      <c r="T3454" s="12">
        <v>0.4003605617266463</v>
      </c>
      <c r="U3454" s="12">
        <v>0.50027560679759397</v>
      </c>
      <c r="V3454" s="12">
        <v>297.04848178545831</v>
      </c>
      <c r="W3454" s="12">
        <v>-1.8447533443647099</v>
      </c>
      <c r="X3454" s="12">
        <v>-3.9684789888649021</v>
      </c>
      <c r="Y3454" s="12">
        <v>2624.5325565344592</v>
      </c>
      <c r="Z3454" s="12">
        <v>7.9900402876749848</v>
      </c>
      <c r="AA3454" s="12" t="s">
        <v>2513</v>
      </c>
      <c r="AB3454" s="12"/>
    </row>
    <row r="3455" spans="1:28" x14ac:dyDescent="0.3">
      <c r="A3455" s="12" t="s">
        <v>5379</v>
      </c>
      <c r="B3455" s="12" t="s">
        <v>206</v>
      </c>
      <c r="C3455" s="12" t="s">
        <v>548</v>
      </c>
      <c r="D3455" s="12" t="s">
        <v>5335</v>
      </c>
      <c r="E3455" s="12" t="s">
        <v>2978</v>
      </c>
      <c r="F3455" s="12" t="s">
        <v>1861</v>
      </c>
      <c r="G3455" s="12" t="s">
        <v>1861</v>
      </c>
      <c r="H3455" s="12" t="b">
        <v>1</v>
      </c>
      <c r="I3455" s="12" t="b">
        <v>0</v>
      </c>
      <c r="J3455" s="12" t="b">
        <v>0</v>
      </c>
      <c r="K3455" s="12" t="b">
        <v>0</v>
      </c>
      <c r="L3455" s="12">
        <v>415.19626599347998</v>
      </c>
      <c r="M3455" s="12">
        <v>290.2692474890564</v>
      </c>
      <c r="N3455" s="12">
        <v>3000</v>
      </c>
      <c r="O3455" s="12">
        <v>1081.508132910307</v>
      </c>
      <c r="P3455" s="12">
        <v>0.59602610675376633</v>
      </c>
      <c r="Q3455" s="12">
        <v>0.62857668670597888</v>
      </c>
      <c r="R3455" s="12">
        <v>0.86233506977698648</v>
      </c>
      <c r="S3455" s="12">
        <v>0.8240028926632772</v>
      </c>
      <c r="T3455" s="12">
        <v>0.63481095951305366</v>
      </c>
      <c r="U3455" s="12">
        <v>0.44148674906002688</v>
      </c>
      <c r="V3455" s="12">
        <v>290.2692474890564</v>
      </c>
      <c r="W3455" s="12">
        <v>1.7803972206265799</v>
      </c>
      <c r="X3455" s="12">
        <v>7.4270741157454907</v>
      </c>
      <c r="Y3455" s="12">
        <v>1918.491867089693</v>
      </c>
      <c r="Z3455" s="12">
        <v>2.773904244184541</v>
      </c>
      <c r="AA3455" s="12" t="s">
        <v>1268</v>
      </c>
      <c r="AB3455" s="12"/>
    </row>
    <row r="3456" spans="1:28" x14ac:dyDescent="0.3">
      <c r="A3456" s="12" t="s">
        <v>5380</v>
      </c>
      <c r="B3456" s="12" t="s">
        <v>206</v>
      </c>
      <c r="C3456" s="12" t="s">
        <v>548</v>
      </c>
      <c r="D3456" s="12" t="s">
        <v>5335</v>
      </c>
      <c r="E3456" s="12" t="s">
        <v>2978</v>
      </c>
      <c r="F3456" s="12" t="s">
        <v>32</v>
      </c>
      <c r="G3456" s="12" t="s">
        <v>32</v>
      </c>
      <c r="H3456" s="12" t="b">
        <v>1</v>
      </c>
      <c r="I3456" s="12" t="b">
        <v>0</v>
      </c>
      <c r="J3456" s="12" t="b">
        <v>1</v>
      </c>
      <c r="K3456" s="12" t="b">
        <v>0</v>
      </c>
      <c r="L3456" s="12">
        <v>441.97524604528701</v>
      </c>
      <c r="M3456" s="12">
        <v>281.63774967579701</v>
      </c>
      <c r="N3456" s="12">
        <v>3000</v>
      </c>
      <c r="O3456" s="12">
        <v>1258.690948473032</v>
      </c>
      <c r="P3456" s="12">
        <v>0.58794543355287898</v>
      </c>
      <c r="Q3456" s="12">
        <v>0.60161780582811408</v>
      </c>
      <c r="R3456" s="12">
        <v>0.50066123152097053</v>
      </c>
      <c r="S3456" s="12">
        <v>0.86625136558371341</v>
      </c>
      <c r="T3456" s="12">
        <v>0.42961170289751233</v>
      </c>
      <c r="U3456" s="12">
        <v>0.88768795496137254</v>
      </c>
      <c r="V3456" s="12">
        <v>281.63774967579701</v>
      </c>
      <c r="W3456" s="12">
        <v>4.0667558594645197</v>
      </c>
      <c r="X3456" s="12">
        <v>48.1365973633674</v>
      </c>
      <c r="Y3456" s="12">
        <v>1741.309051526968</v>
      </c>
      <c r="Z3456" s="12">
        <v>2.383428595907056</v>
      </c>
      <c r="AA3456" s="12"/>
      <c r="AB3456" s="12"/>
    </row>
    <row r="3457" spans="1:28" x14ac:dyDescent="0.3">
      <c r="A3457" s="12" t="s">
        <v>5381</v>
      </c>
      <c r="B3457" s="12" t="s">
        <v>206</v>
      </c>
      <c r="C3457" s="12" t="s">
        <v>548</v>
      </c>
      <c r="D3457" s="12" t="s">
        <v>5335</v>
      </c>
      <c r="E3457" s="12" t="s">
        <v>2978</v>
      </c>
      <c r="F3457" s="12" t="s">
        <v>1861</v>
      </c>
      <c r="G3457" s="12" t="s">
        <v>1861</v>
      </c>
      <c r="H3457" s="12" t="b">
        <v>1</v>
      </c>
      <c r="I3457" s="12" t="b">
        <v>0</v>
      </c>
      <c r="J3457" s="12" t="b">
        <v>0</v>
      </c>
      <c r="K3457" s="12" t="b">
        <v>0</v>
      </c>
      <c r="L3457" s="12">
        <v>504.63045055981252</v>
      </c>
      <c r="M3457" s="12">
        <v>289.3344637547915</v>
      </c>
      <c r="N3457" s="12">
        <v>3000</v>
      </c>
      <c r="O3457" s="12">
        <v>1249.730318873912</v>
      </c>
      <c r="P3457" s="12">
        <v>0.71478238127438387</v>
      </c>
      <c r="Q3457" s="12">
        <v>0.52968413084596033</v>
      </c>
      <c r="R3457" s="12">
        <v>0.62568431498985166</v>
      </c>
      <c r="S3457" s="12">
        <v>0.48297933670915222</v>
      </c>
      <c r="T3457" s="12">
        <v>0.55955643025909607</v>
      </c>
      <c r="U3457" s="12">
        <v>0.71467602029459176</v>
      </c>
      <c r="V3457" s="12">
        <v>289.3344637547915</v>
      </c>
      <c r="W3457" s="12">
        <v>3.1812658208557001</v>
      </c>
      <c r="X3457" s="12">
        <v>27.442786428793951</v>
      </c>
      <c r="Y3457" s="12">
        <v>1750.269681126088</v>
      </c>
      <c r="Z3457" s="12">
        <v>2.4005178994962648</v>
      </c>
      <c r="AA3457" s="12" t="s">
        <v>1268</v>
      </c>
      <c r="AB3457" s="12"/>
    </row>
    <row r="3458" spans="1:28" x14ac:dyDescent="0.3">
      <c r="A3458" s="12" t="s">
        <v>5382</v>
      </c>
      <c r="B3458" s="12" t="s">
        <v>206</v>
      </c>
      <c r="C3458" s="12" t="s">
        <v>548</v>
      </c>
      <c r="D3458" s="12" t="s">
        <v>5335</v>
      </c>
      <c r="E3458" s="12" t="s">
        <v>2978</v>
      </c>
      <c r="F3458" s="12" t="s">
        <v>1861</v>
      </c>
      <c r="G3458" s="12" t="s">
        <v>1861</v>
      </c>
      <c r="H3458" s="12" t="b">
        <v>1</v>
      </c>
      <c r="I3458" s="12" t="b">
        <v>0</v>
      </c>
      <c r="J3458" s="12" t="b">
        <v>0</v>
      </c>
      <c r="K3458" s="12" t="b">
        <v>0</v>
      </c>
      <c r="L3458" s="12">
        <v>401.80673007942181</v>
      </c>
      <c r="M3458" s="12">
        <v>300.42616688114271</v>
      </c>
      <c r="N3458" s="12">
        <v>3000</v>
      </c>
      <c r="O3458" s="12">
        <v>1782.366810095572</v>
      </c>
      <c r="P3458" s="12">
        <v>0.6499174679904276</v>
      </c>
      <c r="Q3458" s="12">
        <v>0.57048488226831096</v>
      </c>
      <c r="R3458" s="12">
        <v>0.85286893496148286</v>
      </c>
      <c r="S3458" s="12">
        <v>0.7960651140582693</v>
      </c>
      <c r="T3458" s="12">
        <v>0.892367491846071</v>
      </c>
      <c r="U3458" s="12">
        <v>0.53475690372648377</v>
      </c>
      <c r="V3458" s="12">
        <v>300.42616688114271</v>
      </c>
      <c r="W3458" s="12">
        <v>1.9700203842989401</v>
      </c>
      <c r="X3458" s="12">
        <v>8.3795785451706983</v>
      </c>
      <c r="Y3458" s="12">
        <v>1217.633189904428</v>
      </c>
      <c r="Z3458" s="12">
        <v>1.683155219794032</v>
      </c>
      <c r="AA3458" s="12" t="s">
        <v>1268</v>
      </c>
      <c r="AB3458" s="12"/>
    </row>
    <row r="3459" spans="1:28" x14ac:dyDescent="0.3">
      <c r="A3459" s="12" t="s">
        <v>5383</v>
      </c>
      <c r="B3459" s="12" t="s">
        <v>206</v>
      </c>
      <c r="C3459" s="12" t="s">
        <v>548</v>
      </c>
      <c r="D3459" s="12" t="s">
        <v>5335</v>
      </c>
      <c r="E3459" s="12" t="s">
        <v>2978</v>
      </c>
      <c r="F3459" s="12" t="s">
        <v>1861</v>
      </c>
      <c r="G3459" s="12" t="s">
        <v>1861</v>
      </c>
      <c r="H3459" s="12" t="b">
        <v>1</v>
      </c>
      <c r="I3459" s="12" t="b">
        <v>0</v>
      </c>
      <c r="J3459" s="12" t="b">
        <v>1</v>
      </c>
      <c r="K3459" s="12" t="b">
        <v>0</v>
      </c>
      <c r="L3459" s="12">
        <v>512.20817849917546</v>
      </c>
      <c r="M3459" s="12">
        <v>286.6521099243468</v>
      </c>
      <c r="N3459" s="12">
        <v>3000</v>
      </c>
      <c r="O3459" s="12">
        <v>1948.7686614296661</v>
      </c>
      <c r="P3459" s="12">
        <v>0.51511581614950153</v>
      </c>
      <c r="Q3459" s="12">
        <v>0.65005702269076149</v>
      </c>
      <c r="R3459" s="12">
        <v>0.70275027230985554</v>
      </c>
      <c r="S3459" s="12">
        <v>0.90707045269680042</v>
      </c>
      <c r="T3459" s="12">
        <v>0.42370112932596249</v>
      </c>
      <c r="U3459" s="12">
        <v>0.8139165948412237</v>
      </c>
      <c r="V3459" s="12">
        <v>286.6521099243468</v>
      </c>
      <c r="W3459" s="12">
        <v>2.5845362853522</v>
      </c>
      <c r="X3459" s="12">
        <v>48.409652720864713</v>
      </c>
      <c r="Y3459" s="12">
        <v>1051.2313385703339</v>
      </c>
      <c r="Z3459" s="12">
        <v>1.539433622562016</v>
      </c>
      <c r="AA3459" s="12" t="s">
        <v>1268</v>
      </c>
      <c r="AB3459" s="12"/>
    </row>
    <row r="3460" spans="1:28" x14ac:dyDescent="0.3">
      <c r="A3460" s="12" t="s">
        <v>5384</v>
      </c>
      <c r="B3460" s="12" t="s">
        <v>206</v>
      </c>
      <c r="C3460" s="12" t="s">
        <v>548</v>
      </c>
      <c r="D3460" s="12" t="s">
        <v>5335</v>
      </c>
      <c r="E3460" s="12" t="s">
        <v>2978</v>
      </c>
      <c r="F3460" s="12" t="s">
        <v>1863</v>
      </c>
      <c r="G3460" s="12" t="s">
        <v>832</v>
      </c>
      <c r="H3460" s="12" t="b">
        <v>0</v>
      </c>
      <c r="I3460" s="12" t="b">
        <v>0</v>
      </c>
      <c r="J3460" s="12" t="b">
        <v>1</v>
      </c>
      <c r="K3460" s="12" t="b">
        <v>0</v>
      </c>
      <c r="L3460" s="12">
        <v>481.20860174564882</v>
      </c>
      <c r="M3460" s="12">
        <v>292.51374686428062</v>
      </c>
      <c r="N3460" s="12">
        <v>3000</v>
      </c>
      <c r="O3460" s="12">
        <v>1166.4164117642511</v>
      </c>
      <c r="P3460" s="12">
        <v>0.81574867375809879</v>
      </c>
      <c r="Q3460" s="12">
        <v>0.86937802707028644</v>
      </c>
      <c r="R3460" s="12">
        <v>0.79548343726391502</v>
      </c>
      <c r="S3460" s="12">
        <v>0.87276731406131125</v>
      </c>
      <c r="T3460" s="12">
        <v>0.61872977440474564</v>
      </c>
      <c r="U3460" s="12">
        <v>0.465845064976389</v>
      </c>
      <c r="V3460" s="12">
        <v>292.51374686428062</v>
      </c>
      <c r="W3460" s="12">
        <v>5.3926307964011899</v>
      </c>
      <c r="X3460" s="12">
        <v>38.462336546883527</v>
      </c>
      <c r="Y3460" s="12">
        <v>1833.5835882357489</v>
      </c>
      <c r="Z3460" s="12">
        <v>2.5719802720045579</v>
      </c>
      <c r="AA3460" s="12" t="s">
        <v>3442</v>
      </c>
      <c r="AB3460" s="12"/>
    </row>
    <row r="3461" spans="1:28" x14ac:dyDescent="0.3">
      <c r="A3461" s="12" t="s">
        <v>5385</v>
      </c>
      <c r="B3461" s="12" t="s">
        <v>206</v>
      </c>
      <c r="C3461" s="12" t="s">
        <v>548</v>
      </c>
      <c r="D3461" s="12" t="s">
        <v>5335</v>
      </c>
      <c r="E3461" s="12" t="s">
        <v>2978</v>
      </c>
      <c r="F3461" s="12" t="s">
        <v>1861</v>
      </c>
      <c r="G3461" s="12" t="s">
        <v>1861</v>
      </c>
      <c r="H3461" s="12" t="b">
        <v>1</v>
      </c>
      <c r="I3461" s="12" t="b">
        <v>0</v>
      </c>
      <c r="J3461" s="12" t="b">
        <v>0</v>
      </c>
      <c r="K3461" s="12" t="b">
        <v>0</v>
      </c>
      <c r="L3461" s="12">
        <v>380.82834174402592</v>
      </c>
      <c r="M3461" s="12">
        <v>295.14492444404681</v>
      </c>
      <c r="N3461" s="12">
        <v>3000</v>
      </c>
      <c r="O3461" s="12">
        <v>572.03265830202804</v>
      </c>
      <c r="P3461" s="12">
        <v>0.66589925311358145</v>
      </c>
      <c r="Q3461" s="12">
        <v>0.46252604019515869</v>
      </c>
      <c r="R3461" s="12">
        <v>0.92507000231029979</v>
      </c>
      <c r="S3461" s="12">
        <v>0.68310558434251156</v>
      </c>
      <c r="T3461" s="12">
        <v>0.80273580113020393</v>
      </c>
      <c r="U3461" s="12">
        <v>0.86927268240001754</v>
      </c>
      <c r="V3461" s="12">
        <v>295.14492444404681</v>
      </c>
      <c r="W3461" s="12">
        <v>5.2364891042977302</v>
      </c>
      <c r="X3461" s="12">
        <v>17.479585848312269</v>
      </c>
      <c r="Y3461" s="12">
        <v>2427.9673416979722</v>
      </c>
      <c r="Z3461" s="12">
        <v>5.2444558128987584</v>
      </c>
      <c r="AA3461" s="12" t="s">
        <v>1268</v>
      </c>
      <c r="AB3461" s="12"/>
    </row>
    <row r="3462" spans="1:28" x14ac:dyDescent="0.3">
      <c r="A3462" s="12" t="s">
        <v>5386</v>
      </c>
      <c r="B3462" s="12" t="s">
        <v>206</v>
      </c>
      <c r="C3462" s="12" t="s">
        <v>548</v>
      </c>
      <c r="D3462" s="12" t="s">
        <v>5335</v>
      </c>
      <c r="E3462" s="12" t="s">
        <v>2978</v>
      </c>
      <c r="F3462" s="12" t="s">
        <v>32</v>
      </c>
      <c r="G3462" s="12" t="s">
        <v>32</v>
      </c>
      <c r="H3462" s="12" t="b">
        <v>1</v>
      </c>
      <c r="I3462" s="12" t="b">
        <v>1</v>
      </c>
      <c r="J3462" s="12" t="b">
        <v>0</v>
      </c>
      <c r="K3462" s="12" t="b">
        <v>0</v>
      </c>
      <c r="L3462" s="12">
        <v>408.79929121435953</v>
      </c>
      <c r="M3462" s="12">
        <v>296.1629605794007</v>
      </c>
      <c r="N3462" s="12">
        <v>3000</v>
      </c>
      <c r="O3462" s="12">
        <v>1030.5232099761361</v>
      </c>
      <c r="P3462" s="12">
        <v>0.62891324069805465</v>
      </c>
      <c r="Q3462" s="12">
        <v>0.55612505777909216</v>
      </c>
      <c r="R3462" s="12">
        <v>0.60539890413626396</v>
      </c>
      <c r="S3462" s="12">
        <v>0.61863697113044547</v>
      </c>
      <c r="T3462" s="12">
        <v>0.9348726633935206</v>
      </c>
      <c r="U3462" s="12">
        <v>0.80940287164277591</v>
      </c>
      <c r="V3462" s="12">
        <v>296.1629605794007</v>
      </c>
      <c r="W3462" s="12">
        <v>5.1746117081349396</v>
      </c>
      <c r="X3462" s="12">
        <v>23.440446449868581</v>
      </c>
      <c r="Y3462" s="12">
        <v>1969.4767900238639</v>
      </c>
      <c r="Z3462" s="12">
        <v>2.9111425836488172</v>
      </c>
      <c r="AA3462" s="12"/>
      <c r="AB3462" s="12"/>
    </row>
    <row r="3463" spans="1:28" x14ac:dyDescent="0.3">
      <c r="A3463" s="12" t="s">
        <v>5387</v>
      </c>
      <c r="B3463" s="12" t="s">
        <v>206</v>
      </c>
      <c r="C3463" s="12" t="s">
        <v>548</v>
      </c>
      <c r="D3463" s="12" t="s">
        <v>5335</v>
      </c>
      <c r="E3463" s="12" t="s">
        <v>2978</v>
      </c>
      <c r="F3463" s="12" t="s">
        <v>32</v>
      </c>
      <c r="G3463" s="12" t="s">
        <v>32</v>
      </c>
      <c r="H3463" s="12" t="b">
        <v>1</v>
      </c>
      <c r="I3463" s="12" t="b">
        <v>0</v>
      </c>
      <c r="J3463" s="12" t="b">
        <v>1</v>
      </c>
      <c r="K3463" s="12" t="b">
        <v>0</v>
      </c>
      <c r="L3463" s="12">
        <v>470.26669200032882</v>
      </c>
      <c r="M3463" s="12">
        <v>291.83786223326939</v>
      </c>
      <c r="N3463" s="12">
        <v>3000</v>
      </c>
      <c r="O3463" s="12">
        <v>1428.8413708330791</v>
      </c>
      <c r="P3463" s="12">
        <v>0.61521930901494781</v>
      </c>
      <c r="Q3463" s="12">
        <v>0.49760333262911821</v>
      </c>
      <c r="R3463" s="12">
        <v>0.90734667585649864</v>
      </c>
      <c r="S3463" s="12">
        <v>0.54238995972361959</v>
      </c>
      <c r="T3463" s="12">
        <v>0.4134091069724371</v>
      </c>
      <c r="U3463" s="12">
        <v>0.90088769921674916</v>
      </c>
      <c r="V3463" s="12">
        <v>291.83786223326939</v>
      </c>
      <c r="W3463" s="12">
        <v>3.06270713432508</v>
      </c>
      <c r="X3463" s="12">
        <v>33.471353403294373</v>
      </c>
      <c r="Y3463" s="12">
        <v>1571.1586291669209</v>
      </c>
      <c r="Z3463" s="12">
        <v>2.0996032598432279</v>
      </c>
      <c r="AA3463" s="12"/>
      <c r="AB3463" s="12"/>
    </row>
    <row r="3464" spans="1:28" x14ac:dyDescent="0.3">
      <c r="A3464" s="12" t="s">
        <v>5388</v>
      </c>
      <c r="B3464" s="12" t="s">
        <v>206</v>
      </c>
      <c r="C3464" s="12" t="s">
        <v>548</v>
      </c>
      <c r="D3464" s="12" t="s">
        <v>5335</v>
      </c>
      <c r="E3464" s="12" t="s">
        <v>2978</v>
      </c>
      <c r="F3464" s="12" t="s">
        <v>1862</v>
      </c>
      <c r="G3464" s="12" t="s">
        <v>1862</v>
      </c>
      <c r="H3464" s="12" t="b">
        <v>1</v>
      </c>
      <c r="I3464" s="12" t="b">
        <v>0</v>
      </c>
      <c r="J3464" s="12" t="b">
        <v>0</v>
      </c>
      <c r="K3464" s="12" t="b">
        <v>0</v>
      </c>
      <c r="L3464" s="12">
        <v>410.61687404743748</v>
      </c>
      <c r="M3464" s="12">
        <v>298.71026157384881</v>
      </c>
      <c r="N3464" s="12">
        <v>3000</v>
      </c>
      <c r="O3464" s="12">
        <v>1416.6786039097531</v>
      </c>
      <c r="P3464" s="12">
        <v>0.80817494046729776</v>
      </c>
      <c r="Q3464" s="12">
        <v>0.58736987703720267</v>
      </c>
      <c r="R3464" s="12">
        <v>0.42889478669639058</v>
      </c>
      <c r="S3464" s="12">
        <v>0.7532098026936529</v>
      </c>
      <c r="T3464" s="12">
        <v>0.94775841172499442</v>
      </c>
      <c r="U3464" s="12">
        <v>0.57612829825864309</v>
      </c>
      <c r="V3464" s="12">
        <v>298.71026157384881</v>
      </c>
      <c r="W3464" s="12">
        <v>-3.1565098734938299</v>
      </c>
      <c r="X3464" s="12">
        <v>-19.05967436819088</v>
      </c>
      <c r="Y3464" s="12">
        <v>1583.3213960902469</v>
      </c>
      <c r="Z3464" s="12">
        <v>2.1176292150672662</v>
      </c>
      <c r="AA3464" s="12" t="s">
        <v>2513</v>
      </c>
      <c r="AB3464" s="12"/>
    </row>
    <row r="3465" spans="1:28" x14ac:dyDescent="0.3">
      <c r="A3465" s="12" t="s">
        <v>5389</v>
      </c>
      <c r="B3465" s="12" t="s">
        <v>206</v>
      </c>
      <c r="C3465" s="12" t="s">
        <v>548</v>
      </c>
      <c r="D3465" s="12" t="s">
        <v>5335</v>
      </c>
      <c r="E3465" s="12" t="s">
        <v>2978</v>
      </c>
      <c r="F3465" s="12" t="s">
        <v>32</v>
      </c>
      <c r="G3465" s="12" t="s">
        <v>32</v>
      </c>
      <c r="H3465" s="12" t="b">
        <v>1</v>
      </c>
      <c r="I3465" s="12" t="b">
        <v>1</v>
      </c>
      <c r="J3465" s="12" t="b">
        <v>0</v>
      </c>
      <c r="K3465" s="12" t="b">
        <v>0</v>
      </c>
      <c r="L3465" s="12">
        <v>404.77881297823978</v>
      </c>
      <c r="M3465" s="12">
        <v>290.36220630159357</v>
      </c>
      <c r="N3465" s="12">
        <v>3000</v>
      </c>
      <c r="O3465" s="12">
        <v>1092.3128686222749</v>
      </c>
      <c r="P3465" s="12">
        <v>0.58411044953641134</v>
      </c>
      <c r="Q3465" s="12">
        <v>0.63412618288570499</v>
      </c>
      <c r="R3465" s="12">
        <v>0.55275087253560951</v>
      </c>
      <c r="S3465" s="12">
        <v>0.72203314813763941</v>
      </c>
      <c r="T3465" s="12">
        <v>0.66433861944837802</v>
      </c>
      <c r="U3465" s="12">
        <v>0.86080633026323272</v>
      </c>
      <c r="V3465" s="12">
        <v>290.36220630159357</v>
      </c>
      <c r="W3465" s="12">
        <v>4.12573886078955</v>
      </c>
      <c r="X3465" s="12">
        <v>19.621094562377252</v>
      </c>
      <c r="Y3465" s="12">
        <v>1907.6871313777251</v>
      </c>
      <c r="Z3465" s="12">
        <v>2.7464658580685541</v>
      </c>
      <c r="AA3465" s="12"/>
      <c r="AB3465" s="12"/>
    </row>
    <row r="3466" spans="1:28" x14ac:dyDescent="0.3">
      <c r="A3466" s="12" t="s">
        <v>5390</v>
      </c>
      <c r="B3466" s="12" t="s">
        <v>206</v>
      </c>
      <c r="C3466" s="12" t="s">
        <v>548</v>
      </c>
      <c r="D3466" s="12" t="s">
        <v>5335</v>
      </c>
      <c r="E3466" s="12" t="s">
        <v>2978</v>
      </c>
      <c r="F3466" s="12" t="s">
        <v>1862</v>
      </c>
      <c r="G3466" s="12" t="s">
        <v>1862</v>
      </c>
      <c r="H3466" s="12" t="b">
        <v>1</v>
      </c>
      <c r="I3466" s="12" t="b">
        <v>0</v>
      </c>
      <c r="J3466" s="12" t="b">
        <v>1</v>
      </c>
      <c r="K3466" s="12" t="b">
        <v>0</v>
      </c>
      <c r="L3466" s="12">
        <v>499.8395481029666</v>
      </c>
      <c r="M3466" s="12">
        <v>280.18603072044527</v>
      </c>
      <c r="N3466" s="12">
        <v>3000</v>
      </c>
      <c r="O3466" s="12">
        <v>1190.998801588401</v>
      </c>
      <c r="P3466" s="12">
        <v>0.68072831597804506</v>
      </c>
      <c r="Q3466" s="12">
        <v>0.40878589415893257</v>
      </c>
      <c r="R3466" s="12">
        <v>0.61148261174569718</v>
      </c>
      <c r="S3466" s="12">
        <v>0.53550453143479404</v>
      </c>
      <c r="T3466" s="12">
        <v>0.78427804870211004</v>
      </c>
      <c r="U3466" s="12">
        <v>0.43615572113916568</v>
      </c>
      <c r="V3466" s="12">
        <v>280.18603072044527</v>
      </c>
      <c r="W3466" s="12">
        <v>-8.9830044659912893</v>
      </c>
      <c r="X3466" s="12">
        <v>-58.370361895529371</v>
      </c>
      <c r="Y3466" s="12">
        <v>1809.001198411599</v>
      </c>
      <c r="Z3466" s="12">
        <v>2.518894222226745</v>
      </c>
      <c r="AA3466" s="12" t="s">
        <v>2513</v>
      </c>
      <c r="AB3466" s="12"/>
    </row>
    <row r="3467" spans="1:28" x14ac:dyDescent="0.3">
      <c r="A3467" s="12" t="s">
        <v>5391</v>
      </c>
      <c r="B3467" s="12" t="s">
        <v>206</v>
      </c>
      <c r="C3467" s="12" t="s">
        <v>548</v>
      </c>
      <c r="D3467" s="12" t="s">
        <v>5335</v>
      </c>
      <c r="E3467" s="12" t="s">
        <v>2978</v>
      </c>
      <c r="F3467" s="12" t="s">
        <v>1862</v>
      </c>
      <c r="G3467" s="12" t="s">
        <v>1862</v>
      </c>
      <c r="H3467" s="12" t="b">
        <v>1</v>
      </c>
      <c r="I3467" s="12" t="b">
        <v>0</v>
      </c>
      <c r="J3467" s="12" t="b">
        <v>1</v>
      </c>
      <c r="K3467" s="12" t="b">
        <v>0</v>
      </c>
      <c r="L3467" s="12">
        <v>459.61285676825457</v>
      </c>
      <c r="M3467" s="12">
        <v>302.41192973021691</v>
      </c>
      <c r="N3467" s="12">
        <v>3000</v>
      </c>
      <c r="O3467" s="12">
        <v>478.32961061227883</v>
      </c>
      <c r="P3467" s="12">
        <v>0.79533204465108309</v>
      </c>
      <c r="Q3467" s="12">
        <v>0.47090086356913857</v>
      </c>
      <c r="R3467" s="12">
        <v>0.72057693746062679</v>
      </c>
      <c r="S3467" s="12">
        <v>0.90367735553399098</v>
      </c>
      <c r="T3467" s="12">
        <v>0.87863760926272372</v>
      </c>
      <c r="U3467" s="12">
        <v>0.77872067405028544</v>
      </c>
      <c r="V3467" s="12">
        <v>302.41192973021691</v>
      </c>
      <c r="W3467" s="12">
        <v>-18.254144983404871</v>
      </c>
      <c r="X3467" s="12">
        <v>-118.07673112698809</v>
      </c>
      <c r="Y3467" s="12">
        <v>2521.6703893877211</v>
      </c>
      <c r="Z3467" s="12">
        <v>6.2718258151735453</v>
      </c>
      <c r="AA3467" s="12" t="s">
        <v>2513</v>
      </c>
      <c r="AB3467" s="12"/>
    </row>
    <row r="3468" spans="1:28" x14ac:dyDescent="0.3">
      <c r="A3468" s="12" t="s">
        <v>5392</v>
      </c>
      <c r="B3468" s="12" t="s">
        <v>206</v>
      </c>
      <c r="C3468" s="12" t="s">
        <v>548</v>
      </c>
      <c r="D3468" s="12" t="s">
        <v>5335</v>
      </c>
      <c r="E3468" s="12" t="s">
        <v>2978</v>
      </c>
      <c r="F3468" s="12" t="s">
        <v>1861</v>
      </c>
      <c r="G3468" s="12" t="s">
        <v>1861</v>
      </c>
      <c r="H3468" s="12" t="b">
        <v>1</v>
      </c>
      <c r="I3468" s="12" t="b">
        <v>0</v>
      </c>
      <c r="J3468" s="12" t="b">
        <v>1</v>
      </c>
      <c r="K3468" s="12" t="b">
        <v>0</v>
      </c>
      <c r="L3468" s="12">
        <v>446.55800093051857</v>
      </c>
      <c r="M3468" s="12">
        <v>292.36555193724098</v>
      </c>
      <c r="N3468" s="12">
        <v>3000</v>
      </c>
      <c r="O3468" s="12">
        <v>1910.9387781419789</v>
      </c>
      <c r="P3468" s="12">
        <v>0.7292815078272602</v>
      </c>
      <c r="Q3468" s="12">
        <v>0.80237379836578993</v>
      </c>
      <c r="R3468" s="12">
        <v>0.72908800707366805</v>
      </c>
      <c r="S3468" s="12">
        <v>0.76851529613860414</v>
      </c>
      <c r="T3468" s="12">
        <v>0.80850604297936601</v>
      </c>
      <c r="U3468" s="12">
        <v>0.52754541408272893</v>
      </c>
      <c r="V3468" s="12">
        <v>292.36555193724098</v>
      </c>
      <c r="W3468" s="12">
        <v>1.9571658921049699</v>
      </c>
      <c r="X3468" s="12">
        <v>17.107309368867721</v>
      </c>
      <c r="Y3468" s="12">
        <v>1089.0612218580211</v>
      </c>
      <c r="Z3468" s="12">
        <v>1.5699090071932731</v>
      </c>
      <c r="AA3468" s="12" t="s">
        <v>1268</v>
      </c>
      <c r="AB3468" s="12"/>
    </row>
    <row r="3469" spans="1:28" x14ac:dyDescent="0.3">
      <c r="A3469" s="12" t="s">
        <v>5393</v>
      </c>
      <c r="B3469" s="12" t="s">
        <v>206</v>
      </c>
      <c r="C3469" s="12" t="s">
        <v>548</v>
      </c>
      <c r="D3469" s="12" t="s">
        <v>5335</v>
      </c>
      <c r="E3469" s="12" t="s">
        <v>2978</v>
      </c>
      <c r="F3469" s="12" t="s">
        <v>32</v>
      </c>
      <c r="G3469" s="12" t="s">
        <v>32</v>
      </c>
      <c r="H3469" s="12" t="b">
        <v>1</v>
      </c>
      <c r="I3469" s="12" t="b">
        <v>1</v>
      </c>
      <c r="J3469" s="12" t="b">
        <v>0</v>
      </c>
      <c r="K3469" s="12" t="b">
        <v>0</v>
      </c>
      <c r="L3469" s="12">
        <v>407.7667500192025</v>
      </c>
      <c r="M3469" s="12">
        <v>286.87803009617687</v>
      </c>
      <c r="N3469" s="12">
        <v>3000</v>
      </c>
      <c r="O3469" s="12">
        <v>1798.984795601752</v>
      </c>
      <c r="P3469" s="12">
        <v>0.6569521128302318</v>
      </c>
      <c r="Q3469" s="12">
        <v>0.4571232774813645</v>
      </c>
      <c r="R3469" s="12">
        <v>0.67275420629068194</v>
      </c>
      <c r="S3469" s="12">
        <v>0.46418106301121231</v>
      </c>
      <c r="T3469" s="12">
        <v>0.5510235810266908</v>
      </c>
      <c r="U3469" s="12">
        <v>0.70718574184006056</v>
      </c>
      <c r="V3469" s="12">
        <v>286.87803009617687</v>
      </c>
      <c r="W3469" s="12">
        <v>1.4499576848379401</v>
      </c>
      <c r="X3469" s="12">
        <v>5.8183686016470464</v>
      </c>
      <c r="Y3469" s="12">
        <v>1201.015204398248</v>
      </c>
      <c r="Z3469" s="12">
        <v>1.6676072012028951</v>
      </c>
      <c r="AA3469" s="12"/>
      <c r="AB3469" s="12"/>
    </row>
    <row r="3470" spans="1:28" x14ac:dyDescent="0.3">
      <c r="A3470" s="12" t="s">
        <v>5394</v>
      </c>
      <c r="B3470" s="12" t="s">
        <v>206</v>
      </c>
      <c r="C3470" s="12" t="s">
        <v>548</v>
      </c>
      <c r="D3470" s="12" t="s">
        <v>5335</v>
      </c>
      <c r="E3470" s="12" t="s">
        <v>2978</v>
      </c>
      <c r="F3470" s="12" t="s">
        <v>1861</v>
      </c>
      <c r="G3470" s="12" t="s">
        <v>1861</v>
      </c>
      <c r="H3470" s="12" t="b">
        <v>1</v>
      </c>
      <c r="I3470" s="12" t="b">
        <v>0</v>
      </c>
      <c r="J3470" s="12" t="b">
        <v>1</v>
      </c>
      <c r="K3470" s="12" t="b">
        <v>0</v>
      </c>
      <c r="L3470" s="12">
        <v>513.80699224946522</v>
      </c>
      <c r="M3470" s="12">
        <v>283.12178200586868</v>
      </c>
      <c r="N3470" s="12">
        <v>3000</v>
      </c>
      <c r="O3470" s="12">
        <v>1287.861912073163</v>
      </c>
      <c r="P3470" s="12">
        <v>0.55482403597189156</v>
      </c>
      <c r="Q3470" s="12">
        <v>0.70017643005004992</v>
      </c>
      <c r="R3470" s="12">
        <v>0.91224468844308859</v>
      </c>
      <c r="S3470" s="12">
        <v>0.43961948971754261</v>
      </c>
      <c r="T3470" s="12">
        <v>0.43320095909728401</v>
      </c>
      <c r="U3470" s="12">
        <v>0.51677736337459101</v>
      </c>
      <c r="V3470" s="12">
        <v>283.12178200586868</v>
      </c>
      <c r="W3470" s="12">
        <v>3.706159327853769</v>
      </c>
      <c r="X3470" s="12">
        <v>27.904659532594469</v>
      </c>
      <c r="Y3470" s="12">
        <v>1712.138087926837</v>
      </c>
      <c r="Z3470" s="12">
        <v>2.3294422887083339</v>
      </c>
      <c r="AA3470" s="12" t="s">
        <v>1268</v>
      </c>
      <c r="AB3470" s="12"/>
    </row>
    <row r="3471" spans="1:28" x14ac:dyDescent="0.3">
      <c r="A3471" s="12" t="s">
        <v>5395</v>
      </c>
      <c r="B3471" s="12" t="s">
        <v>206</v>
      </c>
      <c r="C3471" s="12" t="s">
        <v>548</v>
      </c>
      <c r="D3471" s="12" t="s">
        <v>5335</v>
      </c>
      <c r="E3471" s="12" t="s">
        <v>2978</v>
      </c>
      <c r="F3471" s="12" t="s">
        <v>1861</v>
      </c>
      <c r="G3471" s="12" t="s">
        <v>1861</v>
      </c>
      <c r="H3471" s="12" t="b">
        <v>1</v>
      </c>
      <c r="I3471" s="12" t="b">
        <v>0</v>
      </c>
      <c r="J3471" s="12" t="b">
        <v>0</v>
      </c>
      <c r="K3471" s="12" t="b">
        <v>0</v>
      </c>
      <c r="L3471" s="12">
        <v>475.47146316996242</v>
      </c>
      <c r="M3471" s="12">
        <v>293.36033329829007</v>
      </c>
      <c r="N3471" s="12">
        <v>3000</v>
      </c>
      <c r="O3471" s="12">
        <v>1177.6058538099201</v>
      </c>
      <c r="P3471" s="12">
        <v>0.75700611621566816</v>
      </c>
      <c r="Q3471" s="12">
        <v>0.68589090937604769</v>
      </c>
      <c r="R3471" s="12">
        <v>0.469342129265367</v>
      </c>
      <c r="S3471" s="12">
        <v>0.4805730650106621</v>
      </c>
      <c r="T3471" s="12">
        <v>0.55413667319365645</v>
      </c>
      <c r="U3471" s="12">
        <v>0.83795770919058665</v>
      </c>
      <c r="V3471" s="12">
        <v>293.36033329829007</v>
      </c>
      <c r="W3471" s="12">
        <v>6.0386676523722507</v>
      </c>
      <c r="X3471" s="12">
        <v>52.051494223703457</v>
      </c>
      <c r="Y3471" s="12">
        <v>1822.3941461900799</v>
      </c>
      <c r="Z3471" s="12">
        <v>2.547541684082216</v>
      </c>
      <c r="AA3471" s="12" t="s">
        <v>1268</v>
      </c>
      <c r="AB3471" s="12"/>
    </row>
    <row r="3472" spans="1:28" x14ac:dyDescent="0.3">
      <c r="A3472" s="12" t="s">
        <v>5396</v>
      </c>
      <c r="B3472" s="12" t="s">
        <v>206</v>
      </c>
      <c r="C3472" s="12" t="s">
        <v>548</v>
      </c>
      <c r="D3472" s="12" t="s">
        <v>5335</v>
      </c>
      <c r="E3472" s="12" t="s">
        <v>2978</v>
      </c>
      <c r="F3472" s="12" t="s">
        <v>1861</v>
      </c>
      <c r="G3472" s="12" t="s">
        <v>1861</v>
      </c>
      <c r="H3472" s="12" t="b">
        <v>1</v>
      </c>
      <c r="I3472" s="12" t="b">
        <v>0</v>
      </c>
      <c r="J3472" s="12" t="b">
        <v>0</v>
      </c>
      <c r="K3472" s="12" t="b">
        <v>0</v>
      </c>
      <c r="L3472" s="12">
        <v>444.86563082709802</v>
      </c>
      <c r="M3472" s="12">
        <v>288.88750273596793</v>
      </c>
      <c r="N3472" s="12">
        <v>3000</v>
      </c>
      <c r="O3472" s="12">
        <v>1609.7623663502161</v>
      </c>
      <c r="P3472" s="12">
        <v>0.71809652793511525</v>
      </c>
      <c r="Q3472" s="12">
        <v>0.63894225365648616</v>
      </c>
      <c r="R3472" s="12">
        <v>0.65008580152644813</v>
      </c>
      <c r="S3472" s="12">
        <v>0.44613970915970202</v>
      </c>
      <c r="T3472" s="12">
        <v>0.40873482423799817</v>
      </c>
      <c r="U3472" s="12">
        <v>0.65622758513011681</v>
      </c>
      <c r="V3472" s="12">
        <v>288.88750273596793</v>
      </c>
      <c r="W3472" s="12">
        <v>3.05594161195202</v>
      </c>
      <c r="X3472" s="12">
        <v>20.850380530853489</v>
      </c>
      <c r="Y3472" s="12">
        <v>1390.2376336497839</v>
      </c>
      <c r="Z3472" s="12">
        <v>1.8636291062027019</v>
      </c>
      <c r="AA3472" s="12" t="s">
        <v>1268</v>
      </c>
      <c r="AB3472" s="12"/>
    </row>
    <row r="3473" spans="1:28" x14ac:dyDescent="0.3">
      <c r="A3473" s="12" t="s">
        <v>5397</v>
      </c>
      <c r="B3473" s="12" t="s">
        <v>206</v>
      </c>
      <c r="C3473" s="12" t="s">
        <v>548</v>
      </c>
      <c r="D3473" s="12" t="s">
        <v>5335</v>
      </c>
      <c r="E3473" s="12" t="s">
        <v>2978</v>
      </c>
      <c r="F3473" s="12" t="s">
        <v>1861</v>
      </c>
      <c r="G3473" s="12" t="s">
        <v>1861</v>
      </c>
      <c r="H3473" s="12" t="b">
        <v>1</v>
      </c>
      <c r="I3473" s="12" t="b">
        <v>0</v>
      </c>
      <c r="J3473" s="12" t="b">
        <v>0</v>
      </c>
      <c r="K3473" s="12" t="b">
        <v>0</v>
      </c>
      <c r="L3473" s="12">
        <v>417.47393085119359</v>
      </c>
      <c r="M3473" s="12">
        <v>286.24267512360922</v>
      </c>
      <c r="N3473" s="12">
        <v>3000</v>
      </c>
      <c r="O3473" s="12">
        <v>516.69872650688023</v>
      </c>
      <c r="P3473" s="12">
        <v>0.55148246736591333</v>
      </c>
      <c r="Q3473" s="12">
        <v>0.83323483524546949</v>
      </c>
      <c r="R3473" s="12">
        <v>0.47808042530651618</v>
      </c>
      <c r="S3473" s="12">
        <v>0.6932349412688279</v>
      </c>
      <c r="T3473" s="12">
        <v>0.56937146309871334</v>
      </c>
      <c r="U3473" s="12">
        <v>0.64545350480264041</v>
      </c>
      <c r="V3473" s="12">
        <v>286.24267512360922</v>
      </c>
      <c r="W3473" s="12">
        <v>8.1574071856291805</v>
      </c>
      <c r="X3473" s="12">
        <v>39.227899231244251</v>
      </c>
      <c r="Y3473" s="12">
        <v>2483.3012734931199</v>
      </c>
      <c r="Z3473" s="12">
        <v>5.806091337366694</v>
      </c>
      <c r="AA3473" s="12" t="s">
        <v>1268</v>
      </c>
      <c r="AB3473" s="12"/>
    </row>
    <row r="3474" spans="1:28" x14ac:dyDescent="0.3">
      <c r="A3474" s="12" t="s">
        <v>5398</v>
      </c>
      <c r="B3474" s="12" t="s">
        <v>206</v>
      </c>
      <c r="C3474" s="12" t="s">
        <v>548</v>
      </c>
      <c r="D3474" s="12" t="s">
        <v>5335</v>
      </c>
      <c r="E3474" s="12" t="s">
        <v>2978</v>
      </c>
      <c r="F3474" s="12" t="s">
        <v>1861</v>
      </c>
      <c r="G3474" s="12" t="s">
        <v>1861</v>
      </c>
      <c r="H3474" s="12" t="b">
        <v>1</v>
      </c>
      <c r="I3474" s="12" t="b">
        <v>0</v>
      </c>
      <c r="J3474" s="12" t="b">
        <v>0</v>
      </c>
      <c r="K3474" s="12" t="b">
        <v>0</v>
      </c>
      <c r="L3474" s="12">
        <v>406.49127802056182</v>
      </c>
      <c r="M3474" s="12">
        <v>297.52914301381003</v>
      </c>
      <c r="N3474" s="12">
        <v>3000</v>
      </c>
      <c r="O3474" s="12">
        <v>1207.3585204440269</v>
      </c>
      <c r="P3474" s="12">
        <v>0.66163588590425682</v>
      </c>
      <c r="Q3474" s="12">
        <v>0.89045581112292682</v>
      </c>
      <c r="R3474" s="12">
        <v>0.76387661882748725</v>
      </c>
      <c r="S3474" s="12">
        <v>0.59856757188929466</v>
      </c>
      <c r="T3474" s="12">
        <v>0.46664689922576458</v>
      </c>
      <c r="U3474" s="12">
        <v>0.73686797430386097</v>
      </c>
      <c r="V3474" s="12">
        <v>297.52914301381003</v>
      </c>
      <c r="W3474" s="12">
        <v>6.8946021793888699</v>
      </c>
      <c r="X3474" s="12">
        <v>34.490812329835848</v>
      </c>
      <c r="Y3474" s="12">
        <v>1792.6414795559731</v>
      </c>
      <c r="Z3474" s="12">
        <v>2.4847631827675332</v>
      </c>
      <c r="AA3474" s="12" t="s">
        <v>1268</v>
      </c>
      <c r="AB3474" s="12"/>
    </row>
    <row r="3475" spans="1:28" x14ac:dyDescent="0.3">
      <c r="A3475" s="12" t="s">
        <v>5399</v>
      </c>
      <c r="B3475" s="12" t="s">
        <v>206</v>
      </c>
      <c r="C3475" s="12" t="s">
        <v>548</v>
      </c>
      <c r="D3475" s="12" t="s">
        <v>5335</v>
      </c>
      <c r="E3475" s="12" t="s">
        <v>2978</v>
      </c>
      <c r="F3475" s="12" t="s">
        <v>1862</v>
      </c>
      <c r="G3475" s="12" t="s">
        <v>1862</v>
      </c>
      <c r="H3475" s="12" t="b">
        <v>1</v>
      </c>
      <c r="I3475" s="12" t="b">
        <v>0</v>
      </c>
      <c r="J3475" s="12" t="b">
        <v>1</v>
      </c>
      <c r="K3475" s="12" t="b">
        <v>0</v>
      </c>
      <c r="L3475" s="12">
        <v>509.18120186791441</v>
      </c>
      <c r="M3475" s="12">
        <v>284.97608534439797</v>
      </c>
      <c r="N3475" s="12">
        <v>3000</v>
      </c>
      <c r="O3475" s="12">
        <v>1929.225042620832</v>
      </c>
      <c r="P3475" s="12">
        <v>0.75009237074484281</v>
      </c>
      <c r="Q3475" s="12">
        <v>0.4728377156888699</v>
      </c>
      <c r="R3475" s="12">
        <v>0.63613792965675797</v>
      </c>
      <c r="S3475" s="12">
        <v>0.74781118760148135</v>
      </c>
      <c r="T3475" s="12">
        <v>0.61402049031580086</v>
      </c>
      <c r="U3475" s="12">
        <v>0.55969585287647572</v>
      </c>
      <c r="V3475" s="12">
        <v>284.97608534439797</v>
      </c>
      <c r="W3475" s="12">
        <v>-0.921734125505</v>
      </c>
      <c r="X3475" s="12">
        <v>-9.1390423807360079</v>
      </c>
      <c r="Y3475" s="12">
        <v>1070.774957379168</v>
      </c>
      <c r="Z3475" s="12">
        <v>1.555028539296033</v>
      </c>
      <c r="AA3475" s="12" t="s">
        <v>2513</v>
      </c>
      <c r="AB3475" s="12"/>
    </row>
    <row r="3476" spans="1:28" x14ac:dyDescent="0.3">
      <c r="A3476" s="12" t="s">
        <v>5400</v>
      </c>
      <c r="B3476" s="12" t="s">
        <v>206</v>
      </c>
      <c r="C3476" s="12" t="s">
        <v>548</v>
      </c>
      <c r="D3476" s="12" t="s">
        <v>5335</v>
      </c>
      <c r="E3476" s="12" t="s">
        <v>2978</v>
      </c>
      <c r="F3476" s="12" t="s">
        <v>1861</v>
      </c>
      <c r="G3476" s="12" t="s">
        <v>1861</v>
      </c>
      <c r="H3476" s="12" t="b">
        <v>1</v>
      </c>
      <c r="I3476" s="12" t="b">
        <v>0</v>
      </c>
      <c r="J3476" s="12" t="b">
        <v>0</v>
      </c>
      <c r="K3476" s="12" t="b">
        <v>0</v>
      </c>
      <c r="L3476" s="12">
        <v>472.4107030235399</v>
      </c>
      <c r="M3476" s="12">
        <v>281.39376584218758</v>
      </c>
      <c r="N3476" s="12">
        <v>3000</v>
      </c>
      <c r="O3476" s="12">
        <v>1642.0364774556281</v>
      </c>
      <c r="P3476" s="12">
        <v>0.76816936360070165</v>
      </c>
      <c r="Q3476" s="12">
        <v>0.50040141105881675</v>
      </c>
      <c r="R3476" s="12">
        <v>0.56210737267363864</v>
      </c>
      <c r="S3476" s="12">
        <v>0.49277731899111421</v>
      </c>
      <c r="T3476" s="12">
        <v>0.92333075823752675</v>
      </c>
      <c r="U3476" s="12">
        <v>0.65009073395356287</v>
      </c>
      <c r="V3476" s="12">
        <v>281.39376584218758</v>
      </c>
      <c r="W3476" s="12">
        <v>1.5717885086958601</v>
      </c>
      <c r="X3476" s="12">
        <v>12.083873131414339</v>
      </c>
      <c r="Y3476" s="12">
        <v>1357.9635225443719</v>
      </c>
      <c r="Z3476" s="12">
        <v>1.8269996076144219</v>
      </c>
      <c r="AA3476" s="12" t="s">
        <v>1268</v>
      </c>
      <c r="AB3476" s="12"/>
    </row>
    <row r="3477" spans="1:28" x14ac:dyDescent="0.3">
      <c r="A3477" s="12" t="s">
        <v>5401</v>
      </c>
      <c r="B3477" s="12" t="s">
        <v>206</v>
      </c>
      <c r="C3477" s="12" t="s">
        <v>548</v>
      </c>
      <c r="D3477" s="12" t="s">
        <v>5335</v>
      </c>
      <c r="E3477" s="12" t="s">
        <v>2978</v>
      </c>
      <c r="F3477" s="12" t="s">
        <v>1861</v>
      </c>
      <c r="G3477" s="12" t="s">
        <v>1861</v>
      </c>
      <c r="H3477" s="12" t="b">
        <v>1</v>
      </c>
      <c r="I3477" s="12" t="b">
        <v>0</v>
      </c>
      <c r="J3477" s="12" t="b">
        <v>0</v>
      </c>
      <c r="K3477" s="12" t="b">
        <v>0</v>
      </c>
      <c r="L3477" s="12">
        <v>502.77755458247572</v>
      </c>
      <c r="M3477" s="12">
        <v>285.20177251672538</v>
      </c>
      <c r="N3477" s="12">
        <v>3000</v>
      </c>
      <c r="O3477" s="12">
        <v>1734.0646890249971</v>
      </c>
      <c r="P3477" s="12">
        <v>0.78224874414649959</v>
      </c>
      <c r="Q3477" s="12">
        <v>0.62061954405733644</v>
      </c>
      <c r="R3477" s="12">
        <v>0.83249649064931197</v>
      </c>
      <c r="S3477" s="12">
        <v>0.63156466467819805</v>
      </c>
      <c r="T3477" s="12">
        <v>0.64624477177815975</v>
      </c>
      <c r="U3477" s="12">
        <v>0.76344165772425443</v>
      </c>
      <c r="V3477" s="12">
        <v>285.20177251672538</v>
      </c>
      <c r="W3477" s="12">
        <v>3.5048211086587</v>
      </c>
      <c r="X3477" s="12">
        <v>38.184225724804321</v>
      </c>
      <c r="Y3477" s="12">
        <v>1265.9353109750029</v>
      </c>
      <c r="Z3477" s="12">
        <v>1.730039264963519</v>
      </c>
      <c r="AA3477" s="12" t="s">
        <v>1268</v>
      </c>
      <c r="AB3477" s="12"/>
    </row>
    <row r="3478" spans="1:28" x14ac:dyDescent="0.3">
      <c r="A3478" s="12" t="s">
        <v>5402</v>
      </c>
      <c r="B3478" s="12" t="s">
        <v>206</v>
      </c>
      <c r="C3478" s="12" t="s">
        <v>548</v>
      </c>
      <c r="D3478" s="12" t="s">
        <v>5335</v>
      </c>
      <c r="E3478" s="12" t="s">
        <v>2978</v>
      </c>
      <c r="F3478" s="12" t="s">
        <v>32</v>
      </c>
      <c r="G3478" s="12" t="s">
        <v>32</v>
      </c>
      <c r="H3478" s="12" t="b">
        <v>1</v>
      </c>
      <c r="I3478" s="12" t="b">
        <v>0</v>
      </c>
      <c r="J3478" s="12" t="b">
        <v>1</v>
      </c>
      <c r="K3478" s="12" t="b">
        <v>0</v>
      </c>
      <c r="L3478" s="12">
        <v>456.90392745101531</v>
      </c>
      <c r="M3478" s="12">
        <v>294.66400082284201</v>
      </c>
      <c r="N3478" s="12">
        <v>3000</v>
      </c>
      <c r="O3478" s="12">
        <v>1533.88130783315</v>
      </c>
      <c r="P3478" s="12">
        <v>0.56756170610874945</v>
      </c>
      <c r="Q3478" s="12">
        <v>0.77142120496799449</v>
      </c>
      <c r="R3478" s="12">
        <v>0.58891157987625098</v>
      </c>
      <c r="S3478" s="12">
        <v>0.64915222230797964</v>
      </c>
      <c r="T3478" s="12">
        <v>0.83523865953054766</v>
      </c>
      <c r="U3478" s="12">
        <v>0.92744295237741059</v>
      </c>
      <c r="V3478" s="12">
        <v>294.66400082284201</v>
      </c>
      <c r="W3478" s="12">
        <v>4.4648943690931899</v>
      </c>
      <c r="X3478" s="12">
        <v>46.887402557222003</v>
      </c>
      <c r="Y3478" s="12">
        <v>1466.11869216685</v>
      </c>
      <c r="Z3478" s="12">
        <v>1.9558227776032919</v>
      </c>
      <c r="AA3478" s="12"/>
      <c r="AB3478" s="12"/>
    </row>
    <row r="3479" spans="1:28" x14ac:dyDescent="0.3">
      <c r="A3479" s="12" t="s">
        <v>5403</v>
      </c>
      <c r="B3479" s="12" t="s">
        <v>206</v>
      </c>
      <c r="C3479" s="12" t="s">
        <v>548</v>
      </c>
      <c r="D3479" s="12" t="s">
        <v>5335</v>
      </c>
      <c r="E3479" s="12" t="s">
        <v>2978</v>
      </c>
      <c r="F3479" s="12" t="s">
        <v>1862</v>
      </c>
      <c r="G3479" s="12" t="s">
        <v>1862</v>
      </c>
      <c r="H3479" s="12" t="b">
        <v>1</v>
      </c>
      <c r="I3479" s="12" t="b">
        <v>0</v>
      </c>
      <c r="J3479" s="12" t="b">
        <v>0</v>
      </c>
      <c r="K3479" s="12" t="b">
        <v>0</v>
      </c>
      <c r="L3479" s="12">
        <v>388.44453221806452</v>
      </c>
      <c r="M3479" s="12">
        <v>301.17049984613828</v>
      </c>
      <c r="N3479" s="12">
        <v>3000</v>
      </c>
      <c r="O3479" s="12">
        <v>592.45910792898269</v>
      </c>
      <c r="P3479" s="12">
        <v>0.76215551524048442</v>
      </c>
      <c r="Q3479" s="12">
        <v>0.8142558000647655</v>
      </c>
      <c r="R3479" s="12">
        <v>0.57848041593573463</v>
      </c>
      <c r="S3479" s="12">
        <v>0.89209117679784233</v>
      </c>
      <c r="T3479" s="12">
        <v>0.54003726481560421</v>
      </c>
      <c r="U3479" s="12">
        <v>0.93733102117750078</v>
      </c>
      <c r="V3479" s="12">
        <v>301.17049984613828</v>
      </c>
      <c r="W3479" s="12">
        <v>-9.2067963186098698</v>
      </c>
      <c r="X3479" s="12">
        <v>-30.82176800192822</v>
      </c>
      <c r="Y3479" s="12">
        <v>2407.540892071017</v>
      </c>
      <c r="Z3479" s="12">
        <v>5.0636406122388564</v>
      </c>
      <c r="AA3479" s="12" t="s">
        <v>2513</v>
      </c>
      <c r="AB3479" s="12"/>
    </row>
    <row r="3480" spans="1:28" x14ac:dyDescent="0.3">
      <c r="A3480" s="12" t="s">
        <v>5404</v>
      </c>
      <c r="B3480" s="12" t="s">
        <v>206</v>
      </c>
      <c r="C3480" s="12" t="s">
        <v>548</v>
      </c>
      <c r="D3480" s="12" t="s">
        <v>5335</v>
      </c>
      <c r="E3480" s="12" t="s">
        <v>2978</v>
      </c>
      <c r="F3480" s="12" t="s">
        <v>1861</v>
      </c>
      <c r="G3480" s="12" t="s">
        <v>1861</v>
      </c>
      <c r="H3480" s="12" t="b">
        <v>1</v>
      </c>
      <c r="I3480" s="12" t="b">
        <v>0</v>
      </c>
      <c r="J3480" s="12" t="b">
        <v>0</v>
      </c>
      <c r="K3480" s="12" t="b">
        <v>0</v>
      </c>
      <c r="L3480" s="12">
        <v>391.36704236822521</v>
      </c>
      <c r="M3480" s="12">
        <v>282.00820262308912</v>
      </c>
      <c r="N3480" s="12">
        <v>3000</v>
      </c>
      <c r="O3480" s="12">
        <v>352.96701008335782</v>
      </c>
      <c r="P3480" s="12">
        <v>0.6575091445646517</v>
      </c>
      <c r="Q3480" s="12">
        <v>0.82278621251606432</v>
      </c>
      <c r="R3480" s="12">
        <v>0.4766401644437942</v>
      </c>
      <c r="S3480" s="12">
        <v>0.81392760484060944</v>
      </c>
      <c r="T3480" s="12">
        <v>0.90131094244979759</v>
      </c>
      <c r="U3480" s="12">
        <v>0.66546900455400015</v>
      </c>
      <c r="V3480" s="12">
        <v>282.00820262308912</v>
      </c>
      <c r="W3480" s="12">
        <v>9.8424704637353102</v>
      </c>
      <c r="X3480" s="12">
        <v>43.948429499429949</v>
      </c>
      <c r="Y3480" s="12">
        <v>2647.0329899166418</v>
      </c>
      <c r="Z3480" s="12">
        <v>8.4993778860282454</v>
      </c>
      <c r="AA3480" s="12" t="s">
        <v>1268</v>
      </c>
      <c r="AB3480" s="12"/>
    </row>
    <row r="3481" spans="1:28" x14ac:dyDescent="0.3">
      <c r="A3481" s="12" t="s">
        <v>5405</v>
      </c>
      <c r="B3481" s="12" t="s">
        <v>206</v>
      </c>
      <c r="C3481" s="12" t="s">
        <v>548</v>
      </c>
      <c r="D3481" s="12" t="s">
        <v>5335</v>
      </c>
      <c r="E3481" s="12" t="s">
        <v>2978</v>
      </c>
      <c r="F3481" s="12" t="s">
        <v>32</v>
      </c>
      <c r="G3481" s="12" t="s">
        <v>32</v>
      </c>
      <c r="H3481" s="12" t="b">
        <v>1</v>
      </c>
      <c r="I3481" s="12" t="b">
        <v>0</v>
      </c>
      <c r="J3481" s="12" t="b">
        <v>1</v>
      </c>
      <c r="K3481" s="12" t="b">
        <v>0</v>
      </c>
      <c r="L3481" s="12">
        <v>466.0846911558333</v>
      </c>
      <c r="M3481" s="12">
        <v>278.87940630624269</v>
      </c>
      <c r="N3481" s="12">
        <v>3000</v>
      </c>
      <c r="O3481" s="12">
        <v>1827.0032184370721</v>
      </c>
      <c r="P3481" s="12">
        <v>0.56637476194713954</v>
      </c>
      <c r="Q3481" s="12">
        <v>0.51443402357055079</v>
      </c>
      <c r="R3481" s="12">
        <v>0.61490244705488928</v>
      </c>
      <c r="S3481" s="12">
        <v>0.61387114400088905</v>
      </c>
      <c r="T3481" s="12">
        <v>0.62156428135494401</v>
      </c>
      <c r="U3481" s="12">
        <v>0.94516588635360477</v>
      </c>
      <c r="V3481" s="12">
        <v>278.87940630624269</v>
      </c>
      <c r="W3481" s="12">
        <v>1.95751783929127</v>
      </c>
      <c r="X3481" s="12">
        <v>25.131940356920051</v>
      </c>
      <c r="Y3481" s="12">
        <v>1172.9967815629279</v>
      </c>
      <c r="Z3481" s="12">
        <v>1.642033232194511</v>
      </c>
      <c r="AA3481" s="12"/>
      <c r="AB3481" s="12"/>
    </row>
    <row r="3482" spans="1:28" x14ac:dyDescent="0.3">
      <c r="A3482" s="12" t="s">
        <v>5406</v>
      </c>
      <c r="B3482" s="12" t="s">
        <v>206</v>
      </c>
      <c r="C3482" s="12" t="s">
        <v>548</v>
      </c>
      <c r="D3482" s="12" t="s">
        <v>5335</v>
      </c>
      <c r="E3482" s="12" t="s">
        <v>2978</v>
      </c>
      <c r="F3482" s="12" t="s">
        <v>32</v>
      </c>
      <c r="G3482" s="12" t="s">
        <v>32</v>
      </c>
      <c r="H3482" s="12" t="b">
        <v>1</v>
      </c>
      <c r="I3482" s="12" t="b">
        <v>1</v>
      </c>
      <c r="J3482" s="12" t="b">
        <v>0</v>
      </c>
      <c r="K3482" s="12" t="b">
        <v>0</v>
      </c>
      <c r="L3482" s="12">
        <v>451.89931682347287</v>
      </c>
      <c r="M3482" s="12">
        <v>280.52901815484779</v>
      </c>
      <c r="N3482" s="12">
        <v>3000</v>
      </c>
      <c r="O3482" s="12">
        <v>808.66706413004715</v>
      </c>
      <c r="P3482" s="12">
        <v>0.75301818505018714</v>
      </c>
      <c r="Q3482" s="12">
        <v>0.52336971626682038</v>
      </c>
      <c r="R3482" s="12">
        <v>0.71587565529991359</v>
      </c>
      <c r="S3482" s="12">
        <v>0.71086714142940388</v>
      </c>
      <c r="T3482" s="12">
        <v>0.69179345040083351</v>
      </c>
      <c r="U3482" s="12">
        <v>0.92866506552119599</v>
      </c>
      <c r="V3482" s="12">
        <v>280.52901815484779</v>
      </c>
      <c r="W3482" s="12">
        <v>6.3129240086815797</v>
      </c>
      <c r="X3482" s="12">
        <v>82.434969715795688</v>
      </c>
      <c r="Y3482" s="12">
        <v>2191.332935869953</v>
      </c>
      <c r="Z3482" s="12">
        <v>3.709808564081138</v>
      </c>
      <c r="AA3482" s="12"/>
      <c r="AB3482" s="12"/>
    </row>
    <row r="3483" spans="1:28" x14ac:dyDescent="0.3">
      <c r="A3483" s="12" t="s">
        <v>5407</v>
      </c>
      <c r="B3483" s="12" t="s">
        <v>206</v>
      </c>
      <c r="C3483" s="12" t="s">
        <v>548</v>
      </c>
      <c r="D3483" s="12" t="s">
        <v>5335</v>
      </c>
      <c r="E3483" s="12" t="s">
        <v>2978</v>
      </c>
      <c r="F3483" s="12" t="s">
        <v>1861</v>
      </c>
      <c r="G3483" s="12" t="s">
        <v>1861</v>
      </c>
      <c r="H3483" s="12" t="b">
        <v>1</v>
      </c>
      <c r="I3483" s="12" t="b">
        <v>0</v>
      </c>
      <c r="J3483" s="12" t="b">
        <v>0</v>
      </c>
      <c r="K3483" s="12" t="b">
        <v>0</v>
      </c>
      <c r="L3483" s="12">
        <v>428.46090973647449</v>
      </c>
      <c r="M3483" s="12">
        <v>297.23285474315242</v>
      </c>
      <c r="N3483" s="12">
        <v>3000</v>
      </c>
      <c r="O3483" s="12">
        <v>1113.435898165091</v>
      </c>
      <c r="P3483" s="12">
        <v>0.78937256167288461</v>
      </c>
      <c r="Q3483" s="12">
        <v>0.86464032613547026</v>
      </c>
      <c r="R3483" s="12">
        <v>0.46170436112409219</v>
      </c>
      <c r="S3483" s="12">
        <v>0.8317402394774277</v>
      </c>
      <c r="T3483" s="12">
        <v>0.8278661063137136</v>
      </c>
      <c r="U3483" s="12">
        <v>0.85243552153333857</v>
      </c>
      <c r="V3483" s="12">
        <v>297.23285474315242</v>
      </c>
      <c r="W3483" s="12">
        <v>8.5062014377860802</v>
      </c>
      <c r="X3483" s="12">
        <v>97.680828069457704</v>
      </c>
      <c r="Y3483" s="12">
        <v>1886.564101834909</v>
      </c>
      <c r="Z3483" s="12">
        <v>2.6943625627159231</v>
      </c>
      <c r="AA3483" s="12" t="s">
        <v>1268</v>
      </c>
      <c r="AB3483" s="12"/>
    </row>
    <row r="3484" spans="1:28" x14ac:dyDescent="0.3">
      <c r="A3484" s="12" t="s">
        <v>5408</v>
      </c>
      <c r="B3484" s="12" t="s">
        <v>206</v>
      </c>
      <c r="C3484" s="12" t="s">
        <v>548</v>
      </c>
      <c r="D3484" s="12" t="s">
        <v>5335</v>
      </c>
      <c r="E3484" s="12" t="s">
        <v>2978</v>
      </c>
      <c r="F3484" s="12" t="s">
        <v>832</v>
      </c>
      <c r="G3484" s="12" t="s">
        <v>832</v>
      </c>
      <c r="H3484" s="12" t="b">
        <v>0</v>
      </c>
      <c r="I3484" s="12" t="b">
        <v>0</v>
      </c>
      <c r="J3484" s="12" t="b">
        <v>0</v>
      </c>
      <c r="K3484" s="12" t="b">
        <v>0</v>
      </c>
      <c r="L3484" s="12">
        <v>503.44552021782391</v>
      </c>
      <c r="M3484" s="12">
        <v>289.67201250932072</v>
      </c>
      <c r="N3484" s="12">
        <v>3000</v>
      </c>
      <c r="O3484" s="12">
        <v>302.71289768408792</v>
      </c>
      <c r="P3484" s="12">
        <v>0.77269715238748082</v>
      </c>
      <c r="Q3484" s="12">
        <v>0.68989801248194327</v>
      </c>
      <c r="R3484" s="12">
        <v>0.48387621957527699</v>
      </c>
      <c r="S3484" s="12">
        <v>0.59660615092722824</v>
      </c>
      <c r="T3484" s="12">
        <v>0.84326556033028122</v>
      </c>
      <c r="U3484" s="12">
        <v>0.62478974348585481</v>
      </c>
      <c r="V3484" s="12">
        <v>289.67201250932072</v>
      </c>
      <c r="W3484" s="12"/>
      <c r="X3484" s="12"/>
      <c r="Y3484" s="12">
        <v>2697.2871023159119</v>
      </c>
      <c r="Z3484" s="12">
        <v>9.9103805055931566</v>
      </c>
      <c r="AA3484" s="12"/>
      <c r="AB3484" s="12"/>
    </row>
    <row r="3485" spans="1:28" x14ac:dyDescent="0.3">
      <c r="A3485" s="12" t="s">
        <v>5409</v>
      </c>
      <c r="B3485" s="12" t="s">
        <v>206</v>
      </c>
      <c r="C3485" s="12" t="s">
        <v>548</v>
      </c>
      <c r="D3485" s="12" t="s">
        <v>5335</v>
      </c>
      <c r="E3485" s="12" t="s">
        <v>2978</v>
      </c>
      <c r="F3485" s="12" t="s">
        <v>32</v>
      </c>
      <c r="G3485" s="12" t="s">
        <v>32</v>
      </c>
      <c r="H3485" s="12" t="b">
        <v>1</v>
      </c>
      <c r="I3485" s="12" t="b">
        <v>1</v>
      </c>
      <c r="J3485" s="12" t="b">
        <v>0</v>
      </c>
      <c r="K3485" s="12" t="b">
        <v>0</v>
      </c>
      <c r="L3485" s="12">
        <v>435.68651773155801</v>
      </c>
      <c r="M3485" s="12">
        <v>299.69723607269032</v>
      </c>
      <c r="N3485" s="12">
        <v>3000</v>
      </c>
      <c r="O3485" s="12">
        <v>1604.7406616417661</v>
      </c>
      <c r="P3485" s="12">
        <v>0.57823336240689893</v>
      </c>
      <c r="Q3485" s="12">
        <v>0.7365346590895695</v>
      </c>
      <c r="R3485" s="12">
        <v>0.58152716319217013</v>
      </c>
      <c r="S3485" s="12">
        <v>0.50414745235256353</v>
      </c>
      <c r="T3485" s="12">
        <v>0.75710023980067798</v>
      </c>
      <c r="U3485" s="12">
        <v>0.8233830158782669</v>
      </c>
      <c r="V3485" s="12">
        <v>299.69723607269032</v>
      </c>
      <c r="W3485" s="12">
        <v>3.8010141223943199</v>
      </c>
      <c r="X3485" s="12">
        <v>20.48706136153293</v>
      </c>
      <c r="Y3485" s="12">
        <v>1395.2593383582339</v>
      </c>
      <c r="Z3485" s="12">
        <v>1.869460948868076</v>
      </c>
      <c r="AA3485" s="12"/>
      <c r="AB3485" s="12"/>
    </row>
    <row r="3486" spans="1:28" x14ac:dyDescent="0.3">
      <c r="A3486" s="12" t="s">
        <v>5410</v>
      </c>
      <c r="B3486" s="12" t="s">
        <v>206</v>
      </c>
      <c r="C3486" s="12" t="s">
        <v>548</v>
      </c>
      <c r="D3486" s="12" t="s">
        <v>5335</v>
      </c>
      <c r="E3486" s="12" t="s">
        <v>2978</v>
      </c>
      <c r="F3486" s="12" t="s">
        <v>1861</v>
      </c>
      <c r="G3486" s="12" t="s">
        <v>1861</v>
      </c>
      <c r="H3486" s="12" t="b">
        <v>1</v>
      </c>
      <c r="I3486" s="12" t="b">
        <v>0</v>
      </c>
      <c r="J3486" s="12" t="b">
        <v>0</v>
      </c>
      <c r="K3486" s="12" t="b">
        <v>0</v>
      </c>
      <c r="L3486" s="12">
        <v>411.61798744219033</v>
      </c>
      <c r="M3486" s="12">
        <v>279.26550944027991</v>
      </c>
      <c r="N3486" s="12">
        <v>3000</v>
      </c>
      <c r="O3486" s="12">
        <v>1745.5528878152861</v>
      </c>
      <c r="P3486" s="12">
        <v>0.61969515700013</v>
      </c>
      <c r="Q3486" s="12">
        <v>0.88685599909163004</v>
      </c>
      <c r="R3486" s="12">
        <v>0.78612823300491119</v>
      </c>
      <c r="S3486" s="12">
        <v>0.9332172956334932</v>
      </c>
      <c r="T3486" s="12">
        <v>0.88796565949015904</v>
      </c>
      <c r="U3486" s="12">
        <v>0.4962320282191946</v>
      </c>
      <c r="V3486" s="12">
        <v>279.26550944027991</v>
      </c>
      <c r="W3486" s="12">
        <v>4.3760309702132503</v>
      </c>
      <c r="X3486" s="12">
        <v>22.613928997156481</v>
      </c>
      <c r="Y3486" s="12">
        <v>1254.4471121847139</v>
      </c>
      <c r="Z3486" s="12">
        <v>1.7186531676818839</v>
      </c>
      <c r="AA3486" s="12" t="s">
        <v>1268</v>
      </c>
      <c r="AB3486" s="12"/>
    </row>
    <row r="3487" spans="1:28" x14ac:dyDescent="0.3">
      <c r="A3487" s="12" t="s">
        <v>5411</v>
      </c>
      <c r="B3487" s="12" t="s">
        <v>206</v>
      </c>
      <c r="C3487" s="12" t="s">
        <v>548</v>
      </c>
      <c r="D3487" s="12" t="s">
        <v>5335</v>
      </c>
      <c r="E3487" s="12" t="s">
        <v>2978</v>
      </c>
      <c r="F3487" s="12" t="s">
        <v>1861</v>
      </c>
      <c r="G3487" s="12" t="s">
        <v>1861</v>
      </c>
      <c r="H3487" s="12" t="b">
        <v>1</v>
      </c>
      <c r="I3487" s="12" t="b">
        <v>0</v>
      </c>
      <c r="J3487" s="12" t="b">
        <v>1</v>
      </c>
      <c r="K3487" s="12" t="b">
        <v>0</v>
      </c>
      <c r="L3487" s="12">
        <v>497.9605335833927</v>
      </c>
      <c r="M3487" s="12">
        <v>297.81847081704569</v>
      </c>
      <c r="N3487" s="12">
        <v>3000</v>
      </c>
      <c r="O3487" s="12">
        <v>913.06228554421898</v>
      </c>
      <c r="P3487" s="12">
        <v>0.62466626282721394</v>
      </c>
      <c r="Q3487" s="12">
        <v>0.76132839644731642</v>
      </c>
      <c r="R3487" s="12">
        <v>0.89574884499794505</v>
      </c>
      <c r="S3487" s="12">
        <v>0.76299028006043002</v>
      </c>
      <c r="T3487" s="12">
        <v>0.76327855726806537</v>
      </c>
      <c r="U3487" s="12">
        <v>0.46629434747854032</v>
      </c>
      <c r="V3487" s="12">
        <v>297.81847081704569</v>
      </c>
      <c r="W3487" s="12">
        <v>4.31947722468436</v>
      </c>
      <c r="X3487" s="12">
        <v>38.460510477028009</v>
      </c>
      <c r="Y3487" s="12">
        <v>2086.9377144557811</v>
      </c>
      <c r="Z3487" s="12">
        <v>3.285646606476456</v>
      </c>
      <c r="AA3487" s="12" t="s">
        <v>1268</v>
      </c>
      <c r="AB3487" s="12"/>
    </row>
    <row r="3488" spans="1:28" x14ac:dyDescent="0.3">
      <c r="A3488" s="12" t="s">
        <v>5412</v>
      </c>
      <c r="B3488" s="12" t="s">
        <v>206</v>
      </c>
      <c r="C3488" s="12" t="s">
        <v>548</v>
      </c>
      <c r="D3488" s="12" t="s">
        <v>5335</v>
      </c>
      <c r="E3488" s="12" t="s">
        <v>2978</v>
      </c>
      <c r="F3488" s="12" t="s">
        <v>32</v>
      </c>
      <c r="G3488" s="12" t="s">
        <v>32</v>
      </c>
      <c r="H3488" s="12" t="b">
        <v>1</v>
      </c>
      <c r="I3488" s="12" t="b">
        <v>1</v>
      </c>
      <c r="J3488" s="12" t="b">
        <v>0</v>
      </c>
      <c r="K3488" s="12" t="b">
        <v>0</v>
      </c>
      <c r="L3488" s="12">
        <v>382.27826882852338</v>
      </c>
      <c r="M3488" s="12">
        <v>282.24091015120291</v>
      </c>
      <c r="N3488" s="12">
        <v>3000</v>
      </c>
      <c r="O3488" s="12">
        <v>1996.125013530389</v>
      </c>
      <c r="P3488" s="12">
        <v>0.71246426162799414</v>
      </c>
      <c r="Q3488" s="12">
        <v>0.72226778455596352</v>
      </c>
      <c r="R3488" s="12">
        <v>0.80197702579493768</v>
      </c>
      <c r="S3488" s="12">
        <v>0.52666112793302844</v>
      </c>
      <c r="T3488" s="12">
        <v>0.79108822888482311</v>
      </c>
      <c r="U3488" s="12">
        <v>0.5864939498926719</v>
      </c>
      <c r="V3488" s="12">
        <v>282.24091015120291</v>
      </c>
      <c r="W3488" s="12">
        <v>2.6110739461809001</v>
      </c>
      <c r="X3488" s="12">
        <v>8.1978798074995289</v>
      </c>
      <c r="Y3488" s="12">
        <v>1003.874986469611</v>
      </c>
      <c r="Z3488" s="12">
        <v>1.5029118816031151</v>
      </c>
      <c r="AA3488" s="12"/>
      <c r="AB3488" s="12"/>
    </row>
    <row r="3489" spans="1:28" x14ac:dyDescent="0.3">
      <c r="A3489" s="12" t="s">
        <v>5413</v>
      </c>
      <c r="B3489" s="12" t="s">
        <v>206</v>
      </c>
      <c r="C3489" s="12" t="s">
        <v>548</v>
      </c>
      <c r="D3489" s="12" t="s">
        <v>5335</v>
      </c>
      <c r="E3489" s="12" t="s">
        <v>2978</v>
      </c>
      <c r="F3489" s="12" t="s">
        <v>32</v>
      </c>
      <c r="G3489" s="12" t="s">
        <v>32</v>
      </c>
      <c r="H3489" s="12" t="b">
        <v>1</v>
      </c>
      <c r="I3489" s="12" t="b">
        <v>0</v>
      </c>
      <c r="J3489" s="12" t="b">
        <v>1</v>
      </c>
      <c r="K3489" s="12" t="b">
        <v>0</v>
      </c>
      <c r="L3489" s="12">
        <v>431.01709647502889</v>
      </c>
      <c r="M3489" s="12">
        <v>301.34852087347622</v>
      </c>
      <c r="N3489" s="12">
        <v>3000</v>
      </c>
      <c r="O3489" s="12">
        <v>734.96046580678922</v>
      </c>
      <c r="P3489" s="12">
        <v>0.51882299565291012</v>
      </c>
      <c r="Q3489" s="12">
        <v>0.71200282937912229</v>
      </c>
      <c r="R3489" s="12">
        <v>0.88512434922215544</v>
      </c>
      <c r="S3489" s="12">
        <v>0.94076081211480045</v>
      </c>
      <c r="T3489" s="12">
        <v>0.6781088967124711</v>
      </c>
      <c r="U3489" s="12">
        <v>0.90943473083797421</v>
      </c>
      <c r="V3489" s="12">
        <v>301.34852087347622</v>
      </c>
      <c r="W3489" s="12">
        <v>7.8679086377548098</v>
      </c>
      <c r="X3489" s="12">
        <v>64.45809499965381</v>
      </c>
      <c r="Y3489" s="12">
        <v>2265.0395341932108</v>
      </c>
      <c r="Z3489" s="12">
        <v>4.0818522078011439</v>
      </c>
      <c r="AA3489" s="12"/>
      <c r="AB3489" s="12"/>
    </row>
    <row r="3490" spans="1:28" x14ac:dyDescent="0.3">
      <c r="A3490" s="12" t="s">
        <v>5414</v>
      </c>
      <c r="B3490" s="12" t="s">
        <v>206</v>
      </c>
      <c r="C3490" s="12" t="s">
        <v>548</v>
      </c>
      <c r="D3490" s="12" t="s">
        <v>5335</v>
      </c>
      <c r="E3490" s="12" t="s">
        <v>2978</v>
      </c>
      <c r="F3490" s="12" t="s">
        <v>1862</v>
      </c>
      <c r="G3490" s="12" t="s">
        <v>1862</v>
      </c>
      <c r="H3490" s="12" t="b">
        <v>1</v>
      </c>
      <c r="I3490" s="12" t="b">
        <v>0</v>
      </c>
      <c r="J3490" s="12" t="b">
        <v>1</v>
      </c>
      <c r="K3490" s="12" t="b">
        <v>0</v>
      </c>
      <c r="L3490" s="12">
        <v>457.63754230217711</v>
      </c>
      <c r="M3490" s="12">
        <v>285.43727846350271</v>
      </c>
      <c r="N3490" s="12">
        <v>3000</v>
      </c>
      <c r="O3490" s="12">
        <v>425.24221840449621</v>
      </c>
      <c r="P3490" s="12">
        <v>0.76560805187210546</v>
      </c>
      <c r="Q3490" s="12">
        <v>0.42559829970513458</v>
      </c>
      <c r="R3490" s="12">
        <v>0.5551602839916433</v>
      </c>
      <c r="S3490" s="12">
        <v>0.43586858107955467</v>
      </c>
      <c r="T3490" s="12">
        <v>0.41949388897951911</v>
      </c>
      <c r="U3490" s="12">
        <v>0.42540580253599358</v>
      </c>
      <c r="V3490" s="12">
        <v>285.43727846350271</v>
      </c>
      <c r="W3490" s="12">
        <v>-92.554146237588881</v>
      </c>
      <c r="X3490" s="12">
        <v>-251.01480982487109</v>
      </c>
      <c r="Y3490" s="12">
        <v>2574.7577815955042</v>
      </c>
      <c r="Z3490" s="12">
        <v>7.0548028162771912</v>
      </c>
      <c r="AA3490" s="12" t="s">
        <v>2513</v>
      </c>
      <c r="AB3490" s="12"/>
    </row>
    <row r="3491" spans="1:28" x14ac:dyDescent="0.3">
      <c r="A3491" s="12" t="s">
        <v>5415</v>
      </c>
      <c r="B3491" s="12" t="s">
        <v>206</v>
      </c>
      <c r="C3491" s="12" t="s">
        <v>548</v>
      </c>
      <c r="D3491" s="12" t="s">
        <v>5335</v>
      </c>
      <c r="E3491" s="12" t="s">
        <v>2978</v>
      </c>
      <c r="F3491" s="12" t="s">
        <v>832</v>
      </c>
      <c r="G3491" s="12" t="s">
        <v>832</v>
      </c>
      <c r="H3491" s="12" t="b">
        <v>0</v>
      </c>
      <c r="I3491" s="12" t="b">
        <v>0</v>
      </c>
      <c r="J3491" s="12" t="b">
        <v>0</v>
      </c>
      <c r="K3491" s="12" t="b">
        <v>0</v>
      </c>
      <c r="L3491" s="12">
        <v>447.91063995152871</v>
      </c>
      <c r="M3491" s="12">
        <v>287.29095271759911</v>
      </c>
      <c r="N3491" s="12">
        <v>3000</v>
      </c>
      <c r="O3491" s="12">
        <v>417.17433799760312</v>
      </c>
      <c r="P3491" s="12">
        <v>0.82226749763391915</v>
      </c>
      <c r="Q3491" s="12">
        <v>0.92318628377930723</v>
      </c>
      <c r="R3491" s="12">
        <v>0.8506281103273825</v>
      </c>
      <c r="S3491" s="12">
        <v>0.49663667182086552</v>
      </c>
      <c r="T3491" s="12">
        <v>0.59522989595675269</v>
      </c>
      <c r="U3491" s="12">
        <v>0.4543017769482241</v>
      </c>
      <c r="V3491" s="12">
        <v>287.29095271759911</v>
      </c>
      <c r="W3491" s="12"/>
      <c r="X3491" s="12"/>
      <c r="Y3491" s="12">
        <v>2582.8256620023972</v>
      </c>
      <c r="Z3491" s="12">
        <v>7.1912381149802087</v>
      </c>
      <c r="AA3491" s="12"/>
      <c r="AB3491" s="12"/>
    </row>
    <row r="3492" spans="1:28" x14ac:dyDescent="0.3">
      <c r="A3492" s="12" t="s">
        <v>5416</v>
      </c>
      <c r="B3492" s="12" t="s">
        <v>206</v>
      </c>
      <c r="C3492" s="12" t="s">
        <v>548</v>
      </c>
      <c r="D3492" s="12" t="s">
        <v>5335</v>
      </c>
      <c r="E3492" s="12" t="s">
        <v>2978</v>
      </c>
      <c r="F3492" s="12" t="s">
        <v>1861</v>
      </c>
      <c r="G3492" s="12" t="s">
        <v>1861</v>
      </c>
      <c r="H3492" s="12" t="b">
        <v>1</v>
      </c>
      <c r="I3492" s="12" t="b">
        <v>0</v>
      </c>
      <c r="J3492" s="12" t="b">
        <v>1</v>
      </c>
      <c r="K3492" s="12" t="b">
        <v>0</v>
      </c>
      <c r="L3492" s="12">
        <v>463.74345691892722</v>
      </c>
      <c r="M3492" s="12">
        <v>292.77059913441423</v>
      </c>
      <c r="N3492" s="12">
        <v>3000</v>
      </c>
      <c r="O3492" s="12">
        <v>1450.8499631879099</v>
      </c>
      <c r="P3492" s="12">
        <v>0.56060438323857031</v>
      </c>
      <c r="Q3492" s="12">
        <v>0.56343363086260934</v>
      </c>
      <c r="R3492" s="12">
        <v>0.41823495949360823</v>
      </c>
      <c r="S3492" s="12">
        <v>0.6760875399205647</v>
      </c>
      <c r="T3492" s="12">
        <v>0.93021061260311555</v>
      </c>
      <c r="U3492" s="12">
        <v>0.73255048205302886</v>
      </c>
      <c r="V3492" s="12">
        <v>292.77059913441423</v>
      </c>
      <c r="W3492" s="12">
        <v>2.6786032055584199</v>
      </c>
      <c r="X3492" s="12">
        <v>29.84862358861615</v>
      </c>
      <c r="Y3492" s="12">
        <v>1549.1500368120901</v>
      </c>
      <c r="Z3492" s="12">
        <v>2.0677534384108118</v>
      </c>
      <c r="AA3492" s="12" t="s">
        <v>1268</v>
      </c>
      <c r="AB3492" s="12"/>
    </row>
    <row r="3493" spans="1:28" x14ac:dyDescent="0.3">
      <c r="A3493" s="12" t="s">
        <v>5417</v>
      </c>
      <c r="B3493" s="12" t="s">
        <v>206</v>
      </c>
      <c r="C3493" s="12" t="s">
        <v>548</v>
      </c>
      <c r="D3493" s="12" t="s">
        <v>5335</v>
      </c>
      <c r="E3493" s="12" t="s">
        <v>2978</v>
      </c>
      <c r="F3493" s="12" t="s">
        <v>1862</v>
      </c>
      <c r="G3493" s="12" t="s">
        <v>1862</v>
      </c>
      <c r="H3493" s="12" t="b">
        <v>1</v>
      </c>
      <c r="I3493" s="12" t="b">
        <v>0</v>
      </c>
      <c r="J3493" s="12" t="b">
        <v>0</v>
      </c>
      <c r="K3493" s="12" t="b">
        <v>0</v>
      </c>
      <c r="L3493" s="12">
        <v>419.09088162681121</v>
      </c>
      <c r="M3493" s="12">
        <v>295.22715666012459</v>
      </c>
      <c r="N3493" s="12">
        <v>3000</v>
      </c>
      <c r="O3493" s="12">
        <v>930.36166443203194</v>
      </c>
      <c r="P3493" s="12">
        <v>0.7089054624123905</v>
      </c>
      <c r="Q3493" s="12">
        <v>0.48351178817269408</v>
      </c>
      <c r="R3493" s="12">
        <v>0.67707559127229988</v>
      </c>
      <c r="S3493" s="12">
        <v>0.70601046611978457</v>
      </c>
      <c r="T3493" s="12">
        <v>0.52560139141930295</v>
      </c>
      <c r="U3493" s="12">
        <v>0.56733726251239325</v>
      </c>
      <c r="V3493" s="12">
        <v>295.22715666012459</v>
      </c>
      <c r="W3493" s="12">
        <v>-1.36706017269081</v>
      </c>
      <c r="X3493" s="12">
        <v>-7.8496071928038944</v>
      </c>
      <c r="Y3493" s="12">
        <v>2069.6383355679682</v>
      </c>
      <c r="Z3493" s="12">
        <v>3.2245524667350121</v>
      </c>
      <c r="AA3493" s="12" t="s">
        <v>2513</v>
      </c>
      <c r="AB3493" s="12"/>
    </row>
    <row r="3494" spans="1:28" x14ac:dyDescent="0.3">
      <c r="A3494" s="12" t="s">
        <v>5418</v>
      </c>
      <c r="B3494" s="12" t="s">
        <v>206</v>
      </c>
      <c r="C3494" s="12" t="s">
        <v>548</v>
      </c>
      <c r="D3494" s="12" t="s">
        <v>5335</v>
      </c>
      <c r="E3494" s="12" t="s">
        <v>2978</v>
      </c>
      <c r="F3494" s="12" t="s">
        <v>1862</v>
      </c>
      <c r="G3494" s="12" t="s">
        <v>1862</v>
      </c>
      <c r="H3494" s="12" t="b">
        <v>1</v>
      </c>
      <c r="I3494" s="12" t="b">
        <v>0</v>
      </c>
      <c r="J3494" s="12" t="b">
        <v>1</v>
      </c>
      <c r="K3494" s="12" t="b">
        <v>0</v>
      </c>
      <c r="L3494" s="12">
        <v>437.97998304417888</v>
      </c>
      <c r="M3494" s="12">
        <v>291.4061203689588</v>
      </c>
      <c r="N3494" s="12">
        <v>3000</v>
      </c>
      <c r="O3494" s="12">
        <v>1570.295423895149</v>
      </c>
      <c r="P3494" s="12">
        <v>0.69508571103464856</v>
      </c>
      <c r="Q3494" s="12">
        <v>0.44933991865889422</v>
      </c>
      <c r="R3494" s="12">
        <v>0.69593491748813807</v>
      </c>
      <c r="S3494" s="12">
        <v>0.76360293462981765</v>
      </c>
      <c r="T3494" s="12">
        <v>0.50405773414685495</v>
      </c>
      <c r="U3494" s="12">
        <v>0.40159685263303119</v>
      </c>
      <c r="V3494" s="12">
        <v>291.4061203689588</v>
      </c>
      <c r="W3494" s="12">
        <v>-5.5460270396240814</v>
      </c>
      <c r="X3494" s="12">
        <v>-30.883824140088361</v>
      </c>
      <c r="Y3494" s="12">
        <v>1429.704576104851</v>
      </c>
      <c r="Z3494" s="12">
        <v>1.9104685362697169</v>
      </c>
      <c r="AA3494" s="12" t="s">
        <v>2513</v>
      </c>
      <c r="AB3494" s="12"/>
    </row>
    <row r="3495" spans="1:28" x14ac:dyDescent="0.3">
      <c r="A3495" s="12" t="s">
        <v>5419</v>
      </c>
      <c r="B3495" s="12" t="s">
        <v>206</v>
      </c>
      <c r="C3495" s="12" t="s">
        <v>548</v>
      </c>
      <c r="D3495" s="12" t="s">
        <v>5335</v>
      </c>
      <c r="E3495" s="12" t="s">
        <v>2978</v>
      </c>
      <c r="F3495" s="12" t="s">
        <v>832</v>
      </c>
      <c r="G3495" s="12" t="s">
        <v>832</v>
      </c>
      <c r="H3495" s="12" t="b">
        <v>0</v>
      </c>
      <c r="I3495" s="12" t="b">
        <v>0</v>
      </c>
      <c r="J3495" s="12" t="b">
        <v>0</v>
      </c>
      <c r="K3495" s="12" t="b">
        <v>0</v>
      </c>
      <c r="L3495" s="12">
        <v>453.65596633868921</v>
      </c>
      <c r="M3495" s="12">
        <v>302.70302371395769</v>
      </c>
      <c r="N3495" s="12">
        <v>3000</v>
      </c>
      <c r="O3495" s="12">
        <v>571.32666524077172</v>
      </c>
      <c r="P3495" s="12">
        <v>0.8473150217400045</v>
      </c>
      <c r="Q3495" s="12">
        <v>0.73027889422976</v>
      </c>
      <c r="R3495" s="12">
        <v>0.4365236002183267</v>
      </c>
      <c r="S3495" s="12">
        <v>0.85373657816747461</v>
      </c>
      <c r="T3495" s="12">
        <v>0.74438624051018287</v>
      </c>
      <c r="U3495" s="12">
        <v>0.4138443638629713</v>
      </c>
      <c r="V3495" s="12">
        <v>302.70302371395769</v>
      </c>
      <c r="W3495" s="12"/>
      <c r="X3495" s="12"/>
      <c r="Y3495" s="12">
        <v>2428.6733347592281</v>
      </c>
      <c r="Z3495" s="12">
        <v>5.2509364300994479</v>
      </c>
      <c r="AA3495" s="12"/>
      <c r="AB3495" s="12"/>
    </row>
    <row r="3496" spans="1:28" x14ac:dyDescent="0.3">
      <c r="A3496" s="12" t="s">
        <v>5420</v>
      </c>
      <c r="B3496" s="12" t="s">
        <v>206</v>
      </c>
      <c r="C3496" s="12" t="s">
        <v>548</v>
      </c>
      <c r="D3496" s="12" t="s">
        <v>5335</v>
      </c>
      <c r="E3496" s="12" t="s">
        <v>2978</v>
      </c>
      <c r="F3496" s="12" t="s">
        <v>1861</v>
      </c>
      <c r="G3496" s="12" t="s">
        <v>1861</v>
      </c>
      <c r="H3496" s="12" t="b">
        <v>1</v>
      </c>
      <c r="I3496" s="12" t="b">
        <v>0</v>
      </c>
      <c r="J3496" s="12" t="b">
        <v>1</v>
      </c>
      <c r="K3496" s="12" t="b">
        <v>0</v>
      </c>
      <c r="L3496" s="12">
        <v>437.00694278317877</v>
      </c>
      <c r="M3496" s="12">
        <v>280.00749284245302</v>
      </c>
      <c r="N3496" s="12">
        <v>3000</v>
      </c>
      <c r="O3496" s="12">
        <v>911.53309324786323</v>
      </c>
      <c r="P3496" s="12">
        <v>0.67232856607939395</v>
      </c>
      <c r="Q3496" s="12">
        <v>0.60869972768304748</v>
      </c>
      <c r="R3496" s="12">
        <v>0.57461064566633602</v>
      </c>
      <c r="S3496" s="12">
        <v>0.88497413853707174</v>
      </c>
      <c r="T3496" s="12">
        <v>0.71049527103508359</v>
      </c>
      <c r="U3496" s="12">
        <v>0.6119266996081929</v>
      </c>
      <c r="V3496" s="12">
        <v>280.00749284245302</v>
      </c>
      <c r="W3496" s="12">
        <v>1.75155342265862</v>
      </c>
      <c r="X3496" s="12">
        <v>15.53098590820885</v>
      </c>
      <c r="Y3496" s="12">
        <v>2088.4669067521372</v>
      </c>
      <c r="Z3496" s="12">
        <v>3.2911586230081529</v>
      </c>
      <c r="AA3496" s="12" t="s">
        <v>1268</v>
      </c>
      <c r="AB3496" s="12"/>
    </row>
    <row r="3497" spans="1:28" x14ac:dyDescent="0.3">
      <c r="A3497" s="12" t="s">
        <v>5421</v>
      </c>
      <c r="B3497" s="12" t="s">
        <v>206</v>
      </c>
      <c r="C3497" s="12" t="s">
        <v>548</v>
      </c>
      <c r="D3497" s="12" t="s">
        <v>5335</v>
      </c>
      <c r="E3497" s="12" t="s">
        <v>2978</v>
      </c>
      <c r="F3497" s="12" t="s">
        <v>1861</v>
      </c>
      <c r="G3497" s="12" t="s">
        <v>1861</v>
      </c>
      <c r="H3497" s="12" t="b">
        <v>1</v>
      </c>
      <c r="I3497" s="12" t="b">
        <v>0</v>
      </c>
      <c r="J3497" s="12" t="b">
        <v>1</v>
      </c>
      <c r="K3497" s="12" t="b">
        <v>0</v>
      </c>
      <c r="L3497" s="12">
        <v>478.21930376596362</v>
      </c>
      <c r="M3497" s="12">
        <v>284.56702238097898</v>
      </c>
      <c r="N3497" s="12">
        <v>3000</v>
      </c>
      <c r="O3497" s="12">
        <v>1585.8561228929191</v>
      </c>
      <c r="P3497" s="12">
        <v>0.60862750602382731</v>
      </c>
      <c r="Q3497" s="12">
        <v>0.78396096857000375</v>
      </c>
      <c r="R3497" s="12">
        <v>0.65601655188500274</v>
      </c>
      <c r="S3497" s="12">
        <v>0.72600736241274755</v>
      </c>
      <c r="T3497" s="12">
        <v>0.58861795842663933</v>
      </c>
      <c r="U3497" s="12">
        <v>0.76145009895567561</v>
      </c>
      <c r="V3497" s="12">
        <v>284.56702238097898</v>
      </c>
      <c r="W3497" s="12">
        <v>4.5396258446118702</v>
      </c>
      <c r="X3497" s="12">
        <v>60.467822528615059</v>
      </c>
      <c r="Y3497" s="12">
        <v>1414.1438771070809</v>
      </c>
      <c r="Z3497" s="12">
        <v>1.8917226832200891</v>
      </c>
      <c r="AA3497" s="12" t="s">
        <v>1268</v>
      </c>
      <c r="AB3497" s="12"/>
    </row>
    <row r="3498" spans="1:28" x14ac:dyDescent="0.3">
      <c r="A3498" s="12" t="s">
        <v>5422</v>
      </c>
      <c r="B3498" s="12" t="s">
        <v>206</v>
      </c>
      <c r="C3498" s="12" t="s">
        <v>548</v>
      </c>
      <c r="D3498" s="12" t="s">
        <v>5335</v>
      </c>
      <c r="E3498" s="12" t="s">
        <v>2978</v>
      </c>
      <c r="F3498" s="12" t="s">
        <v>1862</v>
      </c>
      <c r="G3498" s="12" t="s">
        <v>1862</v>
      </c>
      <c r="H3498" s="12" t="b">
        <v>1</v>
      </c>
      <c r="I3498" s="12" t="b">
        <v>0</v>
      </c>
      <c r="J3498" s="12" t="b">
        <v>0</v>
      </c>
      <c r="K3498" s="12" t="b">
        <v>0</v>
      </c>
      <c r="L3498" s="12">
        <v>383.2534360903644</v>
      </c>
      <c r="M3498" s="12">
        <v>300.05634769244091</v>
      </c>
      <c r="N3498" s="12">
        <v>3000</v>
      </c>
      <c r="O3498" s="12">
        <v>530.22667853384974</v>
      </c>
      <c r="P3498" s="12">
        <v>0.72224822416669876</v>
      </c>
      <c r="Q3498" s="12">
        <v>0.79999177942737931</v>
      </c>
      <c r="R3498" s="12">
        <v>0.71210310520227815</v>
      </c>
      <c r="S3498" s="12">
        <v>0.41586166719804768</v>
      </c>
      <c r="T3498" s="12">
        <v>0.62750953886200567</v>
      </c>
      <c r="U3498" s="12">
        <v>0.40802202982347718</v>
      </c>
      <c r="V3498" s="12">
        <v>300.05634769244091</v>
      </c>
      <c r="W3498" s="12">
        <v>-92.666414553163463</v>
      </c>
      <c r="X3498" s="12">
        <v>-62.170417096997852</v>
      </c>
      <c r="Y3498" s="12">
        <v>2469.7733214661498</v>
      </c>
      <c r="Z3498" s="12">
        <v>5.6579574764050271</v>
      </c>
      <c r="AA3498" s="12" t="s">
        <v>2513</v>
      </c>
      <c r="AB3498" s="12"/>
    </row>
    <row r="3499" spans="1:28" x14ac:dyDescent="0.3">
      <c r="A3499" s="12" t="s">
        <v>5423</v>
      </c>
      <c r="B3499" s="12" t="s">
        <v>206</v>
      </c>
      <c r="C3499" s="12" t="s">
        <v>548</v>
      </c>
      <c r="D3499" s="12" t="s">
        <v>5335</v>
      </c>
      <c r="E3499" s="12" t="s">
        <v>2978</v>
      </c>
      <c r="F3499" s="12" t="s">
        <v>1861</v>
      </c>
      <c r="G3499" s="12" t="s">
        <v>1861</v>
      </c>
      <c r="H3499" s="12" t="b">
        <v>1</v>
      </c>
      <c r="I3499" s="12" t="b">
        <v>0</v>
      </c>
      <c r="J3499" s="12" t="b">
        <v>0</v>
      </c>
      <c r="K3499" s="12" t="b">
        <v>0</v>
      </c>
      <c r="L3499" s="12">
        <v>397.78561099957699</v>
      </c>
      <c r="M3499" s="12">
        <v>293.66650493371048</v>
      </c>
      <c r="N3499" s="12">
        <v>3000</v>
      </c>
      <c r="O3499" s="12">
        <v>1491.847296799245</v>
      </c>
      <c r="P3499" s="12">
        <v>0.83080546655526466</v>
      </c>
      <c r="Q3499" s="12">
        <v>0.71843415648874731</v>
      </c>
      <c r="R3499" s="12">
        <v>0.4460582144443424</v>
      </c>
      <c r="S3499" s="12">
        <v>0.57094976791022367</v>
      </c>
      <c r="T3499" s="12">
        <v>0.82911588789464485</v>
      </c>
      <c r="U3499" s="12">
        <v>0.58996054316995228</v>
      </c>
      <c r="V3499" s="12">
        <v>293.66650493371048</v>
      </c>
      <c r="W3499" s="12">
        <v>0.91669117378377996</v>
      </c>
      <c r="X3499" s="12">
        <v>4.5839864492271403</v>
      </c>
      <c r="Y3499" s="12">
        <v>1508.152703200755</v>
      </c>
      <c r="Z3499" s="12">
        <v>2.0109296751996628</v>
      </c>
      <c r="AA3499" s="12" t="s">
        <v>1268</v>
      </c>
      <c r="AB3499" s="12"/>
    </row>
    <row r="3500" spans="1:28" x14ac:dyDescent="0.3">
      <c r="A3500" s="12" t="s">
        <v>5424</v>
      </c>
      <c r="B3500" s="12" t="s">
        <v>206</v>
      </c>
      <c r="C3500" s="12" t="s">
        <v>548</v>
      </c>
      <c r="D3500" s="12" t="s">
        <v>5335</v>
      </c>
      <c r="E3500" s="12" t="s">
        <v>2978</v>
      </c>
      <c r="F3500" s="12" t="s">
        <v>1862</v>
      </c>
      <c r="G3500" s="12" t="s">
        <v>1862</v>
      </c>
      <c r="H3500" s="12" t="b">
        <v>1</v>
      </c>
      <c r="I3500" s="12" t="b">
        <v>0</v>
      </c>
      <c r="J3500" s="12" t="b">
        <v>0</v>
      </c>
      <c r="K3500" s="12" t="b">
        <v>0</v>
      </c>
      <c r="L3500" s="12">
        <v>468.88600759022017</v>
      </c>
      <c r="M3500" s="12">
        <v>286.29111925895359</v>
      </c>
      <c r="N3500" s="12">
        <v>3000</v>
      </c>
      <c r="O3500" s="12">
        <v>784.81729969301432</v>
      </c>
      <c r="P3500" s="12">
        <v>0.74138075154435279</v>
      </c>
      <c r="Q3500" s="12">
        <v>0.53518716566146851</v>
      </c>
      <c r="R3500" s="12">
        <v>0.45650663166848549</v>
      </c>
      <c r="S3500" s="12">
        <v>0.54495136945852074</v>
      </c>
      <c r="T3500" s="12">
        <v>0.81620999007989714</v>
      </c>
      <c r="U3500" s="12">
        <v>0.60609977631120793</v>
      </c>
      <c r="V3500" s="12">
        <v>286.29111925895359</v>
      </c>
      <c r="W3500" s="12">
        <v>-4.2133491326758197</v>
      </c>
      <c r="X3500" s="12">
        <v>-31.709241123145489</v>
      </c>
      <c r="Y3500" s="12">
        <v>2215.1827003069861</v>
      </c>
      <c r="Z3500" s="12">
        <v>3.822545707355669</v>
      </c>
      <c r="AA3500" s="12" t="s">
        <v>2513</v>
      </c>
      <c r="AB3500" s="12"/>
    </row>
    <row r="3501" spans="1:28" x14ac:dyDescent="0.3">
      <c r="A3501" s="12" t="s">
        <v>5425</v>
      </c>
      <c r="B3501" s="12" t="s">
        <v>206</v>
      </c>
      <c r="C3501" s="12" t="s">
        <v>548</v>
      </c>
      <c r="D3501" s="12" t="s">
        <v>5335</v>
      </c>
      <c r="E3501" s="12" t="s">
        <v>2978</v>
      </c>
      <c r="F3501" s="12" t="s">
        <v>1861</v>
      </c>
      <c r="G3501" s="12" t="s">
        <v>1861</v>
      </c>
      <c r="H3501" s="12" t="b">
        <v>1</v>
      </c>
      <c r="I3501" s="12" t="b">
        <v>0</v>
      </c>
      <c r="J3501" s="12" t="b">
        <v>0</v>
      </c>
      <c r="K3501" s="12" t="b">
        <v>0</v>
      </c>
      <c r="L3501" s="12">
        <v>429.07913504802173</v>
      </c>
      <c r="M3501" s="12">
        <v>296.89109375218942</v>
      </c>
      <c r="N3501" s="12">
        <v>3000</v>
      </c>
      <c r="O3501" s="12">
        <v>947.76021751638405</v>
      </c>
      <c r="P3501" s="12">
        <v>0.7752229257281491</v>
      </c>
      <c r="Q3501" s="12">
        <v>0.6595443233213778</v>
      </c>
      <c r="R3501" s="12">
        <v>0.49006762123740422</v>
      </c>
      <c r="S3501" s="12">
        <v>0.45662884838068069</v>
      </c>
      <c r="T3501" s="12">
        <v>0.45666109692967483</v>
      </c>
      <c r="U3501" s="12">
        <v>0.87648473198417309</v>
      </c>
      <c r="V3501" s="12">
        <v>296.89109375218942</v>
      </c>
      <c r="W3501" s="12">
        <v>6.3070714410279392</v>
      </c>
      <c r="X3501" s="12">
        <v>42.400773292415593</v>
      </c>
      <c r="Y3501" s="12">
        <v>2052.2397824836162</v>
      </c>
      <c r="Z3501" s="12">
        <v>3.1653575920938448</v>
      </c>
      <c r="AA3501" s="12" t="s">
        <v>1268</v>
      </c>
      <c r="AB3501" s="12"/>
    </row>
    <row r="3502" spans="1:28" x14ac:dyDescent="0.3">
      <c r="A3502" s="12" t="s">
        <v>5426</v>
      </c>
      <c r="B3502" s="12" t="s">
        <v>206</v>
      </c>
      <c r="C3502" s="12" t="s">
        <v>548</v>
      </c>
      <c r="D3502" s="12" t="s">
        <v>5335</v>
      </c>
      <c r="E3502" s="12" t="s">
        <v>2978</v>
      </c>
      <c r="F3502" s="12" t="s">
        <v>1862</v>
      </c>
      <c r="G3502" s="12" t="s">
        <v>1862</v>
      </c>
      <c r="H3502" s="12" t="b">
        <v>1</v>
      </c>
      <c r="I3502" s="12" t="b">
        <v>0</v>
      </c>
      <c r="J3502" s="12" t="b">
        <v>0</v>
      </c>
      <c r="K3502" s="12" t="b">
        <v>0</v>
      </c>
      <c r="L3502" s="12">
        <v>423.0335406563749</v>
      </c>
      <c r="M3502" s="12">
        <v>278.61432279704451</v>
      </c>
      <c r="N3502" s="12">
        <v>3000</v>
      </c>
      <c r="O3502" s="12">
        <v>1643.063335728936</v>
      </c>
      <c r="P3502" s="12">
        <v>0.68634210792555883</v>
      </c>
      <c r="Q3502" s="12">
        <v>0.44198803803753262</v>
      </c>
      <c r="R3502" s="12">
        <v>0.4154948413101287</v>
      </c>
      <c r="S3502" s="12">
        <v>0.55631860094349805</v>
      </c>
      <c r="T3502" s="12">
        <v>0.91741988444859845</v>
      </c>
      <c r="U3502" s="12">
        <v>0.44708008923433418</v>
      </c>
      <c r="V3502" s="12">
        <v>278.61432279704451</v>
      </c>
      <c r="W3502" s="12">
        <v>-5.5614814158768198</v>
      </c>
      <c r="X3502" s="12">
        <v>-24.052574575581861</v>
      </c>
      <c r="Y3502" s="12">
        <v>1356.936664271064</v>
      </c>
      <c r="Z3502" s="12">
        <v>1.8258577954751001</v>
      </c>
      <c r="AA3502" s="12" t="s">
        <v>2513</v>
      </c>
      <c r="AB3502" s="12"/>
    </row>
    <row r="3503" spans="1:28" x14ac:dyDescent="0.3">
      <c r="A3503" s="12" t="s">
        <v>5427</v>
      </c>
      <c r="B3503" s="12" t="s">
        <v>206</v>
      </c>
      <c r="C3503" s="12" t="s">
        <v>548</v>
      </c>
      <c r="D3503" s="12" t="s">
        <v>5335</v>
      </c>
      <c r="E3503" s="12" t="s">
        <v>2978</v>
      </c>
      <c r="F3503" s="12" t="s">
        <v>1861</v>
      </c>
      <c r="G3503" s="12" t="s">
        <v>1861</v>
      </c>
      <c r="H3503" s="12" t="b">
        <v>1</v>
      </c>
      <c r="I3503" s="12" t="b">
        <v>0</v>
      </c>
      <c r="J3503" s="12" t="b">
        <v>0</v>
      </c>
      <c r="K3503" s="12" t="b">
        <v>0</v>
      </c>
      <c r="L3503" s="12">
        <v>420.64246137350779</v>
      </c>
      <c r="M3503" s="12">
        <v>294.59340533522982</v>
      </c>
      <c r="N3503" s="12">
        <v>3000</v>
      </c>
      <c r="O3503" s="12">
        <v>723.46700175109061</v>
      </c>
      <c r="P3503" s="12">
        <v>0.69676339526990483</v>
      </c>
      <c r="Q3503" s="12">
        <v>0.90783373477397045</v>
      </c>
      <c r="R3503" s="12">
        <v>0.53456047462661593</v>
      </c>
      <c r="S3503" s="12">
        <v>0.5074202900589162</v>
      </c>
      <c r="T3503" s="12">
        <v>0.86667149631915996</v>
      </c>
      <c r="U3503" s="12">
        <v>0.80317298872615084</v>
      </c>
      <c r="V3503" s="12">
        <v>294.59340533522982</v>
      </c>
      <c r="W3503" s="12">
        <v>11.48405136141087</v>
      </c>
      <c r="X3503" s="12">
        <v>62.927794240478988</v>
      </c>
      <c r="Y3503" s="12">
        <v>2276.5329982489088</v>
      </c>
      <c r="Z3503" s="12">
        <v>4.1466991483215603</v>
      </c>
      <c r="AA3503" s="12" t="s">
        <v>1268</v>
      </c>
      <c r="AB3503" s="12"/>
    </row>
    <row r="3504" spans="1:28" x14ac:dyDescent="0.3">
      <c r="A3504" s="12" t="s">
        <v>5428</v>
      </c>
      <c r="B3504" s="12" t="s">
        <v>206</v>
      </c>
      <c r="C3504" s="12" t="s">
        <v>548</v>
      </c>
      <c r="D3504" s="12" t="s">
        <v>5335</v>
      </c>
      <c r="E3504" s="12" t="s">
        <v>2978</v>
      </c>
      <c r="F3504" s="12" t="s">
        <v>1861</v>
      </c>
      <c r="G3504" s="12" t="s">
        <v>1861</v>
      </c>
      <c r="H3504" s="12" t="b">
        <v>1</v>
      </c>
      <c r="I3504" s="12" t="b">
        <v>0</v>
      </c>
      <c r="J3504" s="12" t="b">
        <v>0</v>
      </c>
      <c r="K3504" s="12" t="b">
        <v>0</v>
      </c>
      <c r="L3504" s="12">
        <v>424.6008788817287</v>
      </c>
      <c r="M3504" s="12">
        <v>283.50087232331919</v>
      </c>
      <c r="N3504" s="12">
        <v>3000</v>
      </c>
      <c r="O3504" s="12">
        <v>1854.535804674304</v>
      </c>
      <c r="P3504" s="12">
        <v>0.83376800638294601</v>
      </c>
      <c r="Q3504" s="12">
        <v>0.66419991673335277</v>
      </c>
      <c r="R3504" s="12">
        <v>0.63765039757717867</v>
      </c>
      <c r="S3504" s="12">
        <v>0.79589259875548768</v>
      </c>
      <c r="T3504" s="12">
        <v>0.8596876319363459</v>
      </c>
      <c r="U3504" s="12">
        <v>0.70811214687088975</v>
      </c>
      <c r="V3504" s="12">
        <v>283.50087232331919</v>
      </c>
      <c r="W3504" s="12">
        <v>2.8969435891609701</v>
      </c>
      <c r="X3504" s="12">
        <v>28.865074899939579</v>
      </c>
      <c r="Y3504" s="12">
        <v>1145.464195325696</v>
      </c>
      <c r="Z3504" s="12">
        <v>1.617655476070393</v>
      </c>
      <c r="AA3504" s="12" t="s">
        <v>1268</v>
      </c>
      <c r="AB3504" s="12"/>
    </row>
    <row r="3505" spans="1:28" x14ac:dyDescent="0.3">
      <c r="A3505" s="12" t="s">
        <v>5429</v>
      </c>
      <c r="B3505" s="12" t="s">
        <v>206</v>
      </c>
      <c r="C3505" s="12" t="s">
        <v>548</v>
      </c>
      <c r="D3505" s="12" t="s">
        <v>5335</v>
      </c>
      <c r="E3505" s="12" t="s">
        <v>2978</v>
      </c>
      <c r="F3505" s="12" t="s">
        <v>32</v>
      </c>
      <c r="G3505" s="12" t="s">
        <v>32</v>
      </c>
      <c r="H3505" s="12" t="b">
        <v>1</v>
      </c>
      <c r="I3505" s="12" t="b">
        <v>1</v>
      </c>
      <c r="J3505" s="12" t="b">
        <v>0</v>
      </c>
      <c r="K3505" s="12" t="b">
        <v>0</v>
      </c>
      <c r="L3505" s="12">
        <v>461.28584989891039</v>
      </c>
      <c r="M3505" s="12">
        <v>291.96896318267358</v>
      </c>
      <c r="N3505" s="12">
        <v>3000</v>
      </c>
      <c r="O3505" s="12">
        <v>1706.8088048137049</v>
      </c>
      <c r="P3505" s="12">
        <v>0.80263098304564873</v>
      </c>
      <c r="Q3505" s="12">
        <v>0.55321508353646076</v>
      </c>
      <c r="R3505" s="12">
        <v>0.64311010852882167</v>
      </c>
      <c r="S3505" s="12">
        <v>0.4281205211721808</v>
      </c>
      <c r="T3505" s="12">
        <v>0.84600768611426314</v>
      </c>
      <c r="U3505" s="12">
        <v>0.82364705136774474</v>
      </c>
      <c r="V3505" s="12">
        <v>291.96896318267358</v>
      </c>
      <c r="W3505" s="12">
        <v>3.2156647151466999</v>
      </c>
      <c r="X3505" s="12">
        <v>23.106857800605649</v>
      </c>
      <c r="Y3505" s="12">
        <v>1293.1911951862951</v>
      </c>
      <c r="Z3505" s="12">
        <v>1.7576661144113579</v>
      </c>
      <c r="AA3505" s="12"/>
      <c r="AB3505" s="12"/>
    </row>
    <row r="3506" spans="1:28" x14ac:dyDescent="0.3">
      <c r="A3506" s="12" t="s">
        <v>5430</v>
      </c>
      <c r="B3506" s="12" t="s">
        <v>206</v>
      </c>
      <c r="C3506" s="12" t="s">
        <v>548</v>
      </c>
      <c r="D3506" s="12" t="s">
        <v>5335</v>
      </c>
      <c r="E3506" s="12" t="s">
        <v>2978</v>
      </c>
      <c r="F3506" s="12" t="s">
        <v>1861</v>
      </c>
      <c r="G3506" s="12" t="s">
        <v>1861</v>
      </c>
      <c r="H3506" s="12" t="b">
        <v>1</v>
      </c>
      <c r="I3506" s="12" t="b">
        <v>0</v>
      </c>
      <c r="J3506" s="12" t="b">
        <v>1</v>
      </c>
      <c r="K3506" s="12" t="b">
        <v>0</v>
      </c>
      <c r="L3506" s="12">
        <v>474.5378082828941</v>
      </c>
      <c r="M3506" s="12">
        <v>298.80981164281633</v>
      </c>
      <c r="N3506" s="12">
        <v>3000</v>
      </c>
      <c r="O3506" s="12">
        <v>1891.749251062399</v>
      </c>
      <c r="P3506" s="12">
        <v>0.55829468558540107</v>
      </c>
      <c r="Q3506" s="12">
        <v>0.65731655029597902</v>
      </c>
      <c r="R3506" s="12">
        <v>0.42597736281572429</v>
      </c>
      <c r="S3506" s="12">
        <v>0.63873457797870237</v>
      </c>
      <c r="T3506" s="12">
        <v>0.69061830327476459</v>
      </c>
      <c r="U3506" s="12">
        <v>0.61660344374537912</v>
      </c>
      <c r="V3506" s="12">
        <v>298.80981164281633</v>
      </c>
      <c r="W3506" s="12">
        <v>0.32503878694431998</v>
      </c>
      <c r="X3506" s="12">
        <v>3.2517048746055859</v>
      </c>
      <c r="Y3506" s="12">
        <v>1108.250748937601</v>
      </c>
      <c r="Z3506" s="12">
        <v>1.5858338510324299</v>
      </c>
      <c r="AA3506" s="12" t="s">
        <v>1268</v>
      </c>
      <c r="AB3506" s="12"/>
    </row>
    <row r="3507" spans="1:28" x14ac:dyDescent="0.3">
      <c r="A3507" s="12" t="s">
        <v>5431</v>
      </c>
      <c r="B3507" s="12" t="s">
        <v>206</v>
      </c>
      <c r="C3507" s="12" t="s">
        <v>548</v>
      </c>
      <c r="D3507" s="12" t="s">
        <v>5335</v>
      </c>
      <c r="E3507" s="12" t="s">
        <v>2978</v>
      </c>
      <c r="F3507" s="12" t="s">
        <v>832</v>
      </c>
      <c r="G3507" s="12" t="s">
        <v>832</v>
      </c>
      <c r="H3507" s="12" t="b">
        <v>0</v>
      </c>
      <c r="I3507" s="12" t="b">
        <v>0</v>
      </c>
      <c r="J3507" s="12" t="b">
        <v>0</v>
      </c>
      <c r="K3507" s="12" t="b">
        <v>0</v>
      </c>
      <c r="L3507" s="12">
        <v>454.87165554803357</v>
      </c>
      <c r="M3507" s="12">
        <v>288.70064775661803</v>
      </c>
      <c r="N3507" s="12">
        <v>3000</v>
      </c>
      <c r="O3507" s="12">
        <v>1051.8216513618461</v>
      </c>
      <c r="P3507" s="12">
        <v>0.74703682077830447</v>
      </c>
      <c r="Q3507" s="12">
        <v>0.92244923495654796</v>
      </c>
      <c r="R3507" s="12">
        <v>0.53819604217957584</v>
      </c>
      <c r="S3507" s="12">
        <v>0.5761392297637784</v>
      </c>
      <c r="T3507" s="12">
        <v>0.89771136311120014</v>
      </c>
      <c r="U3507" s="12">
        <v>0.42989890806012399</v>
      </c>
      <c r="V3507" s="12">
        <v>288.70064775661803</v>
      </c>
      <c r="W3507" s="12"/>
      <c r="X3507" s="12"/>
      <c r="Y3507" s="12">
        <v>1948.1783486381539</v>
      </c>
      <c r="Z3507" s="12">
        <v>2.8521945675065261</v>
      </c>
      <c r="AA3507" s="12"/>
      <c r="AB3507" s="12"/>
    </row>
    <row r="3508" spans="1:28" x14ac:dyDescent="0.3">
      <c r="A3508" s="12" t="s">
        <v>5432</v>
      </c>
      <c r="B3508" s="12" t="s">
        <v>206</v>
      </c>
      <c r="C3508" s="12" t="s">
        <v>548</v>
      </c>
      <c r="D3508" s="12" t="s">
        <v>5335</v>
      </c>
      <c r="E3508" s="12" t="s">
        <v>2978</v>
      </c>
      <c r="F3508" s="12" t="s">
        <v>1861</v>
      </c>
      <c r="G3508" s="12" t="s">
        <v>1861</v>
      </c>
      <c r="H3508" s="12" t="b">
        <v>1</v>
      </c>
      <c r="I3508" s="12" t="b">
        <v>0</v>
      </c>
      <c r="J3508" s="12" t="b">
        <v>1</v>
      </c>
      <c r="K3508" s="12" t="b">
        <v>0</v>
      </c>
      <c r="L3508" s="12">
        <v>516.57391086142275</v>
      </c>
      <c r="M3508" s="12">
        <v>285.87297271534101</v>
      </c>
      <c r="N3508" s="12">
        <v>3000</v>
      </c>
      <c r="O3508" s="12">
        <v>1226.229261134544</v>
      </c>
      <c r="P3508" s="12">
        <v>0.53153805559882772</v>
      </c>
      <c r="Q3508" s="12">
        <v>0.82478643946691343</v>
      </c>
      <c r="R3508" s="12">
        <v>0.90234149201167002</v>
      </c>
      <c r="S3508" s="12">
        <v>0.51491507101528955</v>
      </c>
      <c r="T3508" s="12">
        <v>0.60390637071087705</v>
      </c>
      <c r="U3508" s="12">
        <v>0.69987743863974394</v>
      </c>
      <c r="V3508" s="12">
        <v>285.87297271534101</v>
      </c>
      <c r="W3508" s="12">
        <v>6.6173571578705399</v>
      </c>
      <c r="X3508" s="12">
        <v>67.618658108445288</v>
      </c>
      <c r="Y3508" s="12">
        <v>1773.770738865456</v>
      </c>
      <c r="Z3508" s="12">
        <v>2.4465245570997949</v>
      </c>
      <c r="AA3508" s="12" t="s">
        <v>1268</v>
      </c>
      <c r="AB3508" s="12"/>
    </row>
    <row r="3509" spans="1:28" x14ac:dyDescent="0.3">
      <c r="A3509" s="12" t="s">
        <v>5433</v>
      </c>
      <c r="B3509" s="12" t="s">
        <v>206</v>
      </c>
      <c r="C3509" s="12" t="s">
        <v>548</v>
      </c>
      <c r="D3509" s="12" t="s">
        <v>5335</v>
      </c>
      <c r="E3509" s="12" t="s">
        <v>2978</v>
      </c>
      <c r="F3509" s="12" t="s">
        <v>32</v>
      </c>
      <c r="G3509" s="12" t="s">
        <v>32</v>
      </c>
      <c r="H3509" s="12" t="b">
        <v>1</v>
      </c>
      <c r="I3509" s="12" t="b">
        <v>1</v>
      </c>
      <c r="J3509" s="12" t="b">
        <v>0</v>
      </c>
      <c r="K3509" s="12" t="b">
        <v>0</v>
      </c>
      <c r="L3509" s="12">
        <v>439.08398682031742</v>
      </c>
      <c r="M3509" s="12">
        <v>288.55392288349918</v>
      </c>
      <c r="N3509" s="12">
        <v>3000</v>
      </c>
      <c r="O3509" s="12">
        <v>1765.044531111668</v>
      </c>
      <c r="P3509" s="12">
        <v>0.68275911512940146</v>
      </c>
      <c r="Q3509" s="12">
        <v>0.61409689505839182</v>
      </c>
      <c r="R3509" s="12">
        <v>0.50993629685661368</v>
      </c>
      <c r="S3509" s="12">
        <v>0.64407459353064178</v>
      </c>
      <c r="T3509" s="12">
        <v>0.90830803849008923</v>
      </c>
      <c r="U3509" s="12">
        <v>0.83335227374493126</v>
      </c>
      <c r="V3509" s="12">
        <v>288.55392288349918</v>
      </c>
      <c r="W3509" s="12">
        <v>3.182341782303201</v>
      </c>
      <c r="X3509" s="12">
        <v>28.24736671410415</v>
      </c>
      <c r="Y3509" s="12">
        <v>1234.955468888332</v>
      </c>
      <c r="Z3509" s="12">
        <v>1.6996738309545809</v>
      </c>
      <c r="AA3509" s="12"/>
      <c r="AB3509" s="12"/>
    </row>
    <row r="3510" spans="1:28" x14ac:dyDescent="0.3">
      <c r="A3510" s="12" t="s">
        <v>5434</v>
      </c>
      <c r="B3510" s="12" t="s">
        <v>206</v>
      </c>
      <c r="C3510" s="12" t="s">
        <v>548</v>
      </c>
      <c r="D3510" s="12" t="s">
        <v>5335</v>
      </c>
      <c r="E3510" s="12" t="s">
        <v>2978</v>
      </c>
      <c r="F3510" s="12" t="s">
        <v>32</v>
      </c>
      <c r="G3510" s="12" t="s">
        <v>32</v>
      </c>
      <c r="H3510" s="12" t="b">
        <v>1</v>
      </c>
      <c r="I3510" s="12" t="b">
        <v>1</v>
      </c>
      <c r="J3510" s="12" t="b">
        <v>0</v>
      </c>
      <c r="K3510" s="12" t="b">
        <v>0</v>
      </c>
      <c r="L3510" s="12">
        <v>400.23900848396443</v>
      </c>
      <c r="M3510" s="12">
        <v>302.15450122780902</v>
      </c>
      <c r="N3510" s="12">
        <v>3000</v>
      </c>
      <c r="O3510" s="12">
        <v>863.59423854940485</v>
      </c>
      <c r="P3510" s="12">
        <v>0.60388015475504564</v>
      </c>
      <c r="Q3510" s="12">
        <v>0.48199349290891702</v>
      </c>
      <c r="R3510" s="12">
        <v>0.78179633649828895</v>
      </c>
      <c r="S3510" s="12">
        <v>0.40419727707299719</v>
      </c>
      <c r="T3510" s="12">
        <v>0.48141461863959728</v>
      </c>
      <c r="U3510" s="12">
        <v>0.94431535022328716</v>
      </c>
      <c r="V3510" s="12">
        <v>302.15450122780902</v>
      </c>
      <c r="W3510" s="12">
        <v>1.4251196443887499</v>
      </c>
      <c r="X3510" s="12">
        <v>4.0260628277880119</v>
      </c>
      <c r="Y3510" s="12">
        <v>2136.405761450595</v>
      </c>
      <c r="Z3510" s="12">
        <v>3.473853652658863</v>
      </c>
      <c r="AA3510" s="12"/>
      <c r="AB3510" s="12"/>
    </row>
    <row r="3511" spans="1:28" x14ac:dyDescent="0.3">
      <c r="A3511" s="12" t="s">
        <v>5435</v>
      </c>
      <c r="B3511" s="12" t="s">
        <v>206</v>
      </c>
      <c r="C3511" s="12" t="s">
        <v>548</v>
      </c>
      <c r="D3511" s="12" t="s">
        <v>5335</v>
      </c>
      <c r="E3511" s="12" t="s">
        <v>2978</v>
      </c>
      <c r="F3511" s="12" t="s">
        <v>1862</v>
      </c>
      <c r="G3511" s="12" t="s">
        <v>1862</v>
      </c>
      <c r="H3511" s="12" t="b">
        <v>1</v>
      </c>
      <c r="I3511" s="12" t="b">
        <v>0</v>
      </c>
      <c r="J3511" s="12" t="b">
        <v>1</v>
      </c>
      <c r="K3511" s="12" t="b">
        <v>0</v>
      </c>
      <c r="L3511" s="12">
        <v>511.06734772934988</v>
      </c>
      <c r="M3511" s="12">
        <v>282.70847336397338</v>
      </c>
      <c r="N3511" s="12">
        <v>3000</v>
      </c>
      <c r="O3511" s="12">
        <v>539.0734201981877</v>
      </c>
      <c r="P3511" s="12">
        <v>0.60726053572739058</v>
      </c>
      <c r="Q3511" s="12">
        <v>0.40000530320294259</v>
      </c>
      <c r="R3511" s="12">
        <v>0.49682088242732703</v>
      </c>
      <c r="S3511" s="12">
        <v>0.66732719123958728</v>
      </c>
      <c r="T3511" s="12">
        <v>0.68317663432442222</v>
      </c>
      <c r="U3511" s="12">
        <v>0.59382017520955055</v>
      </c>
      <c r="V3511" s="12">
        <v>282.70847336397338</v>
      </c>
      <c r="W3511" s="12">
        <v>-8.8106448536589603</v>
      </c>
      <c r="X3511" s="12">
        <v>-85.677414421535133</v>
      </c>
      <c r="Y3511" s="12">
        <v>2460.9265798018118</v>
      </c>
      <c r="Z3511" s="12">
        <v>5.5651046547556824</v>
      </c>
      <c r="AA3511" s="12" t="s">
        <v>2513</v>
      </c>
      <c r="AB3511" s="12"/>
    </row>
    <row r="3512" spans="1:28" x14ac:dyDescent="0.3">
      <c r="A3512" s="12" t="s">
        <v>5436</v>
      </c>
      <c r="B3512" s="12" t="s">
        <v>206</v>
      </c>
      <c r="C3512" s="12" t="s">
        <v>548</v>
      </c>
      <c r="D3512" s="12" t="s">
        <v>5335</v>
      </c>
      <c r="E3512" s="12" t="s">
        <v>2978</v>
      </c>
      <c r="F3512" s="12" t="s">
        <v>1862</v>
      </c>
      <c r="G3512" s="12" t="s">
        <v>1862</v>
      </c>
      <c r="H3512" s="12" t="b">
        <v>1</v>
      </c>
      <c r="I3512" s="12" t="b">
        <v>0</v>
      </c>
      <c r="J3512" s="12" t="b">
        <v>1</v>
      </c>
      <c r="K3512" s="12" t="b">
        <v>0</v>
      </c>
      <c r="L3512" s="12">
        <v>496.78943315259102</v>
      </c>
      <c r="M3512" s="12">
        <v>294.29797388564958</v>
      </c>
      <c r="N3512" s="12">
        <v>3000</v>
      </c>
      <c r="O3512" s="12">
        <v>986.88560605489965</v>
      </c>
      <c r="P3512" s="12">
        <v>0.80569082471690745</v>
      </c>
      <c r="Q3512" s="12">
        <v>0.49250640422329928</v>
      </c>
      <c r="R3512" s="12">
        <v>0.56928743653066993</v>
      </c>
      <c r="S3512" s="12">
        <v>0.77546767519624316</v>
      </c>
      <c r="T3512" s="12">
        <v>0.75983409574920469</v>
      </c>
      <c r="U3512" s="12">
        <v>0.4733879023892914</v>
      </c>
      <c r="V3512" s="12">
        <v>294.29797388564958</v>
      </c>
      <c r="W3512" s="12">
        <v>-12.33674921965744</v>
      </c>
      <c r="X3512" s="12">
        <v>-88.364984766018964</v>
      </c>
      <c r="Y3512" s="12">
        <v>2013.1143939450999</v>
      </c>
      <c r="Z3512" s="12">
        <v>3.0398660002678288</v>
      </c>
      <c r="AA3512" s="12" t="s">
        <v>2513</v>
      </c>
      <c r="AB3512" s="12"/>
    </row>
    <row r="3513" spans="1:28" x14ac:dyDescent="0.3">
      <c r="A3513" s="12" t="s">
        <v>5437</v>
      </c>
      <c r="B3513" s="12" t="s">
        <v>206</v>
      </c>
      <c r="C3513" s="12" t="s">
        <v>558</v>
      </c>
      <c r="D3513" s="12" t="s">
        <v>5438</v>
      </c>
      <c r="E3513" s="12" t="s">
        <v>2978</v>
      </c>
      <c r="F3513" s="12" t="s">
        <v>1861</v>
      </c>
      <c r="G3513" s="12" t="s">
        <v>1861</v>
      </c>
      <c r="H3513" s="12" t="b">
        <v>1</v>
      </c>
      <c r="I3513" s="12" t="b">
        <v>0</v>
      </c>
      <c r="J3513" s="12" t="b">
        <v>1</v>
      </c>
      <c r="K3513" s="12" t="b">
        <v>0</v>
      </c>
      <c r="L3513" s="12">
        <v>480.64444451139138</v>
      </c>
      <c r="M3513" s="12">
        <v>295.18318977770491</v>
      </c>
      <c r="N3513" s="12">
        <v>2265.3583748168789</v>
      </c>
      <c r="O3513" s="12">
        <v>400</v>
      </c>
      <c r="P3513" s="12">
        <v>0.64882347698000231</v>
      </c>
      <c r="Q3513" s="12">
        <v>0.89029972207116226</v>
      </c>
      <c r="R3513" s="12">
        <v>0.57763342763714165</v>
      </c>
      <c r="S3513" s="12">
        <v>0.78936409649013939</v>
      </c>
      <c r="T3513" s="12">
        <v>0.75218102084146821</v>
      </c>
      <c r="U3513" s="12">
        <v>0.85391167554974268</v>
      </c>
      <c r="V3513" s="12">
        <v>295.18318977770491</v>
      </c>
      <c r="W3513" s="12">
        <v>9.4631560606357006</v>
      </c>
      <c r="X3513" s="12">
        <v>121.8804117899479</v>
      </c>
      <c r="Y3513" s="12">
        <v>1865.3583748168801</v>
      </c>
      <c r="Z3513" s="12">
        <v>5.6633959370421989</v>
      </c>
      <c r="AA3513" s="12" t="s">
        <v>1268</v>
      </c>
      <c r="AB3513" s="12"/>
    </row>
    <row r="3514" spans="1:28" x14ac:dyDescent="0.3">
      <c r="A3514" s="12" t="s">
        <v>5439</v>
      </c>
      <c r="B3514" s="12" t="s">
        <v>206</v>
      </c>
      <c r="C3514" s="12" t="s">
        <v>548</v>
      </c>
      <c r="D3514" s="12" t="s">
        <v>5335</v>
      </c>
      <c r="E3514" s="12" t="s">
        <v>2978</v>
      </c>
      <c r="F3514" s="12" t="s">
        <v>1861</v>
      </c>
      <c r="G3514" s="12" t="s">
        <v>1861</v>
      </c>
      <c r="H3514" s="12" t="b">
        <v>1</v>
      </c>
      <c r="I3514" s="12" t="b">
        <v>0</v>
      </c>
      <c r="J3514" s="12" t="b">
        <v>1</v>
      </c>
      <c r="K3514" s="12" t="b">
        <v>0</v>
      </c>
      <c r="L3514" s="12">
        <v>484.90398143373773</v>
      </c>
      <c r="M3514" s="12">
        <v>303.38060113781847</v>
      </c>
      <c r="N3514" s="12">
        <v>3000</v>
      </c>
      <c r="O3514" s="12">
        <v>1953.8706104364719</v>
      </c>
      <c r="P3514" s="12">
        <v>0.50844603501019581</v>
      </c>
      <c r="Q3514" s="12">
        <v>0.76670653658034327</v>
      </c>
      <c r="R3514" s="12">
        <v>0.73872549798692766</v>
      </c>
      <c r="S3514" s="12">
        <v>0.78263834604627491</v>
      </c>
      <c r="T3514" s="12">
        <v>0.53528428802532269</v>
      </c>
      <c r="U3514" s="12">
        <v>0.79224498493543005</v>
      </c>
      <c r="V3514" s="12">
        <v>303.38060113781847</v>
      </c>
      <c r="W3514" s="12">
        <v>3.0311948092953398</v>
      </c>
      <c r="X3514" s="12">
        <v>45.519398215206863</v>
      </c>
      <c r="Y3514" s="12">
        <v>1046.1293895635281</v>
      </c>
      <c r="Z3514" s="12">
        <v>1.535413851856769</v>
      </c>
      <c r="AA3514" s="12" t="s">
        <v>1268</v>
      </c>
      <c r="AB3514" s="12"/>
    </row>
    <row r="3515" spans="1:28" x14ac:dyDescent="0.3">
      <c r="A3515" s="12" t="s">
        <v>5440</v>
      </c>
      <c r="B3515" s="12" t="s">
        <v>206</v>
      </c>
      <c r="C3515" s="12" t="s">
        <v>558</v>
      </c>
      <c r="D3515" s="12" t="s">
        <v>5438</v>
      </c>
      <c r="E3515" s="12" t="s">
        <v>2978</v>
      </c>
      <c r="F3515" s="12" t="s">
        <v>1861</v>
      </c>
      <c r="G3515" s="12" t="s">
        <v>1861</v>
      </c>
      <c r="H3515" s="12" t="b">
        <v>1</v>
      </c>
      <c r="I3515" s="12" t="b">
        <v>0</v>
      </c>
      <c r="J3515" s="12" t="b">
        <v>1</v>
      </c>
      <c r="K3515" s="12" t="b">
        <v>0</v>
      </c>
      <c r="L3515" s="12">
        <v>478.54060068048562</v>
      </c>
      <c r="M3515" s="12">
        <v>293.04235523025858</v>
      </c>
      <c r="N3515" s="12">
        <v>4863.1365222289478</v>
      </c>
      <c r="O3515" s="12">
        <v>400</v>
      </c>
      <c r="P3515" s="12">
        <v>0.53949781083932313</v>
      </c>
      <c r="Q3515" s="12">
        <v>0.83863719373447898</v>
      </c>
      <c r="R3515" s="12">
        <v>0.66618016577154449</v>
      </c>
      <c r="S3515" s="12">
        <v>0.41208572303922608</v>
      </c>
      <c r="T3515" s="12">
        <v>0.78895438438473031</v>
      </c>
      <c r="U3515" s="12">
        <v>0.67638282312443754</v>
      </c>
      <c r="V3515" s="12">
        <v>293.04235523025858</v>
      </c>
      <c r="W3515" s="12">
        <v>13.818079822637159</v>
      </c>
      <c r="X3515" s="12">
        <v>77.276417348539013</v>
      </c>
      <c r="Y3515" s="12">
        <v>4463.1365222289478</v>
      </c>
      <c r="Z3515" s="12">
        <v>12.15784130557237</v>
      </c>
      <c r="AA3515" s="12" t="s">
        <v>1981</v>
      </c>
      <c r="AB3515" s="12"/>
    </row>
    <row r="3516" spans="1:28" x14ac:dyDescent="0.3">
      <c r="A3516" s="12" t="s">
        <v>5441</v>
      </c>
      <c r="B3516" s="12" t="s">
        <v>206</v>
      </c>
      <c r="C3516" s="12" t="s">
        <v>558</v>
      </c>
      <c r="D3516" s="12" t="s">
        <v>5438</v>
      </c>
      <c r="E3516" s="12" t="s">
        <v>2978</v>
      </c>
      <c r="F3516" s="12" t="s">
        <v>1861</v>
      </c>
      <c r="G3516" s="12" t="s">
        <v>1861</v>
      </c>
      <c r="H3516" s="12" t="b">
        <v>1</v>
      </c>
      <c r="I3516" s="12" t="b">
        <v>0</v>
      </c>
      <c r="J3516" s="12" t="b">
        <v>1</v>
      </c>
      <c r="K3516" s="12" t="b">
        <v>0</v>
      </c>
      <c r="L3516" s="12">
        <v>463.61974416858709</v>
      </c>
      <c r="M3516" s="12">
        <v>288.02538872299658</v>
      </c>
      <c r="N3516" s="12">
        <v>2428.86504331177</v>
      </c>
      <c r="O3516" s="12">
        <v>400</v>
      </c>
      <c r="P3516" s="12">
        <v>0.60568984213975341</v>
      </c>
      <c r="Q3516" s="12">
        <v>0.92205951638008965</v>
      </c>
      <c r="R3516" s="12">
        <v>0.86655370358661266</v>
      </c>
      <c r="S3516" s="12">
        <v>0.62968991336690772</v>
      </c>
      <c r="T3516" s="12">
        <v>0.63077742099918188</v>
      </c>
      <c r="U3516" s="12">
        <v>0.40743300256366938</v>
      </c>
      <c r="V3516" s="12">
        <v>288.02538872299658</v>
      </c>
      <c r="W3516" s="12">
        <v>9.2856275671591106</v>
      </c>
      <c r="X3516" s="12">
        <v>66.223369820008401</v>
      </c>
      <c r="Y3516" s="12">
        <v>2028.86504331177</v>
      </c>
      <c r="Z3516" s="12">
        <v>6.0721626082794247</v>
      </c>
      <c r="AA3516" s="12" t="s">
        <v>1268</v>
      </c>
      <c r="AB3516" s="12"/>
    </row>
    <row r="3517" spans="1:28" x14ac:dyDescent="0.3">
      <c r="A3517" s="12" t="s">
        <v>5442</v>
      </c>
      <c r="B3517" s="12" t="s">
        <v>206</v>
      </c>
      <c r="C3517" s="12" t="s">
        <v>558</v>
      </c>
      <c r="D3517" s="12" t="s">
        <v>5438</v>
      </c>
      <c r="E3517" s="12" t="s">
        <v>2978</v>
      </c>
      <c r="F3517" s="12" t="s">
        <v>1863</v>
      </c>
      <c r="G3517" s="12" t="s">
        <v>832</v>
      </c>
      <c r="H3517" s="12" t="b">
        <v>0</v>
      </c>
      <c r="I3517" s="12" t="b">
        <v>0</v>
      </c>
      <c r="J3517" s="12" t="b">
        <v>0</v>
      </c>
      <c r="K3517" s="12" t="b">
        <v>0</v>
      </c>
      <c r="L3517" s="12">
        <v>393.14518716883163</v>
      </c>
      <c r="M3517" s="12">
        <v>284.6492199858867</v>
      </c>
      <c r="N3517" s="12">
        <v>3773.2425087290362</v>
      </c>
      <c r="O3517" s="12">
        <v>400</v>
      </c>
      <c r="P3517" s="12">
        <v>0.52221766961059546</v>
      </c>
      <c r="Q3517" s="12">
        <v>0.53963742128877634</v>
      </c>
      <c r="R3517" s="12">
        <v>0.6103413105924308</v>
      </c>
      <c r="S3517" s="12">
        <v>0.70017470293727113</v>
      </c>
      <c r="T3517" s="12">
        <v>0.44953229095587299</v>
      </c>
      <c r="U3517" s="12">
        <v>0.77873477211266406</v>
      </c>
      <c r="V3517" s="12">
        <v>284.6492199858867</v>
      </c>
      <c r="W3517" s="12">
        <v>-29.401103987703792</v>
      </c>
      <c r="X3517" s="12">
        <v>-54.340493204569214</v>
      </c>
      <c r="Y3517" s="12">
        <v>3373.2425087290362</v>
      </c>
      <c r="Z3517" s="12">
        <v>9.4331062718225898</v>
      </c>
      <c r="AA3517" s="12" t="s">
        <v>2018</v>
      </c>
      <c r="AB3517" s="12"/>
    </row>
    <row r="3518" spans="1:28" x14ac:dyDescent="0.3">
      <c r="A3518" s="12" t="s">
        <v>5443</v>
      </c>
      <c r="B3518" s="12" t="s">
        <v>206</v>
      </c>
      <c r="C3518" s="12" t="s">
        <v>558</v>
      </c>
      <c r="D3518" s="12" t="s">
        <v>5438</v>
      </c>
      <c r="E3518" s="12" t="s">
        <v>2978</v>
      </c>
      <c r="F3518" s="12" t="s">
        <v>1861</v>
      </c>
      <c r="G3518" s="12" t="s">
        <v>1861</v>
      </c>
      <c r="H3518" s="12" t="b">
        <v>1</v>
      </c>
      <c r="I3518" s="12" t="b">
        <v>0</v>
      </c>
      <c r="J3518" s="12" t="b">
        <v>1</v>
      </c>
      <c r="K3518" s="12" t="b">
        <v>0</v>
      </c>
      <c r="L3518" s="12">
        <v>509.56233165627418</v>
      </c>
      <c r="M3518" s="12">
        <v>279.9310659830374</v>
      </c>
      <c r="N3518" s="12">
        <v>4584.7702255589138</v>
      </c>
      <c r="O3518" s="12">
        <v>400</v>
      </c>
      <c r="P3518" s="12">
        <v>0.78665930851642096</v>
      </c>
      <c r="Q3518" s="12">
        <v>0.4333555589833113</v>
      </c>
      <c r="R3518" s="12">
        <v>0.87275816139361095</v>
      </c>
      <c r="S3518" s="12">
        <v>0.84522738201503023</v>
      </c>
      <c r="T3518" s="12">
        <v>0.5357352307353499</v>
      </c>
      <c r="U3518" s="12">
        <v>0.75203932190317557</v>
      </c>
      <c r="V3518" s="12">
        <v>279.9310659830374</v>
      </c>
      <c r="W3518" s="12">
        <v>2.7400484814360899</v>
      </c>
      <c r="X3518" s="12">
        <v>32.597322739189622</v>
      </c>
      <c r="Y3518" s="12">
        <v>4184.7702255589138</v>
      </c>
      <c r="Z3518" s="12">
        <v>11.46192556389728</v>
      </c>
      <c r="AA3518" s="12" t="s">
        <v>1268</v>
      </c>
      <c r="AB3518" s="12"/>
    </row>
    <row r="3519" spans="1:28" x14ac:dyDescent="0.3">
      <c r="A3519" s="12" t="s">
        <v>5444</v>
      </c>
      <c r="B3519" s="12" t="s">
        <v>206</v>
      </c>
      <c r="C3519" s="12" t="s">
        <v>558</v>
      </c>
      <c r="D3519" s="12" t="s">
        <v>5438</v>
      </c>
      <c r="E3519" s="12" t="s">
        <v>2978</v>
      </c>
      <c r="F3519" s="12" t="s">
        <v>1862</v>
      </c>
      <c r="G3519" s="12" t="s">
        <v>1862</v>
      </c>
      <c r="H3519" s="12" t="b">
        <v>1</v>
      </c>
      <c r="I3519" s="12" t="b">
        <v>0</v>
      </c>
      <c r="J3519" s="12" t="b">
        <v>0</v>
      </c>
      <c r="K3519" s="12" t="b">
        <v>0</v>
      </c>
      <c r="L3519" s="12">
        <v>420.05944762864289</v>
      </c>
      <c r="M3519" s="12">
        <v>295.42766144985598</v>
      </c>
      <c r="N3519" s="12">
        <v>4146.1839691762943</v>
      </c>
      <c r="O3519" s="12">
        <v>400</v>
      </c>
      <c r="P3519" s="12">
        <v>0.83483535141140808</v>
      </c>
      <c r="Q3519" s="12">
        <v>0.74176095766200634</v>
      </c>
      <c r="R3519" s="12">
        <v>0.72120439037011153</v>
      </c>
      <c r="S3519" s="12">
        <v>0.75285070007774757</v>
      </c>
      <c r="T3519" s="12">
        <v>0.56988293135186785</v>
      </c>
      <c r="U3519" s="12">
        <v>0.6975150314785199</v>
      </c>
      <c r="V3519" s="12">
        <v>295.42766144985598</v>
      </c>
      <c r="W3519" s="12">
        <v>-100.285596627046</v>
      </c>
      <c r="X3519" s="12">
        <v>-129.6976716423311</v>
      </c>
      <c r="Y3519" s="12">
        <v>3746.1839691762939</v>
      </c>
      <c r="Z3519" s="12">
        <v>10.36545992294074</v>
      </c>
      <c r="AA3519" s="12" t="s">
        <v>2513</v>
      </c>
      <c r="AB3519" s="12"/>
    </row>
    <row r="3520" spans="1:28" x14ac:dyDescent="0.3">
      <c r="A3520" s="12" t="s">
        <v>5445</v>
      </c>
      <c r="B3520" s="12" t="s">
        <v>206</v>
      </c>
      <c r="C3520" s="12" t="s">
        <v>558</v>
      </c>
      <c r="D3520" s="12" t="s">
        <v>5438</v>
      </c>
      <c r="E3520" s="12" t="s">
        <v>2978</v>
      </c>
      <c r="F3520" s="12" t="s">
        <v>1862</v>
      </c>
      <c r="G3520" s="12" t="s">
        <v>1862</v>
      </c>
      <c r="H3520" s="12" t="b">
        <v>1</v>
      </c>
      <c r="I3520" s="12" t="b">
        <v>0</v>
      </c>
      <c r="J3520" s="12" t="b">
        <v>1</v>
      </c>
      <c r="K3520" s="12" t="b">
        <v>0</v>
      </c>
      <c r="L3520" s="12">
        <v>501.11226995720142</v>
      </c>
      <c r="M3520" s="12">
        <v>289.377153197231</v>
      </c>
      <c r="N3520" s="12">
        <v>4727.9768489218932</v>
      </c>
      <c r="O3520" s="12">
        <v>400</v>
      </c>
      <c r="P3520" s="12">
        <v>0.69185867108469057</v>
      </c>
      <c r="Q3520" s="12">
        <v>0.59110058480501593</v>
      </c>
      <c r="R3520" s="12">
        <v>0.6447708444789183</v>
      </c>
      <c r="S3520" s="12">
        <v>0.78296466374186124</v>
      </c>
      <c r="T3520" s="12">
        <v>0.75872625079176959</v>
      </c>
      <c r="U3520" s="12">
        <v>0.69289501952445842</v>
      </c>
      <c r="V3520" s="12">
        <v>289.377153197231</v>
      </c>
      <c r="W3520" s="12">
        <v>-1.0838275304868099</v>
      </c>
      <c r="X3520" s="12">
        <v>-10.60402316462867</v>
      </c>
      <c r="Y3520" s="12">
        <v>4327.9768489218932</v>
      </c>
      <c r="Z3520" s="12">
        <v>11.819942122304729</v>
      </c>
      <c r="AA3520" s="12" t="s">
        <v>2513</v>
      </c>
      <c r="AB3520" s="12"/>
    </row>
    <row r="3521" spans="1:28" x14ac:dyDescent="0.3">
      <c r="A3521" s="12" t="s">
        <v>5446</v>
      </c>
      <c r="B3521" s="12" t="s">
        <v>206</v>
      </c>
      <c r="C3521" s="12" t="s">
        <v>558</v>
      </c>
      <c r="D3521" s="12" t="s">
        <v>5438</v>
      </c>
      <c r="E3521" s="12" t="s">
        <v>2978</v>
      </c>
      <c r="F3521" s="12" t="s">
        <v>1862</v>
      </c>
      <c r="G3521" s="12" t="s">
        <v>1862</v>
      </c>
      <c r="H3521" s="12" t="b">
        <v>1</v>
      </c>
      <c r="I3521" s="12" t="b">
        <v>0</v>
      </c>
      <c r="J3521" s="12" t="b">
        <v>0</v>
      </c>
      <c r="K3521" s="12" t="b">
        <v>0</v>
      </c>
      <c r="L3521" s="12">
        <v>397.77589643073668</v>
      </c>
      <c r="M3521" s="12">
        <v>291.22356272233151</v>
      </c>
      <c r="N3521" s="12">
        <v>3462.048224466078</v>
      </c>
      <c r="O3521" s="12">
        <v>400</v>
      </c>
      <c r="P3521" s="12">
        <v>0.61686485529775348</v>
      </c>
      <c r="Q3521" s="12">
        <v>0.56852076420435005</v>
      </c>
      <c r="R3521" s="12">
        <v>0.51825160463594044</v>
      </c>
      <c r="S3521" s="12">
        <v>0.81345622738205248</v>
      </c>
      <c r="T3521" s="12">
        <v>0.85871844740748715</v>
      </c>
      <c r="U3521" s="12">
        <v>0.56056449262625163</v>
      </c>
      <c r="V3521" s="12">
        <v>291.22356272233151</v>
      </c>
      <c r="W3521" s="12">
        <v>-6.5200845966827101</v>
      </c>
      <c r="X3521" s="12">
        <v>-20.247264789263049</v>
      </c>
      <c r="Y3521" s="12">
        <v>3062.048224466078</v>
      </c>
      <c r="Z3521" s="12">
        <v>8.6551205611651945</v>
      </c>
      <c r="AA3521" s="12" t="s">
        <v>2513</v>
      </c>
      <c r="AB3521" s="12"/>
    </row>
    <row r="3522" spans="1:28" x14ac:dyDescent="0.3">
      <c r="A3522" s="12" t="s">
        <v>5447</v>
      </c>
      <c r="B3522" s="12" t="s">
        <v>206</v>
      </c>
      <c r="C3522" s="12" t="s">
        <v>558</v>
      </c>
      <c r="D3522" s="12" t="s">
        <v>5438</v>
      </c>
      <c r="E3522" s="12" t="s">
        <v>2978</v>
      </c>
      <c r="F3522" s="12" t="s">
        <v>1862</v>
      </c>
      <c r="G3522" s="12" t="s">
        <v>1862</v>
      </c>
      <c r="H3522" s="12" t="b">
        <v>1</v>
      </c>
      <c r="I3522" s="12" t="b">
        <v>0</v>
      </c>
      <c r="J3522" s="12" t="b">
        <v>0</v>
      </c>
      <c r="K3522" s="12" t="b">
        <v>0</v>
      </c>
      <c r="L3522" s="12">
        <v>436.97764839186311</v>
      </c>
      <c r="M3522" s="12">
        <v>291.99184253471537</v>
      </c>
      <c r="N3522" s="12">
        <v>2850.1548309868822</v>
      </c>
      <c r="O3522" s="12">
        <v>400</v>
      </c>
      <c r="P3522" s="12">
        <v>0.72496923925352952</v>
      </c>
      <c r="Q3522" s="12">
        <v>0.85138790235414197</v>
      </c>
      <c r="R3522" s="12">
        <v>0.88883463841720467</v>
      </c>
      <c r="S3522" s="12">
        <v>0.4643709953962174</v>
      </c>
      <c r="T3522" s="12">
        <v>0.6702754124252347</v>
      </c>
      <c r="U3522" s="12">
        <v>0.42704305837546441</v>
      </c>
      <c r="V3522" s="12">
        <v>291.99184253471537</v>
      </c>
      <c r="W3522" s="12">
        <v>-0.18899816281741</v>
      </c>
      <c r="X3522" s="12">
        <v>-0.62122957291452963</v>
      </c>
      <c r="Y3522" s="12">
        <v>2450.1548309868822</v>
      </c>
      <c r="Z3522" s="12">
        <v>7.1253870774672059</v>
      </c>
      <c r="AA3522" s="12" t="s">
        <v>2513</v>
      </c>
      <c r="AB3522" s="12"/>
    </row>
    <row r="3523" spans="1:28" x14ac:dyDescent="0.3">
      <c r="A3523" s="12" t="s">
        <v>5448</v>
      </c>
      <c r="B3523" s="12" t="s">
        <v>206</v>
      </c>
      <c r="C3523" s="12" t="s">
        <v>558</v>
      </c>
      <c r="D3523" s="12" t="s">
        <v>5438</v>
      </c>
      <c r="E3523" s="12" t="s">
        <v>2978</v>
      </c>
      <c r="F3523" s="12" t="s">
        <v>1862</v>
      </c>
      <c r="G3523" s="12" t="s">
        <v>1862</v>
      </c>
      <c r="H3523" s="12" t="b">
        <v>1</v>
      </c>
      <c r="I3523" s="12" t="b">
        <v>0</v>
      </c>
      <c r="J3523" s="12" t="b">
        <v>1</v>
      </c>
      <c r="K3523" s="12" t="b">
        <v>0</v>
      </c>
      <c r="L3523" s="12">
        <v>430.50955097436321</v>
      </c>
      <c r="M3523" s="12">
        <v>302.22993261674401</v>
      </c>
      <c r="N3523" s="12">
        <v>4460.2783008968336</v>
      </c>
      <c r="O3523" s="12">
        <v>400</v>
      </c>
      <c r="P3523" s="12">
        <v>0.57104932720538071</v>
      </c>
      <c r="Q3523" s="12">
        <v>0.54845677554469952</v>
      </c>
      <c r="R3523" s="12">
        <v>0.4389137213616004</v>
      </c>
      <c r="S3523" s="12">
        <v>0.91441456513676445</v>
      </c>
      <c r="T3523" s="12">
        <v>0.87227074771654389</v>
      </c>
      <c r="U3523" s="12">
        <v>0.4813791526317992</v>
      </c>
      <c r="V3523" s="12">
        <v>302.22993261674401</v>
      </c>
      <c r="W3523" s="12">
        <v>-74.433091844469388</v>
      </c>
      <c r="X3523" s="12">
        <v>-147.5844075203068</v>
      </c>
      <c r="Y3523" s="12">
        <v>4060.278300896834</v>
      </c>
      <c r="Z3523" s="12">
        <v>11.15069575224209</v>
      </c>
      <c r="AA3523" s="12" t="s">
        <v>2513</v>
      </c>
      <c r="AB3523" s="12"/>
    </row>
    <row r="3524" spans="1:28" x14ac:dyDescent="0.3">
      <c r="A3524" s="12" t="s">
        <v>5449</v>
      </c>
      <c r="B3524" s="12" t="s">
        <v>206</v>
      </c>
      <c r="C3524" s="12" t="s">
        <v>558</v>
      </c>
      <c r="D3524" s="12" t="s">
        <v>5438</v>
      </c>
      <c r="E3524" s="12" t="s">
        <v>2978</v>
      </c>
      <c r="F3524" s="12" t="s">
        <v>1861</v>
      </c>
      <c r="G3524" s="12" t="s">
        <v>1861</v>
      </c>
      <c r="H3524" s="12" t="b">
        <v>1</v>
      </c>
      <c r="I3524" s="12" t="b">
        <v>0</v>
      </c>
      <c r="J3524" s="12" t="b">
        <v>1</v>
      </c>
      <c r="K3524" s="12" t="b">
        <v>0</v>
      </c>
      <c r="L3524" s="12">
        <v>514.98497388713383</v>
      </c>
      <c r="M3524" s="12">
        <v>286.62856284169868</v>
      </c>
      <c r="N3524" s="12">
        <v>4032.278483595841</v>
      </c>
      <c r="O3524" s="12">
        <v>400</v>
      </c>
      <c r="P3524" s="12">
        <v>0.50714691428433678</v>
      </c>
      <c r="Q3524" s="12">
        <v>0.88213374027837832</v>
      </c>
      <c r="R3524" s="12">
        <v>0.74371484120004805</v>
      </c>
      <c r="S3524" s="12">
        <v>0.51671418087842114</v>
      </c>
      <c r="T3524" s="12">
        <v>0.46225217487286041</v>
      </c>
      <c r="U3524" s="12">
        <v>0.53553788402702007</v>
      </c>
      <c r="V3524" s="12">
        <v>286.62856284169868</v>
      </c>
      <c r="W3524" s="12">
        <v>10.887837831848019</v>
      </c>
      <c r="X3524" s="12">
        <v>92.942343581771297</v>
      </c>
      <c r="Y3524" s="12">
        <v>3632.278483595841</v>
      </c>
      <c r="Z3524" s="12">
        <v>10.0806962089896</v>
      </c>
      <c r="AA3524" s="12" t="s">
        <v>1981</v>
      </c>
      <c r="AB3524" s="12"/>
    </row>
    <row r="3525" spans="1:28" x14ac:dyDescent="0.3">
      <c r="A3525" s="12" t="s">
        <v>5450</v>
      </c>
      <c r="B3525" s="12" t="s">
        <v>206</v>
      </c>
      <c r="C3525" s="12" t="s">
        <v>558</v>
      </c>
      <c r="D3525" s="12" t="s">
        <v>5438</v>
      </c>
      <c r="E3525" s="12" t="s">
        <v>2978</v>
      </c>
      <c r="F3525" s="12" t="s">
        <v>1862</v>
      </c>
      <c r="G3525" s="12" t="s">
        <v>1862</v>
      </c>
      <c r="H3525" s="12" t="b">
        <v>1</v>
      </c>
      <c r="I3525" s="12" t="b">
        <v>0</v>
      </c>
      <c r="J3525" s="12" t="b">
        <v>0</v>
      </c>
      <c r="K3525" s="12" t="b">
        <v>0</v>
      </c>
      <c r="L3525" s="12">
        <v>422.37256144641742</v>
      </c>
      <c r="M3525" s="12">
        <v>301.78255749617892</v>
      </c>
      <c r="N3525" s="12">
        <v>2150.7389389358868</v>
      </c>
      <c r="O3525" s="12">
        <v>400</v>
      </c>
      <c r="P3525" s="12">
        <v>0.5957054769278024</v>
      </c>
      <c r="Q3525" s="12">
        <v>0.42874622953540098</v>
      </c>
      <c r="R3525" s="12">
        <v>0.86163621630169906</v>
      </c>
      <c r="S3525" s="12">
        <v>0.65320844051869997</v>
      </c>
      <c r="T3525" s="12">
        <v>0.47598620546497</v>
      </c>
      <c r="U3525" s="12">
        <v>0.72239213505502242</v>
      </c>
      <c r="V3525" s="12">
        <v>301.78255749617892</v>
      </c>
      <c r="W3525" s="12">
        <v>-2.5283315768888501</v>
      </c>
      <c r="X3525" s="12">
        <v>-13.78992082706502</v>
      </c>
      <c r="Y3525" s="12">
        <v>1750.7389389358871</v>
      </c>
      <c r="Z3525" s="12">
        <v>5.3768473473397167</v>
      </c>
      <c r="AA3525" s="12" t="s">
        <v>2513</v>
      </c>
      <c r="AB3525" s="12"/>
    </row>
    <row r="3526" spans="1:28" x14ac:dyDescent="0.3">
      <c r="A3526" s="12" t="s">
        <v>5451</v>
      </c>
      <c r="B3526" s="12" t="s">
        <v>206</v>
      </c>
      <c r="C3526" s="12" t="s">
        <v>558</v>
      </c>
      <c r="D3526" s="12" t="s">
        <v>5438</v>
      </c>
      <c r="E3526" s="12" t="s">
        <v>2978</v>
      </c>
      <c r="F3526" s="12" t="s">
        <v>832</v>
      </c>
      <c r="G3526" s="12" t="s">
        <v>832</v>
      </c>
      <c r="H3526" s="12" t="b">
        <v>0</v>
      </c>
      <c r="I3526" s="12" t="b">
        <v>0</v>
      </c>
      <c r="J3526" s="12" t="b">
        <v>0</v>
      </c>
      <c r="K3526" s="12" t="b">
        <v>0</v>
      </c>
      <c r="L3526" s="12">
        <v>423.75264844960572</v>
      </c>
      <c r="M3526" s="12">
        <v>288.73345142902889</v>
      </c>
      <c r="N3526" s="12">
        <v>2399.465869978575</v>
      </c>
      <c r="O3526" s="12">
        <v>400</v>
      </c>
      <c r="P3526" s="12">
        <v>0.80109964372908715</v>
      </c>
      <c r="Q3526" s="12">
        <v>0.6982410710581366</v>
      </c>
      <c r="R3526" s="12">
        <v>0.80658498059592687</v>
      </c>
      <c r="S3526" s="12">
        <v>0.61774131646096497</v>
      </c>
      <c r="T3526" s="12">
        <v>0.74562301273242082</v>
      </c>
      <c r="U3526" s="12">
        <v>0.79195556246459398</v>
      </c>
      <c r="V3526" s="12">
        <v>288.73345142902889</v>
      </c>
      <c r="W3526" s="12"/>
      <c r="X3526" s="12"/>
      <c r="Y3526" s="12">
        <v>1999.4658699785759</v>
      </c>
      <c r="Z3526" s="12">
        <v>5.998664674946439</v>
      </c>
      <c r="AA3526" s="12"/>
      <c r="AB3526" s="12"/>
    </row>
    <row r="3527" spans="1:28" x14ac:dyDescent="0.3">
      <c r="A3527" s="12" t="s">
        <v>5452</v>
      </c>
      <c r="B3527" s="12" t="s">
        <v>206</v>
      </c>
      <c r="C3527" s="12" t="s">
        <v>558</v>
      </c>
      <c r="D3527" s="12" t="s">
        <v>5438</v>
      </c>
      <c r="E3527" s="12" t="s">
        <v>2978</v>
      </c>
      <c r="F3527" s="12" t="s">
        <v>1862</v>
      </c>
      <c r="G3527" s="12" t="s">
        <v>1862</v>
      </c>
      <c r="H3527" s="12" t="b">
        <v>1</v>
      </c>
      <c r="I3527" s="12" t="b">
        <v>0</v>
      </c>
      <c r="J3527" s="12" t="b">
        <v>1</v>
      </c>
      <c r="K3527" s="12" t="b">
        <v>0</v>
      </c>
      <c r="L3527" s="12">
        <v>441.02550116277678</v>
      </c>
      <c r="M3527" s="12">
        <v>292.32859208662921</v>
      </c>
      <c r="N3527" s="12">
        <v>3722.837931473714</v>
      </c>
      <c r="O3527" s="12">
        <v>400</v>
      </c>
      <c r="P3527" s="12">
        <v>0.63211624490296625</v>
      </c>
      <c r="Q3527" s="12">
        <v>0.67352788596518676</v>
      </c>
      <c r="R3527" s="12">
        <v>0.43692784448804473</v>
      </c>
      <c r="S3527" s="12">
        <v>0.69556460362300021</v>
      </c>
      <c r="T3527" s="12">
        <v>0.73947731108581871</v>
      </c>
      <c r="U3527" s="12">
        <v>0.40216372940679501</v>
      </c>
      <c r="V3527" s="12">
        <v>292.32859208662921</v>
      </c>
      <c r="W3527" s="12">
        <v>-82.809345871217261</v>
      </c>
      <c r="X3527" s="12">
        <v>-196.13483818552291</v>
      </c>
      <c r="Y3527" s="12">
        <v>3322.8379314737131</v>
      </c>
      <c r="Z3527" s="12">
        <v>9.3070948286842832</v>
      </c>
      <c r="AA3527" s="12" t="s">
        <v>2513</v>
      </c>
      <c r="AB3527" s="12"/>
    </row>
    <row r="3528" spans="1:28" x14ac:dyDescent="0.3">
      <c r="A3528" s="12" t="s">
        <v>5453</v>
      </c>
      <c r="B3528" s="12" t="s">
        <v>206</v>
      </c>
      <c r="C3528" s="12" t="s">
        <v>558</v>
      </c>
      <c r="D3528" s="12" t="s">
        <v>5438</v>
      </c>
      <c r="E3528" s="12" t="s">
        <v>2978</v>
      </c>
      <c r="F3528" s="12" t="s">
        <v>1861</v>
      </c>
      <c r="G3528" s="12" t="s">
        <v>1861</v>
      </c>
      <c r="H3528" s="12" t="b">
        <v>1</v>
      </c>
      <c r="I3528" s="12" t="b">
        <v>0</v>
      </c>
      <c r="J3528" s="12" t="b">
        <v>1</v>
      </c>
      <c r="K3528" s="12" t="b">
        <v>0</v>
      </c>
      <c r="L3528" s="12">
        <v>444.10928563161531</v>
      </c>
      <c r="M3528" s="12">
        <v>282.06254598022991</v>
      </c>
      <c r="N3528" s="12">
        <v>3599.1269962686551</v>
      </c>
      <c r="O3528" s="12">
        <v>400</v>
      </c>
      <c r="P3528" s="12">
        <v>0.70871767345109471</v>
      </c>
      <c r="Q3528" s="12">
        <v>0.80952631578837475</v>
      </c>
      <c r="R3528" s="12">
        <v>0.82769179932496861</v>
      </c>
      <c r="S3528" s="12">
        <v>0.90427143492622597</v>
      </c>
      <c r="T3528" s="12">
        <v>0.6818448961117427</v>
      </c>
      <c r="U3528" s="12">
        <v>0.91085697072601235</v>
      </c>
      <c r="V3528" s="12">
        <v>282.06254598022991</v>
      </c>
      <c r="W3528" s="12">
        <v>15.28312163851354</v>
      </c>
      <c r="X3528" s="12">
        <v>210.62624231386081</v>
      </c>
      <c r="Y3528" s="12">
        <v>3199.1269962686551</v>
      </c>
      <c r="Z3528" s="12">
        <v>8.9978174906716362</v>
      </c>
      <c r="AA3528" s="12" t="s">
        <v>1268</v>
      </c>
      <c r="AB3528" s="12"/>
    </row>
    <row r="3529" spans="1:28" x14ac:dyDescent="0.3">
      <c r="A3529" s="12" t="s">
        <v>5454</v>
      </c>
      <c r="B3529" s="12" t="s">
        <v>206</v>
      </c>
      <c r="C3529" s="12" t="s">
        <v>558</v>
      </c>
      <c r="D3529" s="12" t="s">
        <v>5438</v>
      </c>
      <c r="E3529" s="12" t="s">
        <v>2978</v>
      </c>
      <c r="F3529" s="12" t="s">
        <v>1861</v>
      </c>
      <c r="G3529" s="12" t="s">
        <v>1861</v>
      </c>
      <c r="H3529" s="12" t="b">
        <v>1</v>
      </c>
      <c r="I3529" s="12" t="b">
        <v>0</v>
      </c>
      <c r="J3529" s="12" t="b">
        <v>0</v>
      </c>
      <c r="K3529" s="12" t="b">
        <v>0</v>
      </c>
      <c r="L3529" s="12">
        <v>391.8691847652085</v>
      </c>
      <c r="M3529" s="12">
        <v>281.27078972590567</v>
      </c>
      <c r="N3529" s="12">
        <v>2235.513518177474</v>
      </c>
      <c r="O3529" s="12">
        <v>400</v>
      </c>
      <c r="P3529" s="12">
        <v>0.60926258879408834</v>
      </c>
      <c r="Q3529" s="12">
        <v>0.78769965141757248</v>
      </c>
      <c r="R3529" s="12">
        <v>0.46331381153163143</v>
      </c>
      <c r="S3529" s="12">
        <v>0.9211618291920084</v>
      </c>
      <c r="T3529" s="12">
        <v>0.77492020846181031</v>
      </c>
      <c r="U3529" s="12">
        <v>0.57761104043352507</v>
      </c>
      <c r="V3529" s="12">
        <v>281.27078972590567</v>
      </c>
      <c r="W3529" s="12">
        <v>2.7043362929741201</v>
      </c>
      <c r="X3529" s="12">
        <v>12.9127106065412</v>
      </c>
      <c r="Y3529" s="12">
        <v>1835.513518177474</v>
      </c>
      <c r="Z3529" s="12">
        <v>5.5887837954436863</v>
      </c>
      <c r="AA3529" s="12" t="s">
        <v>1268</v>
      </c>
      <c r="AB3529" s="12"/>
    </row>
    <row r="3530" spans="1:28" x14ac:dyDescent="0.3">
      <c r="A3530" s="12" t="s">
        <v>5455</v>
      </c>
      <c r="B3530" s="12" t="s">
        <v>206</v>
      </c>
      <c r="C3530" s="12" t="s">
        <v>558</v>
      </c>
      <c r="D3530" s="12" t="s">
        <v>5438</v>
      </c>
      <c r="E3530" s="12" t="s">
        <v>2978</v>
      </c>
      <c r="F3530" s="12" t="s">
        <v>1862</v>
      </c>
      <c r="G3530" s="12" t="s">
        <v>1862</v>
      </c>
      <c r="H3530" s="12" t="b">
        <v>1</v>
      </c>
      <c r="I3530" s="12" t="b">
        <v>0</v>
      </c>
      <c r="J3530" s="12" t="b">
        <v>0</v>
      </c>
      <c r="K3530" s="12" t="b">
        <v>0</v>
      </c>
      <c r="L3530" s="12">
        <v>415.81212328079317</v>
      </c>
      <c r="M3530" s="12">
        <v>284.13754819489969</v>
      </c>
      <c r="N3530" s="12">
        <v>4336.828916082919</v>
      </c>
      <c r="O3530" s="12">
        <v>400</v>
      </c>
      <c r="P3530" s="12">
        <v>0.79893966661697169</v>
      </c>
      <c r="Q3530" s="12">
        <v>0.79957368292141795</v>
      </c>
      <c r="R3530" s="12">
        <v>0.55130854395686935</v>
      </c>
      <c r="S3530" s="12">
        <v>0.8842298081679999</v>
      </c>
      <c r="T3530" s="12">
        <v>0.72036804792056885</v>
      </c>
      <c r="U3530" s="12">
        <v>0.71076497817551765</v>
      </c>
      <c r="V3530" s="12">
        <v>284.13754819489969</v>
      </c>
      <c r="W3530" s="12">
        <v>-21.14138795499613</v>
      </c>
      <c r="X3530" s="12">
        <v>-74.893425898978563</v>
      </c>
      <c r="Y3530" s="12">
        <v>3936.828916082919</v>
      </c>
      <c r="Z3530" s="12">
        <v>10.8420722902073</v>
      </c>
      <c r="AA3530" s="12" t="s">
        <v>2513</v>
      </c>
      <c r="AB3530" s="12"/>
    </row>
    <row r="3531" spans="1:28" x14ac:dyDescent="0.3">
      <c r="A3531" s="12" t="s">
        <v>5456</v>
      </c>
      <c r="B3531" s="12" t="s">
        <v>206</v>
      </c>
      <c r="C3531" s="12" t="s">
        <v>558</v>
      </c>
      <c r="D3531" s="12" t="s">
        <v>5438</v>
      </c>
      <c r="E3531" s="12" t="s">
        <v>2978</v>
      </c>
      <c r="F3531" s="12" t="s">
        <v>1862</v>
      </c>
      <c r="G3531" s="12" t="s">
        <v>1862</v>
      </c>
      <c r="H3531" s="12" t="b">
        <v>1</v>
      </c>
      <c r="I3531" s="12" t="b">
        <v>0</v>
      </c>
      <c r="J3531" s="12" t="b">
        <v>0</v>
      </c>
      <c r="K3531" s="12" t="b">
        <v>0</v>
      </c>
      <c r="L3531" s="12">
        <v>457.33555733833867</v>
      </c>
      <c r="M3531" s="12">
        <v>303.23475112690801</v>
      </c>
      <c r="N3531" s="12">
        <v>2466.907748164555</v>
      </c>
      <c r="O3531" s="12">
        <v>400</v>
      </c>
      <c r="P3531" s="12">
        <v>0.8107974882254414</v>
      </c>
      <c r="Q3531" s="12">
        <v>0.71154096122244437</v>
      </c>
      <c r="R3531" s="12">
        <v>0.83441289699966692</v>
      </c>
      <c r="S3531" s="12">
        <v>0.58738053026149362</v>
      </c>
      <c r="T3531" s="12">
        <v>0.59668183097750005</v>
      </c>
      <c r="U3531" s="12">
        <v>0.82625376396043748</v>
      </c>
      <c r="V3531" s="12">
        <v>303.23475112690801</v>
      </c>
      <c r="W3531" s="12">
        <v>-8.6726998553237493</v>
      </c>
      <c r="X3531" s="12">
        <v>-37.57730379956331</v>
      </c>
      <c r="Y3531" s="12">
        <v>2066.907748164555</v>
      </c>
      <c r="Z3531" s="12">
        <v>6.167269370411387</v>
      </c>
      <c r="AA3531" s="12" t="s">
        <v>2513</v>
      </c>
      <c r="AB3531" s="12"/>
    </row>
    <row r="3532" spans="1:28" x14ac:dyDescent="0.3">
      <c r="A3532" s="12" t="s">
        <v>5457</v>
      </c>
      <c r="B3532" s="12" t="s">
        <v>206</v>
      </c>
      <c r="C3532" s="12" t="s">
        <v>558</v>
      </c>
      <c r="D3532" s="12" t="s">
        <v>5438</v>
      </c>
      <c r="E3532" s="12" t="s">
        <v>2978</v>
      </c>
      <c r="F3532" s="12" t="s">
        <v>1862</v>
      </c>
      <c r="G3532" s="12" t="s">
        <v>1862</v>
      </c>
      <c r="H3532" s="12" t="b">
        <v>1</v>
      </c>
      <c r="I3532" s="12" t="b">
        <v>0</v>
      </c>
      <c r="J3532" s="12" t="b">
        <v>0</v>
      </c>
      <c r="K3532" s="12" t="b">
        <v>0</v>
      </c>
      <c r="L3532" s="12">
        <v>435.9910030599853</v>
      </c>
      <c r="M3532" s="12">
        <v>283.10081189454633</v>
      </c>
      <c r="N3532" s="12">
        <v>2970.3863407074709</v>
      </c>
      <c r="O3532" s="12">
        <v>400</v>
      </c>
      <c r="P3532" s="12">
        <v>0.82227673087606057</v>
      </c>
      <c r="Q3532" s="12">
        <v>0.81291347299521854</v>
      </c>
      <c r="R3532" s="12">
        <v>0.45446336229407203</v>
      </c>
      <c r="S3532" s="12">
        <v>0.50279607739834209</v>
      </c>
      <c r="T3532" s="12">
        <v>0.53865273977404504</v>
      </c>
      <c r="U3532" s="12">
        <v>0.73472369341893207</v>
      </c>
      <c r="V3532" s="12">
        <v>283.10081189454633</v>
      </c>
      <c r="W3532" s="12">
        <v>-27.86093398518425</v>
      </c>
      <c r="X3532" s="12">
        <v>-114.2418443308551</v>
      </c>
      <c r="Y3532" s="12">
        <v>2570.3863407074709</v>
      </c>
      <c r="Z3532" s="12">
        <v>7.4259658517686784</v>
      </c>
      <c r="AA3532" s="12" t="s">
        <v>2513</v>
      </c>
      <c r="AB3532" s="12"/>
    </row>
    <row r="3533" spans="1:28" x14ac:dyDescent="0.3">
      <c r="A3533" s="12" t="s">
        <v>5458</v>
      </c>
      <c r="B3533" s="12" t="s">
        <v>206</v>
      </c>
      <c r="C3533" s="12" t="s">
        <v>558</v>
      </c>
      <c r="D3533" s="12" t="s">
        <v>5438</v>
      </c>
      <c r="E3533" s="12" t="s">
        <v>2978</v>
      </c>
      <c r="F3533" s="12" t="s">
        <v>1861</v>
      </c>
      <c r="G3533" s="12" t="s">
        <v>1861</v>
      </c>
      <c r="H3533" s="12" t="b">
        <v>1</v>
      </c>
      <c r="I3533" s="12" t="b">
        <v>0</v>
      </c>
      <c r="J3533" s="12" t="b">
        <v>0</v>
      </c>
      <c r="K3533" s="12" t="b">
        <v>0</v>
      </c>
      <c r="L3533" s="12">
        <v>390.08952307317719</v>
      </c>
      <c r="M3533" s="12">
        <v>280.53293356460449</v>
      </c>
      <c r="N3533" s="12">
        <v>3759.404590764645</v>
      </c>
      <c r="O3533" s="12">
        <v>400</v>
      </c>
      <c r="P3533" s="12">
        <v>0.66715553619402945</v>
      </c>
      <c r="Q3533" s="12">
        <v>0.76951737795393527</v>
      </c>
      <c r="R3533" s="12">
        <v>0.79860986841357773</v>
      </c>
      <c r="S3533" s="12">
        <v>0.87660741975181555</v>
      </c>
      <c r="T3533" s="12">
        <v>0.40125302986007177</v>
      </c>
      <c r="U3533" s="12">
        <v>0.77247133782302468</v>
      </c>
      <c r="V3533" s="12">
        <v>280.53293356460449</v>
      </c>
      <c r="W3533" s="12">
        <v>8.9284280662826294</v>
      </c>
      <c r="X3533" s="12">
        <v>44.328208886876247</v>
      </c>
      <c r="Y3533" s="12">
        <v>3359.404590764645</v>
      </c>
      <c r="Z3533" s="12">
        <v>9.3985114769116116</v>
      </c>
      <c r="AA3533" s="12" t="s">
        <v>1268</v>
      </c>
      <c r="AB3533" s="12"/>
    </row>
    <row r="3534" spans="1:28" x14ac:dyDescent="0.3">
      <c r="A3534" s="12" t="s">
        <v>5459</v>
      </c>
      <c r="B3534" s="12" t="s">
        <v>206</v>
      </c>
      <c r="C3534" s="12" t="s">
        <v>558</v>
      </c>
      <c r="D3534" s="12" t="s">
        <v>5438</v>
      </c>
      <c r="E3534" s="12" t="s">
        <v>2978</v>
      </c>
      <c r="F3534" s="12" t="s">
        <v>1861</v>
      </c>
      <c r="G3534" s="12" t="s">
        <v>1861</v>
      </c>
      <c r="H3534" s="12" t="b">
        <v>1</v>
      </c>
      <c r="I3534" s="12" t="b">
        <v>0</v>
      </c>
      <c r="J3534" s="12" t="b">
        <v>1</v>
      </c>
      <c r="K3534" s="12" t="b">
        <v>0</v>
      </c>
      <c r="L3534" s="12">
        <v>483.43372152801658</v>
      </c>
      <c r="M3534" s="12">
        <v>300.25924137599412</v>
      </c>
      <c r="N3534" s="12">
        <v>4946.6774455291206</v>
      </c>
      <c r="O3534" s="12">
        <v>400</v>
      </c>
      <c r="P3534" s="12">
        <v>0.69701328169103016</v>
      </c>
      <c r="Q3534" s="12">
        <v>0.94659792794453679</v>
      </c>
      <c r="R3534" s="12">
        <v>0.52843643869017576</v>
      </c>
      <c r="S3534" s="12">
        <v>0.61149437902799231</v>
      </c>
      <c r="T3534" s="12">
        <v>0.45935698458860119</v>
      </c>
      <c r="U3534" s="12">
        <v>0.94300017077131504</v>
      </c>
      <c r="V3534" s="12">
        <v>300.25924137599412</v>
      </c>
      <c r="W3534" s="12">
        <v>7.7944666190516596</v>
      </c>
      <c r="X3534" s="12">
        <v>60.937963401254542</v>
      </c>
      <c r="Y3534" s="12">
        <v>4546.6774455291206</v>
      </c>
      <c r="Z3534" s="12">
        <v>12.3666936138228</v>
      </c>
      <c r="AA3534" s="12" t="s">
        <v>1981</v>
      </c>
      <c r="AB3534" s="12"/>
    </row>
    <row r="3535" spans="1:28" x14ac:dyDescent="0.3">
      <c r="A3535" s="12" t="s">
        <v>5460</v>
      </c>
      <c r="B3535" s="12" t="s">
        <v>206</v>
      </c>
      <c r="C3535" s="12" t="s">
        <v>558</v>
      </c>
      <c r="D3535" s="12" t="s">
        <v>5438</v>
      </c>
      <c r="E3535" s="12" t="s">
        <v>2978</v>
      </c>
      <c r="F3535" s="12" t="s">
        <v>1861</v>
      </c>
      <c r="G3535" s="12" t="s">
        <v>1861</v>
      </c>
      <c r="H3535" s="12" t="b">
        <v>1</v>
      </c>
      <c r="I3535" s="12" t="b">
        <v>0</v>
      </c>
      <c r="J3535" s="12" t="b">
        <v>1</v>
      </c>
      <c r="K3535" s="12" t="b">
        <v>0</v>
      </c>
      <c r="L3535" s="12">
        <v>513.34682715917575</v>
      </c>
      <c r="M3535" s="12">
        <v>285.98530962967249</v>
      </c>
      <c r="N3535" s="12">
        <v>2526.6366896237</v>
      </c>
      <c r="O3535" s="12">
        <v>400</v>
      </c>
      <c r="P3535" s="12">
        <v>0.75888419912812699</v>
      </c>
      <c r="Q3535" s="12">
        <v>0.86903109339768037</v>
      </c>
      <c r="R3535" s="12">
        <v>0.90096581913158003</v>
      </c>
      <c r="S3535" s="12">
        <v>0.76302198722112369</v>
      </c>
      <c r="T3535" s="12">
        <v>0.52559699853445729</v>
      </c>
      <c r="U3535" s="12">
        <v>0.65610590918017586</v>
      </c>
      <c r="V3535" s="12">
        <v>285.98530962967249</v>
      </c>
      <c r="W3535" s="12">
        <v>10.62618890215057</v>
      </c>
      <c r="X3535" s="12">
        <v>97.872733527701357</v>
      </c>
      <c r="Y3535" s="12">
        <v>2126.6366896237</v>
      </c>
      <c r="Z3535" s="12">
        <v>6.3165917240592497</v>
      </c>
      <c r="AA3535" s="12" t="s">
        <v>1268</v>
      </c>
      <c r="AB3535" s="12"/>
    </row>
    <row r="3536" spans="1:28" x14ac:dyDescent="0.3">
      <c r="A3536" s="12" t="s">
        <v>5461</v>
      </c>
      <c r="B3536" s="12" t="s">
        <v>206</v>
      </c>
      <c r="C3536" s="12" t="s">
        <v>558</v>
      </c>
      <c r="D3536" s="12" t="s">
        <v>5438</v>
      </c>
      <c r="E3536" s="12" t="s">
        <v>2978</v>
      </c>
      <c r="F3536" s="12" t="s">
        <v>1861</v>
      </c>
      <c r="G3536" s="12" t="s">
        <v>1861</v>
      </c>
      <c r="H3536" s="12" t="b">
        <v>1</v>
      </c>
      <c r="I3536" s="12" t="b">
        <v>0</v>
      </c>
      <c r="J3536" s="12" t="b">
        <v>0</v>
      </c>
      <c r="K3536" s="12" t="b">
        <v>0</v>
      </c>
      <c r="L3536" s="12">
        <v>401.79162213896848</v>
      </c>
      <c r="M3536" s="12">
        <v>291.09585697486131</v>
      </c>
      <c r="N3536" s="12">
        <v>3569.097971124022</v>
      </c>
      <c r="O3536" s="12">
        <v>400</v>
      </c>
      <c r="P3536" s="12">
        <v>0.57816787412553006</v>
      </c>
      <c r="Q3536" s="12">
        <v>0.94166727626266356</v>
      </c>
      <c r="R3536" s="12">
        <v>0.77633066206661949</v>
      </c>
      <c r="S3536" s="12">
        <v>0.71899000965280058</v>
      </c>
      <c r="T3536" s="12">
        <v>0.94127907936205479</v>
      </c>
      <c r="U3536" s="12">
        <v>0.50776258628190474</v>
      </c>
      <c r="V3536" s="12">
        <v>291.09585697486131</v>
      </c>
      <c r="W3536" s="12">
        <v>12.280159373928329</v>
      </c>
      <c r="X3536" s="12">
        <v>30.32616456038976</v>
      </c>
      <c r="Y3536" s="12">
        <v>3169.097971124022</v>
      </c>
      <c r="Z3536" s="12">
        <v>8.9227449278100561</v>
      </c>
      <c r="AA3536" s="12" t="s">
        <v>1268</v>
      </c>
      <c r="AB3536" s="12"/>
    </row>
    <row r="3537" spans="1:28" x14ac:dyDescent="0.3">
      <c r="A3537" s="12" t="s">
        <v>5462</v>
      </c>
      <c r="B3537" s="12" t="s">
        <v>206</v>
      </c>
      <c r="C3537" s="12" t="s">
        <v>558</v>
      </c>
      <c r="D3537" s="12" t="s">
        <v>5438</v>
      </c>
      <c r="E3537" s="12" t="s">
        <v>2978</v>
      </c>
      <c r="F3537" s="12" t="s">
        <v>1862</v>
      </c>
      <c r="G3537" s="12" t="s">
        <v>1862</v>
      </c>
      <c r="H3537" s="12" t="b">
        <v>1</v>
      </c>
      <c r="I3537" s="12" t="b">
        <v>0</v>
      </c>
      <c r="J3537" s="12" t="b">
        <v>0</v>
      </c>
      <c r="K3537" s="12" t="b">
        <v>0</v>
      </c>
      <c r="L3537" s="12">
        <v>412.8645710566837</v>
      </c>
      <c r="M3537" s="12">
        <v>281.61326431363278</v>
      </c>
      <c r="N3537" s="12">
        <v>3967.2066902534211</v>
      </c>
      <c r="O3537" s="12">
        <v>400</v>
      </c>
      <c r="P3537" s="12">
        <v>0.73446690906025991</v>
      </c>
      <c r="Q3537" s="12">
        <v>0.55455232528921239</v>
      </c>
      <c r="R3537" s="12">
        <v>0.50307976535997156</v>
      </c>
      <c r="S3537" s="12">
        <v>0.5864586815900501</v>
      </c>
      <c r="T3537" s="12">
        <v>0.55665939872233927</v>
      </c>
      <c r="U3537" s="12">
        <v>0.46343744684646321</v>
      </c>
      <c r="V3537" s="12">
        <v>281.61326431363278</v>
      </c>
      <c r="W3537" s="12">
        <v>-36.456140279385977</v>
      </c>
      <c r="X3537" s="12">
        <v>-107.751101482317</v>
      </c>
      <c r="Y3537" s="12">
        <v>3567.2066902534211</v>
      </c>
      <c r="Z3537" s="12">
        <v>9.9180167256335512</v>
      </c>
      <c r="AA3537" s="12" t="s">
        <v>2513</v>
      </c>
      <c r="AB3537" s="12"/>
    </row>
    <row r="3538" spans="1:28" x14ac:dyDescent="0.3">
      <c r="A3538" s="12" t="s">
        <v>5463</v>
      </c>
      <c r="B3538" s="12" t="s">
        <v>206</v>
      </c>
      <c r="C3538" s="12" t="s">
        <v>558</v>
      </c>
      <c r="D3538" s="12" t="s">
        <v>5438</v>
      </c>
      <c r="E3538" s="12" t="s">
        <v>2978</v>
      </c>
      <c r="F3538" s="12" t="s">
        <v>1861</v>
      </c>
      <c r="G3538" s="12" t="s">
        <v>1861</v>
      </c>
      <c r="H3538" s="12" t="b">
        <v>1</v>
      </c>
      <c r="I3538" s="12" t="b">
        <v>0</v>
      </c>
      <c r="J3538" s="12" t="b">
        <v>1</v>
      </c>
      <c r="K3538" s="12" t="b">
        <v>0</v>
      </c>
      <c r="L3538" s="12">
        <v>490.48818645162771</v>
      </c>
      <c r="M3538" s="12">
        <v>278.20082100254382</v>
      </c>
      <c r="N3538" s="12">
        <v>2617.423527942186</v>
      </c>
      <c r="O3538" s="12">
        <v>400</v>
      </c>
      <c r="P3538" s="12">
        <v>0.51844029120954216</v>
      </c>
      <c r="Q3538" s="12">
        <v>0.75186052660322145</v>
      </c>
      <c r="R3538" s="12">
        <v>0.85471672397207976</v>
      </c>
      <c r="S3538" s="12">
        <v>0.77630267682067244</v>
      </c>
      <c r="T3538" s="12">
        <v>0.44679404661065381</v>
      </c>
      <c r="U3538" s="12">
        <v>0.78023593193564489</v>
      </c>
      <c r="V3538" s="12">
        <v>278.20082100254382</v>
      </c>
      <c r="W3538" s="12">
        <v>10.815137702749629</v>
      </c>
      <c r="X3538" s="12">
        <v>169.64797440506459</v>
      </c>
      <c r="Y3538" s="12">
        <v>2217.423527942186</v>
      </c>
      <c r="Z3538" s="12">
        <v>6.5435588198554662</v>
      </c>
      <c r="AA3538" s="12" t="s">
        <v>1268</v>
      </c>
      <c r="AB3538" s="12"/>
    </row>
    <row r="3539" spans="1:28" x14ac:dyDescent="0.3">
      <c r="A3539" s="12" t="s">
        <v>5464</v>
      </c>
      <c r="B3539" s="12" t="s">
        <v>206</v>
      </c>
      <c r="C3539" s="12" t="s">
        <v>558</v>
      </c>
      <c r="D3539" s="12" t="s">
        <v>5438</v>
      </c>
      <c r="E3539" s="12" t="s">
        <v>2978</v>
      </c>
      <c r="F3539" s="12" t="s">
        <v>832</v>
      </c>
      <c r="G3539" s="12" t="s">
        <v>832</v>
      </c>
      <c r="H3539" s="12" t="b">
        <v>0</v>
      </c>
      <c r="I3539" s="12" t="b">
        <v>0</v>
      </c>
      <c r="J3539" s="12" t="b">
        <v>0</v>
      </c>
      <c r="K3539" s="12" t="b">
        <v>0</v>
      </c>
      <c r="L3539" s="12">
        <v>506.57042710373003</v>
      </c>
      <c r="M3539" s="12">
        <v>287.08239873008989</v>
      </c>
      <c r="N3539" s="12">
        <v>2575.431332105853</v>
      </c>
      <c r="O3539" s="12">
        <v>400</v>
      </c>
      <c r="P3539" s="12">
        <v>0.70264995674769326</v>
      </c>
      <c r="Q3539" s="12">
        <v>0.56290903480205712</v>
      </c>
      <c r="R3539" s="12">
        <v>0.42519951401836581</v>
      </c>
      <c r="S3539" s="12">
        <v>0.54665044152333664</v>
      </c>
      <c r="T3539" s="12">
        <v>0.77243301799464925</v>
      </c>
      <c r="U3539" s="12">
        <v>0.46612369481007038</v>
      </c>
      <c r="V3539" s="12">
        <v>287.08239873008989</v>
      </c>
      <c r="W3539" s="12"/>
      <c r="X3539" s="12"/>
      <c r="Y3539" s="12">
        <v>2175.431332105853</v>
      </c>
      <c r="Z3539" s="12">
        <v>6.4385783302646322</v>
      </c>
      <c r="AA3539" s="12"/>
      <c r="AB3539" s="12"/>
    </row>
    <row r="3540" spans="1:28" x14ac:dyDescent="0.3">
      <c r="A3540" s="12" t="s">
        <v>5465</v>
      </c>
      <c r="B3540" s="12" t="s">
        <v>206</v>
      </c>
      <c r="C3540" s="12" t="s">
        <v>558</v>
      </c>
      <c r="D3540" s="12" t="s">
        <v>5438</v>
      </c>
      <c r="E3540" s="12" t="s">
        <v>2978</v>
      </c>
      <c r="F3540" s="12" t="s">
        <v>832</v>
      </c>
      <c r="G3540" s="12" t="s">
        <v>832</v>
      </c>
      <c r="H3540" s="12" t="b">
        <v>0</v>
      </c>
      <c r="I3540" s="12" t="b">
        <v>0</v>
      </c>
      <c r="J3540" s="12" t="b">
        <v>0</v>
      </c>
      <c r="K3540" s="12" t="b">
        <v>0</v>
      </c>
      <c r="L3540" s="12">
        <v>407.34510893238212</v>
      </c>
      <c r="M3540" s="12">
        <v>282.60969721223512</v>
      </c>
      <c r="N3540" s="12">
        <v>4978.3501705747876</v>
      </c>
      <c r="O3540" s="12">
        <v>400</v>
      </c>
      <c r="P3540" s="12">
        <v>0.5299333726454537</v>
      </c>
      <c r="Q3540" s="12">
        <v>0.53163783087232486</v>
      </c>
      <c r="R3540" s="12">
        <v>0.87516280736462726</v>
      </c>
      <c r="S3540" s="12">
        <v>0.54164298945956968</v>
      </c>
      <c r="T3540" s="12">
        <v>0.57330140041300259</v>
      </c>
      <c r="U3540" s="12">
        <v>0.80779602394596617</v>
      </c>
      <c r="V3540" s="12">
        <v>282.60969721223512</v>
      </c>
      <c r="W3540" s="12"/>
      <c r="X3540" s="12"/>
      <c r="Y3540" s="12">
        <v>4578.3501705747876</v>
      </c>
      <c r="Z3540" s="12">
        <v>12.44587542643697</v>
      </c>
      <c r="AA3540" s="12"/>
      <c r="AB3540" s="12"/>
    </row>
    <row r="3541" spans="1:28" x14ac:dyDescent="0.3">
      <c r="A3541" s="12" t="s">
        <v>5466</v>
      </c>
      <c r="B3541" s="12" t="s">
        <v>206</v>
      </c>
      <c r="C3541" s="12" t="s">
        <v>558</v>
      </c>
      <c r="D3541" s="12" t="s">
        <v>5438</v>
      </c>
      <c r="E3541" s="12" t="s">
        <v>2978</v>
      </c>
      <c r="F3541" s="12" t="s">
        <v>1861</v>
      </c>
      <c r="G3541" s="12" t="s">
        <v>1861</v>
      </c>
      <c r="H3541" s="12" t="b">
        <v>1</v>
      </c>
      <c r="I3541" s="12" t="b">
        <v>0</v>
      </c>
      <c r="J3541" s="12" t="b">
        <v>0</v>
      </c>
      <c r="K3541" s="12" t="b">
        <v>0</v>
      </c>
      <c r="L3541" s="12">
        <v>496.80100190048182</v>
      </c>
      <c r="M3541" s="12">
        <v>288.26462795741298</v>
      </c>
      <c r="N3541" s="12">
        <v>2194.537317821811</v>
      </c>
      <c r="O3541" s="12">
        <v>400</v>
      </c>
      <c r="P3541" s="12">
        <v>0.60292700732181215</v>
      </c>
      <c r="Q3541" s="12">
        <v>0.92296531189458475</v>
      </c>
      <c r="R3541" s="12">
        <v>0.94994641702410521</v>
      </c>
      <c r="S3541" s="12">
        <v>0.4197871746974986</v>
      </c>
      <c r="T3541" s="12">
        <v>0.54789090578554078</v>
      </c>
      <c r="U3541" s="12">
        <v>0.88874221134815812</v>
      </c>
      <c r="V3541" s="12">
        <v>288.26462795741298</v>
      </c>
      <c r="W3541" s="12">
        <v>12.721206847746551</v>
      </c>
      <c r="X3541" s="12">
        <v>113.8235381626329</v>
      </c>
      <c r="Y3541" s="12">
        <v>1794.537317821811</v>
      </c>
      <c r="Z3541" s="12">
        <v>5.4863432945545272</v>
      </c>
      <c r="AA3541" s="12" t="s">
        <v>1268</v>
      </c>
      <c r="AB3541" s="12"/>
    </row>
    <row r="3542" spans="1:28" x14ac:dyDescent="0.3">
      <c r="A3542" s="12" t="s">
        <v>5467</v>
      </c>
      <c r="B3542" s="12" t="s">
        <v>206</v>
      </c>
      <c r="C3542" s="12" t="s">
        <v>558</v>
      </c>
      <c r="D3542" s="12" t="s">
        <v>5438</v>
      </c>
      <c r="E3542" s="12" t="s">
        <v>2978</v>
      </c>
      <c r="F3542" s="12" t="s">
        <v>1862</v>
      </c>
      <c r="G3542" s="12" t="s">
        <v>1862</v>
      </c>
      <c r="H3542" s="12" t="b">
        <v>1</v>
      </c>
      <c r="I3542" s="12" t="b">
        <v>0</v>
      </c>
      <c r="J3542" s="12" t="b">
        <v>0</v>
      </c>
      <c r="K3542" s="12" t="b">
        <v>0</v>
      </c>
      <c r="L3542" s="12">
        <v>432.2083811568599</v>
      </c>
      <c r="M3542" s="12">
        <v>294.32087367965443</v>
      </c>
      <c r="N3542" s="12">
        <v>2128.9534653600649</v>
      </c>
      <c r="O3542" s="12">
        <v>400</v>
      </c>
      <c r="P3542" s="12">
        <v>0.84117746613723887</v>
      </c>
      <c r="Q3542" s="12">
        <v>0.48060570997757091</v>
      </c>
      <c r="R3542" s="12">
        <v>0.73843595329811174</v>
      </c>
      <c r="S3542" s="12">
        <v>0.86260256909266531</v>
      </c>
      <c r="T3542" s="12">
        <v>0.8426246057652923</v>
      </c>
      <c r="U3542" s="12">
        <v>0.72503499641728264</v>
      </c>
      <c r="V3542" s="12">
        <v>294.32087367965443</v>
      </c>
      <c r="W3542" s="12">
        <v>-29.813245266022829</v>
      </c>
      <c r="X3542" s="12">
        <v>-132.71595575394269</v>
      </c>
      <c r="Y3542" s="12">
        <v>1728.9534653600649</v>
      </c>
      <c r="Z3542" s="12">
        <v>5.3223836634001627</v>
      </c>
      <c r="AA3542" s="12" t="s">
        <v>2513</v>
      </c>
      <c r="AB3542" s="12"/>
    </row>
    <row r="3543" spans="1:28" x14ac:dyDescent="0.3">
      <c r="A3543" s="12" t="s">
        <v>5468</v>
      </c>
      <c r="B3543" s="12" t="s">
        <v>206</v>
      </c>
      <c r="C3543" s="12" t="s">
        <v>558</v>
      </c>
      <c r="D3543" s="12" t="s">
        <v>5438</v>
      </c>
      <c r="E3543" s="12" t="s">
        <v>2978</v>
      </c>
      <c r="F3543" s="12" t="s">
        <v>1862</v>
      </c>
      <c r="G3543" s="12" t="s">
        <v>1862</v>
      </c>
      <c r="H3543" s="12" t="b">
        <v>1</v>
      </c>
      <c r="I3543" s="12" t="b">
        <v>0</v>
      </c>
      <c r="J3543" s="12" t="b">
        <v>0</v>
      </c>
      <c r="K3543" s="12" t="b">
        <v>0</v>
      </c>
      <c r="L3543" s="12">
        <v>406.05819369533077</v>
      </c>
      <c r="M3543" s="12">
        <v>293.63763225337431</v>
      </c>
      <c r="N3543" s="12">
        <v>4513.1413605808284</v>
      </c>
      <c r="O3543" s="12">
        <v>400</v>
      </c>
      <c r="P3543" s="12">
        <v>0.62227860682435165</v>
      </c>
      <c r="Q3543" s="12">
        <v>0.46904960953536717</v>
      </c>
      <c r="R3543" s="12">
        <v>0.49854734028551467</v>
      </c>
      <c r="S3543" s="12">
        <v>0.89697568057328403</v>
      </c>
      <c r="T3543" s="12">
        <v>0.48151564863202467</v>
      </c>
      <c r="U3543" s="12">
        <v>0.57079216917130626</v>
      </c>
      <c r="V3543" s="12">
        <v>293.63763225337431</v>
      </c>
      <c r="W3543" s="12">
        <v>-29.54543938766081</v>
      </c>
      <c r="X3543" s="12">
        <v>-75.477315578637487</v>
      </c>
      <c r="Y3543" s="12">
        <v>4113.1413605808284</v>
      </c>
      <c r="Z3543" s="12">
        <v>11.282853401452069</v>
      </c>
      <c r="AA3543" s="12" t="s">
        <v>2513</v>
      </c>
      <c r="AB3543" s="12"/>
    </row>
    <row r="3544" spans="1:28" x14ac:dyDescent="0.3">
      <c r="A3544" s="12" t="s">
        <v>5469</v>
      </c>
      <c r="B3544" s="12" t="s">
        <v>206</v>
      </c>
      <c r="C3544" s="12" t="s">
        <v>558</v>
      </c>
      <c r="D3544" s="12" t="s">
        <v>5438</v>
      </c>
      <c r="E3544" s="12" t="s">
        <v>2978</v>
      </c>
      <c r="F3544" s="12" t="s">
        <v>1862</v>
      </c>
      <c r="G3544" s="12" t="s">
        <v>1862</v>
      </c>
      <c r="H3544" s="12" t="b">
        <v>1</v>
      </c>
      <c r="I3544" s="12" t="b">
        <v>0</v>
      </c>
      <c r="J3544" s="12" t="b">
        <v>1</v>
      </c>
      <c r="K3544" s="12" t="b">
        <v>0</v>
      </c>
      <c r="L3544" s="12">
        <v>428.66011403413597</v>
      </c>
      <c r="M3544" s="12">
        <v>302.3728342530103</v>
      </c>
      <c r="N3544" s="12">
        <v>3270.0599746638982</v>
      </c>
      <c r="O3544" s="12">
        <v>400</v>
      </c>
      <c r="P3544" s="12">
        <v>0.67529154172600614</v>
      </c>
      <c r="Q3544" s="12">
        <v>0.45266568614708319</v>
      </c>
      <c r="R3544" s="12">
        <v>0.88390350337190582</v>
      </c>
      <c r="S3544" s="12">
        <v>0.87189913336864555</v>
      </c>
      <c r="T3544" s="12">
        <v>0.86217074482098599</v>
      </c>
      <c r="U3544" s="12">
        <v>0.89522472406279396</v>
      </c>
      <c r="V3544" s="12">
        <v>302.3728342530103</v>
      </c>
      <c r="W3544" s="12">
        <v>-3.9720119483898202</v>
      </c>
      <c r="X3544" s="12">
        <v>-23.100190790128408</v>
      </c>
      <c r="Y3544" s="12">
        <v>2870.0599746638982</v>
      </c>
      <c r="Z3544" s="12">
        <v>8.1751499366597447</v>
      </c>
      <c r="AA3544" s="12" t="s">
        <v>2513</v>
      </c>
      <c r="AB3544" s="12"/>
    </row>
    <row r="3545" spans="1:28" x14ac:dyDescent="0.3">
      <c r="A3545" s="12" t="s">
        <v>5470</v>
      </c>
      <c r="B3545" s="12" t="s">
        <v>206</v>
      </c>
      <c r="C3545" s="12" t="s">
        <v>558</v>
      </c>
      <c r="D3545" s="12" t="s">
        <v>5438</v>
      </c>
      <c r="E3545" s="12" t="s">
        <v>2978</v>
      </c>
      <c r="F3545" s="12" t="s">
        <v>832</v>
      </c>
      <c r="G3545" s="12" t="s">
        <v>832</v>
      </c>
      <c r="H3545" s="12" t="b">
        <v>0</v>
      </c>
      <c r="I3545" s="12" t="b">
        <v>0</v>
      </c>
      <c r="J3545" s="12" t="b">
        <v>0</v>
      </c>
      <c r="K3545" s="12" t="b">
        <v>0</v>
      </c>
      <c r="L3545" s="12">
        <v>498.54763788777979</v>
      </c>
      <c r="M3545" s="12">
        <v>293.87954703037423</v>
      </c>
      <c r="N3545" s="12">
        <v>4678.8932437608391</v>
      </c>
      <c r="O3545" s="12">
        <v>400</v>
      </c>
      <c r="P3545" s="12">
        <v>0.82898937226912617</v>
      </c>
      <c r="Q3545" s="12">
        <v>0.935103476280576</v>
      </c>
      <c r="R3545" s="12">
        <v>0.70706330102400305</v>
      </c>
      <c r="S3545" s="12">
        <v>0.8365930181607788</v>
      </c>
      <c r="T3545" s="12">
        <v>0.84687601600871432</v>
      </c>
      <c r="U3545" s="12">
        <v>0.86469028036966544</v>
      </c>
      <c r="V3545" s="12">
        <v>293.87954703037423</v>
      </c>
      <c r="W3545" s="12"/>
      <c r="X3545" s="12"/>
      <c r="Y3545" s="12">
        <v>4278.8932437608391</v>
      </c>
      <c r="Z3545" s="12">
        <v>11.6972331094021</v>
      </c>
      <c r="AA3545" s="12"/>
      <c r="AB3545" s="12"/>
    </row>
    <row r="3546" spans="1:28" x14ac:dyDescent="0.3">
      <c r="A3546" s="12" t="s">
        <v>5471</v>
      </c>
      <c r="B3546" s="12" t="s">
        <v>206</v>
      </c>
      <c r="C3546" s="12" t="s">
        <v>558</v>
      </c>
      <c r="D3546" s="12" t="s">
        <v>5438</v>
      </c>
      <c r="E3546" s="12" t="s">
        <v>2978</v>
      </c>
      <c r="F3546" s="12" t="s">
        <v>1862</v>
      </c>
      <c r="G3546" s="12" t="s">
        <v>1862</v>
      </c>
      <c r="H3546" s="12" t="b">
        <v>1</v>
      </c>
      <c r="I3546" s="12" t="b">
        <v>0</v>
      </c>
      <c r="J3546" s="12" t="b">
        <v>0</v>
      </c>
      <c r="K3546" s="12" t="b">
        <v>0</v>
      </c>
      <c r="L3546" s="12">
        <v>410.82373054083411</v>
      </c>
      <c r="M3546" s="12">
        <v>284.82005287369532</v>
      </c>
      <c r="N3546" s="12">
        <v>4810.2414464814374</v>
      </c>
      <c r="O3546" s="12">
        <v>400</v>
      </c>
      <c r="P3546" s="12">
        <v>0.70492645844624102</v>
      </c>
      <c r="Q3546" s="12">
        <v>0.69507426508828085</v>
      </c>
      <c r="R3546" s="12">
        <v>0.93441646520072441</v>
      </c>
      <c r="S3546" s="12">
        <v>0.70799011900736075</v>
      </c>
      <c r="T3546" s="12">
        <v>0.83579238121025834</v>
      </c>
      <c r="U3546" s="12">
        <v>0.42008493375357858</v>
      </c>
      <c r="V3546" s="12">
        <v>284.82005287369532</v>
      </c>
      <c r="W3546" s="12">
        <v>-7.0964697256635993</v>
      </c>
      <c r="X3546" s="12">
        <v>-19.16283623187466</v>
      </c>
      <c r="Y3546" s="12">
        <v>4410.2414464814374</v>
      </c>
      <c r="Z3546" s="12">
        <v>12.02560361620359</v>
      </c>
      <c r="AA3546" s="12" t="s">
        <v>2513</v>
      </c>
      <c r="AB3546" s="12"/>
    </row>
    <row r="3547" spans="1:28" x14ac:dyDescent="0.3">
      <c r="A3547" s="12" t="s">
        <v>5472</v>
      </c>
      <c r="B3547" s="12" t="s">
        <v>206</v>
      </c>
      <c r="C3547" s="12" t="s">
        <v>558</v>
      </c>
      <c r="D3547" s="12" t="s">
        <v>5438</v>
      </c>
      <c r="E3547" s="12" t="s">
        <v>2978</v>
      </c>
      <c r="F3547" s="12" t="s">
        <v>1861</v>
      </c>
      <c r="G3547" s="12" t="s">
        <v>1861</v>
      </c>
      <c r="H3547" s="12" t="b">
        <v>1</v>
      </c>
      <c r="I3547" s="12" t="b">
        <v>0</v>
      </c>
      <c r="J3547" s="12" t="b">
        <v>1</v>
      </c>
      <c r="K3547" s="12" t="b">
        <v>0</v>
      </c>
      <c r="L3547" s="12">
        <v>472.02333162229871</v>
      </c>
      <c r="M3547" s="12">
        <v>298.81658962703369</v>
      </c>
      <c r="N3547" s="12">
        <v>3059.6588756431352</v>
      </c>
      <c r="O3547" s="12">
        <v>400</v>
      </c>
      <c r="P3547" s="12">
        <v>0.56691410262563902</v>
      </c>
      <c r="Q3547" s="12">
        <v>0.40530085017014278</v>
      </c>
      <c r="R3547" s="12">
        <v>0.41621929020974691</v>
      </c>
      <c r="S3547" s="12">
        <v>0.47681835897796843</v>
      </c>
      <c r="T3547" s="12">
        <v>0.42808056005436668</v>
      </c>
      <c r="U3547" s="12">
        <v>0.84472106268941771</v>
      </c>
      <c r="V3547" s="12">
        <v>298.81658962703369</v>
      </c>
      <c r="W3547" s="12">
        <v>1.4731922576813099</v>
      </c>
      <c r="X3547" s="12">
        <v>13.286002550721699</v>
      </c>
      <c r="Y3547" s="12">
        <v>2659.6588756431352</v>
      </c>
      <c r="Z3547" s="12">
        <v>7.6491471891078371</v>
      </c>
      <c r="AA3547" s="12" t="s">
        <v>1268</v>
      </c>
      <c r="AB3547" s="12"/>
    </row>
    <row r="3548" spans="1:28" x14ac:dyDescent="0.3">
      <c r="A3548" s="12" t="s">
        <v>5473</v>
      </c>
      <c r="B3548" s="12" t="s">
        <v>206</v>
      </c>
      <c r="C3548" s="12" t="s">
        <v>558</v>
      </c>
      <c r="D3548" s="12" t="s">
        <v>5438</v>
      </c>
      <c r="E3548" s="12" t="s">
        <v>2978</v>
      </c>
      <c r="F3548" s="12" t="s">
        <v>1861</v>
      </c>
      <c r="G3548" s="12" t="s">
        <v>1861</v>
      </c>
      <c r="H3548" s="12" t="b">
        <v>1</v>
      </c>
      <c r="I3548" s="12" t="b">
        <v>0</v>
      </c>
      <c r="J3548" s="12" t="b">
        <v>1</v>
      </c>
      <c r="K3548" s="12" t="b">
        <v>0</v>
      </c>
      <c r="L3548" s="12">
        <v>499.87470814202061</v>
      </c>
      <c r="M3548" s="12">
        <v>283.2969741987489</v>
      </c>
      <c r="N3548" s="12">
        <v>4569.5702053044852</v>
      </c>
      <c r="O3548" s="12">
        <v>400</v>
      </c>
      <c r="P3548" s="12">
        <v>0.58298581930406834</v>
      </c>
      <c r="Q3548" s="12">
        <v>0.62953428492557806</v>
      </c>
      <c r="R3548" s="12">
        <v>0.79046772385121344</v>
      </c>
      <c r="S3548" s="12">
        <v>0.79928816550685977</v>
      </c>
      <c r="T3548" s="12">
        <v>0.93633150471311044</v>
      </c>
      <c r="U3548" s="12">
        <v>0.49765358370913332</v>
      </c>
      <c r="V3548" s="12">
        <v>283.2969741987489</v>
      </c>
      <c r="W3548" s="12">
        <v>1.14225084702902</v>
      </c>
      <c r="X3548" s="12">
        <v>10.66221564335874</v>
      </c>
      <c r="Y3548" s="12">
        <v>4169.5702053044852</v>
      </c>
      <c r="Z3548" s="12">
        <v>11.42392551326121</v>
      </c>
      <c r="AA3548" s="12" t="s">
        <v>1268</v>
      </c>
      <c r="AB3548" s="12"/>
    </row>
    <row r="3549" spans="1:28" x14ac:dyDescent="0.3">
      <c r="A3549" s="12" t="s">
        <v>5474</v>
      </c>
      <c r="B3549" s="12" t="s">
        <v>206</v>
      </c>
      <c r="C3549" s="12" t="s">
        <v>558</v>
      </c>
      <c r="D3549" s="12" t="s">
        <v>5438</v>
      </c>
      <c r="E3549" s="12" t="s">
        <v>2978</v>
      </c>
      <c r="F3549" s="12" t="s">
        <v>1861</v>
      </c>
      <c r="G3549" s="12" t="s">
        <v>1861</v>
      </c>
      <c r="H3549" s="12" t="b">
        <v>1</v>
      </c>
      <c r="I3549" s="12" t="b">
        <v>0</v>
      </c>
      <c r="J3549" s="12" t="b">
        <v>1</v>
      </c>
      <c r="K3549" s="12" t="b">
        <v>0</v>
      </c>
      <c r="L3549" s="12">
        <v>487.26773447948568</v>
      </c>
      <c r="M3549" s="12">
        <v>287.70431816790972</v>
      </c>
      <c r="N3549" s="12">
        <v>2748.8280527890652</v>
      </c>
      <c r="O3549" s="12">
        <v>400</v>
      </c>
      <c r="P3549" s="12">
        <v>0.53160734657310216</v>
      </c>
      <c r="Q3549" s="12">
        <v>0.87360034619222371</v>
      </c>
      <c r="R3549" s="12">
        <v>0.44441904397470311</v>
      </c>
      <c r="S3549" s="12">
        <v>0.49413508449986959</v>
      </c>
      <c r="T3549" s="12">
        <v>0.65482529821656077</v>
      </c>
      <c r="U3549" s="12">
        <v>0.68262081585202083</v>
      </c>
      <c r="V3549" s="12">
        <v>287.70431816790972</v>
      </c>
      <c r="W3549" s="12">
        <v>8.875562777752009</v>
      </c>
      <c r="X3549" s="12">
        <v>81.444665613520101</v>
      </c>
      <c r="Y3549" s="12">
        <v>2348.8280527890652</v>
      </c>
      <c r="Z3549" s="12">
        <v>6.872070131972662</v>
      </c>
      <c r="AA3549" s="12" t="s">
        <v>1268</v>
      </c>
      <c r="AB3549" s="12"/>
    </row>
    <row r="3550" spans="1:28" x14ac:dyDescent="0.3">
      <c r="A3550" s="12" t="s">
        <v>5475</v>
      </c>
      <c r="B3550" s="12" t="s">
        <v>206</v>
      </c>
      <c r="C3550" s="12" t="s">
        <v>558</v>
      </c>
      <c r="D3550" s="12" t="s">
        <v>5438</v>
      </c>
      <c r="E3550" s="12" t="s">
        <v>2978</v>
      </c>
      <c r="F3550" s="12" t="s">
        <v>832</v>
      </c>
      <c r="G3550" s="12" t="s">
        <v>832</v>
      </c>
      <c r="H3550" s="12" t="b">
        <v>0</v>
      </c>
      <c r="I3550" s="12" t="b">
        <v>0</v>
      </c>
      <c r="J3550" s="12" t="b">
        <v>0</v>
      </c>
      <c r="K3550" s="12" t="b">
        <v>0</v>
      </c>
      <c r="L3550" s="12">
        <v>387.76183862033088</v>
      </c>
      <c r="M3550" s="12">
        <v>301.16107958557569</v>
      </c>
      <c r="N3550" s="12">
        <v>3858.676571114248</v>
      </c>
      <c r="O3550" s="12">
        <v>400</v>
      </c>
      <c r="P3550" s="12">
        <v>0.71061417809596117</v>
      </c>
      <c r="Q3550" s="12">
        <v>0.90442507098093716</v>
      </c>
      <c r="R3550" s="12">
        <v>0.46933875039339418</v>
      </c>
      <c r="S3550" s="12">
        <v>0.55793342693033798</v>
      </c>
      <c r="T3550" s="12">
        <v>0.88131093344560429</v>
      </c>
      <c r="U3550" s="12">
        <v>0.71874517069940957</v>
      </c>
      <c r="V3550" s="12">
        <v>301.16107958557569</v>
      </c>
      <c r="W3550" s="12"/>
      <c r="X3550" s="12"/>
      <c r="Y3550" s="12">
        <v>3458.676571114248</v>
      </c>
      <c r="Z3550" s="12">
        <v>9.6466914277856208</v>
      </c>
      <c r="AA3550" s="12"/>
      <c r="AB3550" s="12"/>
    </row>
    <row r="3551" spans="1:28" x14ac:dyDescent="0.3">
      <c r="A3551" s="12" t="s">
        <v>5476</v>
      </c>
      <c r="B3551" s="12" t="s">
        <v>206</v>
      </c>
      <c r="C3551" s="12" t="s">
        <v>558</v>
      </c>
      <c r="D3551" s="12" t="s">
        <v>5438</v>
      </c>
      <c r="E3551" s="12" t="s">
        <v>2978</v>
      </c>
      <c r="F3551" s="12" t="s">
        <v>1862</v>
      </c>
      <c r="G3551" s="12" t="s">
        <v>1862</v>
      </c>
      <c r="H3551" s="12" t="b">
        <v>1</v>
      </c>
      <c r="I3551" s="12" t="b">
        <v>0</v>
      </c>
      <c r="J3551" s="12" t="b">
        <v>1</v>
      </c>
      <c r="K3551" s="12" t="b">
        <v>0</v>
      </c>
      <c r="L3551" s="12">
        <v>447.57245711878357</v>
      </c>
      <c r="M3551" s="12">
        <v>285.10452044072599</v>
      </c>
      <c r="N3551" s="12">
        <v>2797.6629682982398</v>
      </c>
      <c r="O3551" s="12">
        <v>400</v>
      </c>
      <c r="P3551" s="12">
        <v>0.6246206010669092</v>
      </c>
      <c r="Q3551" s="12">
        <v>0.80517198632359332</v>
      </c>
      <c r="R3551" s="12">
        <v>0.59553036425457651</v>
      </c>
      <c r="S3551" s="12">
        <v>0.59314413600804694</v>
      </c>
      <c r="T3551" s="12">
        <v>0.76840879107662263</v>
      </c>
      <c r="U3551" s="12">
        <v>0.4504414225428634</v>
      </c>
      <c r="V3551" s="12">
        <v>285.10452044072599</v>
      </c>
      <c r="W3551" s="12">
        <v>-2.9427341430304601</v>
      </c>
      <c r="X3551" s="12">
        <v>-16.614348676181809</v>
      </c>
      <c r="Y3551" s="12">
        <v>2397.6629682982398</v>
      </c>
      <c r="Z3551" s="12">
        <v>6.9941574207455997</v>
      </c>
      <c r="AA3551" s="12" t="s">
        <v>2513</v>
      </c>
      <c r="AB3551" s="12"/>
    </row>
    <row r="3552" spans="1:28" x14ac:dyDescent="0.3">
      <c r="A3552" s="12" t="s">
        <v>5477</v>
      </c>
      <c r="B3552" s="12" t="s">
        <v>206</v>
      </c>
      <c r="C3552" s="12" t="s">
        <v>558</v>
      </c>
      <c r="D3552" s="12" t="s">
        <v>5438</v>
      </c>
      <c r="E3552" s="12" t="s">
        <v>2978</v>
      </c>
      <c r="F3552" s="12" t="s">
        <v>1861</v>
      </c>
      <c r="G3552" s="12" t="s">
        <v>1861</v>
      </c>
      <c r="H3552" s="12" t="b">
        <v>1</v>
      </c>
      <c r="I3552" s="12" t="b">
        <v>0</v>
      </c>
      <c r="J3552" s="12" t="b">
        <v>0</v>
      </c>
      <c r="K3552" s="12" t="b">
        <v>0</v>
      </c>
      <c r="L3552" s="12">
        <v>414.23780710282131</v>
      </c>
      <c r="M3552" s="12">
        <v>299.88709513464448</v>
      </c>
      <c r="N3552" s="12">
        <v>3868.287808380001</v>
      </c>
      <c r="O3552" s="12">
        <v>400</v>
      </c>
      <c r="P3552" s="12">
        <v>0.50552469632707608</v>
      </c>
      <c r="Q3552" s="12">
        <v>0.84695840918018583</v>
      </c>
      <c r="R3552" s="12">
        <v>0.57292698008691811</v>
      </c>
      <c r="S3552" s="12">
        <v>0.93299689483216497</v>
      </c>
      <c r="T3552" s="12">
        <v>0.78055507389720691</v>
      </c>
      <c r="U3552" s="12">
        <v>0.62033817840236882</v>
      </c>
      <c r="V3552" s="12">
        <v>299.88709513464448</v>
      </c>
      <c r="W3552" s="12">
        <v>8.2846382394683804</v>
      </c>
      <c r="X3552" s="12">
        <v>23.474346453724699</v>
      </c>
      <c r="Y3552" s="12">
        <v>3468.287808380001</v>
      </c>
      <c r="Z3552" s="12">
        <v>9.6707195209500032</v>
      </c>
      <c r="AA3552" s="12" t="s">
        <v>1268</v>
      </c>
      <c r="AB3552" s="12"/>
    </row>
    <row r="3553" spans="1:28" x14ac:dyDescent="0.3">
      <c r="A3553" s="12" t="s">
        <v>5478</v>
      </c>
      <c r="B3553" s="12" t="s">
        <v>206</v>
      </c>
      <c r="C3553" s="12" t="s">
        <v>558</v>
      </c>
      <c r="D3553" s="12" t="s">
        <v>5438</v>
      </c>
      <c r="E3553" s="12" t="s">
        <v>2978</v>
      </c>
      <c r="F3553" s="12" t="s">
        <v>1861</v>
      </c>
      <c r="G3553" s="12" t="s">
        <v>1861</v>
      </c>
      <c r="H3553" s="12" t="b">
        <v>1</v>
      </c>
      <c r="I3553" s="12" t="b">
        <v>0</v>
      </c>
      <c r="J3553" s="12" t="b">
        <v>1</v>
      </c>
      <c r="K3553" s="12" t="b">
        <v>0</v>
      </c>
      <c r="L3553" s="12">
        <v>460.7722725456436</v>
      </c>
      <c r="M3553" s="12">
        <v>291.64181569345158</v>
      </c>
      <c r="N3553" s="12">
        <v>2762.2104515471642</v>
      </c>
      <c r="O3553" s="12">
        <v>400</v>
      </c>
      <c r="P3553" s="12">
        <v>0.66308519909879848</v>
      </c>
      <c r="Q3553" s="12">
        <v>0.77777903571194795</v>
      </c>
      <c r="R3553" s="12">
        <v>0.6519738465950593</v>
      </c>
      <c r="S3553" s="12">
        <v>0.5219396818054084</v>
      </c>
      <c r="T3553" s="12">
        <v>0.70122273709198302</v>
      </c>
      <c r="U3553" s="12">
        <v>0.76101998304849072</v>
      </c>
      <c r="V3553" s="12">
        <v>291.64181569345158</v>
      </c>
      <c r="W3553" s="12">
        <v>7.0323718217739097</v>
      </c>
      <c r="X3553" s="12">
        <v>56.429901736871358</v>
      </c>
      <c r="Y3553" s="12">
        <v>2362.2104515471642</v>
      </c>
      <c r="Z3553" s="12">
        <v>6.9055261288679102</v>
      </c>
      <c r="AA3553" s="12" t="s">
        <v>1268</v>
      </c>
      <c r="AB3553" s="12"/>
    </row>
    <row r="3554" spans="1:28" x14ac:dyDescent="0.3">
      <c r="A3554" s="12" t="s">
        <v>5479</v>
      </c>
      <c r="B3554" s="12" t="s">
        <v>206</v>
      </c>
      <c r="C3554" s="12" t="s">
        <v>558</v>
      </c>
      <c r="D3554" s="12" t="s">
        <v>5438</v>
      </c>
      <c r="E3554" s="12" t="s">
        <v>2978</v>
      </c>
      <c r="F3554" s="12" t="s">
        <v>1862</v>
      </c>
      <c r="G3554" s="12" t="s">
        <v>1862</v>
      </c>
      <c r="H3554" s="12" t="b">
        <v>1</v>
      </c>
      <c r="I3554" s="12" t="b">
        <v>0</v>
      </c>
      <c r="J3554" s="12" t="b">
        <v>1</v>
      </c>
      <c r="K3554" s="12" t="b">
        <v>0</v>
      </c>
      <c r="L3554" s="12">
        <v>494.15266841997408</v>
      </c>
      <c r="M3554" s="12">
        <v>301.6781561064189</v>
      </c>
      <c r="N3554" s="12">
        <v>3366.712110044311</v>
      </c>
      <c r="O3554" s="12">
        <v>400</v>
      </c>
      <c r="P3554" s="12">
        <v>0.73727516730358678</v>
      </c>
      <c r="Q3554" s="12">
        <v>0.65342513091676224</v>
      </c>
      <c r="R3554" s="12">
        <v>0.94334684176357297</v>
      </c>
      <c r="S3554" s="12">
        <v>0.53588034411240892</v>
      </c>
      <c r="T3554" s="12">
        <v>0.62528365611442938</v>
      </c>
      <c r="U3554" s="12">
        <v>0.76695843667396457</v>
      </c>
      <c r="V3554" s="12">
        <v>301.6781561064189</v>
      </c>
      <c r="W3554" s="12">
        <v>-0.4116995389044199</v>
      </c>
      <c r="X3554" s="12">
        <v>-2.3875498635075871</v>
      </c>
      <c r="Y3554" s="12">
        <v>2966.712110044311</v>
      </c>
      <c r="Z3554" s="12">
        <v>8.4167802751107779</v>
      </c>
      <c r="AA3554" s="12" t="s">
        <v>2513</v>
      </c>
      <c r="AB3554" s="12"/>
    </row>
    <row r="3555" spans="1:28" x14ac:dyDescent="0.3">
      <c r="A3555" s="12" t="s">
        <v>5480</v>
      </c>
      <c r="B3555" s="12" t="s">
        <v>206</v>
      </c>
      <c r="C3555" s="12" t="s">
        <v>558</v>
      </c>
      <c r="D3555" s="12" t="s">
        <v>5438</v>
      </c>
      <c r="E3555" s="12" t="s">
        <v>2978</v>
      </c>
      <c r="F3555" s="12" t="s">
        <v>1861</v>
      </c>
      <c r="G3555" s="12" t="s">
        <v>1861</v>
      </c>
      <c r="H3555" s="12" t="b">
        <v>1</v>
      </c>
      <c r="I3555" s="12" t="b">
        <v>0</v>
      </c>
      <c r="J3555" s="12" t="b">
        <v>0</v>
      </c>
      <c r="K3555" s="12" t="b">
        <v>0</v>
      </c>
      <c r="L3555" s="12">
        <v>454.33060186667768</v>
      </c>
      <c r="M3555" s="12">
        <v>297.4547199378178</v>
      </c>
      <c r="N3555" s="12">
        <v>2377.4490574983938</v>
      </c>
      <c r="O3555" s="12">
        <v>400</v>
      </c>
      <c r="P3555" s="12">
        <v>0.67372604232233368</v>
      </c>
      <c r="Q3555" s="12">
        <v>0.84238978787567453</v>
      </c>
      <c r="R3555" s="12">
        <v>0.72862697288601397</v>
      </c>
      <c r="S3555" s="12">
        <v>0.43332859182097883</v>
      </c>
      <c r="T3555" s="12">
        <v>0.73204795129901779</v>
      </c>
      <c r="U3555" s="12">
        <v>0.64003614724829361</v>
      </c>
      <c r="V3555" s="12">
        <v>297.4547199378178</v>
      </c>
      <c r="W3555" s="12">
        <v>2.4393815402987098</v>
      </c>
      <c r="X3555" s="12">
        <v>13.10637219525748</v>
      </c>
      <c r="Y3555" s="12">
        <v>1977.449057498394</v>
      </c>
      <c r="Z3555" s="12">
        <v>5.9436226437459849</v>
      </c>
      <c r="AA3555" s="12" t="s">
        <v>1268</v>
      </c>
      <c r="AB3555" s="12"/>
    </row>
    <row r="3556" spans="1:28" x14ac:dyDescent="0.3">
      <c r="A3556" s="12" t="s">
        <v>5481</v>
      </c>
      <c r="B3556" s="12" t="s">
        <v>206</v>
      </c>
      <c r="C3556" s="12" t="s">
        <v>558</v>
      </c>
      <c r="D3556" s="12" t="s">
        <v>5438</v>
      </c>
      <c r="E3556" s="12" t="s">
        <v>2978</v>
      </c>
      <c r="F3556" s="12" t="s">
        <v>1861</v>
      </c>
      <c r="G3556" s="12" t="s">
        <v>1861</v>
      </c>
      <c r="H3556" s="12" t="b">
        <v>1</v>
      </c>
      <c r="I3556" s="12" t="b">
        <v>0</v>
      </c>
      <c r="J3556" s="12" t="b">
        <v>0</v>
      </c>
      <c r="K3556" s="12" t="b">
        <v>0</v>
      </c>
      <c r="L3556" s="12">
        <v>382.5336586213046</v>
      </c>
      <c r="M3556" s="12">
        <v>288.51264959535911</v>
      </c>
      <c r="N3556" s="12">
        <v>3492.7671265031631</v>
      </c>
      <c r="O3556" s="12">
        <v>400</v>
      </c>
      <c r="P3556" s="12">
        <v>0.68273381480734496</v>
      </c>
      <c r="Q3556" s="12">
        <v>0.85687087386099381</v>
      </c>
      <c r="R3556" s="12">
        <v>0.69542673473296546</v>
      </c>
      <c r="S3556" s="12">
        <v>0.80619688474854823</v>
      </c>
      <c r="T3556" s="12">
        <v>0.57623771495934406</v>
      </c>
      <c r="U3556" s="12">
        <v>0.80522670949346442</v>
      </c>
      <c r="V3556" s="12">
        <v>288.51264959535911</v>
      </c>
      <c r="W3556" s="12">
        <v>4.57835500457713</v>
      </c>
      <c r="X3556" s="12">
        <v>14.377376154862541</v>
      </c>
      <c r="Y3556" s="12">
        <v>3092.7671265031631</v>
      </c>
      <c r="Z3556" s="12">
        <v>8.7319178162579085</v>
      </c>
      <c r="AA3556" s="12" t="s">
        <v>1268</v>
      </c>
      <c r="AB3556" s="12"/>
    </row>
    <row r="3557" spans="1:28" x14ac:dyDescent="0.3">
      <c r="A3557" s="12" t="s">
        <v>5482</v>
      </c>
      <c r="B3557" s="12" t="s">
        <v>206</v>
      </c>
      <c r="C3557" s="12" t="s">
        <v>558</v>
      </c>
      <c r="D3557" s="12" t="s">
        <v>5438</v>
      </c>
      <c r="E3557" s="12" t="s">
        <v>2978</v>
      </c>
      <c r="F3557" s="12" t="s">
        <v>1862</v>
      </c>
      <c r="G3557" s="12" t="s">
        <v>1862</v>
      </c>
      <c r="H3557" s="12" t="b">
        <v>1</v>
      </c>
      <c r="I3557" s="12" t="b">
        <v>0</v>
      </c>
      <c r="J3557" s="12" t="b">
        <v>0</v>
      </c>
      <c r="K3557" s="12" t="b">
        <v>0</v>
      </c>
      <c r="L3557" s="12">
        <v>409.36300130341812</v>
      </c>
      <c r="M3557" s="12">
        <v>302.688176540033</v>
      </c>
      <c r="N3557" s="12">
        <v>3182.2555277015049</v>
      </c>
      <c r="O3557" s="12">
        <v>400</v>
      </c>
      <c r="P3557" s="12">
        <v>0.68570472418824469</v>
      </c>
      <c r="Q3557" s="12">
        <v>0.82082905132507078</v>
      </c>
      <c r="R3557" s="12">
        <v>0.67252225420202727</v>
      </c>
      <c r="S3557" s="12">
        <v>0.60428512502260934</v>
      </c>
      <c r="T3557" s="12">
        <v>0.91318915996836403</v>
      </c>
      <c r="U3557" s="12">
        <v>0.61405256337205816</v>
      </c>
      <c r="V3557" s="12">
        <v>302.688176540033</v>
      </c>
      <c r="W3557" s="12">
        <v>-40.36066764883698</v>
      </c>
      <c r="X3557" s="12">
        <v>-66.081948021022441</v>
      </c>
      <c r="Y3557" s="12">
        <v>2782.2555277015049</v>
      </c>
      <c r="Z3557" s="12">
        <v>7.955638819253763</v>
      </c>
      <c r="AA3557" s="12" t="s">
        <v>2513</v>
      </c>
      <c r="AB3557" s="12"/>
    </row>
    <row r="3558" spans="1:28" x14ac:dyDescent="0.3">
      <c r="A3558" s="12" t="s">
        <v>5483</v>
      </c>
      <c r="B3558" s="12" t="s">
        <v>206</v>
      </c>
      <c r="C3558" s="12" t="s">
        <v>558</v>
      </c>
      <c r="D3558" s="12" t="s">
        <v>5438</v>
      </c>
      <c r="E3558" s="12" t="s">
        <v>2978</v>
      </c>
      <c r="F3558" s="12" t="s">
        <v>1861</v>
      </c>
      <c r="G3558" s="12" t="s">
        <v>1861</v>
      </c>
      <c r="H3558" s="12" t="b">
        <v>1</v>
      </c>
      <c r="I3558" s="12" t="b">
        <v>0</v>
      </c>
      <c r="J3558" s="12" t="b">
        <v>1</v>
      </c>
      <c r="K3558" s="12" t="b">
        <v>0</v>
      </c>
      <c r="L3558" s="12">
        <v>466.38189786401671</v>
      </c>
      <c r="M3558" s="12">
        <v>295.75222435821553</v>
      </c>
      <c r="N3558" s="12">
        <v>4239.4667640229763</v>
      </c>
      <c r="O3558" s="12">
        <v>400</v>
      </c>
      <c r="P3558" s="12">
        <v>0.51665444977014252</v>
      </c>
      <c r="Q3558" s="12">
        <v>0.89638881890161493</v>
      </c>
      <c r="R3558" s="12">
        <v>0.62498317418068805</v>
      </c>
      <c r="S3558" s="12">
        <v>0.47981297042516052</v>
      </c>
      <c r="T3558" s="12">
        <v>0.90167888534263962</v>
      </c>
      <c r="U3558" s="12">
        <v>0.47397103076160191</v>
      </c>
      <c r="V3558" s="12">
        <v>295.75222435821553</v>
      </c>
      <c r="W3558" s="12">
        <v>5.6142024483231703</v>
      </c>
      <c r="X3558" s="12">
        <v>25.473277100625989</v>
      </c>
      <c r="Y3558" s="12">
        <v>3839.4667640229759</v>
      </c>
      <c r="Z3558" s="12">
        <v>10.598666910057441</v>
      </c>
      <c r="AA3558" s="12" t="s">
        <v>1981</v>
      </c>
      <c r="AB3558" s="12"/>
    </row>
    <row r="3559" spans="1:28" x14ac:dyDescent="0.3">
      <c r="A3559" s="12" t="s">
        <v>5484</v>
      </c>
      <c r="B3559" s="12" t="s">
        <v>206</v>
      </c>
      <c r="C3559" s="12" t="s">
        <v>558</v>
      </c>
      <c r="D3559" s="12" t="s">
        <v>5438</v>
      </c>
      <c r="E3559" s="12" t="s">
        <v>2978</v>
      </c>
      <c r="F3559" s="12" t="s">
        <v>1861</v>
      </c>
      <c r="G3559" s="12" t="s">
        <v>1861</v>
      </c>
      <c r="H3559" s="12" t="b">
        <v>1</v>
      </c>
      <c r="I3559" s="12" t="b">
        <v>0</v>
      </c>
      <c r="J3559" s="12" t="b">
        <v>0</v>
      </c>
      <c r="K3559" s="12" t="b">
        <v>0</v>
      </c>
      <c r="L3559" s="12">
        <v>448.62998751017602</v>
      </c>
      <c r="M3559" s="12">
        <v>297.05868980650439</v>
      </c>
      <c r="N3559" s="12">
        <v>2939.6662682177162</v>
      </c>
      <c r="O3559" s="12">
        <v>400</v>
      </c>
      <c r="P3559" s="12">
        <v>0.52731407821536036</v>
      </c>
      <c r="Q3559" s="12">
        <v>0.60094361496975923</v>
      </c>
      <c r="R3559" s="12">
        <v>0.432328681286408</v>
      </c>
      <c r="S3559" s="12">
        <v>0.45363275068659809</v>
      </c>
      <c r="T3559" s="12">
        <v>0.82196556803037413</v>
      </c>
      <c r="U3559" s="12">
        <v>0.82308455351854293</v>
      </c>
      <c r="V3559" s="12">
        <v>297.05868980650439</v>
      </c>
      <c r="W3559" s="12">
        <v>7.9870256669026292</v>
      </c>
      <c r="X3559" s="12">
        <v>44.118869034701063</v>
      </c>
      <c r="Y3559" s="12">
        <v>2539.6662682177162</v>
      </c>
      <c r="Z3559" s="12">
        <v>7.3491656705442896</v>
      </c>
      <c r="AA3559" s="12" t="s">
        <v>1268</v>
      </c>
      <c r="AB3559" s="12"/>
    </row>
    <row r="3560" spans="1:28" x14ac:dyDescent="0.3">
      <c r="A3560" s="12" t="s">
        <v>5485</v>
      </c>
      <c r="B3560" s="12" t="s">
        <v>206</v>
      </c>
      <c r="C3560" s="12" t="s">
        <v>558</v>
      </c>
      <c r="D3560" s="12" t="s">
        <v>5438</v>
      </c>
      <c r="E3560" s="12" t="s">
        <v>2978</v>
      </c>
      <c r="F3560" s="12" t="s">
        <v>1862</v>
      </c>
      <c r="G3560" s="12" t="s">
        <v>1862</v>
      </c>
      <c r="H3560" s="12" t="b">
        <v>1</v>
      </c>
      <c r="I3560" s="12" t="b">
        <v>0</v>
      </c>
      <c r="J3560" s="12" t="b">
        <v>0</v>
      </c>
      <c r="K3560" s="12" t="b">
        <v>0</v>
      </c>
      <c r="L3560" s="12">
        <v>380.17412310523622</v>
      </c>
      <c r="M3560" s="12">
        <v>282.43744654610651</v>
      </c>
      <c r="N3560" s="12">
        <v>3016.9682078659471</v>
      </c>
      <c r="O3560" s="12">
        <v>400</v>
      </c>
      <c r="P3560" s="12">
        <v>0.62735643876112113</v>
      </c>
      <c r="Q3560" s="12">
        <v>0.91240445684365235</v>
      </c>
      <c r="R3560" s="12">
        <v>0.58263959713638269</v>
      </c>
      <c r="S3560" s="12">
        <v>0.92515868303536941</v>
      </c>
      <c r="T3560" s="12">
        <v>0.79766566674968575</v>
      </c>
      <c r="U3560" s="12">
        <v>0.44243351062107228</v>
      </c>
      <c r="V3560" s="12">
        <v>282.43744654610651</v>
      </c>
      <c r="W3560" s="12">
        <v>-0.34476651430317001</v>
      </c>
      <c r="X3560" s="12">
        <v>-0.86180177714262385</v>
      </c>
      <c r="Y3560" s="12">
        <v>2616.9682078659471</v>
      </c>
      <c r="Z3560" s="12">
        <v>7.5424205196648666</v>
      </c>
      <c r="AA3560" s="12" t="s">
        <v>2513</v>
      </c>
      <c r="AB3560" s="12"/>
    </row>
    <row r="3561" spans="1:28" x14ac:dyDescent="0.3">
      <c r="A3561" s="12" t="s">
        <v>5486</v>
      </c>
      <c r="B3561" s="12" t="s">
        <v>206</v>
      </c>
      <c r="C3561" s="12" t="s">
        <v>558</v>
      </c>
      <c r="D3561" s="12" t="s">
        <v>5438</v>
      </c>
      <c r="E3561" s="12" t="s">
        <v>2978</v>
      </c>
      <c r="F3561" s="12" t="s">
        <v>1862</v>
      </c>
      <c r="G3561" s="12" t="s">
        <v>1862</v>
      </c>
      <c r="H3561" s="12" t="b">
        <v>1</v>
      </c>
      <c r="I3561" s="12" t="b">
        <v>0</v>
      </c>
      <c r="J3561" s="12" t="b">
        <v>0</v>
      </c>
      <c r="K3561" s="12" t="b">
        <v>0</v>
      </c>
      <c r="L3561" s="12">
        <v>441.8202197720118</v>
      </c>
      <c r="M3561" s="12">
        <v>294.12268930961147</v>
      </c>
      <c r="N3561" s="12">
        <v>4894.258720133168</v>
      </c>
      <c r="O3561" s="12">
        <v>400</v>
      </c>
      <c r="P3561" s="12">
        <v>0.61475401234064253</v>
      </c>
      <c r="Q3561" s="12">
        <v>0.49374676650300542</v>
      </c>
      <c r="R3561" s="12">
        <v>0.78105130255418365</v>
      </c>
      <c r="S3561" s="12">
        <v>0.42894085728045478</v>
      </c>
      <c r="T3561" s="12">
        <v>0.40587219583044531</v>
      </c>
      <c r="U3561" s="12">
        <v>0.51839831967228378</v>
      </c>
      <c r="V3561" s="12">
        <v>294.12268930961147</v>
      </c>
      <c r="W3561" s="12">
        <v>-14.877367023291299</v>
      </c>
      <c r="X3561" s="12">
        <v>-44.814894541499967</v>
      </c>
      <c r="Y3561" s="12">
        <v>4494.258720133168</v>
      </c>
      <c r="Z3561" s="12">
        <v>12.235646800332921</v>
      </c>
      <c r="AA3561" s="12" t="s">
        <v>2513</v>
      </c>
      <c r="AB3561" s="12"/>
    </row>
    <row r="3562" spans="1:28" x14ac:dyDescent="0.3">
      <c r="A3562" s="12" t="s">
        <v>5487</v>
      </c>
      <c r="B3562" s="12" t="s">
        <v>206</v>
      </c>
      <c r="C3562" s="12" t="s">
        <v>558</v>
      </c>
      <c r="D3562" s="12" t="s">
        <v>5438</v>
      </c>
      <c r="E3562" s="12" t="s">
        <v>2978</v>
      </c>
      <c r="F3562" s="12" t="s">
        <v>1861</v>
      </c>
      <c r="G3562" s="12" t="s">
        <v>1861</v>
      </c>
      <c r="H3562" s="12" t="b">
        <v>1</v>
      </c>
      <c r="I3562" s="12" t="b">
        <v>0</v>
      </c>
      <c r="J3562" s="12" t="b">
        <v>1</v>
      </c>
      <c r="K3562" s="12" t="b">
        <v>0</v>
      </c>
      <c r="L3562" s="12">
        <v>446.93694949662688</v>
      </c>
      <c r="M3562" s="12">
        <v>286.36224538001579</v>
      </c>
      <c r="N3562" s="12">
        <v>4637.3439789943877</v>
      </c>
      <c r="O3562" s="12">
        <v>400</v>
      </c>
      <c r="P3562" s="12">
        <v>0.63939359027202924</v>
      </c>
      <c r="Q3562" s="12">
        <v>0.48329576808425961</v>
      </c>
      <c r="R3562" s="12">
        <v>0.56840698633173825</v>
      </c>
      <c r="S3562" s="12">
        <v>0.94279300871301674</v>
      </c>
      <c r="T3562" s="12">
        <v>0.71513230720631193</v>
      </c>
      <c r="U3562" s="12">
        <v>0.74350381906943919</v>
      </c>
      <c r="V3562" s="12">
        <v>286.36224538001579</v>
      </c>
      <c r="W3562" s="12">
        <v>5.4787367135518394</v>
      </c>
      <c r="X3562" s="12">
        <v>50.389472939868327</v>
      </c>
      <c r="Y3562" s="12">
        <v>4237.3439789943877</v>
      </c>
      <c r="Z3562" s="12">
        <v>11.59335994748597</v>
      </c>
      <c r="AA3562" s="12" t="s">
        <v>1268</v>
      </c>
      <c r="AB3562" s="12"/>
    </row>
    <row r="3563" spans="1:28" x14ac:dyDescent="0.3">
      <c r="A3563" s="12" t="s">
        <v>5488</v>
      </c>
      <c r="B3563" s="12" t="s">
        <v>206</v>
      </c>
      <c r="C3563" s="12" t="s">
        <v>558</v>
      </c>
      <c r="D3563" s="12" t="s">
        <v>5438</v>
      </c>
      <c r="E3563" s="12" t="s">
        <v>2978</v>
      </c>
      <c r="F3563" s="12" t="s">
        <v>832</v>
      </c>
      <c r="G3563" s="12" t="s">
        <v>832</v>
      </c>
      <c r="H3563" s="12" t="b">
        <v>0</v>
      </c>
      <c r="I3563" s="12" t="b">
        <v>0</v>
      </c>
      <c r="J3563" s="12" t="b">
        <v>0</v>
      </c>
      <c r="K3563" s="12" t="b">
        <v>0</v>
      </c>
      <c r="L3563" s="12">
        <v>488.78895347925891</v>
      </c>
      <c r="M3563" s="12">
        <v>283.94735843334257</v>
      </c>
      <c r="N3563" s="12">
        <v>2508.3429646340142</v>
      </c>
      <c r="O3563" s="12">
        <v>400</v>
      </c>
      <c r="P3563" s="12">
        <v>0.83788178763722665</v>
      </c>
      <c r="Q3563" s="12">
        <v>0.67537466080356812</v>
      </c>
      <c r="R3563" s="12">
        <v>0.89792711617169918</v>
      </c>
      <c r="S3563" s="12">
        <v>0.84580625615672977</v>
      </c>
      <c r="T3563" s="12">
        <v>0.69074778644233858</v>
      </c>
      <c r="U3563" s="12">
        <v>0.51440503487083211</v>
      </c>
      <c r="V3563" s="12">
        <v>283.94735843334257</v>
      </c>
      <c r="W3563" s="12"/>
      <c r="X3563" s="12"/>
      <c r="Y3563" s="12">
        <v>2108.3429646340142</v>
      </c>
      <c r="Z3563" s="12">
        <v>6.2708574115850357</v>
      </c>
      <c r="AA3563" s="12"/>
      <c r="AB3563" s="12"/>
    </row>
    <row r="3564" spans="1:28" x14ac:dyDescent="0.3">
      <c r="A3564" s="12" t="s">
        <v>5489</v>
      </c>
      <c r="B3564" s="12" t="s">
        <v>206</v>
      </c>
      <c r="C3564" s="12" t="s">
        <v>558</v>
      </c>
      <c r="D3564" s="12" t="s">
        <v>5438</v>
      </c>
      <c r="E3564" s="12" t="s">
        <v>2978</v>
      </c>
      <c r="F3564" s="12" t="s">
        <v>1861</v>
      </c>
      <c r="G3564" s="12" t="s">
        <v>1861</v>
      </c>
      <c r="H3564" s="12" t="b">
        <v>1</v>
      </c>
      <c r="I3564" s="12" t="b">
        <v>0</v>
      </c>
      <c r="J3564" s="12" t="b">
        <v>1</v>
      </c>
      <c r="K3564" s="12" t="b">
        <v>0</v>
      </c>
      <c r="L3564" s="12">
        <v>477.91198661230402</v>
      </c>
      <c r="M3564" s="12">
        <v>283.58237484715471</v>
      </c>
      <c r="N3564" s="12">
        <v>3929.4704357926039</v>
      </c>
      <c r="O3564" s="12">
        <v>400</v>
      </c>
      <c r="P3564" s="12">
        <v>0.69301009268644731</v>
      </c>
      <c r="Q3564" s="12">
        <v>0.57703458175711841</v>
      </c>
      <c r="R3564" s="12">
        <v>0.45620605126287239</v>
      </c>
      <c r="S3564" s="12">
        <v>0.85277572849540795</v>
      </c>
      <c r="T3564" s="12">
        <v>0.59198869431021783</v>
      </c>
      <c r="U3564" s="12">
        <v>0.92405077384823697</v>
      </c>
      <c r="V3564" s="12">
        <v>283.58237484715471</v>
      </c>
      <c r="W3564" s="12">
        <v>10.297421373311639</v>
      </c>
      <c r="X3564" s="12">
        <v>171.98206700580329</v>
      </c>
      <c r="Y3564" s="12">
        <v>3529.4704357926039</v>
      </c>
      <c r="Z3564" s="12">
        <v>9.8236760894815092</v>
      </c>
      <c r="AA3564" s="12" t="s">
        <v>1268</v>
      </c>
      <c r="AB3564" s="12"/>
    </row>
    <row r="3565" spans="1:28" x14ac:dyDescent="0.3">
      <c r="A3565" s="12" t="s">
        <v>5490</v>
      </c>
      <c r="B3565" s="12" t="s">
        <v>206</v>
      </c>
      <c r="C3565" s="12" t="s">
        <v>558</v>
      </c>
      <c r="D3565" s="12" t="s">
        <v>5438</v>
      </c>
      <c r="E3565" s="12" t="s">
        <v>2978</v>
      </c>
      <c r="F3565" s="12" t="s">
        <v>1861</v>
      </c>
      <c r="G3565" s="12" t="s">
        <v>1861</v>
      </c>
      <c r="H3565" s="12" t="b">
        <v>1</v>
      </c>
      <c r="I3565" s="12" t="b">
        <v>0</v>
      </c>
      <c r="J3565" s="12" t="b">
        <v>1</v>
      </c>
      <c r="K3565" s="12" t="b">
        <v>0</v>
      </c>
      <c r="L3565" s="12">
        <v>470.31937240832218</v>
      </c>
      <c r="M3565" s="12">
        <v>286.86721110367159</v>
      </c>
      <c r="N3565" s="12">
        <v>2543.991158250607</v>
      </c>
      <c r="O3565" s="12">
        <v>400</v>
      </c>
      <c r="P3565" s="12">
        <v>0.57650391884534824</v>
      </c>
      <c r="Q3565" s="12">
        <v>0.71720224225308604</v>
      </c>
      <c r="R3565" s="12">
        <v>0.67600309993524821</v>
      </c>
      <c r="S3565" s="12">
        <v>0.90900438355888324</v>
      </c>
      <c r="T3565" s="12">
        <v>0.80846367322462187</v>
      </c>
      <c r="U3565" s="12">
        <v>0.89255715858676288</v>
      </c>
      <c r="V3565" s="12">
        <v>286.86721110367159</v>
      </c>
      <c r="W3565" s="12">
        <v>10.568343911142479</v>
      </c>
      <c r="X3565" s="12">
        <v>198.43981798470071</v>
      </c>
      <c r="Y3565" s="12">
        <v>2143.991158250607</v>
      </c>
      <c r="Z3565" s="12">
        <v>6.3599778956265176</v>
      </c>
      <c r="AA3565" s="12" t="s">
        <v>1268</v>
      </c>
      <c r="AB3565" s="12"/>
    </row>
    <row r="3566" spans="1:28" x14ac:dyDescent="0.3">
      <c r="A3566" s="12" t="s">
        <v>5491</v>
      </c>
      <c r="B3566" s="12" t="s">
        <v>206</v>
      </c>
      <c r="C3566" s="12" t="s">
        <v>558</v>
      </c>
      <c r="D3566" s="12" t="s">
        <v>5438</v>
      </c>
      <c r="E3566" s="12" t="s">
        <v>2978</v>
      </c>
      <c r="F3566" s="12" t="s">
        <v>1861</v>
      </c>
      <c r="G3566" s="12" t="s">
        <v>1861</v>
      </c>
      <c r="H3566" s="12" t="b">
        <v>1</v>
      </c>
      <c r="I3566" s="12" t="b">
        <v>0</v>
      </c>
      <c r="J3566" s="12" t="b">
        <v>1</v>
      </c>
      <c r="K3566" s="12" t="b">
        <v>0</v>
      </c>
      <c r="L3566" s="12">
        <v>485.83804807786572</v>
      </c>
      <c r="M3566" s="12">
        <v>278.86037759753549</v>
      </c>
      <c r="N3566" s="12">
        <v>3138.0726652254839</v>
      </c>
      <c r="O3566" s="12">
        <v>400</v>
      </c>
      <c r="P3566" s="12">
        <v>0.5381094121623704</v>
      </c>
      <c r="Q3566" s="12">
        <v>0.75595362639619124</v>
      </c>
      <c r="R3566" s="12">
        <v>0.56339903343402198</v>
      </c>
      <c r="S3566" s="12">
        <v>0.79115661177149588</v>
      </c>
      <c r="T3566" s="12">
        <v>0.92242170143110536</v>
      </c>
      <c r="U3566" s="12">
        <v>0.59117577622576856</v>
      </c>
      <c r="V3566" s="12">
        <v>278.86037759753549</v>
      </c>
      <c r="W3566" s="12">
        <v>4.59858064156714</v>
      </c>
      <c r="X3566" s="12">
        <v>52.798423256282547</v>
      </c>
      <c r="Y3566" s="12">
        <v>2738.0726652254839</v>
      </c>
      <c r="Z3566" s="12">
        <v>7.8451816630637099</v>
      </c>
      <c r="AA3566" s="12" t="s">
        <v>1268</v>
      </c>
      <c r="AB3566" s="12"/>
    </row>
    <row r="3567" spans="1:28" x14ac:dyDescent="0.3">
      <c r="A3567" s="12" t="s">
        <v>5492</v>
      </c>
      <c r="B3567" s="12" t="s">
        <v>206</v>
      </c>
      <c r="C3567" s="12" t="s">
        <v>558</v>
      </c>
      <c r="D3567" s="12" t="s">
        <v>5438</v>
      </c>
      <c r="E3567" s="12" t="s">
        <v>2978</v>
      </c>
      <c r="F3567" s="12" t="s">
        <v>1862</v>
      </c>
      <c r="G3567" s="12" t="s">
        <v>1862</v>
      </c>
      <c r="H3567" s="12" t="b">
        <v>1</v>
      </c>
      <c r="I3567" s="12" t="b">
        <v>0</v>
      </c>
      <c r="J3567" s="12" t="b">
        <v>1</v>
      </c>
      <c r="K3567" s="12" t="b">
        <v>0</v>
      </c>
      <c r="L3567" s="12">
        <v>482.11025366161158</v>
      </c>
      <c r="M3567" s="12">
        <v>289.58068751895422</v>
      </c>
      <c r="N3567" s="12">
        <v>4837.3577598036809</v>
      </c>
      <c r="O3567" s="12">
        <v>400</v>
      </c>
      <c r="P3567" s="12">
        <v>0.77495742688558666</v>
      </c>
      <c r="Q3567" s="12">
        <v>0.60958494452459555</v>
      </c>
      <c r="R3567" s="12">
        <v>0.76579143944367356</v>
      </c>
      <c r="S3567" s="12">
        <v>0.76086852617252743</v>
      </c>
      <c r="T3567" s="12">
        <v>0.51115263352904405</v>
      </c>
      <c r="U3567" s="12">
        <v>0.59960175770501223</v>
      </c>
      <c r="V3567" s="12">
        <v>289.58068751895422</v>
      </c>
      <c r="W3567" s="12">
        <v>-17.48833082277616</v>
      </c>
      <c r="X3567" s="12">
        <v>-94.557432197715201</v>
      </c>
      <c r="Y3567" s="12">
        <v>4437.3577598036809</v>
      </c>
      <c r="Z3567" s="12">
        <v>12.093394399509201</v>
      </c>
      <c r="AA3567" s="12" t="s">
        <v>2513</v>
      </c>
      <c r="AB3567" s="12"/>
    </row>
    <row r="3568" spans="1:28" x14ac:dyDescent="0.3">
      <c r="A3568" s="12" t="s">
        <v>5493</v>
      </c>
      <c r="B3568" s="12" t="s">
        <v>206</v>
      </c>
      <c r="C3568" s="12" t="s">
        <v>558</v>
      </c>
      <c r="D3568" s="12" t="s">
        <v>5438</v>
      </c>
      <c r="E3568" s="12" t="s">
        <v>2978</v>
      </c>
      <c r="F3568" s="12" t="s">
        <v>832</v>
      </c>
      <c r="G3568" s="12" t="s">
        <v>832</v>
      </c>
      <c r="H3568" s="12" t="b">
        <v>0</v>
      </c>
      <c r="I3568" s="12" t="b">
        <v>0</v>
      </c>
      <c r="J3568" s="12" t="b">
        <v>0</v>
      </c>
      <c r="K3568" s="12" t="b">
        <v>0</v>
      </c>
      <c r="L3568" s="12">
        <v>503.54123505333018</v>
      </c>
      <c r="M3568" s="12">
        <v>300.64192461635201</v>
      </c>
      <c r="N3568" s="12">
        <v>2036.6668386023671</v>
      </c>
      <c r="O3568" s="12">
        <v>400</v>
      </c>
      <c r="P3568" s="12">
        <v>0.79073625317626262</v>
      </c>
      <c r="Q3568" s="12">
        <v>0.8842411997463735</v>
      </c>
      <c r="R3568" s="12">
        <v>0.53936877694898777</v>
      </c>
      <c r="S3568" s="12">
        <v>0.65272783496914188</v>
      </c>
      <c r="T3568" s="12">
        <v>0.90046275099348139</v>
      </c>
      <c r="U3568" s="12">
        <v>0.66189571835739469</v>
      </c>
      <c r="V3568" s="12">
        <v>300.64192461635201</v>
      </c>
      <c r="W3568" s="12"/>
      <c r="X3568" s="12"/>
      <c r="Y3568" s="12">
        <v>1636.6668386023671</v>
      </c>
      <c r="Z3568" s="12">
        <v>5.0916670965059181</v>
      </c>
      <c r="AA3568" s="12"/>
      <c r="AB3568" s="12"/>
    </row>
    <row r="3569" spans="1:28" x14ac:dyDescent="0.3">
      <c r="A3569" s="12" t="s">
        <v>5494</v>
      </c>
      <c r="B3569" s="12" t="s">
        <v>206</v>
      </c>
      <c r="C3569" s="12" t="s">
        <v>558</v>
      </c>
      <c r="D3569" s="12" t="s">
        <v>5438</v>
      </c>
      <c r="E3569" s="12" t="s">
        <v>2978</v>
      </c>
      <c r="F3569" s="12" t="s">
        <v>1861</v>
      </c>
      <c r="G3569" s="12" t="s">
        <v>1861</v>
      </c>
      <c r="H3569" s="12" t="b">
        <v>1</v>
      </c>
      <c r="I3569" s="12" t="b">
        <v>0</v>
      </c>
      <c r="J3569" s="12" t="b">
        <v>1</v>
      </c>
      <c r="K3569" s="12" t="b">
        <v>0</v>
      </c>
      <c r="L3569" s="12">
        <v>455.79239309094999</v>
      </c>
      <c r="M3569" s="12">
        <v>280.35700150358718</v>
      </c>
      <c r="N3569" s="12">
        <v>4070.0613898244578</v>
      </c>
      <c r="O3569" s="12">
        <v>400</v>
      </c>
      <c r="P3569" s="12">
        <v>0.55200605910388101</v>
      </c>
      <c r="Q3569" s="12">
        <v>0.7072907970391954</v>
      </c>
      <c r="R3569" s="12">
        <v>0.54562416501023125</v>
      </c>
      <c r="S3569" s="12">
        <v>0.75141394425953334</v>
      </c>
      <c r="T3569" s="12">
        <v>0.50127903797671669</v>
      </c>
      <c r="U3569" s="12">
        <v>0.67118727594776928</v>
      </c>
      <c r="V3569" s="12">
        <v>280.35700150358718</v>
      </c>
      <c r="W3569" s="12">
        <v>8.6064814900130688</v>
      </c>
      <c r="X3569" s="12">
        <v>68.82854686289383</v>
      </c>
      <c r="Y3569" s="12">
        <v>3670.0613898244578</v>
      </c>
      <c r="Z3569" s="12">
        <v>10.17515347456114</v>
      </c>
      <c r="AA3569" s="12" t="s">
        <v>1268</v>
      </c>
      <c r="AB3569" s="12"/>
    </row>
    <row r="3570" spans="1:28" x14ac:dyDescent="0.3">
      <c r="A3570" s="12" t="s">
        <v>5495</v>
      </c>
      <c r="B3570" s="12" t="s">
        <v>206</v>
      </c>
      <c r="C3570" s="12" t="s">
        <v>558</v>
      </c>
      <c r="D3570" s="12" t="s">
        <v>5438</v>
      </c>
      <c r="E3570" s="12" t="s">
        <v>2978</v>
      </c>
      <c r="F3570" s="12" t="s">
        <v>832</v>
      </c>
      <c r="G3570" s="12" t="s">
        <v>832</v>
      </c>
      <c r="H3570" s="12" t="b">
        <v>0</v>
      </c>
      <c r="I3570" s="12" t="b">
        <v>0</v>
      </c>
      <c r="J3570" s="12" t="b">
        <v>0</v>
      </c>
      <c r="K3570" s="12" t="b">
        <v>0</v>
      </c>
      <c r="L3570" s="12">
        <v>394.38118693284798</v>
      </c>
      <c r="M3570" s="12">
        <v>303.03081110293169</v>
      </c>
      <c r="N3570" s="12">
        <v>4765.0821022706932</v>
      </c>
      <c r="O3570" s="12">
        <v>400</v>
      </c>
      <c r="P3570" s="12">
        <v>0.74902789807273451</v>
      </c>
      <c r="Q3570" s="12">
        <v>0.505861003791786</v>
      </c>
      <c r="R3570" s="12">
        <v>0.89127051675001923</v>
      </c>
      <c r="S3570" s="12">
        <v>0.56495933132831688</v>
      </c>
      <c r="T3570" s="12">
        <v>0.42460656122535878</v>
      </c>
      <c r="U3570" s="12">
        <v>0.79989257415441273</v>
      </c>
      <c r="V3570" s="12">
        <v>303.03081110293169</v>
      </c>
      <c r="W3570" s="12"/>
      <c r="X3570" s="12"/>
      <c r="Y3570" s="12">
        <v>4365.0821022706932</v>
      </c>
      <c r="Z3570" s="12">
        <v>11.91270525567673</v>
      </c>
      <c r="AA3570" s="12"/>
      <c r="AB3570" s="12"/>
    </row>
    <row r="3571" spans="1:28" x14ac:dyDescent="0.3">
      <c r="A3571" s="12" t="s">
        <v>5496</v>
      </c>
      <c r="B3571" s="12" t="s">
        <v>206</v>
      </c>
      <c r="C3571" s="12" t="s">
        <v>558</v>
      </c>
      <c r="D3571" s="12" t="s">
        <v>5438</v>
      </c>
      <c r="E3571" s="12" t="s">
        <v>2978</v>
      </c>
      <c r="F3571" s="12" t="s">
        <v>1861</v>
      </c>
      <c r="G3571" s="12" t="s">
        <v>1861</v>
      </c>
      <c r="H3571" s="12" t="b">
        <v>1</v>
      </c>
      <c r="I3571" s="12" t="b">
        <v>0</v>
      </c>
      <c r="J3571" s="12" t="b">
        <v>1</v>
      </c>
      <c r="K3571" s="12" t="b">
        <v>0</v>
      </c>
      <c r="L3571" s="12">
        <v>517.94530599594259</v>
      </c>
      <c r="M3571" s="12">
        <v>293.29780330441901</v>
      </c>
      <c r="N3571" s="12">
        <v>2870.9788694741992</v>
      </c>
      <c r="O3571" s="12">
        <v>400</v>
      </c>
      <c r="P3571" s="12">
        <v>0.54587648919028919</v>
      </c>
      <c r="Q3571" s="12">
        <v>0.68541514698645356</v>
      </c>
      <c r="R3571" s="12">
        <v>0.76171672686582692</v>
      </c>
      <c r="S3571" s="12">
        <v>0.45606770262249458</v>
      </c>
      <c r="T3571" s="12">
        <v>0.50734462493338284</v>
      </c>
      <c r="U3571" s="12">
        <v>0.55080450240607892</v>
      </c>
      <c r="V3571" s="12">
        <v>293.29780330441901</v>
      </c>
      <c r="W3571" s="12">
        <v>3.93973374274653</v>
      </c>
      <c r="X3571" s="12">
        <v>30.313984499650392</v>
      </c>
      <c r="Y3571" s="12">
        <v>2470.9788694741992</v>
      </c>
      <c r="Z3571" s="12">
        <v>7.177447173685497</v>
      </c>
      <c r="AA3571" s="12" t="s">
        <v>1268</v>
      </c>
      <c r="AB3571" s="12"/>
    </row>
    <row r="3572" spans="1:28" x14ac:dyDescent="0.3">
      <c r="A3572" s="12" t="s">
        <v>5497</v>
      </c>
      <c r="B3572" s="12" t="s">
        <v>206</v>
      </c>
      <c r="C3572" s="12" t="s">
        <v>558</v>
      </c>
      <c r="D3572" s="12" t="s">
        <v>5438</v>
      </c>
      <c r="E3572" s="12" t="s">
        <v>2978</v>
      </c>
      <c r="F3572" s="12" t="s">
        <v>832</v>
      </c>
      <c r="G3572" s="12" t="s">
        <v>832</v>
      </c>
      <c r="H3572" s="12" t="b">
        <v>0</v>
      </c>
      <c r="I3572" s="12" t="b">
        <v>0</v>
      </c>
      <c r="J3572" s="12" t="b">
        <v>0</v>
      </c>
      <c r="K3572" s="12" t="b">
        <v>0</v>
      </c>
      <c r="L3572" s="12">
        <v>484.98221113969993</v>
      </c>
      <c r="M3572" s="12">
        <v>279.87889381545239</v>
      </c>
      <c r="N3572" s="12">
        <v>2021.508121351221</v>
      </c>
      <c r="O3572" s="12">
        <v>400</v>
      </c>
      <c r="P3572" s="12">
        <v>0.83214955601118423</v>
      </c>
      <c r="Q3572" s="12">
        <v>0.76329610741692555</v>
      </c>
      <c r="R3572" s="12">
        <v>0.6087033076346875</v>
      </c>
      <c r="S3572" s="12">
        <v>0.44571352258049968</v>
      </c>
      <c r="T3572" s="12">
        <v>0.88905183654720754</v>
      </c>
      <c r="U3572" s="12">
        <v>0.50116733532987878</v>
      </c>
      <c r="V3572" s="12">
        <v>279.87889381545239</v>
      </c>
      <c r="W3572" s="12"/>
      <c r="X3572" s="12"/>
      <c r="Y3572" s="12">
        <v>1621.508121351221</v>
      </c>
      <c r="Z3572" s="12">
        <v>5.0537703033780517</v>
      </c>
      <c r="AA3572" s="12"/>
      <c r="AB3572" s="12"/>
    </row>
    <row r="3573" spans="1:28" x14ac:dyDescent="0.3">
      <c r="A3573" s="12" t="s">
        <v>5498</v>
      </c>
      <c r="B3573" s="12" t="s">
        <v>206</v>
      </c>
      <c r="C3573" s="12" t="s">
        <v>558</v>
      </c>
      <c r="D3573" s="12" t="s">
        <v>5438</v>
      </c>
      <c r="E3573" s="12" t="s">
        <v>2978</v>
      </c>
      <c r="F3573" s="12" t="s">
        <v>1862</v>
      </c>
      <c r="G3573" s="12" t="s">
        <v>1862</v>
      </c>
      <c r="H3573" s="12" t="b">
        <v>1</v>
      </c>
      <c r="I3573" s="12" t="b">
        <v>0</v>
      </c>
      <c r="J3573" s="12" t="b">
        <v>1</v>
      </c>
      <c r="K3573" s="12" t="b">
        <v>0</v>
      </c>
      <c r="L3573" s="12">
        <v>426.15060690689791</v>
      </c>
      <c r="M3573" s="12">
        <v>300.00156886705219</v>
      </c>
      <c r="N3573" s="12">
        <v>3309.9367252196271</v>
      </c>
      <c r="O3573" s="12">
        <v>400</v>
      </c>
      <c r="P3573" s="12">
        <v>0.76052689878708346</v>
      </c>
      <c r="Q3573" s="12">
        <v>0.46406444474725678</v>
      </c>
      <c r="R3573" s="12">
        <v>0.73405043498658873</v>
      </c>
      <c r="S3573" s="12">
        <v>0.76908562144267745</v>
      </c>
      <c r="T3573" s="12">
        <v>0.60095253000077897</v>
      </c>
      <c r="U3573" s="12">
        <v>0.41187908998665729</v>
      </c>
      <c r="V3573" s="12">
        <v>300.00156886705219</v>
      </c>
      <c r="W3573" s="12">
        <v>-275.91453356542968</v>
      </c>
      <c r="X3573" s="12">
        <v>-210.96436372369439</v>
      </c>
      <c r="Y3573" s="12">
        <v>2909.9367252196271</v>
      </c>
      <c r="Z3573" s="12">
        <v>8.2748418130490684</v>
      </c>
      <c r="AA3573" s="12" t="s">
        <v>2513</v>
      </c>
      <c r="AB3573" s="12"/>
    </row>
    <row r="3574" spans="1:28" x14ac:dyDescent="0.3">
      <c r="A3574" s="12" t="s">
        <v>5499</v>
      </c>
      <c r="B3574" s="12" t="s">
        <v>206</v>
      </c>
      <c r="C3574" s="12" t="s">
        <v>558</v>
      </c>
      <c r="D3574" s="12" t="s">
        <v>5438</v>
      </c>
      <c r="E3574" s="12" t="s">
        <v>2978</v>
      </c>
      <c r="F3574" s="12" t="s">
        <v>1862</v>
      </c>
      <c r="G3574" s="12" t="s">
        <v>1862</v>
      </c>
      <c r="H3574" s="12" t="b">
        <v>1</v>
      </c>
      <c r="I3574" s="12" t="b">
        <v>0</v>
      </c>
      <c r="J3574" s="12" t="b">
        <v>0</v>
      </c>
      <c r="K3574" s="12" t="b">
        <v>0</v>
      </c>
      <c r="L3574" s="12">
        <v>419.10163018345452</v>
      </c>
      <c r="M3574" s="12">
        <v>285.27709380737019</v>
      </c>
      <c r="N3574" s="12">
        <v>3636.7336440686222</v>
      </c>
      <c r="O3574" s="12">
        <v>400</v>
      </c>
      <c r="P3574" s="12">
        <v>0.59253177537735813</v>
      </c>
      <c r="Q3574" s="12">
        <v>0.44659104967272728</v>
      </c>
      <c r="R3574" s="12">
        <v>0.40752448419741222</v>
      </c>
      <c r="S3574" s="12">
        <v>0.8617857825910793</v>
      </c>
      <c r="T3574" s="12">
        <v>0.72884709374801881</v>
      </c>
      <c r="U3574" s="12">
        <v>0.63323178475264996</v>
      </c>
      <c r="V3574" s="12">
        <v>285.27709380737019</v>
      </c>
      <c r="W3574" s="12">
        <v>-2.88520458405588</v>
      </c>
      <c r="X3574" s="12">
        <v>-14.78561207701846</v>
      </c>
      <c r="Y3574" s="12">
        <v>3236.7336440686222</v>
      </c>
      <c r="Z3574" s="12">
        <v>9.0918341101715558</v>
      </c>
      <c r="AA3574" s="12" t="s">
        <v>2513</v>
      </c>
      <c r="AB3574" s="12"/>
    </row>
    <row r="3575" spans="1:28" x14ac:dyDescent="0.3">
      <c r="A3575" s="12" t="s">
        <v>5500</v>
      </c>
      <c r="B3575" s="12" t="s">
        <v>206</v>
      </c>
      <c r="C3575" s="12" t="s">
        <v>558</v>
      </c>
      <c r="D3575" s="12" t="s">
        <v>5438</v>
      </c>
      <c r="E3575" s="12" t="s">
        <v>2978</v>
      </c>
      <c r="F3575" s="12" t="s">
        <v>1862</v>
      </c>
      <c r="G3575" s="12" t="s">
        <v>1862</v>
      </c>
      <c r="H3575" s="12" t="b">
        <v>1</v>
      </c>
      <c r="I3575" s="12" t="b">
        <v>0</v>
      </c>
      <c r="J3575" s="12" t="b">
        <v>0</v>
      </c>
      <c r="K3575" s="12" t="b">
        <v>0</v>
      </c>
      <c r="L3575" s="12">
        <v>383.66584062375779</v>
      </c>
      <c r="M3575" s="12">
        <v>289.23969120673672</v>
      </c>
      <c r="N3575" s="12">
        <v>3433.4216054365288</v>
      </c>
      <c r="O3575" s="12">
        <v>400</v>
      </c>
      <c r="P3575" s="12">
        <v>0.72084336814703454</v>
      </c>
      <c r="Q3575" s="12">
        <v>0.4149586494999728</v>
      </c>
      <c r="R3575" s="12">
        <v>0.69838409530037338</v>
      </c>
      <c r="S3575" s="12">
        <v>0.53175879525439906</v>
      </c>
      <c r="T3575" s="12">
        <v>0.63621234594550236</v>
      </c>
      <c r="U3575" s="12">
        <v>0.93682447763940557</v>
      </c>
      <c r="V3575" s="12">
        <v>289.23969120673672</v>
      </c>
      <c r="W3575" s="12">
        <v>-23.934944783228332</v>
      </c>
      <c r="X3575" s="12">
        <v>-52.208733284293977</v>
      </c>
      <c r="Y3575" s="12">
        <v>3033.4216054365288</v>
      </c>
      <c r="Z3575" s="12">
        <v>8.5835540135913213</v>
      </c>
      <c r="AA3575" s="12" t="s">
        <v>2513</v>
      </c>
      <c r="AB3575" s="12"/>
    </row>
    <row r="3576" spans="1:28" x14ac:dyDescent="0.3">
      <c r="A3576" s="12" t="s">
        <v>5501</v>
      </c>
      <c r="B3576" s="12" t="s">
        <v>206</v>
      </c>
      <c r="C3576" s="12" t="s">
        <v>558</v>
      </c>
      <c r="D3576" s="12" t="s">
        <v>5438</v>
      </c>
      <c r="E3576" s="12" t="s">
        <v>2978</v>
      </c>
      <c r="F3576" s="12" t="s">
        <v>1862</v>
      </c>
      <c r="G3576" s="12" t="s">
        <v>1862</v>
      </c>
      <c r="H3576" s="12" t="b">
        <v>1</v>
      </c>
      <c r="I3576" s="12" t="b">
        <v>0</v>
      </c>
      <c r="J3576" s="12" t="b">
        <v>0</v>
      </c>
      <c r="K3576" s="12" t="b">
        <v>0</v>
      </c>
      <c r="L3576" s="12">
        <v>384.22261591932983</v>
      </c>
      <c r="M3576" s="12">
        <v>278.61614541285172</v>
      </c>
      <c r="N3576" s="12">
        <v>2832.577281343034</v>
      </c>
      <c r="O3576" s="12">
        <v>400</v>
      </c>
      <c r="P3576" s="12">
        <v>0.80588890782499112</v>
      </c>
      <c r="Q3576" s="12">
        <v>0.59517626331375406</v>
      </c>
      <c r="R3576" s="12">
        <v>0.41693998515299979</v>
      </c>
      <c r="S3576" s="12">
        <v>0.68252375183712444</v>
      </c>
      <c r="T3576" s="12">
        <v>0.94594684838507337</v>
      </c>
      <c r="U3576" s="12">
        <v>0.4591616873950245</v>
      </c>
      <c r="V3576" s="12">
        <v>278.61614541285172</v>
      </c>
      <c r="W3576" s="12">
        <v>-80.978521870172742</v>
      </c>
      <c r="X3576" s="12">
        <v>-165.30643665086819</v>
      </c>
      <c r="Y3576" s="12">
        <v>2432.577281343034</v>
      </c>
      <c r="Z3576" s="12">
        <v>7.081443203357586</v>
      </c>
      <c r="AA3576" s="12" t="s">
        <v>2513</v>
      </c>
      <c r="AB3576" s="12"/>
    </row>
    <row r="3577" spans="1:28" x14ac:dyDescent="0.3">
      <c r="A3577" s="12" t="s">
        <v>5502</v>
      </c>
      <c r="B3577" s="12" t="s">
        <v>206</v>
      </c>
      <c r="C3577" s="12" t="s">
        <v>558</v>
      </c>
      <c r="D3577" s="12" t="s">
        <v>5438</v>
      </c>
      <c r="E3577" s="12" t="s">
        <v>2978</v>
      </c>
      <c r="F3577" s="12" t="s">
        <v>1862</v>
      </c>
      <c r="G3577" s="12" t="s">
        <v>1862</v>
      </c>
      <c r="H3577" s="12" t="b">
        <v>1</v>
      </c>
      <c r="I3577" s="12" t="b">
        <v>0</v>
      </c>
      <c r="J3577" s="12" t="b">
        <v>1</v>
      </c>
      <c r="K3577" s="12" t="b">
        <v>0</v>
      </c>
      <c r="L3577" s="12">
        <v>517.16035269027384</v>
      </c>
      <c r="M3577" s="12">
        <v>297.32415303872477</v>
      </c>
      <c r="N3577" s="12">
        <v>3801.8312147754418</v>
      </c>
      <c r="O3577" s="12">
        <v>400</v>
      </c>
      <c r="P3577" s="12">
        <v>0.65671157544307412</v>
      </c>
      <c r="Q3577" s="12">
        <v>0.63898565598555246</v>
      </c>
      <c r="R3577" s="12">
        <v>0.60013067323130698</v>
      </c>
      <c r="S3577" s="12">
        <v>0.40113829832299658</v>
      </c>
      <c r="T3577" s="12">
        <v>0.89036826460188678</v>
      </c>
      <c r="U3577" s="12">
        <v>0.48748845849972311</v>
      </c>
      <c r="V3577" s="12">
        <v>297.32415303872477</v>
      </c>
      <c r="W3577" s="12">
        <v>-32.822808436757867</v>
      </c>
      <c r="X3577" s="12">
        <v>-135.25655369161561</v>
      </c>
      <c r="Y3577" s="12">
        <v>3401.8312147754418</v>
      </c>
      <c r="Z3577" s="12">
        <v>9.5045780369386037</v>
      </c>
      <c r="AA3577" s="12" t="s">
        <v>2513</v>
      </c>
      <c r="AB3577" s="12"/>
    </row>
    <row r="3578" spans="1:28" x14ac:dyDescent="0.3">
      <c r="A3578" s="12" t="s">
        <v>5503</v>
      </c>
      <c r="B3578" s="12" t="s">
        <v>206</v>
      </c>
      <c r="C3578" s="12" t="s">
        <v>558</v>
      </c>
      <c r="D3578" s="12" t="s">
        <v>5438</v>
      </c>
      <c r="E3578" s="12" t="s">
        <v>2978</v>
      </c>
      <c r="F3578" s="12" t="s">
        <v>1861</v>
      </c>
      <c r="G3578" s="12" t="s">
        <v>1861</v>
      </c>
      <c r="H3578" s="12" t="b">
        <v>1</v>
      </c>
      <c r="I3578" s="12" t="b">
        <v>0</v>
      </c>
      <c r="J3578" s="12" t="b">
        <v>0</v>
      </c>
      <c r="K3578" s="12" t="b">
        <v>0</v>
      </c>
      <c r="L3578" s="12">
        <v>461.45897691104142</v>
      </c>
      <c r="M3578" s="12">
        <v>278.97455150567851</v>
      </c>
      <c r="N3578" s="12">
        <v>2708.4438707285221</v>
      </c>
      <c r="O3578" s="12">
        <v>400</v>
      </c>
      <c r="P3578" s="12">
        <v>0.79562694483439755</v>
      </c>
      <c r="Q3578" s="12">
        <v>0.47315854884893138</v>
      </c>
      <c r="R3578" s="12">
        <v>0.52204777728932894</v>
      </c>
      <c r="S3578" s="12">
        <v>0.70857273319014213</v>
      </c>
      <c r="T3578" s="12">
        <v>0.61233540298690703</v>
      </c>
      <c r="U3578" s="12">
        <v>0.81464794464329482</v>
      </c>
      <c r="V3578" s="12">
        <v>278.97455150567851</v>
      </c>
      <c r="W3578" s="12">
        <v>1.34021280665896</v>
      </c>
      <c r="X3578" s="12">
        <v>14.15750798231849</v>
      </c>
      <c r="Y3578" s="12">
        <v>2308.4438707285221</v>
      </c>
      <c r="Z3578" s="12">
        <v>6.7711096768213039</v>
      </c>
      <c r="AA3578" s="12" t="s">
        <v>1268</v>
      </c>
      <c r="AB3578" s="12"/>
    </row>
    <row r="3579" spans="1:28" x14ac:dyDescent="0.3">
      <c r="A3579" s="12" t="s">
        <v>5504</v>
      </c>
      <c r="B3579" s="12" t="s">
        <v>206</v>
      </c>
      <c r="C3579" s="12" t="s">
        <v>558</v>
      </c>
      <c r="D3579" s="12" t="s">
        <v>5438</v>
      </c>
      <c r="E3579" s="12" t="s">
        <v>2978</v>
      </c>
      <c r="F3579" s="12" t="s">
        <v>1861</v>
      </c>
      <c r="G3579" s="12" t="s">
        <v>1861</v>
      </c>
      <c r="H3579" s="12" t="b">
        <v>1</v>
      </c>
      <c r="I3579" s="12" t="b">
        <v>0</v>
      </c>
      <c r="J3579" s="12" t="b">
        <v>1</v>
      </c>
      <c r="K3579" s="12" t="b">
        <v>0</v>
      </c>
      <c r="L3579" s="12">
        <v>495.95906449336383</v>
      </c>
      <c r="M3579" s="12">
        <v>292.45478749636209</v>
      </c>
      <c r="N3579" s="12">
        <v>2109.4400946380679</v>
      </c>
      <c r="O3579" s="12">
        <v>400</v>
      </c>
      <c r="P3579" s="12">
        <v>0.5423803120354258</v>
      </c>
      <c r="Q3579" s="12">
        <v>0.83066635903313413</v>
      </c>
      <c r="R3579" s="12">
        <v>0.48193612763202859</v>
      </c>
      <c r="S3579" s="12">
        <v>0.89166343147310911</v>
      </c>
      <c r="T3579" s="12">
        <v>0.70445654123605106</v>
      </c>
      <c r="U3579" s="12">
        <v>0.59693823803276214</v>
      </c>
      <c r="V3579" s="12">
        <v>292.45478749636209</v>
      </c>
      <c r="W3579" s="12">
        <v>1.91205074744708</v>
      </c>
      <c r="X3579" s="12">
        <v>23.561919040950929</v>
      </c>
      <c r="Y3579" s="12">
        <v>1709.4400946380681</v>
      </c>
      <c r="Z3579" s="12">
        <v>5.2736002365951693</v>
      </c>
      <c r="AA3579" s="12" t="s">
        <v>1268</v>
      </c>
      <c r="AB3579" s="12"/>
    </row>
    <row r="3580" spans="1:28" x14ac:dyDescent="0.3">
      <c r="A3580" s="12" t="s">
        <v>5505</v>
      </c>
      <c r="B3580" s="12" t="s">
        <v>206</v>
      </c>
      <c r="C3580" s="12" t="s">
        <v>558</v>
      </c>
      <c r="D3580" s="12" t="s">
        <v>5438</v>
      </c>
      <c r="E3580" s="12" t="s">
        <v>2978</v>
      </c>
      <c r="F3580" s="12" t="s">
        <v>1861</v>
      </c>
      <c r="G3580" s="12" t="s">
        <v>1861</v>
      </c>
      <c r="H3580" s="12" t="b">
        <v>1</v>
      </c>
      <c r="I3580" s="12" t="b">
        <v>0</v>
      </c>
      <c r="J3580" s="12" t="b">
        <v>1</v>
      </c>
      <c r="K3580" s="12" t="b">
        <v>0</v>
      </c>
      <c r="L3580" s="12">
        <v>445.59034872765409</v>
      </c>
      <c r="M3580" s="12">
        <v>300.81277111601281</v>
      </c>
      <c r="N3580" s="12">
        <v>3982.337466454122</v>
      </c>
      <c r="O3580" s="12">
        <v>400</v>
      </c>
      <c r="P3580" s="12">
        <v>0.5901784284741397</v>
      </c>
      <c r="Q3580" s="12">
        <v>0.79274625875018634</v>
      </c>
      <c r="R3580" s="12">
        <v>0.75081312786910059</v>
      </c>
      <c r="S3580" s="12">
        <v>0.88353802459526509</v>
      </c>
      <c r="T3580" s="12">
        <v>0.79139608612467138</v>
      </c>
      <c r="U3580" s="12">
        <v>0.56620902025494213</v>
      </c>
      <c r="V3580" s="12">
        <v>300.81277111601281</v>
      </c>
      <c r="W3580" s="12">
        <v>3.4827115750641999</v>
      </c>
      <c r="X3580" s="12">
        <v>18.237373145913981</v>
      </c>
      <c r="Y3580" s="12">
        <v>3582.337466454122</v>
      </c>
      <c r="Z3580" s="12">
        <v>9.9558436661353085</v>
      </c>
      <c r="AA3580" s="12" t="s">
        <v>1268</v>
      </c>
      <c r="AB3580" s="12"/>
    </row>
    <row r="3581" spans="1:28" x14ac:dyDescent="0.3">
      <c r="A3581" s="12" t="s">
        <v>5506</v>
      </c>
      <c r="B3581" s="12" t="s">
        <v>206</v>
      </c>
      <c r="C3581" s="12" t="s">
        <v>558</v>
      </c>
      <c r="D3581" s="12" t="s">
        <v>5438</v>
      </c>
      <c r="E3581" s="12" t="s">
        <v>2978</v>
      </c>
      <c r="F3581" s="12" t="s">
        <v>1862</v>
      </c>
      <c r="G3581" s="12" t="s">
        <v>1862</v>
      </c>
      <c r="H3581" s="12" t="b">
        <v>1</v>
      </c>
      <c r="I3581" s="12" t="b">
        <v>0</v>
      </c>
      <c r="J3581" s="12" t="b">
        <v>0</v>
      </c>
      <c r="K3581" s="12" t="b">
        <v>0</v>
      </c>
      <c r="L3581" s="12">
        <v>433.21220615623213</v>
      </c>
      <c r="M3581" s="12">
        <v>285.74107990126078</v>
      </c>
      <c r="N3581" s="12">
        <v>3501.5038040782269</v>
      </c>
      <c r="O3581" s="12">
        <v>400</v>
      </c>
      <c r="P3581" s="12">
        <v>0.75240561935797046</v>
      </c>
      <c r="Q3581" s="12">
        <v>0.48936504086633359</v>
      </c>
      <c r="R3581" s="12">
        <v>0.71412975744076213</v>
      </c>
      <c r="S3581" s="12">
        <v>0.6012181747585521</v>
      </c>
      <c r="T3581" s="12">
        <v>0.52046865825239375</v>
      </c>
      <c r="U3581" s="12">
        <v>0.61458005188395548</v>
      </c>
      <c r="V3581" s="12">
        <v>285.74107990126078</v>
      </c>
      <c r="W3581" s="12">
        <v>-18.901540588604909</v>
      </c>
      <c r="X3581" s="12">
        <v>-83.320997964653984</v>
      </c>
      <c r="Y3581" s="12">
        <v>3101.5038040782269</v>
      </c>
      <c r="Z3581" s="12">
        <v>8.7537595101955681</v>
      </c>
      <c r="AA3581" s="12" t="s">
        <v>2513</v>
      </c>
      <c r="AB3581" s="12"/>
    </row>
    <row r="3582" spans="1:28" x14ac:dyDescent="0.3">
      <c r="A3582" s="12" t="s">
        <v>5507</v>
      </c>
      <c r="B3582" s="12" t="s">
        <v>206</v>
      </c>
      <c r="C3582" s="12" t="s">
        <v>558</v>
      </c>
      <c r="D3582" s="12" t="s">
        <v>5438</v>
      </c>
      <c r="E3582" s="12" t="s">
        <v>2978</v>
      </c>
      <c r="F3582" s="12" t="s">
        <v>832</v>
      </c>
      <c r="G3582" s="12" t="s">
        <v>832</v>
      </c>
      <c r="H3582" s="12" t="b">
        <v>0</v>
      </c>
      <c r="I3582" s="12" t="b">
        <v>0</v>
      </c>
      <c r="J3582" s="12" t="b">
        <v>0</v>
      </c>
      <c r="K3582" s="12" t="b">
        <v>0</v>
      </c>
      <c r="L3582" s="12">
        <v>519.32045355292951</v>
      </c>
      <c r="M3582" s="12">
        <v>299.59406946358519</v>
      </c>
      <c r="N3582" s="12">
        <v>4378.3262000454924</v>
      </c>
      <c r="O3582" s="12">
        <v>400</v>
      </c>
      <c r="P3582" s="12">
        <v>0.78850943570510013</v>
      </c>
      <c r="Q3582" s="12">
        <v>0.93098084499702338</v>
      </c>
      <c r="R3582" s="12">
        <v>0.51028447278612465</v>
      </c>
      <c r="S3582" s="12">
        <v>0.94753350500197997</v>
      </c>
      <c r="T3582" s="12">
        <v>0.4917645798366635</v>
      </c>
      <c r="U3582" s="12">
        <v>0.90546838894779602</v>
      </c>
      <c r="V3582" s="12">
        <v>299.59406946358519</v>
      </c>
      <c r="W3582" s="12"/>
      <c r="X3582" s="12"/>
      <c r="Y3582" s="12">
        <v>3978.3262000454929</v>
      </c>
      <c r="Z3582" s="12">
        <v>10.94581550011373</v>
      </c>
      <c r="AA3582" s="12"/>
      <c r="AB3582" s="12"/>
    </row>
    <row r="3583" spans="1:28" x14ac:dyDescent="0.3">
      <c r="A3583" s="12" t="s">
        <v>5508</v>
      </c>
      <c r="B3583" s="12" t="s">
        <v>206</v>
      </c>
      <c r="C3583" s="12" t="s">
        <v>558</v>
      </c>
      <c r="D3583" s="12" t="s">
        <v>5438</v>
      </c>
      <c r="E3583" s="12" t="s">
        <v>2978</v>
      </c>
      <c r="F3583" s="12" t="s">
        <v>1861</v>
      </c>
      <c r="G3583" s="12" t="s">
        <v>1861</v>
      </c>
      <c r="H3583" s="12" t="b">
        <v>1</v>
      </c>
      <c r="I3583" s="12" t="b">
        <v>0</v>
      </c>
      <c r="J3583" s="12" t="b">
        <v>1</v>
      </c>
      <c r="K3583" s="12" t="b">
        <v>0</v>
      </c>
      <c r="L3583" s="12">
        <v>469.23915444667711</v>
      </c>
      <c r="M3583" s="12">
        <v>279.57265645737988</v>
      </c>
      <c r="N3583" s="12">
        <v>3238.7458262568039</v>
      </c>
      <c r="O3583" s="12">
        <v>400</v>
      </c>
      <c r="P3583" s="12">
        <v>0.5019743324019631</v>
      </c>
      <c r="Q3583" s="12">
        <v>0.5167130211272033</v>
      </c>
      <c r="R3583" s="12">
        <v>0.7954440875681017</v>
      </c>
      <c r="S3583" s="12">
        <v>0.7341035610468708</v>
      </c>
      <c r="T3583" s="12">
        <v>0.69622488915171943</v>
      </c>
      <c r="U3583" s="12">
        <v>0.78848082887286863</v>
      </c>
      <c r="V3583" s="12">
        <v>279.57265645737988</v>
      </c>
      <c r="W3583" s="12">
        <v>7.8947942773264499</v>
      </c>
      <c r="X3583" s="12">
        <v>97.302886906398243</v>
      </c>
      <c r="Y3583" s="12">
        <v>2838.7458262568039</v>
      </c>
      <c r="Z3583" s="12">
        <v>8.0968645656420115</v>
      </c>
      <c r="AA3583" s="12" t="s">
        <v>1268</v>
      </c>
      <c r="AB3583" s="12"/>
    </row>
    <row r="3584" spans="1:28" x14ac:dyDescent="0.3">
      <c r="A3584" s="12" t="s">
        <v>5509</v>
      </c>
      <c r="B3584" s="12" t="s">
        <v>206</v>
      </c>
      <c r="C3584" s="12" t="s">
        <v>558</v>
      </c>
      <c r="D3584" s="12" t="s">
        <v>5438</v>
      </c>
      <c r="E3584" s="12" t="s">
        <v>2978</v>
      </c>
      <c r="F3584" s="12" t="s">
        <v>1862</v>
      </c>
      <c r="G3584" s="12" t="s">
        <v>1862</v>
      </c>
      <c r="H3584" s="12" t="b">
        <v>1</v>
      </c>
      <c r="I3584" s="12" t="b">
        <v>0</v>
      </c>
      <c r="J3584" s="12" t="b">
        <v>1</v>
      </c>
      <c r="K3584" s="12" t="b">
        <v>0</v>
      </c>
      <c r="L3584" s="12">
        <v>490.7472369273342</v>
      </c>
      <c r="M3584" s="12">
        <v>289.8364524922718</v>
      </c>
      <c r="N3584" s="12">
        <v>2337.7895559962271</v>
      </c>
      <c r="O3584" s="12">
        <v>400</v>
      </c>
      <c r="P3584" s="12">
        <v>0.74836277154011466</v>
      </c>
      <c r="Q3584" s="12">
        <v>0.55120693039882751</v>
      </c>
      <c r="R3584" s="12">
        <v>0.75398498466953101</v>
      </c>
      <c r="S3584" s="12">
        <v>0.82808834066966253</v>
      </c>
      <c r="T3584" s="12">
        <v>0.9064518036410828</v>
      </c>
      <c r="U3584" s="12">
        <v>0.7472970405505075</v>
      </c>
      <c r="V3584" s="12">
        <v>289.8364524922718</v>
      </c>
      <c r="W3584" s="12">
        <v>-2.1470933048911802</v>
      </c>
      <c r="X3584" s="12">
        <v>-20.633730797038279</v>
      </c>
      <c r="Y3584" s="12">
        <v>1937.7895559962269</v>
      </c>
      <c r="Z3584" s="12">
        <v>5.8444738899905664</v>
      </c>
      <c r="AA3584" s="12" t="s">
        <v>2513</v>
      </c>
      <c r="AB3584" s="12"/>
    </row>
    <row r="3585" spans="1:28" x14ac:dyDescent="0.3">
      <c r="A3585" s="12" t="s">
        <v>5510</v>
      </c>
      <c r="B3585" s="12" t="s">
        <v>206</v>
      </c>
      <c r="C3585" s="12" t="s">
        <v>558</v>
      </c>
      <c r="D3585" s="12" t="s">
        <v>5438</v>
      </c>
      <c r="E3585" s="12" t="s">
        <v>2978</v>
      </c>
      <c r="F3585" s="12" t="s">
        <v>1861</v>
      </c>
      <c r="G3585" s="12" t="s">
        <v>1861</v>
      </c>
      <c r="H3585" s="12" t="b">
        <v>1</v>
      </c>
      <c r="I3585" s="12" t="b">
        <v>0</v>
      </c>
      <c r="J3585" s="12" t="b">
        <v>1</v>
      </c>
      <c r="K3585" s="12" t="b">
        <v>0</v>
      </c>
      <c r="L3585" s="12">
        <v>502.52724079984858</v>
      </c>
      <c r="M3585" s="12">
        <v>290.60219877314762</v>
      </c>
      <c r="N3585" s="12">
        <v>2678.4015532162098</v>
      </c>
      <c r="O3585" s="12">
        <v>400</v>
      </c>
      <c r="P3585" s="12">
        <v>0.78026488008944539</v>
      </c>
      <c r="Q3585" s="12">
        <v>0.9104231096058808</v>
      </c>
      <c r="R3585" s="12">
        <v>0.6617660033368199</v>
      </c>
      <c r="S3585" s="12">
        <v>0.67782223008342701</v>
      </c>
      <c r="T3585" s="12">
        <v>0.41319978009032449</v>
      </c>
      <c r="U3585" s="12">
        <v>0.91184006311006083</v>
      </c>
      <c r="V3585" s="12">
        <v>290.60219877314762</v>
      </c>
      <c r="W3585" s="12">
        <v>8.1279610647649196</v>
      </c>
      <c r="X3585" s="12">
        <v>69.02029751176417</v>
      </c>
      <c r="Y3585" s="12">
        <v>2278.4015532162098</v>
      </c>
      <c r="Z3585" s="12">
        <v>6.6960038830405253</v>
      </c>
      <c r="AA3585" s="12" t="s">
        <v>1268</v>
      </c>
      <c r="AB3585" s="12"/>
    </row>
    <row r="3586" spans="1:28" x14ac:dyDescent="0.3">
      <c r="A3586" s="12" t="s">
        <v>5511</v>
      </c>
      <c r="B3586" s="12" t="s">
        <v>206</v>
      </c>
      <c r="C3586" s="12" t="s">
        <v>558</v>
      </c>
      <c r="D3586" s="12" t="s">
        <v>5438</v>
      </c>
      <c r="E3586" s="12" t="s">
        <v>2978</v>
      </c>
      <c r="F3586" s="12" t="s">
        <v>1861</v>
      </c>
      <c r="G3586" s="12" t="s">
        <v>1861</v>
      </c>
      <c r="H3586" s="12" t="b">
        <v>1</v>
      </c>
      <c r="I3586" s="12" t="b">
        <v>0</v>
      </c>
      <c r="J3586" s="12" t="b">
        <v>1</v>
      </c>
      <c r="K3586" s="12" t="b">
        <v>0</v>
      </c>
      <c r="L3586" s="12">
        <v>439.56601773241402</v>
      </c>
      <c r="M3586" s="12">
        <v>298.27745315903962</v>
      </c>
      <c r="N3586" s="12">
        <v>3166.2850680732622</v>
      </c>
      <c r="O3586" s="12">
        <v>400</v>
      </c>
      <c r="P3586" s="12">
        <v>0.56325415949614532</v>
      </c>
      <c r="Q3586" s="12">
        <v>0.78275480174495016</v>
      </c>
      <c r="R3586" s="12">
        <v>0.6847284637897656</v>
      </c>
      <c r="S3586" s="12">
        <v>0.83293805187253223</v>
      </c>
      <c r="T3586" s="12">
        <v>0.82909781271313943</v>
      </c>
      <c r="U3586" s="12">
        <v>0.6461472200680819</v>
      </c>
      <c r="V3586" s="12">
        <v>298.27745315903962</v>
      </c>
      <c r="W3586" s="12">
        <v>8.1521878832584207</v>
      </c>
      <c r="X3586" s="12">
        <v>55.499522560587387</v>
      </c>
      <c r="Y3586" s="12">
        <v>2766.2850680732622</v>
      </c>
      <c r="Z3586" s="12">
        <v>7.9157126701831544</v>
      </c>
      <c r="AA3586" s="12" t="s">
        <v>1268</v>
      </c>
      <c r="AB3586" s="12"/>
    </row>
    <row r="3587" spans="1:28" x14ac:dyDescent="0.3">
      <c r="A3587" s="12" t="s">
        <v>5512</v>
      </c>
      <c r="B3587" s="12" t="s">
        <v>206</v>
      </c>
      <c r="C3587" s="12" t="s">
        <v>558</v>
      </c>
      <c r="D3587" s="12" t="s">
        <v>5438</v>
      </c>
      <c r="E3587" s="12" t="s">
        <v>2978</v>
      </c>
      <c r="F3587" s="12" t="s">
        <v>1861</v>
      </c>
      <c r="G3587" s="12" t="s">
        <v>1861</v>
      </c>
      <c r="H3587" s="12" t="b">
        <v>1</v>
      </c>
      <c r="I3587" s="12" t="b">
        <v>0</v>
      </c>
      <c r="J3587" s="12" t="b">
        <v>1</v>
      </c>
      <c r="K3587" s="12" t="b">
        <v>0</v>
      </c>
      <c r="L3587" s="12">
        <v>437.5025249612047</v>
      </c>
      <c r="M3587" s="12">
        <v>282.9666627384342</v>
      </c>
      <c r="N3587" s="12">
        <v>3324.942165385844</v>
      </c>
      <c r="O3587" s="12">
        <v>400</v>
      </c>
      <c r="P3587" s="12">
        <v>0.58424456991117868</v>
      </c>
      <c r="Q3587" s="12">
        <v>0.53598571281615537</v>
      </c>
      <c r="R3587" s="12">
        <v>0.55510343965436038</v>
      </c>
      <c r="S3587" s="12">
        <v>0.81221905971038189</v>
      </c>
      <c r="T3587" s="12">
        <v>0.61502313090743455</v>
      </c>
      <c r="U3587" s="12">
        <v>0.83913201624729028</v>
      </c>
      <c r="V3587" s="12">
        <v>282.9666627384342</v>
      </c>
      <c r="W3587" s="12">
        <v>7.9658407181439408</v>
      </c>
      <c r="X3587" s="12">
        <v>70.721291215776191</v>
      </c>
      <c r="Y3587" s="12">
        <v>2924.942165385844</v>
      </c>
      <c r="Z3587" s="12">
        <v>8.3123554134646085</v>
      </c>
      <c r="AA3587" s="12" t="s">
        <v>1268</v>
      </c>
      <c r="AB3587" s="12"/>
    </row>
    <row r="3588" spans="1:28" x14ac:dyDescent="0.3">
      <c r="A3588" s="12" t="s">
        <v>5513</v>
      </c>
      <c r="B3588" s="12" t="s">
        <v>206</v>
      </c>
      <c r="C3588" s="12" t="s">
        <v>558</v>
      </c>
      <c r="D3588" s="12" t="s">
        <v>5438</v>
      </c>
      <c r="E3588" s="12" t="s">
        <v>2978</v>
      </c>
      <c r="F3588" s="12" t="s">
        <v>1861</v>
      </c>
      <c r="G3588" s="12" t="s">
        <v>1861</v>
      </c>
      <c r="H3588" s="12" t="b">
        <v>1</v>
      </c>
      <c r="I3588" s="12" t="b">
        <v>0</v>
      </c>
      <c r="J3588" s="12" t="b">
        <v>1</v>
      </c>
      <c r="K3588" s="12" t="b">
        <v>0</v>
      </c>
      <c r="L3588" s="12">
        <v>505.73720797464961</v>
      </c>
      <c r="M3588" s="12">
        <v>294.50713028470369</v>
      </c>
      <c r="N3588" s="12">
        <v>2315.00337289045</v>
      </c>
      <c r="O3588" s="12">
        <v>400</v>
      </c>
      <c r="P3588" s="12">
        <v>0.71725081396084756</v>
      </c>
      <c r="Q3588" s="12">
        <v>0.72105143185392873</v>
      </c>
      <c r="R3588" s="12">
        <v>0.82233128360123442</v>
      </c>
      <c r="S3588" s="12">
        <v>0.73730199778979655</v>
      </c>
      <c r="T3588" s="12">
        <v>0.48320071480900167</v>
      </c>
      <c r="U3588" s="12">
        <v>0.88338987028367533</v>
      </c>
      <c r="V3588" s="12">
        <v>294.50713028470369</v>
      </c>
      <c r="W3588" s="12">
        <v>6.8311239105847106</v>
      </c>
      <c r="X3588" s="12">
        <v>74.537803772328431</v>
      </c>
      <c r="Y3588" s="12">
        <v>1915.00337289045</v>
      </c>
      <c r="Z3588" s="12">
        <v>5.7875084322261241</v>
      </c>
      <c r="AA3588" s="12" t="s">
        <v>1268</v>
      </c>
      <c r="AB3588" s="12"/>
    </row>
    <row r="3589" spans="1:28" x14ac:dyDescent="0.3">
      <c r="A3589" s="12" t="s">
        <v>5514</v>
      </c>
      <c r="B3589" s="12" t="s">
        <v>206</v>
      </c>
      <c r="C3589" s="12" t="s">
        <v>558</v>
      </c>
      <c r="D3589" s="12" t="s">
        <v>5438</v>
      </c>
      <c r="E3589" s="12" t="s">
        <v>2978</v>
      </c>
      <c r="F3589" s="12" t="s">
        <v>32</v>
      </c>
      <c r="G3589" s="12" t="s">
        <v>32</v>
      </c>
      <c r="H3589" s="12" t="b">
        <v>1</v>
      </c>
      <c r="I3589" s="12" t="b">
        <v>1</v>
      </c>
      <c r="J3589" s="12" t="b">
        <v>0</v>
      </c>
      <c r="K3589" s="12" t="b">
        <v>0</v>
      </c>
      <c r="L3589" s="12">
        <v>395.60194040107808</v>
      </c>
      <c r="M3589" s="12">
        <v>280.77135065904719</v>
      </c>
      <c r="N3589" s="12">
        <v>3657.201478148193</v>
      </c>
      <c r="O3589" s="12">
        <v>400</v>
      </c>
      <c r="P3589" s="12">
        <v>0.59981290456830094</v>
      </c>
      <c r="Q3589" s="12">
        <v>0.68939033469288469</v>
      </c>
      <c r="R3589" s="12">
        <v>0.81150980088766844</v>
      </c>
      <c r="S3589" s="12">
        <v>0.63705779927778194</v>
      </c>
      <c r="T3589" s="12">
        <v>0.92333518420109162</v>
      </c>
      <c r="U3589" s="12">
        <v>0.93101210561391223</v>
      </c>
      <c r="V3589" s="12">
        <v>280.77135065904719</v>
      </c>
      <c r="W3589" s="12">
        <v>9.1529340217498802</v>
      </c>
      <c r="X3589" s="12">
        <v>20.44949909022403</v>
      </c>
      <c r="Y3589" s="12">
        <v>3257.201478148193</v>
      </c>
      <c r="Z3589" s="12">
        <v>9.1430036953704832</v>
      </c>
      <c r="AA3589" s="12"/>
      <c r="AB3589" s="12"/>
    </row>
    <row r="3590" spans="1:28" x14ac:dyDescent="0.3">
      <c r="A3590" s="12" t="s">
        <v>5515</v>
      </c>
      <c r="B3590" s="12" t="s">
        <v>206</v>
      </c>
      <c r="C3590" s="12" t="s">
        <v>558</v>
      </c>
      <c r="D3590" s="12" t="s">
        <v>5438</v>
      </c>
      <c r="E3590" s="12" t="s">
        <v>2978</v>
      </c>
      <c r="F3590" s="12" t="s">
        <v>1862</v>
      </c>
      <c r="G3590" s="12" t="s">
        <v>1862</v>
      </c>
      <c r="H3590" s="12" t="b">
        <v>1</v>
      </c>
      <c r="I3590" s="12" t="b">
        <v>0</v>
      </c>
      <c r="J3590" s="12" t="b">
        <v>0</v>
      </c>
      <c r="K3590" s="12" t="b">
        <v>0</v>
      </c>
      <c r="L3590" s="12">
        <v>389.22905151492472</v>
      </c>
      <c r="M3590" s="12">
        <v>286.16132470115349</v>
      </c>
      <c r="N3590" s="12">
        <v>2902.4670231301052</v>
      </c>
      <c r="O3590" s="12">
        <v>400</v>
      </c>
      <c r="P3590" s="12">
        <v>0.81382975383419232</v>
      </c>
      <c r="Q3590" s="12">
        <v>0.66611995353069353</v>
      </c>
      <c r="R3590" s="12">
        <v>0.4901402169580823</v>
      </c>
      <c r="S3590" s="12">
        <v>0.4439360438506883</v>
      </c>
      <c r="T3590" s="12">
        <v>0.65951666385426455</v>
      </c>
      <c r="U3590" s="12">
        <v>0.66794738247939445</v>
      </c>
      <c r="V3590" s="12">
        <v>286.16132470115349</v>
      </c>
      <c r="W3590" s="12">
        <v>-218.14908082769861</v>
      </c>
      <c r="X3590" s="12">
        <v>-183.75916538472569</v>
      </c>
      <c r="Y3590" s="12">
        <v>2502.4670231301052</v>
      </c>
      <c r="Z3590" s="12">
        <v>7.256167557825262</v>
      </c>
      <c r="AA3590" s="12" t="s">
        <v>2513</v>
      </c>
      <c r="AB3590" s="12"/>
    </row>
    <row r="3591" spans="1:28" x14ac:dyDescent="0.3">
      <c r="A3591" s="12" t="s">
        <v>5516</v>
      </c>
      <c r="B3591" s="12" t="s">
        <v>206</v>
      </c>
      <c r="C3591" s="12" t="s">
        <v>558</v>
      </c>
      <c r="D3591" s="12" t="s">
        <v>5438</v>
      </c>
      <c r="E3591" s="12" t="s">
        <v>2978</v>
      </c>
      <c r="F3591" s="12" t="s">
        <v>1861</v>
      </c>
      <c r="G3591" s="12" t="s">
        <v>1861</v>
      </c>
      <c r="H3591" s="12" t="b">
        <v>1</v>
      </c>
      <c r="I3591" s="12" t="b">
        <v>0</v>
      </c>
      <c r="J3591" s="12" t="b">
        <v>1</v>
      </c>
      <c r="K3591" s="12" t="b">
        <v>0</v>
      </c>
      <c r="L3591" s="12">
        <v>453.16094839950648</v>
      </c>
      <c r="M3591" s="12">
        <v>292.78165872009191</v>
      </c>
      <c r="N3591" s="12">
        <v>4287.9568577703394</v>
      </c>
      <c r="O3591" s="12">
        <v>400</v>
      </c>
      <c r="P3591" s="12">
        <v>0.56178283874321577</v>
      </c>
      <c r="Q3591" s="12">
        <v>0.7599963740879766</v>
      </c>
      <c r="R3591" s="12">
        <v>0.83959894238162436</v>
      </c>
      <c r="S3591" s="12">
        <v>0.72860445308505528</v>
      </c>
      <c r="T3591" s="12">
        <v>0.47077232647986639</v>
      </c>
      <c r="U3591" s="12">
        <v>0.65069307988762992</v>
      </c>
      <c r="V3591" s="12">
        <v>292.78165872009191</v>
      </c>
      <c r="W3591" s="12">
        <v>10.76273298561987</v>
      </c>
      <c r="X3591" s="12">
        <v>76.046209021455027</v>
      </c>
      <c r="Y3591" s="12">
        <v>3887.956857770339</v>
      </c>
      <c r="Z3591" s="12">
        <v>10.719892144425851</v>
      </c>
      <c r="AA3591" s="12" t="s">
        <v>1268</v>
      </c>
      <c r="AB3591" s="12"/>
    </row>
    <row r="3592" spans="1:28" x14ac:dyDescent="0.3">
      <c r="A3592" s="12" t="s">
        <v>5517</v>
      </c>
      <c r="B3592" s="12" t="s">
        <v>206</v>
      </c>
      <c r="C3592" s="12" t="s">
        <v>558</v>
      </c>
      <c r="D3592" s="12" t="s">
        <v>5438</v>
      </c>
      <c r="E3592" s="12" t="s">
        <v>2978</v>
      </c>
      <c r="F3592" s="12" t="s">
        <v>1861</v>
      </c>
      <c r="G3592" s="12" t="s">
        <v>1861</v>
      </c>
      <c r="H3592" s="12" t="b">
        <v>1</v>
      </c>
      <c r="I3592" s="12" t="b">
        <v>0</v>
      </c>
      <c r="J3592" s="12" t="b">
        <v>0</v>
      </c>
      <c r="K3592" s="12" t="b">
        <v>0</v>
      </c>
      <c r="L3592" s="12">
        <v>400.94894006593961</v>
      </c>
      <c r="M3592" s="12">
        <v>279.30198038932127</v>
      </c>
      <c r="N3592" s="12">
        <v>3037.2809897462571</v>
      </c>
      <c r="O3592" s="12">
        <v>400</v>
      </c>
      <c r="P3592" s="12">
        <v>0.63470121693442905</v>
      </c>
      <c r="Q3592" s="12">
        <v>0.66116162871458828</v>
      </c>
      <c r="R3592" s="12">
        <v>0.63586957576697212</v>
      </c>
      <c r="S3592" s="12">
        <v>0.4251256718983224</v>
      </c>
      <c r="T3592" s="12">
        <v>0.64867760224439497</v>
      </c>
      <c r="U3592" s="12">
        <v>0.60584556958252045</v>
      </c>
      <c r="V3592" s="12">
        <v>279.30198038932127</v>
      </c>
      <c r="W3592" s="12">
        <v>4.6730418128037297</v>
      </c>
      <c r="X3592" s="12">
        <v>13.79324610324883</v>
      </c>
      <c r="Y3592" s="12">
        <v>2637.2809897462571</v>
      </c>
      <c r="Z3592" s="12">
        <v>7.5932024743656417</v>
      </c>
      <c r="AA3592" s="12" t="s">
        <v>1268</v>
      </c>
      <c r="AB3592" s="12"/>
    </row>
    <row r="3593" spans="1:28" x14ac:dyDescent="0.3">
      <c r="A3593" s="12" t="s">
        <v>5518</v>
      </c>
      <c r="B3593" s="12" t="s">
        <v>206</v>
      </c>
      <c r="C3593" s="12" t="s">
        <v>558</v>
      </c>
      <c r="D3593" s="12" t="s">
        <v>5438</v>
      </c>
      <c r="E3593" s="12" t="s">
        <v>2978</v>
      </c>
      <c r="F3593" s="12" t="s">
        <v>1861</v>
      </c>
      <c r="G3593" s="12" t="s">
        <v>1861</v>
      </c>
      <c r="H3593" s="12" t="b">
        <v>1</v>
      </c>
      <c r="I3593" s="12" t="b">
        <v>0</v>
      </c>
      <c r="J3593" s="12" t="b">
        <v>1</v>
      </c>
      <c r="K3593" s="12" t="b">
        <v>0</v>
      </c>
      <c r="L3593" s="12">
        <v>472.62363372626879</v>
      </c>
      <c r="M3593" s="12">
        <v>290.41852205979382</v>
      </c>
      <c r="N3593" s="12">
        <v>4205.2361361716185</v>
      </c>
      <c r="O3593" s="12">
        <v>400</v>
      </c>
      <c r="P3593" s="12">
        <v>0.68109414209818631</v>
      </c>
      <c r="Q3593" s="12">
        <v>0.8659834346697538</v>
      </c>
      <c r="R3593" s="12">
        <v>0.6561239401140051</v>
      </c>
      <c r="S3593" s="12">
        <v>0.67471874691966249</v>
      </c>
      <c r="T3593" s="12">
        <v>0.81545060454174267</v>
      </c>
      <c r="U3593" s="12">
        <v>0.52769328925563908</v>
      </c>
      <c r="V3593" s="12">
        <v>290.41852205979382</v>
      </c>
      <c r="W3593" s="12">
        <v>1.69573687781878</v>
      </c>
      <c r="X3593" s="12">
        <v>11.35754392319598</v>
      </c>
      <c r="Y3593" s="12">
        <v>3805.236136171618</v>
      </c>
      <c r="Z3593" s="12">
        <v>10.51309034042905</v>
      </c>
      <c r="AA3593" s="12" t="s">
        <v>1981</v>
      </c>
      <c r="AB3593" s="12"/>
    </row>
    <row r="3594" spans="1:28" x14ac:dyDescent="0.3">
      <c r="A3594" s="12" t="s">
        <v>5519</v>
      </c>
      <c r="B3594" s="12" t="s">
        <v>206</v>
      </c>
      <c r="C3594" s="12" t="s">
        <v>558</v>
      </c>
      <c r="D3594" s="12" t="s">
        <v>5438</v>
      </c>
      <c r="E3594" s="12" t="s">
        <v>2978</v>
      </c>
      <c r="F3594" s="12" t="s">
        <v>1862</v>
      </c>
      <c r="G3594" s="12" t="s">
        <v>1862</v>
      </c>
      <c r="H3594" s="12" t="b">
        <v>1</v>
      </c>
      <c r="I3594" s="12" t="b">
        <v>0</v>
      </c>
      <c r="J3594" s="12" t="b">
        <v>0</v>
      </c>
      <c r="K3594" s="12" t="b">
        <v>0</v>
      </c>
      <c r="L3594" s="12">
        <v>410.14432229945021</v>
      </c>
      <c r="M3594" s="12">
        <v>295.01063353409592</v>
      </c>
      <c r="N3594" s="12">
        <v>4939.8993509618904</v>
      </c>
      <c r="O3594" s="12">
        <v>400</v>
      </c>
      <c r="P3594" s="12">
        <v>0.64464675719114939</v>
      </c>
      <c r="Q3594" s="12">
        <v>0.6434158937765011</v>
      </c>
      <c r="R3594" s="12">
        <v>0.91035184762065302</v>
      </c>
      <c r="S3594" s="12">
        <v>0.51535102834474</v>
      </c>
      <c r="T3594" s="12">
        <v>0.55322128304732776</v>
      </c>
      <c r="U3594" s="12">
        <v>0.43422738024017749</v>
      </c>
      <c r="V3594" s="12">
        <v>295.01063353409592</v>
      </c>
      <c r="W3594" s="12">
        <v>-43.395753024742532</v>
      </c>
      <c r="X3594" s="12">
        <v>-56.740732284515602</v>
      </c>
      <c r="Y3594" s="12">
        <v>4539.8993509618904</v>
      </c>
      <c r="Z3594" s="12">
        <v>12.34974837740473</v>
      </c>
      <c r="AA3594" s="12" t="s">
        <v>2513</v>
      </c>
      <c r="AB3594" s="12"/>
    </row>
    <row r="3595" spans="1:28" x14ac:dyDescent="0.3">
      <c r="A3595" s="12" t="s">
        <v>5520</v>
      </c>
      <c r="B3595" s="12" t="s">
        <v>206</v>
      </c>
      <c r="C3595" s="12" t="s">
        <v>558</v>
      </c>
      <c r="D3595" s="12" t="s">
        <v>5438</v>
      </c>
      <c r="E3595" s="12" t="s">
        <v>2978</v>
      </c>
      <c r="F3595" s="12" t="s">
        <v>1861</v>
      </c>
      <c r="G3595" s="12" t="s">
        <v>1861</v>
      </c>
      <c r="H3595" s="12" t="b">
        <v>1</v>
      </c>
      <c r="I3595" s="12" t="b">
        <v>0</v>
      </c>
      <c r="J3595" s="12" t="b">
        <v>1</v>
      </c>
      <c r="K3595" s="12" t="b">
        <v>0</v>
      </c>
      <c r="L3595" s="12">
        <v>508.00260785656633</v>
      </c>
      <c r="M3595" s="12">
        <v>290.22592735875031</v>
      </c>
      <c r="N3595" s="12">
        <v>4651.2572674883813</v>
      </c>
      <c r="O3595" s="12">
        <v>400</v>
      </c>
      <c r="P3595" s="12">
        <v>0.64272039523054514</v>
      </c>
      <c r="Q3595" s="12">
        <v>0.61682076489441462</v>
      </c>
      <c r="R3595" s="12">
        <v>0.84458139623165063</v>
      </c>
      <c r="S3595" s="12">
        <v>0.40808441957183278</v>
      </c>
      <c r="T3595" s="12">
        <v>0.93139713526550938</v>
      </c>
      <c r="U3595" s="12">
        <v>0.83239413380411542</v>
      </c>
      <c r="V3595" s="12">
        <v>290.22592735875031</v>
      </c>
      <c r="W3595" s="12">
        <v>11.615981220100689</v>
      </c>
      <c r="X3595" s="12">
        <v>85.271280575561192</v>
      </c>
      <c r="Y3595" s="12">
        <v>4251.2572674883813</v>
      </c>
      <c r="Z3595" s="12">
        <v>11.62814316872095</v>
      </c>
      <c r="AA3595" s="12" t="s">
        <v>1268</v>
      </c>
      <c r="AB3595" s="12"/>
    </row>
    <row r="3596" spans="1:28" x14ac:dyDescent="0.3">
      <c r="A3596" s="12" t="s">
        <v>5521</v>
      </c>
      <c r="B3596" s="12" t="s">
        <v>206</v>
      </c>
      <c r="C3596" s="12" t="s">
        <v>558</v>
      </c>
      <c r="D3596" s="12" t="s">
        <v>5438</v>
      </c>
      <c r="E3596" s="12" t="s">
        <v>2978</v>
      </c>
      <c r="F3596" s="12" t="s">
        <v>1861</v>
      </c>
      <c r="G3596" s="12" t="s">
        <v>1861</v>
      </c>
      <c r="H3596" s="12" t="b">
        <v>1</v>
      </c>
      <c r="I3596" s="12" t="b">
        <v>0</v>
      </c>
      <c r="J3596" s="12" t="b">
        <v>1</v>
      </c>
      <c r="K3596" s="12" t="b">
        <v>0</v>
      </c>
      <c r="L3596" s="12">
        <v>474.17562100090612</v>
      </c>
      <c r="M3596" s="12">
        <v>299.15090311346029</v>
      </c>
      <c r="N3596" s="12">
        <v>3692.9442172576232</v>
      </c>
      <c r="O3596" s="12">
        <v>400</v>
      </c>
      <c r="P3596" s="12">
        <v>0.51238372969057311</v>
      </c>
      <c r="Q3596" s="12">
        <v>0.42096818326209412</v>
      </c>
      <c r="R3596" s="12">
        <v>0.40469204976903977</v>
      </c>
      <c r="S3596" s="12">
        <v>0.54894515954123146</v>
      </c>
      <c r="T3596" s="12">
        <v>0.41765177781773349</v>
      </c>
      <c r="U3596" s="12">
        <v>0.86025691543394567</v>
      </c>
      <c r="V3596" s="12">
        <v>299.15090311346029</v>
      </c>
      <c r="W3596" s="12">
        <v>4.7624583157729798</v>
      </c>
      <c r="X3596" s="12">
        <v>45.605304124268969</v>
      </c>
      <c r="Y3596" s="12">
        <v>3292.9442172576232</v>
      </c>
      <c r="Z3596" s="12">
        <v>9.2323605431440576</v>
      </c>
      <c r="AA3596" s="12" t="s">
        <v>1268</v>
      </c>
      <c r="AB3596" s="12"/>
    </row>
    <row r="3597" spans="1:28" x14ac:dyDescent="0.3">
      <c r="A3597" s="12" t="s">
        <v>5522</v>
      </c>
      <c r="B3597" s="12" t="s">
        <v>206</v>
      </c>
      <c r="C3597" s="12" t="s">
        <v>558</v>
      </c>
      <c r="D3597" s="12" t="s">
        <v>5438</v>
      </c>
      <c r="E3597" s="12" t="s">
        <v>2978</v>
      </c>
      <c r="F3597" s="12" t="s">
        <v>1862</v>
      </c>
      <c r="G3597" s="12" t="s">
        <v>1862</v>
      </c>
      <c r="H3597" s="12" t="b">
        <v>1</v>
      </c>
      <c r="I3597" s="12" t="b">
        <v>0</v>
      </c>
      <c r="J3597" s="12" t="b">
        <v>0</v>
      </c>
      <c r="K3597" s="12" t="b">
        <v>0</v>
      </c>
      <c r="L3597" s="12">
        <v>421.28788782114327</v>
      </c>
      <c r="M3597" s="12">
        <v>298.60727486894388</v>
      </c>
      <c r="N3597" s="12">
        <v>2659.951857474573</v>
      </c>
      <c r="O3597" s="12">
        <v>400</v>
      </c>
      <c r="P3597" s="12">
        <v>0.76964754298208715</v>
      </c>
      <c r="Q3597" s="12">
        <v>0.8243152574374909</v>
      </c>
      <c r="R3597" s="12">
        <v>0.48672276199750242</v>
      </c>
      <c r="S3597" s="12">
        <v>0.47079111949764352</v>
      </c>
      <c r="T3597" s="12">
        <v>0.87327030810050865</v>
      </c>
      <c r="U3597" s="12">
        <v>0.68986827031860631</v>
      </c>
      <c r="V3597" s="12">
        <v>298.60727486894388</v>
      </c>
      <c r="W3597" s="12">
        <v>-85.64713650749114</v>
      </c>
      <c r="X3597" s="12">
        <v>-159.25837723236981</v>
      </c>
      <c r="Y3597" s="12">
        <v>2259.951857474573</v>
      </c>
      <c r="Z3597" s="12">
        <v>6.6498796436864316</v>
      </c>
      <c r="AA3597" s="12" t="s">
        <v>2513</v>
      </c>
      <c r="AB3597" s="12"/>
    </row>
    <row r="3598" spans="1:28" x14ac:dyDescent="0.3">
      <c r="A3598" s="12" t="s">
        <v>5523</v>
      </c>
      <c r="B3598" s="12" t="s">
        <v>206</v>
      </c>
      <c r="C3598" s="12" t="s">
        <v>558</v>
      </c>
      <c r="D3598" s="12" t="s">
        <v>5438</v>
      </c>
      <c r="E3598" s="12" t="s">
        <v>2978</v>
      </c>
      <c r="F3598" s="12" t="s">
        <v>832</v>
      </c>
      <c r="G3598" s="12" t="s">
        <v>832</v>
      </c>
      <c r="H3598" s="12" t="b">
        <v>0</v>
      </c>
      <c r="I3598" s="12" t="b">
        <v>0</v>
      </c>
      <c r="J3598" s="12" t="b">
        <v>0</v>
      </c>
      <c r="K3598" s="12" t="b">
        <v>0</v>
      </c>
      <c r="L3598" s="12">
        <v>459.62042713617211</v>
      </c>
      <c r="M3598" s="12">
        <v>281.93778425671178</v>
      </c>
      <c r="N3598" s="12">
        <v>4064.4430786715802</v>
      </c>
      <c r="O3598" s="12">
        <v>400</v>
      </c>
      <c r="P3598" s="12">
        <v>0.77820788279667097</v>
      </c>
      <c r="Q3598" s="12">
        <v>0.60866062026475254</v>
      </c>
      <c r="R3598" s="12">
        <v>0.62941969319710012</v>
      </c>
      <c r="S3598" s="12">
        <v>0.68995981874106327</v>
      </c>
      <c r="T3598" s="12">
        <v>0.43425945588281739</v>
      </c>
      <c r="U3598" s="12">
        <v>0.86772251815186152</v>
      </c>
      <c r="V3598" s="12">
        <v>281.93778425671178</v>
      </c>
      <c r="W3598" s="12"/>
      <c r="X3598" s="12"/>
      <c r="Y3598" s="12">
        <v>3664.4430786715802</v>
      </c>
      <c r="Z3598" s="12">
        <v>10.16110769667895</v>
      </c>
      <c r="AA3598" s="12"/>
      <c r="AB3598" s="12"/>
    </row>
    <row r="3599" spans="1:28" x14ac:dyDescent="0.3">
      <c r="A3599" s="12" t="s">
        <v>5524</v>
      </c>
      <c r="B3599" s="12" t="s">
        <v>206</v>
      </c>
      <c r="C3599" s="12" t="s">
        <v>558</v>
      </c>
      <c r="D3599" s="12" t="s">
        <v>5438</v>
      </c>
      <c r="E3599" s="12" t="s">
        <v>2978</v>
      </c>
      <c r="F3599" s="12" t="s">
        <v>1861</v>
      </c>
      <c r="G3599" s="12" t="s">
        <v>1861</v>
      </c>
      <c r="H3599" s="12" t="b">
        <v>1</v>
      </c>
      <c r="I3599" s="12" t="b">
        <v>0</v>
      </c>
      <c r="J3599" s="12" t="b">
        <v>0</v>
      </c>
      <c r="K3599" s="12" t="b">
        <v>0</v>
      </c>
      <c r="L3599" s="12">
        <v>429.61674916323142</v>
      </c>
      <c r="M3599" s="12">
        <v>281.15635401707931</v>
      </c>
      <c r="N3599" s="12">
        <v>2070.8046545543202</v>
      </c>
      <c r="O3599" s="12">
        <v>400</v>
      </c>
      <c r="P3599" s="12">
        <v>0.74256237140622283</v>
      </c>
      <c r="Q3599" s="12">
        <v>0.44209573892967091</v>
      </c>
      <c r="R3599" s="12">
        <v>0.76987705240504678</v>
      </c>
      <c r="S3599" s="12">
        <v>0.66307773783720436</v>
      </c>
      <c r="T3599" s="12">
        <v>0.56078210038031384</v>
      </c>
      <c r="U3599" s="12">
        <v>0.74016622506043661</v>
      </c>
      <c r="V3599" s="12">
        <v>281.15635401707931</v>
      </c>
      <c r="W3599" s="12">
        <v>2.2360564356266699</v>
      </c>
      <c r="X3599" s="12">
        <v>21.92834143665873</v>
      </c>
      <c r="Y3599" s="12">
        <v>1670.80465455432</v>
      </c>
      <c r="Z3599" s="12">
        <v>5.1770116363857994</v>
      </c>
      <c r="AA3599" s="12" t="s">
        <v>1268</v>
      </c>
      <c r="AB3599" s="12"/>
    </row>
    <row r="3600" spans="1:28" x14ac:dyDescent="0.3">
      <c r="A3600" s="12" t="s">
        <v>5525</v>
      </c>
      <c r="B3600" s="12" t="s">
        <v>206</v>
      </c>
      <c r="C3600" s="12" t="s">
        <v>558</v>
      </c>
      <c r="D3600" s="12" t="s">
        <v>5438</v>
      </c>
      <c r="E3600" s="12" t="s">
        <v>2978</v>
      </c>
      <c r="F3600" s="12" t="s">
        <v>832</v>
      </c>
      <c r="G3600" s="12" t="s">
        <v>832</v>
      </c>
      <c r="H3600" s="12" t="b">
        <v>0</v>
      </c>
      <c r="I3600" s="12" t="b">
        <v>0</v>
      </c>
      <c r="J3600" s="12" t="b">
        <v>0</v>
      </c>
      <c r="K3600" s="12" t="b">
        <v>0</v>
      </c>
      <c r="L3600" s="12">
        <v>416.62958650403721</v>
      </c>
      <c r="M3600" s="12">
        <v>303.38025611486768</v>
      </c>
      <c r="N3600" s="12">
        <v>4125.8721004761264</v>
      </c>
      <c r="O3600" s="12">
        <v>400</v>
      </c>
      <c r="P3600" s="12">
        <v>0.73084621784556703</v>
      </c>
      <c r="Q3600" s="12">
        <v>0.64819520911700912</v>
      </c>
      <c r="R3600" s="12">
        <v>0.47171625833330277</v>
      </c>
      <c r="S3600" s="12">
        <v>0.48300953198482738</v>
      </c>
      <c r="T3600" s="12">
        <v>0.7474876141082758</v>
      </c>
      <c r="U3600" s="12">
        <v>0.53982851170071089</v>
      </c>
      <c r="V3600" s="12">
        <v>303.38025611486768</v>
      </c>
      <c r="W3600" s="12"/>
      <c r="X3600" s="12"/>
      <c r="Y3600" s="12">
        <v>3725.872100476126</v>
      </c>
      <c r="Z3600" s="12">
        <v>10.314680251190319</v>
      </c>
      <c r="AA3600" s="12"/>
      <c r="AB3600" s="12"/>
    </row>
    <row r="3601" spans="1:28" x14ac:dyDescent="0.3">
      <c r="A3601" s="12" t="s">
        <v>5526</v>
      </c>
      <c r="B3601" s="12" t="s">
        <v>206</v>
      </c>
      <c r="C3601" s="12" t="s">
        <v>558</v>
      </c>
      <c r="D3601" s="12" t="s">
        <v>5438</v>
      </c>
      <c r="E3601" s="12" t="s">
        <v>2978</v>
      </c>
      <c r="F3601" s="12" t="s">
        <v>1861</v>
      </c>
      <c r="G3601" s="12" t="s">
        <v>1861</v>
      </c>
      <c r="H3601" s="12" t="b">
        <v>1</v>
      </c>
      <c r="I3601" s="12" t="b">
        <v>0</v>
      </c>
      <c r="J3601" s="12" t="b">
        <v>1</v>
      </c>
      <c r="K3601" s="12" t="b">
        <v>0</v>
      </c>
      <c r="L3601" s="12">
        <v>512.66103604560544</v>
      </c>
      <c r="M3601" s="12">
        <v>295.96002045035817</v>
      </c>
      <c r="N3601" s="12">
        <v>4435.4453991579076</v>
      </c>
      <c r="O3601" s="12">
        <v>400</v>
      </c>
      <c r="P3601" s="12">
        <v>0.55285998527359426</v>
      </c>
      <c r="Q3601" s="12">
        <v>0.51507259940898242</v>
      </c>
      <c r="R3601" s="12">
        <v>0.84784268868210044</v>
      </c>
      <c r="S3601" s="12">
        <v>0.5724750129641506</v>
      </c>
      <c r="T3601" s="12">
        <v>0.64102396950465812</v>
      </c>
      <c r="U3601" s="12">
        <v>0.55606469766633193</v>
      </c>
      <c r="V3601" s="12">
        <v>295.96002045035817</v>
      </c>
      <c r="W3601" s="12">
        <v>0.56219488303841991</v>
      </c>
      <c r="X3601" s="12">
        <v>4.8122609603175874</v>
      </c>
      <c r="Y3601" s="12">
        <v>4035.4453991579089</v>
      </c>
      <c r="Z3601" s="12">
        <v>11.088613497894769</v>
      </c>
      <c r="AA3601" s="12" t="s">
        <v>1268</v>
      </c>
      <c r="AB3601" s="12"/>
    </row>
    <row r="3602" spans="1:28" x14ac:dyDescent="0.3">
      <c r="A3602" s="12" t="s">
        <v>5527</v>
      </c>
      <c r="B3602" s="12" t="s">
        <v>206</v>
      </c>
      <c r="C3602" s="12" t="s">
        <v>558</v>
      </c>
      <c r="D3602" s="12" t="s">
        <v>5438</v>
      </c>
      <c r="E3602" s="12" t="s">
        <v>2978</v>
      </c>
      <c r="F3602" s="12" t="s">
        <v>1861</v>
      </c>
      <c r="G3602" s="12" t="s">
        <v>1861</v>
      </c>
      <c r="H3602" s="12" t="b">
        <v>1</v>
      </c>
      <c r="I3602" s="12" t="b">
        <v>0</v>
      </c>
      <c r="J3602" s="12" t="b">
        <v>1</v>
      </c>
      <c r="K3602" s="12" t="b">
        <v>0</v>
      </c>
      <c r="L3602" s="12">
        <v>464.93319792998062</v>
      </c>
      <c r="M3602" s="12">
        <v>291.60027524880581</v>
      </c>
      <c r="N3602" s="12">
        <v>3548.2014590476911</v>
      </c>
      <c r="O3602" s="12">
        <v>400</v>
      </c>
      <c r="P3602" s="12">
        <v>0.71540742791821454</v>
      </c>
      <c r="Q3602" s="12">
        <v>0.73034198377709103</v>
      </c>
      <c r="R3602" s="12">
        <v>0.93066327886563283</v>
      </c>
      <c r="S3602" s="12">
        <v>0.64415814394124959</v>
      </c>
      <c r="T3602" s="12">
        <v>0.82690190663788798</v>
      </c>
      <c r="U3602" s="12">
        <v>0.58499746349741044</v>
      </c>
      <c r="V3602" s="12">
        <v>291.60027524880581</v>
      </c>
      <c r="W3602" s="12">
        <v>4.6487630843174799</v>
      </c>
      <c r="X3602" s="12">
        <v>30.525914190450461</v>
      </c>
      <c r="Y3602" s="12">
        <v>3148.2014590476911</v>
      </c>
      <c r="Z3602" s="12">
        <v>8.8705036476192269</v>
      </c>
      <c r="AA3602" s="12" t="s">
        <v>1268</v>
      </c>
      <c r="AB3602" s="12"/>
    </row>
    <row r="3603" spans="1:28" x14ac:dyDescent="0.3">
      <c r="A3603" s="12" t="s">
        <v>5528</v>
      </c>
      <c r="B3603" s="12" t="s">
        <v>206</v>
      </c>
      <c r="C3603" s="12" t="s">
        <v>558</v>
      </c>
      <c r="D3603" s="12" t="s">
        <v>5438</v>
      </c>
      <c r="E3603" s="12" t="s">
        <v>2978</v>
      </c>
      <c r="F3603" s="12" t="s">
        <v>832</v>
      </c>
      <c r="G3603" s="12" t="s">
        <v>832</v>
      </c>
      <c r="H3603" s="12" t="b">
        <v>0</v>
      </c>
      <c r="I3603" s="12" t="b">
        <v>0</v>
      </c>
      <c r="J3603" s="12" t="b">
        <v>0</v>
      </c>
      <c r="K3603" s="12" t="b">
        <v>0</v>
      </c>
      <c r="L3603" s="12">
        <v>467.64027828945422</v>
      </c>
      <c r="M3603" s="12">
        <v>296.92992769330192</v>
      </c>
      <c r="N3603" s="12">
        <v>4363.9750879096591</v>
      </c>
      <c r="O3603" s="12">
        <v>400</v>
      </c>
      <c r="P3603" s="12">
        <v>0.76801296480852221</v>
      </c>
      <c r="Q3603" s="12">
        <v>0.57492203403709774</v>
      </c>
      <c r="R3603" s="12">
        <v>0.91248154797091796</v>
      </c>
      <c r="S3603" s="12">
        <v>0.81826604672563996</v>
      </c>
      <c r="T3603" s="12">
        <v>0.58233446595266847</v>
      </c>
      <c r="U3603" s="12">
        <v>0.62900443054944555</v>
      </c>
      <c r="V3603" s="12">
        <v>296.92992769330192</v>
      </c>
      <c r="W3603" s="12"/>
      <c r="X3603" s="12"/>
      <c r="Y3603" s="12">
        <v>3963.9750879096591</v>
      </c>
      <c r="Z3603" s="12">
        <v>10.909937719774151</v>
      </c>
      <c r="AA3603" s="12"/>
      <c r="AB3603" s="12"/>
    </row>
    <row r="3604" spans="1:28" x14ac:dyDescent="0.3">
      <c r="A3604" s="12" t="s">
        <v>5529</v>
      </c>
      <c r="B3604" s="12" t="s">
        <v>206</v>
      </c>
      <c r="C3604" s="12" t="s">
        <v>558</v>
      </c>
      <c r="D3604" s="12" t="s">
        <v>5438</v>
      </c>
      <c r="E3604" s="12" t="s">
        <v>2978</v>
      </c>
      <c r="F3604" s="12" t="s">
        <v>1862</v>
      </c>
      <c r="G3604" s="12" t="s">
        <v>1862</v>
      </c>
      <c r="H3604" s="12" t="b">
        <v>1</v>
      </c>
      <c r="I3604" s="12" t="b">
        <v>0</v>
      </c>
      <c r="J3604" s="12" t="b">
        <v>0</v>
      </c>
      <c r="K3604" s="12" t="b">
        <v>0</v>
      </c>
      <c r="L3604" s="12">
        <v>450.81328870477859</v>
      </c>
      <c r="M3604" s="12">
        <v>296.31394548761932</v>
      </c>
      <c r="N3604" s="12">
        <v>4749.6451149595969</v>
      </c>
      <c r="O3604" s="12">
        <v>400</v>
      </c>
      <c r="P3604" s="12">
        <v>0.67038472125237958</v>
      </c>
      <c r="Q3604" s="12">
        <v>0.58276287358051104</v>
      </c>
      <c r="R3604" s="12">
        <v>0.6884760086697943</v>
      </c>
      <c r="S3604" s="12">
        <v>0.50702521229306008</v>
      </c>
      <c r="T3604" s="12">
        <v>0.49859089791474398</v>
      </c>
      <c r="U3604" s="12">
        <v>0.94462357843750477</v>
      </c>
      <c r="V3604" s="12">
        <v>296.31394548761932</v>
      </c>
      <c r="W3604" s="12">
        <v>-0.78711013689050002</v>
      </c>
      <c r="X3604" s="12">
        <v>-4.074388116643334</v>
      </c>
      <c r="Y3604" s="12">
        <v>4349.6451149595969</v>
      </c>
      <c r="Z3604" s="12">
        <v>11.874112787398991</v>
      </c>
      <c r="AA3604" s="12" t="s">
        <v>2513</v>
      </c>
      <c r="AB3604" s="12"/>
    </row>
    <row r="3605" spans="1:28" x14ac:dyDescent="0.3">
      <c r="A3605" s="12" t="s">
        <v>5530</v>
      </c>
      <c r="B3605" s="12" t="s">
        <v>206</v>
      </c>
      <c r="C3605" s="12" t="s">
        <v>558</v>
      </c>
      <c r="D3605" s="12" t="s">
        <v>5438</v>
      </c>
      <c r="E3605" s="12" t="s">
        <v>2978</v>
      </c>
      <c r="F3605" s="12" t="s">
        <v>1862</v>
      </c>
      <c r="G3605" s="12" t="s">
        <v>1862</v>
      </c>
      <c r="H3605" s="12" t="b">
        <v>1</v>
      </c>
      <c r="I3605" s="12" t="b">
        <v>0</v>
      </c>
      <c r="J3605" s="12" t="b">
        <v>0</v>
      </c>
      <c r="K3605" s="12" t="b">
        <v>0</v>
      </c>
      <c r="L3605" s="12">
        <v>426.31775200507082</v>
      </c>
      <c r="M3605" s="12">
        <v>296.57041956290021</v>
      </c>
      <c r="N3605" s="12">
        <v>3086.7018808987232</v>
      </c>
      <c r="O3605" s="12">
        <v>400</v>
      </c>
      <c r="P3605" s="12">
        <v>0.6576710005484081</v>
      </c>
      <c r="Q3605" s="12">
        <v>0.49990165379927137</v>
      </c>
      <c r="R3605" s="12">
        <v>0.50783900877540755</v>
      </c>
      <c r="S3605" s="12">
        <v>0.63374409575636048</v>
      </c>
      <c r="T3605" s="12">
        <v>0.67757901240226071</v>
      </c>
      <c r="U3605" s="12">
        <v>0.87684341924933107</v>
      </c>
      <c r="V3605" s="12">
        <v>296.57041956290021</v>
      </c>
      <c r="W3605" s="12">
        <v>-9.0528080634686194</v>
      </c>
      <c r="X3605" s="12">
        <v>-45.969924895569861</v>
      </c>
      <c r="Y3605" s="12">
        <v>2686.7018808987232</v>
      </c>
      <c r="Z3605" s="12">
        <v>7.7167547022468082</v>
      </c>
      <c r="AA3605" s="12" t="s">
        <v>2513</v>
      </c>
      <c r="AB3605" s="12"/>
    </row>
    <row r="3606" spans="1:28" x14ac:dyDescent="0.3">
      <c r="A3606" s="12" t="s">
        <v>5531</v>
      </c>
      <c r="B3606" s="12" t="s">
        <v>206</v>
      </c>
      <c r="C3606" s="12" t="s">
        <v>558</v>
      </c>
      <c r="D3606" s="12" t="s">
        <v>5438</v>
      </c>
      <c r="E3606" s="12" t="s">
        <v>2978</v>
      </c>
      <c r="F3606" s="12" t="s">
        <v>1862</v>
      </c>
      <c r="G3606" s="12" t="s">
        <v>1862</v>
      </c>
      <c r="H3606" s="12" t="b">
        <v>1</v>
      </c>
      <c r="I3606" s="12" t="b">
        <v>0</v>
      </c>
      <c r="J3606" s="12" t="b">
        <v>0</v>
      </c>
      <c r="K3606" s="12" t="b">
        <v>0</v>
      </c>
      <c r="L3606" s="12">
        <v>403.92440006100321</v>
      </c>
      <c r="M3606" s="12">
        <v>288.95913968395593</v>
      </c>
      <c r="N3606" s="12">
        <v>3901.007902164763</v>
      </c>
      <c r="O3606" s="12">
        <v>400</v>
      </c>
      <c r="P3606" s="12">
        <v>0.84391066407082571</v>
      </c>
      <c r="Q3606" s="12">
        <v>0.73763057379763808</v>
      </c>
      <c r="R3606" s="12">
        <v>0.59170760135861888</v>
      </c>
      <c r="S3606" s="12">
        <v>0.66846344965508142</v>
      </c>
      <c r="T3606" s="12">
        <v>0.44053723360021668</v>
      </c>
      <c r="U3606" s="12">
        <v>0.84802153020973037</v>
      </c>
      <c r="V3606" s="12">
        <v>288.95913968395593</v>
      </c>
      <c r="W3606" s="12">
        <v>-142.34583467464549</v>
      </c>
      <c r="X3606" s="12">
        <v>-160.5694861785241</v>
      </c>
      <c r="Y3606" s="12">
        <v>3501.007902164763</v>
      </c>
      <c r="Z3606" s="12">
        <v>9.7525197554119085</v>
      </c>
      <c r="AA3606" s="12" t="s">
        <v>2513</v>
      </c>
      <c r="AB3606" s="12"/>
    </row>
    <row r="3607" spans="1:28" x14ac:dyDescent="0.3">
      <c r="A3607" s="12" t="s">
        <v>5532</v>
      </c>
      <c r="B3607" s="12" t="s">
        <v>206</v>
      </c>
      <c r="C3607" s="12" t="s">
        <v>558</v>
      </c>
      <c r="D3607" s="12" t="s">
        <v>5438</v>
      </c>
      <c r="E3607" s="12" t="s">
        <v>2978</v>
      </c>
      <c r="F3607" s="12" t="s">
        <v>1862</v>
      </c>
      <c r="G3607" s="12" t="s">
        <v>1862</v>
      </c>
      <c r="H3607" s="12" t="b">
        <v>1</v>
      </c>
      <c r="I3607" s="12" t="b">
        <v>0</v>
      </c>
      <c r="J3607" s="12" t="b">
        <v>0</v>
      </c>
      <c r="K3607" s="12" t="b">
        <v>0</v>
      </c>
      <c r="L3607" s="12">
        <v>493.36901741519341</v>
      </c>
      <c r="M3607" s="12">
        <v>301.32970731046521</v>
      </c>
      <c r="N3607" s="12">
        <v>2271.5184494239838</v>
      </c>
      <c r="O3607" s="12">
        <v>400</v>
      </c>
      <c r="P3607" s="12">
        <v>0.81560270186266415</v>
      </c>
      <c r="Q3607" s="12">
        <v>0.6359053030531443</v>
      </c>
      <c r="R3607" s="12">
        <v>0.6413915045963261</v>
      </c>
      <c r="S3607" s="12">
        <v>0.57674966976841557</v>
      </c>
      <c r="T3607" s="12">
        <v>0.85571674381819773</v>
      </c>
      <c r="U3607" s="12">
        <v>0.92123686930796123</v>
      </c>
      <c r="V3607" s="12">
        <v>301.32970731046521</v>
      </c>
      <c r="W3607" s="12">
        <v>-19.751513327200922</v>
      </c>
      <c r="X3607" s="12">
        <v>-96.916556749857122</v>
      </c>
      <c r="Y3607" s="12">
        <v>1871.5184494239841</v>
      </c>
      <c r="Z3607" s="12">
        <v>5.6787961235599598</v>
      </c>
      <c r="AA3607" s="12" t="s">
        <v>2513</v>
      </c>
      <c r="AB3607" s="12"/>
    </row>
    <row r="3608" spans="1:28" x14ac:dyDescent="0.3">
      <c r="A3608" s="12" t="s">
        <v>5533</v>
      </c>
      <c r="B3608" s="12" t="s">
        <v>206</v>
      </c>
      <c r="C3608" s="12" t="s">
        <v>558</v>
      </c>
      <c r="D3608" s="12" t="s">
        <v>5438</v>
      </c>
      <c r="E3608" s="12" t="s">
        <v>2978</v>
      </c>
      <c r="F3608" s="12" t="s">
        <v>1862</v>
      </c>
      <c r="G3608" s="12" t="s">
        <v>1862</v>
      </c>
      <c r="H3608" s="12" t="b">
        <v>1</v>
      </c>
      <c r="I3608" s="12" t="b">
        <v>0</v>
      </c>
      <c r="J3608" s="12" t="b">
        <v>0</v>
      </c>
      <c r="K3608" s="12" t="b">
        <v>0</v>
      </c>
      <c r="L3608" s="12">
        <v>386.76171952020479</v>
      </c>
      <c r="M3608" s="12">
        <v>284.37472582246431</v>
      </c>
      <c r="N3608" s="12">
        <v>3389.083384084056</v>
      </c>
      <c r="O3608" s="12">
        <v>400</v>
      </c>
      <c r="P3608" s="12">
        <v>0.65100098938592565</v>
      </c>
      <c r="Q3608" s="12">
        <v>0.41051777775474108</v>
      </c>
      <c r="R3608" s="12">
        <v>0.61837405328254813</v>
      </c>
      <c r="S3608" s="12">
        <v>0.5687775411340199</v>
      </c>
      <c r="T3608" s="12">
        <v>0.52690531626564974</v>
      </c>
      <c r="U3608" s="12">
        <v>0.44911651755574039</v>
      </c>
      <c r="V3608" s="12">
        <v>284.37472582246431</v>
      </c>
      <c r="W3608" s="12">
        <v>-16.635491781868101</v>
      </c>
      <c r="X3608" s="12">
        <v>-35.806092293795423</v>
      </c>
      <c r="Y3608" s="12">
        <v>2989.083384084056</v>
      </c>
      <c r="Z3608" s="12">
        <v>8.4727084602101392</v>
      </c>
      <c r="AA3608" s="12" t="s">
        <v>2513</v>
      </c>
      <c r="AB3608" s="12"/>
    </row>
    <row r="3609" spans="1:28" x14ac:dyDescent="0.3">
      <c r="A3609" s="12" t="s">
        <v>5534</v>
      </c>
      <c r="B3609" s="12" t="s">
        <v>206</v>
      </c>
      <c r="C3609" s="12" t="s">
        <v>558</v>
      </c>
      <c r="D3609" s="12" t="s">
        <v>5438</v>
      </c>
      <c r="E3609" s="12" t="s">
        <v>2978</v>
      </c>
      <c r="F3609" s="12" t="s">
        <v>1862</v>
      </c>
      <c r="G3609" s="12" t="s">
        <v>1862</v>
      </c>
      <c r="H3609" s="12" t="b">
        <v>1</v>
      </c>
      <c r="I3609" s="12" t="b">
        <v>0</v>
      </c>
      <c r="J3609" s="12" t="b">
        <v>0</v>
      </c>
      <c r="K3609" s="12" t="b">
        <v>0</v>
      </c>
      <c r="L3609" s="12">
        <v>398.89809182803168</v>
      </c>
      <c r="M3609" s="12">
        <v>297.72209294443792</v>
      </c>
      <c r="N3609" s="12">
        <v>4170.1237734672268</v>
      </c>
      <c r="O3609" s="12">
        <v>400</v>
      </c>
      <c r="P3609" s="12">
        <v>0.74046020477323271</v>
      </c>
      <c r="Q3609" s="12">
        <v>0.62066910303483969</v>
      </c>
      <c r="R3609" s="12">
        <v>0.92628897141236999</v>
      </c>
      <c r="S3609" s="12">
        <v>0.74588972895160466</v>
      </c>
      <c r="T3609" s="12">
        <v>0.60886559457157852</v>
      </c>
      <c r="U3609" s="12">
        <v>0.70793474048902705</v>
      </c>
      <c r="V3609" s="12">
        <v>297.72209294443792</v>
      </c>
      <c r="W3609" s="12">
        <v>-62.897714553385157</v>
      </c>
      <c r="X3609" s="12">
        <v>-73.545718464124533</v>
      </c>
      <c r="Y3609" s="12">
        <v>3770.1237734672268</v>
      </c>
      <c r="Z3609" s="12">
        <v>10.425309433668071</v>
      </c>
      <c r="AA3609" s="12" t="s">
        <v>2513</v>
      </c>
      <c r="AB3609" s="12"/>
    </row>
    <row r="3610" spans="1:28" x14ac:dyDescent="0.3">
      <c r="A3610" s="12" t="s">
        <v>5535</v>
      </c>
      <c r="B3610" s="12" t="s">
        <v>206</v>
      </c>
      <c r="C3610" s="12" t="s">
        <v>558</v>
      </c>
      <c r="D3610" s="12" t="s">
        <v>5438</v>
      </c>
      <c r="E3610" s="12" t="s">
        <v>2978</v>
      </c>
      <c r="F3610" s="12" t="s">
        <v>1862</v>
      </c>
      <c r="G3610" s="12" t="s">
        <v>1862</v>
      </c>
      <c r="H3610" s="12" t="b">
        <v>1</v>
      </c>
      <c r="I3610" s="12" t="b">
        <v>0</v>
      </c>
      <c r="J3610" s="12" t="b">
        <v>0</v>
      </c>
      <c r="K3610" s="12" t="b">
        <v>0</v>
      </c>
      <c r="L3610" s="12">
        <v>403.69615208452097</v>
      </c>
      <c r="M3610" s="12">
        <v>287.37475483715912</v>
      </c>
      <c r="N3610" s="12">
        <v>3216.0117477733502</v>
      </c>
      <c r="O3610" s="12">
        <v>400</v>
      </c>
      <c r="P3610" s="12">
        <v>0.81996760942995761</v>
      </c>
      <c r="Q3610" s="12">
        <v>0.52586328232623591</v>
      </c>
      <c r="R3610" s="12">
        <v>0.53286074405122408</v>
      </c>
      <c r="S3610" s="12">
        <v>0.93576530746256581</v>
      </c>
      <c r="T3610" s="12">
        <v>0.64558936786644194</v>
      </c>
      <c r="U3610" s="12">
        <v>0.54593613862320645</v>
      </c>
      <c r="V3610" s="12">
        <v>287.37475483715912</v>
      </c>
      <c r="W3610" s="12">
        <v>-427.6562404608033</v>
      </c>
      <c r="X3610" s="12">
        <v>-256.5309292373388</v>
      </c>
      <c r="Y3610" s="12">
        <v>2816.0117477733502</v>
      </c>
      <c r="Z3610" s="12">
        <v>8.0400293694333751</v>
      </c>
      <c r="AA3610" s="12" t="s">
        <v>2513</v>
      </c>
      <c r="AB3610" s="12"/>
    </row>
    <row r="3611" spans="1:28" x14ac:dyDescent="0.3">
      <c r="A3611" s="12" t="s">
        <v>5536</v>
      </c>
      <c r="B3611" s="12" t="s">
        <v>206</v>
      </c>
      <c r="C3611" s="12" t="s">
        <v>558</v>
      </c>
      <c r="D3611" s="12" t="s">
        <v>5438</v>
      </c>
      <c r="E3611" s="12" t="s">
        <v>2978</v>
      </c>
      <c r="F3611" s="12" t="s">
        <v>1862</v>
      </c>
      <c r="G3611" s="12" t="s">
        <v>1862</v>
      </c>
      <c r="H3611" s="12" t="b">
        <v>1</v>
      </c>
      <c r="I3611" s="12" t="b">
        <v>0</v>
      </c>
      <c r="J3611" s="12" t="b">
        <v>1</v>
      </c>
      <c r="K3611" s="12" t="b">
        <v>0</v>
      </c>
      <c r="L3611" s="12">
        <v>451.90329798210132</v>
      </c>
      <c r="M3611" s="12">
        <v>294.74842550456339</v>
      </c>
      <c r="N3611" s="12">
        <v>4531.0181263499926</v>
      </c>
      <c r="O3611" s="12">
        <v>400</v>
      </c>
      <c r="P3611" s="12">
        <v>0.55673033926881499</v>
      </c>
      <c r="Q3611" s="12">
        <v>0.42276041526049618</v>
      </c>
      <c r="R3611" s="12">
        <v>0.81287272807787248</v>
      </c>
      <c r="S3611" s="12">
        <v>0.72010227884740496</v>
      </c>
      <c r="T3611" s="12">
        <v>0.66571194980573056</v>
      </c>
      <c r="U3611" s="12">
        <v>0.52552029456145277</v>
      </c>
      <c r="V3611" s="12">
        <v>294.74842550456339</v>
      </c>
      <c r="W3611" s="12">
        <v>-4.4133725470275698</v>
      </c>
      <c r="X3611" s="12">
        <v>-22.53892778885627</v>
      </c>
      <c r="Y3611" s="12">
        <v>4131.0181263499926</v>
      </c>
      <c r="Z3611" s="12">
        <v>11.32754531587498</v>
      </c>
      <c r="AA3611" s="12" t="s">
        <v>2513</v>
      </c>
      <c r="AB3611" s="12"/>
    </row>
    <row r="3612" spans="1:28" x14ac:dyDescent="0.3">
      <c r="A3612" s="12" t="s">
        <v>5537</v>
      </c>
      <c r="B3612" s="12" t="s">
        <v>206</v>
      </c>
      <c r="C3612" s="12" t="s">
        <v>568</v>
      </c>
      <c r="D3612" s="12" t="s">
        <v>5538</v>
      </c>
      <c r="E3612" s="12" t="s">
        <v>2978</v>
      </c>
      <c r="F3612" s="12" t="s">
        <v>832</v>
      </c>
      <c r="G3612" s="12" t="s">
        <v>832</v>
      </c>
      <c r="H3612" s="12" t="b">
        <v>0</v>
      </c>
      <c r="I3612" s="12" t="b">
        <v>0</v>
      </c>
      <c r="J3612" s="12" t="b">
        <v>0</v>
      </c>
      <c r="K3612" s="12" t="b">
        <v>0</v>
      </c>
      <c r="L3612" s="12">
        <v>498.49664016520671</v>
      </c>
      <c r="M3612" s="12">
        <v>300.032917</v>
      </c>
      <c r="N3612" s="12">
        <v>3636.1587327394732</v>
      </c>
      <c r="O3612" s="12">
        <v>1770.4490393887261</v>
      </c>
      <c r="P3612" s="12">
        <v>0.78365035943197237</v>
      </c>
      <c r="Q3612" s="12">
        <v>0.8914701727789931</v>
      </c>
      <c r="R3612" s="12">
        <v>0.4877063350776823</v>
      </c>
      <c r="S3612" s="12">
        <v>0.73849466375459261</v>
      </c>
      <c r="T3612" s="12">
        <v>0.73802014481249456</v>
      </c>
      <c r="U3612" s="12">
        <v>0.64717235858174837</v>
      </c>
      <c r="V3612" s="12">
        <v>300.032917</v>
      </c>
      <c r="W3612" s="12"/>
      <c r="X3612" s="12"/>
      <c r="Y3612" s="12">
        <v>1865.7096933507471</v>
      </c>
      <c r="Z3612" s="12">
        <v>2.0538059282377938</v>
      </c>
      <c r="AA3612" s="12"/>
      <c r="AB3612" s="12"/>
    </row>
    <row r="3613" spans="1:28" x14ac:dyDescent="0.3">
      <c r="A3613" s="12" t="s">
        <v>5539</v>
      </c>
      <c r="B3613" s="12" t="s">
        <v>206</v>
      </c>
      <c r="C3613" s="12" t="s">
        <v>568</v>
      </c>
      <c r="D3613" s="12" t="s">
        <v>5538</v>
      </c>
      <c r="E3613" s="12" t="s">
        <v>2978</v>
      </c>
      <c r="F3613" s="12" t="s">
        <v>1862</v>
      </c>
      <c r="G3613" s="12" t="s">
        <v>1862</v>
      </c>
      <c r="H3613" s="12" t="b">
        <v>1</v>
      </c>
      <c r="I3613" s="12" t="b">
        <v>0</v>
      </c>
      <c r="J3613" s="12" t="b">
        <v>1</v>
      </c>
      <c r="K3613" s="12" t="b">
        <v>0</v>
      </c>
      <c r="L3613" s="12">
        <v>446.54537955925542</v>
      </c>
      <c r="M3613" s="12">
        <v>300.032917</v>
      </c>
      <c r="N3613" s="12">
        <v>2444.5500050029382</v>
      </c>
      <c r="O3613" s="12">
        <v>993.95720667687442</v>
      </c>
      <c r="P3613" s="12">
        <v>0.59513389046079701</v>
      </c>
      <c r="Q3613" s="12">
        <v>0.80646196213172838</v>
      </c>
      <c r="R3613" s="12">
        <v>0.4240293193654755</v>
      </c>
      <c r="S3613" s="12">
        <v>0.85719961983932835</v>
      </c>
      <c r="T3613" s="12">
        <v>0.61820513275073774</v>
      </c>
      <c r="U3613" s="12">
        <v>0.44727790477492052</v>
      </c>
      <c r="V3613" s="12">
        <v>300.032917</v>
      </c>
      <c r="W3613" s="12">
        <v>-7.8908751263705401</v>
      </c>
      <c r="X3613" s="12">
        <v>-54.264537335538478</v>
      </c>
      <c r="Y3613" s="12">
        <v>1450.592798326064</v>
      </c>
      <c r="Z3613" s="12">
        <v>2.459411721733848</v>
      </c>
      <c r="AA3613" s="12" t="s">
        <v>2513</v>
      </c>
      <c r="AB3613" s="12"/>
    </row>
    <row r="3614" spans="1:28" x14ac:dyDescent="0.3">
      <c r="A3614" s="12" t="s">
        <v>5540</v>
      </c>
      <c r="B3614" s="12" t="s">
        <v>206</v>
      </c>
      <c r="C3614" s="12" t="s">
        <v>568</v>
      </c>
      <c r="D3614" s="12" t="s">
        <v>5538</v>
      </c>
      <c r="E3614" s="12" t="s">
        <v>2978</v>
      </c>
      <c r="F3614" s="12" t="s">
        <v>1861</v>
      </c>
      <c r="G3614" s="12" t="s">
        <v>1861</v>
      </c>
      <c r="H3614" s="12" t="b">
        <v>1</v>
      </c>
      <c r="I3614" s="12" t="b">
        <v>0</v>
      </c>
      <c r="J3614" s="12" t="b">
        <v>0</v>
      </c>
      <c r="K3614" s="12" t="b">
        <v>0</v>
      </c>
      <c r="L3614" s="12">
        <v>450.89714022153117</v>
      </c>
      <c r="M3614" s="12">
        <v>300.032917</v>
      </c>
      <c r="N3614" s="12">
        <v>4122.9445775824861</v>
      </c>
      <c r="O3614" s="12">
        <v>1291.4063128037481</v>
      </c>
      <c r="P3614" s="12">
        <v>0.82861646714897552</v>
      </c>
      <c r="Q3614" s="12">
        <v>0.53325275157335772</v>
      </c>
      <c r="R3614" s="12">
        <v>0.5353892687090499</v>
      </c>
      <c r="S3614" s="12">
        <v>0.41500431097001161</v>
      </c>
      <c r="T3614" s="12">
        <v>0.48755249289064312</v>
      </c>
      <c r="U3614" s="12">
        <v>0.69100143219230714</v>
      </c>
      <c r="V3614" s="12">
        <v>300.032917</v>
      </c>
      <c r="W3614" s="12">
        <v>2.6704367352006799</v>
      </c>
      <c r="X3614" s="12">
        <v>16.150649175433831</v>
      </c>
      <c r="Y3614" s="12">
        <v>2831.5382647787378</v>
      </c>
      <c r="Z3614" s="12">
        <v>3.19260060656761</v>
      </c>
      <c r="AA3614" s="12" t="s">
        <v>1268</v>
      </c>
      <c r="AB3614" s="12"/>
    </row>
    <row r="3615" spans="1:28" x14ac:dyDescent="0.3">
      <c r="A3615" s="12" t="s">
        <v>5541</v>
      </c>
      <c r="B3615" s="12" t="s">
        <v>206</v>
      </c>
      <c r="C3615" s="12" t="s">
        <v>568</v>
      </c>
      <c r="D3615" s="12" t="s">
        <v>5538</v>
      </c>
      <c r="E3615" s="12" t="s">
        <v>2978</v>
      </c>
      <c r="F3615" s="12" t="s">
        <v>32</v>
      </c>
      <c r="G3615" s="12" t="s">
        <v>32</v>
      </c>
      <c r="H3615" s="12" t="b">
        <v>1</v>
      </c>
      <c r="I3615" s="12" t="b">
        <v>1</v>
      </c>
      <c r="J3615" s="12" t="b">
        <v>0</v>
      </c>
      <c r="K3615" s="12" t="b">
        <v>0</v>
      </c>
      <c r="L3615" s="12">
        <v>415.43391114034881</v>
      </c>
      <c r="M3615" s="12">
        <v>300.032917</v>
      </c>
      <c r="N3615" s="12">
        <v>4852.0824115249379</v>
      </c>
      <c r="O3615" s="12">
        <v>1140.1084129767969</v>
      </c>
      <c r="P3615" s="12">
        <v>0.57490749852558354</v>
      </c>
      <c r="Q3615" s="12">
        <v>0.47996605248070978</v>
      </c>
      <c r="R3615" s="12">
        <v>0.81094488513216467</v>
      </c>
      <c r="S3615" s="12">
        <v>0.81758209397870685</v>
      </c>
      <c r="T3615" s="12">
        <v>0.80106858426431282</v>
      </c>
      <c r="U3615" s="12">
        <v>0.74921849393359996</v>
      </c>
      <c r="V3615" s="12">
        <v>300.032917</v>
      </c>
      <c r="W3615" s="12">
        <v>3.18603751925599</v>
      </c>
      <c r="X3615" s="12">
        <v>9.1196378784712486</v>
      </c>
      <c r="Y3615" s="12">
        <v>3711.973998548141</v>
      </c>
      <c r="Z3615" s="12">
        <v>4.2558079181753081</v>
      </c>
      <c r="AA3615" s="12"/>
      <c r="AB3615" s="12"/>
    </row>
    <row r="3616" spans="1:28" x14ac:dyDescent="0.3">
      <c r="A3616" s="12" t="s">
        <v>5542</v>
      </c>
      <c r="B3616" s="12" t="s">
        <v>206</v>
      </c>
      <c r="C3616" s="12" t="s">
        <v>568</v>
      </c>
      <c r="D3616" s="12" t="s">
        <v>5538</v>
      </c>
      <c r="E3616" s="12" t="s">
        <v>2978</v>
      </c>
      <c r="F3616" s="12" t="s">
        <v>1861</v>
      </c>
      <c r="G3616" s="12" t="s">
        <v>1861</v>
      </c>
      <c r="H3616" s="12" t="b">
        <v>1</v>
      </c>
      <c r="I3616" s="12" t="b">
        <v>0</v>
      </c>
      <c r="J3616" s="12" t="b">
        <v>1</v>
      </c>
      <c r="K3616" s="12" t="b">
        <v>0</v>
      </c>
      <c r="L3616" s="12">
        <v>491.01779924087498</v>
      </c>
      <c r="M3616" s="12">
        <v>300.032917</v>
      </c>
      <c r="N3616" s="12">
        <v>3440.4767365313678</v>
      </c>
      <c r="O3616" s="12">
        <v>1623.6795826532029</v>
      </c>
      <c r="P3616" s="12">
        <v>0.64418323611832684</v>
      </c>
      <c r="Q3616" s="12">
        <v>0.93730914126190679</v>
      </c>
      <c r="R3616" s="12">
        <v>0.79330407519434498</v>
      </c>
      <c r="S3616" s="12">
        <v>0.85492387818339921</v>
      </c>
      <c r="T3616" s="12">
        <v>0.42999208948756629</v>
      </c>
      <c r="U3616" s="12">
        <v>0.60624598095266213</v>
      </c>
      <c r="V3616" s="12">
        <v>300.032917</v>
      </c>
      <c r="W3616" s="12">
        <v>5.70201121289253</v>
      </c>
      <c r="X3616" s="12">
        <v>68.305157130308459</v>
      </c>
      <c r="Y3616" s="12">
        <v>1816.7971538781651</v>
      </c>
      <c r="Z3616" s="12">
        <v>2.1189382272759718</v>
      </c>
      <c r="AA3616" s="12" t="s">
        <v>1268</v>
      </c>
      <c r="AB3616" s="12"/>
    </row>
    <row r="3617" spans="1:28" x14ac:dyDescent="0.3">
      <c r="A3617" s="12" t="s">
        <v>5543</v>
      </c>
      <c r="B3617" s="12" t="s">
        <v>206</v>
      </c>
      <c r="C3617" s="12" t="s">
        <v>558</v>
      </c>
      <c r="D3617" s="12" t="s">
        <v>5438</v>
      </c>
      <c r="E3617" s="12" t="s">
        <v>2978</v>
      </c>
      <c r="F3617" s="12" t="s">
        <v>1862</v>
      </c>
      <c r="G3617" s="12" t="s">
        <v>1862</v>
      </c>
      <c r="H3617" s="12" t="b">
        <v>1</v>
      </c>
      <c r="I3617" s="12" t="b">
        <v>0</v>
      </c>
      <c r="J3617" s="12" t="b">
        <v>1</v>
      </c>
      <c r="K3617" s="12" t="b">
        <v>0</v>
      </c>
      <c r="L3617" s="12">
        <v>475.43698728098462</v>
      </c>
      <c r="M3617" s="12">
        <v>299.28215380763112</v>
      </c>
      <c r="N3617" s="12">
        <v>4274.7436063245659</v>
      </c>
      <c r="O3617" s="12">
        <v>400</v>
      </c>
      <c r="P3617" s="12">
        <v>0.76323325060094205</v>
      </c>
      <c r="Q3617" s="12">
        <v>0.4555803138758634</v>
      </c>
      <c r="R3617" s="12">
        <v>0.71103535386308692</v>
      </c>
      <c r="S3617" s="12">
        <v>0.48845518265721283</v>
      </c>
      <c r="T3617" s="12">
        <v>0.71178091527020881</v>
      </c>
      <c r="U3617" s="12">
        <v>0.49113729759463948</v>
      </c>
      <c r="V3617" s="12">
        <v>299.28215380763112</v>
      </c>
      <c r="W3617" s="12">
        <v>-120.24533870426509</v>
      </c>
      <c r="X3617" s="12">
        <v>-251.7705555406292</v>
      </c>
      <c r="Y3617" s="12">
        <v>3874.7436063245659</v>
      </c>
      <c r="Z3617" s="12">
        <v>10.68685901581142</v>
      </c>
      <c r="AA3617" s="12" t="s">
        <v>2513</v>
      </c>
      <c r="AB3617" s="12"/>
    </row>
    <row r="3618" spans="1:28" x14ac:dyDescent="0.3">
      <c r="A3618" s="12" t="s">
        <v>5544</v>
      </c>
      <c r="B3618" s="12" t="s">
        <v>206</v>
      </c>
      <c r="C3618" s="12" t="s">
        <v>568</v>
      </c>
      <c r="D3618" s="12" t="s">
        <v>5538</v>
      </c>
      <c r="E3618" s="12" t="s">
        <v>2978</v>
      </c>
      <c r="F3618" s="12" t="s">
        <v>32</v>
      </c>
      <c r="G3618" s="12" t="s">
        <v>32</v>
      </c>
      <c r="H3618" s="12" t="b">
        <v>1</v>
      </c>
      <c r="I3618" s="12" t="b">
        <v>0</v>
      </c>
      <c r="J3618" s="12" t="b">
        <v>1</v>
      </c>
      <c r="K3618" s="12" t="b">
        <v>0</v>
      </c>
      <c r="L3618" s="12">
        <v>424.10676847936708</v>
      </c>
      <c r="M3618" s="12">
        <v>300.032917</v>
      </c>
      <c r="N3618" s="12">
        <v>3031.9292166302139</v>
      </c>
      <c r="O3618" s="12">
        <v>1364.643778895836</v>
      </c>
      <c r="P3618" s="12">
        <v>0.51312227267019406</v>
      </c>
      <c r="Q3618" s="12">
        <v>0.69118731051874394</v>
      </c>
      <c r="R3618" s="12">
        <v>0.40022813433245719</v>
      </c>
      <c r="S3618" s="12">
        <v>0.92258656813102236</v>
      </c>
      <c r="T3618" s="12">
        <v>0.87720485212651478</v>
      </c>
      <c r="U3618" s="12">
        <v>0.93005957038079179</v>
      </c>
      <c r="V3618" s="12">
        <v>300.032917</v>
      </c>
      <c r="W3618" s="12">
        <v>4.1328413744785104</v>
      </c>
      <c r="X3618" s="12">
        <v>25.748267022355009</v>
      </c>
      <c r="Y3618" s="12">
        <v>1667.2854377343781</v>
      </c>
      <c r="Z3618" s="12">
        <v>2.2217733767001211</v>
      </c>
      <c r="AA3618" s="12"/>
      <c r="AB3618" s="12"/>
    </row>
    <row r="3619" spans="1:28" x14ac:dyDescent="0.3">
      <c r="A3619" s="12" t="s">
        <v>5545</v>
      </c>
      <c r="B3619" s="12" t="s">
        <v>206</v>
      </c>
      <c r="C3619" s="12" t="s">
        <v>568</v>
      </c>
      <c r="D3619" s="12" t="s">
        <v>5538</v>
      </c>
      <c r="E3619" s="12" t="s">
        <v>2978</v>
      </c>
      <c r="F3619" s="12" t="s">
        <v>32</v>
      </c>
      <c r="G3619" s="12" t="s">
        <v>32</v>
      </c>
      <c r="H3619" s="12" t="b">
        <v>1</v>
      </c>
      <c r="I3619" s="12" t="b">
        <v>1</v>
      </c>
      <c r="J3619" s="12" t="b">
        <v>0</v>
      </c>
      <c r="K3619" s="12" t="b">
        <v>0</v>
      </c>
      <c r="L3619" s="12">
        <v>418.41429418282507</v>
      </c>
      <c r="M3619" s="12">
        <v>300.032917</v>
      </c>
      <c r="N3619" s="12">
        <v>4819.2376710023073</v>
      </c>
      <c r="O3619" s="12">
        <v>1285.732391221921</v>
      </c>
      <c r="P3619" s="12">
        <v>0.6940470738432265</v>
      </c>
      <c r="Q3619" s="12">
        <v>0.81805695850398874</v>
      </c>
      <c r="R3619" s="12">
        <v>0.53779687977204471</v>
      </c>
      <c r="S3619" s="12">
        <v>0.77835280766944326</v>
      </c>
      <c r="T3619" s="12">
        <v>0.43561757741673518</v>
      </c>
      <c r="U3619" s="12">
        <v>0.89915836336807531</v>
      </c>
      <c r="V3619" s="12">
        <v>300.032917</v>
      </c>
      <c r="W3619" s="12">
        <v>7.3658055365316901</v>
      </c>
      <c r="X3619" s="12">
        <v>48.612324680456197</v>
      </c>
      <c r="Y3619" s="12">
        <v>3533.505279780386</v>
      </c>
      <c r="Z3619" s="12">
        <v>3.7482431833441239</v>
      </c>
      <c r="AA3619" s="12"/>
      <c r="AB3619" s="12"/>
    </row>
    <row r="3620" spans="1:28" x14ac:dyDescent="0.3">
      <c r="A3620" s="12" t="s">
        <v>5546</v>
      </c>
      <c r="B3620" s="12" t="s">
        <v>206</v>
      </c>
      <c r="C3620" s="12" t="s">
        <v>568</v>
      </c>
      <c r="D3620" s="12" t="s">
        <v>5538</v>
      </c>
      <c r="E3620" s="12" t="s">
        <v>2978</v>
      </c>
      <c r="F3620" s="12" t="s">
        <v>1861</v>
      </c>
      <c r="G3620" s="12" t="s">
        <v>1861</v>
      </c>
      <c r="H3620" s="12" t="b">
        <v>1</v>
      </c>
      <c r="I3620" s="12" t="b">
        <v>0</v>
      </c>
      <c r="J3620" s="12" t="b">
        <v>0</v>
      </c>
      <c r="K3620" s="12" t="b">
        <v>0</v>
      </c>
      <c r="L3620" s="12">
        <v>430.95629504300609</v>
      </c>
      <c r="M3620" s="12">
        <v>300.032917</v>
      </c>
      <c r="N3620" s="12">
        <v>3235.7287641959929</v>
      </c>
      <c r="O3620" s="12">
        <v>607.14606758153639</v>
      </c>
      <c r="P3620" s="12">
        <v>0.56582034510792678</v>
      </c>
      <c r="Q3620" s="12">
        <v>0.87602439933100662</v>
      </c>
      <c r="R3620" s="12">
        <v>0.52570334089969017</v>
      </c>
      <c r="S3620" s="12">
        <v>0.72845970261977488</v>
      </c>
      <c r="T3620" s="12">
        <v>0.87962635016117163</v>
      </c>
      <c r="U3620" s="12">
        <v>0.54824801004913715</v>
      </c>
      <c r="V3620" s="12">
        <v>300.032917</v>
      </c>
      <c r="W3620" s="12">
        <v>5.0865733034237204</v>
      </c>
      <c r="X3620" s="12">
        <v>24.744173271741889</v>
      </c>
      <c r="Y3620" s="12">
        <v>2628.5826966144559</v>
      </c>
      <c r="Z3620" s="12">
        <v>5.3294074308756887</v>
      </c>
      <c r="AA3620" s="12" t="s">
        <v>1268</v>
      </c>
      <c r="AB3620" s="12"/>
    </row>
    <row r="3621" spans="1:28" x14ac:dyDescent="0.3">
      <c r="A3621" s="12" t="s">
        <v>5547</v>
      </c>
      <c r="B3621" s="12" t="s">
        <v>206</v>
      </c>
      <c r="C3621" s="12" t="s">
        <v>568</v>
      </c>
      <c r="D3621" s="12" t="s">
        <v>5538</v>
      </c>
      <c r="E3621" s="12" t="s">
        <v>2978</v>
      </c>
      <c r="F3621" s="12" t="s">
        <v>1861</v>
      </c>
      <c r="G3621" s="12" t="s">
        <v>1861</v>
      </c>
      <c r="H3621" s="12" t="b">
        <v>1</v>
      </c>
      <c r="I3621" s="12" t="b">
        <v>0</v>
      </c>
      <c r="J3621" s="12" t="b">
        <v>1</v>
      </c>
      <c r="K3621" s="12" t="b">
        <v>0</v>
      </c>
      <c r="L3621" s="12">
        <v>460.00829810680892</v>
      </c>
      <c r="M3621" s="12">
        <v>300.032917</v>
      </c>
      <c r="N3621" s="12">
        <v>3674.1532415600032</v>
      </c>
      <c r="O3621" s="12">
        <v>1184.1929017826651</v>
      </c>
      <c r="P3621" s="12">
        <v>0.6283217460570073</v>
      </c>
      <c r="Q3621" s="12">
        <v>0.64588871595437802</v>
      </c>
      <c r="R3621" s="12">
        <v>0.88065866835758388</v>
      </c>
      <c r="S3621" s="12">
        <v>0.71468252450719016</v>
      </c>
      <c r="T3621" s="12">
        <v>0.72001123188777272</v>
      </c>
      <c r="U3621" s="12">
        <v>0.75915913243963762</v>
      </c>
      <c r="V3621" s="12">
        <v>300.032917</v>
      </c>
      <c r="W3621" s="12">
        <v>6.5299897840955898</v>
      </c>
      <c r="X3621" s="12">
        <v>67.873891283877555</v>
      </c>
      <c r="Y3621" s="12">
        <v>2489.960339777338</v>
      </c>
      <c r="Z3621" s="12">
        <v>3.1026644696391878</v>
      </c>
      <c r="AA3621" s="12" t="s">
        <v>1268</v>
      </c>
      <c r="AB3621" s="12"/>
    </row>
    <row r="3622" spans="1:28" x14ac:dyDescent="0.3">
      <c r="A3622" s="12" t="s">
        <v>5548</v>
      </c>
      <c r="B3622" s="12" t="s">
        <v>206</v>
      </c>
      <c r="C3622" s="12" t="s">
        <v>568</v>
      </c>
      <c r="D3622" s="12" t="s">
        <v>5538</v>
      </c>
      <c r="E3622" s="12" t="s">
        <v>2978</v>
      </c>
      <c r="F3622" s="12" t="s">
        <v>1861</v>
      </c>
      <c r="G3622" s="12" t="s">
        <v>1861</v>
      </c>
      <c r="H3622" s="12" t="b">
        <v>1</v>
      </c>
      <c r="I3622" s="12" t="b">
        <v>0</v>
      </c>
      <c r="J3622" s="12" t="b">
        <v>1</v>
      </c>
      <c r="K3622" s="12" t="b">
        <v>0</v>
      </c>
      <c r="L3622" s="12">
        <v>489.87360835792992</v>
      </c>
      <c r="M3622" s="12">
        <v>300.032917</v>
      </c>
      <c r="N3622" s="12">
        <v>2713.4411480434478</v>
      </c>
      <c r="O3622" s="12">
        <v>1579.7840482175011</v>
      </c>
      <c r="P3622" s="12">
        <v>0.77522054697400133</v>
      </c>
      <c r="Q3622" s="12">
        <v>0.63225638354388169</v>
      </c>
      <c r="R3622" s="12">
        <v>0.86194178767160412</v>
      </c>
      <c r="S3622" s="12">
        <v>0.60211672402581118</v>
      </c>
      <c r="T3622" s="12">
        <v>0.88885738281080795</v>
      </c>
      <c r="U3622" s="12">
        <v>0.43651536548345082</v>
      </c>
      <c r="V3622" s="12">
        <v>300.032917</v>
      </c>
      <c r="W3622" s="12">
        <v>1.122944495906E-2</v>
      </c>
      <c r="X3622" s="12">
        <v>7.3531479200560995E-2</v>
      </c>
      <c r="Y3622" s="12">
        <v>1133.6570998259469</v>
      </c>
      <c r="Z3622" s="12">
        <v>1.7176025742917671</v>
      </c>
      <c r="AA3622" s="12" t="s">
        <v>1268</v>
      </c>
      <c r="AB3622" s="12"/>
    </row>
    <row r="3623" spans="1:28" x14ac:dyDescent="0.3">
      <c r="A3623" s="12" t="s">
        <v>5549</v>
      </c>
      <c r="B3623" s="12" t="s">
        <v>206</v>
      </c>
      <c r="C3623" s="12" t="s">
        <v>568</v>
      </c>
      <c r="D3623" s="12" t="s">
        <v>5538</v>
      </c>
      <c r="E3623" s="12" t="s">
        <v>2978</v>
      </c>
      <c r="F3623" s="12" t="s">
        <v>1862</v>
      </c>
      <c r="G3623" s="12" t="s">
        <v>1862</v>
      </c>
      <c r="H3623" s="12" t="b">
        <v>1</v>
      </c>
      <c r="I3623" s="12" t="b">
        <v>0</v>
      </c>
      <c r="J3623" s="12" t="b">
        <v>0</v>
      </c>
      <c r="K3623" s="12" t="b">
        <v>0</v>
      </c>
      <c r="L3623" s="12">
        <v>432.60023883284731</v>
      </c>
      <c r="M3623" s="12">
        <v>300.032917</v>
      </c>
      <c r="N3623" s="12">
        <v>4884.7848446223006</v>
      </c>
      <c r="O3623" s="12">
        <v>363.72507980582861</v>
      </c>
      <c r="P3623" s="12">
        <v>0.54049001547889308</v>
      </c>
      <c r="Q3623" s="12">
        <v>0.40547539735013061</v>
      </c>
      <c r="R3623" s="12">
        <v>0.4763032145448135</v>
      </c>
      <c r="S3623" s="12">
        <v>0.55623378612512342</v>
      </c>
      <c r="T3623" s="12">
        <v>0.72691063572206205</v>
      </c>
      <c r="U3623" s="12">
        <v>0.86955075505083967</v>
      </c>
      <c r="V3623" s="12">
        <v>300.032917</v>
      </c>
      <c r="W3623" s="12">
        <v>-2.2664782823832201</v>
      </c>
      <c r="X3623" s="12">
        <v>-6.4724758277875054</v>
      </c>
      <c r="Y3623" s="12">
        <v>4521.0597648164721</v>
      </c>
      <c r="Z3623" s="12">
        <v>13.4298818416096</v>
      </c>
      <c r="AA3623" s="12" t="s">
        <v>2513</v>
      </c>
      <c r="AB3623" s="12"/>
    </row>
    <row r="3624" spans="1:28" x14ac:dyDescent="0.3">
      <c r="A3624" s="12" t="s">
        <v>5550</v>
      </c>
      <c r="B3624" s="12" t="s">
        <v>206</v>
      </c>
      <c r="C3624" s="12" t="s">
        <v>568</v>
      </c>
      <c r="D3624" s="12" t="s">
        <v>5538</v>
      </c>
      <c r="E3624" s="12" t="s">
        <v>2978</v>
      </c>
      <c r="F3624" s="12" t="s">
        <v>1861</v>
      </c>
      <c r="G3624" s="12" t="s">
        <v>1861</v>
      </c>
      <c r="H3624" s="12" t="b">
        <v>1</v>
      </c>
      <c r="I3624" s="12" t="b">
        <v>0</v>
      </c>
      <c r="J3624" s="12" t="b">
        <v>0</v>
      </c>
      <c r="K3624" s="12" t="b">
        <v>0</v>
      </c>
      <c r="L3624" s="12">
        <v>417.71123218589241</v>
      </c>
      <c r="M3624" s="12">
        <v>300.032917</v>
      </c>
      <c r="N3624" s="12">
        <v>2403.8027020951081</v>
      </c>
      <c r="O3624" s="12">
        <v>1346.3114216699989</v>
      </c>
      <c r="P3624" s="12">
        <v>0.81798559848483143</v>
      </c>
      <c r="Q3624" s="12">
        <v>0.79289178009479333</v>
      </c>
      <c r="R3624" s="12">
        <v>0.47946691060056013</v>
      </c>
      <c r="S3624" s="12">
        <v>0.83141015531504103</v>
      </c>
      <c r="T3624" s="12">
        <v>0.56687893097609232</v>
      </c>
      <c r="U3624" s="12">
        <v>0.77616081062042497</v>
      </c>
      <c r="V3624" s="12">
        <v>300.032917</v>
      </c>
      <c r="W3624" s="12">
        <v>3.5900868496288498</v>
      </c>
      <c r="X3624" s="12">
        <v>37.940247173572189</v>
      </c>
      <c r="Y3624" s="12">
        <v>1057.4912804251089</v>
      </c>
      <c r="Z3624" s="12">
        <v>1.7854730067679061</v>
      </c>
      <c r="AA3624" s="12" t="s">
        <v>1268</v>
      </c>
      <c r="AB3624" s="12"/>
    </row>
    <row r="3625" spans="1:28" x14ac:dyDescent="0.3">
      <c r="A3625" s="12" t="s">
        <v>5551</v>
      </c>
      <c r="B3625" s="12" t="s">
        <v>206</v>
      </c>
      <c r="C3625" s="12" t="s">
        <v>558</v>
      </c>
      <c r="D3625" s="12" t="s">
        <v>5438</v>
      </c>
      <c r="E3625" s="12" t="s">
        <v>2978</v>
      </c>
      <c r="F3625" s="12" t="s">
        <v>832</v>
      </c>
      <c r="G3625" s="12" t="s">
        <v>832</v>
      </c>
      <c r="H3625" s="12" t="b">
        <v>0</v>
      </c>
      <c r="I3625" s="12" t="b">
        <v>0</v>
      </c>
      <c r="J3625" s="12" t="b">
        <v>0</v>
      </c>
      <c r="K3625" s="12" t="b">
        <v>0</v>
      </c>
      <c r="L3625" s="12">
        <v>510.3500375068445</v>
      </c>
      <c r="M3625" s="12">
        <v>298.04924127665299</v>
      </c>
      <c r="N3625" s="12">
        <v>4410.7781145540484</v>
      </c>
      <c r="O3625" s="12">
        <v>400</v>
      </c>
      <c r="P3625" s="12">
        <v>0.84660952377465626</v>
      </c>
      <c r="Q3625" s="12">
        <v>0.72580454328476707</v>
      </c>
      <c r="R3625" s="12">
        <v>0.92243179873681158</v>
      </c>
      <c r="S3625" s="12">
        <v>0.62240972917458992</v>
      </c>
      <c r="T3625" s="12">
        <v>0.80526732065243301</v>
      </c>
      <c r="U3625" s="12">
        <v>0.43188170824086169</v>
      </c>
      <c r="V3625" s="12">
        <v>298.04924127665299</v>
      </c>
      <c r="W3625" s="12"/>
      <c r="X3625" s="12"/>
      <c r="Y3625" s="12">
        <v>4010.778114554048</v>
      </c>
      <c r="Z3625" s="12">
        <v>11.02694528638512</v>
      </c>
      <c r="AA3625" s="12"/>
      <c r="AB3625" s="12"/>
    </row>
    <row r="3626" spans="1:28" x14ac:dyDescent="0.3">
      <c r="A3626" s="12" t="s">
        <v>5552</v>
      </c>
      <c r="B3626" s="12" t="s">
        <v>206</v>
      </c>
      <c r="C3626" s="12" t="s">
        <v>568</v>
      </c>
      <c r="D3626" s="12" t="s">
        <v>5538</v>
      </c>
      <c r="E3626" s="12" t="s">
        <v>2978</v>
      </c>
      <c r="F3626" s="12" t="s">
        <v>1861</v>
      </c>
      <c r="G3626" s="12" t="s">
        <v>1861</v>
      </c>
      <c r="H3626" s="12" t="b">
        <v>1</v>
      </c>
      <c r="I3626" s="12" t="b">
        <v>0</v>
      </c>
      <c r="J3626" s="12" t="b">
        <v>0</v>
      </c>
      <c r="K3626" s="12" t="b">
        <v>0</v>
      </c>
      <c r="L3626" s="12">
        <v>387.14493804288293</v>
      </c>
      <c r="M3626" s="12">
        <v>300.032917</v>
      </c>
      <c r="N3626" s="12">
        <v>2650.0585392348171</v>
      </c>
      <c r="O3626" s="12">
        <v>705.82634294316722</v>
      </c>
      <c r="P3626" s="12">
        <v>0.75942200688167394</v>
      </c>
      <c r="Q3626" s="12">
        <v>0.88533635598864369</v>
      </c>
      <c r="R3626" s="12">
        <v>0.57716043064994893</v>
      </c>
      <c r="S3626" s="12">
        <v>0.69541251982242969</v>
      </c>
      <c r="T3626" s="12">
        <v>0.77020870231356309</v>
      </c>
      <c r="U3626" s="12">
        <v>0.90955753950138196</v>
      </c>
      <c r="V3626" s="12">
        <v>300.032917</v>
      </c>
      <c r="W3626" s="12">
        <v>5.8347423448512599</v>
      </c>
      <c r="X3626" s="12">
        <v>28.007184826550208</v>
      </c>
      <c r="Y3626" s="12">
        <v>1944.2321962916501</v>
      </c>
      <c r="Z3626" s="12">
        <v>3.7545475111973801</v>
      </c>
      <c r="AA3626" s="12" t="s">
        <v>1268</v>
      </c>
      <c r="AB3626" s="12"/>
    </row>
    <row r="3627" spans="1:28" x14ac:dyDescent="0.3">
      <c r="A3627" s="12" t="s">
        <v>5553</v>
      </c>
      <c r="B3627" s="12" t="s">
        <v>206</v>
      </c>
      <c r="C3627" s="12" t="s">
        <v>568</v>
      </c>
      <c r="D3627" s="12" t="s">
        <v>5538</v>
      </c>
      <c r="E3627" s="12" t="s">
        <v>2978</v>
      </c>
      <c r="F3627" s="12" t="s">
        <v>32</v>
      </c>
      <c r="G3627" s="12" t="s">
        <v>32</v>
      </c>
      <c r="H3627" s="12" t="b">
        <v>1</v>
      </c>
      <c r="I3627" s="12" t="b">
        <v>1</v>
      </c>
      <c r="J3627" s="12" t="b">
        <v>0</v>
      </c>
      <c r="K3627" s="12" t="b">
        <v>0</v>
      </c>
      <c r="L3627" s="12">
        <v>388.67047947199188</v>
      </c>
      <c r="M3627" s="12">
        <v>300.032917</v>
      </c>
      <c r="N3627" s="12">
        <v>2245.4285314542908</v>
      </c>
      <c r="O3627" s="12">
        <v>1724.0292914503741</v>
      </c>
      <c r="P3627" s="12">
        <v>0.57919631638314317</v>
      </c>
      <c r="Q3627" s="12">
        <v>0.54247167547518438</v>
      </c>
      <c r="R3627" s="12">
        <v>0.69403306847641355</v>
      </c>
      <c r="S3627" s="12">
        <v>0.4227646259470379</v>
      </c>
      <c r="T3627" s="12">
        <v>0.83399556637816974</v>
      </c>
      <c r="U3627" s="12">
        <v>0.56078442165208231</v>
      </c>
      <c r="V3627" s="12">
        <v>300.032917</v>
      </c>
      <c r="W3627" s="12">
        <v>1.0614911699504701</v>
      </c>
      <c r="X3627" s="12">
        <v>2.3243649616739401</v>
      </c>
      <c r="Y3627" s="12">
        <v>521.3992400039167</v>
      </c>
      <c r="Z3627" s="12">
        <v>1.3024306156453289</v>
      </c>
      <c r="AA3627" s="12"/>
      <c r="AB3627" s="12"/>
    </row>
    <row r="3628" spans="1:28" x14ac:dyDescent="0.3">
      <c r="A3628" s="12" t="s">
        <v>5554</v>
      </c>
      <c r="B3628" s="12" t="s">
        <v>206</v>
      </c>
      <c r="C3628" s="12" t="s">
        <v>568</v>
      </c>
      <c r="D3628" s="12" t="s">
        <v>5538</v>
      </c>
      <c r="E3628" s="12" t="s">
        <v>2978</v>
      </c>
      <c r="F3628" s="12" t="s">
        <v>1861</v>
      </c>
      <c r="G3628" s="12" t="s">
        <v>1861</v>
      </c>
      <c r="H3628" s="12" t="b">
        <v>1</v>
      </c>
      <c r="I3628" s="12" t="b">
        <v>0</v>
      </c>
      <c r="J3628" s="12" t="b">
        <v>1</v>
      </c>
      <c r="K3628" s="12" t="b">
        <v>0</v>
      </c>
      <c r="L3628" s="12">
        <v>506.58633211242432</v>
      </c>
      <c r="M3628" s="12">
        <v>300.032917</v>
      </c>
      <c r="N3628" s="12">
        <v>2195.4919360814888</v>
      </c>
      <c r="O3628" s="12">
        <v>1268.5256974779611</v>
      </c>
      <c r="P3628" s="12">
        <v>0.56984559521543743</v>
      </c>
      <c r="Q3628" s="12">
        <v>0.66908867659788218</v>
      </c>
      <c r="R3628" s="12">
        <v>0.91558226305060442</v>
      </c>
      <c r="S3628" s="12">
        <v>0.49996367206878078</v>
      </c>
      <c r="T3628" s="12">
        <v>0.94064494983094205</v>
      </c>
      <c r="U3628" s="12">
        <v>0.6530371951158942</v>
      </c>
      <c r="V3628" s="12">
        <v>300.032917</v>
      </c>
      <c r="W3628" s="12">
        <v>2.9360272345376299</v>
      </c>
      <c r="X3628" s="12">
        <v>26.353250570725091</v>
      </c>
      <c r="Y3628" s="12">
        <v>926.96623860352804</v>
      </c>
      <c r="Z3628" s="12">
        <v>1.730742972291764</v>
      </c>
      <c r="AA3628" s="12" t="s">
        <v>1268</v>
      </c>
      <c r="AB3628" s="12"/>
    </row>
    <row r="3629" spans="1:28" x14ac:dyDescent="0.3">
      <c r="A3629" s="12" t="s">
        <v>5555</v>
      </c>
      <c r="B3629" s="12" t="s">
        <v>206</v>
      </c>
      <c r="C3629" s="12" t="s">
        <v>568</v>
      </c>
      <c r="D3629" s="12" t="s">
        <v>5538</v>
      </c>
      <c r="E3629" s="12" t="s">
        <v>2978</v>
      </c>
      <c r="F3629" s="12" t="s">
        <v>1862</v>
      </c>
      <c r="G3629" s="12" t="s">
        <v>1862</v>
      </c>
      <c r="H3629" s="12" t="b">
        <v>1</v>
      </c>
      <c r="I3629" s="12" t="b">
        <v>0</v>
      </c>
      <c r="J3629" s="12" t="b">
        <v>0</v>
      </c>
      <c r="K3629" s="12" t="b">
        <v>0</v>
      </c>
      <c r="L3629" s="12">
        <v>511.84919352904751</v>
      </c>
      <c r="M3629" s="12">
        <v>300.032917</v>
      </c>
      <c r="N3629" s="12">
        <v>3218.394021491596</v>
      </c>
      <c r="O3629" s="12">
        <v>844.56724071598489</v>
      </c>
      <c r="P3629" s="12">
        <v>0.75172130814586358</v>
      </c>
      <c r="Q3629" s="12">
        <v>0.52372251459853847</v>
      </c>
      <c r="R3629" s="12">
        <v>0.59790024781895545</v>
      </c>
      <c r="S3629" s="12">
        <v>0.45529812914691359</v>
      </c>
      <c r="T3629" s="12">
        <v>0.71304692458638663</v>
      </c>
      <c r="U3629" s="12">
        <v>0.5163261389453585</v>
      </c>
      <c r="V3629" s="12">
        <v>300.032917</v>
      </c>
      <c r="W3629" s="12">
        <v>-7.7085034672593702</v>
      </c>
      <c r="X3629" s="12">
        <v>-46.306125251253263</v>
      </c>
      <c r="Y3629" s="12">
        <v>2373.826780775611</v>
      </c>
      <c r="Z3629" s="12">
        <v>3.8107019386202938</v>
      </c>
      <c r="AA3629" s="12" t="s">
        <v>2513</v>
      </c>
      <c r="AB3629" s="12"/>
    </row>
    <row r="3630" spans="1:28" x14ac:dyDescent="0.3">
      <c r="A3630" s="12" t="s">
        <v>5556</v>
      </c>
      <c r="B3630" s="12" t="s">
        <v>206</v>
      </c>
      <c r="C3630" s="12" t="s">
        <v>568</v>
      </c>
      <c r="D3630" s="12" t="s">
        <v>5538</v>
      </c>
      <c r="E3630" s="12" t="s">
        <v>2978</v>
      </c>
      <c r="F3630" s="12" t="s">
        <v>32</v>
      </c>
      <c r="G3630" s="12" t="s">
        <v>32</v>
      </c>
      <c r="H3630" s="12" t="b">
        <v>1</v>
      </c>
      <c r="I3630" s="12" t="b">
        <v>1</v>
      </c>
      <c r="J3630" s="12" t="b">
        <v>0</v>
      </c>
      <c r="K3630" s="12" t="b">
        <v>0</v>
      </c>
      <c r="L3630" s="12">
        <v>433.6280547801183</v>
      </c>
      <c r="M3630" s="12">
        <v>300.032917</v>
      </c>
      <c r="N3630" s="12">
        <v>4076.5412984209538</v>
      </c>
      <c r="O3630" s="12">
        <v>1503.0147753294921</v>
      </c>
      <c r="P3630" s="12">
        <v>0.58445485599054303</v>
      </c>
      <c r="Q3630" s="12">
        <v>0.50297143400880429</v>
      </c>
      <c r="R3630" s="12">
        <v>0.77914380288456864</v>
      </c>
      <c r="S3630" s="12">
        <v>0.64722979106127276</v>
      </c>
      <c r="T3630" s="12">
        <v>0.85374212829591212</v>
      </c>
      <c r="U3630" s="12">
        <v>0.88516477462819743</v>
      </c>
      <c r="V3630" s="12">
        <v>300.032917</v>
      </c>
      <c r="W3630" s="12">
        <v>3.8069068152285399</v>
      </c>
      <c r="X3630" s="12">
        <v>19.437039045979699</v>
      </c>
      <c r="Y3630" s="12">
        <v>2573.526523091462</v>
      </c>
      <c r="Z3630" s="12">
        <v>2.712242996764481</v>
      </c>
      <c r="AA3630" s="12"/>
      <c r="AB3630" s="12"/>
    </row>
    <row r="3631" spans="1:28" x14ac:dyDescent="0.3">
      <c r="A3631" s="12" t="s">
        <v>5557</v>
      </c>
      <c r="B3631" s="12" t="s">
        <v>206</v>
      </c>
      <c r="C3631" s="12" t="s">
        <v>568</v>
      </c>
      <c r="D3631" s="12" t="s">
        <v>5538</v>
      </c>
      <c r="E3631" s="12" t="s">
        <v>2978</v>
      </c>
      <c r="F3631" s="12" t="s">
        <v>1861</v>
      </c>
      <c r="G3631" s="12" t="s">
        <v>1861</v>
      </c>
      <c r="H3631" s="12" t="b">
        <v>1</v>
      </c>
      <c r="I3631" s="12" t="b">
        <v>0</v>
      </c>
      <c r="J3631" s="12" t="b">
        <v>1</v>
      </c>
      <c r="K3631" s="12" t="b">
        <v>0</v>
      </c>
      <c r="L3631" s="12">
        <v>473.74789510264162</v>
      </c>
      <c r="M3631" s="12">
        <v>300.032917</v>
      </c>
      <c r="N3631" s="12">
        <v>2828.9437398214782</v>
      </c>
      <c r="O3631" s="12">
        <v>1990.6992416712881</v>
      </c>
      <c r="P3631" s="12">
        <v>0.64168145657649844</v>
      </c>
      <c r="Q3631" s="12">
        <v>0.56139524203813285</v>
      </c>
      <c r="R3631" s="12">
        <v>0.4895416390756408</v>
      </c>
      <c r="S3631" s="12">
        <v>0.5763205251877761</v>
      </c>
      <c r="T3631" s="12">
        <v>0.68681554330688255</v>
      </c>
      <c r="U3631" s="12">
        <v>0.69289240968213539</v>
      </c>
      <c r="V3631" s="12">
        <v>300.032917</v>
      </c>
      <c r="W3631" s="12">
        <v>0.90151710493268</v>
      </c>
      <c r="X3631" s="12">
        <v>8.6446956633363463</v>
      </c>
      <c r="Y3631" s="12">
        <v>838.24449815019057</v>
      </c>
      <c r="Z3631" s="12">
        <v>1.421080432746056</v>
      </c>
      <c r="AA3631" s="12" t="s">
        <v>1268</v>
      </c>
      <c r="AB3631" s="12"/>
    </row>
    <row r="3632" spans="1:28" x14ac:dyDescent="0.3">
      <c r="A3632" s="12" t="s">
        <v>5558</v>
      </c>
      <c r="B3632" s="12" t="s">
        <v>206</v>
      </c>
      <c r="C3632" s="12" t="s">
        <v>568</v>
      </c>
      <c r="D3632" s="12" t="s">
        <v>5538</v>
      </c>
      <c r="E3632" s="12" t="s">
        <v>2978</v>
      </c>
      <c r="F3632" s="12" t="s">
        <v>1862</v>
      </c>
      <c r="G3632" s="12" t="s">
        <v>1862</v>
      </c>
      <c r="H3632" s="12" t="b">
        <v>1</v>
      </c>
      <c r="I3632" s="12" t="b">
        <v>0</v>
      </c>
      <c r="J3632" s="12" t="b">
        <v>0</v>
      </c>
      <c r="K3632" s="12" t="b">
        <v>0</v>
      </c>
      <c r="L3632" s="12">
        <v>429.43017854843879</v>
      </c>
      <c r="M3632" s="12">
        <v>300.032917</v>
      </c>
      <c r="N3632" s="12">
        <v>3085.0547119548819</v>
      </c>
      <c r="O3632" s="12">
        <v>760.11314919786332</v>
      </c>
      <c r="P3632" s="12">
        <v>0.84706166412575845</v>
      </c>
      <c r="Q3632" s="12">
        <v>0.943573452090124</v>
      </c>
      <c r="R3632" s="12">
        <v>0.41419464842664028</v>
      </c>
      <c r="S3632" s="12">
        <v>0.43258197857425301</v>
      </c>
      <c r="T3632" s="12">
        <v>0.55408143626340134</v>
      </c>
      <c r="U3632" s="12">
        <v>0.71576205465760567</v>
      </c>
      <c r="V3632" s="12">
        <v>300.032917</v>
      </c>
      <c r="W3632" s="12">
        <v>-25.39657927032075</v>
      </c>
      <c r="X3632" s="12">
        <v>-86.329045314038524</v>
      </c>
      <c r="Y3632" s="12">
        <v>2324.9415627570188</v>
      </c>
      <c r="Z3632" s="12">
        <v>4.0586782575863829</v>
      </c>
      <c r="AA3632" s="12" t="s">
        <v>2513</v>
      </c>
      <c r="AB3632" s="12"/>
    </row>
    <row r="3633" spans="1:28" x14ac:dyDescent="0.3">
      <c r="A3633" s="12" t="s">
        <v>5559</v>
      </c>
      <c r="B3633" s="12" t="s">
        <v>206</v>
      </c>
      <c r="C3633" s="12" t="s">
        <v>568</v>
      </c>
      <c r="D3633" s="12" t="s">
        <v>5538</v>
      </c>
      <c r="E3633" s="12" t="s">
        <v>2978</v>
      </c>
      <c r="F3633" s="12" t="s">
        <v>1862</v>
      </c>
      <c r="G3633" s="12" t="s">
        <v>1862</v>
      </c>
      <c r="H3633" s="12" t="b">
        <v>1</v>
      </c>
      <c r="I3633" s="12" t="b">
        <v>0</v>
      </c>
      <c r="J3633" s="12" t="b">
        <v>0</v>
      </c>
      <c r="K3633" s="12" t="b">
        <v>0</v>
      </c>
      <c r="L3633" s="12">
        <v>423.28779456904169</v>
      </c>
      <c r="M3633" s="12">
        <v>300.032917</v>
      </c>
      <c r="N3633" s="12">
        <v>4152.327090375511</v>
      </c>
      <c r="O3633" s="12">
        <v>591.72527028438583</v>
      </c>
      <c r="P3633" s="12">
        <v>0.7324162885207175</v>
      </c>
      <c r="Q3633" s="12">
        <v>0.52981500001228632</v>
      </c>
      <c r="R3633" s="12">
        <v>0.49596101414336818</v>
      </c>
      <c r="S3633" s="12">
        <v>0.46605085349742958</v>
      </c>
      <c r="T3633" s="12">
        <v>0.82308813340077969</v>
      </c>
      <c r="U3633" s="12">
        <v>0.58747227060754259</v>
      </c>
      <c r="V3633" s="12">
        <v>300.032917</v>
      </c>
      <c r="W3633" s="12">
        <v>-68.081350788592161</v>
      </c>
      <c r="X3633" s="12">
        <v>-139.66600812053099</v>
      </c>
      <c r="Y3633" s="12">
        <v>3560.6018200911249</v>
      </c>
      <c r="Z3633" s="12">
        <v>7.01732256318863</v>
      </c>
      <c r="AA3633" s="12" t="s">
        <v>2513</v>
      </c>
      <c r="AB3633" s="12"/>
    </row>
    <row r="3634" spans="1:28" x14ac:dyDescent="0.3">
      <c r="A3634" s="12" t="s">
        <v>5560</v>
      </c>
      <c r="B3634" s="12" t="s">
        <v>206</v>
      </c>
      <c r="C3634" s="12" t="s">
        <v>568</v>
      </c>
      <c r="D3634" s="12" t="s">
        <v>5538</v>
      </c>
      <c r="E3634" s="12" t="s">
        <v>2978</v>
      </c>
      <c r="F3634" s="12" t="s">
        <v>1862</v>
      </c>
      <c r="G3634" s="12" t="s">
        <v>1862</v>
      </c>
      <c r="H3634" s="12" t="b">
        <v>1</v>
      </c>
      <c r="I3634" s="12" t="b">
        <v>0</v>
      </c>
      <c r="J3634" s="12" t="b">
        <v>1</v>
      </c>
      <c r="K3634" s="12" t="b">
        <v>0</v>
      </c>
      <c r="L3634" s="12">
        <v>476.92270910678019</v>
      </c>
      <c r="M3634" s="12">
        <v>300.032917</v>
      </c>
      <c r="N3634" s="12">
        <v>3117.364505904794</v>
      </c>
      <c r="O3634" s="12">
        <v>1132.6473617682291</v>
      </c>
      <c r="P3634" s="12">
        <v>0.53154101505274032</v>
      </c>
      <c r="Q3634" s="12">
        <v>0.45595670640492869</v>
      </c>
      <c r="R3634" s="12">
        <v>0.66985268624178962</v>
      </c>
      <c r="S3634" s="12">
        <v>0.45253784950380022</v>
      </c>
      <c r="T3634" s="12">
        <v>0.66330758846217064</v>
      </c>
      <c r="U3634" s="12">
        <v>0.5038693443505472</v>
      </c>
      <c r="V3634" s="12">
        <v>300.032917</v>
      </c>
      <c r="W3634" s="12">
        <v>-2.5074960346842898</v>
      </c>
      <c r="X3634" s="12">
        <v>-17.00694166577544</v>
      </c>
      <c r="Y3634" s="12">
        <v>1984.7171441365649</v>
      </c>
      <c r="Z3634" s="12">
        <v>2.7522816113199879</v>
      </c>
      <c r="AA3634" s="12" t="s">
        <v>2513</v>
      </c>
      <c r="AB3634" s="12"/>
    </row>
    <row r="3635" spans="1:28" x14ac:dyDescent="0.3">
      <c r="A3635" s="12" t="s">
        <v>5561</v>
      </c>
      <c r="B3635" s="12" t="s">
        <v>206</v>
      </c>
      <c r="C3635" s="12" t="s">
        <v>568</v>
      </c>
      <c r="D3635" s="12" t="s">
        <v>5538</v>
      </c>
      <c r="E3635" s="12" t="s">
        <v>2978</v>
      </c>
      <c r="F3635" s="12" t="s">
        <v>1862</v>
      </c>
      <c r="G3635" s="12" t="s">
        <v>1862</v>
      </c>
      <c r="H3635" s="12" t="b">
        <v>1</v>
      </c>
      <c r="I3635" s="12" t="b">
        <v>0</v>
      </c>
      <c r="J3635" s="12" t="b">
        <v>0</v>
      </c>
      <c r="K3635" s="12" t="b">
        <v>0</v>
      </c>
      <c r="L3635" s="12">
        <v>438.32798999425802</v>
      </c>
      <c r="M3635" s="12">
        <v>300.032917</v>
      </c>
      <c r="N3635" s="12">
        <v>4849.3909046209556</v>
      </c>
      <c r="O3635" s="12">
        <v>457.32284095667939</v>
      </c>
      <c r="P3635" s="12">
        <v>0.72902075347926554</v>
      </c>
      <c r="Q3635" s="12">
        <v>0.90008992036902613</v>
      </c>
      <c r="R3635" s="12">
        <v>0.64157772420446968</v>
      </c>
      <c r="S3635" s="12">
        <v>0.4467741125468227</v>
      </c>
      <c r="T3635" s="12">
        <v>0.65567818716275306</v>
      </c>
      <c r="U3635" s="12">
        <v>0.67552529201719347</v>
      </c>
      <c r="V3635" s="12">
        <v>300.032917</v>
      </c>
      <c r="W3635" s="12">
        <v>-27.42347158165396</v>
      </c>
      <c r="X3635" s="12">
        <v>-61.302907833415901</v>
      </c>
      <c r="Y3635" s="12">
        <v>4392.0680636642765</v>
      </c>
      <c r="Z3635" s="12">
        <v>10.603867706402889</v>
      </c>
      <c r="AA3635" s="12" t="s">
        <v>2513</v>
      </c>
      <c r="AB3635" s="12"/>
    </row>
    <row r="3636" spans="1:28" x14ac:dyDescent="0.3">
      <c r="A3636" s="12" t="s">
        <v>5562</v>
      </c>
      <c r="B3636" s="12" t="s">
        <v>206</v>
      </c>
      <c r="C3636" s="12" t="s">
        <v>568</v>
      </c>
      <c r="D3636" s="12" t="s">
        <v>5538</v>
      </c>
      <c r="E3636" s="12" t="s">
        <v>2978</v>
      </c>
      <c r="F3636" s="12" t="s">
        <v>832</v>
      </c>
      <c r="G3636" s="12" t="s">
        <v>832</v>
      </c>
      <c r="H3636" s="12" t="b">
        <v>0</v>
      </c>
      <c r="I3636" s="12" t="b">
        <v>0</v>
      </c>
      <c r="J3636" s="12" t="b">
        <v>0</v>
      </c>
      <c r="K3636" s="12" t="b">
        <v>0</v>
      </c>
      <c r="L3636" s="12">
        <v>394.34681244337702</v>
      </c>
      <c r="M3636" s="12">
        <v>300.032917</v>
      </c>
      <c r="N3636" s="12">
        <v>4925.3965933788013</v>
      </c>
      <c r="O3636" s="12">
        <v>817.05994368760309</v>
      </c>
      <c r="P3636" s="12">
        <v>0.54782420588457392</v>
      </c>
      <c r="Q3636" s="12">
        <v>0.55934958873950369</v>
      </c>
      <c r="R3636" s="12">
        <v>0.94498888945114656</v>
      </c>
      <c r="S3636" s="12">
        <v>0.7569733113534769</v>
      </c>
      <c r="T3636" s="12">
        <v>0.94836183220946957</v>
      </c>
      <c r="U3636" s="12">
        <v>0.70865009661565947</v>
      </c>
      <c r="V3636" s="12">
        <v>300.032917</v>
      </c>
      <c r="W3636" s="12"/>
      <c r="X3636" s="12"/>
      <c r="Y3636" s="12">
        <v>4108.3366496911995</v>
      </c>
      <c r="Z3636" s="12">
        <v>6.0281949096038314</v>
      </c>
      <c r="AA3636" s="12"/>
      <c r="AB3636" s="12"/>
    </row>
    <row r="3637" spans="1:28" x14ac:dyDescent="0.3">
      <c r="A3637" s="12" t="s">
        <v>5563</v>
      </c>
      <c r="B3637" s="12" t="s">
        <v>206</v>
      </c>
      <c r="C3637" s="12" t="s">
        <v>568</v>
      </c>
      <c r="D3637" s="12" t="s">
        <v>5538</v>
      </c>
      <c r="E3637" s="12" t="s">
        <v>2978</v>
      </c>
      <c r="F3637" s="12" t="s">
        <v>832</v>
      </c>
      <c r="G3637" s="12" t="s">
        <v>832</v>
      </c>
      <c r="H3637" s="12" t="b">
        <v>0</v>
      </c>
      <c r="I3637" s="12" t="b">
        <v>0</v>
      </c>
      <c r="J3637" s="12" t="b">
        <v>0</v>
      </c>
      <c r="K3637" s="12" t="b">
        <v>0</v>
      </c>
      <c r="L3637" s="12">
        <v>513.56170487097449</v>
      </c>
      <c r="M3637" s="12">
        <v>300.032917</v>
      </c>
      <c r="N3637" s="12">
        <v>2463.7237619507391</v>
      </c>
      <c r="O3637" s="12">
        <v>306.34044515490189</v>
      </c>
      <c r="P3637" s="12">
        <v>0.77025625425531064</v>
      </c>
      <c r="Q3637" s="12">
        <v>0.85777469271166829</v>
      </c>
      <c r="R3637" s="12">
        <v>0.70636387393277111</v>
      </c>
      <c r="S3637" s="12">
        <v>0.93380036672010858</v>
      </c>
      <c r="T3637" s="12">
        <v>0.49606636743349081</v>
      </c>
      <c r="U3637" s="12">
        <v>0.81422993841845337</v>
      </c>
      <c r="V3637" s="12">
        <v>300.032917</v>
      </c>
      <c r="W3637" s="12"/>
      <c r="X3637" s="12"/>
      <c r="Y3637" s="12">
        <v>2157.3833167958369</v>
      </c>
      <c r="Z3637" s="12">
        <v>8.0424371019796315</v>
      </c>
      <c r="AA3637" s="12"/>
      <c r="AB3637" s="12"/>
    </row>
    <row r="3638" spans="1:28" x14ac:dyDescent="0.3">
      <c r="A3638" s="12" t="s">
        <v>5564</v>
      </c>
      <c r="B3638" s="12" t="s">
        <v>206</v>
      </c>
      <c r="C3638" s="12" t="s">
        <v>568</v>
      </c>
      <c r="D3638" s="12" t="s">
        <v>5538</v>
      </c>
      <c r="E3638" s="12" t="s">
        <v>2978</v>
      </c>
      <c r="F3638" s="12" t="s">
        <v>1861</v>
      </c>
      <c r="G3638" s="12" t="s">
        <v>1861</v>
      </c>
      <c r="H3638" s="12" t="b">
        <v>1</v>
      </c>
      <c r="I3638" s="12" t="b">
        <v>0</v>
      </c>
      <c r="J3638" s="12" t="b">
        <v>0</v>
      </c>
      <c r="K3638" s="12" t="b">
        <v>0</v>
      </c>
      <c r="L3638" s="12">
        <v>386.8543899749547</v>
      </c>
      <c r="M3638" s="12">
        <v>300.032917</v>
      </c>
      <c r="N3638" s="12">
        <v>2381.021492644335</v>
      </c>
      <c r="O3638" s="12">
        <v>1699.9370559695381</v>
      </c>
      <c r="P3638" s="12">
        <v>0.68885725356006644</v>
      </c>
      <c r="Q3638" s="12">
        <v>0.7691487751933046</v>
      </c>
      <c r="R3638" s="12">
        <v>0.70888960940178558</v>
      </c>
      <c r="S3638" s="12">
        <v>0.40366305208886383</v>
      </c>
      <c r="T3638" s="12">
        <v>0.92777273342623601</v>
      </c>
      <c r="U3638" s="12">
        <v>0.54855515343645322</v>
      </c>
      <c r="V3638" s="12">
        <v>300.032917</v>
      </c>
      <c r="W3638" s="12">
        <v>2.2816290044563599</v>
      </c>
      <c r="X3638" s="12">
        <v>6.4070561888669957</v>
      </c>
      <c r="Y3638" s="12">
        <v>681.08443667479696</v>
      </c>
      <c r="Z3638" s="12">
        <v>1.400652738454689</v>
      </c>
      <c r="AA3638" s="12" t="s">
        <v>1268</v>
      </c>
      <c r="AB3638" s="12"/>
    </row>
    <row r="3639" spans="1:28" x14ac:dyDescent="0.3">
      <c r="A3639" s="12" t="s">
        <v>5565</v>
      </c>
      <c r="B3639" s="12" t="s">
        <v>206</v>
      </c>
      <c r="C3639" s="12" t="s">
        <v>568</v>
      </c>
      <c r="D3639" s="12" t="s">
        <v>5538</v>
      </c>
      <c r="E3639" s="12" t="s">
        <v>2978</v>
      </c>
      <c r="F3639" s="12" t="s">
        <v>1862</v>
      </c>
      <c r="G3639" s="12" t="s">
        <v>1862</v>
      </c>
      <c r="H3639" s="12" t="b">
        <v>1</v>
      </c>
      <c r="I3639" s="12" t="b">
        <v>0</v>
      </c>
      <c r="J3639" s="12" t="b">
        <v>1</v>
      </c>
      <c r="K3639" s="12" t="b">
        <v>0</v>
      </c>
      <c r="L3639" s="12">
        <v>459.27237162856062</v>
      </c>
      <c r="M3639" s="12">
        <v>300.032917</v>
      </c>
      <c r="N3639" s="12">
        <v>4287.3819259463562</v>
      </c>
      <c r="O3639" s="12">
        <v>798.45201310653033</v>
      </c>
      <c r="P3639" s="12">
        <v>0.70244960553387015</v>
      </c>
      <c r="Q3639" s="12">
        <v>0.58288761325632521</v>
      </c>
      <c r="R3639" s="12">
        <v>0.53020884100598342</v>
      </c>
      <c r="S3639" s="12">
        <v>0.94392471093140162</v>
      </c>
      <c r="T3639" s="12">
        <v>0.4728369183434486</v>
      </c>
      <c r="U3639" s="12">
        <v>0.57873396643942443</v>
      </c>
      <c r="V3639" s="12">
        <v>300.032917</v>
      </c>
      <c r="W3639" s="12">
        <v>-5.6611276298635502</v>
      </c>
      <c r="X3639" s="12">
        <v>-50.190762384667103</v>
      </c>
      <c r="Y3639" s="12">
        <v>3488.9299128398261</v>
      </c>
      <c r="Z3639" s="12">
        <v>5.3696175293809789</v>
      </c>
      <c r="AA3639" s="12" t="s">
        <v>2513</v>
      </c>
      <c r="AB3639" s="12"/>
    </row>
    <row r="3640" spans="1:28" x14ac:dyDescent="0.3">
      <c r="A3640" s="12" t="s">
        <v>5566</v>
      </c>
      <c r="B3640" s="12" t="s">
        <v>206</v>
      </c>
      <c r="C3640" s="12" t="s">
        <v>568</v>
      </c>
      <c r="D3640" s="12" t="s">
        <v>5538</v>
      </c>
      <c r="E3640" s="12" t="s">
        <v>2978</v>
      </c>
      <c r="F3640" s="12" t="s">
        <v>832</v>
      </c>
      <c r="G3640" s="12" t="s">
        <v>832</v>
      </c>
      <c r="H3640" s="12" t="b">
        <v>0</v>
      </c>
      <c r="I3640" s="12" t="b">
        <v>0</v>
      </c>
      <c r="J3640" s="12" t="b">
        <v>0</v>
      </c>
      <c r="K3640" s="12" t="b">
        <v>0</v>
      </c>
      <c r="L3640" s="12">
        <v>458.35414501843951</v>
      </c>
      <c r="M3640" s="12">
        <v>300.032917</v>
      </c>
      <c r="N3640" s="12">
        <v>4624.241781461732</v>
      </c>
      <c r="O3640" s="12">
        <v>1754.246164229103</v>
      </c>
      <c r="P3640" s="12">
        <v>0.71247102361128667</v>
      </c>
      <c r="Q3640" s="12">
        <v>0.4522057657822125</v>
      </c>
      <c r="R3640" s="12">
        <v>0.81721608562811054</v>
      </c>
      <c r="S3640" s="12">
        <v>0.80988413225064115</v>
      </c>
      <c r="T3640" s="12">
        <v>0.52018083541073823</v>
      </c>
      <c r="U3640" s="12">
        <v>0.47401784647430728</v>
      </c>
      <c r="V3640" s="12">
        <v>300.032917</v>
      </c>
      <c r="W3640" s="12"/>
      <c r="X3640" s="12"/>
      <c r="Y3640" s="12">
        <v>2869.9956172326288</v>
      </c>
      <c r="Z3640" s="12">
        <v>2.636027870976613</v>
      </c>
      <c r="AA3640" s="12"/>
      <c r="AB3640" s="12"/>
    </row>
    <row r="3641" spans="1:28" x14ac:dyDescent="0.3">
      <c r="A3641" s="12" t="s">
        <v>5567</v>
      </c>
      <c r="B3641" s="12" t="s">
        <v>206</v>
      </c>
      <c r="C3641" s="12" t="s">
        <v>568</v>
      </c>
      <c r="D3641" s="12" t="s">
        <v>5538</v>
      </c>
      <c r="E3641" s="12" t="s">
        <v>2978</v>
      </c>
      <c r="F3641" s="12" t="s">
        <v>1861</v>
      </c>
      <c r="G3641" s="12" t="s">
        <v>1861</v>
      </c>
      <c r="H3641" s="12" t="b">
        <v>1</v>
      </c>
      <c r="I3641" s="12" t="b">
        <v>0</v>
      </c>
      <c r="J3641" s="12" t="b">
        <v>1</v>
      </c>
      <c r="K3641" s="12" t="b">
        <v>0</v>
      </c>
      <c r="L3641" s="12">
        <v>514.75289978142405</v>
      </c>
      <c r="M3641" s="12">
        <v>300.032917</v>
      </c>
      <c r="N3641" s="12">
        <v>4021.3710618764871</v>
      </c>
      <c r="O3641" s="12">
        <v>1175.322466519521</v>
      </c>
      <c r="P3641" s="12">
        <v>0.54214464303474985</v>
      </c>
      <c r="Q3641" s="12">
        <v>0.67942239757783573</v>
      </c>
      <c r="R3641" s="12">
        <v>0.4382473175022128</v>
      </c>
      <c r="S3641" s="12">
        <v>0.68968936718062535</v>
      </c>
      <c r="T3641" s="12">
        <v>0.79524478397512155</v>
      </c>
      <c r="U3641" s="12">
        <v>0.8561160362792517</v>
      </c>
      <c r="V3641" s="12">
        <v>300.032917</v>
      </c>
      <c r="W3641" s="12">
        <v>7.0485055116151303</v>
      </c>
      <c r="X3641" s="12">
        <v>98.318663445312836</v>
      </c>
      <c r="Y3641" s="12">
        <v>2846.048595356966</v>
      </c>
      <c r="Z3641" s="12">
        <v>3.4215044606310991</v>
      </c>
      <c r="AA3641" s="12" t="s">
        <v>1268</v>
      </c>
      <c r="AB3641" s="12"/>
    </row>
    <row r="3642" spans="1:28" x14ac:dyDescent="0.3">
      <c r="A3642" s="12" t="s">
        <v>5568</v>
      </c>
      <c r="B3642" s="12" t="s">
        <v>206</v>
      </c>
      <c r="C3642" s="12" t="s">
        <v>568</v>
      </c>
      <c r="D3642" s="12" t="s">
        <v>5538</v>
      </c>
      <c r="E3642" s="12" t="s">
        <v>2978</v>
      </c>
      <c r="F3642" s="12" t="s">
        <v>1861</v>
      </c>
      <c r="G3642" s="12" t="s">
        <v>1861</v>
      </c>
      <c r="H3642" s="12" t="b">
        <v>1</v>
      </c>
      <c r="I3642" s="12" t="b">
        <v>0</v>
      </c>
      <c r="J3642" s="12" t="b">
        <v>0</v>
      </c>
      <c r="K3642" s="12" t="b">
        <v>0</v>
      </c>
      <c r="L3642" s="12">
        <v>494.66914036448532</v>
      </c>
      <c r="M3642" s="12">
        <v>300.032917</v>
      </c>
      <c r="N3642" s="12">
        <v>3896.677264534047</v>
      </c>
      <c r="O3642" s="12">
        <v>1238.918362388021</v>
      </c>
      <c r="P3642" s="12">
        <v>0.73778467820477667</v>
      </c>
      <c r="Q3642" s="12">
        <v>0.8691311135428077</v>
      </c>
      <c r="R3642" s="12">
        <v>0.55635794776293956</v>
      </c>
      <c r="S3642" s="12">
        <v>0.43828293788640238</v>
      </c>
      <c r="T3642" s="12">
        <v>0.54491979707926574</v>
      </c>
      <c r="U3642" s="12">
        <v>0.76623117888984982</v>
      </c>
      <c r="V3642" s="12">
        <v>300.032917</v>
      </c>
      <c r="W3642" s="12">
        <v>9.1250963863622303</v>
      </c>
      <c r="X3642" s="12">
        <v>70.317817949017723</v>
      </c>
      <c r="Y3642" s="12">
        <v>2657.7589021460258</v>
      </c>
      <c r="Z3642" s="12">
        <v>3.1452252084012882</v>
      </c>
      <c r="AA3642" s="12" t="s">
        <v>1268</v>
      </c>
      <c r="AB3642" s="12"/>
    </row>
    <row r="3643" spans="1:28" x14ac:dyDescent="0.3">
      <c r="A3643" s="12" t="s">
        <v>5569</v>
      </c>
      <c r="B3643" s="12" t="s">
        <v>206</v>
      </c>
      <c r="C3643" s="12" t="s">
        <v>568</v>
      </c>
      <c r="D3643" s="12" t="s">
        <v>5538</v>
      </c>
      <c r="E3643" s="12" t="s">
        <v>2978</v>
      </c>
      <c r="F3643" s="12" t="s">
        <v>1862</v>
      </c>
      <c r="G3643" s="12" t="s">
        <v>1862</v>
      </c>
      <c r="H3643" s="12" t="b">
        <v>1</v>
      </c>
      <c r="I3643" s="12" t="b">
        <v>0</v>
      </c>
      <c r="J3643" s="12" t="b">
        <v>0</v>
      </c>
      <c r="K3643" s="12" t="b">
        <v>0</v>
      </c>
      <c r="L3643" s="12">
        <v>466.97609963823407</v>
      </c>
      <c r="M3643" s="12">
        <v>300.032917</v>
      </c>
      <c r="N3643" s="12">
        <v>2661.4055794697229</v>
      </c>
      <c r="O3643" s="12">
        <v>644.62522435564165</v>
      </c>
      <c r="P3643" s="12">
        <v>0.77937713488744997</v>
      </c>
      <c r="Q3643" s="12">
        <v>0.50511076835476842</v>
      </c>
      <c r="R3643" s="12">
        <v>0.72682006216005357</v>
      </c>
      <c r="S3643" s="12">
        <v>0.53125945163320831</v>
      </c>
      <c r="T3643" s="12">
        <v>0.54222774702526089</v>
      </c>
      <c r="U3643" s="12">
        <v>0.58352559769297829</v>
      </c>
      <c r="V3643" s="12">
        <v>300.032917</v>
      </c>
      <c r="W3643" s="12">
        <v>-14.913367969112979</v>
      </c>
      <c r="X3643" s="12">
        <v>-74.008026667229203</v>
      </c>
      <c r="Y3643" s="12">
        <v>2016.780355114081</v>
      </c>
      <c r="Z3643" s="12">
        <v>4.1286091187790959</v>
      </c>
      <c r="AA3643" s="12" t="s">
        <v>2513</v>
      </c>
      <c r="AB3643" s="12"/>
    </row>
    <row r="3644" spans="1:28" x14ac:dyDescent="0.3">
      <c r="A3644" s="12" t="s">
        <v>5570</v>
      </c>
      <c r="B3644" s="12" t="s">
        <v>206</v>
      </c>
      <c r="C3644" s="12" t="s">
        <v>568</v>
      </c>
      <c r="D3644" s="12" t="s">
        <v>5538</v>
      </c>
      <c r="E3644" s="12" t="s">
        <v>2978</v>
      </c>
      <c r="F3644" s="12" t="s">
        <v>1862</v>
      </c>
      <c r="G3644" s="12" t="s">
        <v>1862</v>
      </c>
      <c r="H3644" s="12" t="b">
        <v>1</v>
      </c>
      <c r="I3644" s="12" t="b">
        <v>0</v>
      </c>
      <c r="J3644" s="12" t="b">
        <v>1</v>
      </c>
      <c r="K3644" s="12" t="b">
        <v>0</v>
      </c>
      <c r="L3644" s="12">
        <v>517.74777378659962</v>
      </c>
      <c r="M3644" s="12">
        <v>300.032917</v>
      </c>
      <c r="N3644" s="12">
        <v>3855.725565587139</v>
      </c>
      <c r="O3644" s="12">
        <v>788.40779163458978</v>
      </c>
      <c r="P3644" s="12">
        <v>0.81886780064898312</v>
      </c>
      <c r="Q3644" s="12">
        <v>0.8296518855141195</v>
      </c>
      <c r="R3644" s="12">
        <v>0.66107720317020169</v>
      </c>
      <c r="S3644" s="12">
        <v>0.49331539141795849</v>
      </c>
      <c r="T3644" s="12">
        <v>0.89147364659947503</v>
      </c>
      <c r="U3644" s="12">
        <v>0.54004529942104795</v>
      </c>
      <c r="V3644" s="12">
        <v>300.032917</v>
      </c>
      <c r="W3644" s="12">
        <v>-2.0553632295714102</v>
      </c>
      <c r="X3644" s="12">
        <v>-10.49713231922448</v>
      </c>
      <c r="Y3644" s="12">
        <v>3067.317773952549</v>
      </c>
      <c r="Z3644" s="12">
        <v>4.8905218929827434</v>
      </c>
      <c r="AA3644" s="12" t="s">
        <v>2513</v>
      </c>
      <c r="AB3644" s="12"/>
    </row>
    <row r="3645" spans="1:28" x14ac:dyDescent="0.3">
      <c r="A3645" s="12" t="s">
        <v>5571</v>
      </c>
      <c r="B3645" s="12" t="s">
        <v>206</v>
      </c>
      <c r="C3645" s="12" t="s">
        <v>568</v>
      </c>
      <c r="D3645" s="12" t="s">
        <v>5538</v>
      </c>
      <c r="E3645" s="12" t="s">
        <v>2978</v>
      </c>
      <c r="F3645" s="12" t="s">
        <v>1862</v>
      </c>
      <c r="G3645" s="12" t="s">
        <v>1862</v>
      </c>
      <c r="H3645" s="12" t="b">
        <v>1</v>
      </c>
      <c r="I3645" s="12" t="b">
        <v>0</v>
      </c>
      <c r="J3645" s="12" t="b">
        <v>1</v>
      </c>
      <c r="K3645" s="12" t="b">
        <v>0</v>
      </c>
      <c r="L3645" s="12">
        <v>435.36265608208703</v>
      </c>
      <c r="M3645" s="12">
        <v>300.032917</v>
      </c>
      <c r="N3645" s="12">
        <v>3878.218830763285</v>
      </c>
      <c r="O3645" s="12">
        <v>672.30651431601211</v>
      </c>
      <c r="P3645" s="12">
        <v>0.83609211972341502</v>
      </c>
      <c r="Q3645" s="12">
        <v>0.54815286200765423</v>
      </c>
      <c r="R3645" s="12">
        <v>0.51183876963627439</v>
      </c>
      <c r="S3645" s="12">
        <v>0.56101060477028397</v>
      </c>
      <c r="T3645" s="12">
        <v>0.58771901165759588</v>
      </c>
      <c r="U3645" s="12">
        <v>0.46678037896657171</v>
      </c>
      <c r="V3645" s="12">
        <v>300.032917</v>
      </c>
      <c r="W3645" s="12">
        <v>-225.09902133132891</v>
      </c>
      <c r="X3645" s="12">
        <v>-268.89262161963222</v>
      </c>
      <c r="Y3645" s="12">
        <v>3205.912316447273</v>
      </c>
      <c r="Z3645" s="12">
        <v>5.7685278190542126</v>
      </c>
      <c r="AA3645" s="12" t="s">
        <v>2513</v>
      </c>
      <c r="AB3645" s="12"/>
    </row>
    <row r="3646" spans="1:28" x14ac:dyDescent="0.3">
      <c r="A3646" s="12" t="s">
        <v>5572</v>
      </c>
      <c r="B3646" s="12" t="s">
        <v>206</v>
      </c>
      <c r="C3646" s="12" t="s">
        <v>568</v>
      </c>
      <c r="D3646" s="12" t="s">
        <v>5538</v>
      </c>
      <c r="E3646" s="12" t="s">
        <v>2978</v>
      </c>
      <c r="F3646" s="12" t="s">
        <v>1862</v>
      </c>
      <c r="G3646" s="12" t="s">
        <v>1862</v>
      </c>
      <c r="H3646" s="12" t="b">
        <v>1</v>
      </c>
      <c r="I3646" s="12" t="b">
        <v>0</v>
      </c>
      <c r="J3646" s="12" t="b">
        <v>0</v>
      </c>
      <c r="K3646" s="12" t="b">
        <v>0</v>
      </c>
      <c r="L3646" s="12">
        <v>421.7315530747336</v>
      </c>
      <c r="M3646" s="12">
        <v>300.032917</v>
      </c>
      <c r="N3646" s="12">
        <v>4650.5450321084954</v>
      </c>
      <c r="O3646" s="12">
        <v>1537.7336210072569</v>
      </c>
      <c r="P3646" s="12">
        <v>0.84452279816163145</v>
      </c>
      <c r="Q3646" s="12">
        <v>0.47645869539527708</v>
      </c>
      <c r="R3646" s="12">
        <v>0.90180268069549263</v>
      </c>
      <c r="S3646" s="12">
        <v>0.68412556096434951</v>
      </c>
      <c r="T3646" s="12">
        <v>0.51369200492906331</v>
      </c>
      <c r="U3646" s="12">
        <v>0.45434575925340281</v>
      </c>
      <c r="V3646" s="12">
        <v>300.032917</v>
      </c>
      <c r="W3646" s="12">
        <v>-2.27723010874865</v>
      </c>
      <c r="X3646" s="12">
        <v>-10.890067512108731</v>
      </c>
      <c r="Y3646" s="12">
        <v>3112.8114111012378</v>
      </c>
      <c r="Z3646" s="12">
        <v>3.0242852003601648</v>
      </c>
      <c r="AA3646" s="12" t="s">
        <v>2513</v>
      </c>
      <c r="AB3646" s="12"/>
    </row>
    <row r="3647" spans="1:28" x14ac:dyDescent="0.3">
      <c r="A3647" s="12" t="s">
        <v>5573</v>
      </c>
      <c r="B3647" s="12" t="s">
        <v>206</v>
      </c>
      <c r="C3647" s="12" t="s">
        <v>568</v>
      </c>
      <c r="D3647" s="12" t="s">
        <v>5538</v>
      </c>
      <c r="E3647" s="12" t="s">
        <v>2978</v>
      </c>
      <c r="F3647" s="12" t="s">
        <v>1861</v>
      </c>
      <c r="G3647" s="12" t="s">
        <v>1861</v>
      </c>
      <c r="H3647" s="12" t="b">
        <v>1</v>
      </c>
      <c r="I3647" s="12" t="b">
        <v>0</v>
      </c>
      <c r="J3647" s="12" t="b">
        <v>1</v>
      </c>
      <c r="K3647" s="12" t="b">
        <v>0</v>
      </c>
      <c r="L3647" s="12">
        <v>519.05282890287856</v>
      </c>
      <c r="M3647" s="12">
        <v>300.032917</v>
      </c>
      <c r="N3647" s="12">
        <v>4710.1332259643004</v>
      </c>
      <c r="O3647" s="12">
        <v>1096.1700841943671</v>
      </c>
      <c r="P3647" s="12">
        <v>0.66052987146588438</v>
      </c>
      <c r="Q3647" s="12">
        <v>0.60811034874579217</v>
      </c>
      <c r="R3647" s="12">
        <v>0.85283053803112052</v>
      </c>
      <c r="S3647" s="12">
        <v>0.61724991095425441</v>
      </c>
      <c r="T3647" s="12">
        <v>0.68288835105622359</v>
      </c>
      <c r="U3647" s="12">
        <v>0.57181476397221442</v>
      </c>
      <c r="V3647" s="12">
        <v>300.032917</v>
      </c>
      <c r="W3647" s="12">
        <v>3.71677480009093</v>
      </c>
      <c r="X3647" s="12">
        <v>33.188435626953307</v>
      </c>
      <c r="Y3647" s="12">
        <v>3613.9631417699329</v>
      </c>
      <c r="Z3647" s="12">
        <v>4.2968999919624924</v>
      </c>
      <c r="AA3647" s="12" t="s">
        <v>1268</v>
      </c>
      <c r="AB3647" s="12"/>
    </row>
    <row r="3648" spans="1:28" x14ac:dyDescent="0.3">
      <c r="A3648" s="12" t="s">
        <v>5574</v>
      </c>
      <c r="B3648" s="12" t="s">
        <v>206</v>
      </c>
      <c r="C3648" s="12" t="s">
        <v>568</v>
      </c>
      <c r="D3648" s="12" t="s">
        <v>5538</v>
      </c>
      <c r="E3648" s="12" t="s">
        <v>2978</v>
      </c>
      <c r="F3648" s="12" t="s">
        <v>1861</v>
      </c>
      <c r="G3648" s="12" t="s">
        <v>1861</v>
      </c>
      <c r="H3648" s="12" t="b">
        <v>1</v>
      </c>
      <c r="I3648" s="12" t="b">
        <v>0</v>
      </c>
      <c r="J3648" s="12" t="b">
        <v>1</v>
      </c>
      <c r="K3648" s="12" t="b">
        <v>0</v>
      </c>
      <c r="L3648" s="12">
        <v>481.75269562540478</v>
      </c>
      <c r="M3648" s="12">
        <v>300.032917</v>
      </c>
      <c r="N3648" s="12">
        <v>4197.6637512938833</v>
      </c>
      <c r="O3648" s="12">
        <v>1820.4971808169621</v>
      </c>
      <c r="P3648" s="12">
        <v>0.52966030150970245</v>
      </c>
      <c r="Q3648" s="12">
        <v>0.94527630418383601</v>
      </c>
      <c r="R3648" s="12">
        <v>0.82355338370514053</v>
      </c>
      <c r="S3648" s="12">
        <v>0.66579903094009807</v>
      </c>
      <c r="T3648" s="12">
        <v>0.69578560577372972</v>
      </c>
      <c r="U3648" s="12">
        <v>0.65903715039059207</v>
      </c>
      <c r="V3648" s="12">
        <v>300.032917</v>
      </c>
      <c r="W3648" s="12">
        <v>7.2483881665081293</v>
      </c>
      <c r="X3648" s="12">
        <v>75.191129672952584</v>
      </c>
      <c r="Y3648" s="12">
        <v>2377.1665704769212</v>
      </c>
      <c r="Z3648" s="12">
        <v>2.3057787705060599</v>
      </c>
      <c r="AA3648" s="12" t="s">
        <v>1268</v>
      </c>
      <c r="AB3648" s="12"/>
    </row>
    <row r="3649" spans="1:28" x14ac:dyDescent="0.3">
      <c r="A3649" s="12" t="s">
        <v>5575</v>
      </c>
      <c r="B3649" s="12" t="s">
        <v>206</v>
      </c>
      <c r="C3649" s="12" t="s">
        <v>568</v>
      </c>
      <c r="D3649" s="12" t="s">
        <v>5538</v>
      </c>
      <c r="E3649" s="12" t="s">
        <v>2978</v>
      </c>
      <c r="F3649" s="12" t="s">
        <v>32</v>
      </c>
      <c r="G3649" s="12" t="s">
        <v>32</v>
      </c>
      <c r="H3649" s="12" t="b">
        <v>1</v>
      </c>
      <c r="I3649" s="12" t="b">
        <v>1</v>
      </c>
      <c r="J3649" s="12" t="b">
        <v>0</v>
      </c>
      <c r="K3649" s="12" t="b">
        <v>0</v>
      </c>
      <c r="L3649" s="12">
        <v>382.40879295013571</v>
      </c>
      <c r="M3649" s="12">
        <v>300.032917</v>
      </c>
      <c r="N3649" s="12">
        <v>2925.5871669238659</v>
      </c>
      <c r="O3649" s="12">
        <v>1453.3128775296891</v>
      </c>
      <c r="P3649" s="12">
        <v>0.63634848877411043</v>
      </c>
      <c r="Q3649" s="12">
        <v>0.46968030209495598</v>
      </c>
      <c r="R3649" s="12">
        <v>0.61719580079419967</v>
      </c>
      <c r="S3649" s="12">
        <v>0.92896547368750204</v>
      </c>
      <c r="T3649" s="12">
        <v>0.57349760735412958</v>
      </c>
      <c r="U3649" s="12">
        <v>0.75650489355586392</v>
      </c>
      <c r="V3649" s="12">
        <v>300.032917</v>
      </c>
      <c r="W3649" s="12">
        <v>2.2497156864305099</v>
      </c>
      <c r="X3649" s="12">
        <v>9.4379920379839195</v>
      </c>
      <c r="Y3649" s="12">
        <v>1472.2742893941779</v>
      </c>
      <c r="Z3649" s="12">
        <v>2.0130470266641538</v>
      </c>
      <c r="AA3649" s="12"/>
      <c r="AB3649" s="12"/>
    </row>
    <row r="3650" spans="1:28" x14ac:dyDescent="0.3">
      <c r="A3650" s="12" t="s">
        <v>5576</v>
      </c>
      <c r="B3650" s="12" t="s">
        <v>206</v>
      </c>
      <c r="C3650" s="12" t="s">
        <v>568</v>
      </c>
      <c r="D3650" s="12" t="s">
        <v>5538</v>
      </c>
      <c r="E3650" s="12" t="s">
        <v>2978</v>
      </c>
      <c r="F3650" s="12" t="s">
        <v>32</v>
      </c>
      <c r="G3650" s="12" t="s">
        <v>32</v>
      </c>
      <c r="H3650" s="12" t="b">
        <v>1</v>
      </c>
      <c r="I3650" s="12" t="b">
        <v>0</v>
      </c>
      <c r="J3650" s="12" t="b">
        <v>1</v>
      </c>
      <c r="K3650" s="12" t="b">
        <v>0</v>
      </c>
      <c r="L3650" s="12">
        <v>452.2538340953389</v>
      </c>
      <c r="M3650" s="12">
        <v>300.032917</v>
      </c>
      <c r="N3650" s="12">
        <v>4163.5101841721007</v>
      </c>
      <c r="O3650" s="12">
        <v>1510.943457621157</v>
      </c>
      <c r="P3650" s="12">
        <v>0.53521139008612073</v>
      </c>
      <c r="Q3650" s="12">
        <v>0.76272443866738804</v>
      </c>
      <c r="R3650" s="12">
        <v>0.88586050338982325</v>
      </c>
      <c r="S3650" s="12">
        <v>0.86366370042166762</v>
      </c>
      <c r="T3650" s="12">
        <v>0.74685673043271517</v>
      </c>
      <c r="U3650" s="12">
        <v>0.93892113182432635</v>
      </c>
      <c r="V3650" s="12">
        <v>300.032917</v>
      </c>
      <c r="W3650" s="12">
        <v>6.1205712464795097</v>
      </c>
      <c r="X3650" s="12">
        <v>54.383493872283168</v>
      </c>
      <c r="Y3650" s="12">
        <v>2652.5667265509442</v>
      </c>
      <c r="Z3650" s="12">
        <v>2.7555698151188048</v>
      </c>
      <c r="AA3650" s="12"/>
      <c r="AB3650" s="12"/>
    </row>
    <row r="3651" spans="1:28" x14ac:dyDescent="0.3">
      <c r="A3651" s="12" t="s">
        <v>5577</v>
      </c>
      <c r="B3651" s="12" t="s">
        <v>206</v>
      </c>
      <c r="C3651" s="12" t="s">
        <v>568</v>
      </c>
      <c r="D3651" s="12" t="s">
        <v>5538</v>
      </c>
      <c r="E3651" s="12" t="s">
        <v>2978</v>
      </c>
      <c r="F3651" s="12" t="s">
        <v>32</v>
      </c>
      <c r="G3651" s="12" t="s">
        <v>32</v>
      </c>
      <c r="H3651" s="12" t="b">
        <v>1</v>
      </c>
      <c r="I3651" s="12" t="b">
        <v>1</v>
      </c>
      <c r="J3651" s="12" t="b">
        <v>0</v>
      </c>
      <c r="K3651" s="12" t="b">
        <v>0</v>
      </c>
      <c r="L3651" s="12">
        <v>400.26865864461411</v>
      </c>
      <c r="M3651" s="12">
        <v>300.032917</v>
      </c>
      <c r="N3651" s="12">
        <v>4425.1985869558957</v>
      </c>
      <c r="O3651" s="12">
        <v>1955.3144758325061</v>
      </c>
      <c r="P3651" s="12">
        <v>0.66137499719166737</v>
      </c>
      <c r="Q3651" s="12">
        <v>0.64839683812116344</v>
      </c>
      <c r="R3651" s="12">
        <v>0.46591595219880549</v>
      </c>
      <c r="S3651" s="12">
        <v>0.60362548173477837</v>
      </c>
      <c r="T3651" s="12">
        <v>0.62856436532069893</v>
      </c>
      <c r="U3651" s="12">
        <v>0.59842526349878189</v>
      </c>
      <c r="V3651" s="12">
        <v>300.032917</v>
      </c>
      <c r="W3651" s="12">
        <v>1.6153743874751201</v>
      </c>
      <c r="X3651" s="12">
        <v>4.3506365909537994</v>
      </c>
      <c r="Y3651" s="12">
        <v>2469.8841111233901</v>
      </c>
      <c r="Z3651" s="12">
        <v>2.2631646426449108</v>
      </c>
      <c r="AA3651" s="12"/>
      <c r="AB3651" s="12"/>
    </row>
    <row r="3652" spans="1:28" x14ac:dyDescent="0.3">
      <c r="A3652" s="12" t="s">
        <v>5578</v>
      </c>
      <c r="B3652" s="12" t="s">
        <v>206</v>
      </c>
      <c r="C3652" s="12" t="s">
        <v>568</v>
      </c>
      <c r="D3652" s="12" t="s">
        <v>5538</v>
      </c>
      <c r="E3652" s="12" t="s">
        <v>2978</v>
      </c>
      <c r="F3652" s="12" t="s">
        <v>1861</v>
      </c>
      <c r="G3652" s="12" t="s">
        <v>1861</v>
      </c>
      <c r="H3652" s="12" t="b">
        <v>1</v>
      </c>
      <c r="I3652" s="12" t="b">
        <v>0</v>
      </c>
      <c r="J3652" s="12" t="b">
        <v>0</v>
      </c>
      <c r="K3652" s="12" t="b">
        <v>0</v>
      </c>
      <c r="L3652" s="12">
        <v>476.53325835973249</v>
      </c>
      <c r="M3652" s="12">
        <v>300.032917</v>
      </c>
      <c r="N3652" s="12">
        <v>3485.7774983404561</v>
      </c>
      <c r="O3652" s="12">
        <v>1848.5717048388569</v>
      </c>
      <c r="P3652" s="12">
        <v>0.83970321773154444</v>
      </c>
      <c r="Q3652" s="12">
        <v>0.92401671193532142</v>
      </c>
      <c r="R3652" s="12">
        <v>0.72148998792360952</v>
      </c>
      <c r="S3652" s="12">
        <v>0.65950345622226214</v>
      </c>
      <c r="T3652" s="12">
        <v>0.80283502896558712</v>
      </c>
      <c r="U3652" s="12">
        <v>0.70019582978358019</v>
      </c>
      <c r="V3652" s="12">
        <v>300.032917</v>
      </c>
      <c r="W3652" s="12">
        <v>6.1535938254205194</v>
      </c>
      <c r="X3652" s="12">
        <v>57.47677691061638</v>
      </c>
      <c r="Y3652" s="12">
        <v>1637.2057935015989</v>
      </c>
      <c r="Z3652" s="12">
        <v>1.885659879579471</v>
      </c>
      <c r="AA3652" s="12" t="s">
        <v>1268</v>
      </c>
      <c r="AB3652" s="12"/>
    </row>
    <row r="3653" spans="1:28" x14ac:dyDescent="0.3">
      <c r="A3653" s="12" t="s">
        <v>5579</v>
      </c>
      <c r="B3653" s="12" t="s">
        <v>206</v>
      </c>
      <c r="C3653" s="12" t="s">
        <v>568</v>
      </c>
      <c r="D3653" s="12" t="s">
        <v>5538</v>
      </c>
      <c r="E3653" s="12" t="s">
        <v>2978</v>
      </c>
      <c r="F3653" s="12" t="s">
        <v>1861</v>
      </c>
      <c r="G3653" s="12" t="s">
        <v>1861</v>
      </c>
      <c r="H3653" s="12" t="b">
        <v>1</v>
      </c>
      <c r="I3653" s="12" t="b">
        <v>0</v>
      </c>
      <c r="J3653" s="12" t="b">
        <v>1</v>
      </c>
      <c r="K3653" s="12" t="b">
        <v>0</v>
      </c>
      <c r="L3653" s="12">
        <v>468.69204929002927</v>
      </c>
      <c r="M3653" s="12">
        <v>300.032917</v>
      </c>
      <c r="N3653" s="12">
        <v>2554.5588045595059</v>
      </c>
      <c r="O3653" s="12">
        <v>541.68404198934968</v>
      </c>
      <c r="P3653" s="12">
        <v>0.5583693683726737</v>
      </c>
      <c r="Q3653" s="12">
        <v>0.69173070716448748</v>
      </c>
      <c r="R3653" s="12">
        <v>0.74840612225066472</v>
      </c>
      <c r="S3653" s="12">
        <v>0.92109111051886805</v>
      </c>
      <c r="T3653" s="12">
        <v>0.59680395452928203</v>
      </c>
      <c r="U3653" s="12">
        <v>0.92067157892839779</v>
      </c>
      <c r="V3653" s="12">
        <v>300.032917</v>
      </c>
      <c r="W3653" s="12">
        <v>8.7850706270304801</v>
      </c>
      <c r="X3653" s="12">
        <v>169.13122197283241</v>
      </c>
      <c r="Y3653" s="12">
        <v>2012.8747625701569</v>
      </c>
      <c r="Z3653" s="12">
        <v>4.715957286055203</v>
      </c>
      <c r="AA3653" s="12" t="s">
        <v>1268</v>
      </c>
      <c r="AB3653" s="12"/>
    </row>
    <row r="3654" spans="1:28" x14ac:dyDescent="0.3">
      <c r="A3654" s="12" t="s">
        <v>5580</v>
      </c>
      <c r="B3654" s="12" t="s">
        <v>206</v>
      </c>
      <c r="C3654" s="12" t="s">
        <v>568</v>
      </c>
      <c r="D3654" s="12" t="s">
        <v>5538</v>
      </c>
      <c r="E3654" s="12" t="s">
        <v>2978</v>
      </c>
      <c r="F3654" s="12" t="s">
        <v>1861</v>
      </c>
      <c r="G3654" s="12" t="s">
        <v>1861</v>
      </c>
      <c r="H3654" s="12" t="b">
        <v>1</v>
      </c>
      <c r="I3654" s="12" t="b">
        <v>0</v>
      </c>
      <c r="J3654" s="12" t="b">
        <v>0</v>
      </c>
      <c r="K3654" s="12" t="b">
        <v>0</v>
      </c>
      <c r="L3654" s="12">
        <v>515.80527506649833</v>
      </c>
      <c r="M3654" s="12">
        <v>300.032917</v>
      </c>
      <c r="N3654" s="12">
        <v>2788.2092353619441</v>
      </c>
      <c r="O3654" s="12">
        <v>868.92098751219737</v>
      </c>
      <c r="P3654" s="12">
        <v>0.69757180468446101</v>
      </c>
      <c r="Q3654" s="12">
        <v>0.41610130700068848</v>
      </c>
      <c r="R3654" s="12">
        <v>0.9437577588484668</v>
      </c>
      <c r="S3654" s="12">
        <v>0.46248873422427572</v>
      </c>
      <c r="T3654" s="12">
        <v>0.80839931997491721</v>
      </c>
      <c r="U3654" s="12">
        <v>0.79976307079212794</v>
      </c>
      <c r="V3654" s="12">
        <v>300.032917</v>
      </c>
      <c r="W3654" s="12">
        <v>4.0169664472977606</v>
      </c>
      <c r="X3654" s="12">
        <v>35.020154997301468</v>
      </c>
      <c r="Y3654" s="12">
        <v>1919.288247849747</v>
      </c>
      <c r="Z3654" s="12">
        <v>3.2088179195036481</v>
      </c>
      <c r="AA3654" s="12" t="s">
        <v>1268</v>
      </c>
      <c r="AB3654" s="12"/>
    </row>
    <row r="3655" spans="1:28" x14ac:dyDescent="0.3">
      <c r="A3655" s="12" t="s">
        <v>5581</v>
      </c>
      <c r="B3655" s="12" t="s">
        <v>206</v>
      </c>
      <c r="C3655" s="12" t="s">
        <v>568</v>
      </c>
      <c r="D3655" s="12" t="s">
        <v>5538</v>
      </c>
      <c r="E3655" s="12" t="s">
        <v>2978</v>
      </c>
      <c r="F3655" s="12" t="s">
        <v>832</v>
      </c>
      <c r="G3655" s="12" t="s">
        <v>832</v>
      </c>
      <c r="H3655" s="12" t="b">
        <v>0</v>
      </c>
      <c r="I3655" s="12" t="b">
        <v>0</v>
      </c>
      <c r="J3655" s="12" t="b">
        <v>0</v>
      </c>
      <c r="K3655" s="12" t="b">
        <v>0</v>
      </c>
      <c r="L3655" s="12">
        <v>390.22911168919279</v>
      </c>
      <c r="M3655" s="12">
        <v>300.032917</v>
      </c>
      <c r="N3655" s="12">
        <v>4375.8038087322584</v>
      </c>
      <c r="O3655" s="12">
        <v>404.65403891940178</v>
      </c>
      <c r="P3655" s="12">
        <v>0.78070333040465889</v>
      </c>
      <c r="Q3655" s="12">
        <v>0.8284497474074084</v>
      </c>
      <c r="R3655" s="12">
        <v>0.84459908407886197</v>
      </c>
      <c r="S3655" s="12">
        <v>0.5052013024368126</v>
      </c>
      <c r="T3655" s="12">
        <v>0.4029380910019863</v>
      </c>
      <c r="U3655" s="12">
        <v>0.60954449295796986</v>
      </c>
      <c r="V3655" s="12">
        <v>300.032917</v>
      </c>
      <c r="W3655" s="12"/>
      <c r="X3655" s="12"/>
      <c r="Y3655" s="12">
        <v>3971.149769812856</v>
      </c>
      <c r="Z3655" s="12">
        <v>10.813691172878229</v>
      </c>
      <c r="AA3655" s="12"/>
      <c r="AB3655" s="12"/>
    </row>
    <row r="3656" spans="1:28" x14ac:dyDescent="0.3">
      <c r="A3656" s="12" t="s">
        <v>5582</v>
      </c>
      <c r="B3656" s="12" t="s">
        <v>206</v>
      </c>
      <c r="C3656" s="12" t="s">
        <v>568</v>
      </c>
      <c r="D3656" s="12" t="s">
        <v>5538</v>
      </c>
      <c r="E3656" s="12" t="s">
        <v>2978</v>
      </c>
      <c r="F3656" s="12" t="s">
        <v>1862</v>
      </c>
      <c r="G3656" s="12" t="s">
        <v>1862</v>
      </c>
      <c r="H3656" s="12" t="b">
        <v>1</v>
      </c>
      <c r="I3656" s="12" t="b">
        <v>0</v>
      </c>
      <c r="J3656" s="12" t="b">
        <v>1</v>
      </c>
      <c r="K3656" s="12" t="b">
        <v>0</v>
      </c>
      <c r="L3656" s="12">
        <v>444.31823773406751</v>
      </c>
      <c r="M3656" s="12">
        <v>300.032917</v>
      </c>
      <c r="N3656" s="12">
        <v>2743.6778217183969</v>
      </c>
      <c r="O3656" s="12">
        <v>486.33626871447228</v>
      </c>
      <c r="P3656" s="12">
        <v>0.81303233867405389</v>
      </c>
      <c r="Q3656" s="12">
        <v>0.85377319530844975</v>
      </c>
      <c r="R3656" s="12">
        <v>0.65258908668368054</v>
      </c>
      <c r="S3656" s="12">
        <v>0.83569435862843344</v>
      </c>
      <c r="T3656" s="12">
        <v>0.63299365617857739</v>
      </c>
      <c r="U3656" s="12">
        <v>0.62728745447839562</v>
      </c>
      <c r="V3656" s="12">
        <v>300.032917</v>
      </c>
      <c r="W3656" s="12">
        <v>-14.04251582133805</v>
      </c>
      <c r="X3656" s="12">
        <v>-61.523787786542933</v>
      </c>
      <c r="Y3656" s="12">
        <v>2257.3415530039251</v>
      </c>
      <c r="Z3656" s="12">
        <v>5.6415241844305219</v>
      </c>
      <c r="AA3656" s="12" t="s">
        <v>2513</v>
      </c>
      <c r="AB3656" s="12"/>
    </row>
    <row r="3657" spans="1:28" x14ac:dyDescent="0.3">
      <c r="A3657" s="12" t="s">
        <v>5583</v>
      </c>
      <c r="B3657" s="12" t="s">
        <v>206</v>
      </c>
      <c r="C3657" s="12" t="s">
        <v>568</v>
      </c>
      <c r="D3657" s="12" t="s">
        <v>5538</v>
      </c>
      <c r="E3657" s="12" t="s">
        <v>2978</v>
      </c>
      <c r="F3657" s="12" t="s">
        <v>1861</v>
      </c>
      <c r="G3657" s="12" t="s">
        <v>1861</v>
      </c>
      <c r="H3657" s="12" t="b">
        <v>1</v>
      </c>
      <c r="I3657" s="12" t="b">
        <v>0</v>
      </c>
      <c r="J3657" s="12" t="b">
        <v>1</v>
      </c>
      <c r="K3657" s="12" t="b">
        <v>0</v>
      </c>
      <c r="L3657" s="12">
        <v>448.65487347917991</v>
      </c>
      <c r="M3657" s="12">
        <v>300.032917</v>
      </c>
      <c r="N3657" s="12">
        <v>3399.5669676025</v>
      </c>
      <c r="O3657" s="12">
        <v>1226.4065281947189</v>
      </c>
      <c r="P3657" s="12">
        <v>0.75894433301322051</v>
      </c>
      <c r="Q3657" s="12">
        <v>0.92061993463777703</v>
      </c>
      <c r="R3657" s="12">
        <v>0.76884504085029015</v>
      </c>
      <c r="S3657" s="12">
        <v>0.6721879774306232</v>
      </c>
      <c r="T3657" s="12">
        <v>0.85835976695316973</v>
      </c>
      <c r="U3657" s="12">
        <v>0.45731043725199899</v>
      </c>
      <c r="V3657" s="12">
        <v>300.032917</v>
      </c>
      <c r="W3657" s="12">
        <v>5.6204289827945297</v>
      </c>
      <c r="X3657" s="12">
        <v>38.159127535367823</v>
      </c>
      <c r="Y3657" s="12">
        <v>2173.1604394077799</v>
      </c>
      <c r="Z3657" s="12">
        <v>2.771973965767037</v>
      </c>
      <c r="AA3657" s="12" t="s">
        <v>1268</v>
      </c>
      <c r="AB3657" s="12"/>
    </row>
    <row r="3658" spans="1:28" x14ac:dyDescent="0.3">
      <c r="A3658" s="12" t="s">
        <v>5584</v>
      </c>
      <c r="B3658" s="12" t="s">
        <v>206</v>
      </c>
      <c r="C3658" s="12" t="s">
        <v>568</v>
      </c>
      <c r="D3658" s="12" t="s">
        <v>5538</v>
      </c>
      <c r="E3658" s="12" t="s">
        <v>2978</v>
      </c>
      <c r="F3658" s="12" t="s">
        <v>832</v>
      </c>
      <c r="G3658" s="12" t="s">
        <v>832</v>
      </c>
      <c r="H3658" s="12" t="b">
        <v>0</v>
      </c>
      <c r="I3658" s="12" t="b">
        <v>0</v>
      </c>
      <c r="J3658" s="12" t="b">
        <v>0</v>
      </c>
      <c r="K3658" s="12" t="b">
        <v>0</v>
      </c>
      <c r="L3658" s="12">
        <v>505.2286760219144</v>
      </c>
      <c r="M3658" s="12">
        <v>300.032917</v>
      </c>
      <c r="N3658" s="12">
        <v>2007.3456126635731</v>
      </c>
      <c r="O3658" s="12">
        <v>1457.055131111071</v>
      </c>
      <c r="P3658" s="12">
        <v>0.80744142380919337</v>
      </c>
      <c r="Q3658" s="12">
        <v>0.51581041202343325</v>
      </c>
      <c r="R3658" s="12">
        <v>0.68509095376907303</v>
      </c>
      <c r="S3658" s="12">
        <v>0.90564923698620803</v>
      </c>
      <c r="T3658" s="12">
        <v>0.76224120663556905</v>
      </c>
      <c r="U3658" s="12">
        <v>0.52362782450396916</v>
      </c>
      <c r="V3658" s="12">
        <v>300.032917</v>
      </c>
      <c r="W3658" s="12"/>
      <c r="X3658" s="12"/>
      <c r="Y3658" s="12">
        <v>550.29048155250189</v>
      </c>
      <c r="Z3658" s="12">
        <v>1.377673067959261</v>
      </c>
      <c r="AA3658" s="12"/>
      <c r="AB3658" s="12"/>
    </row>
    <row r="3659" spans="1:28" x14ac:dyDescent="0.3">
      <c r="A3659" s="12" t="s">
        <v>5585</v>
      </c>
      <c r="B3659" s="12" t="s">
        <v>206</v>
      </c>
      <c r="C3659" s="12" t="s">
        <v>568</v>
      </c>
      <c r="D3659" s="12" t="s">
        <v>5538</v>
      </c>
      <c r="E3659" s="12" t="s">
        <v>2978</v>
      </c>
      <c r="F3659" s="12" t="s">
        <v>32</v>
      </c>
      <c r="G3659" s="12" t="s">
        <v>32</v>
      </c>
      <c r="H3659" s="12" t="b">
        <v>1</v>
      </c>
      <c r="I3659" s="12" t="b">
        <v>1</v>
      </c>
      <c r="J3659" s="12" t="b">
        <v>0</v>
      </c>
      <c r="K3659" s="12" t="b">
        <v>0</v>
      </c>
      <c r="L3659" s="12">
        <v>397.1723144211648</v>
      </c>
      <c r="M3659" s="12">
        <v>300.032917</v>
      </c>
      <c r="N3659" s="12">
        <v>4246.3224205174884</v>
      </c>
      <c r="O3659" s="12">
        <v>1840.9338107802121</v>
      </c>
      <c r="P3659" s="12">
        <v>0.67621885717213415</v>
      </c>
      <c r="Q3659" s="12">
        <v>0.77971394260407334</v>
      </c>
      <c r="R3659" s="12">
        <v>0.86952856182861993</v>
      </c>
      <c r="S3659" s="12">
        <v>0.43928346721837641</v>
      </c>
      <c r="T3659" s="12">
        <v>0.788743200136931</v>
      </c>
      <c r="U3659" s="12">
        <v>0.73007686154469176</v>
      </c>
      <c r="V3659" s="12">
        <v>300.032917</v>
      </c>
      <c r="W3659" s="12">
        <v>3.130364370431709</v>
      </c>
      <c r="X3659" s="12">
        <v>6.4575223448822623</v>
      </c>
      <c r="Y3659" s="12">
        <v>2405.3886097372761</v>
      </c>
      <c r="Z3659" s="12">
        <v>2.3066133044282782</v>
      </c>
      <c r="AA3659" s="12"/>
      <c r="AB3659" s="12"/>
    </row>
    <row r="3660" spans="1:28" x14ac:dyDescent="0.3">
      <c r="A3660" s="12" t="s">
        <v>5586</v>
      </c>
      <c r="B3660" s="12" t="s">
        <v>206</v>
      </c>
      <c r="C3660" s="12" t="s">
        <v>568</v>
      </c>
      <c r="D3660" s="12" t="s">
        <v>5538</v>
      </c>
      <c r="E3660" s="12" t="s">
        <v>2978</v>
      </c>
      <c r="F3660" s="12" t="s">
        <v>32</v>
      </c>
      <c r="G3660" s="12" t="s">
        <v>32</v>
      </c>
      <c r="H3660" s="12" t="b">
        <v>1</v>
      </c>
      <c r="I3660" s="12" t="b">
        <v>0</v>
      </c>
      <c r="J3660" s="12" t="b">
        <v>1</v>
      </c>
      <c r="K3660" s="12" t="b">
        <v>0</v>
      </c>
      <c r="L3660" s="12">
        <v>474.45496521158111</v>
      </c>
      <c r="M3660" s="12">
        <v>300.032917</v>
      </c>
      <c r="N3660" s="12">
        <v>3002.00503465358</v>
      </c>
      <c r="O3660" s="12">
        <v>1793.8445780566319</v>
      </c>
      <c r="P3660" s="12">
        <v>0.79074836942524884</v>
      </c>
      <c r="Q3660" s="12">
        <v>0.46579996562365178</v>
      </c>
      <c r="R3660" s="12">
        <v>0.75410613936529758</v>
      </c>
      <c r="S3660" s="12">
        <v>0.89179083929172098</v>
      </c>
      <c r="T3660" s="12">
        <v>0.50071985491743065</v>
      </c>
      <c r="U3660" s="12">
        <v>0.94295030530068602</v>
      </c>
      <c r="V3660" s="12">
        <v>300.032917</v>
      </c>
      <c r="W3660" s="12">
        <v>2.3933662939225799</v>
      </c>
      <c r="X3660" s="12">
        <v>39.049942009021102</v>
      </c>
      <c r="Y3660" s="12">
        <v>1208.1604565969481</v>
      </c>
      <c r="Z3660" s="12">
        <v>1.6735034190675611</v>
      </c>
      <c r="AA3660" s="12"/>
      <c r="AB3660" s="12"/>
    </row>
    <row r="3661" spans="1:28" x14ac:dyDescent="0.3">
      <c r="A3661" s="12" t="s">
        <v>5587</v>
      </c>
      <c r="B3661" s="12" t="s">
        <v>206</v>
      </c>
      <c r="C3661" s="12" t="s">
        <v>568</v>
      </c>
      <c r="D3661" s="12" t="s">
        <v>5538</v>
      </c>
      <c r="E3661" s="12" t="s">
        <v>2978</v>
      </c>
      <c r="F3661" s="12" t="s">
        <v>1861</v>
      </c>
      <c r="G3661" s="12" t="s">
        <v>1861</v>
      </c>
      <c r="H3661" s="12" t="b">
        <v>1</v>
      </c>
      <c r="I3661" s="12" t="b">
        <v>0</v>
      </c>
      <c r="J3661" s="12" t="b">
        <v>1</v>
      </c>
      <c r="K3661" s="12" t="b">
        <v>0</v>
      </c>
      <c r="L3661" s="12">
        <v>484.88523692430249</v>
      </c>
      <c r="M3661" s="12">
        <v>300.032917</v>
      </c>
      <c r="N3661" s="12">
        <v>2115.3531418416651</v>
      </c>
      <c r="O3661" s="12">
        <v>1567.9328171477889</v>
      </c>
      <c r="P3661" s="12">
        <v>0.72232714529379938</v>
      </c>
      <c r="Q3661" s="12">
        <v>0.71721865560784637</v>
      </c>
      <c r="R3661" s="12">
        <v>0.76402982949234466</v>
      </c>
      <c r="S3661" s="12">
        <v>0.88013096702497984</v>
      </c>
      <c r="T3661" s="12">
        <v>0.8669145430882389</v>
      </c>
      <c r="U3661" s="12">
        <v>0.704385633896212</v>
      </c>
      <c r="V3661" s="12">
        <v>300.032917</v>
      </c>
      <c r="W3661" s="12">
        <v>1.5459739568192901</v>
      </c>
      <c r="X3661" s="12">
        <v>20.710834138265788</v>
      </c>
      <c r="Y3661" s="12">
        <v>547.42032469387527</v>
      </c>
      <c r="Z3661" s="12">
        <v>1.3491350641475071</v>
      </c>
      <c r="AA3661" s="12" t="s">
        <v>1268</v>
      </c>
      <c r="AB3661" s="12"/>
    </row>
    <row r="3662" spans="1:28" x14ac:dyDescent="0.3">
      <c r="A3662" s="12" t="s">
        <v>5588</v>
      </c>
      <c r="B3662" s="12" t="s">
        <v>206</v>
      </c>
      <c r="C3662" s="12" t="s">
        <v>568</v>
      </c>
      <c r="D3662" s="12" t="s">
        <v>5538</v>
      </c>
      <c r="E3662" s="12" t="s">
        <v>2978</v>
      </c>
      <c r="F3662" s="12" t="s">
        <v>1861</v>
      </c>
      <c r="G3662" s="12" t="s">
        <v>1861</v>
      </c>
      <c r="H3662" s="12" t="b">
        <v>1</v>
      </c>
      <c r="I3662" s="12" t="b">
        <v>0</v>
      </c>
      <c r="J3662" s="12" t="b">
        <v>1</v>
      </c>
      <c r="K3662" s="12" t="b">
        <v>0</v>
      </c>
      <c r="L3662" s="12">
        <v>510.32825961253269</v>
      </c>
      <c r="M3662" s="12">
        <v>300.032917</v>
      </c>
      <c r="N3662" s="12">
        <v>3711.9446252511771</v>
      </c>
      <c r="O3662" s="12">
        <v>954.78604765241164</v>
      </c>
      <c r="P3662" s="12">
        <v>0.71727798535318466</v>
      </c>
      <c r="Q3662" s="12">
        <v>0.75506213520591747</v>
      </c>
      <c r="R3662" s="12">
        <v>0.40838369114623418</v>
      </c>
      <c r="S3662" s="12">
        <v>0.65478317267052843</v>
      </c>
      <c r="T3662" s="12">
        <v>0.58614322932786223</v>
      </c>
      <c r="U3662" s="12">
        <v>0.88166104736520645</v>
      </c>
      <c r="V3662" s="12">
        <v>300.032917</v>
      </c>
      <c r="W3662" s="12">
        <v>9.0218147667153392</v>
      </c>
      <c r="X3662" s="12">
        <v>112.1015946931016</v>
      </c>
      <c r="Y3662" s="12">
        <v>2757.1585775987651</v>
      </c>
      <c r="Z3662" s="12">
        <v>3.887723992592846</v>
      </c>
      <c r="AA3662" s="12" t="s">
        <v>1268</v>
      </c>
      <c r="AB3662" s="12"/>
    </row>
    <row r="3663" spans="1:28" x14ac:dyDescent="0.3">
      <c r="A3663" s="12" t="s">
        <v>5589</v>
      </c>
      <c r="B3663" s="12" t="s">
        <v>206</v>
      </c>
      <c r="C3663" s="12" t="s">
        <v>568</v>
      </c>
      <c r="D3663" s="12" t="s">
        <v>5538</v>
      </c>
      <c r="E3663" s="12" t="s">
        <v>2978</v>
      </c>
      <c r="F3663" s="12" t="s">
        <v>1862</v>
      </c>
      <c r="G3663" s="12" t="s">
        <v>1862</v>
      </c>
      <c r="H3663" s="12" t="b">
        <v>1</v>
      </c>
      <c r="I3663" s="12" t="b">
        <v>0</v>
      </c>
      <c r="J3663" s="12" t="b">
        <v>1</v>
      </c>
      <c r="K3663" s="12" t="b">
        <v>0</v>
      </c>
      <c r="L3663" s="12">
        <v>495.24914254882913</v>
      </c>
      <c r="M3663" s="12">
        <v>300.032917</v>
      </c>
      <c r="N3663" s="12">
        <v>4530.0517311149833</v>
      </c>
      <c r="O3663" s="12">
        <v>578.59365496750388</v>
      </c>
      <c r="P3663" s="12">
        <v>0.70547125342084316</v>
      </c>
      <c r="Q3663" s="12">
        <v>0.443393371974108</v>
      </c>
      <c r="R3663" s="12">
        <v>0.62166272499419306</v>
      </c>
      <c r="S3663" s="12">
        <v>0.70239472518841684</v>
      </c>
      <c r="T3663" s="12">
        <v>0.70208217057461542</v>
      </c>
      <c r="U3663" s="12">
        <v>0.49173541688188971</v>
      </c>
      <c r="V3663" s="12">
        <v>300.032917</v>
      </c>
      <c r="W3663" s="12">
        <v>-36.756944050875262</v>
      </c>
      <c r="X3663" s="12">
        <v>-192.90043186942879</v>
      </c>
      <c r="Y3663" s="12">
        <v>3951.4580761474799</v>
      </c>
      <c r="Z3663" s="12">
        <v>7.8294182665542866</v>
      </c>
      <c r="AA3663" s="12" t="s">
        <v>2513</v>
      </c>
      <c r="AB3663" s="12"/>
    </row>
    <row r="3664" spans="1:28" x14ac:dyDescent="0.3">
      <c r="A3664" s="12" t="s">
        <v>5590</v>
      </c>
      <c r="B3664" s="12" t="s">
        <v>206</v>
      </c>
      <c r="C3664" s="12" t="s">
        <v>568</v>
      </c>
      <c r="D3664" s="12" t="s">
        <v>5538</v>
      </c>
      <c r="E3664" s="12" t="s">
        <v>2978</v>
      </c>
      <c r="F3664" s="12" t="s">
        <v>32</v>
      </c>
      <c r="G3664" s="12" t="s">
        <v>32</v>
      </c>
      <c r="H3664" s="12" t="b">
        <v>1</v>
      </c>
      <c r="I3664" s="12" t="b">
        <v>1</v>
      </c>
      <c r="J3664" s="12" t="b">
        <v>0</v>
      </c>
      <c r="K3664" s="12" t="b">
        <v>0</v>
      </c>
      <c r="L3664" s="12">
        <v>487.30013485532311</v>
      </c>
      <c r="M3664" s="12">
        <v>300.032917</v>
      </c>
      <c r="N3664" s="12">
        <v>3058.337191580531</v>
      </c>
      <c r="O3664" s="12">
        <v>1593.0968380465611</v>
      </c>
      <c r="P3664" s="12">
        <v>0.68353656285570796</v>
      </c>
      <c r="Q3664" s="12">
        <v>0.58709647072855131</v>
      </c>
      <c r="R3664" s="12">
        <v>0.92494025502148425</v>
      </c>
      <c r="S3664" s="12">
        <v>0.53582094523900226</v>
      </c>
      <c r="T3664" s="12">
        <v>0.49075950169941679</v>
      </c>
      <c r="U3664" s="12">
        <v>0.90515665637771281</v>
      </c>
      <c r="V3664" s="12">
        <v>300.032917</v>
      </c>
      <c r="W3664" s="12">
        <v>3.5840822284929201</v>
      </c>
      <c r="X3664" s="12">
        <v>37.378712561105388</v>
      </c>
      <c r="Y3664" s="12">
        <v>1465.2403535339699</v>
      </c>
      <c r="Z3664" s="12">
        <v>1.919743432125967</v>
      </c>
      <c r="AA3664" s="12"/>
      <c r="AB3664" s="12"/>
    </row>
    <row r="3665" spans="1:28" x14ac:dyDescent="0.3">
      <c r="A3665" s="12" t="s">
        <v>5591</v>
      </c>
      <c r="B3665" s="12" t="s">
        <v>206</v>
      </c>
      <c r="C3665" s="12" t="s">
        <v>568</v>
      </c>
      <c r="D3665" s="12" t="s">
        <v>5538</v>
      </c>
      <c r="E3665" s="12" t="s">
        <v>2978</v>
      </c>
      <c r="F3665" s="12" t="s">
        <v>1862</v>
      </c>
      <c r="G3665" s="12" t="s">
        <v>1862</v>
      </c>
      <c r="H3665" s="12" t="b">
        <v>1</v>
      </c>
      <c r="I3665" s="12" t="b">
        <v>0</v>
      </c>
      <c r="J3665" s="12" t="b">
        <v>0</v>
      </c>
      <c r="K3665" s="12" t="b">
        <v>0</v>
      </c>
      <c r="L3665" s="12">
        <v>426.82919787774722</v>
      </c>
      <c r="M3665" s="12">
        <v>300.032917</v>
      </c>
      <c r="N3665" s="12">
        <v>3187.275715191327</v>
      </c>
      <c r="O3665" s="12">
        <v>744.27279637891957</v>
      </c>
      <c r="P3665" s="12">
        <v>0.57068596245910541</v>
      </c>
      <c r="Q3665" s="12">
        <v>0.90813361706564999</v>
      </c>
      <c r="R3665" s="12">
        <v>0.4563045554519895</v>
      </c>
      <c r="S3665" s="12">
        <v>0.4814353488235617</v>
      </c>
      <c r="T3665" s="12">
        <v>0.8393098964628336</v>
      </c>
      <c r="U3665" s="12">
        <v>0.46490390332575088</v>
      </c>
      <c r="V3665" s="12">
        <v>300.032917</v>
      </c>
      <c r="W3665" s="12">
        <v>-0.72381751016504003</v>
      </c>
      <c r="X3665" s="12">
        <v>-2.31362669389646</v>
      </c>
      <c r="Y3665" s="12">
        <v>2443.0029188124072</v>
      </c>
      <c r="Z3665" s="12">
        <v>4.2824025420494349</v>
      </c>
      <c r="AA3665" s="12" t="s">
        <v>2513</v>
      </c>
      <c r="AB3665" s="12"/>
    </row>
    <row r="3666" spans="1:28" x14ac:dyDescent="0.3">
      <c r="A3666" s="12" t="s">
        <v>5592</v>
      </c>
      <c r="B3666" s="12" t="s">
        <v>206</v>
      </c>
      <c r="C3666" s="12" t="s">
        <v>568</v>
      </c>
      <c r="D3666" s="12" t="s">
        <v>5538</v>
      </c>
      <c r="E3666" s="12" t="s">
        <v>2978</v>
      </c>
      <c r="F3666" s="12" t="s">
        <v>1862</v>
      </c>
      <c r="G3666" s="12" t="s">
        <v>1862</v>
      </c>
      <c r="H3666" s="12" t="b">
        <v>1</v>
      </c>
      <c r="I3666" s="12" t="b">
        <v>0</v>
      </c>
      <c r="J3666" s="12" t="b">
        <v>0</v>
      </c>
      <c r="K3666" s="12" t="b">
        <v>0</v>
      </c>
      <c r="L3666" s="12">
        <v>410.63741584746441</v>
      </c>
      <c r="M3666" s="12">
        <v>300.032917</v>
      </c>
      <c r="N3666" s="12">
        <v>3989.620630201327</v>
      </c>
      <c r="O3666" s="12">
        <v>1807.756988112083</v>
      </c>
      <c r="P3666" s="12">
        <v>0.50253973811195951</v>
      </c>
      <c r="Q3666" s="12">
        <v>0.67270563592193788</v>
      </c>
      <c r="R3666" s="12">
        <v>0.50804815511214052</v>
      </c>
      <c r="S3666" s="12">
        <v>0.7911399304474469</v>
      </c>
      <c r="T3666" s="12">
        <v>0.48146883931462459</v>
      </c>
      <c r="U3666" s="12">
        <v>0.81081793219550846</v>
      </c>
      <c r="V3666" s="12">
        <v>300.032917</v>
      </c>
      <c r="W3666" s="12">
        <v>-0.37185864482078002</v>
      </c>
      <c r="X3666" s="12">
        <v>-1.0956135792254571</v>
      </c>
      <c r="Y3666" s="12">
        <v>2181.863642089244</v>
      </c>
      <c r="Z3666" s="12">
        <v>2.2069452124579292</v>
      </c>
      <c r="AA3666" s="12" t="s">
        <v>1696</v>
      </c>
      <c r="AB3666" s="12"/>
    </row>
    <row r="3667" spans="1:28" x14ac:dyDescent="0.3">
      <c r="A3667" s="12" t="s">
        <v>5593</v>
      </c>
      <c r="B3667" s="12" t="s">
        <v>206</v>
      </c>
      <c r="C3667" s="12" t="s">
        <v>568</v>
      </c>
      <c r="D3667" s="12" t="s">
        <v>5538</v>
      </c>
      <c r="E3667" s="12" t="s">
        <v>2978</v>
      </c>
      <c r="F3667" s="12" t="s">
        <v>832</v>
      </c>
      <c r="G3667" s="12" t="s">
        <v>832</v>
      </c>
      <c r="H3667" s="12" t="b">
        <v>0</v>
      </c>
      <c r="I3667" s="12" t="b">
        <v>0</v>
      </c>
      <c r="J3667" s="12" t="b">
        <v>0</v>
      </c>
      <c r="K3667" s="12" t="b">
        <v>0</v>
      </c>
      <c r="L3667" s="12">
        <v>406.20447730443618</v>
      </c>
      <c r="M3667" s="12">
        <v>300.032917</v>
      </c>
      <c r="N3667" s="12">
        <v>4756.5883560205202</v>
      </c>
      <c r="O3667" s="12">
        <v>1920.6413354449489</v>
      </c>
      <c r="P3667" s="12">
        <v>0.50364017502956571</v>
      </c>
      <c r="Q3667" s="12">
        <v>0.69918027908102931</v>
      </c>
      <c r="R3667" s="12">
        <v>0.4438908882108985</v>
      </c>
      <c r="S3667" s="12">
        <v>0.52335767066925654</v>
      </c>
      <c r="T3667" s="12">
        <v>0.4672756623849994</v>
      </c>
      <c r="U3667" s="12">
        <v>0.91316531767724041</v>
      </c>
      <c r="V3667" s="12">
        <v>300.032917</v>
      </c>
      <c r="W3667" s="12"/>
      <c r="X3667" s="12"/>
      <c r="Y3667" s="12">
        <v>2835.947020575572</v>
      </c>
      <c r="Z3667" s="12">
        <v>2.4765625253600909</v>
      </c>
      <c r="AA3667" s="12"/>
      <c r="AB3667" s="12"/>
    </row>
    <row r="3668" spans="1:28" x14ac:dyDescent="0.3">
      <c r="A3668" s="12" t="s">
        <v>5594</v>
      </c>
      <c r="B3668" s="12" t="s">
        <v>206</v>
      </c>
      <c r="C3668" s="12" t="s">
        <v>568</v>
      </c>
      <c r="D3668" s="12" t="s">
        <v>5538</v>
      </c>
      <c r="E3668" s="12" t="s">
        <v>2978</v>
      </c>
      <c r="F3668" s="12" t="s">
        <v>1862</v>
      </c>
      <c r="G3668" s="12" t="s">
        <v>1862</v>
      </c>
      <c r="H3668" s="12" t="b">
        <v>1</v>
      </c>
      <c r="I3668" s="12" t="b">
        <v>0</v>
      </c>
      <c r="J3668" s="12" t="b">
        <v>1</v>
      </c>
      <c r="K3668" s="12" t="b">
        <v>0</v>
      </c>
      <c r="L3668" s="12">
        <v>441.55221409240841</v>
      </c>
      <c r="M3668" s="12">
        <v>300.032917</v>
      </c>
      <c r="N3668" s="12">
        <v>4272.6784448832668</v>
      </c>
      <c r="O3668" s="12">
        <v>520.06758606065932</v>
      </c>
      <c r="P3668" s="12">
        <v>0.83128894887594529</v>
      </c>
      <c r="Q3668" s="12">
        <v>0.74348392395803287</v>
      </c>
      <c r="R3668" s="12">
        <v>0.46665864038431731</v>
      </c>
      <c r="S3668" s="12">
        <v>0.87170657750620562</v>
      </c>
      <c r="T3668" s="12">
        <v>0.7563345393434826</v>
      </c>
      <c r="U3668" s="12">
        <v>0.77116850408317184</v>
      </c>
      <c r="V3668" s="12">
        <v>300.032917</v>
      </c>
      <c r="W3668" s="12">
        <v>-74.829818872729362</v>
      </c>
      <c r="X3668" s="12">
        <v>-224.27315231998091</v>
      </c>
      <c r="Y3668" s="12">
        <v>3752.610858822608</v>
      </c>
      <c r="Z3668" s="12">
        <v>8.2156215065187954</v>
      </c>
      <c r="AA3668" s="12" t="s">
        <v>2513</v>
      </c>
      <c r="AB3668" s="12"/>
    </row>
    <row r="3669" spans="1:28" x14ac:dyDescent="0.3">
      <c r="A3669" s="12" t="s">
        <v>5595</v>
      </c>
      <c r="B3669" s="12" t="s">
        <v>206</v>
      </c>
      <c r="C3669" s="12" t="s">
        <v>568</v>
      </c>
      <c r="D3669" s="12" t="s">
        <v>5538</v>
      </c>
      <c r="E3669" s="12" t="s">
        <v>2978</v>
      </c>
      <c r="F3669" s="12" t="s">
        <v>1862</v>
      </c>
      <c r="G3669" s="12" t="s">
        <v>1862</v>
      </c>
      <c r="H3669" s="12" t="b">
        <v>1</v>
      </c>
      <c r="I3669" s="12" t="b">
        <v>0</v>
      </c>
      <c r="J3669" s="12" t="b">
        <v>1</v>
      </c>
      <c r="K3669" s="12" t="b">
        <v>0</v>
      </c>
      <c r="L3669" s="12">
        <v>436.83612723520213</v>
      </c>
      <c r="M3669" s="12">
        <v>300.032917</v>
      </c>
      <c r="N3669" s="12">
        <v>3783.3870989180068</v>
      </c>
      <c r="O3669" s="12">
        <v>733.97261943146725</v>
      </c>
      <c r="P3669" s="12">
        <v>0.55270252263162034</v>
      </c>
      <c r="Q3669" s="12">
        <v>0.49067380328042781</v>
      </c>
      <c r="R3669" s="12">
        <v>0.83231968685521229</v>
      </c>
      <c r="S3669" s="12">
        <v>0.78822931676400199</v>
      </c>
      <c r="T3669" s="12">
        <v>0.44091076367064641</v>
      </c>
      <c r="U3669" s="12">
        <v>0.50881758562436397</v>
      </c>
      <c r="V3669" s="12">
        <v>300.032917</v>
      </c>
      <c r="W3669" s="12">
        <v>-0.67840837335086002</v>
      </c>
      <c r="X3669" s="12">
        <v>-3.2897355240971322</v>
      </c>
      <c r="Y3669" s="12">
        <v>3049.4144794865401</v>
      </c>
      <c r="Z3669" s="12">
        <v>5.1546706222482879</v>
      </c>
      <c r="AA3669" s="12" t="s">
        <v>2513</v>
      </c>
      <c r="AB3669" s="12"/>
    </row>
    <row r="3670" spans="1:28" x14ac:dyDescent="0.3">
      <c r="A3670" s="12" t="s">
        <v>5596</v>
      </c>
      <c r="B3670" s="12" t="s">
        <v>206</v>
      </c>
      <c r="C3670" s="12" t="s">
        <v>568</v>
      </c>
      <c r="D3670" s="12" t="s">
        <v>5538</v>
      </c>
      <c r="E3670" s="12" t="s">
        <v>2978</v>
      </c>
      <c r="F3670" s="12" t="s">
        <v>1862</v>
      </c>
      <c r="G3670" s="12" t="s">
        <v>1862</v>
      </c>
      <c r="H3670" s="12" t="b">
        <v>1</v>
      </c>
      <c r="I3670" s="12" t="b">
        <v>0</v>
      </c>
      <c r="J3670" s="12" t="b">
        <v>0</v>
      </c>
      <c r="K3670" s="12" t="b">
        <v>0</v>
      </c>
      <c r="L3670" s="12">
        <v>401.19732932538159</v>
      </c>
      <c r="M3670" s="12">
        <v>300.032917</v>
      </c>
      <c r="N3670" s="12">
        <v>2342.332034309009</v>
      </c>
      <c r="O3670" s="12">
        <v>976.00198830363445</v>
      </c>
      <c r="P3670" s="12">
        <v>0.62203984069006457</v>
      </c>
      <c r="Q3670" s="12">
        <v>0.49633906502218988</v>
      </c>
      <c r="R3670" s="12">
        <v>0.80672051465722139</v>
      </c>
      <c r="S3670" s="12">
        <v>0.5158603496888694</v>
      </c>
      <c r="T3670" s="12">
        <v>0.50484229591881136</v>
      </c>
      <c r="U3670" s="12">
        <v>0.48229883417515101</v>
      </c>
      <c r="V3670" s="12">
        <v>300.032917</v>
      </c>
      <c r="W3670" s="12">
        <v>-0.72155540063494994</v>
      </c>
      <c r="X3670" s="12">
        <v>-2.3570857742427549</v>
      </c>
      <c r="Y3670" s="12">
        <v>1366.330046005374</v>
      </c>
      <c r="Z3670" s="12">
        <v>2.3999254739021172</v>
      </c>
      <c r="AA3670" s="12" t="s">
        <v>2513</v>
      </c>
      <c r="AB3670" s="12"/>
    </row>
    <row r="3671" spans="1:28" x14ac:dyDescent="0.3">
      <c r="A3671" s="12" t="s">
        <v>5597</v>
      </c>
      <c r="B3671" s="12" t="s">
        <v>206</v>
      </c>
      <c r="C3671" s="12" t="s">
        <v>568</v>
      </c>
      <c r="D3671" s="12" t="s">
        <v>5538</v>
      </c>
      <c r="E3671" s="12" t="s">
        <v>2978</v>
      </c>
      <c r="F3671" s="12" t="s">
        <v>1861</v>
      </c>
      <c r="G3671" s="12" t="s">
        <v>1861</v>
      </c>
      <c r="H3671" s="12" t="b">
        <v>1</v>
      </c>
      <c r="I3671" s="12" t="b">
        <v>0</v>
      </c>
      <c r="J3671" s="12" t="b">
        <v>0</v>
      </c>
      <c r="K3671" s="12" t="b">
        <v>0</v>
      </c>
      <c r="L3671" s="12">
        <v>414.20050124837883</v>
      </c>
      <c r="M3671" s="12">
        <v>300.032917</v>
      </c>
      <c r="N3671" s="12">
        <v>2495.5446955987259</v>
      </c>
      <c r="O3671" s="12">
        <v>1208.6702805883961</v>
      </c>
      <c r="P3671" s="12">
        <v>0.6723906983843807</v>
      </c>
      <c r="Q3671" s="12">
        <v>0.79973649461260121</v>
      </c>
      <c r="R3671" s="12">
        <v>0.91949259148348961</v>
      </c>
      <c r="S3671" s="12">
        <v>0.88767806597509247</v>
      </c>
      <c r="T3671" s="12">
        <v>0.93195253956551605</v>
      </c>
      <c r="U3671" s="12">
        <v>0.44148998617278779</v>
      </c>
      <c r="V3671" s="12">
        <v>300.032917</v>
      </c>
      <c r="W3671" s="12">
        <v>3.8607625513154602</v>
      </c>
      <c r="X3671" s="12">
        <v>19.50240146534836</v>
      </c>
      <c r="Y3671" s="12">
        <v>1286.87441501033</v>
      </c>
      <c r="Z3671" s="12">
        <v>2.0647026204564769</v>
      </c>
      <c r="AA3671" s="12" t="s">
        <v>1268</v>
      </c>
      <c r="AB3671" s="12"/>
    </row>
    <row r="3672" spans="1:28" x14ac:dyDescent="0.3">
      <c r="A3672" s="12" t="s">
        <v>5598</v>
      </c>
      <c r="B3672" s="12" t="s">
        <v>206</v>
      </c>
      <c r="C3672" s="12" t="s">
        <v>568</v>
      </c>
      <c r="D3672" s="12" t="s">
        <v>5538</v>
      </c>
      <c r="E3672" s="12" t="s">
        <v>2978</v>
      </c>
      <c r="F3672" s="12" t="s">
        <v>32</v>
      </c>
      <c r="G3672" s="12" t="s">
        <v>32</v>
      </c>
      <c r="H3672" s="12" t="b">
        <v>1</v>
      </c>
      <c r="I3672" s="12" t="b">
        <v>1</v>
      </c>
      <c r="J3672" s="12" t="b">
        <v>0</v>
      </c>
      <c r="K3672" s="12" t="b">
        <v>0</v>
      </c>
      <c r="L3672" s="12">
        <v>409.33811855299581</v>
      </c>
      <c r="M3672" s="12">
        <v>300.032917</v>
      </c>
      <c r="N3672" s="12">
        <v>4472.8333899668778</v>
      </c>
      <c r="O3672" s="12">
        <v>1645.30079558632</v>
      </c>
      <c r="P3672" s="12">
        <v>0.59307701190543549</v>
      </c>
      <c r="Q3672" s="12">
        <v>0.62645399950367631</v>
      </c>
      <c r="R3672" s="12">
        <v>0.64624007027313524</v>
      </c>
      <c r="S3672" s="12">
        <v>0.61178219801800471</v>
      </c>
      <c r="T3672" s="12">
        <v>0.42167102484829161</v>
      </c>
      <c r="U3672" s="12">
        <v>0.78110879315610848</v>
      </c>
      <c r="V3672" s="12">
        <v>300.032917</v>
      </c>
      <c r="W3672" s="12">
        <v>0.43793866888586003</v>
      </c>
      <c r="X3672" s="12">
        <v>1.37427779155076</v>
      </c>
      <c r="Y3672" s="12">
        <v>2827.5325943805569</v>
      </c>
      <c r="Z3672" s="12">
        <v>2.718550554382329</v>
      </c>
      <c r="AA3672" s="12"/>
      <c r="AB3672" s="12"/>
    </row>
    <row r="3673" spans="1:28" x14ac:dyDescent="0.3">
      <c r="A3673" s="12" t="s">
        <v>5599</v>
      </c>
      <c r="B3673" s="12" t="s">
        <v>206</v>
      </c>
      <c r="C3673" s="12" t="s">
        <v>568</v>
      </c>
      <c r="D3673" s="12" t="s">
        <v>5538</v>
      </c>
      <c r="E3673" s="12" t="s">
        <v>2978</v>
      </c>
      <c r="F3673" s="12" t="s">
        <v>1861</v>
      </c>
      <c r="G3673" s="12" t="s">
        <v>1861</v>
      </c>
      <c r="H3673" s="12" t="b">
        <v>1</v>
      </c>
      <c r="I3673" s="12" t="b">
        <v>0</v>
      </c>
      <c r="J3673" s="12" t="b">
        <v>1</v>
      </c>
      <c r="K3673" s="12" t="b">
        <v>0</v>
      </c>
      <c r="L3673" s="12">
        <v>440.0692884964717</v>
      </c>
      <c r="M3673" s="12">
        <v>300.032917</v>
      </c>
      <c r="N3673" s="12">
        <v>3759.1099931904009</v>
      </c>
      <c r="O3673" s="12">
        <v>1411.0891532950841</v>
      </c>
      <c r="P3673" s="12">
        <v>0.66810793459180051</v>
      </c>
      <c r="Q3673" s="12">
        <v>0.42102868755066669</v>
      </c>
      <c r="R3673" s="12">
        <v>0.71824147822299811</v>
      </c>
      <c r="S3673" s="12">
        <v>0.77993948151092707</v>
      </c>
      <c r="T3673" s="12">
        <v>0.45884956536766119</v>
      </c>
      <c r="U3673" s="12">
        <v>0.83546366423664298</v>
      </c>
      <c r="V3673" s="12">
        <v>300.032917</v>
      </c>
      <c r="W3673" s="12">
        <v>3.5550471874684901</v>
      </c>
      <c r="X3673" s="12">
        <v>33.465262044804362</v>
      </c>
      <c r="Y3673" s="12">
        <v>2348.0208398953168</v>
      </c>
      <c r="Z3673" s="12">
        <v>2.663977668889574</v>
      </c>
      <c r="AA3673" s="12" t="s">
        <v>1268</v>
      </c>
      <c r="AB3673" s="12"/>
    </row>
    <row r="3674" spans="1:28" x14ac:dyDescent="0.3">
      <c r="A3674" s="12" t="s">
        <v>5600</v>
      </c>
      <c r="B3674" s="12" t="s">
        <v>206</v>
      </c>
      <c r="C3674" s="12" t="s">
        <v>568</v>
      </c>
      <c r="D3674" s="12" t="s">
        <v>5538</v>
      </c>
      <c r="E3674" s="12" t="s">
        <v>2978</v>
      </c>
      <c r="F3674" s="12" t="s">
        <v>1861</v>
      </c>
      <c r="G3674" s="12" t="s">
        <v>1861</v>
      </c>
      <c r="H3674" s="12" t="b">
        <v>1</v>
      </c>
      <c r="I3674" s="12" t="b">
        <v>0</v>
      </c>
      <c r="J3674" s="12" t="b">
        <v>0</v>
      </c>
      <c r="K3674" s="12" t="b">
        <v>0</v>
      </c>
      <c r="L3674" s="12">
        <v>392.23220602256959</v>
      </c>
      <c r="M3674" s="12">
        <v>300.032917</v>
      </c>
      <c r="N3674" s="12">
        <v>2764.591319773951</v>
      </c>
      <c r="O3674" s="12">
        <v>1155.5263250655221</v>
      </c>
      <c r="P3674" s="12">
        <v>0.64837524820141901</v>
      </c>
      <c r="Q3674" s="12">
        <v>0.81241441800910219</v>
      </c>
      <c r="R3674" s="12">
        <v>0.61199329093121668</v>
      </c>
      <c r="S3674" s="12">
        <v>0.56726488548657072</v>
      </c>
      <c r="T3674" s="12">
        <v>0.56157535992596863</v>
      </c>
      <c r="U3674" s="12">
        <v>0.49833128900591073</v>
      </c>
      <c r="V3674" s="12">
        <v>300.032917</v>
      </c>
      <c r="W3674" s="12">
        <v>2.3998670481890199</v>
      </c>
      <c r="X3674" s="12">
        <v>7.3414863347203614</v>
      </c>
      <c r="Y3674" s="12">
        <v>1609.064994708428</v>
      </c>
      <c r="Z3674" s="12">
        <v>2.3924953156019089</v>
      </c>
      <c r="AA3674" s="12" t="s">
        <v>1268</v>
      </c>
      <c r="AB3674" s="12"/>
    </row>
    <row r="3675" spans="1:28" x14ac:dyDescent="0.3">
      <c r="A3675" s="12" t="s">
        <v>5601</v>
      </c>
      <c r="B3675" s="12" t="s">
        <v>206</v>
      </c>
      <c r="C3675" s="12" t="s">
        <v>568</v>
      </c>
      <c r="D3675" s="12" t="s">
        <v>5538</v>
      </c>
      <c r="E3675" s="12" t="s">
        <v>2978</v>
      </c>
      <c r="F3675" s="12" t="s">
        <v>1862</v>
      </c>
      <c r="G3675" s="12" t="s">
        <v>1862</v>
      </c>
      <c r="H3675" s="12" t="b">
        <v>1</v>
      </c>
      <c r="I3675" s="12" t="b">
        <v>0</v>
      </c>
      <c r="J3675" s="12" t="b">
        <v>1</v>
      </c>
      <c r="K3675" s="12" t="b">
        <v>0</v>
      </c>
      <c r="L3675" s="12">
        <v>496.3734867934773</v>
      </c>
      <c r="M3675" s="12">
        <v>300.032917</v>
      </c>
      <c r="N3675" s="12">
        <v>4458.1240482106186</v>
      </c>
      <c r="O3675" s="12">
        <v>1548.1507894490469</v>
      </c>
      <c r="P3675" s="12">
        <v>0.60720534576970009</v>
      </c>
      <c r="Q3675" s="12">
        <v>0.61473779357000735</v>
      </c>
      <c r="R3675" s="12">
        <v>0.66417195335420354</v>
      </c>
      <c r="S3675" s="12">
        <v>0.82063101030506136</v>
      </c>
      <c r="T3675" s="12">
        <v>0.70641372665231505</v>
      </c>
      <c r="U3675" s="12">
        <v>0.4289764858683181</v>
      </c>
      <c r="V3675" s="12">
        <v>300.032917</v>
      </c>
      <c r="W3675" s="12">
        <v>-4.2124709786954497</v>
      </c>
      <c r="X3675" s="12">
        <v>-33.577444550829902</v>
      </c>
      <c r="Y3675" s="12">
        <v>2909.9732587615722</v>
      </c>
      <c r="Z3675" s="12">
        <v>2.879644591853463</v>
      </c>
      <c r="AA3675" s="12" t="s">
        <v>2513</v>
      </c>
      <c r="AB3675" s="12"/>
    </row>
    <row r="3676" spans="1:28" x14ac:dyDescent="0.3">
      <c r="A3676" s="12" t="s">
        <v>5602</v>
      </c>
      <c r="B3676" s="12" t="s">
        <v>206</v>
      </c>
      <c r="C3676" s="12" t="s">
        <v>568</v>
      </c>
      <c r="D3676" s="12" t="s">
        <v>5538</v>
      </c>
      <c r="E3676" s="12" t="s">
        <v>2978</v>
      </c>
      <c r="F3676" s="12" t="s">
        <v>1862</v>
      </c>
      <c r="G3676" s="12" t="s">
        <v>1862</v>
      </c>
      <c r="H3676" s="12" t="b">
        <v>1</v>
      </c>
      <c r="I3676" s="12" t="b">
        <v>0</v>
      </c>
      <c r="J3676" s="12" t="b">
        <v>1</v>
      </c>
      <c r="K3676" s="12" t="b">
        <v>0</v>
      </c>
      <c r="L3676" s="12">
        <v>456.16935803693337</v>
      </c>
      <c r="M3676" s="12">
        <v>300.032917</v>
      </c>
      <c r="N3676" s="12">
        <v>2176.774072315784</v>
      </c>
      <c r="O3676" s="12">
        <v>379.34369788350358</v>
      </c>
      <c r="P3676" s="12">
        <v>0.61895838115892365</v>
      </c>
      <c r="Q3676" s="12">
        <v>0.73232715275230675</v>
      </c>
      <c r="R3676" s="12">
        <v>0.59932613240865462</v>
      </c>
      <c r="S3676" s="12">
        <v>0.84279166535080119</v>
      </c>
      <c r="T3676" s="12">
        <v>0.93522479499887679</v>
      </c>
      <c r="U3676" s="12">
        <v>0.63600065106950598</v>
      </c>
      <c r="V3676" s="12">
        <v>300.032917</v>
      </c>
      <c r="W3676" s="12">
        <v>-1.5952330331803699</v>
      </c>
      <c r="X3676" s="12">
        <v>-14.96022813383161</v>
      </c>
      <c r="Y3676" s="12">
        <v>1797.4303744322799</v>
      </c>
      <c r="Z3676" s="12">
        <v>5.7382634388307956</v>
      </c>
      <c r="AA3676" s="12" t="s">
        <v>2513</v>
      </c>
      <c r="AB3676" s="12"/>
    </row>
    <row r="3677" spans="1:28" x14ac:dyDescent="0.3">
      <c r="A3677" s="12" t="s">
        <v>5603</v>
      </c>
      <c r="B3677" s="12" t="s">
        <v>206</v>
      </c>
      <c r="C3677" s="12" t="s">
        <v>568</v>
      </c>
      <c r="D3677" s="12" t="s">
        <v>5538</v>
      </c>
      <c r="E3677" s="12" t="s">
        <v>2978</v>
      </c>
      <c r="F3677" s="12" t="s">
        <v>1861</v>
      </c>
      <c r="G3677" s="12" t="s">
        <v>1861</v>
      </c>
      <c r="H3677" s="12" t="b">
        <v>1</v>
      </c>
      <c r="I3677" s="12" t="b">
        <v>0</v>
      </c>
      <c r="J3677" s="12" t="b">
        <v>0</v>
      </c>
      <c r="K3677" s="12" t="b">
        <v>0</v>
      </c>
      <c r="L3677" s="12">
        <v>411.34636441065732</v>
      </c>
      <c r="M3677" s="12">
        <v>300.032917</v>
      </c>
      <c r="N3677" s="12">
        <v>2593.5819605569268</v>
      </c>
      <c r="O3677" s="12">
        <v>918.31903577510241</v>
      </c>
      <c r="P3677" s="12">
        <v>0.55059218789891684</v>
      </c>
      <c r="Q3677" s="12">
        <v>0.63878534241252671</v>
      </c>
      <c r="R3677" s="12">
        <v>0.51990794582076161</v>
      </c>
      <c r="S3677" s="12">
        <v>0.70764056663643893</v>
      </c>
      <c r="T3677" s="12">
        <v>0.905961500691016</v>
      </c>
      <c r="U3677" s="12">
        <v>0.64966810935022123</v>
      </c>
      <c r="V3677" s="12">
        <v>300.032917</v>
      </c>
      <c r="W3677" s="12">
        <v>4.98403676894889</v>
      </c>
      <c r="X3677" s="12">
        <v>21.591490302433581</v>
      </c>
      <c r="Y3677" s="12">
        <v>1675.262924781824</v>
      </c>
      <c r="Z3677" s="12">
        <v>2.824271151439028</v>
      </c>
      <c r="AA3677" s="12" t="s">
        <v>1268</v>
      </c>
      <c r="AB3677" s="12"/>
    </row>
    <row r="3678" spans="1:28" x14ac:dyDescent="0.3">
      <c r="A3678" s="12" t="s">
        <v>5604</v>
      </c>
      <c r="B3678" s="12" t="s">
        <v>206</v>
      </c>
      <c r="C3678" s="12" t="s">
        <v>568</v>
      </c>
      <c r="D3678" s="12" t="s">
        <v>5538</v>
      </c>
      <c r="E3678" s="12" t="s">
        <v>2978</v>
      </c>
      <c r="F3678" s="12" t="s">
        <v>1862</v>
      </c>
      <c r="G3678" s="12" t="s">
        <v>1862</v>
      </c>
      <c r="H3678" s="12" t="b">
        <v>1</v>
      </c>
      <c r="I3678" s="12" t="b">
        <v>0</v>
      </c>
      <c r="J3678" s="12" t="b">
        <v>1</v>
      </c>
      <c r="K3678" s="12" t="b">
        <v>0</v>
      </c>
      <c r="L3678" s="12">
        <v>470.35569134608431</v>
      </c>
      <c r="M3678" s="12">
        <v>300.032917</v>
      </c>
      <c r="N3678" s="12">
        <v>3501.844850064972</v>
      </c>
      <c r="O3678" s="12">
        <v>888.19440122953813</v>
      </c>
      <c r="P3678" s="12">
        <v>0.75294179590505439</v>
      </c>
      <c r="Q3678" s="12">
        <v>0.43574397302160461</v>
      </c>
      <c r="R3678" s="12">
        <v>0.79834415289588223</v>
      </c>
      <c r="S3678" s="12">
        <v>0.57133169644282533</v>
      </c>
      <c r="T3678" s="12">
        <v>0.77482834563326741</v>
      </c>
      <c r="U3678" s="12">
        <v>0.41884841701383368</v>
      </c>
      <c r="V3678" s="12">
        <v>300.032917</v>
      </c>
      <c r="W3678" s="12">
        <v>-11.82342414621097</v>
      </c>
      <c r="X3678" s="12">
        <v>-64.446955893742143</v>
      </c>
      <c r="Y3678" s="12">
        <v>2613.650448835434</v>
      </c>
      <c r="Z3678" s="12">
        <v>3.9426558478834428</v>
      </c>
      <c r="AA3678" s="12" t="s">
        <v>2513</v>
      </c>
      <c r="AB3678" s="12"/>
    </row>
    <row r="3679" spans="1:28" x14ac:dyDescent="0.3">
      <c r="A3679" s="12" t="s">
        <v>5605</v>
      </c>
      <c r="B3679" s="12" t="s">
        <v>206</v>
      </c>
      <c r="C3679" s="12" t="s">
        <v>568</v>
      </c>
      <c r="D3679" s="12" t="s">
        <v>5538</v>
      </c>
      <c r="E3679" s="12" t="s">
        <v>2978</v>
      </c>
      <c r="F3679" s="12" t="s">
        <v>1861</v>
      </c>
      <c r="G3679" s="12" t="s">
        <v>1861</v>
      </c>
      <c r="H3679" s="12" t="b">
        <v>1</v>
      </c>
      <c r="I3679" s="12" t="b">
        <v>0</v>
      </c>
      <c r="J3679" s="12" t="b">
        <v>1</v>
      </c>
      <c r="K3679" s="12" t="b">
        <v>0</v>
      </c>
      <c r="L3679" s="12">
        <v>453.92999008568302</v>
      </c>
      <c r="M3679" s="12">
        <v>300.032917</v>
      </c>
      <c r="N3679" s="12">
        <v>3935.2831073657858</v>
      </c>
      <c r="O3679" s="12">
        <v>1432.738228463194</v>
      </c>
      <c r="P3679" s="12">
        <v>0.74664682856440279</v>
      </c>
      <c r="Q3679" s="12">
        <v>0.77929619737604894</v>
      </c>
      <c r="R3679" s="12">
        <v>0.8776875029159158</v>
      </c>
      <c r="S3679" s="12">
        <v>0.53793204616121382</v>
      </c>
      <c r="T3679" s="12">
        <v>0.67288509761892579</v>
      </c>
      <c r="U3679" s="12">
        <v>0.4225820516299173</v>
      </c>
      <c r="V3679" s="12">
        <v>300.032917</v>
      </c>
      <c r="W3679" s="12">
        <v>3.69578946289761</v>
      </c>
      <c r="X3679" s="12">
        <v>20.50619333460574</v>
      </c>
      <c r="Y3679" s="12">
        <v>2502.5448789025918</v>
      </c>
      <c r="Z3679" s="12">
        <v>2.7466867493212002</v>
      </c>
      <c r="AA3679" s="12" t="s">
        <v>1268</v>
      </c>
      <c r="AB3679" s="12"/>
    </row>
    <row r="3680" spans="1:28" x14ac:dyDescent="0.3">
      <c r="A3680" s="12" t="s">
        <v>5606</v>
      </c>
      <c r="B3680" s="12" t="s">
        <v>206</v>
      </c>
      <c r="C3680" s="12" t="s">
        <v>568</v>
      </c>
      <c r="D3680" s="12" t="s">
        <v>5538</v>
      </c>
      <c r="E3680" s="12" t="s">
        <v>2978</v>
      </c>
      <c r="F3680" s="12" t="s">
        <v>1862</v>
      </c>
      <c r="G3680" s="12" t="s">
        <v>1862</v>
      </c>
      <c r="H3680" s="12" t="b">
        <v>1</v>
      </c>
      <c r="I3680" s="12" t="b">
        <v>0</v>
      </c>
      <c r="J3680" s="12" t="b">
        <v>0</v>
      </c>
      <c r="K3680" s="12" t="b">
        <v>0</v>
      </c>
      <c r="L3680" s="12">
        <v>398.9122613245454</v>
      </c>
      <c r="M3680" s="12">
        <v>300.032917</v>
      </c>
      <c r="N3680" s="12">
        <v>3821.8371627493179</v>
      </c>
      <c r="O3680" s="12">
        <v>557.46726903843546</v>
      </c>
      <c r="P3680" s="12">
        <v>0.71538177622847576</v>
      </c>
      <c r="Q3680" s="12">
        <v>0.78675381828469515</v>
      </c>
      <c r="R3680" s="12">
        <v>0.56722070004998704</v>
      </c>
      <c r="S3680" s="12">
        <v>0.6750962872529358</v>
      </c>
      <c r="T3680" s="12">
        <v>0.64747605922726259</v>
      </c>
      <c r="U3680" s="12">
        <v>0.7369554243480676</v>
      </c>
      <c r="V3680" s="12">
        <v>300.032917</v>
      </c>
      <c r="W3680" s="12">
        <v>-18.84444304950669</v>
      </c>
      <c r="X3680" s="12">
        <v>-46.464201848431763</v>
      </c>
      <c r="Y3680" s="12">
        <v>3264.3698937108829</v>
      </c>
      <c r="Z3680" s="12">
        <v>6.8557157971651526</v>
      </c>
      <c r="AA3680" s="12" t="s">
        <v>2513</v>
      </c>
      <c r="AB3680" s="12"/>
    </row>
    <row r="3681" spans="1:28" x14ac:dyDescent="0.3">
      <c r="A3681" s="12" t="s">
        <v>5607</v>
      </c>
      <c r="B3681" s="12" t="s">
        <v>206</v>
      </c>
      <c r="C3681" s="12" t="s">
        <v>568</v>
      </c>
      <c r="D3681" s="12" t="s">
        <v>5538</v>
      </c>
      <c r="E3681" s="12" t="s">
        <v>2978</v>
      </c>
      <c r="F3681" s="12" t="s">
        <v>1861</v>
      </c>
      <c r="G3681" s="12" t="s">
        <v>1861</v>
      </c>
      <c r="H3681" s="12" t="b">
        <v>1</v>
      </c>
      <c r="I3681" s="12" t="b">
        <v>0</v>
      </c>
      <c r="J3681" s="12" t="b">
        <v>1</v>
      </c>
      <c r="K3681" s="12" t="b">
        <v>0</v>
      </c>
      <c r="L3681" s="12">
        <v>463.65423873761051</v>
      </c>
      <c r="M3681" s="12">
        <v>300.032917</v>
      </c>
      <c r="N3681" s="12">
        <v>3588.8500445997379</v>
      </c>
      <c r="O3681" s="12">
        <v>1906.47152298078</v>
      </c>
      <c r="P3681" s="12">
        <v>0.69158335116294922</v>
      </c>
      <c r="Q3681" s="12">
        <v>0.51008708778033451</v>
      </c>
      <c r="R3681" s="12">
        <v>0.78425347632701081</v>
      </c>
      <c r="S3681" s="12">
        <v>0.87733744654909762</v>
      </c>
      <c r="T3681" s="12">
        <v>0.91752081220521275</v>
      </c>
      <c r="U3681" s="12">
        <v>0.61934326367680059</v>
      </c>
      <c r="V3681" s="12">
        <v>300.032917</v>
      </c>
      <c r="W3681" s="12">
        <v>0.95527403273862999</v>
      </c>
      <c r="X3681" s="12">
        <v>10.79761781995413</v>
      </c>
      <c r="Y3681" s="12">
        <v>1682.3785216189581</v>
      </c>
      <c r="Z3681" s="12">
        <v>1.8824566752450349</v>
      </c>
      <c r="AA3681" s="12" t="s">
        <v>1268</v>
      </c>
      <c r="AB3681" s="12"/>
    </row>
    <row r="3682" spans="1:28" x14ac:dyDescent="0.3">
      <c r="A3682" s="12" t="s">
        <v>5608</v>
      </c>
      <c r="B3682" s="12" t="s">
        <v>206</v>
      </c>
      <c r="C3682" s="12" t="s">
        <v>568</v>
      </c>
      <c r="D3682" s="12" t="s">
        <v>5538</v>
      </c>
      <c r="E3682" s="12" t="s">
        <v>2978</v>
      </c>
      <c r="F3682" s="12" t="s">
        <v>1862</v>
      </c>
      <c r="G3682" s="12" t="s">
        <v>1862</v>
      </c>
      <c r="H3682" s="12" t="b">
        <v>1</v>
      </c>
      <c r="I3682" s="12" t="b">
        <v>0</v>
      </c>
      <c r="J3682" s="12" t="b">
        <v>0</v>
      </c>
      <c r="K3682" s="12" t="b">
        <v>0</v>
      </c>
      <c r="L3682" s="12">
        <v>393.84198334659681</v>
      </c>
      <c r="M3682" s="12">
        <v>300.032917</v>
      </c>
      <c r="N3682" s="12">
        <v>3433.368623997168</v>
      </c>
      <c r="O3682" s="12">
        <v>1382.373048894998</v>
      </c>
      <c r="P3682" s="12">
        <v>0.51598649655353945</v>
      </c>
      <c r="Q3682" s="12">
        <v>0.55288360828036098</v>
      </c>
      <c r="R3682" s="12">
        <v>0.45103714893652208</v>
      </c>
      <c r="S3682" s="12">
        <v>0.94782792876308841</v>
      </c>
      <c r="T3682" s="12">
        <v>0.7144291751378653</v>
      </c>
      <c r="U3682" s="12">
        <v>0.84333771785149314</v>
      </c>
      <c r="V3682" s="12">
        <v>300.032917</v>
      </c>
      <c r="W3682" s="12">
        <v>-1.5496331923901401</v>
      </c>
      <c r="X3682" s="12">
        <v>-2.6731909893849819</v>
      </c>
      <c r="Y3682" s="12">
        <v>2050.9955751021712</v>
      </c>
      <c r="Z3682" s="12">
        <v>2.483677345085423</v>
      </c>
      <c r="AA3682" s="12" t="s">
        <v>1696</v>
      </c>
      <c r="AB3682" s="12"/>
    </row>
    <row r="3683" spans="1:28" x14ac:dyDescent="0.3">
      <c r="A3683" s="12" t="s">
        <v>5609</v>
      </c>
      <c r="B3683" s="12" t="s">
        <v>206</v>
      </c>
      <c r="C3683" s="12" t="s">
        <v>568</v>
      </c>
      <c r="D3683" s="12" t="s">
        <v>5538</v>
      </c>
      <c r="E3683" s="12" t="s">
        <v>2978</v>
      </c>
      <c r="F3683" s="12" t="s">
        <v>832</v>
      </c>
      <c r="G3683" s="12" t="s">
        <v>832</v>
      </c>
      <c r="H3683" s="12" t="b">
        <v>0</v>
      </c>
      <c r="I3683" s="12" t="b">
        <v>0</v>
      </c>
      <c r="J3683" s="12" t="b">
        <v>0</v>
      </c>
      <c r="K3683" s="12" t="b">
        <v>0</v>
      </c>
      <c r="L3683" s="12">
        <v>395.7203502738015</v>
      </c>
      <c r="M3683" s="12">
        <v>300.032917</v>
      </c>
      <c r="N3683" s="12">
        <v>4783.5422022815483</v>
      </c>
      <c r="O3683" s="12">
        <v>421.13799736280339</v>
      </c>
      <c r="P3683" s="12">
        <v>0.67938150274467812</v>
      </c>
      <c r="Q3683" s="12">
        <v>0.62344839311486211</v>
      </c>
      <c r="R3683" s="12">
        <v>0.50001645871741296</v>
      </c>
      <c r="S3683" s="12">
        <v>0.84831009832421178</v>
      </c>
      <c r="T3683" s="12">
        <v>0.60983377943653561</v>
      </c>
      <c r="U3683" s="12">
        <v>0.56908898699174593</v>
      </c>
      <c r="V3683" s="12">
        <v>300.032917</v>
      </c>
      <c r="W3683" s="12"/>
      <c r="X3683" s="12"/>
      <c r="Y3683" s="12">
        <v>4362.4042049187447</v>
      </c>
      <c r="Z3683" s="12">
        <v>11.358609843415779</v>
      </c>
      <c r="AA3683" s="12"/>
      <c r="AB3683" s="12"/>
    </row>
    <row r="3684" spans="1:28" x14ac:dyDescent="0.3">
      <c r="A3684" s="12" t="s">
        <v>5610</v>
      </c>
      <c r="B3684" s="12" t="s">
        <v>206</v>
      </c>
      <c r="C3684" s="12" t="s">
        <v>568</v>
      </c>
      <c r="D3684" s="12" t="s">
        <v>5538</v>
      </c>
      <c r="E3684" s="12" t="s">
        <v>2978</v>
      </c>
      <c r="F3684" s="12" t="s">
        <v>1861</v>
      </c>
      <c r="G3684" s="12" t="s">
        <v>1861</v>
      </c>
      <c r="H3684" s="12" t="b">
        <v>1</v>
      </c>
      <c r="I3684" s="12" t="b">
        <v>0</v>
      </c>
      <c r="J3684" s="12" t="b">
        <v>1</v>
      </c>
      <c r="K3684" s="12" t="b">
        <v>0</v>
      </c>
      <c r="L3684" s="12">
        <v>480.2417285998896</v>
      </c>
      <c r="M3684" s="12">
        <v>300.032917</v>
      </c>
      <c r="N3684" s="12">
        <v>3285.861117934201</v>
      </c>
      <c r="O3684" s="12">
        <v>1305.4791826740441</v>
      </c>
      <c r="P3684" s="12">
        <v>0.61209232717332362</v>
      </c>
      <c r="Q3684" s="12">
        <v>0.6024429154872446</v>
      </c>
      <c r="R3684" s="12">
        <v>0.44724297744589991</v>
      </c>
      <c r="S3684" s="12">
        <v>0.47620584648324071</v>
      </c>
      <c r="T3684" s="12">
        <v>0.42728929062010451</v>
      </c>
      <c r="U3684" s="12">
        <v>0.825990127038285</v>
      </c>
      <c r="V3684" s="12">
        <v>300.032917</v>
      </c>
      <c r="W3684" s="12">
        <v>4.5415797405507101</v>
      </c>
      <c r="X3684" s="12">
        <v>41.859405500176543</v>
      </c>
      <c r="Y3684" s="12">
        <v>1980.3819352601561</v>
      </c>
      <c r="Z3684" s="12">
        <v>2.5169770315323552</v>
      </c>
      <c r="AA3684" s="12" t="s">
        <v>1268</v>
      </c>
      <c r="AB3684" s="12"/>
    </row>
    <row r="3685" spans="1:28" x14ac:dyDescent="0.3">
      <c r="A3685" s="12" t="s">
        <v>5611</v>
      </c>
      <c r="B3685" s="12" t="s">
        <v>206</v>
      </c>
      <c r="C3685" s="12" t="s">
        <v>568</v>
      </c>
      <c r="D3685" s="12" t="s">
        <v>5538</v>
      </c>
      <c r="E3685" s="12" t="s">
        <v>2978</v>
      </c>
      <c r="F3685" s="12" t="s">
        <v>1861</v>
      </c>
      <c r="G3685" s="12" t="s">
        <v>1861</v>
      </c>
      <c r="H3685" s="12" t="b">
        <v>1</v>
      </c>
      <c r="I3685" s="12" t="b">
        <v>0</v>
      </c>
      <c r="J3685" s="12" t="b">
        <v>1</v>
      </c>
      <c r="K3685" s="12" t="b">
        <v>0</v>
      </c>
      <c r="L3685" s="12">
        <v>509.78586903139262</v>
      </c>
      <c r="M3685" s="12">
        <v>300.032917</v>
      </c>
      <c r="N3685" s="12">
        <v>2876.5965937648348</v>
      </c>
      <c r="O3685" s="12">
        <v>333.84435153376972</v>
      </c>
      <c r="P3685" s="12">
        <v>0.51763172066556284</v>
      </c>
      <c r="Q3685" s="12">
        <v>0.48456839475158509</v>
      </c>
      <c r="R3685" s="12">
        <v>0.42063978853935341</v>
      </c>
      <c r="S3685" s="12">
        <v>0.64191080360085728</v>
      </c>
      <c r="T3685" s="12">
        <v>0.46164243097187768</v>
      </c>
      <c r="U3685" s="12">
        <v>0.85814588517446955</v>
      </c>
      <c r="V3685" s="12">
        <v>300.032917</v>
      </c>
      <c r="W3685" s="12">
        <v>4.3597486756548802</v>
      </c>
      <c r="X3685" s="12">
        <v>56.808288595915542</v>
      </c>
      <c r="Y3685" s="12">
        <v>2542.7522422310649</v>
      </c>
      <c r="Z3685" s="12">
        <v>8.616580093534564</v>
      </c>
      <c r="AA3685" s="12" t="s">
        <v>1268</v>
      </c>
      <c r="AB3685" s="12"/>
    </row>
    <row r="3686" spans="1:28" x14ac:dyDescent="0.3">
      <c r="A3686" s="12" t="s">
        <v>5612</v>
      </c>
      <c r="B3686" s="12" t="s">
        <v>206</v>
      </c>
      <c r="C3686" s="12" t="s">
        <v>568</v>
      </c>
      <c r="D3686" s="12" t="s">
        <v>5538</v>
      </c>
      <c r="E3686" s="12" t="s">
        <v>2978</v>
      </c>
      <c r="F3686" s="12" t="s">
        <v>1862</v>
      </c>
      <c r="G3686" s="12" t="s">
        <v>1862</v>
      </c>
      <c r="H3686" s="12" t="b">
        <v>1</v>
      </c>
      <c r="I3686" s="12" t="b">
        <v>0</v>
      </c>
      <c r="J3686" s="12" t="b">
        <v>0</v>
      </c>
      <c r="K3686" s="12" t="b">
        <v>0</v>
      </c>
      <c r="L3686" s="12">
        <v>407.67554970149541</v>
      </c>
      <c r="M3686" s="12">
        <v>300.032917</v>
      </c>
      <c r="N3686" s="12">
        <v>2221.640114127998</v>
      </c>
      <c r="O3686" s="12">
        <v>528.8085837811293</v>
      </c>
      <c r="P3686" s="12">
        <v>0.74250507072020899</v>
      </c>
      <c r="Q3686" s="12">
        <v>0.57747075647312607</v>
      </c>
      <c r="R3686" s="12">
        <v>0.89051345521250047</v>
      </c>
      <c r="S3686" s="12">
        <v>0.77084968100494144</v>
      </c>
      <c r="T3686" s="12">
        <v>0.90629945262897083</v>
      </c>
      <c r="U3686" s="12">
        <v>0.51545159018967468</v>
      </c>
      <c r="V3686" s="12">
        <v>300.032917</v>
      </c>
      <c r="W3686" s="12">
        <v>-12.564190130415151</v>
      </c>
      <c r="X3686" s="12">
        <v>-40.381544530173997</v>
      </c>
      <c r="Y3686" s="12">
        <v>1692.8315303468689</v>
      </c>
      <c r="Z3686" s="12">
        <v>4.2012179496835138</v>
      </c>
      <c r="AA3686" s="12" t="s">
        <v>2513</v>
      </c>
      <c r="AB3686" s="12"/>
    </row>
    <row r="3687" spans="1:28" x14ac:dyDescent="0.3">
      <c r="A3687" s="12" t="s">
        <v>5613</v>
      </c>
      <c r="B3687" s="12" t="s">
        <v>206</v>
      </c>
      <c r="C3687" s="12" t="s">
        <v>568</v>
      </c>
      <c r="D3687" s="12" t="s">
        <v>5538</v>
      </c>
      <c r="E3687" s="12" t="s">
        <v>2978</v>
      </c>
      <c r="F3687" s="12" t="s">
        <v>1861</v>
      </c>
      <c r="G3687" s="12" t="s">
        <v>1861</v>
      </c>
      <c r="H3687" s="12" t="b">
        <v>1</v>
      </c>
      <c r="I3687" s="12" t="b">
        <v>0</v>
      </c>
      <c r="J3687" s="12" t="b">
        <v>0</v>
      </c>
      <c r="K3687" s="12" t="b">
        <v>0</v>
      </c>
      <c r="L3687" s="12">
        <v>479.29430432218447</v>
      </c>
      <c r="M3687" s="12">
        <v>300.032917</v>
      </c>
      <c r="N3687" s="12">
        <v>3956.9987351469458</v>
      </c>
      <c r="O3687" s="12">
        <v>1402.728646335202</v>
      </c>
      <c r="P3687" s="12">
        <v>0.73803445889197017</v>
      </c>
      <c r="Q3687" s="12">
        <v>0.88174297119757516</v>
      </c>
      <c r="R3687" s="12">
        <v>0.74099021846686153</v>
      </c>
      <c r="S3687" s="12">
        <v>0.4207504089013443</v>
      </c>
      <c r="T3687" s="12">
        <v>0.78444999582882757</v>
      </c>
      <c r="U3687" s="12">
        <v>0.63779013023647413</v>
      </c>
      <c r="V3687" s="12">
        <v>300.032917</v>
      </c>
      <c r="W3687" s="12">
        <v>8.3130243506644703</v>
      </c>
      <c r="X3687" s="12">
        <v>55.015654088756648</v>
      </c>
      <c r="Y3687" s="12">
        <v>2554.2700888117438</v>
      </c>
      <c r="Z3687" s="12">
        <v>2.820929582842044</v>
      </c>
      <c r="AA3687" s="12" t="s">
        <v>1268</v>
      </c>
      <c r="AB3687" s="12"/>
    </row>
    <row r="3688" spans="1:28" x14ac:dyDescent="0.3">
      <c r="A3688" s="12" t="s">
        <v>5614</v>
      </c>
      <c r="B3688" s="12" t="s">
        <v>206</v>
      </c>
      <c r="C3688" s="12" t="s">
        <v>568</v>
      </c>
      <c r="D3688" s="12" t="s">
        <v>5538</v>
      </c>
      <c r="E3688" s="12" t="s">
        <v>2978</v>
      </c>
      <c r="F3688" s="12" t="s">
        <v>1861</v>
      </c>
      <c r="G3688" s="12" t="s">
        <v>1861</v>
      </c>
      <c r="H3688" s="12" t="b">
        <v>1</v>
      </c>
      <c r="I3688" s="12" t="b">
        <v>0</v>
      </c>
      <c r="J3688" s="12" t="b">
        <v>1</v>
      </c>
      <c r="K3688" s="12" t="b">
        <v>0</v>
      </c>
      <c r="L3688" s="12">
        <v>465.86835363864259</v>
      </c>
      <c r="M3688" s="12">
        <v>300.032917</v>
      </c>
      <c r="N3688" s="12">
        <v>2975.423467168941</v>
      </c>
      <c r="O3688" s="12">
        <v>843.10573274877174</v>
      </c>
      <c r="P3688" s="12">
        <v>0.62576025634734</v>
      </c>
      <c r="Q3688" s="12">
        <v>0.59691905960113267</v>
      </c>
      <c r="R3688" s="12">
        <v>0.62805325416086044</v>
      </c>
      <c r="S3688" s="12">
        <v>0.91158585512701362</v>
      </c>
      <c r="T3688" s="12">
        <v>0.40811539505355821</v>
      </c>
      <c r="U3688" s="12">
        <v>0.81842051964636531</v>
      </c>
      <c r="V3688" s="12">
        <v>300.032917</v>
      </c>
      <c r="W3688" s="12">
        <v>5.3737600824478298</v>
      </c>
      <c r="X3688" s="12">
        <v>86.884334700247237</v>
      </c>
      <c r="Y3688" s="12">
        <v>2132.317734420169</v>
      </c>
      <c r="Z3688" s="12">
        <v>3.5291225662387431</v>
      </c>
      <c r="AA3688" s="12" t="s">
        <v>1268</v>
      </c>
      <c r="AB3688" s="12"/>
    </row>
    <row r="3689" spans="1:28" x14ac:dyDescent="0.3">
      <c r="A3689" s="12" t="s">
        <v>5615</v>
      </c>
      <c r="B3689" s="12" t="s">
        <v>206</v>
      </c>
      <c r="C3689" s="12" t="s">
        <v>568</v>
      </c>
      <c r="D3689" s="12" t="s">
        <v>5538</v>
      </c>
      <c r="E3689" s="12" t="s">
        <v>2978</v>
      </c>
      <c r="F3689" s="12" t="s">
        <v>1861</v>
      </c>
      <c r="G3689" s="12" t="s">
        <v>1861</v>
      </c>
      <c r="H3689" s="12" t="b">
        <v>1</v>
      </c>
      <c r="I3689" s="12" t="b">
        <v>0</v>
      </c>
      <c r="J3689" s="12" t="b">
        <v>1</v>
      </c>
      <c r="K3689" s="12" t="b">
        <v>0</v>
      </c>
      <c r="L3689" s="12">
        <v>464.30079133570052</v>
      </c>
      <c r="M3689" s="12">
        <v>300.032917</v>
      </c>
      <c r="N3689" s="12">
        <v>4335.0357474874236</v>
      </c>
      <c r="O3689" s="12">
        <v>1671.773081919895</v>
      </c>
      <c r="P3689" s="12">
        <v>0.6304438805086795</v>
      </c>
      <c r="Q3689" s="12">
        <v>0.91648392955422642</v>
      </c>
      <c r="R3689" s="12">
        <v>0.93545207571012079</v>
      </c>
      <c r="S3689" s="12">
        <v>0.75194826684699656</v>
      </c>
      <c r="T3689" s="12">
        <v>0.84531969295345066</v>
      </c>
      <c r="U3689" s="12">
        <v>0.48591510321428472</v>
      </c>
      <c r="V3689" s="12">
        <v>300.032917</v>
      </c>
      <c r="W3689" s="12">
        <v>7.5938623462487396</v>
      </c>
      <c r="X3689" s="12">
        <v>55.320792107884159</v>
      </c>
      <c r="Y3689" s="12">
        <v>2663.262665567529</v>
      </c>
      <c r="Z3689" s="12">
        <v>2.5930766527889002</v>
      </c>
      <c r="AA3689" s="12" t="s">
        <v>1268</v>
      </c>
      <c r="AB3689" s="12"/>
    </row>
    <row r="3690" spans="1:28" x14ac:dyDescent="0.3">
      <c r="A3690" s="12" t="s">
        <v>5616</v>
      </c>
      <c r="B3690" s="12" t="s">
        <v>206</v>
      </c>
      <c r="C3690" s="12" t="s">
        <v>568</v>
      </c>
      <c r="D3690" s="12" t="s">
        <v>5538</v>
      </c>
      <c r="E3690" s="12" t="s">
        <v>2978</v>
      </c>
      <c r="F3690" s="12" t="s">
        <v>1861</v>
      </c>
      <c r="G3690" s="12" t="s">
        <v>1861</v>
      </c>
      <c r="H3690" s="12" t="b">
        <v>1</v>
      </c>
      <c r="I3690" s="12" t="b">
        <v>0</v>
      </c>
      <c r="J3690" s="12" t="b">
        <v>1</v>
      </c>
      <c r="K3690" s="12" t="b">
        <v>0</v>
      </c>
      <c r="L3690" s="12">
        <v>472.08986264740992</v>
      </c>
      <c r="M3690" s="12">
        <v>300.032917</v>
      </c>
      <c r="N3690" s="12">
        <v>2521.7214179639241</v>
      </c>
      <c r="O3690" s="12">
        <v>911.90238878756236</v>
      </c>
      <c r="P3690" s="12">
        <v>0.76800905503733474</v>
      </c>
      <c r="Q3690" s="12">
        <v>0.81734495581882749</v>
      </c>
      <c r="R3690" s="12">
        <v>0.74376319019760673</v>
      </c>
      <c r="S3690" s="12">
        <v>0.76441847636877225</v>
      </c>
      <c r="T3690" s="12">
        <v>0.41111144915719539</v>
      </c>
      <c r="U3690" s="12">
        <v>0.55696497488467045</v>
      </c>
      <c r="V3690" s="12">
        <v>300.032917</v>
      </c>
      <c r="W3690" s="12">
        <v>4.1640020576702286</v>
      </c>
      <c r="X3690" s="12">
        <v>37.753581519105779</v>
      </c>
      <c r="Y3690" s="12">
        <v>1609.8190291763619</v>
      </c>
      <c r="Z3690" s="12">
        <v>2.7653413884755009</v>
      </c>
      <c r="AA3690" s="12" t="s">
        <v>1268</v>
      </c>
      <c r="AB3690" s="12"/>
    </row>
    <row r="3691" spans="1:28" x14ac:dyDescent="0.3">
      <c r="A3691" s="12" t="s">
        <v>5617</v>
      </c>
      <c r="B3691" s="12" t="s">
        <v>206</v>
      </c>
      <c r="C3691" s="12" t="s">
        <v>568</v>
      </c>
      <c r="D3691" s="12" t="s">
        <v>5538</v>
      </c>
      <c r="E3691" s="12" t="s">
        <v>2978</v>
      </c>
      <c r="F3691" s="12" t="s">
        <v>832</v>
      </c>
      <c r="G3691" s="12" t="s">
        <v>832</v>
      </c>
      <c r="H3691" s="12" t="b">
        <v>0</v>
      </c>
      <c r="I3691" s="12" t="b">
        <v>0</v>
      </c>
      <c r="J3691" s="12" t="b">
        <v>0</v>
      </c>
      <c r="K3691" s="12" t="b">
        <v>0</v>
      </c>
      <c r="L3691" s="12">
        <v>508.66503495275299</v>
      </c>
      <c r="M3691" s="12">
        <v>300.032917</v>
      </c>
      <c r="N3691" s="12">
        <v>4356.8933463805097</v>
      </c>
      <c r="O3691" s="12">
        <v>687.9954060397788</v>
      </c>
      <c r="P3691" s="12">
        <v>0.80805465832132617</v>
      </c>
      <c r="Q3691" s="12">
        <v>0.75162089532362009</v>
      </c>
      <c r="R3691" s="12">
        <v>0.89583256758610452</v>
      </c>
      <c r="S3691" s="12">
        <v>0.89860042572817811</v>
      </c>
      <c r="T3691" s="12">
        <v>0.53258350532269494</v>
      </c>
      <c r="U3691" s="12">
        <v>0.72400762133113794</v>
      </c>
      <c r="V3691" s="12">
        <v>300.032917</v>
      </c>
      <c r="W3691" s="12"/>
      <c r="X3691" s="12"/>
      <c r="Y3691" s="12">
        <v>3668.8979403407311</v>
      </c>
      <c r="Z3691" s="12">
        <v>6.3327361027881643</v>
      </c>
      <c r="AA3691" s="12"/>
      <c r="AB3691" s="12"/>
    </row>
    <row r="3692" spans="1:28" x14ac:dyDescent="0.3">
      <c r="A3692" s="12" t="s">
        <v>5618</v>
      </c>
      <c r="B3692" s="12" t="s">
        <v>206</v>
      </c>
      <c r="C3692" s="12" t="s">
        <v>568</v>
      </c>
      <c r="D3692" s="12" t="s">
        <v>5538</v>
      </c>
      <c r="E3692" s="12" t="s">
        <v>2978</v>
      </c>
      <c r="F3692" s="12" t="s">
        <v>1862</v>
      </c>
      <c r="G3692" s="12" t="s">
        <v>1862</v>
      </c>
      <c r="H3692" s="12" t="b">
        <v>1</v>
      </c>
      <c r="I3692" s="12" t="b">
        <v>0</v>
      </c>
      <c r="J3692" s="12" t="b">
        <v>0</v>
      </c>
      <c r="K3692" s="12" t="b">
        <v>0</v>
      </c>
      <c r="L3692" s="12">
        <v>412.56001801426203</v>
      </c>
      <c r="M3692" s="12">
        <v>300.032917</v>
      </c>
      <c r="N3692" s="12">
        <v>2035.5704520060799</v>
      </c>
      <c r="O3692" s="12">
        <v>499.28579778687811</v>
      </c>
      <c r="P3692" s="12">
        <v>0.58200634339980484</v>
      </c>
      <c r="Q3692" s="12">
        <v>0.71165804107655362</v>
      </c>
      <c r="R3692" s="12">
        <v>0.43221446731950369</v>
      </c>
      <c r="S3692" s="12">
        <v>0.48493173043365517</v>
      </c>
      <c r="T3692" s="12">
        <v>0.89720271212459946</v>
      </c>
      <c r="U3692" s="12">
        <v>0.40049918866162149</v>
      </c>
      <c r="V3692" s="12">
        <v>300.032917</v>
      </c>
      <c r="W3692" s="12">
        <v>-22.665564016718619</v>
      </c>
      <c r="X3692" s="12">
        <v>-60.236342867783677</v>
      </c>
      <c r="Y3692" s="12">
        <v>1536.2846542192019</v>
      </c>
      <c r="Z3692" s="12">
        <v>4.0769644580897344</v>
      </c>
      <c r="AA3692" s="12" t="s">
        <v>2513</v>
      </c>
      <c r="AB3692" s="12"/>
    </row>
    <row r="3693" spans="1:28" x14ac:dyDescent="0.3">
      <c r="A3693" s="12" t="s">
        <v>5619</v>
      </c>
      <c r="B3693" s="12" t="s">
        <v>206</v>
      </c>
      <c r="C3693" s="12" t="s">
        <v>568</v>
      </c>
      <c r="D3693" s="12" t="s">
        <v>5538</v>
      </c>
      <c r="E3693" s="12" t="s">
        <v>2978</v>
      </c>
      <c r="F3693" s="12" t="s">
        <v>1861</v>
      </c>
      <c r="G3693" s="12" t="s">
        <v>1861</v>
      </c>
      <c r="H3693" s="12" t="b">
        <v>1</v>
      </c>
      <c r="I3693" s="12" t="b">
        <v>0</v>
      </c>
      <c r="J3693" s="12" t="b">
        <v>0</v>
      </c>
      <c r="K3693" s="12" t="b">
        <v>0</v>
      </c>
      <c r="L3693" s="12">
        <v>405.00247490912841</v>
      </c>
      <c r="M3693" s="12">
        <v>300.032917</v>
      </c>
      <c r="N3693" s="12">
        <v>4559.9723696885412</v>
      </c>
      <c r="O3693" s="12">
        <v>1111.227968025885</v>
      </c>
      <c r="P3693" s="12">
        <v>0.65380521672658343</v>
      </c>
      <c r="Q3693" s="12">
        <v>0.85079466382549218</v>
      </c>
      <c r="R3693" s="12">
        <v>0.56002455209088953</v>
      </c>
      <c r="S3693" s="12">
        <v>0.80220979486951127</v>
      </c>
      <c r="T3693" s="12">
        <v>0.45259578004327777</v>
      </c>
      <c r="U3693" s="12">
        <v>0.79249069450051268</v>
      </c>
      <c r="V3693" s="12">
        <v>300.032917</v>
      </c>
      <c r="W3693" s="12">
        <v>6.5833161508942402</v>
      </c>
      <c r="X3693" s="12">
        <v>29.638736531251279</v>
      </c>
      <c r="Y3693" s="12">
        <v>3448.7444016626559</v>
      </c>
      <c r="Z3693" s="12">
        <v>4.103543558023838</v>
      </c>
      <c r="AA3693" s="12" t="s">
        <v>1268</v>
      </c>
      <c r="AB3693" s="12"/>
    </row>
    <row r="3694" spans="1:28" x14ac:dyDescent="0.3">
      <c r="A3694" s="12" t="s">
        <v>5620</v>
      </c>
      <c r="B3694" s="12" t="s">
        <v>206</v>
      </c>
      <c r="C3694" s="12" t="s">
        <v>568</v>
      </c>
      <c r="D3694" s="12" t="s">
        <v>5538</v>
      </c>
      <c r="E3694" s="12" t="s">
        <v>2978</v>
      </c>
      <c r="F3694" s="12" t="s">
        <v>32</v>
      </c>
      <c r="G3694" s="12" t="s">
        <v>32</v>
      </c>
      <c r="H3694" s="12" t="b">
        <v>1</v>
      </c>
      <c r="I3694" s="12" t="b">
        <v>1</v>
      </c>
      <c r="J3694" s="12" t="b">
        <v>0</v>
      </c>
      <c r="K3694" s="12" t="b">
        <v>0</v>
      </c>
      <c r="L3694" s="12">
        <v>448.29801166501801</v>
      </c>
      <c r="M3694" s="12">
        <v>300.032917</v>
      </c>
      <c r="N3694" s="12">
        <v>2603.3927790537318</v>
      </c>
      <c r="O3694" s="12">
        <v>1732.970468452583</v>
      </c>
      <c r="P3694" s="12">
        <v>0.79038789134882104</v>
      </c>
      <c r="Q3694" s="12">
        <v>0.90564581419405121</v>
      </c>
      <c r="R3694" s="12">
        <v>0.54679470906974825</v>
      </c>
      <c r="S3694" s="12">
        <v>0.65271732585975095</v>
      </c>
      <c r="T3694" s="12">
        <v>0.60888608403200806</v>
      </c>
      <c r="U3694" s="12">
        <v>0.92594205994907919</v>
      </c>
      <c r="V3694" s="12">
        <v>300.032917</v>
      </c>
      <c r="W3694" s="12">
        <v>3.8863197207069402</v>
      </c>
      <c r="X3694" s="12">
        <v>43.838214655955177</v>
      </c>
      <c r="Y3694" s="12">
        <v>870.42231060114887</v>
      </c>
      <c r="Z3694" s="12">
        <v>1.502271865820294</v>
      </c>
      <c r="AA3694" s="12"/>
      <c r="AB3694" s="12"/>
    </row>
    <row r="3695" spans="1:28" x14ac:dyDescent="0.3">
      <c r="A3695" s="12" t="s">
        <v>5621</v>
      </c>
      <c r="B3695" s="12" t="s">
        <v>206</v>
      </c>
      <c r="C3695" s="12" t="s">
        <v>568</v>
      </c>
      <c r="D3695" s="12" t="s">
        <v>5538</v>
      </c>
      <c r="E3695" s="12" t="s">
        <v>2978</v>
      </c>
      <c r="F3695" s="12" t="s">
        <v>1862</v>
      </c>
      <c r="G3695" s="12" t="s">
        <v>1862</v>
      </c>
      <c r="H3695" s="12" t="b">
        <v>1</v>
      </c>
      <c r="I3695" s="12" t="b">
        <v>0</v>
      </c>
      <c r="J3695" s="12" t="b">
        <v>0</v>
      </c>
      <c r="K3695" s="12" t="b">
        <v>0</v>
      </c>
      <c r="L3695" s="12">
        <v>384.13509320217781</v>
      </c>
      <c r="M3695" s="12">
        <v>300.032917</v>
      </c>
      <c r="N3695" s="12">
        <v>3342.7362229425121</v>
      </c>
      <c r="O3695" s="12">
        <v>714.80675824351169</v>
      </c>
      <c r="P3695" s="12">
        <v>0.82279633682251641</v>
      </c>
      <c r="Q3695" s="12">
        <v>0.83980470396084805</v>
      </c>
      <c r="R3695" s="12">
        <v>0.91076725663563285</v>
      </c>
      <c r="S3695" s="12">
        <v>0.63015575183550643</v>
      </c>
      <c r="T3695" s="12">
        <v>0.64012649509601638</v>
      </c>
      <c r="U3695" s="12">
        <v>0.59258156851380639</v>
      </c>
      <c r="V3695" s="12">
        <v>300.032917</v>
      </c>
      <c r="W3695" s="12">
        <v>-4.8407838671016901</v>
      </c>
      <c r="X3695" s="12">
        <v>-9.3535700235160135</v>
      </c>
      <c r="Y3695" s="12">
        <v>2627.9294646990002</v>
      </c>
      <c r="Z3695" s="12">
        <v>4.6764194439859352</v>
      </c>
      <c r="AA3695" s="12" t="s">
        <v>2513</v>
      </c>
      <c r="AB3695" s="12"/>
    </row>
    <row r="3696" spans="1:28" x14ac:dyDescent="0.3">
      <c r="A3696" s="12" t="s">
        <v>5622</v>
      </c>
      <c r="B3696" s="12" t="s">
        <v>206</v>
      </c>
      <c r="C3696" s="12" t="s">
        <v>568</v>
      </c>
      <c r="D3696" s="12" t="s">
        <v>5538</v>
      </c>
      <c r="E3696" s="12" t="s">
        <v>2978</v>
      </c>
      <c r="F3696" s="12" t="s">
        <v>1862</v>
      </c>
      <c r="G3696" s="12" t="s">
        <v>1862</v>
      </c>
      <c r="H3696" s="12" t="b">
        <v>1</v>
      </c>
      <c r="I3696" s="12" t="b">
        <v>0</v>
      </c>
      <c r="J3696" s="12" t="b">
        <v>0</v>
      </c>
      <c r="K3696" s="12" t="b">
        <v>0</v>
      </c>
      <c r="L3696" s="12">
        <v>499.71162784050188</v>
      </c>
      <c r="M3696" s="12">
        <v>300.032917</v>
      </c>
      <c r="N3696" s="12">
        <v>2270.7149236951359</v>
      </c>
      <c r="O3696" s="12">
        <v>437.54622237564217</v>
      </c>
      <c r="P3696" s="12">
        <v>0.80268942375203145</v>
      </c>
      <c r="Q3696" s="12">
        <v>0.71928536422220146</v>
      </c>
      <c r="R3696" s="12">
        <v>0.70059147208963024</v>
      </c>
      <c r="S3696" s="12">
        <v>0.62000601080352957</v>
      </c>
      <c r="T3696" s="12">
        <v>0.81695670084074345</v>
      </c>
      <c r="U3696" s="12">
        <v>0.84810497543197094</v>
      </c>
      <c r="V3696" s="12">
        <v>300.032917</v>
      </c>
      <c r="W3696" s="12">
        <v>-6.4408706046916206</v>
      </c>
      <c r="X3696" s="12">
        <v>-37.881599887087503</v>
      </c>
      <c r="Y3696" s="12">
        <v>1833.1687013194939</v>
      </c>
      <c r="Z3696" s="12">
        <v>5.189657246647835</v>
      </c>
      <c r="AA3696" s="12" t="s">
        <v>2513</v>
      </c>
      <c r="AB3696" s="12"/>
    </row>
    <row r="3697" spans="1:28" x14ac:dyDescent="0.3">
      <c r="A3697" s="12" t="s">
        <v>5623</v>
      </c>
      <c r="B3697" s="12" t="s">
        <v>206</v>
      </c>
      <c r="C3697" s="12" t="s">
        <v>568</v>
      </c>
      <c r="D3697" s="12" t="s">
        <v>5538</v>
      </c>
      <c r="E3697" s="12" t="s">
        <v>2978</v>
      </c>
      <c r="F3697" s="12" t="s">
        <v>832</v>
      </c>
      <c r="G3697" s="12" t="s">
        <v>832</v>
      </c>
      <c r="H3697" s="12" t="b">
        <v>0</v>
      </c>
      <c r="I3697" s="12" t="b">
        <v>0</v>
      </c>
      <c r="J3697" s="12" t="b">
        <v>0</v>
      </c>
      <c r="K3697" s="12" t="b">
        <v>0</v>
      </c>
      <c r="L3697" s="12">
        <v>492.0187117773429</v>
      </c>
      <c r="M3697" s="12">
        <v>300.032917</v>
      </c>
      <c r="N3697" s="12">
        <v>3552.1255295117412</v>
      </c>
      <c r="O3697" s="12">
        <v>631.23983652441768</v>
      </c>
      <c r="P3697" s="12">
        <v>0.83466462184228285</v>
      </c>
      <c r="Q3697" s="12">
        <v>0.70645206442898678</v>
      </c>
      <c r="R3697" s="12">
        <v>0.93198160455066081</v>
      </c>
      <c r="S3697" s="12">
        <v>0.63531687522067892</v>
      </c>
      <c r="T3697" s="12">
        <v>0.84698249706681894</v>
      </c>
      <c r="U3697" s="12">
        <v>0.52653563806972614</v>
      </c>
      <c r="V3697" s="12">
        <v>300.032917</v>
      </c>
      <c r="W3697" s="12"/>
      <c r="X3697" s="12"/>
      <c r="Y3697" s="12">
        <v>2920.8856929873232</v>
      </c>
      <c r="Z3697" s="12">
        <v>5.6272201530714661</v>
      </c>
      <c r="AA3697" s="12"/>
      <c r="AB3697" s="12"/>
    </row>
    <row r="3698" spans="1:28" x14ac:dyDescent="0.3">
      <c r="A3698" s="12" t="s">
        <v>5624</v>
      </c>
      <c r="B3698" s="12" t="s">
        <v>206</v>
      </c>
      <c r="C3698" s="12" t="s">
        <v>568</v>
      </c>
      <c r="D3698" s="12" t="s">
        <v>5538</v>
      </c>
      <c r="E3698" s="12" t="s">
        <v>2978</v>
      </c>
      <c r="F3698" s="12" t="s">
        <v>1861</v>
      </c>
      <c r="G3698" s="12" t="s">
        <v>1861</v>
      </c>
      <c r="H3698" s="12" t="b">
        <v>1</v>
      </c>
      <c r="I3698" s="12" t="b">
        <v>0</v>
      </c>
      <c r="J3698" s="12" t="b">
        <v>1</v>
      </c>
      <c r="K3698" s="12" t="b">
        <v>0</v>
      </c>
      <c r="L3698" s="12">
        <v>454.62657551268148</v>
      </c>
      <c r="M3698" s="12">
        <v>300.032917</v>
      </c>
      <c r="N3698" s="12">
        <v>4693.3788537165274</v>
      </c>
      <c r="O3698" s="12">
        <v>1866.456032087525</v>
      </c>
      <c r="P3698" s="12">
        <v>0.63863026855456695</v>
      </c>
      <c r="Q3698" s="12">
        <v>0.567487750578196</v>
      </c>
      <c r="R3698" s="12">
        <v>0.67860493744348793</v>
      </c>
      <c r="S3698" s="12">
        <v>0.79952919557038782</v>
      </c>
      <c r="T3698" s="12">
        <v>0.91458064589833243</v>
      </c>
      <c r="U3698" s="12">
        <v>0.66890858448070711</v>
      </c>
      <c r="V3698" s="12">
        <v>300.032917</v>
      </c>
      <c r="W3698" s="12">
        <v>4.2901715202573598</v>
      </c>
      <c r="X3698" s="12">
        <v>34.386746448008942</v>
      </c>
      <c r="Y3698" s="12">
        <v>2826.922821629003</v>
      </c>
      <c r="Z3698" s="12">
        <v>2.514593846857057</v>
      </c>
      <c r="AA3698" s="12" t="s">
        <v>1268</v>
      </c>
      <c r="AB3698" s="12"/>
    </row>
    <row r="3699" spans="1:28" x14ac:dyDescent="0.3">
      <c r="A3699" s="12" t="s">
        <v>5625</v>
      </c>
      <c r="B3699" s="12" t="s">
        <v>206</v>
      </c>
      <c r="C3699" s="12" t="s">
        <v>568</v>
      </c>
      <c r="D3699" s="12" t="s">
        <v>5538</v>
      </c>
      <c r="E3699" s="12" t="s">
        <v>2978</v>
      </c>
      <c r="F3699" s="12" t="s">
        <v>832</v>
      </c>
      <c r="G3699" s="12" t="s">
        <v>832</v>
      </c>
      <c r="H3699" s="12" t="b">
        <v>0</v>
      </c>
      <c r="I3699" s="12" t="b">
        <v>0</v>
      </c>
      <c r="J3699" s="12" t="b">
        <v>0</v>
      </c>
      <c r="K3699" s="12" t="b">
        <v>0</v>
      </c>
      <c r="L3699" s="12">
        <v>384.21771527795079</v>
      </c>
      <c r="M3699" s="12">
        <v>300.032917</v>
      </c>
      <c r="N3699" s="12">
        <v>2942.177081784665</v>
      </c>
      <c r="O3699" s="12">
        <v>997.79809313547719</v>
      </c>
      <c r="P3699" s="12">
        <v>0.72662953251562445</v>
      </c>
      <c r="Q3699" s="12">
        <v>0.84176771727369659</v>
      </c>
      <c r="R3699" s="12">
        <v>0.69039912690541583</v>
      </c>
      <c r="S3699" s="12">
        <v>0.71098043852551007</v>
      </c>
      <c r="T3699" s="12">
        <v>0.65070775138876247</v>
      </c>
      <c r="U3699" s="12">
        <v>0.89035149373084888</v>
      </c>
      <c r="V3699" s="12">
        <v>300.032917</v>
      </c>
      <c r="W3699" s="12"/>
      <c r="X3699" s="12"/>
      <c r="Y3699" s="12">
        <v>1944.3789886491879</v>
      </c>
      <c r="Z3699" s="12">
        <v>2.948669778010077</v>
      </c>
      <c r="AA3699" s="12"/>
      <c r="AB3699" s="12"/>
    </row>
    <row r="3700" spans="1:28" x14ac:dyDescent="0.3">
      <c r="A3700" s="12" t="s">
        <v>5626</v>
      </c>
      <c r="B3700" s="12" t="s">
        <v>206</v>
      </c>
      <c r="C3700" s="12" t="s">
        <v>568</v>
      </c>
      <c r="D3700" s="12" t="s">
        <v>5538</v>
      </c>
      <c r="E3700" s="12" t="s">
        <v>2978</v>
      </c>
      <c r="F3700" s="12" t="s">
        <v>1861</v>
      </c>
      <c r="G3700" s="12" t="s">
        <v>1861</v>
      </c>
      <c r="H3700" s="12" t="b">
        <v>1</v>
      </c>
      <c r="I3700" s="12" t="b">
        <v>0</v>
      </c>
      <c r="J3700" s="12" t="b">
        <v>1</v>
      </c>
      <c r="K3700" s="12" t="b">
        <v>0</v>
      </c>
      <c r="L3700" s="12">
        <v>428.40276223320689</v>
      </c>
      <c r="M3700" s="12">
        <v>300.032917</v>
      </c>
      <c r="N3700" s="12">
        <v>2323.8485941875952</v>
      </c>
      <c r="O3700" s="12">
        <v>933.9361342188364</v>
      </c>
      <c r="P3700" s="12">
        <v>0.61163537729574746</v>
      </c>
      <c r="Q3700" s="12">
        <v>0.92834162858413161</v>
      </c>
      <c r="R3700" s="12">
        <v>0.81952916618633709</v>
      </c>
      <c r="S3700" s="12">
        <v>0.90772406740481182</v>
      </c>
      <c r="T3700" s="12">
        <v>0.52674708093667888</v>
      </c>
      <c r="U3700" s="12">
        <v>0.67152256505183971</v>
      </c>
      <c r="V3700" s="12">
        <v>300.032917</v>
      </c>
      <c r="W3700" s="12">
        <v>7.0409169698758909</v>
      </c>
      <c r="X3700" s="12">
        <v>63.71936868692508</v>
      </c>
      <c r="Y3700" s="12">
        <v>1389.912459968758</v>
      </c>
      <c r="Z3700" s="12">
        <v>2.4882307355323712</v>
      </c>
      <c r="AA3700" s="12" t="s">
        <v>1268</v>
      </c>
      <c r="AB3700" s="12"/>
    </row>
    <row r="3701" spans="1:28" x14ac:dyDescent="0.3">
      <c r="A3701" s="12" t="s">
        <v>5627</v>
      </c>
      <c r="B3701" s="12" t="s">
        <v>206</v>
      </c>
      <c r="C3701" s="12" t="s">
        <v>568</v>
      </c>
      <c r="D3701" s="12" t="s">
        <v>5538</v>
      </c>
      <c r="E3701" s="12" t="s">
        <v>2978</v>
      </c>
      <c r="F3701" s="12" t="s">
        <v>32</v>
      </c>
      <c r="G3701" s="12" t="s">
        <v>32</v>
      </c>
      <c r="H3701" s="12" t="b">
        <v>1</v>
      </c>
      <c r="I3701" s="12" t="b">
        <v>1</v>
      </c>
      <c r="J3701" s="12" t="b">
        <v>0</v>
      </c>
      <c r="K3701" s="12" t="b">
        <v>0</v>
      </c>
      <c r="L3701" s="12">
        <v>482.51082130572121</v>
      </c>
      <c r="M3701" s="12">
        <v>300.032917</v>
      </c>
      <c r="N3701" s="12">
        <v>4510.9334238942611</v>
      </c>
      <c r="O3701" s="12">
        <v>1320.4128241549961</v>
      </c>
      <c r="P3701" s="12">
        <v>0.76512990323683494</v>
      </c>
      <c r="Q3701" s="12">
        <v>0.61413820027504062</v>
      </c>
      <c r="R3701" s="12">
        <v>0.7301036495814146</v>
      </c>
      <c r="S3701" s="12">
        <v>0.58668597829090907</v>
      </c>
      <c r="T3701" s="12">
        <v>0.74494705016213059</v>
      </c>
      <c r="U3701" s="12">
        <v>0.94609294166033164</v>
      </c>
      <c r="V3701" s="12">
        <v>300.032917</v>
      </c>
      <c r="W3701" s="12">
        <v>7.1164546317395603</v>
      </c>
      <c r="X3701" s="12">
        <v>73.923155265322421</v>
      </c>
      <c r="Y3701" s="12">
        <v>3190.520599739265</v>
      </c>
      <c r="Z3701" s="12">
        <v>3.416305371603046</v>
      </c>
      <c r="AA3701" s="12"/>
      <c r="AB3701" s="12"/>
    </row>
    <row r="3702" spans="1:28" x14ac:dyDescent="0.3">
      <c r="A3702" s="12" t="s">
        <v>5628</v>
      </c>
      <c r="B3702" s="12" t="s">
        <v>206</v>
      </c>
      <c r="C3702" s="12" t="s">
        <v>568</v>
      </c>
      <c r="D3702" s="12" t="s">
        <v>5538</v>
      </c>
      <c r="E3702" s="12" t="s">
        <v>2978</v>
      </c>
      <c r="F3702" s="12" t="s">
        <v>3483</v>
      </c>
      <c r="G3702" s="12"/>
      <c r="H3702" s="12" t="b">
        <v>0</v>
      </c>
      <c r="I3702" s="12" t="b">
        <v>0</v>
      </c>
      <c r="J3702" s="12"/>
      <c r="K3702" s="12" t="b">
        <v>1</v>
      </c>
      <c r="L3702" s="12">
        <v>402.5833774255243</v>
      </c>
      <c r="M3702" s="12">
        <v>300.032917</v>
      </c>
      <c r="N3702" s="12">
        <v>2083.1697119013138</v>
      </c>
      <c r="O3702" s="12">
        <v>1939.113947469529</v>
      </c>
      <c r="P3702" s="12">
        <v>0.5999219199316882</v>
      </c>
      <c r="Q3702" s="12">
        <v>0.42207839788398188</v>
      </c>
      <c r="R3702" s="12">
        <v>0.76089475135120899</v>
      </c>
      <c r="S3702" s="12">
        <v>0.59126541277833444</v>
      </c>
      <c r="T3702" s="12">
        <v>0.67836287970510167</v>
      </c>
      <c r="U3702" s="12">
        <v>0.80171614729778162</v>
      </c>
      <c r="V3702" s="12"/>
      <c r="W3702" s="12"/>
      <c r="X3702" s="12"/>
      <c r="Y3702" s="12">
        <v>144.05576443178461</v>
      </c>
      <c r="Z3702" s="12">
        <v>1.0742894787692969</v>
      </c>
      <c r="AA3702" s="12"/>
      <c r="AB3702" s="12"/>
    </row>
    <row r="3703" spans="1:28" x14ac:dyDescent="0.3">
      <c r="A3703" s="12" t="s">
        <v>5629</v>
      </c>
      <c r="B3703" s="12" t="s">
        <v>206</v>
      </c>
      <c r="C3703" s="12" t="s">
        <v>568</v>
      </c>
      <c r="D3703" s="12" t="s">
        <v>5538</v>
      </c>
      <c r="E3703" s="12" t="s">
        <v>2978</v>
      </c>
      <c r="F3703" s="12" t="s">
        <v>1862</v>
      </c>
      <c r="G3703" s="12" t="s">
        <v>1862</v>
      </c>
      <c r="H3703" s="12" t="b">
        <v>1</v>
      </c>
      <c r="I3703" s="12" t="b">
        <v>0</v>
      </c>
      <c r="J3703" s="12" t="b">
        <v>1</v>
      </c>
      <c r="K3703" s="12" t="b">
        <v>0</v>
      </c>
      <c r="L3703" s="12">
        <v>441.60268427456037</v>
      </c>
      <c r="M3703" s="12">
        <v>300.032917</v>
      </c>
      <c r="N3703" s="12">
        <v>4940.004245973897</v>
      </c>
      <c r="O3703" s="12">
        <v>343.31147249925471</v>
      </c>
      <c r="P3703" s="12">
        <v>0.65622172984954408</v>
      </c>
      <c r="Q3703" s="12">
        <v>0.72839105663412895</v>
      </c>
      <c r="R3703" s="12">
        <v>0.84663243388518106</v>
      </c>
      <c r="S3703" s="12">
        <v>0.74574266232769104</v>
      </c>
      <c r="T3703" s="12">
        <v>0.82837533744371816</v>
      </c>
      <c r="U3703" s="12">
        <v>0.78767986698943204</v>
      </c>
      <c r="V3703" s="12">
        <v>300.032917</v>
      </c>
      <c r="W3703" s="12">
        <v>-1.2502439473974301</v>
      </c>
      <c r="X3703" s="12">
        <v>-5.0356756962760301</v>
      </c>
      <c r="Y3703" s="12">
        <v>4596.6927734746423</v>
      </c>
      <c r="Z3703" s="12">
        <v>14.389278080372399</v>
      </c>
      <c r="AA3703" s="12" t="s">
        <v>2513</v>
      </c>
      <c r="AB3703" s="12"/>
    </row>
    <row r="3704" spans="1:28" x14ac:dyDescent="0.3">
      <c r="A3704" s="12" t="s">
        <v>5630</v>
      </c>
      <c r="B3704" s="12" t="s">
        <v>206</v>
      </c>
      <c r="C3704" s="12" t="s">
        <v>568</v>
      </c>
      <c r="D3704" s="12" t="s">
        <v>5538</v>
      </c>
      <c r="E3704" s="12" t="s">
        <v>2978</v>
      </c>
      <c r="F3704" s="12" t="s">
        <v>1862</v>
      </c>
      <c r="G3704" s="12" t="s">
        <v>1862</v>
      </c>
      <c r="H3704" s="12" t="b">
        <v>1</v>
      </c>
      <c r="I3704" s="12" t="b">
        <v>0</v>
      </c>
      <c r="J3704" s="12" t="b">
        <v>1</v>
      </c>
      <c r="K3704" s="12" t="b">
        <v>0</v>
      </c>
      <c r="L3704" s="12">
        <v>485.99602524068501</v>
      </c>
      <c r="M3704" s="12">
        <v>300.032917</v>
      </c>
      <c r="N3704" s="12">
        <v>4982.7542192155179</v>
      </c>
      <c r="O3704" s="12">
        <v>395.9395431108224</v>
      </c>
      <c r="P3704" s="12">
        <v>0.52105452203489933</v>
      </c>
      <c r="Q3704" s="12">
        <v>0.44885090133881828</v>
      </c>
      <c r="R3704" s="12">
        <v>0.55175838060271531</v>
      </c>
      <c r="S3704" s="12">
        <v>0.76039819258446117</v>
      </c>
      <c r="T3704" s="12">
        <v>0.52617460884581257</v>
      </c>
      <c r="U3704" s="12">
        <v>0.4076098500226803</v>
      </c>
      <c r="V3704" s="12">
        <v>300.032917</v>
      </c>
      <c r="W3704" s="12">
        <v>-48.857418404614499</v>
      </c>
      <c r="X3704" s="12">
        <v>-224.167678842367</v>
      </c>
      <c r="Y3704" s="12">
        <v>4586.8146761046964</v>
      </c>
      <c r="Z3704" s="12">
        <v>12.58463395716163</v>
      </c>
      <c r="AA3704" s="12" t="s">
        <v>2513</v>
      </c>
      <c r="AB3704" s="12"/>
    </row>
    <row r="3705" spans="1:28" x14ac:dyDescent="0.3">
      <c r="A3705" s="12" t="s">
        <v>5631</v>
      </c>
      <c r="B3705" s="12" t="s">
        <v>206</v>
      </c>
      <c r="C3705" s="12" t="s">
        <v>568</v>
      </c>
      <c r="D3705" s="12" t="s">
        <v>5538</v>
      </c>
      <c r="E3705" s="12" t="s">
        <v>2978</v>
      </c>
      <c r="F3705" s="12" t="s">
        <v>1861</v>
      </c>
      <c r="G3705" s="12" t="s">
        <v>1861</v>
      </c>
      <c r="H3705" s="12" t="b">
        <v>1</v>
      </c>
      <c r="I3705" s="12" t="b">
        <v>0</v>
      </c>
      <c r="J3705" s="12" t="b">
        <v>1</v>
      </c>
      <c r="K3705" s="12" t="b">
        <v>0</v>
      </c>
      <c r="L3705" s="12">
        <v>444.49972409881917</v>
      </c>
      <c r="M3705" s="12">
        <v>300.032917</v>
      </c>
      <c r="N3705" s="12">
        <v>3680.937496561593</v>
      </c>
      <c r="O3705" s="12">
        <v>1080.0751641734921</v>
      </c>
      <c r="P3705" s="12">
        <v>0.7960900426570432</v>
      </c>
      <c r="Q3705" s="12">
        <v>0.66382219769932815</v>
      </c>
      <c r="R3705" s="12">
        <v>0.63603353626986903</v>
      </c>
      <c r="S3705" s="12">
        <v>0.73204426124151811</v>
      </c>
      <c r="T3705" s="12">
        <v>0.55121792481973708</v>
      </c>
      <c r="U3705" s="12">
        <v>0.74125413831354825</v>
      </c>
      <c r="V3705" s="12">
        <v>300.032917</v>
      </c>
      <c r="W3705" s="12">
        <v>5.9664081359593801</v>
      </c>
      <c r="X3705" s="12">
        <v>60.872900253532208</v>
      </c>
      <c r="Y3705" s="12">
        <v>2600.8623323881011</v>
      </c>
      <c r="Z3705" s="12">
        <v>3.4080382723903901</v>
      </c>
      <c r="AA3705" s="12" t="s">
        <v>1268</v>
      </c>
      <c r="AB3705" s="12"/>
    </row>
    <row r="3706" spans="1:28" x14ac:dyDescent="0.3">
      <c r="A3706" s="12" t="s">
        <v>5632</v>
      </c>
      <c r="B3706" s="12" t="s">
        <v>206</v>
      </c>
      <c r="C3706" s="12" t="s">
        <v>568</v>
      </c>
      <c r="D3706" s="12" t="s">
        <v>5538</v>
      </c>
      <c r="E3706" s="12" t="s">
        <v>2978</v>
      </c>
      <c r="F3706" s="12" t="s">
        <v>32</v>
      </c>
      <c r="G3706" s="12" t="s">
        <v>32</v>
      </c>
      <c r="H3706" s="12" t="b">
        <v>1</v>
      </c>
      <c r="I3706" s="12" t="b">
        <v>1</v>
      </c>
      <c r="J3706" s="12" t="b">
        <v>0</v>
      </c>
      <c r="K3706" s="12" t="b">
        <v>0</v>
      </c>
      <c r="L3706" s="12">
        <v>420.46442174867008</v>
      </c>
      <c r="M3706" s="12">
        <v>300.032917</v>
      </c>
      <c r="N3706" s="12">
        <v>3163.7964942558779</v>
      </c>
      <c r="O3706" s="12">
        <v>1031.9811831571019</v>
      </c>
      <c r="P3706" s="12">
        <v>0.5263634325724047</v>
      </c>
      <c r="Q3706" s="12">
        <v>0.40568277848208512</v>
      </c>
      <c r="R3706" s="12">
        <v>0.60431634602898032</v>
      </c>
      <c r="S3706" s="12">
        <v>0.40892701315409541</v>
      </c>
      <c r="T3706" s="12">
        <v>0.44454802781281039</v>
      </c>
      <c r="U3706" s="12">
        <v>0.8318240971394808</v>
      </c>
      <c r="V3706" s="12">
        <v>300.032917</v>
      </c>
      <c r="W3706" s="12">
        <v>0.37596148172193</v>
      </c>
      <c r="X3706" s="12">
        <v>1.171273596457024</v>
      </c>
      <c r="Y3706" s="12">
        <v>2131.8153110987769</v>
      </c>
      <c r="Z3706" s="12">
        <v>3.0657501763520472</v>
      </c>
      <c r="AA3706" s="12"/>
      <c r="AB3706" s="12"/>
    </row>
    <row r="3707" spans="1:28" x14ac:dyDescent="0.3">
      <c r="A3707" s="12" t="s">
        <v>5633</v>
      </c>
      <c r="B3707" s="12" t="s">
        <v>206</v>
      </c>
      <c r="C3707" s="12" t="s">
        <v>568</v>
      </c>
      <c r="D3707" s="12" t="s">
        <v>5538</v>
      </c>
      <c r="E3707" s="12" t="s">
        <v>2978</v>
      </c>
      <c r="F3707" s="12" t="s">
        <v>1861</v>
      </c>
      <c r="G3707" s="12" t="s">
        <v>1861</v>
      </c>
      <c r="H3707" s="12" t="b">
        <v>1</v>
      </c>
      <c r="I3707" s="12" t="b">
        <v>0</v>
      </c>
      <c r="J3707" s="12" t="b">
        <v>1</v>
      </c>
      <c r="K3707" s="12" t="b">
        <v>0</v>
      </c>
      <c r="L3707" s="12">
        <v>488.56368273183358</v>
      </c>
      <c r="M3707" s="12">
        <v>300.032917</v>
      </c>
      <c r="N3707" s="12">
        <v>3372.833349609547</v>
      </c>
      <c r="O3707" s="12">
        <v>1978.0578423100731</v>
      </c>
      <c r="P3707" s="12">
        <v>0.66774086427946244</v>
      </c>
      <c r="Q3707" s="12">
        <v>0.57079648109618397</v>
      </c>
      <c r="R3707" s="12">
        <v>0.83686220938392941</v>
      </c>
      <c r="S3707" s="12">
        <v>0.54319605314419417</v>
      </c>
      <c r="T3707" s="12">
        <v>0.86825708521127587</v>
      </c>
      <c r="U3707" s="12">
        <v>0.62138077102523459</v>
      </c>
      <c r="V3707" s="12">
        <v>300.032917</v>
      </c>
      <c r="W3707" s="12">
        <v>2.0230948792693102</v>
      </c>
      <c r="X3707" s="12">
        <v>17.079569659826092</v>
      </c>
      <c r="Y3707" s="12">
        <v>1394.7755072994739</v>
      </c>
      <c r="Z3707" s="12">
        <v>1.7051237215948081</v>
      </c>
      <c r="AA3707" s="12" t="s">
        <v>1268</v>
      </c>
      <c r="AB3707" s="12"/>
    </row>
    <row r="3708" spans="1:28" x14ac:dyDescent="0.3">
      <c r="A3708" s="12" t="s">
        <v>5634</v>
      </c>
      <c r="B3708" s="12" t="s">
        <v>206</v>
      </c>
      <c r="C3708" s="12" t="s">
        <v>568</v>
      </c>
      <c r="D3708" s="12" t="s">
        <v>5538</v>
      </c>
      <c r="E3708" s="12" t="s">
        <v>2978</v>
      </c>
      <c r="F3708" s="12" t="s">
        <v>32</v>
      </c>
      <c r="G3708" s="12" t="s">
        <v>32</v>
      </c>
      <c r="H3708" s="12" t="b">
        <v>1</v>
      </c>
      <c r="I3708" s="12" t="b">
        <v>0</v>
      </c>
      <c r="J3708" s="12" t="b">
        <v>1</v>
      </c>
      <c r="K3708" s="12" t="b">
        <v>0</v>
      </c>
      <c r="L3708" s="12">
        <v>503.499364272918</v>
      </c>
      <c r="M3708" s="12">
        <v>300.032917</v>
      </c>
      <c r="N3708" s="12">
        <v>2861.5285223632559</v>
      </c>
      <c r="O3708" s="12">
        <v>1489.3732921294909</v>
      </c>
      <c r="P3708" s="12">
        <v>0.50778872877452452</v>
      </c>
      <c r="Q3708" s="12">
        <v>0.76449971326111266</v>
      </c>
      <c r="R3708" s="12">
        <v>0.5737964039915997</v>
      </c>
      <c r="S3708" s="12">
        <v>0.72167627238019838</v>
      </c>
      <c r="T3708" s="12">
        <v>0.57695932649493398</v>
      </c>
      <c r="U3708" s="12">
        <v>0.86286189262887913</v>
      </c>
      <c r="V3708" s="12">
        <v>300.032917</v>
      </c>
      <c r="W3708" s="12">
        <v>4.3791013638573197</v>
      </c>
      <c r="X3708" s="12">
        <v>66.722192932388921</v>
      </c>
      <c r="Y3708" s="12">
        <v>1372.155230233765</v>
      </c>
      <c r="Z3708" s="12">
        <v>1.921297056610886</v>
      </c>
      <c r="AA3708" s="12"/>
      <c r="AB3708" s="12"/>
    </row>
    <row r="3709" spans="1:28" x14ac:dyDescent="0.3">
      <c r="A3709" s="12" t="s">
        <v>5635</v>
      </c>
      <c r="B3709" s="12" t="s">
        <v>206</v>
      </c>
      <c r="C3709" s="12" t="s">
        <v>568</v>
      </c>
      <c r="D3709" s="12" t="s">
        <v>5538</v>
      </c>
      <c r="E3709" s="12" t="s">
        <v>2978</v>
      </c>
      <c r="F3709" s="12" t="s">
        <v>1862</v>
      </c>
      <c r="G3709" s="12" t="s">
        <v>1862</v>
      </c>
      <c r="H3709" s="12" t="b">
        <v>1</v>
      </c>
      <c r="I3709" s="12" t="b">
        <v>0</v>
      </c>
      <c r="J3709" s="12" t="b">
        <v>0</v>
      </c>
      <c r="K3709" s="12" t="b">
        <v>0</v>
      </c>
      <c r="L3709" s="12">
        <v>461.47999235131738</v>
      </c>
      <c r="M3709" s="12">
        <v>300.032917</v>
      </c>
      <c r="N3709" s="12">
        <v>2140.2837044127732</v>
      </c>
      <c r="O3709" s="12">
        <v>1014.7527916563949</v>
      </c>
      <c r="P3709" s="12">
        <v>0.70800399920491408</v>
      </c>
      <c r="Q3709" s="12">
        <v>0.43057351172590508</v>
      </c>
      <c r="R3709" s="12">
        <v>0.59042305568679088</v>
      </c>
      <c r="S3709" s="12">
        <v>0.51416501858614494</v>
      </c>
      <c r="T3709" s="12">
        <v>0.76309999981614418</v>
      </c>
      <c r="U3709" s="12">
        <v>0.53718932013958909</v>
      </c>
      <c r="V3709" s="12">
        <v>300.032917</v>
      </c>
      <c r="W3709" s="12">
        <v>-4.4459942426438994</v>
      </c>
      <c r="X3709" s="12">
        <v>-30.2977554789931</v>
      </c>
      <c r="Y3709" s="12">
        <v>1125.530912756378</v>
      </c>
      <c r="Z3709" s="12">
        <v>2.1091675943252719</v>
      </c>
      <c r="AA3709" s="12" t="s">
        <v>2513</v>
      </c>
      <c r="AB3709" s="12"/>
    </row>
    <row r="3710" spans="1:28" x14ac:dyDescent="0.3">
      <c r="A3710" s="12" t="s">
        <v>5636</v>
      </c>
      <c r="B3710" s="12" t="s">
        <v>206</v>
      </c>
      <c r="C3710" s="12" t="s">
        <v>568</v>
      </c>
      <c r="D3710" s="12" t="s">
        <v>5538</v>
      </c>
      <c r="E3710" s="12" t="s">
        <v>2978</v>
      </c>
      <c r="F3710" s="12" t="s">
        <v>1861</v>
      </c>
      <c r="G3710" s="12" t="s">
        <v>1861</v>
      </c>
      <c r="H3710" s="12" t="b">
        <v>1</v>
      </c>
      <c r="I3710" s="12" t="b">
        <v>0</v>
      </c>
      <c r="J3710" s="12" t="b">
        <v>0</v>
      </c>
      <c r="K3710" s="12" t="b">
        <v>0</v>
      </c>
      <c r="L3710" s="12">
        <v>501.87613906425003</v>
      </c>
      <c r="M3710" s="12">
        <v>300.032917</v>
      </c>
      <c r="N3710" s="12">
        <v>3308.0803707511282</v>
      </c>
      <c r="O3710" s="12">
        <v>1689.5469369477689</v>
      </c>
      <c r="P3710" s="12">
        <v>0.79950342932809149</v>
      </c>
      <c r="Q3710" s="12">
        <v>0.65552454965291773</v>
      </c>
      <c r="R3710" s="12">
        <v>0.86376203255380157</v>
      </c>
      <c r="S3710" s="12">
        <v>0.49369948733120711</v>
      </c>
      <c r="T3710" s="12">
        <v>0.66716831897202011</v>
      </c>
      <c r="U3710" s="12">
        <v>0.41425861318368518</v>
      </c>
      <c r="V3710" s="12">
        <v>300.032917</v>
      </c>
      <c r="W3710" s="12">
        <v>0.17751359342558001</v>
      </c>
      <c r="X3710" s="12">
        <v>0.98425537421957199</v>
      </c>
      <c r="Y3710" s="12">
        <v>1618.533433803359</v>
      </c>
      <c r="Z3710" s="12">
        <v>1.9579689077636999</v>
      </c>
      <c r="AA3710" s="12" t="s">
        <v>1268</v>
      </c>
      <c r="AB3710" s="12"/>
    </row>
    <row r="3711" spans="1:28" x14ac:dyDescent="0.3">
      <c r="A3711" s="12" t="s">
        <v>5637</v>
      </c>
      <c r="B3711" s="12" t="s">
        <v>206</v>
      </c>
      <c r="C3711" s="12" t="s">
        <v>568</v>
      </c>
      <c r="D3711" s="12" t="s">
        <v>5538</v>
      </c>
      <c r="E3711" s="12" t="s">
        <v>2978</v>
      </c>
      <c r="F3711" s="12" t="s">
        <v>832</v>
      </c>
      <c r="G3711" s="12" t="s">
        <v>832</v>
      </c>
      <c r="H3711" s="12" t="b">
        <v>0</v>
      </c>
      <c r="I3711" s="12" t="b">
        <v>0</v>
      </c>
      <c r="J3711" s="12" t="b">
        <v>0</v>
      </c>
      <c r="K3711" s="12" t="b">
        <v>0</v>
      </c>
      <c r="L3711" s="12">
        <v>380.1511720205765</v>
      </c>
      <c r="M3711" s="12">
        <v>300.032917</v>
      </c>
      <c r="N3711" s="12">
        <v>4045.936587590028</v>
      </c>
      <c r="O3711" s="12">
        <v>1062.208580356526</v>
      </c>
      <c r="P3711" s="12">
        <v>0.56103202032662569</v>
      </c>
      <c r="Q3711" s="12">
        <v>0.86637757340363264</v>
      </c>
      <c r="R3711" s="12">
        <v>0.65524543323871443</v>
      </c>
      <c r="S3711" s="12">
        <v>0.54998323038229646</v>
      </c>
      <c r="T3711" s="12">
        <v>0.73058425434374041</v>
      </c>
      <c r="U3711" s="12">
        <v>0.87373056793817039</v>
      </c>
      <c r="V3711" s="12">
        <v>300.032917</v>
      </c>
      <c r="W3711" s="12"/>
      <c r="X3711" s="12"/>
      <c r="Y3711" s="12">
        <v>2983.728007233502</v>
      </c>
      <c r="Z3711" s="12">
        <v>3.8089850359070021</v>
      </c>
      <c r="AA3711" s="12"/>
      <c r="AB3711" s="12"/>
    </row>
    <row r="3712" spans="1:28" x14ac:dyDescent="0.3">
      <c r="A3712" s="12" t="s">
        <v>5638</v>
      </c>
      <c r="B3712" s="12" t="s">
        <v>206</v>
      </c>
      <c r="C3712" s="12" t="s">
        <v>568</v>
      </c>
      <c r="D3712" s="12" t="s">
        <v>5538</v>
      </c>
      <c r="E3712" s="12" t="s">
        <v>2978</v>
      </c>
      <c r="F3712" s="12" t="s">
        <v>32</v>
      </c>
      <c r="G3712" s="12" t="s">
        <v>32</v>
      </c>
      <c r="H3712" s="12" t="b">
        <v>1</v>
      </c>
      <c r="I3712" s="12" t="b">
        <v>1</v>
      </c>
      <c r="J3712" s="12" t="b">
        <v>0</v>
      </c>
      <c r="K3712" s="12" t="b">
        <v>0</v>
      </c>
      <c r="L3712" s="12">
        <v>424.96244906109922</v>
      </c>
      <c r="M3712" s="12">
        <v>300.032917</v>
      </c>
      <c r="N3712" s="12">
        <v>4608.2834044632618</v>
      </c>
      <c r="O3712" s="12">
        <v>1642.780498256107</v>
      </c>
      <c r="P3712" s="12">
        <v>0.603825369211761</v>
      </c>
      <c r="Q3712" s="12">
        <v>0.73744478565337457</v>
      </c>
      <c r="R3712" s="12">
        <v>0.58659184035313683</v>
      </c>
      <c r="S3712" s="12">
        <v>0.59794497025519311</v>
      </c>
      <c r="T3712" s="12">
        <v>0.60159919261441641</v>
      </c>
      <c r="U3712" s="12">
        <v>0.72497226375335677</v>
      </c>
      <c r="V3712" s="12">
        <v>300.032917</v>
      </c>
      <c r="W3712" s="12">
        <v>4.1275668114901594</v>
      </c>
      <c r="X3712" s="12">
        <v>16.233618083929791</v>
      </c>
      <c r="Y3712" s="12">
        <v>2965.5029062071558</v>
      </c>
      <c r="Z3712" s="12">
        <v>2.805172942675656</v>
      </c>
      <c r="AA3712" s="12"/>
      <c r="AB3712" s="12"/>
    </row>
    <row r="3713" spans="1:28" x14ac:dyDescent="0.3">
      <c r="A3713" s="12" t="s">
        <v>5639</v>
      </c>
      <c r="B3713" s="12" t="s">
        <v>206</v>
      </c>
      <c r="C3713" s="12" t="s">
        <v>578</v>
      </c>
      <c r="D3713" s="12" t="s">
        <v>5640</v>
      </c>
      <c r="E3713" s="12" t="s">
        <v>2978</v>
      </c>
      <c r="F3713" s="12" t="s">
        <v>1861</v>
      </c>
      <c r="G3713" s="12" t="s">
        <v>1861</v>
      </c>
      <c r="H3713" s="12" t="b">
        <v>1</v>
      </c>
      <c r="I3713" s="12" t="b">
        <v>0</v>
      </c>
      <c r="J3713" s="12" t="b">
        <v>0</v>
      </c>
      <c r="K3713" s="12" t="b">
        <v>0</v>
      </c>
      <c r="L3713" s="12">
        <v>440.50477965186911</v>
      </c>
      <c r="M3713" s="12">
        <v>298.60290462053081</v>
      </c>
      <c r="N3713" s="12">
        <v>3196.5209956455251</v>
      </c>
      <c r="O3713" s="12">
        <v>353.20792711845058</v>
      </c>
      <c r="P3713" s="12">
        <v>0.5</v>
      </c>
      <c r="Q3713" s="12">
        <v>0.84222190482403736</v>
      </c>
      <c r="R3713" s="12">
        <v>0.70026309622756577</v>
      </c>
      <c r="S3713" s="12">
        <v>0.64438304727039697</v>
      </c>
      <c r="T3713" s="12">
        <v>0.60498331213516388</v>
      </c>
      <c r="U3713" s="12">
        <v>0.94159644172667656</v>
      </c>
      <c r="V3713" s="12">
        <v>298.60290462053081</v>
      </c>
      <c r="W3713" s="12">
        <v>11.68107914535161</v>
      </c>
      <c r="X3713" s="12">
        <v>74.164874426927838</v>
      </c>
      <c r="Y3713" s="12">
        <v>2843.3130685270739</v>
      </c>
      <c r="Z3713" s="12">
        <v>9.0499695794583648</v>
      </c>
      <c r="AA3713" s="12" t="s">
        <v>1268</v>
      </c>
      <c r="AB3713" s="12"/>
    </row>
    <row r="3714" spans="1:28" x14ac:dyDescent="0.3">
      <c r="A3714" s="12" t="s">
        <v>5641</v>
      </c>
      <c r="B3714" s="12" t="s">
        <v>206</v>
      </c>
      <c r="C3714" s="12" t="s">
        <v>568</v>
      </c>
      <c r="D3714" s="12" t="s">
        <v>5538</v>
      </c>
      <c r="E3714" s="12" t="s">
        <v>2978</v>
      </c>
      <c r="F3714" s="12" t="s">
        <v>1861</v>
      </c>
      <c r="G3714" s="12" t="s">
        <v>1861</v>
      </c>
      <c r="H3714" s="12" t="b">
        <v>1</v>
      </c>
      <c r="I3714" s="12" t="b">
        <v>0</v>
      </c>
      <c r="J3714" s="12" t="b">
        <v>1</v>
      </c>
      <c r="K3714" s="12" t="b">
        <v>0</v>
      </c>
      <c r="L3714" s="12">
        <v>501.1200792817466</v>
      </c>
      <c r="M3714" s="12">
        <v>300.032917</v>
      </c>
      <c r="N3714" s="12">
        <v>3596.4637383111572</v>
      </c>
      <c r="O3714" s="12">
        <v>1888.7461989979081</v>
      </c>
      <c r="P3714" s="12">
        <v>0.59031170820467582</v>
      </c>
      <c r="Q3714" s="12">
        <v>0.68412138597033523</v>
      </c>
      <c r="R3714" s="12">
        <v>0.78993740275470348</v>
      </c>
      <c r="S3714" s="12">
        <v>0.82610261766560567</v>
      </c>
      <c r="T3714" s="12">
        <v>0.62098529190420482</v>
      </c>
      <c r="U3714" s="12">
        <v>0.68455228842298865</v>
      </c>
      <c r="V3714" s="12">
        <v>300.032917</v>
      </c>
      <c r="W3714" s="12">
        <v>3.3242957294735298</v>
      </c>
      <c r="X3714" s="12">
        <v>44.986730349952822</v>
      </c>
      <c r="Y3714" s="12">
        <v>1707.71753931325</v>
      </c>
      <c r="Z3714" s="12">
        <v>1.9041540574478959</v>
      </c>
      <c r="AA3714" s="12" t="s">
        <v>1268</v>
      </c>
      <c r="AB3714" s="12"/>
    </row>
    <row r="3715" spans="1:28" x14ac:dyDescent="0.3">
      <c r="A3715" s="12" t="s">
        <v>5642</v>
      </c>
      <c r="B3715" s="12" t="s">
        <v>206</v>
      </c>
      <c r="C3715" s="12" t="s">
        <v>578</v>
      </c>
      <c r="D3715" s="12" t="s">
        <v>5640</v>
      </c>
      <c r="E3715" s="12" t="s">
        <v>2978</v>
      </c>
      <c r="F3715" s="12" t="s">
        <v>1862</v>
      </c>
      <c r="G3715" s="12" t="s">
        <v>1862</v>
      </c>
      <c r="H3715" s="12" t="b">
        <v>1</v>
      </c>
      <c r="I3715" s="12" t="b">
        <v>0</v>
      </c>
      <c r="J3715" s="12" t="b">
        <v>1</v>
      </c>
      <c r="K3715" s="12" t="b">
        <v>0</v>
      </c>
      <c r="L3715" s="12">
        <v>462.75963494119088</v>
      </c>
      <c r="M3715" s="12">
        <v>294.22099293199062</v>
      </c>
      <c r="N3715" s="12">
        <v>3681.4724605256952</v>
      </c>
      <c r="O3715" s="12">
        <v>1832.6907452922931</v>
      </c>
      <c r="P3715" s="12">
        <v>0.5</v>
      </c>
      <c r="Q3715" s="12">
        <v>0.53895429932858829</v>
      </c>
      <c r="R3715" s="12">
        <v>0.41500100521009492</v>
      </c>
      <c r="S3715" s="12">
        <v>0.91757628274864877</v>
      </c>
      <c r="T3715" s="12">
        <v>0.42967860781327849</v>
      </c>
      <c r="U3715" s="12">
        <v>0.53938422263283281</v>
      </c>
      <c r="V3715" s="12">
        <v>294.22099293199062</v>
      </c>
      <c r="W3715" s="12">
        <v>-1.7518863025868401</v>
      </c>
      <c r="X3715" s="12">
        <v>-13.926339111119921</v>
      </c>
      <c r="Y3715" s="12">
        <v>1848.7817152334021</v>
      </c>
      <c r="Z3715" s="12">
        <v>2.0087799700972151</v>
      </c>
      <c r="AA3715" s="12" t="s">
        <v>2513</v>
      </c>
      <c r="AB3715" s="12"/>
    </row>
    <row r="3716" spans="1:28" x14ac:dyDescent="0.3">
      <c r="A3716" s="12" t="s">
        <v>5643</v>
      </c>
      <c r="B3716" s="12" t="s">
        <v>206</v>
      </c>
      <c r="C3716" s="12" t="s">
        <v>578</v>
      </c>
      <c r="D3716" s="12" t="s">
        <v>5640</v>
      </c>
      <c r="E3716" s="12" t="s">
        <v>2978</v>
      </c>
      <c r="F3716" s="12" t="s">
        <v>1861</v>
      </c>
      <c r="G3716" s="12" t="s">
        <v>1861</v>
      </c>
      <c r="H3716" s="12" t="b">
        <v>1</v>
      </c>
      <c r="I3716" s="12" t="b">
        <v>0</v>
      </c>
      <c r="J3716" s="12" t="b">
        <v>1</v>
      </c>
      <c r="K3716" s="12" t="b">
        <v>0</v>
      </c>
      <c r="L3716" s="12">
        <v>478.90738338761741</v>
      </c>
      <c r="M3716" s="12">
        <v>299.10578943817973</v>
      </c>
      <c r="N3716" s="12">
        <v>2930.2542598372638</v>
      </c>
      <c r="O3716" s="12">
        <v>1381.7818794498</v>
      </c>
      <c r="P3716" s="12">
        <v>0.5</v>
      </c>
      <c r="Q3716" s="12">
        <v>0.89056854598942747</v>
      </c>
      <c r="R3716" s="12">
        <v>0.69439674330392775</v>
      </c>
      <c r="S3716" s="12">
        <v>0.6708453249381463</v>
      </c>
      <c r="T3716" s="12">
        <v>0.48996820394301682</v>
      </c>
      <c r="U3716" s="12">
        <v>0.64637925205194358</v>
      </c>
      <c r="V3716" s="12">
        <v>299.10578943817973</v>
      </c>
      <c r="W3716" s="12">
        <v>5.1149008132114506</v>
      </c>
      <c r="X3716" s="12">
        <v>58.211796156965967</v>
      </c>
      <c r="Y3716" s="12">
        <v>1548.4723803874649</v>
      </c>
      <c r="Z3716" s="12">
        <v>2.120634452815402</v>
      </c>
      <c r="AA3716" s="12" t="s">
        <v>1268</v>
      </c>
      <c r="AB3716" s="12"/>
    </row>
    <row r="3717" spans="1:28" x14ac:dyDescent="0.3">
      <c r="A3717" s="12" t="s">
        <v>5644</v>
      </c>
      <c r="B3717" s="12" t="s">
        <v>206</v>
      </c>
      <c r="C3717" s="12" t="s">
        <v>578</v>
      </c>
      <c r="D3717" s="12" t="s">
        <v>5640</v>
      </c>
      <c r="E3717" s="12" t="s">
        <v>2978</v>
      </c>
      <c r="F3717" s="12" t="s">
        <v>32</v>
      </c>
      <c r="G3717" s="12" t="s">
        <v>32</v>
      </c>
      <c r="H3717" s="12" t="b">
        <v>1</v>
      </c>
      <c r="I3717" s="12" t="b">
        <v>1</v>
      </c>
      <c r="J3717" s="12" t="b">
        <v>0</v>
      </c>
      <c r="K3717" s="12" t="b">
        <v>0</v>
      </c>
      <c r="L3717" s="12">
        <v>387.80262742527208</v>
      </c>
      <c r="M3717" s="12">
        <v>281.19015281989471</v>
      </c>
      <c r="N3717" s="12">
        <v>2739.555769119961</v>
      </c>
      <c r="O3717" s="12">
        <v>1998.763234628464</v>
      </c>
      <c r="P3717" s="12">
        <v>0.5</v>
      </c>
      <c r="Q3717" s="12">
        <v>0.91531628791725816</v>
      </c>
      <c r="R3717" s="12">
        <v>0.90262317014179916</v>
      </c>
      <c r="S3717" s="12">
        <v>0.83613535847942344</v>
      </c>
      <c r="T3717" s="12">
        <v>0.78350552573309407</v>
      </c>
      <c r="U3717" s="12">
        <v>0.65536157941065931</v>
      </c>
      <c r="V3717" s="12">
        <v>281.19015281989471</v>
      </c>
      <c r="W3717" s="12">
        <v>0.90196193932784996</v>
      </c>
      <c r="X3717" s="12">
        <v>1.5456177737986061</v>
      </c>
      <c r="Y3717" s="12">
        <v>740.79253449149655</v>
      </c>
      <c r="Z3717" s="12">
        <v>1.3706254556104029</v>
      </c>
      <c r="AA3717" s="12"/>
      <c r="AB3717" s="12"/>
    </row>
    <row r="3718" spans="1:28" x14ac:dyDescent="0.3">
      <c r="A3718" s="12" t="s">
        <v>5645</v>
      </c>
      <c r="B3718" s="12" t="s">
        <v>206</v>
      </c>
      <c r="C3718" s="12" t="s">
        <v>578</v>
      </c>
      <c r="D3718" s="12" t="s">
        <v>5640</v>
      </c>
      <c r="E3718" s="12" t="s">
        <v>2978</v>
      </c>
      <c r="F3718" s="12" t="s">
        <v>1861</v>
      </c>
      <c r="G3718" s="12" t="s">
        <v>1861</v>
      </c>
      <c r="H3718" s="12" t="b">
        <v>1</v>
      </c>
      <c r="I3718" s="12" t="b">
        <v>0</v>
      </c>
      <c r="J3718" s="12" t="b">
        <v>0</v>
      </c>
      <c r="K3718" s="12" t="b">
        <v>0</v>
      </c>
      <c r="L3718" s="12">
        <v>423.12958817342081</v>
      </c>
      <c r="M3718" s="12">
        <v>288.61469878942478</v>
      </c>
      <c r="N3718" s="12">
        <v>2486.0038546263499</v>
      </c>
      <c r="O3718" s="12">
        <v>472.31574499258761</v>
      </c>
      <c r="P3718" s="12">
        <v>0.5</v>
      </c>
      <c r="Q3718" s="12">
        <v>0.67785343549988442</v>
      </c>
      <c r="R3718" s="12">
        <v>0.71969837151318072</v>
      </c>
      <c r="S3718" s="12">
        <v>0.54864236127981403</v>
      </c>
      <c r="T3718" s="12">
        <v>0.75340244465239159</v>
      </c>
      <c r="U3718" s="12">
        <v>0.55081086598580886</v>
      </c>
      <c r="V3718" s="12">
        <v>288.61469878942478</v>
      </c>
      <c r="W3718" s="12">
        <v>5.9659182462809106</v>
      </c>
      <c r="X3718" s="12">
        <v>23.3622061183646</v>
      </c>
      <c r="Y3718" s="12">
        <v>2013.6881096337629</v>
      </c>
      <c r="Z3718" s="12">
        <v>5.2634363367779864</v>
      </c>
      <c r="AA3718" s="12" t="s">
        <v>1268</v>
      </c>
      <c r="AB3718" s="12"/>
    </row>
    <row r="3719" spans="1:28" x14ac:dyDescent="0.3">
      <c r="A3719" s="12" t="s">
        <v>5646</v>
      </c>
      <c r="B3719" s="12" t="s">
        <v>206</v>
      </c>
      <c r="C3719" s="12" t="s">
        <v>578</v>
      </c>
      <c r="D3719" s="12" t="s">
        <v>5640</v>
      </c>
      <c r="E3719" s="12" t="s">
        <v>2978</v>
      </c>
      <c r="F3719" s="12" t="s">
        <v>32</v>
      </c>
      <c r="G3719" s="12" t="s">
        <v>32</v>
      </c>
      <c r="H3719" s="12" t="b">
        <v>1</v>
      </c>
      <c r="I3719" s="12" t="b">
        <v>1</v>
      </c>
      <c r="J3719" s="12" t="b">
        <v>0</v>
      </c>
      <c r="K3719" s="12" t="b">
        <v>0</v>
      </c>
      <c r="L3719" s="12">
        <v>405.3583559556568</v>
      </c>
      <c r="M3719" s="12">
        <v>282.54585478914129</v>
      </c>
      <c r="N3719" s="12">
        <v>2609.9750399517761</v>
      </c>
      <c r="O3719" s="12">
        <v>1737.227288078959</v>
      </c>
      <c r="P3719" s="12">
        <v>0.5</v>
      </c>
      <c r="Q3719" s="12">
        <v>0.66183000610256459</v>
      </c>
      <c r="R3719" s="12">
        <v>0.89212323945864758</v>
      </c>
      <c r="S3719" s="12">
        <v>0.8436653536570301</v>
      </c>
      <c r="T3719" s="12">
        <v>0.61817474319341525</v>
      </c>
      <c r="U3719" s="12">
        <v>0.83679799986196368</v>
      </c>
      <c r="V3719" s="12">
        <v>282.54585478914129</v>
      </c>
      <c r="W3719" s="12">
        <v>1.6147365310700801</v>
      </c>
      <c r="X3719" s="12">
        <v>7.6753162436173383</v>
      </c>
      <c r="Y3719" s="12">
        <v>872.74775187281762</v>
      </c>
      <c r="Z3719" s="12">
        <v>1.502379716149814</v>
      </c>
      <c r="AA3719" s="12"/>
      <c r="AB3719" s="12"/>
    </row>
    <row r="3720" spans="1:28" x14ac:dyDescent="0.3">
      <c r="A3720" s="12" t="s">
        <v>5647</v>
      </c>
      <c r="B3720" s="12" t="s">
        <v>206</v>
      </c>
      <c r="C3720" s="12" t="s">
        <v>578</v>
      </c>
      <c r="D3720" s="12" t="s">
        <v>5640</v>
      </c>
      <c r="E3720" s="12" t="s">
        <v>2978</v>
      </c>
      <c r="F3720" s="12" t="s">
        <v>1862</v>
      </c>
      <c r="G3720" s="12" t="s">
        <v>1862</v>
      </c>
      <c r="H3720" s="12" t="b">
        <v>1</v>
      </c>
      <c r="I3720" s="12" t="b">
        <v>0</v>
      </c>
      <c r="J3720" s="12" t="b">
        <v>1</v>
      </c>
      <c r="K3720" s="12" t="b">
        <v>0</v>
      </c>
      <c r="L3720" s="12">
        <v>437.86148213201199</v>
      </c>
      <c r="M3720" s="12">
        <v>302.97192199298593</v>
      </c>
      <c r="N3720" s="12">
        <v>4154.5262870063962</v>
      </c>
      <c r="O3720" s="12">
        <v>370.74751977476973</v>
      </c>
      <c r="P3720" s="12">
        <v>0.5</v>
      </c>
      <c r="Q3720" s="12">
        <v>0.6298561012107774</v>
      </c>
      <c r="R3720" s="12">
        <v>0.94589652867468499</v>
      </c>
      <c r="S3720" s="12">
        <v>0.52220650877463015</v>
      </c>
      <c r="T3720" s="12">
        <v>0.71795987106127257</v>
      </c>
      <c r="U3720" s="12">
        <v>0.43748716504597979</v>
      </c>
      <c r="V3720" s="12">
        <v>302.97192199298593</v>
      </c>
      <c r="W3720" s="12">
        <v>-1.67040425732722</v>
      </c>
      <c r="X3720" s="12">
        <v>-4.4105264795674524</v>
      </c>
      <c r="Y3720" s="12">
        <v>3783.7787672316258</v>
      </c>
      <c r="Z3720" s="12">
        <v>11.2058100605239</v>
      </c>
      <c r="AA3720" s="12" t="s">
        <v>2513</v>
      </c>
      <c r="AB3720" s="12"/>
    </row>
    <row r="3721" spans="1:28" x14ac:dyDescent="0.3">
      <c r="A3721" s="12" t="s">
        <v>5648</v>
      </c>
      <c r="B3721" s="12" t="s">
        <v>206</v>
      </c>
      <c r="C3721" s="12" t="s">
        <v>578</v>
      </c>
      <c r="D3721" s="12" t="s">
        <v>5640</v>
      </c>
      <c r="E3721" s="12" t="s">
        <v>2978</v>
      </c>
      <c r="F3721" s="12" t="s">
        <v>32</v>
      </c>
      <c r="G3721" s="12" t="s">
        <v>32</v>
      </c>
      <c r="H3721" s="12" t="b">
        <v>1</v>
      </c>
      <c r="I3721" s="12" t="b">
        <v>0</v>
      </c>
      <c r="J3721" s="12" t="b">
        <v>1</v>
      </c>
      <c r="K3721" s="12" t="b">
        <v>0</v>
      </c>
      <c r="L3721" s="12">
        <v>498.53301200524612</v>
      </c>
      <c r="M3721" s="12">
        <v>284.64225525870711</v>
      </c>
      <c r="N3721" s="12">
        <v>3370.1730048739842</v>
      </c>
      <c r="O3721" s="12">
        <v>1559.660938862371</v>
      </c>
      <c r="P3721" s="12">
        <v>0.5</v>
      </c>
      <c r="Q3721" s="12">
        <v>0.82884000585537576</v>
      </c>
      <c r="R3721" s="12">
        <v>0.58439938264940505</v>
      </c>
      <c r="S3721" s="12">
        <v>0.53406216988909294</v>
      </c>
      <c r="T3721" s="12">
        <v>0.47955716174645768</v>
      </c>
      <c r="U3721" s="12">
        <v>0.87729244087950464</v>
      </c>
      <c r="V3721" s="12">
        <v>284.64225525870711</v>
      </c>
      <c r="W3721" s="12">
        <v>4.7675845089061797</v>
      </c>
      <c r="X3721" s="12">
        <v>55.12269896773428</v>
      </c>
      <c r="Y3721" s="12">
        <v>1810.5120660116129</v>
      </c>
      <c r="Z3721" s="12">
        <v>2.1608369619952241</v>
      </c>
      <c r="AA3721" s="12"/>
      <c r="AB3721" s="12"/>
    </row>
    <row r="3722" spans="1:28" x14ac:dyDescent="0.3">
      <c r="A3722" s="12" t="s">
        <v>5649</v>
      </c>
      <c r="B3722" s="12" t="s">
        <v>206</v>
      </c>
      <c r="C3722" s="12" t="s">
        <v>578</v>
      </c>
      <c r="D3722" s="12" t="s">
        <v>5640</v>
      </c>
      <c r="E3722" s="12" t="s">
        <v>2978</v>
      </c>
      <c r="F3722" s="12" t="s">
        <v>32</v>
      </c>
      <c r="G3722" s="12" t="s">
        <v>32</v>
      </c>
      <c r="H3722" s="12" t="b">
        <v>1</v>
      </c>
      <c r="I3722" s="12" t="b">
        <v>0</v>
      </c>
      <c r="J3722" s="12" t="b">
        <v>1</v>
      </c>
      <c r="K3722" s="12" t="b">
        <v>0</v>
      </c>
      <c r="L3722" s="12">
        <v>487.15369473988392</v>
      </c>
      <c r="M3722" s="12">
        <v>286.44639718396797</v>
      </c>
      <c r="N3722" s="12">
        <v>2022.351969408076</v>
      </c>
      <c r="O3722" s="12">
        <v>940.78903414119759</v>
      </c>
      <c r="P3722" s="12">
        <v>0.5</v>
      </c>
      <c r="Q3722" s="12">
        <v>0.60117411218282679</v>
      </c>
      <c r="R3722" s="12">
        <v>0.7971148356631379</v>
      </c>
      <c r="S3722" s="12">
        <v>0.68641522506449215</v>
      </c>
      <c r="T3722" s="12">
        <v>0.82028704469906955</v>
      </c>
      <c r="U3722" s="12">
        <v>0.88501386844157393</v>
      </c>
      <c r="V3722" s="12">
        <v>286.44639718396797</v>
      </c>
      <c r="W3722" s="12">
        <v>3.9307707521497202</v>
      </c>
      <c r="X3722" s="12">
        <v>58.33388377400901</v>
      </c>
      <c r="Y3722" s="12">
        <v>1081.562935266878</v>
      </c>
      <c r="Z3722" s="12">
        <v>2.1496338669106478</v>
      </c>
      <c r="AA3722" s="12"/>
      <c r="AB3722" s="12"/>
    </row>
    <row r="3723" spans="1:28" x14ac:dyDescent="0.3">
      <c r="A3723" s="12" t="s">
        <v>5650</v>
      </c>
      <c r="B3723" s="12" t="s">
        <v>206</v>
      </c>
      <c r="C3723" s="12" t="s">
        <v>578</v>
      </c>
      <c r="D3723" s="12" t="s">
        <v>5640</v>
      </c>
      <c r="E3723" s="12" t="s">
        <v>2978</v>
      </c>
      <c r="F3723" s="12" t="s">
        <v>1861</v>
      </c>
      <c r="G3723" s="12" t="s">
        <v>1861</v>
      </c>
      <c r="H3723" s="12" t="b">
        <v>1</v>
      </c>
      <c r="I3723" s="12" t="b">
        <v>0</v>
      </c>
      <c r="J3723" s="12" t="b">
        <v>1</v>
      </c>
      <c r="K3723" s="12" t="b">
        <v>0</v>
      </c>
      <c r="L3723" s="12">
        <v>483.5343092247237</v>
      </c>
      <c r="M3723" s="12">
        <v>299.75228577739779</v>
      </c>
      <c r="N3723" s="12">
        <v>2272.6758873210042</v>
      </c>
      <c r="O3723" s="12">
        <v>1111.358711995267</v>
      </c>
      <c r="P3723" s="12">
        <v>0.5</v>
      </c>
      <c r="Q3723" s="12">
        <v>0.48733379399923898</v>
      </c>
      <c r="R3723" s="12">
        <v>0.92385136206140595</v>
      </c>
      <c r="S3723" s="12">
        <v>0.49846351602015521</v>
      </c>
      <c r="T3723" s="12">
        <v>0.88654701298233052</v>
      </c>
      <c r="U3723" s="12">
        <v>0.8280377623194779</v>
      </c>
      <c r="V3723" s="12">
        <v>299.75228577739779</v>
      </c>
      <c r="W3723" s="12">
        <v>3.1888150784971399</v>
      </c>
      <c r="X3723" s="12">
        <v>32.040856141069902</v>
      </c>
      <c r="Y3723" s="12">
        <v>1161.3171753257379</v>
      </c>
      <c r="Z3723" s="12">
        <v>2.044952599724331</v>
      </c>
      <c r="AA3723" s="12" t="s">
        <v>1268</v>
      </c>
      <c r="AB3723" s="12"/>
    </row>
    <row r="3724" spans="1:28" x14ac:dyDescent="0.3">
      <c r="A3724" s="12" t="s">
        <v>5651</v>
      </c>
      <c r="B3724" s="12" t="s">
        <v>206</v>
      </c>
      <c r="C3724" s="12" t="s">
        <v>578</v>
      </c>
      <c r="D3724" s="12" t="s">
        <v>5640</v>
      </c>
      <c r="E3724" s="12" t="s">
        <v>2978</v>
      </c>
      <c r="F3724" s="12" t="s">
        <v>32</v>
      </c>
      <c r="G3724" s="12" t="s">
        <v>32</v>
      </c>
      <c r="H3724" s="12" t="b">
        <v>1</v>
      </c>
      <c r="I3724" s="12" t="b">
        <v>0</v>
      </c>
      <c r="J3724" s="12" t="b">
        <v>1</v>
      </c>
      <c r="K3724" s="12" t="b">
        <v>0</v>
      </c>
      <c r="L3724" s="12">
        <v>514.84754379895753</v>
      </c>
      <c r="M3724" s="12">
        <v>298.73674455747368</v>
      </c>
      <c r="N3724" s="12">
        <v>4374.0828821008927</v>
      </c>
      <c r="O3724" s="12">
        <v>1219.513693321903</v>
      </c>
      <c r="P3724" s="12">
        <v>0.5</v>
      </c>
      <c r="Q3724" s="12">
        <v>0.4148231753868451</v>
      </c>
      <c r="R3724" s="12">
        <v>0.4693009102295736</v>
      </c>
      <c r="S3724" s="12">
        <v>0.42580751593871119</v>
      </c>
      <c r="T3724" s="12">
        <v>0.50909231164284996</v>
      </c>
      <c r="U3724" s="12">
        <v>0.87958846482303699</v>
      </c>
      <c r="V3724" s="12">
        <v>298.73674455747368</v>
      </c>
      <c r="W3724" s="12">
        <v>3.0692161160081999</v>
      </c>
      <c r="X3724" s="12">
        <v>27.502951166204252</v>
      </c>
      <c r="Y3724" s="12">
        <v>3154.5691887789899</v>
      </c>
      <c r="Z3724" s="12">
        <v>3.586743556922332</v>
      </c>
      <c r="AA3724" s="12"/>
      <c r="AB3724" s="12"/>
    </row>
    <row r="3725" spans="1:28" x14ac:dyDescent="0.3">
      <c r="A3725" s="12" t="s">
        <v>5652</v>
      </c>
      <c r="B3725" s="12" t="s">
        <v>206</v>
      </c>
      <c r="C3725" s="12" t="s">
        <v>578</v>
      </c>
      <c r="D3725" s="12" t="s">
        <v>5640</v>
      </c>
      <c r="E3725" s="12" t="s">
        <v>2978</v>
      </c>
      <c r="F3725" s="12" t="s">
        <v>1861</v>
      </c>
      <c r="G3725" s="12" t="s">
        <v>1861</v>
      </c>
      <c r="H3725" s="12" t="b">
        <v>1</v>
      </c>
      <c r="I3725" s="12" t="b">
        <v>0</v>
      </c>
      <c r="J3725" s="12" t="b">
        <v>1</v>
      </c>
      <c r="K3725" s="12" t="b">
        <v>0</v>
      </c>
      <c r="L3725" s="12">
        <v>518.2578850124695</v>
      </c>
      <c r="M3725" s="12">
        <v>292.11077253860208</v>
      </c>
      <c r="N3725" s="12">
        <v>2076.8492989110991</v>
      </c>
      <c r="O3725" s="12">
        <v>515.04592848326774</v>
      </c>
      <c r="P3725" s="12">
        <v>0.5</v>
      </c>
      <c r="Q3725" s="12">
        <v>0.4934735822569542</v>
      </c>
      <c r="R3725" s="12">
        <v>0.67079796827369043</v>
      </c>
      <c r="S3725" s="12">
        <v>0.71314375464253144</v>
      </c>
      <c r="T3725" s="12">
        <v>0.47541175025987259</v>
      </c>
      <c r="U3725" s="12">
        <v>0.66066128912925715</v>
      </c>
      <c r="V3725" s="12">
        <v>292.11077253860208</v>
      </c>
      <c r="W3725" s="12">
        <v>1.35310316925803</v>
      </c>
      <c r="X3725" s="12">
        <v>17.14906450493234</v>
      </c>
      <c r="Y3725" s="12">
        <v>1561.8033704278309</v>
      </c>
      <c r="Z3725" s="12">
        <v>4.0323574734919383</v>
      </c>
      <c r="AA3725" s="12" t="s">
        <v>1268</v>
      </c>
      <c r="AB3725" s="12"/>
    </row>
    <row r="3726" spans="1:28" x14ac:dyDescent="0.3">
      <c r="A3726" s="12" t="s">
        <v>5653</v>
      </c>
      <c r="B3726" s="12" t="s">
        <v>206</v>
      </c>
      <c r="C3726" s="12" t="s">
        <v>578</v>
      </c>
      <c r="D3726" s="12" t="s">
        <v>5640</v>
      </c>
      <c r="E3726" s="12" t="s">
        <v>2978</v>
      </c>
      <c r="F3726" s="12" t="s">
        <v>1861</v>
      </c>
      <c r="G3726" s="12" t="s">
        <v>1861</v>
      </c>
      <c r="H3726" s="12" t="b">
        <v>1</v>
      </c>
      <c r="I3726" s="12" t="b">
        <v>0</v>
      </c>
      <c r="J3726" s="12" t="b">
        <v>0</v>
      </c>
      <c r="K3726" s="12" t="b">
        <v>0</v>
      </c>
      <c r="L3726" s="12">
        <v>384.73990772168281</v>
      </c>
      <c r="M3726" s="12">
        <v>291.52790887380598</v>
      </c>
      <c r="N3726" s="12">
        <v>2522.00879492392</v>
      </c>
      <c r="O3726" s="12">
        <v>655.86437957892304</v>
      </c>
      <c r="P3726" s="12">
        <v>0.5</v>
      </c>
      <c r="Q3726" s="12">
        <v>0.65835215400882685</v>
      </c>
      <c r="R3726" s="12">
        <v>0.82793766828332094</v>
      </c>
      <c r="S3726" s="12">
        <v>0.80172612799816723</v>
      </c>
      <c r="T3726" s="12">
        <v>0.66819509920516118</v>
      </c>
      <c r="U3726" s="12">
        <v>0.53351800388092574</v>
      </c>
      <c r="V3726" s="12">
        <v>291.52790887380598</v>
      </c>
      <c r="W3726" s="12">
        <v>2.9398858097096299</v>
      </c>
      <c r="X3726" s="12">
        <v>5.2105622196909049</v>
      </c>
      <c r="Y3726" s="12">
        <v>1866.144415344997</v>
      </c>
      <c r="Z3726" s="12">
        <v>3.8453205776216972</v>
      </c>
      <c r="AA3726" s="12" t="s">
        <v>1268</v>
      </c>
      <c r="AB3726" s="12"/>
    </row>
    <row r="3727" spans="1:28" x14ac:dyDescent="0.3">
      <c r="A3727" s="12" t="s">
        <v>5654</v>
      </c>
      <c r="B3727" s="12" t="s">
        <v>206</v>
      </c>
      <c r="C3727" s="12" t="s">
        <v>578</v>
      </c>
      <c r="D3727" s="12" t="s">
        <v>5640</v>
      </c>
      <c r="E3727" s="12" t="s">
        <v>2978</v>
      </c>
      <c r="F3727" s="12" t="s">
        <v>1861</v>
      </c>
      <c r="G3727" s="12" t="s">
        <v>1861</v>
      </c>
      <c r="H3727" s="12" t="b">
        <v>1</v>
      </c>
      <c r="I3727" s="12" t="b">
        <v>0</v>
      </c>
      <c r="J3727" s="12" t="b">
        <v>1</v>
      </c>
      <c r="K3727" s="12" t="b">
        <v>0</v>
      </c>
      <c r="L3727" s="12">
        <v>464.13500868955919</v>
      </c>
      <c r="M3727" s="12">
        <v>300.38407540224108</v>
      </c>
      <c r="N3727" s="12">
        <v>4229.5103707838443</v>
      </c>
      <c r="O3727" s="12">
        <v>1431.2943539989001</v>
      </c>
      <c r="P3727" s="12">
        <v>0.5</v>
      </c>
      <c r="Q3727" s="12">
        <v>0.72240766067713191</v>
      </c>
      <c r="R3727" s="12">
        <v>0.45402611491210881</v>
      </c>
      <c r="S3727" s="12">
        <v>0.89718460624819441</v>
      </c>
      <c r="T3727" s="12">
        <v>0.68507491743479532</v>
      </c>
      <c r="U3727" s="12">
        <v>0.71959108255158188</v>
      </c>
      <c r="V3727" s="12">
        <v>300.38407540224108</v>
      </c>
      <c r="W3727" s="12">
        <v>6.2555216328569498</v>
      </c>
      <c r="X3727" s="12">
        <v>57.056649391115627</v>
      </c>
      <c r="Y3727" s="12">
        <v>2798.2160167849438</v>
      </c>
      <c r="Z3727" s="12">
        <v>2.9550248409539202</v>
      </c>
      <c r="AA3727" s="12" t="s">
        <v>1268</v>
      </c>
      <c r="AB3727" s="12"/>
    </row>
    <row r="3728" spans="1:28" x14ac:dyDescent="0.3">
      <c r="A3728" s="12" t="s">
        <v>5655</v>
      </c>
      <c r="B3728" s="12" t="s">
        <v>206</v>
      </c>
      <c r="C3728" s="12" t="s">
        <v>578</v>
      </c>
      <c r="D3728" s="12" t="s">
        <v>5640</v>
      </c>
      <c r="E3728" s="12" t="s">
        <v>2978</v>
      </c>
      <c r="F3728" s="12" t="s">
        <v>32</v>
      </c>
      <c r="G3728" s="12" t="s">
        <v>32</v>
      </c>
      <c r="H3728" s="12" t="b">
        <v>1</v>
      </c>
      <c r="I3728" s="12" t="b">
        <v>0</v>
      </c>
      <c r="J3728" s="12" t="b">
        <v>1</v>
      </c>
      <c r="K3728" s="12" t="b">
        <v>0</v>
      </c>
      <c r="L3728" s="12">
        <v>427.8942616553764</v>
      </c>
      <c r="M3728" s="12">
        <v>296.16155468658292</v>
      </c>
      <c r="N3728" s="12">
        <v>3714.727554813297</v>
      </c>
      <c r="O3728" s="12">
        <v>1485.803598736095</v>
      </c>
      <c r="P3728" s="12">
        <v>0.5</v>
      </c>
      <c r="Q3728" s="12">
        <v>0.64342240855628718</v>
      </c>
      <c r="R3728" s="12">
        <v>0.42935052491744691</v>
      </c>
      <c r="S3728" s="12">
        <v>0.88037162278157344</v>
      </c>
      <c r="T3728" s="12">
        <v>0.86007118515117864</v>
      </c>
      <c r="U3728" s="12">
        <v>0.92918316752743557</v>
      </c>
      <c r="V3728" s="12">
        <v>296.16155468658292</v>
      </c>
      <c r="W3728" s="12">
        <v>3.5965563123155602</v>
      </c>
      <c r="X3728" s="12">
        <v>17.380971439785998</v>
      </c>
      <c r="Y3728" s="12">
        <v>2228.9239560772021</v>
      </c>
      <c r="Z3728" s="12">
        <v>2.5001470974853248</v>
      </c>
      <c r="AA3728" s="12"/>
      <c r="AB3728" s="12"/>
    </row>
    <row r="3729" spans="1:28" x14ac:dyDescent="0.3">
      <c r="A3729" s="12" t="s">
        <v>5656</v>
      </c>
      <c r="B3729" s="12" t="s">
        <v>206</v>
      </c>
      <c r="C3729" s="12" t="s">
        <v>578</v>
      </c>
      <c r="D3729" s="12" t="s">
        <v>5640</v>
      </c>
      <c r="E3729" s="12" t="s">
        <v>2978</v>
      </c>
      <c r="F3729" s="12" t="s">
        <v>1862</v>
      </c>
      <c r="G3729" s="12" t="s">
        <v>1862</v>
      </c>
      <c r="H3729" s="12" t="b">
        <v>1</v>
      </c>
      <c r="I3729" s="12" t="b">
        <v>0</v>
      </c>
      <c r="J3729" s="12" t="b">
        <v>1</v>
      </c>
      <c r="K3729" s="12" t="b">
        <v>0</v>
      </c>
      <c r="L3729" s="12">
        <v>430.81395617244738</v>
      </c>
      <c r="M3729" s="12">
        <v>294.50546243276079</v>
      </c>
      <c r="N3729" s="12">
        <v>4177.7728246081988</v>
      </c>
      <c r="O3729" s="12">
        <v>1193.1600262845141</v>
      </c>
      <c r="P3729" s="12">
        <v>0.5</v>
      </c>
      <c r="Q3729" s="12">
        <v>0.45778036212370032</v>
      </c>
      <c r="R3729" s="12">
        <v>0.6269078485530164</v>
      </c>
      <c r="S3729" s="12">
        <v>0.92342792721542444</v>
      </c>
      <c r="T3729" s="12">
        <v>0.59545744578202653</v>
      </c>
      <c r="U3729" s="12">
        <v>0.43256819197987201</v>
      </c>
      <c r="V3729" s="12">
        <v>294.50546243276079</v>
      </c>
      <c r="W3729" s="12">
        <v>-1.4107299903450501</v>
      </c>
      <c r="X3729" s="12">
        <v>-4.9032494199138767</v>
      </c>
      <c r="Y3729" s="12">
        <v>2984.6127983236852</v>
      </c>
      <c r="Z3729" s="12">
        <v>3.5014354592633592</v>
      </c>
      <c r="AA3729" s="12" t="s">
        <v>2513</v>
      </c>
      <c r="AB3729" s="12"/>
    </row>
    <row r="3730" spans="1:28" x14ac:dyDescent="0.3">
      <c r="A3730" s="12" t="s">
        <v>5657</v>
      </c>
      <c r="B3730" s="12" t="s">
        <v>206</v>
      </c>
      <c r="C3730" s="12" t="s">
        <v>578</v>
      </c>
      <c r="D3730" s="12" t="s">
        <v>5640</v>
      </c>
      <c r="E3730" s="12" t="s">
        <v>2978</v>
      </c>
      <c r="F3730" s="12" t="s">
        <v>1862</v>
      </c>
      <c r="G3730" s="12" t="s">
        <v>1862</v>
      </c>
      <c r="H3730" s="12" t="b">
        <v>1</v>
      </c>
      <c r="I3730" s="12" t="b">
        <v>0</v>
      </c>
      <c r="J3730" s="12" t="b">
        <v>1</v>
      </c>
      <c r="K3730" s="12" t="b">
        <v>0</v>
      </c>
      <c r="L3730" s="12">
        <v>516.45316184635124</v>
      </c>
      <c r="M3730" s="12">
        <v>283.13435742920927</v>
      </c>
      <c r="N3730" s="12">
        <v>2868.288792076371</v>
      </c>
      <c r="O3730" s="12">
        <v>414.6014243836683</v>
      </c>
      <c r="P3730" s="12">
        <v>0.5</v>
      </c>
      <c r="Q3730" s="12">
        <v>0.53745103321579701</v>
      </c>
      <c r="R3730" s="12">
        <v>0.760764739737402</v>
      </c>
      <c r="S3730" s="12">
        <v>0.65224275812429677</v>
      </c>
      <c r="T3730" s="12">
        <v>0.90559543632978601</v>
      </c>
      <c r="U3730" s="12">
        <v>0.42395972430604778</v>
      </c>
      <c r="V3730" s="12">
        <v>283.13435742920927</v>
      </c>
      <c r="W3730" s="12">
        <v>-7.10696804446125</v>
      </c>
      <c r="X3730" s="12">
        <v>-54.985654714736597</v>
      </c>
      <c r="Y3730" s="12">
        <v>2453.6873676927021</v>
      </c>
      <c r="Z3730" s="12">
        <v>6.9181836418923703</v>
      </c>
      <c r="AA3730" s="12" t="s">
        <v>2513</v>
      </c>
      <c r="AB3730" s="12"/>
    </row>
    <row r="3731" spans="1:28" x14ac:dyDescent="0.3">
      <c r="A3731" s="12" t="s">
        <v>5658</v>
      </c>
      <c r="B3731" s="12" t="s">
        <v>206</v>
      </c>
      <c r="C3731" s="12" t="s">
        <v>578</v>
      </c>
      <c r="D3731" s="12" t="s">
        <v>5640</v>
      </c>
      <c r="E3731" s="12" t="s">
        <v>2978</v>
      </c>
      <c r="F3731" s="12" t="s">
        <v>32</v>
      </c>
      <c r="G3731" s="12" t="s">
        <v>32</v>
      </c>
      <c r="H3731" s="12" t="b">
        <v>1</v>
      </c>
      <c r="I3731" s="12" t="b">
        <v>1</v>
      </c>
      <c r="J3731" s="12" t="b">
        <v>0</v>
      </c>
      <c r="K3731" s="12" t="b">
        <v>0</v>
      </c>
      <c r="L3731" s="12">
        <v>419.1621686875348</v>
      </c>
      <c r="M3731" s="12">
        <v>285.7288681279673</v>
      </c>
      <c r="N3731" s="12">
        <v>3883.6102916147852</v>
      </c>
      <c r="O3731" s="12">
        <v>1662.3879406177141</v>
      </c>
      <c r="P3731" s="12">
        <v>0.5</v>
      </c>
      <c r="Q3731" s="12">
        <v>0.61637039892287049</v>
      </c>
      <c r="R3731" s="12">
        <v>0.8785386705292193</v>
      </c>
      <c r="S3731" s="12">
        <v>0.77232040999523432</v>
      </c>
      <c r="T3731" s="12">
        <v>0.6002849695438961</v>
      </c>
      <c r="U3731" s="12">
        <v>0.4933868697874243</v>
      </c>
      <c r="V3731" s="12">
        <v>285.7288681279673</v>
      </c>
      <c r="W3731" s="12">
        <v>2.6677621179250401</v>
      </c>
      <c r="X3731" s="12">
        <v>7.9787902317858848</v>
      </c>
      <c r="Y3731" s="12">
        <v>2221.2223509970709</v>
      </c>
      <c r="Z3731" s="12">
        <v>2.336163657546567</v>
      </c>
      <c r="AA3731" s="12"/>
      <c r="AB3731" s="12"/>
    </row>
    <row r="3732" spans="1:28" x14ac:dyDescent="0.3">
      <c r="A3732" s="12" t="s">
        <v>5659</v>
      </c>
      <c r="B3732" s="12" t="s">
        <v>206</v>
      </c>
      <c r="C3732" s="12" t="s">
        <v>578</v>
      </c>
      <c r="D3732" s="12" t="s">
        <v>5640</v>
      </c>
      <c r="E3732" s="12" t="s">
        <v>2978</v>
      </c>
      <c r="F3732" s="12" t="s">
        <v>1862</v>
      </c>
      <c r="G3732" s="12" t="s">
        <v>1862</v>
      </c>
      <c r="H3732" s="12" t="b">
        <v>1</v>
      </c>
      <c r="I3732" s="12" t="b">
        <v>0</v>
      </c>
      <c r="J3732" s="12" t="b">
        <v>1</v>
      </c>
      <c r="K3732" s="12" t="b">
        <v>0</v>
      </c>
      <c r="L3732" s="12">
        <v>482.19417779871441</v>
      </c>
      <c r="M3732" s="12">
        <v>300.03486112990112</v>
      </c>
      <c r="N3732" s="12">
        <v>4340.3201095691184</v>
      </c>
      <c r="O3732" s="12">
        <v>795.20656493453987</v>
      </c>
      <c r="P3732" s="12">
        <v>0.5</v>
      </c>
      <c r="Q3732" s="12">
        <v>0.62331516367625994</v>
      </c>
      <c r="R3732" s="12">
        <v>0.40886914411263842</v>
      </c>
      <c r="S3732" s="12">
        <v>0.71590477434974464</v>
      </c>
      <c r="T3732" s="12">
        <v>0.4473823318427792</v>
      </c>
      <c r="U3732" s="12">
        <v>0.47994499105544108</v>
      </c>
      <c r="V3732" s="12">
        <v>300.03486112990112</v>
      </c>
      <c r="W3732" s="12">
        <v>-15.71587960335305</v>
      </c>
      <c r="X3732" s="12">
        <v>-104.1856616675088</v>
      </c>
      <c r="Y3732" s="12">
        <v>3545.1135446345779</v>
      </c>
      <c r="Z3732" s="12">
        <v>5.458103970666297</v>
      </c>
      <c r="AA3732" s="12" t="s">
        <v>2513</v>
      </c>
      <c r="AB3732" s="12"/>
    </row>
    <row r="3733" spans="1:28" x14ac:dyDescent="0.3">
      <c r="A3733" s="12" t="s">
        <v>5660</v>
      </c>
      <c r="B3733" s="12" t="s">
        <v>206</v>
      </c>
      <c r="C3733" s="12" t="s">
        <v>578</v>
      </c>
      <c r="D3733" s="12" t="s">
        <v>5640</v>
      </c>
      <c r="E3733" s="12" t="s">
        <v>2978</v>
      </c>
      <c r="F3733" s="12" t="s">
        <v>1861</v>
      </c>
      <c r="G3733" s="12" t="s">
        <v>1861</v>
      </c>
      <c r="H3733" s="12" t="b">
        <v>1</v>
      </c>
      <c r="I3733" s="12" t="b">
        <v>0</v>
      </c>
      <c r="J3733" s="12" t="b">
        <v>1</v>
      </c>
      <c r="K3733" s="12" t="b">
        <v>0</v>
      </c>
      <c r="L3733" s="12">
        <v>457.4965032637831</v>
      </c>
      <c r="M3733" s="12">
        <v>280.68136605803733</v>
      </c>
      <c r="N3733" s="12">
        <v>2205.9403009754742</v>
      </c>
      <c r="O3733" s="12">
        <v>1787.007410191793</v>
      </c>
      <c r="P3733" s="12">
        <v>0.5</v>
      </c>
      <c r="Q3733" s="12">
        <v>0.94956087745931816</v>
      </c>
      <c r="R3733" s="12">
        <v>0.8548050349420433</v>
      </c>
      <c r="S3733" s="12">
        <v>0.84693749502154048</v>
      </c>
      <c r="T3733" s="12">
        <v>0.8395590570122089</v>
      </c>
      <c r="U3733" s="12">
        <v>0.57910452505081633</v>
      </c>
      <c r="V3733" s="12">
        <v>280.68136605803733</v>
      </c>
      <c r="W3733" s="12">
        <v>1.7435889088316801</v>
      </c>
      <c r="X3733" s="12">
        <v>21.55520890845002</v>
      </c>
      <c r="Y3733" s="12">
        <v>418.93289078368048</v>
      </c>
      <c r="Z3733" s="12">
        <v>1.2344326545006989</v>
      </c>
      <c r="AA3733" s="12" t="s">
        <v>1268</v>
      </c>
      <c r="AB3733" s="12"/>
    </row>
    <row r="3734" spans="1:28" x14ac:dyDescent="0.3">
      <c r="A3734" s="12" t="s">
        <v>5661</v>
      </c>
      <c r="B3734" s="12" t="s">
        <v>206</v>
      </c>
      <c r="C3734" s="12" t="s">
        <v>578</v>
      </c>
      <c r="D3734" s="12" t="s">
        <v>5640</v>
      </c>
      <c r="E3734" s="12" t="s">
        <v>2978</v>
      </c>
      <c r="F3734" s="12" t="s">
        <v>1862</v>
      </c>
      <c r="G3734" s="12" t="s">
        <v>1862</v>
      </c>
      <c r="H3734" s="12" t="b">
        <v>1</v>
      </c>
      <c r="I3734" s="12" t="b">
        <v>0</v>
      </c>
      <c r="J3734" s="12" t="b">
        <v>0</v>
      </c>
      <c r="K3734" s="12" t="b">
        <v>0</v>
      </c>
      <c r="L3734" s="12">
        <v>412.55506107438572</v>
      </c>
      <c r="M3734" s="12">
        <v>289.36064182121231</v>
      </c>
      <c r="N3734" s="12">
        <v>4511.6087619242007</v>
      </c>
      <c r="O3734" s="12">
        <v>1508.4963700322289</v>
      </c>
      <c r="P3734" s="12">
        <v>0.5</v>
      </c>
      <c r="Q3734" s="12">
        <v>0.52423430029517604</v>
      </c>
      <c r="R3734" s="12">
        <v>0.91518845265891302</v>
      </c>
      <c r="S3734" s="12">
        <v>0.86344532213609693</v>
      </c>
      <c r="T3734" s="12">
        <v>0.44262968207368592</v>
      </c>
      <c r="U3734" s="12">
        <v>0.85640171539815346</v>
      </c>
      <c r="V3734" s="12">
        <v>289.36064182121231</v>
      </c>
      <c r="W3734" s="12">
        <v>-1.1442021949660199</v>
      </c>
      <c r="X3734" s="12">
        <v>-3.4787116416692112</v>
      </c>
      <c r="Y3734" s="12">
        <v>3003.112391891972</v>
      </c>
      <c r="Z3734" s="12">
        <v>2.9907985538127688</v>
      </c>
      <c r="AA3734" s="12" t="s">
        <v>1696</v>
      </c>
      <c r="AB3734" s="12"/>
    </row>
    <row r="3735" spans="1:28" x14ac:dyDescent="0.3">
      <c r="A3735" s="12" t="s">
        <v>5662</v>
      </c>
      <c r="B3735" s="12" t="s">
        <v>206</v>
      </c>
      <c r="C3735" s="12" t="s">
        <v>578</v>
      </c>
      <c r="D3735" s="12" t="s">
        <v>5640</v>
      </c>
      <c r="E3735" s="12" t="s">
        <v>2978</v>
      </c>
      <c r="F3735" s="12" t="s">
        <v>832</v>
      </c>
      <c r="G3735" s="12" t="s">
        <v>832</v>
      </c>
      <c r="H3735" s="12" t="b">
        <v>0</v>
      </c>
      <c r="I3735" s="12" t="b">
        <v>0</v>
      </c>
      <c r="J3735" s="12" t="b">
        <v>0</v>
      </c>
      <c r="K3735" s="12" t="b">
        <v>0</v>
      </c>
      <c r="L3735" s="12">
        <v>380.96231409673942</v>
      </c>
      <c r="M3735" s="12">
        <v>294.71239397682342</v>
      </c>
      <c r="N3735" s="12">
        <v>2566.0941746460749</v>
      </c>
      <c r="O3735" s="12">
        <v>634.01447239353138</v>
      </c>
      <c r="P3735" s="12">
        <v>0.5</v>
      </c>
      <c r="Q3735" s="12">
        <v>0.55882415423073462</v>
      </c>
      <c r="R3735" s="12">
        <v>0.93922956127433799</v>
      </c>
      <c r="S3735" s="12">
        <v>0.41900945410820012</v>
      </c>
      <c r="T3735" s="12">
        <v>0.48716972363884031</v>
      </c>
      <c r="U3735" s="12">
        <v>0.74078175734257723</v>
      </c>
      <c r="V3735" s="12">
        <v>294.71239397682342</v>
      </c>
      <c r="W3735" s="12"/>
      <c r="X3735" s="12"/>
      <c r="Y3735" s="12">
        <v>1932.0797022525439</v>
      </c>
      <c r="Z3735" s="12">
        <v>4.0473747625327174</v>
      </c>
      <c r="AA3735" s="12"/>
      <c r="AB3735" s="12"/>
    </row>
    <row r="3736" spans="1:28" x14ac:dyDescent="0.3">
      <c r="A3736" s="12" t="s">
        <v>5663</v>
      </c>
      <c r="B3736" s="12" t="s">
        <v>206</v>
      </c>
      <c r="C3736" s="12" t="s">
        <v>578</v>
      </c>
      <c r="D3736" s="12" t="s">
        <v>5640</v>
      </c>
      <c r="E3736" s="12" t="s">
        <v>2978</v>
      </c>
      <c r="F3736" s="12" t="s">
        <v>1862</v>
      </c>
      <c r="G3736" s="12" t="s">
        <v>1862</v>
      </c>
      <c r="H3736" s="12" t="b">
        <v>1</v>
      </c>
      <c r="I3736" s="12" t="b">
        <v>0</v>
      </c>
      <c r="J3736" s="12" t="b">
        <v>1</v>
      </c>
      <c r="K3736" s="12" t="b">
        <v>0</v>
      </c>
      <c r="L3736" s="12">
        <v>489.72180864737942</v>
      </c>
      <c r="M3736" s="12">
        <v>293.31008510114771</v>
      </c>
      <c r="N3736" s="12">
        <v>3460.320880252862</v>
      </c>
      <c r="O3736" s="12">
        <v>1918.2122892582061</v>
      </c>
      <c r="P3736" s="12">
        <v>0.5</v>
      </c>
      <c r="Q3736" s="12">
        <v>0.58808037055481222</v>
      </c>
      <c r="R3736" s="12">
        <v>0.57145587275071552</v>
      </c>
      <c r="S3736" s="12">
        <v>0.43006457511055152</v>
      </c>
      <c r="T3736" s="12">
        <v>0.72202208864953255</v>
      </c>
      <c r="U3736" s="12">
        <v>0.40397621841447029</v>
      </c>
      <c r="V3736" s="12">
        <v>293.31008510114771</v>
      </c>
      <c r="W3736" s="12">
        <v>-2.6893591156192098</v>
      </c>
      <c r="X3736" s="12">
        <v>-16.064831137706559</v>
      </c>
      <c r="Y3736" s="12">
        <v>1542.108590994656</v>
      </c>
      <c r="Z3736" s="12">
        <v>1.8039300965958289</v>
      </c>
      <c r="AA3736" s="12" t="s">
        <v>2513</v>
      </c>
      <c r="AB3736" s="12"/>
    </row>
    <row r="3737" spans="1:28" x14ac:dyDescent="0.3">
      <c r="A3737" s="12" t="s">
        <v>5664</v>
      </c>
      <c r="B3737" s="12" t="s">
        <v>206</v>
      </c>
      <c r="C3737" s="12" t="s">
        <v>578</v>
      </c>
      <c r="D3737" s="12" t="s">
        <v>5640</v>
      </c>
      <c r="E3737" s="12" t="s">
        <v>2978</v>
      </c>
      <c r="F3737" s="12" t="s">
        <v>832</v>
      </c>
      <c r="G3737" s="12" t="s">
        <v>832</v>
      </c>
      <c r="H3737" s="12" t="b">
        <v>0</v>
      </c>
      <c r="I3737" s="12" t="b">
        <v>0</v>
      </c>
      <c r="J3737" s="12" t="b">
        <v>0</v>
      </c>
      <c r="K3737" s="12" t="b">
        <v>0</v>
      </c>
      <c r="L3737" s="12">
        <v>389.57652481580482</v>
      </c>
      <c r="M3737" s="12">
        <v>284.32317534655971</v>
      </c>
      <c r="N3737" s="12">
        <v>4440.2069745006993</v>
      </c>
      <c r="O3737" s="12">
        <v>971.27418401019395</v>
      </c>
      <c r="P3737" s="12">
        <v>0.5</v>
      </c>
      <c r="Q3737" s="12">
        <v>0.89656496525890161</v>
      </c>
      <c r="R3737" s="12">
        <v>0.40172382552610081</v>
      </c>
      <c r="S3737" s="12">
        <v>0.58661711093866187</v>
      </c>
      <c r="T3737" s="12">
        <v>0.4160976640908251</v>
      </c>
      <c r="U3737" s="12">
        <v>0.69486134446488734</v>
      </c>
      <c r="V3737" s="12">
        <v>284.32317534655971</v>
      </c>
      <c r="W3737" s="12"/>
      <c r="X3737" s="12"/>
      <c r="Y3737" s="12">
        <v>3468.9327904905049</v>
      </c>
      <c r="Z3737" s="12">
        <v>4.5715278420846994</v>
      </c>
      <c r="AA3737" s="12"/>
      <c r="AB3737" s="12"/>
    </row>
    <row r="3738" spans="1:28" x14ac:dyDescent="0.3">
      <c r="A3738" s="12" t="s">
        <v>5665</v>
      </c>
      <c r="B3738" s="12" t="s">
        <v>206</v>
      </c>
      <c r="C3738" s="12" t="s">
        <v>578</v>
      </c>
      <c r="D3738" s="12" t="s">
        <v>5640</v>
      </c>
      <c r="E3738" s="12" t="s">
        <v>2978</v>
      </c>
      <c r="F3738" s="12" t="s">
        <v>1861</v>
      </c>
      <c r="G3738" s="12" t="s">
        <v>1861</v>
      </c>
      <c r="H3738" s="12" t="b">
        <v>1</v>
      </c>
      <c r="I3738" s="12" t="b">
        <v>0</v>
      </c>
      <c r="J3738" s="12" t="b">
        <v>1</v>
      </c>
      <c r="K3738" s="12" t="b">
        <v>0</v>
      </c>
      <c r="L3738" s="12">
        <v>485.32731316339431</v>
      </c>
      <c r="M3738" s="12">
        <v>296.67731267093041</v>
      </c>
      <c r="N3738" s="12">
        <v>2468.4465168705879</v>
      </c>
      <c r="O3738" s="12">
        <v>875.13493560331358</v>
      </c>
      <c r="P3738" s="12">
        <v>0.5</v>
      </c>
      <c r="Q3738" s="12">
        <v>0.93936531212814922</v>
      </c>
      <c r="R3738" s="12">
        <v>0.62501323781801099</v>
      </c>
      <c r="S3738" s="12">
        <v>0.85376526322387292</v>
      </c>
      <c r="T3738" s="12">
        <v>0.42178088029216088</v>
      </c>
      <c r="U3738" s="12">
        <v>0.67144138167727219</v>
      </c>
      <c r="V3738" s="12">
        <v>296.67731267093041</v>
      </c>
      <c r="W3738" s="12">
        <v>6.8512036053636596</v>
      </c>
      <c r="X3738" s="12">
        <v>98.098499384089621</v>
      </c>
      <c r="Y3738" s="12">
        <v>1593.311581267275</v>
      </c>
      <c r="Z3738" s="12">
        <v>2.8206467556558619</v>
      </c>
      <c r="AA3738" s="12" t="s">
        <v>1268</v>
      </c>
      <c r="AB3738" s="12"/>
    </row>
    <row r="3739" spans="1:28" x14ac:dyDescent="0.3">
      <c r="A3739" s="12" t="s">
        <v>5666</v>
      </c>
      <c r="B3739" s="12" t="s">
        <v>206</v>
      </c>
      <c r="C3739" s="12" t="s">
        <v>578</v>
      </c>
      <c r="D3739" s="12" t="s">
        <v>5640</v>
      </c>
      <c r="E3739" s="12" t="s">
        <v>2978</v>
      </c>
      <c r="F3739" s="12" t="s">
        <v>1861</v>
      </c>
      <c r="G3739" s="12" t="s">
        <v>1861</v>
      </c>
      <c r="H3739" s="12" t="b">
        <v>1</v>
      </c>
      <c r="I3739" s="12" t="b">
        <v>0</v>
      </c>
      <c r="J3739" s="12" t="b">
        <v>1</v>
      </c>
      <c r="K3739" s="12" t="b">
        <v>0</v>
      </c>
      <c r="L3739" s="12">
        <v>476.97522637427062</v>
      </c>
      <c r="M3739" s="12">
        <v>281.44260190426797</v>
      </c>
      <c r="N3739" s="12">
        <v>2823.603678942809</v>
      </c>
      <c r="O3739" s="12">
        <v>1455.196008746562</v>
      </c>
      <c r="P3739" s="12">
        <v>0.5</v>
      </c>
      <c r="Q3739" s="12">
        <v>0.5010506663426747</v>
      </c>
      <c r="R3739" s="12">
        <v>0.89518504397153942</v>
      </c>
      <c r="S3739" s="12">
        <v>0.85734266368015632</v>
      </c>
      <c r="T3739" s="12">
        <v>0.77567645044112621</v>
      </c>
      <c r="U3739" s="12">
        <v>0.60874339710649794</v>
      </c>
      <c r="V3739" s="12">
        <v>281.44260190426797</v>
      </c>
      <c r="W3739" s="12">
        <v>1.7265947368888099</v>
      </c>
      <c r="X3739" s="12">
        <v>22.883366002304811</v>
      </c>
      <c r="Y3739" s="12">
        <v>1368.407670196246</v>
      </c>
      <c r="Z3739" s="12">
        <v>1.9403596917331629</v>
      </c>
      <c r="AA3739" s="12" t="s">
        <v>1268</v>
      </c>
      <c r="AB3739" s="12"/>
    </row>
    <row r="3740" spans="1:28" x14ac:dyDescent="0.3">
      <c r="A3740" s="12" t="s">
        <v>5667</v>
      </c>
      <c r="B3740" s="12" t="s">
        <v>206</v>
      </c>
      <c r="C3740" s="12" t="s">
        <v>578</v>
      </c>
      <c r="D3740" s="12" t="s">
        <v>5640</v>
      </c>
      <c r="E3740" s="12" t="s">
        <v>2978</v>
      </c>
      <c r="F3740" s="12" t="s">
        <v>1862</v>
      </c>
      <c r="G3740" s="12" t="s">
        <v>1862</v>
      </c>
      <c r="H3740" s="12" t="b">
        <v>1</v>
      </c>
      <c r="I3740" s="12" t="b">
        <v>0</v>
      </c>
      <c r="J3740" s="12" t="b">
        <v>0</v>
      </c>
      <c r="K3740" s="12" t="b">
        <v>0</v>
      </c>
      <c r="L3740" s="12">
        <v>432.25558980595889</v>
      </c>
      <c r="M3740" s="12">
        <v>279.158145193976</v>
      </c>
      <c r="N3740" s="12">
        <v>3765.2298275220019</v>
      </c>
      <c r="O3740" s="12">
        <v>831.85095766872803</v>
      </c>
      <c r="P3740" s="12">
        <v>0.5</v>
      </c>
      <c r="Q3740" s="12">
        <v>0.40154496012716923</v>
      </c>
      <c r="R3740" s="12">
        <v>0.44618500567638048</v>
      </c>
      <c r="S3740" s="12">
        <v>0.62227596480016611</v>
      </c>
      <c r="T3740" s="12">
        <v>0.70569916718349646</v>
      </c>
      <c r="U3740" s="12">
        <v>0.43931839887740382</v>
      </c>
      <c r="V3740" s="12">
        <v>279.158145193976</v>
      </c>
      <c r="W3740" s="12">
        <v>-3.1698165190557002</v>
      </c>
      <c r="X3740" s="12">
        <v>-10.229064056767349</v>
      </c>
      <c r="Y3740" s="12">
        <v>2933.378869853274</v>
      </c>
      <c r="Z3740" s="12">
        <v>4.5263274542282206</v>
      </c>
      <c r="AA3740" s="12" t="s">
        <v>2513</v>
      </c>
      <c r="AB3740" s="12"/>
    </row>
    <row r="3741" spans="1:28" x14ac:dyDescent="0.3">
      <c r="A3741" s="12" t="s">
        <v>5668</v>
      </c>
      <c r="B3741" s="12" t="s">
        <v>206</v>
      </c>
      <c r="C3741" s="12" t="s">
        <v>578</v>
      </c>
      <c r="D3741" s="12" t="s">
        <v>5640</v>
      </c>
      <c r="E3741" s="12" t="s">
        <v>2978</v>
      </c>
      <c r="F3741" s="12" t="s">
        <v>32</v>
      </c>
      <c r="G3741" s="12" t="s">
        <v>32</v>
      </c>
      <c r="H3741" s="12" t="b">
        <v>1</v>
      </c>
      <c r="I3741" s="12" t="b">
        <v>1</v>
      </c>
      <c r="J3741" s="12" t="b">
        <v>0</v>
      </c>
      <c r="K3741" s="12" t="b">
        <v>0</v>
      </c>
      <c r="L3741" s="12">
        <v>424.36204208231823</v>
      </c>
      <c r="M3741" s="12">
        <v>299.58390485546391</v>
      </c>
      <c r="N3741" s="12">
        <v>3240.370344284258</v>
      </c>
      <c r="O3741" s="12">
        <v>557.04328069925396</v>
      </c>
      <c r="P3741" s="12">
        <v>0.5</v>
      </c>
      <c r="Q3741" s="12">
        <v>0.4187357442710104</v>
      </c>
      <c r="R3741" s="12">
        <v>0.7779819130379293</v>
      </c>
      <c r="S3741" s="12">
        <v>0.60221363283001528</v>
      </c>
      <c r="T3741" s="12">
        <v>0.5436194465823545</v>
      </c>
      <c r="U3741" s="12">
        <v>0.896449858602681</v>
      </c>
      <c r="V3741" s="12">
        <v>299.58390485546391</v>
      </c>
      <c r="W3741" s="12">
        <v>3.0858205598834401</v>
      </c>
      <c r="X3741" s="12">
        <v>13.204383047294559</v>
      </c>
      <c r="Y3741" s="12">
        <v>2683.327063585004</v>
      </c>
      <c r="Z3741" s="12">
        <v>5.8170890064711589</v>
      </c>
      <c r="AA3741" s="12"/>
      <c r="AB3741" s="12"/>
    </row>
    <row r="3742" spans="1:28" x14ac:dyDescent="0.3">
      <c r="A3742" s="12" t="s">
        <v>5669</v>
      </c>
      <c r="B3742" s="12" t="s">
        <v>206</v>
      </c>
      <c r="C3742" s="12" t="s">
        <v>578</v>
      </c>
      <c r="D3742" s="12" t="s">
        <v>5640</v>
      </c>
      <c r="E3742" s="12" t="s">
        <v>2978</v>
      </c>
      <c r="F3742" s="12" t="s">
        <v>1863</v>
      </c>
      <c r="G3742" s="12" t="s">
        <v>832</v>
      </c>
      <c r="H3742" s="12" t="b">
        <v>0</v>
      </c>
      <c r="I3742" s="12" t="b">
        <v>0</v>
      </c>
      <c r="J3742" s="12" t="b">
        <v>0</v>
      </c>
      <c r="K3742" s="12" t="b">
        <v>0</v>
      </c>
      <c r="L3742" s="12">
        <v>382.7128430890358</v>
      </c>
      <c r="M3742" s="12">
        <v>294.0217285522445</v>
      </c>
      <c r="N3742" s="12">
        <v>2895.374923962102</v>
      </c>
      <c r="O3742" s="12">
        <v>1862.6456542779531</v>
      </c>
      <c r="P3742" s="12">
        <v>0.5</v>
      </c>
      <c r="Q3742" s="12">
        <v>0.7985504990569896</v>
      </c>
      <c r="R3742" s="12">
        <v>0.71189663033515072</v>
      </c>
      <c r="S3742" s="12">
        <v>0.57166991044948123</v>
      </c>
      <c r="T3742" s="12">
        <v>0.91120258901615558</v>
      </c>
      <c r="U3742" s="12">
        <v>0.78034040140450056</v>
      </c>
      <c r="V3742" s="12">
        <v>294.0217285522445</v>
      </c>
      <c r="W3742" s="12">
        <v>-23.31542738557858</v>
      </c>
      <c r="X3742" s="12">
        <v>-4.2044860019907677</v>
      </c>
      <c r="Y3742" s="12">
        <v>1032.7292696841489</v>
      </c>
      <c r="Z3742" s="12">
        <v>1.5544421545301821</v>
      </c>
      <c r="AA3742" s="12" t="s">
        <v>2018</v>
      </c>
      <c r="AB3742" s="12"/>
    </row>
    <row r="3743" spans="1:28" x14ac:dyDescent="0.3">
      <c r="A3743" s="12" t="s">
        <v>5670</v>
      </c>
      <c r="B3743" s="12" t="s">
        <v>206</v>
      </c>
      <c r="C3743" s="12" t="s">
        <v>578</v>
      </c>
      <c r="D3743" s="12" t="s">
        <v>5640</v>
      </c>
      <c r="E3743" s="12" t="s">
        <v>2978</v>
      </c>
      <c r="F3743" s="12" t="s">
        <v>1863</v>
      </c>
      <c r="G3743" s="12" t="s">
        <v>832</v>
      </c>
      <c r="H3743" s="12" t="b">
        <v>0</v>
      </c>
      <c r="I3743" s="12" t="b">
        <v>0</v>
      </c>
      <c r="J3743" s="12" t="b">
        <v>0</v>
      </c>
      <c r="K3743" s="12" t="b">
        <v>0</v>
      </c>
      <c r="L3743" s="12">
        <v>403.95143722389702</v>
      </c>
      <c r="M3743" s="12">
        <v>285.33726494609868</v>
      </c>
      <c r="N3743" s="12">
        <v>4102.8208967462178</v>
      </c>
      <c r="O3743" s="12">
        <v>622.09674075056341</v>
      </c>
      <c r="P3743" s="12">
        <v>0.5</v>
      </c>
      <c r="Q3743" s="12">
        <v>0.44110693050225358</v>
      </c>
      <c r="R3743" s="12">
        <v>0.86356498886810218</v>
      </c>
      <c r="S3743" s="12">
        <v>0.83196259422201324</v>
      </c>
      <c r="T3743" s="12">
        <v>0.52471659522090175</v>
      </c>
      <c r="U3743" s="12">
        <v>0.76527254926637489</v>
      </c>
      <c r="V3743" s="12">
        <v>285.33726494609868</v>
      </c>
      <c r="W3743" s="12">
        <v>-6.72947401429618</v>
      </c>
      <c r="X3743" s="12">
        <v>-14.21778982653044</v>
      </c>
      <c r="Y3743" s="12">
        <v>3480.7241559956551</v>
      </c>
      <c r="Z3743" s="12">
        <v>6.5951493200175584</v>
      </c>
      <c r="AA3743" s="12" t="s">
        <v>2846</v>
      </c>
      <c r="AB3743" s="12"/>
    </row>
    <row r="3744" spans="1:28" x14ac:dyDescent="0.3">
      <c r="A3744" s="12" t="s">
        <v>5671</v>
      </c>
      <c r="B3744" s="12" t="s">
        <v>206</v>
      </c>
      <c r="C3744" s="12" t="s">
        <v>578</v>
      </c>
      <c r="D3744" s="12" t="s">
        <v>5640</v>
      </c>
      <c r="E3744" s="12" t="s">
        <v>2978</v>
      </c>
      <c r="F3744" s="12" t="s">
        <v>1861</v>
      </c>
      <c r="G3744" s="12" t="s">
        <v>1861</v>
      </c>
      <c r="H3744" s="12" t="b">
        <v>1</v>
      </c>
      <c r="I3744" s="12" t="b">
        <v>0</v>
      </c>
      <c r="J3744" s="12" t="b">
        <v>1</v>
      </c>
      <c r="K3744" s="12" t="b">
        <v>0</v>
      </c>
      <c r="L3744" s="12">
        <v>496.84966314623603</v>
      </c>
      <c r="M3744" s="12">
        <v>295.31248567543759</v>
      </c>
      <c r="N3744" s="12">
        <v>3121.7269871908538</v>
      </c>
      <c r="O3744" s="12">
        <v>1272.3913759234081</v>
      </c>
      <c r="P3744" s="12">
        <v>0.5</v>
      </c>
      <c r="Q3744" s="12">
        <v>0.87884802447542132</v>
      </c>
      <c r="R3744" s="12">
        <v>0.66736010375436994</v>
      </c>
      <c r="S3744" s="12">
        <v>0.67892144379173236</v>
      </c>
      <c r="T3744" s="12">
        <v>0.67178190416468964</v>
      </c>
      <c r="U3744" s="12">
        <v>0.70626941068850047</v>
      </c>
      <c r="V3744" s="12">
        <v>295.31248567543759</v>
      </c>
      <c r="W3744" s="12">
        <v>6.5042844595168594</v>
      </c>
      <c r="X3744" s="12">
        <v>81.626888478315706</v>
      </c>
      <c r="Y3744" s="12">
        <v>1849.3356112674451</v>
      </c>
      <c r="Z3744" s="12">
        <v>2.4534329973160451</v>
      </c>
      <c r="AA3744" s="12" t="s">
        <v>1268</v>
      </c>
      <c r="AB3744" s="12"/>
    </row>
    <row r="3745" spans="1:28" x14ac:dyDescent="0.3">
      <c r="A3745" s="12" t="s">
        <v>5672</v>
      </c>
      <c r="B3745" s="12" t="s">
        <v>206</v>
      </c>
      <c r="C3745" s="12" t="s">
        <v>578</v>
      </c>
      <c r="D3745" s="12" t="s">
        <v>5640</v>
      </c>
      <c r="E3745" s="12" t="s">
        <v>2978</v>
      </c>
      <c r="F3745" s="12" t="s">
        <v>1861</v>
      </c>
      <c r="G3745" s="12" t="s">
        <v>1861</v>
      </c>
      <c r="H3745" s="12" t="b">
        <v>1</v>
      </c>
      <c r="I3745" s="12" t="b">
        <v>0</v>
      </c>
      <c r="J3745" s="12" t="b">
        <v>1</v>
      </c>
      <c r="K3745" s="12" t="b">
        <v>0</v>
      </c>
      <c r="L3745" s="12">
        <v>472.06633242987812</v>
      </c>
      <c r="M3745" s="12">
        <v>279.39289755271272</v>
      </c>
      <c r="N3745" s="12">
        <v>3552.9288600994469</v>
      </c>
      <c r="O3745" s="12">
        <v>844.65241346949267</v>
      </c>
      <c r="P3745" s="12">
        <v>0.5</v>
      </c>
      <c r="Q3745" s="12">
        <v>0.51006740278772</v>
      </c>
      <c r="R3745" s="12">
        <v>0.68190442103367754</v>
      </c>
      <c r="S3745" s="12">
        <v>0.69515874949723333</v>
      </c>
      <c r="T3745" s="12">
        <v>0.49906852148036118</v>
      </c>
      <c r="U3745" s="12">
        <v>0.72917022695919631</v>
      </c>
      <c r="V3745" s="12">
        <v>279.39289755271272</v>
      </c>
      <c r="W3745" s="12">
        <v>5.3838194185366399</v>
      </c>
      <c r="X3745" s="12">
        <v>59.084110424470637</v>
      </c>
      <c r="Y3745" s="12">
        <v>2708.2764466299541</v>
      </c>
      <c r="Z3745" s="12">
        <v>4.2063798119103728</v>
      </c>
      <c r="AA3745" s="12" t="s">
        <v>1268</v>
      </c>
      <c r="AB3745" s="12"/>
    </row>
    <row r="3746" spans="1:28" x14ac:dyDescent="0.3">
      <c r="A3746" s="12" t="s">
        <v>5673</v>
      </c>
      <c r="B3746" s="12" t="s">
        <v>206</v>
      </c>
      <c r="C3746" s="12" t="s">
        <v>578</v>
      </c>
      <c r="D3746" s="12" t="s">
        <v>5640</v>
      </c>
      <c r="E3746" s="12" t="s">
        <v>2978</v>
      </c>
      <c r="F3746" s="12" t="s">
        <v>1861</v>
      </c>
      <c r="G3746" s="12" t="s">
        <v>1861</v>
      </c>
      <c r="H3746" s="12" t="b">
        <v>1</v>
      </c>
      <c r="I3746" s="12" t="b">
        <v>0</v>
      </c>
      <c r="J3746" s="12" t="b">
        <v>1</v>
      </c>
      <c r="K3746" s="12" t="b">
        <v>0</v>
      </c>
      <c r="L3746" s="12">
        <v>470.432610409429</v>
      </c>
      <c r="M3746" s="12">
        <v>289.69171223009391</v>
      </c>
      <c r="N3746" s="12">
        <v>3796.653703349325</v>
      </c>
      <c r="O3746" s="12">
        <v>789.91938786553249</v>
      </c>
      <c r="P3746" s="12">
        <v>0.5</v>
      </c>
      <c r="Q3746" s="12">
        <v>0.83383487497635</v>
      </c>
      <c r="R3746" s="12">
        <v>0.73430522409463239</v>
      </c>
      <c r="S3746" s="12">
        <v>0.60547819932958191</v>
      </c>
      <c r="T3746" s="12">
        <v>0.55643177933278054</v>
      </c>
      <c r="U3746" s="12">
        <v>0.63914102773837633</v>
      </c>
      <c r="V3746" s="12">
        <v>289.69171223009391</v>
      </c>
      <c r="W3746" s="12">
        <v>9.6850993933990601</v>
      </c>
      <c r="X3746" s="12">
        <v>77.730009685585472</v>
      </c>
      <c r="Y3746" s="12">
        <v>3006.7343154837931</v>
      </c>
      <c r="Z3746" s="12">
        <v>4.8063812101237193</v>
      </c>
      <c r="AA3746" s="12" t="s">
        <v>1268</v>
      </c>
      <c r="AB3746" s="12"/>
    </row>
    <row r="3747" spans="1:28" x14ac:dyDescent="0.3">
      <c r="A3747" s="12" t="s">
        <v>5674</v>
      </c>
      <c r="B3747" s="12" t="s">
        <v>206</v>
      </c>
      <c r="C3747" s="12" t="s">
        <v>578</v>
      </c>
      <c r="D3747" s="12" t="s">
        <v>5640</v>
      </c>
      <c r="E3747" s="12" t="s">
        <v>2978</v>
      </c>
      <c r="F3747" s="12" t="s">
        <v>832</v>
      </c>
      <c r="G3747" s="12" t="s">
        <v>832</v>
      </c>
      <c r="H3747" s="12" t="b">
        <v>0</v>
      </c>
      <c r="I3747" s="12" t="b">
        <v>0</v>
      </c>
      <c r="J3747" s="12" t="b">
        <v>0</v>
      </c>
      <c r="K3747" s="12" t="b">
        <v>0</v>
      </c>
      <c r="L3747" s="12">
        <v>444.10144851744462</v>
      </c>
      <c r="M3747" s="12">
        <v>298.10572633555432</v>
      </c>
      <c r="N3747" s="12">
        <v>2104.8639645003241</v>
      </c>
      <c r="O3747" s="12">
        <v>674.92585775830764</v>
      </c>
      <c r="P3747" s="12">
        <v>0.5</v>
      </c>
      <c r="Q3747" s="12">
        <v>0.49603277699226611</v>
      </c>
      <c r="R3747" s="12">
        <v>0.80339537039233166</v>
      </c>
      <c r="S3747" s="12">
        <v>0.56099251172109887</v>
      </c>
      <c r="T3747" s="12">
        <v>0.51922601220488651</v>
      </c>
      <c r="U3747" s="12">
        <v>0.69860576092287396</v>
      </c>
      <c r="V3747" s="12">
        <v>298.10572633555432</v>
      </c>
      <c r="W3747" s="12"/>
      <c r="X3747" s="12"/>
      <c r="Y3747" s="12">
        <v>1429.9381067420161</v>
      </c>
      <c r="Z3747" s="12">
        <v>3.1186595391253782</v>
      </c>
      <c r="AA3747" s="12"/>
      <c r="AB3747" s="12"/>
    </row>
    <row r="3748" spans="1:28" x14ac:dyDescent="0.3">
      <c r="A3748" s="12" t="s">
        <v>5675</v>
      </c>
      <c r="B3748" s="12" t="s">
        <v>206</v>
      </c>
      <c r="C3748" s="12" t="s">
        <v>578</v>
      </c>
      <c r="D3748" s="12" t="s">
        <v>5640</v>
      </c>
      <c r="E3748" s="12" t="s">
        <v>2978</v>
      </c>
      <c r="F3748" s="12" t="s">
        <v>832</v>
      </c>
      <c r="G3748" s="12" t="s">
        <v>832</v>
      </c>
      <c r="H3748" s="12" t="b">
        <v>0</v>
      </c>
      <c r="I3748" s="12" t="b">
        <v>0</v>
      </c>
      <c r="J3748" s="12" t="b">
        <v>0</v>
      </c>
      <c r="K3748" s="12" t="b">
        <v>0</v>
      </c>
      <c r="L3748" s="12">
        <v>397.93421005016017</v>
      </c>
      <c r="M3748" s="12">
        <v>280.37821283755937</v>
      </c>
      <c r="N3748" s="12">
        <v>4935.2740529149432</v>
      </c>
      <c r="O3748" s="12">
        <v>1027.902038670843</v>
      </c>
      <c r="P3748" s="12">
        <v>0.5</v>
      </c>
      <c r="Q3748" s="12">
        <v>0.64930214185881596</v>
      </c>
      <c r="R3748" s="12">
        <v>0.59834993344715337</v>
      </c>
      <c r="S3748" s="12">
        <v>0.54791571860428046</v>
      </c>
      <c r="T3748" s="12">
        <v>0.89732528603991368</v>
      </c>
      <c r="U3748" s="12">
        <v>0.51451273230331829</v>
      </c>
      <c r="V3748" s="12">
        <v>280.37821283755937</v>
      </c>
      <c r="W3748" s="12"/>
      <c r="X3748" s="12"/>
      <c r="Y3748" s="12">
        <v>3907.3720142441011</v>
      </c>
      <c r="Z3748" s="12">
        <v>4.8013077776328164</v>
      </c>
      <c r="AA3748" s="12"/>
      <c r="AB3748" s="12"/>
    </row>
    <row r="3749" spans="1:28" x14ac:dyDescent="0.3">
      <c r="A3749" s="12" t="s">
        <v>5676</v>
      </c>
      <c r="B3749" s="12" t="s">
        <v>206</v>
      </c>
      <c r="C3749" s="12" t="s">
        <v>578</v>
      </c>
      <c r="D3749" s="12" t="s">
        <v>5640</v>
      </c>
      <c r="E3749" s="12" t="s">
        <v>2978</v>
      </c>
      <c r="F3749" s="12" t="s">
        <v>32</v>
      </c>
      <c r="G3749" s="12" t="s">
        <v>32</v>
      </c>
      <c r="H3749" s="12" t="b">
        <v>1</v>
      </c>
      <c r="I3749" s="12" t="b">
        <v>1</v>
      </c>
      <c r="J3749" s="12" t="b">
        <v>0</v>
      </c>
      <c r="K3749" s="12" t="b">
        <v>0</v>
      </c>
      <c r="L3749" s="12">
        <v>392.85024178059678</v>
      </c>
      <c r="M3749" s="12">
        <v>290.53236375636078</v>
      </c>
      <c r="N3749" s="12">
        <v>2308.137026417804</v>
      </c>
      <c r="O3749" s="12">
        <v>1536.473901970503</v>
      </c>
      <c r="P3749" s="12">
        <v>0.5</v>
      </c>
      <c r="Q3749" s="12">
        <v>0.4518560669929938</v>
      </c>
      <c r="R3749" s="12">
        <v>0.66246177828461772</v>
      </c>
      <c r="S3749" s="12">
        <v>0.82231031817755884</v>
      </c>
      <c r="T3749" s="12">
        <v>0.79999861365048763</v>
      </c>
      <c r="U3749" s="12">
        <v>0.80775589372275025</v>
      </c>
      <c r="V3749" s="12">
        <v>290.53236375636078</v>
      </c>
      <c r="W3749" s="12">
        <v>1.0279130498758</v>
      </c>
      <c r="X3749" s="12">
        <v>3.2954763914059142</v>
      </c>
      <c r="Y3749" s="12">
        <v>771.66312444730124</v>
      </c>
      <c r="Z3749" s="12">
        <v>1.5022298936920799</v>
      </c>
      <c r="AA3749" s="12"/>
      <c r="AB3749" s="12"/>
    </row>
    <row r="3750" spans="1:28" x14ac:dyDescent="0.3">
      <c r="A3750" s="12" t="s">
        <v>5677</v>
      </c>
      <c r="B3750" s="12" t="s">
        <v>206</v>
      </c>
      <c r="C3750" s="12" t="s">
        <v>578</v>
      </c>
      <c r="D3750" s="12" t="s">
        <v>5640</v>
      </c>
      <c r="E3750" s="12" t="s">
        <v>2978</v>
      </c>
      <c r="F3750" s="12" t="s">
        <v>1861</v>
      </c>
      <c r="G3750" s="12" t="s">
        <v>1861</v>
      </c>
      <c r="H3750" s="12" t="b">
        <v>1</v>
      </c>
      <c r="I3750" s="12" t="b">
        <v>0</v>
      </c>
      <c r="J3750" s="12" t="b">
        <v>1</v>
      </c>
      <c r="K3750" s="12" t="b">
        <v>0</v>
      </c>
      <c r="L3750" s="12">
        <v>474.79679808680629</v>
      </c>
      <c r="M3750" s="12">
        <v>302.46177733735072</v>
      </c>
      <c r="N3750" s="12">
        <v>2369.4116858598391</v>
      </c>
      <c r="O3750" s="12">
        <v>770.7413509224242</v>
      </c>
      <c r="P3750" s="12">
        <v>0.5</v>
      </c>
      <c r="Q3750" s="12">
        <v>0.67196113431233839</v>
      </c>
      <c r="R3750" s="12">
        <v>0.93512809426799381</v>
      </c>
      <c r="S3750" s="12">
        <v>0.68144425611663451</v>
      </c>
      <c r="T3750" s="12">
        <v>0.64879458004769908</v>
      </c>
      <c r="U3750" s="12">
        <v>0.73291394684263422</v>
      </c>
      <c r="V3750" s="12">
        <v>302.46177733735072</v>
      </c>
      <c r="W3750" s="12">
        <v>5.8040778423293107</v>
      </c>
      <c r="X3750" s="12">
        <v>72.748557440426566</v>
      </c>
      <c r="Y3750" s="12">
        <v>1598.670334937415</v>
      </c>
      <c r="Z3750" s="12">
        <v>3.0741982158140662</v>
      </c>
      <c r="AA3750" s="12" t="s">
        <v>1268</v>
      </c>
      <c r="AB3750" s="12"/>
    </row>
    <row r="3751" spans="1:28" x14ac:dyDescent="0.3">
      <c r="A3751" s="12" t="s">
        <v>5678</v>
      </c>
      <c r="B3751" s="12" t="s">
        <v>206</v>
      </c>
      <c r="C3751" s="12" t="s">
        <v>578</v>
      </c>
      <c r="D3751" s="12" t="s">
        <v>5640</v>
      </c>
      <c r="E3751" s="12" t="s">
        <v>2978</v>
      </c>
      <c r="F3751" s="12" t="s">
        <v>32</v>
      </c>
      <c r="G3751" s="12" t="s">
        <v>32</v>
      </c>
      <c r="H3751" s="12" t="b">
        <v>1</v>
      </c>
      <c r="I3751" s="12" t="b">
        <v>0</v>
      </c>
      <c r="J3751" s="12" t="b">
        <v>1</v>
      </c>
      <c r="K3751" s="12" t="b">
        <v>0</v>
      </c>
      <c r="L3751" s="12">
        <v>487.93718755684569</v>
      </c>
      <c r="M3751" s="12">
        <v>286.94969375825781</v>
      </c>
      <c r="N3751" s="12">
        <v>4617.9499225635673</v>
      </c>
      <c r="O3751" s="12">
        <v>1754.1527424897879</v>
      </c>
      <c r="P3751" s="12">
        <v>0.5</v>
      </c>
      <c r="Q3751" s="12">
        <v>0.48150285679676541</v>
      </c>
      <c r="R3751" s="12">
        <v>0.42724130715318032</v>
      </c>
      <c r="S3751" s="12">
        <v>0.82580171762170895</v>
      </c>
      <c r="T3751" s="12">
        <v>0.79076420586831309</v>
      </c>
      <c r="U3751" s="12">
        <v>0.94769320878429564</v>
      </c>
      <c r="V3751" s="12">
        <v>286.94969375825781</v>
      </c>
      <c r="W3751" s="12">
        <v>3.2934529832644501</v>
      </c>
      <c r="X3751" s="12">
        <v>51.681612855553361</v>
      </c>
      <c r="Y3751" s="12">
        <v>2863.7971800737791</v>
      </c>
      <c r="Z3751" s="12">
        <v>2.6325814227608242</v>
      </c>
      <c r="AA3751" s="12"/>
      <c r="AB3751" s="12"/>
    </row>
    <row r="3752" spans="1:28" x14ac:dyDescent="0.3">
      <c r="A3752" s="12" t="s">
        <v>5679</v>
      </c>
      <c r="B3752" s="12" t="s">
        <v>206</v>
      </c>
      <c r="C3752" s="12" t="s">
        <v>578</v>
      </c>
      <c r="D3752" s="12" t="s">
        <v>5640</v>
      </c>
      <c r="E3752" s="12" t="s">
        <v>2978</v>
      </c>
      <c r="F3752" s="12" t="s">
        <v>32</v>
      </c>
      <c r="G3752" s="12" t="s">
        <v>32</v>
      </c>
      <c r="H3752" s="12" t="b">
        <v>1</v>
      </c>
      <c r="I3752" s="12" t="b">
        <v>1</v>
      </c>
      <c r="J3752" s="12" t="b">
        <v>0</v>
      </c>
      <c r="K3752" s="12" t="b">
        <v>0</v>
      </c>
      <c r="L3752" s="12">
        <v>394.22621713904852</v>
      </c>
      <c r="M3752" s="12">
        <v>278.73136632928288</v>
      </c>
      <c r="N3752" s="12">
        <v>3057.492396239742</v>
      </c>
      <c r="O3752" s="12">
        <v>339.62652259315041</v>
      </c>
      <c r="P3752" s="12">
        <v>0.5</v>
      </c>
      <c r="Q3752" s="12">
        <v>0.74561020735494377</v>
      </c>
      <c r="R3752" s="12">
        <v>0.51542442838506819</v>
      </c>
      <c r="S3752" s="12">
        <v>0.80000628007526209</v>
      </c>
      <c r="T3752" s="12">
        <v>0.5823405173326166</v>
      </c>
      <c r="U3752" s="12">
        <v>0.7706600033681017</v>
      </c>
      <c r="V3752" s="12">
        <v>278.73136632928288</v>
      </c>
      <c r="W3752" s="12">
        <v>1.41870794310145</v>
      </c>
      <c r="X3752" s="12">
        <v>3.5578408596769289</v>
      </c>
      <c r="Y3752" s="12">
        <v>2717.8658736465918</v>
      </c>
      <c r="Z3752" s="12">
        <v>9.002513622595993</v>
      </c>
      <c r="AA3752" s="12"/>
      <c r="AB3752" s="12"/>
    </row>
    <row r="3753" spans="1:28" x14ac:dyDescent="0.3">
      <c r="A3753" s="12" t="s">
        <v>5680</v>
      </c>
      <c r="B3753" s="12" t="s">
        <v>206</v>
      </c>
      <c r="C3753" s="12" t="s">
        <v>578</v>
      </c>
      <c r="D3753" s="12" t="s">
        <v>5640</v>
      </c>
      <c r="E3753" s="12" t="s">
        <v>2978</v>
      </c>
      <c r="F3753" s="12" t="s">
        <v>32</v>
      </c>
      <c r="G3753" s="12" t="s">
        <v>32</v>
      </c>
      <c r="H3753" s="12" t="b">
        <v>1</v>
      </c>
      <c r="I3753" s="12" t="b">
        <v>0</v>
      </c>
      <c r="J3753" s="12" t="b">
        <v>1</v>
      </c>
      <c r="K3753" s="12" t="b">
        <v>0</v>
      </c>
      <c r="L3753" s="12">
        <v>490.8082877754548</v>
      </c>
      <c r="M3753" s="12">
        <v>284.15723732239718</v>
      </c>
      <c r="N3753" s="12">
        <v>3484.970563642958</v>
      </c>
      <c r="O3753" s="12">
        <v>1360.982945596113</v>
      </c>
      <c r="P3753" s="12">
        <v>0.5</v>
      </c>
      <c r="Q3753" s="12">
        <v>0.73330460204730885</v>
      </c>
      <c r="R3753" s="12">
        <v>0.4399532959179101</v>
      </c>
      <c r="S3753" s="12">
        <v>0.72830444900587199</v>
      </c>
      <c r="T3753" s="12">
        <v>0.53207202229800921</v>
      </c>
      <c r="U3753" s="12">
        <v>0.85677868085689002</v>
      </c>
      <c r="V3753" s="12">
        <v>284.15723732239718</v>
      </c>
      <c r="W3753" s="12">
        <v>5.5453525362314604</v>
      </c>
      <c r="X3753" s="12">
        <v>84.940587597636949</v>
      </c>
      <c r="Y3753" s="12">
        <v>2123.987618046845</v>
      </c>
      <c r="Z3753" s="12">
        <v>2.5606276514482942</v>
      </c>
      <c r="AA3753" s="12"/>
      <c r="AB3753" s="12"/>
    </row>
    <row r="3754" spans="1:28" x14ac:dyDescent="0.3">
      <c r="A3754" s="12" t="s">
        <v>5681</v>
      </c>
      <c r="B3754" s="12" t="s">
        <v>206</v>
      </c>
      <c r="C3754" s="12" t="s">
        <v>578</v>
      </c>
      <c r="D3754" s="12" t="s">
        <v>5640</v>
      </c>
      <c r="E3754" s="12" t="s">
        <v>2978</v>
      </c>
      <c r="F3754" s="12" t="s">
        <v>1863</v>
      </c>
      <c r="G3754" s="12" t="s">
        <v>832</v>
      </c>
      <c r="H3754" s="12" t="b">
        <v>0</v>
      </c>
      <c r="I3754" s="12" t="b">
        <v>0</v>
      </c>
      <c r="J3754" s="12" t="b">
        <v>0</v>
      </c>
      <c r="K3754" s="12" t="b">
        <v>0</v>
      </c>
      <c r="L3754" s="12">
        <v>390.64249887917492</v>
      </c>
      <c r="M3754" s="12">
        <v>292.15123608910989</v>
      </c>
      <c r="N3754" s="12">
        <v>3504.5891893021389</v>
      </c>
      <c r="O3754" s="12">
        <v>1651.1448741394979</v>
      </c>
      <c r="P3754" s="12">
        <v>0.5</v>
      </c>
      <c r="Q3754" s="12">
        <v>0.8046833564168645</v>
      </c>
      <c r="R3754" s="12">
        <v>0.55719286889598352</v>
      </c>
      <c r="S3754" s="12">
        <v>0.7957516606687185</v>
      </c>
      <c r="T3754" s="12">
        <v>0.71289985596351846</v>
      </c>
      <c r="U3754" s="12">
        <v>0.52776883666690899</v>
      </c>
      <c r="V3754" s="12">
        <v>292.15123608910989</v>
      </c>
      <c r="W3754" s="12">
        <v>-15.041623658453</v>
      </c>
      <c r="X3754" s="12">
        <v>-13.834555173100879</v>
      </c>
      <c r="Y3754" s="12">
        <v>1853.444315162641</v>
      </c>
      <c r="Z3754" s="12">
        <v>2.1225207092312668</v>
      </c>
      <c r="AA3754" s="12" t="s">
        <v>2018</v>
      </c>
      <c r="AB3754" s="12"/>
    </row>
    <row r="3755" spans="1:28" x14ac:dyDescent="0.3">
      <c r="A3755" s="12" t="s">
        <v>5682</v>
      </c>
      <c r="B3755" s="12" t="s">
        <v>206</v>
      </c>
      <c r="C3755" s="12" t="s">
        <v>578</v>
      </c>
      <c r="D3755" s="12" t="s">
        <v>5640</v>
      </c>
      <c r="E3755" s="12" t="s">
        <v>2978</v>
      </c>
      <c r="F3755" s="12" t="s">
        <v>32</v>
      </c>
      <c r="G3755" s="12" t="s">
        <v>32</v>
      </c>
      <c r="H3755" s="12" t="b">
        <v>1</v>
      </c>
      <c r="I3755" s="12" t="b">
        <v>0</v>
      </c>
      <c r="J3755" s="12" t="b">
        <v>1</v>
      </c>
      <c r="K3755" s="12" t="b">
        <v>0</v>
      </c>
      <c r="L3755" s="12">
        <v>504.85077873163681</v>
      </c>
      <c r="M3755" s="12">
        <v>298.45644171055221</v>
      </c>
      <c r="N3755" s="12">
        <v>2210.3052831195591</v>
      </c>
      <c r="O3755" s="12">
        <v>1575.470974502311</v>
      </c>
      <c r="P3755" s="12">
        <v>0.5</v>
      </c>
      <c r="Q3755" s="12">
        <v>0.56504925195407385</v>
      </c>
      <c r="R3755" s="12">
        <v>0.6913417206905087</v>
      </c>
      <c r="S3755" s="12">
        <v>0.4346701393118716</v>
      </c>
      <c r="T3755" s="12">
        <v>0.72984532814184711</v>
      </c>
      <c r="U3755" s="12">
        <v>0.82052075729325868</v>
      </c>
      <c r="V3755" s="12">
        <v>298.45644171055221</v>
      </c>
      <c r="W3755" s="12">
        <v>1.69537397053133</v>
      </c>
      <c r="X3755" s="12">
        <v>15.524350159169661</v>
      </c>
      <c r="Y3755" s="12">
        <v>634.83430861724787</v>
      </c>
      <c r="Z3755" s="12">
        <v>1.4029489079085009</v>
      </c>
      <c r="AA3755" s="12"/>
      <c r="AB3755" s="12"/>
    </row>
    <row r="3756" spans="1:28" x14ac:dyDescent="0.3">
      <c r="A3756" s="12" t="s">
        <v>5683</v>
      </c>
      <c r="B3756" s="12" t="s">
        <v>206</v>
      </c>
      <c r="C3756" s="12" t="s">
        <v>578</v>
      </c>
      <c r="D3756" s="12" t="s">
        <v>5640</v>
      </c>
      <c r="E3756" s="12" t="s">
        <v>2978</v>
      </c>
      <c r="F3756" s="12" t="s">
        <v>832</v>
      </c>
      <c r="G3756" s="12" t="s">
        <v>832</v>
      </c>
      <c r="H3756" s="12" t="b">
        <v>0</v>
      </c>
      <c r="I3756" s="12" t="b">
        <v>0</v>
      </c>
      <c r="J3756" s="12" t="b">
        <v>0</v>
      </c>
      <c r="K3756" s="12" t="b">
        <v>0</v>
      </c>
      <c r="L3756" s="12">
        <v>382.90962033500881</v>
      </c>
      <c r="M3756" s="12">
        <v>278.16107133933798</v>
      </c>
      <c r="N3756" s="12">
        <v>4867.4409168919283</v>
      </c>
      <c r="O3756" s="12">
        <v>1778.5977592654119</v>
      </c>
      <c r="P3756" s="12">
        <v>0.5</v>
      </c>
      <c r="Q3756" s="12">
        <v>0.54781258212986905</v>
      </c>
      <c r="R3756" s="12">
        <v>0.74587701306102994</v>
      </c>
      <c r="S3756" s="12">
        <v>0.63935455866634261</v>
      </c>
      <c r="T3756" s="12">
        <v>0.66038091283852984</v>
      </c>
      <c r="U3756" s="12">
        <v>0.59571167108681899</v>
      </c>
      <c r="V3756" s="12">
        <v>278.16107133933798</v>
      </c>
      <c r="W3756" s="12"/>
      <c r="X3756" s="12"/>
      <c r="Y3756" s="12">
        <v>3088.843157626517</v>
      </c>
      <c r="Z3756" s="12">
        <v>2.7366732537109781</v>
      </c>
      <c r="AA3756" s="12"/>
      <c r="AB3756" s="12"/>
    </row>
    <row r="3757" spans="1:28" x14ac:dyDescent="0.3">
      <c r="A3757" s="12" t="s">
        <v>5684</v>
      </c>
      <c r="B3757" s="12" t="s">
        <v>206</v>
      </c>
      <c r="C3757" s="12" t="s">
        <v>578</v>
      </c>
      <c r="D3757" s="12" t="s">
        <v>5640</v>
      </c>
      <c r="E3757" s="12" t="s">
        <v>2978</v>
      </c>
      <c r="F3757" s="12" t="s">
        <v>32</v>
      </c>
      <c r="G3757" s="12" t="s">
        <v>32</v>
      </c>
      <c r="H3757" s="12" t="b">
        <v>1</v>
      </c>
      <c r="I3757" s="12" t="b">
        <v>1</v>
      </c>
      <c r="J3757" s="12" t="b">
        <v>0</v>
      </c>
      <c r="K3757" s="12" t="b">
        <v>0</v>
      </c>
      <c r="L3757" s="12">
        <v>399.7788851582348</v>
      </c>
      <c r="M3757" s="12">
        <v>289.17341143216868</v>
      </c>
      <c r="N3757" s="12">
        <v>2993.6472360646721</v>
      </c>
      <c r="O3757" s="12">
        <v>1681.313631994919</v>
      </c>
      <c r="P3757" s="12">
        <v>0.5</v>
      </c>
      <c r="Q3757" s="12">
        <v>0.70328637747583989</v>
      </c>
      <c r="R3757" s="12">
        <v>0.51566008305879629</v>
      </c>
      <c r="S3757" s="12">
        <v>0.73635992956846152</v>
      </c>
      <c r="T3757" s="12">
        <v>0.75091121229959334</v>
      </c>
      <c r="U3757" s="12">
        <v>0.7570412670371196</v>
      </c>
      <c r="V3757" s="12">
        <v>289.17341143216868</v>
      </c>
      <c r="W3757" s="12">
        <v>1.1694604595299301</v>
      </c>
      <c r="X3757" s="12">
        <v>2.8304902975713042</v>
      </c>
      <c r="Y3757" s="12">
        <v>1312.3336040697529</v>
      </c>
      <c r="Z3757" s="12">
        <v>1.7805406315017129</v>
      </c>
      <c r="AA3757" s="12"/>
      <c r="AB3757" s="12"/>
    </row>
    <row r="3758" spans="1:28" x14ac:dyDescent="0.3">
      <c r="A3758" s="12" t="s">
        <v>5685</v>
      </c>
      <c r="B3758" s="12" t="s">
        <v>206</v>
      </c>
      <c r="C3758" s="12" t="s">
        <v>578</v>
      </c>
      <c r="D3758" s="12" t="s">
        <v>5640</v>
      </c>
      <c r="E3758" s="12" t="s">
        <v>2978</v>
      </c>
      <c r="F3758" s="12" t="s">
        <v>1862</v>
      </c>
      <c r="G3758" s="12" t="s">
        <v>1862</v>
      </c>
      <c r="H3758" s="12" t="b">
        <v>1</v>
      </c>
      <c r="I3758" s="12" t="b">
        <v>0</v>
      </c>
      <c r="J3758" s="12" t="b">
        <v>1</v>
      </c>
      <c r="K3758" s="12" t="b">
        <v>0</v>
      </c>
      <c r="L3758" s="12">
        <v>511.50163463717161</v>
      </c>
      <c r="M3758" s="12">
        <v>279.54465087358801</v>
      </c>
      <c r="N3758" s="12">
        <v>2977.9378243248002</v>
      </c>
      <c r="O3758" s="12">
        <v>399.69896133432508</v>
      </c>
      <c r="P3758" s="12">
        <v>0.5</v>
      </c>
      <c r="Q3758" s="12">
        <v>0.4270177261154533</v>
      </c>
      <c r="R3758" s="12">
        <v>0.83740650224166169</v>
      </c>
      <c r="S3758" s="12">
        <v>0.87424885977331646</v>
      </c>
      <c r="T3758" s="12">
        <v>0.57227966133538666</v>
      </c>
      <c r="U3758" s="12">
        <v>0.47367952520684692</v>
      </c>
      <c r="V3758" s="12">
        <v>279.54465087358801</v>
      </c>
      <c r="W3758" s="12">
        <v>-6.0052602148318703</v>
      </c>
      <c r="X3758" s="12">
        <v>-60.26787906836779</v>
      </c>
      <c r="Y3758" s="12">
        <v>2578.2388629904749</v>
      </c>
      <c r="Z3758" s="12">
        <v>7.4504517459426847</v>
      </c>
      <c r="AA3758" s="12" t="s">
        <v>2513</v>
      </c>
      <c r="AB3758" s="12"/>
    </row>
    <row r="3759" spans="1:28" x14ac:dyDescent="0.3">
      <c r="A3759" s="12" t="s">
        <v>5686</v>
      </c>
      <c r="B3759" s="12" t="s">
        <v>206</v>
      </c>
      <c r="C3759" s="12" t="s">
        <v>578</v>
      </c>
      <c r="D3759" s="12" t="s">
        <v>5640</v>
      </c>
      <c r="E3759" s="12" t="s">
        <v>2978</v>
      </c>
      <c r="F3759" s="12" t="s">
        <v>1861</v>
      </c>
      <c r="G3759" s="12" t="s">
        <v>1861</v>
      </c>
      <c r="H3759" s="12" t="b">
        <v>1</v>
      </c>
      <c r="I3759" s="12" t="b">
        <v>0</v>
      </c>
      <c r="J3759" s="12" t="b">
        <v>1</v>
      </c>
      <c r="K3759" s="12" t="b">
        <v>0</v>
      </c>
      <c r="L3759" s="12">
        <v>466.00941920647938</v>
      </c>
      <c r="M3759" s="12">
        <v>301.31361005025951</v>
      </c>
      <c r="N3759" s="12">
        <v>3933.0219784961691</v>
      </c>
      <c r="O3759" s="12">
        <v>436.95847927364059</v>
      </c>
      <c r="P3759" s="12">
        <v>0.5</v>
      </c>
      <c r="Q3759" s="12">
        <v>0.85948083628713667</v>
      </c>
      <c r="R3759" s="12">
        <v>0.41956034227696148</v>
      </c>
      <c r="S3759" s="12">
        <v>0.88636572131666891</v>
      </c>
      <c r="T3759" s="12">
        <v>0.92878322690689319</v>
      </c>
      <c r="U3759" s="12">
        <v>0.6694681135857139</v>
      </c>
      <c r="V3759" s="12">
        <v>301.31361005025951</v>
      </c>
      <c r="W3759" s="12">
        <v>8.9308625705120299</v>
      </c>
      <c r="X3759" s="12">
        <v>79.859389306410804</v>
      </c>
      <c r="Y3759" s="12">
        <v>3496.0634992225282</v>
      </c>
      <c r="Z3759" s="12">
        <v>9.0009054980099279</v>
      </c>
      <c r="AA3759" s="12" t="s">
        <v>1981</v>
      </c>
      <c r="AB3759" s="12"/>
    </row>
    <row r="3760" spans="1:28" x14ac:dyDescent="0.3">
      <c r="A3760" s="12" t="s">
        <v>5687</v>
      </c>
      <c r="B3760" s="12" t="s">
        <v>206</v>
      </c>
      <c r="C3760" s="12" t="s">
        <v>578</v>
      </c>
      <c r="D3760" s="12" t="s">
        <v>5640</v>
      </c>
      <c r="E3760" s="12" t="s">
        <v>2978</v>
      </c>
      <c r="F3760" s="12" t="s">
        <v>32</v>
      </c>
      <c r="G3760" s="12" t="s">
        <v>32</v>
      </c>
      <c r="H3760" s="12" t="b">
        <v>1</v>
      </c>
      <c r="I3760" s="12" t="b">
        <v>0</v>
      </c>
      <c r="J3760" s="12" t="b">
        <v>1</v>
      </c>
      <c r="K3760" s="12" t="b">
        <v>0</v>
      </c>
      <c r="L3760" s="12">
        <v>452.14241183067293</v>
      </c>
      <c r="M3760" s="12">
        <v>282.96768888583091</v>
      </c>
      <c r="N3760" s="12">
        <v>4650.5609292371246</v>
      </c>
      <c r="O3760" s="12">
        <v>1299.840651625487</v>
      </c>
      <c r="P3760" s="12">
        <v>0.5</v>
      </c>
      <c r="Q3760" s="12">
        <v>0.76992695035006986</v>
      </c>
      <c r="R3760" s="12">
        <v>0.57955559941949408</v>
      </c>
      <c r="S3760" s="12">
        <v>0.40951236802729207</v>
      </c>
      <c r="T3760" s="12">
        <v>0.94141360092596515</v>
      </c>
      <c r="U3760" s="12">
        <v>0.56373172300396523</v>
      </c>
      <c r="V3760" s="12">
        <v>282.96768888583091</v>
      </c>
      <c r="W3760" s="12">
        <v>6.4268916018677693</v>
      </c>
      <c r="X3760" s="12">
        <v>17.668866912052451</v>
      </c>
      <c r="Y3760" s="12">
        <v>3350.7202776116378</v>
      </c>
      <c r="Z3760" s="12">
        <v>3.577793111349048</v>
      </c>
      <c r="AA3760" s="12"/>
      <c r="AB3760" s="12"/>
    </row>
    <row r="3761" spans="1:28" x14ac:dyDescent="0.3">
      <c r="A3761" s="12" t="s">
        <v>5688</v>
      </c>
      <c r="B3761" s="12" t="s">
        <v>206</v>
      </c>
      <c r="C3761" s="12" t="s">
        <v>578</v>
      </c>
      <c r="D3761" s="12" t="s">
        <v>5640</v>
      </c>
      <c r="E3761" s="12" t="s">
        <v>2978</v>
      </c>
      <c r="F3761" s="12" t="s">
        <v>1861</v>
      </c>
      <c r="G3761" s="12" t="s">
        <v>1861</v>
      </c>
      <c r="H3761" s="12" t="b">
        <v>1</v>
      </c>
      <c r="I3761" s="12" t="b">
        <v>0</v>
      </c>
      <c r="J3761" s="12" t="b">
        <v>1</v>
      </c>
      <c r="K3761" s="12" t="b">
        <v>0</v>
      </c>
      <c r="L3761" s="12">
        <v>461.85065713755051</v>
      </c>
      <c r="M3761" s="12">
        <v>283.89376422811279</v>
      </c>
      <c r="N3761" s="12">
        <v>4270.1387541048716</v>
      </c>
      <c r="O3761" s="12">
        <v>1878.61083890706</v>
      </c>
      <c r="P3761" s="12">
        <v>0.5</v>
      </c>
      <c r="Q3761" s="12">
        <v>0.81152075980707405</v>
      </c>
      <c r="R3761" s="12">
        <v>0.755170066979165</v>
      </c>
      <c r="S3761" s="12">
        <v>0.72296853050664445</v>
      </c>
      <c r="T3761" s="12">
        <v>0.46380157640839992</v>
      </c>
      <c r="U3761" s="12">
        <v>0.61142479635213132</v>
      </c>
      <c r="V3761" s="12">
        <v>283.89376422811279</v>
      </c>
      <c r="W3761" s="12">
        <v>5.5351149952052214</v>
      </c>
      <c r="X3761" s="12">
        <v>39.424033532652949</v>
      </c>
      <c r="Y3761" s="12">
        <v>2391.527915197812</v>
      </c>
      <c r="Z3761" s="12">
        <v>2.273029978145531</v>
      </c>
      <c r="AA3761" s="12" t="s">
        <v>1268</v>
      </c>
      <c r="AB3761" s="12"/>
    </row>
    <row r="3762" spans="1:28" x14ac:dyDescent="0.3">
      <c r="A3762" s="12" t="s">
        <v>5689</v>
      </c>
      <c r="B3762" s="12" t="s">
        <v>206</v>
      </c>
      <c r="C3762" s="12" t="s">
        <v>578</v>
      </c>
      <c r="D3762" s="12" t="s">
        <v>5640</v>
      </c>
      <c r="E3762" s="12" t="s">
        <v>2978</v>
      </c>
      <c r="F3762" s="12" t="s">
        <v>1863</v>
      </c>
      <c r="G3762" s="12" t="s">
        <v>832</v>
      </c>
      <c r="H3762" s="12" t="b">
        <v>0</v>
      </c>
      <c r="I3762" s="12" t="b">
        <v>0</v>
      </c>
      <c r="J3762" s="12" t="b">
        <v>0</v>
      </c>
      <c r="K3762" s="12" t="b">
        <v>0</v>
      </c>
      <c r="L3762" s="12">
        <v>402.91709817908031</v>
      </c>
      <c r="M3762" s="12">
        <v>292.54088469733739</v>
      </c>
      <c r="N3762" s="12">
        <v>3846.933534288125</v>
      </c>
      <c r="O3762" s="12">
        <v>1495.740809695129</v>
      </c>
      <c r="P3762" s="12">
        <v>0.5</v>
      </c>
      <c r="Q3762" s="12">
        <v>0.51757086806871899</v>
      </c>
      <c r="R3762" s="12">
        <v>0.5353367225982042</v>
      </c>
      <c r="S3762" s="12">
        <v>0.5663044227756876</v>
      </c>
      <c r="T3762" s="12">
        <v>0.40844482889088729</v>
      </c>
      <c r="U3762" s="12">
        <v>0.74559597542501432</v>
      </c>
      <c r="V3762" s="12">
        <v>292.54088469733739</v>
      </c>
      <c r="W3762" s="12">
        <v>-13.59155601310351</v>
      </c>
      <c r="X3762" s="12">
        <v>-27.429630084782371</v>
      </c>
      <c r="Y3762" s="12">
        <v>2351.192724592996</v>
      </c>
      <c r="Z3762" s="12">
        <v>2.5719252355441382</v>
      </c>
      <c r="AA3762" s="12" t="s">
        <v>2018</v>
      </c>
      <c r="AB3762" s="12"/>
    </row>
    <row r="3763" spans="1:28" x14ac:dyDescent="0.3">
      <c r="A3763" s="12" t="s">
        <v>5690</v>
      </c>
      <c r="B3763" s="12" t="s">
        <v>206</v>
      </c>
      <c r="C3763" s="12" t="s">
        <v>578</v>
      </c>
      <c r="D3763" s="12" t="s">
        <v>5640</v>
      </c>
      <c r="E3763" s="12" t="s">
        <v>2978</v>
      </c>
      <c r="F3763" s="12" t="s">
        <v>32</v>
      </c>
      <c r="G3763" s="12" t="s">
        <v>32</v>
      </c>
      <c r="H3763" s="12" t="b">
        <v>1</v>
      </c>
      <c r="I3763" s="12" t="b">
        <v>0</v>
      </c>
      <c r="J3763" s="12" t="b">
        <v>1</v>
      </c>
      <c r="K3763" s="12" t="b">
        <v>0</v>
      </c>
      <c r="L3763" s="12">
        <v>453.70090531192079</v>
      </c>
      <c r="M3763" s="12">
        <v>292.73027954096312</v>
      </c>
      <c r="N3763" s="12">
        <v>4711.9404871432753</v>
      </c>
      <c r="O3763" s="12">
        <v>948.68619878344805</v>
      </c>
      <c r="P3763" s="12">
        <v>0.5</v>
      </c>
      <c r="Q3763" s="12">
        <v>0.72898948915881467</v>
      </c>
      <c r="R3763" s="12">
        <v>0.82944836522623511</v>
      </c>
      <c r="S3763" s="12">
        <v>0.52820576756648552</v>
      </c>
      <c r="T3763" s="12">
        <v>0.8556277045532088</v>
      </c>
      <c r="U3763" s="12">
        <v>0.91721007796207121</v>
      </c>
      <c r="V3763" s="12">
        <v>292.73027954096312</v>
      </c>
      <c r="W3763" s="12">
        <v>7.34205157652318</v>
      </c>
      <c r="X3763" s="12">
        <v>29.568168078551171</v>
      </c>
      <c r="Y3763" s="12">
        <v>3763.2542883598271</v>
      </c>
      <c r="Z3763" s="12">
        <v>4.9668061928018483</v>
      </c>
      <c r="AA3763" s="12"/>
      <c r="AB3763" s="12"/>
    </row>
    <row r="3764" spans="1:28" x14ac:dyDescent="0.3">
      <c r="A3764" s="12" t="s">
        <v>5691</v>
      </c>
      <c r="B3764" s="12" t="s">
        <v>206</v>
      </c>
      <c r="C3764" s="12" t="s">
        <v>578</v>
      </c>
      <c r="D3764" s="12" t="s">
        <v>5640</v>
      </c>
      <c r="E3764" s="12" t="s">
        <v>2978</v>
      </c>
      <c r="F3764" s="12" t="s">
        <v>1861</v>
      </c>
      <c r="G3764" s="12" t="s">
        <v>1861</v>
      </c>
      <c r="H3764" s="12" t="b">
        <v>1</v>
      </c>
      <c r="I3764" s="12" t="b">
        <v>0</v>
      </c>
      <c r="J3764" s="12" t="b">
        <v>1</v>
      </c>
      <c r="K3764" s="12" t="b">
        <v>0</v>
      </c>
      <c r="L3764" s="12">
        <v>460.46978244752933</v>
      </c>
      <c r="M3764" s="12">
        <v>281.91122512243658</v>
      </c>
      <c r="N3764" s="12">
        <v>2036.174090582236</v>
      </c>
      <c r="O3764" s="12">
        <v>1642.9712773824219</v>
      </c>
      <c r="P3764" s="12">
        <v>0.5</v>
      </c>
      <c r="Q3764" s="12">
        <v>0.58079490318927296</v>
      </c>
      <c r="R3764" s="12">
        <v>0.54516547112687774</v>
      </c>
      <c r="S3764" s="12">
        <v>0.58083618162584771</v>
      </c>
      <c r="T3764" s="12">
        <v>0.45798567958063557</v>
      </c>
      <c r="U3764" s="12">
        <v>0.71804592756179719</v>
      </c>
      <c r="V3764" s="12">
        <v>281.91122512243658</v>
      </c>
      <c r="W3764" s="12">
        <v>0.98355907845983004</v>
      </c>
      <c r="X3764" s="12">
        <v>11.00903238657906</v>
      </c>
      <c r="Y3764" s="12">
        <v>393.20281319981427</v>
      </c>
      <c r="Z3764" s="12">
        <v>1.2393242162007021</v>
      </c>
      <c r="AA3764" s="12" t="s">
        <v>1268</v>
      </c>
      <c r="AB3764" s="12"/>
    </row>
    <row r="3765" spans="1:28" x14ac:dyDescent="0.3">
      <c r="A3765" s="12" t="s">
        <v>5692</v>
      </c>
      <c r="B3765" s="12" t="s">
        <v>206</v>
      </c>
      <c r="C3765" s="12" t="s">
        <v>578</v>
      </c>
      <c r="D3765" s="12" t="s">
        <v>5640</v>
      </c>
      <c r="E3765" s="12" t="s">
        <v>2978</v>
      </c>
      <c r="F3765" s="12" t="s">
        <v>1861</v>
      </c>
      <c r="G3765" s="12" t="s">
        <v>1861</v>
      </c>
      <c r="H3765" s="12" t="b">
        <v>1</v>
      </c>
      <c r="I3765" s="12" t="b">
        <v>0</v>
      </c>
      <c r="J3765" s="12" t="b">
        <v>1</v>
      </c>
      <c r="K3765" s="12" t="b">
        <v>0</v>
      </c>
      <c r="L3765" s="12">
        <v>476.54355739405992</v>
      </c>
      <c r="M3765" s="12">
        <v>283.5885615733871</v>
      </c>
      <c r="N3765" s="12">
        <v>4062.8899378947908</v>
      </c>
      <c r="O3765" s="12">
        <v>1349.509401623143</v>
      </c>
      <c r="P3765" s="12">
        <v>0.5</v>
      </c>
      <c r="Q3765" s="12">
        <v>0.76620779929431848</v>
      </c>
      <c r="R3765" s="12">
        <v>0.77193923405619935</v>
      </c>
      <c r="S3765" s="12">
        <v>0.66267387893258445</v>
      </c>
      <c r="T3765" s="12">
        <v>0.86881234613530522</v>
      </c>
      <c r="U3765" s="12">
        <v>0.52631453725067145</v>
      </c>
      <c r="V3765" s="12">
        <v>283.5885615733871</v>
      </c>
      <c r="W3765" s="12">
        <v>5.8418096066266898</v>
      </c>
      <c r="X3765" s="12">
        <v>46.001304763244008</v>
      </c>
      <c r="Y3765" s="12">
        <v>2713.380536271648</v>
      </c>
      <c r="Z3765" s="12">
        <v>3.010642188196754</v>
      </c>
      <c r="AA3765" s="12" t="s">
        <v>1268</v>
      </c>
      <c r="AB3765" s="12"/>
    </row>
    <row r="3766" spans="1:28" x14ac:dyDescent="0.3">
      <c r="A3766" s="12" t="s">
        <v>5693</v>
      </c>
      <c r="B3766" s="12" t="s">
        <v>206</v>
      </c>
      <c r="C3766" s="12" t="s">
        <v>578</v>
      </c>
      <c r="D3766" s="12" t="s">
        <v>5640</v>
      </c>
      <c r="E3766" s="12" t="s">
        <v>2978</v>
      </c>
      <c r="F3766" s="12" t="s">
        <v>1861</v>
      </c>
      <c r="G3766" s="12" t="s">
        <v>1861</v>
      </c>
      <c r="H3766" s="12" t="b">
        <v>1</v>
      </c>
      <c r="I3766" s="12" t="b">
        <v>0</v>
      </c>
      <c r="J3766" s="12" t="b">
        <v>0</v>
      </c>
      <c r="K3766" s="12" t="b">
        <v>0</v>
      </c>
      <c r="L3766" s="12">
        <v>420.4756878004298</v>
      </c>
      <c r="M3766" s="12">
        <v>302.62018886488528</v>
      </c>
      <c r="N3766" s="12">
        <v>3081.2227517996171</v>
      </c>
      <c r="O3766" s="12">
        <v>882.45359696133471</v>
      </c>
      <c r="P3766" s="12">
        <v>0.5</v>
      </c>
      <c r="Q3766" s="12">
        <v>0.92325808644902785</v>
      </c>
      <c r="R3766" s="12">
        <v>0.60706705220791202</v>
      </c>
      <c r="S3766" s="12">
        <v>0.46050283700487138</v>
      </c>
      <c r="T3766" s="12">
        <v>0.56969091328945154</v>
      </c>
      <c r="U3766" s="12">
        <v>0.41064606258070868</v>
      </c>
      <c r="V3766" s="12">
        <v>302.62018886488528</v>
      </c>
      <c r="W3766" s="12">
        <v>2.6814294789804798</v>
      </c>
      <c r="X3766" s="12">
        <v>6.3359953123864656</v>
      </c>
      <c r="Y3766" s="12">
        <v>2198.7691548382818</v>
      </c>
      <c r="Z3766" s="12">
        <v>3.491654136160343</v>
      </c>
      <c r="AA3766" s="12" t="s">
        <v>1268</v>
      </c>
      <c r="AB3766" s="12"/>
    </row>
    <row r="3767" spans="1:28" x14ac:dyDescent="0.3">
      <c r="A3767" s="12" t="s">
        <v>5694</v>
      </c>
      <c r="B3767" s="12" t="s">
        <v>206</v>
      </c>
      <c r="C3767" s="12" t="s">
        <v>578</v>
      </c>
      <c r="D3767" s="12" t="s">
        <v>5640</v>
      </c>
      <c r="E3767" s="12" t="s">
        <v>2978</v>
      </c>
      <c r="F3767" s="12" t="s">
        <v>1861</v>
      </c>
      <c r="G3767" s="12" t="s">
        <v>1861</v>
      </c>
      <c r="H3767" s="12" t="b">
        <v>1</v>
      </c>
      <c r="I3767" s="12" t="b">
        <v>0</v>
      </c>
      <c r="J3767" s="12" t="b">
        <v>0</v>
      </c>
      <c r="K3767" s="12" t="b">
        <v>0</v>
      </c>
      <c r="L3767" s="12">
        <v>436.44741904509237</v>
      </c>
      <c r="M3767" s="12">
        <v>280.91099609812761</v>
      </c>
      <c r="N3767" s="12">
        <v>2440.7725909530259</v>
      </c>
      <c r="O3767" s="12">
        <v>1139.3686354659981</v>
      </c>
      <c r="P3767" s="12">
        <v>0.5</v>
      </c>
      <c r="Q3767" s="12">
        <v>0.59352486284093475</v>
      </c>
      <c r="R3767" s="12">
        <v>0.46372040091701278</v>
      </c>
      <c r="S3767" s="12">
        <v>0.40159855355889212</v>
      </c>
      <c r="T3767" s="12">
        <v>0.46953714376402811</v>
      </c>
      <c r="U3767" s="12">
        <v>0.5841395773377952</v>
      </c>
      <c r="V3767" s="12">
        <v>280.91099609812761</v>
      </c>
      <c r="W3767" s="12">
        <v>2.8885458031898099</v>
      </c>
      <c r="X3767" s="12">
        <v>12.48963296730459</v>
      </c>
      <c r="Y3767" s="12">
        <v>1301.403955487028</v>
      </c>
      <c r="Z3767" s="12">
        <v>2.1422150083627312</v>
      </c>
      <c r="AA3767" s="12" t="s">
        <v>1268</v>
      </c>
      <c r="AB3767" s="12"/>
    </row>
    <row r="3768" spans="1:28" x14ac:dyDescent="0.3">
      <c r="A3768" s="12" t="s">
        <v>5695</v>
      </c>
      <c r="B3768" s="12" t="s">
        <v>206</v>
      </c>
      <c r="C3768" s="12" t="s">
        <v>578</v>
      </c>
      <c r="D3768" s="12" t="s">
        <v>5640</v>
      </c>
      <c r="E3768" s="12" t="s">
        <v>2978</v>
      </c>
      <c r="F3768" s="12" t="s">
        <v>832</v>
      </c>
      <c r="G3768" s="12" t="s">
        <v>832</v>
      </c>
      <c r="H3768" s="12" t="b">
        <v>0</v>
      </c>
      <c r="I3768" s="12" t="b">
        <v>0</v>
      </c>
      <c r="J3768" s="12" t="b">
        <v>0</v>
      </c>
      <c r="K3768" s="12" t="b">
        <v>0</v>
      </c>
      <c r="L3768" s="12">
        <v>407.29176015038291</v>
      </c>
      <c r="M3768" s="12">
        <v>285.90462670366168</v>
      </c>
      <c r="N3768" s="12">
        <v>4295.1920371096294</v>
      </c>
      <c r="O3768" s="12">
        <v>1704.947611062481</v>
      </c>
      <c r="P3768" s="12">
        <v>0.5</v>
      </c>
      <c r="Q3768" s="12">
        <v>0.58280099280307873</v>
      </c>
      <c r="R3768" s="12">
        <v>0.7499965639462689</v>
      </c>
      <c r="S3768" s="12">
        <v>0.45781438160610971</v>
      </c>
      <c r="T3768" s="12">
        <v>0.53117273372384344</v>
      </c>
      <c r="U3768" s="12">
        <v>0.59856173021865866</v>
      </c>
      <c r="V3768" s="12">
        <v>285.90462670366168</v>
      </c>
      <c r="W3768" s="12"/>
      <c r="X3768" s="12"/>
      <c r="Y3768" s="12">
        <v>2590.244426047148</v>
      </c>
      <c r="Z3768" s="12">
        <v>2.5192516234753821</v>
      </c>
      <c r="AA3768" s="12"/>
      <c r="AB3768" s="12"/>
    </row>
    <row r="3769" spans="1:28" x14ac:dyDescent="0.3">
      <c r="A3769" s="12" t="s">
        <v>5696</v>
      </c>
      <c r="B3769" s="12" t="s">
        <v>206</v>
      </c>
      <c r="C3769" s="12" t="s">
        <v>578</v>
      </c>
      <c r="D3769" s="12" t="s">
        <v>5640</v>
      </c>
      <c r="E3769" s="12" t="s">
        <v>2978</v>
      </c>
      <c r="F3769" s="12" t="s">
        <v>1862</v>
      </c>
      <c r="G3769" s="12" t="s">
        <v>1862</v>
      </c>
      <c r="H3769" s="12" t="b">
        <v>1</v>
      </c>
      <c r="I3769" s="12" t="b">
        <v>0</v>
      </c>
      <c r="J3769" s="12" t="b">
        <v>0</v>
      </c>
      <c r="K3769" s="12" t="b">
        <v>0</v>
      </c>
      <c r="L3769" s="12">
        <v>441.679104817628</v>
      </c>
      <c r="M3769" s="12">
        <v>281.56301168859102</v>
      </c>
      <c r="N3769" s="12">
        <v>4941.4000355220523</v>
      </c>
      <c r="O3769" s="12">
        <v>1467.3776646495039</v>
      </c>
      <c r="P3769" s="12">
        <v>0.5</v>
      </c>
      <c r="Q3769" s="12">
        <v>0.55166112267780965</v>
      </c>
      <c r="R3769" s="12">
        <v>0.56785446959720665</v>
      </c>
      <c r="S3769" s="12">
        <v>0.45087332295027838</v>
      </c>
      <c r="T3769" s="12">
        <v>0.57783865500809117</v>
      </c>
      <c r="U3769" s="12">
        <v>0.62487049329560351</v>
      </c>
      <c r="V3769" s="12">
        <v>281.56301168859102</v>
      </c>
      <c r="W3769" s="12">
        <v>-0.83995459595145006</v>
      </c>
      <c r="X3769" s="12">
        <v>-2.3300415650600779</v>
      </c>
      <c r="Y3769" s="12">
        <v>3474.022370872548</v>
      </c>
      <c r="Z3769" s="12">
        <v>3.367503918428763</v>
      </c>
      <c r="AA3769" s="12" t="s">
        <v>1696</v>
      </c>
      <c r="AB3769" s="12"/>
    </row>
    <row r="3770" spans="1:28" x14ac:dyDescent="0.3">
      <c r="A3770" s="12" t="s">
        <v>5697</v>
      </c>
      <c r="B3770" s="12" t="s">
        <v>206</v>
      </c>
      <c r="C3770" s="12" t="s">
        <v>578</v>
      </c>
      <c r="D3770" s="12" t="s">
        <v>5640</v>
      </c>
      <c r="E3770" s="12" t="s">
        <v>2978</v>
      </c>
      <c r="F3770" s="12" t="s">
        <v>32</v>
      </c>
      <c r="G3770" s="12" t="s">
        <v>32</v>
      </c>
      <c r="H3770" s="12" t="b">
        <v>1</v>
      </c>
      <c r="I3770" s="12" t="b">
        <v>1</v>
      </c>
      <c r="J3770" s="12" t="b">
        <v>0</v>
      </c>
      <c r="K3770" s="12" t="b">
        <v>0</v>
      </c>
      <c r="L3770" s="12">
        <v>450.2254764114461</v>
      </c>
      <c r="M3770" s="12">
        <v>295.45037848493092</v>
      </c>
      <c r="N3770" s="12">
        <v>3048.1817929878921</v>
      </c>
      <c r="O3770" s="12">
        <v>669.84509420540689</v>
      </c>
      <c r="P3770" s="12">
        <v>0.5</v>
      </c>
      <c r="Q3770" s="12">
        <v>0.69284905276391995</v>
      </c>
      <c r="R3770" s="12">
        <v>0.55117680195724206</v>
      </c>
      <c r="S3770" s="12">
        <v>0.50147362484794611</v>
      </c>
      <c r="T3770" s="12">
        <v>0.82489404871933836</v>
      </c>
      <c r="U3770" s="12">
        <v>0.93675427958891921</v>
      </c>
      <c r="V3770" s="12">
        <v>295.45037848493092</v>
      </c>
      <c r="W3770" s="12">
        <v>7.5721487025382297</v>
      </c>
      <c r="X3770" s="12">
        <v>44.312008543975281</v>
      </c>
      <c r="Y3770" s="12">
        <v>2378.3366987824852</v>
      </c>
      <c r="Z3770" s="12">
        <v>4.5505771697913966</v>
      </c>
      <c r="AA3770" s="12"/>
      <c r="AB3770" s="12"/>
    </row>
    <row r="3771" spans="1:28" x14ac:dyDescent="0.3">
      <c r="A3771" s="12" t="s">
        <v>5698</v>
      </c>
      <c r="B3771" s="12" t="s">
        <v>206</v>
      </c>
      <c r="C3771" s="12" t="s">
        <v>578</v>
      </c>
      <c r="D3771" s="12" t="s">
        <v>5640</v>
      </c>
      <c r="E3771" s="12" t="s">
        <v>2978</v>
      </c>
      <c r="F3771" s="12" t="s">
        <v>1861</v>
      </c>
      <c r="G3771" s="12" t="s">
        <v>1861</v>
      </c>
      <c r="H3771" s="12" t="b">
        <v>1</v>
      </c>
      <c r="I3771" s="12" t="b">
        <v>0</v>
      </c>
      <c r="J3771" s="12" t="b">
        <v>1</v>
      </c>
      <c r="K3771" s="12" t="b">
        <v>0</v>
      </c>
      <c r="L3771" s="12">
        <v>447.31361261153648</v>
      </c>
      <c r="M3771" s="12">
        <v>291.72886223641228</v>
      </c>
      <c r="N3771" s="12">
        <v>4606.8618854947163</v>
      </c>
      <c r="O3771" s="12">
        <v>589.54497930537445</v>
      </c>
      <c r="P3771" s="12">
        <v>0.5</v>
      </c>
      <c r="Q3771" s="12">
        <v>0.63478634638112452</v>
      </c>
      <c r="R3771" s="12">
        <v>0.73936933298415564</v>
      </c>
      <c r="S3771" s="12">
        <v>0.74776619505282305</v>
      </c>
      <c r="T3771" s="12">
        <v>0.45317229878708287</v>
      </c>
      <c r="U3771" s="12">
        <v>0.81714159212852422</v>
      </c>
      <c r="V3771" s="12">
        <v>291.72886223641228</v>
      </c>
      <c r="W3771" s="12">
        <v>6.4686744466669808</v>
      </c>
      <c r="X3771" s="12">
        <v>39.800359927222992</v>
      </c>
      <c r="Y3771" s="12">
        <v>4017.3169061893418</v>
      </c>
      <c r="Z3771" s="12">
        <v>7.8142670147453481</v>
      </c>
      <c r="AA3771" s="12" t="s">
        <v>1268</v>
      </c>
      <c r="AB3771" s="12"/>
    </row>
    <row r="3772" spans="1:28" x14ac:dyDescent="0.3">
      <c r="A3772" s="12" t="s">
        <v>5699</v>
      </c>
      <c r="B3772" s="12" t="s">
        <v>206</v>
      </c>
      <c r="C3772" s="12" t="s">
        <v>578</v>
      </c>
      <c r="D3772" s="12" t="s">
        <v>5640</v>
      </c>
      <c r="E3772" s="12" t="s">
        <v>2978</v>
      </c>
      <c r="F3772" s="12" t="s">
        <v>1861</v>
      </c>
      <c r="G3772" s="12" t="s">
        <v>1861</v>
      </c>
      <c r="H3772" s="12" t="b">
        <v>1</v>
      </c>
      <c r="I3772" s="12" t="b">
        <v>0</v>
      </c>
      <c r="J3772" s="12" t="b">
        <v>1</v>
      </c>
      <c r="K3772" s="12" t="b">
        <v>0</v>
      </c>
      <c r="L3772" s="12">
        <v>444.66240227842877</v>
      </c>
      <c r="M3772" s="12">
        <v>295.02289845426918</v>
      </c>
      <c r="N3772" s="12">
        <v>2155.9627402589299</v>
      </c>
      <c r="O3772" s="12">
        <v>1400.432978374904</v>
      </c>
      <c r="P3772" s="12">
        <v>0.5</v>
      </c>
      <c r="Q3772" s="12">
        <v>0.7091986079399315</v>
      </c>
      <c r="R3772" s="12">
        <v>0.4749067859576524</v>
      </c>
      <c r="S3772" s="12">
        <v>0.81782631454139532</v>
      </c>
      <c r="T3772" s="12">
        <v>0.76520879956226162</v>
      </c>
      <c r="U3772" s="12">
        <v>0.57469007282767925</v>
      </c>
      <c r="V3772" s="12">
        <v>295.02289845426918</v>
      </c>
      <c r="W3772" s="12">
        <v>0.61647426532569993</v>
      </c>
      <c r="X3772" s="12">
        <v>5.2764443364079554</v>
      </c>
      <c r="Y3772" s="12">
        <v>755.52976188402681</v>
      </c>
      <c r="Z3772" s="12">
        <v>1.5394972651677781</v>
      </c>
      <c r="AA3772" s="12" t="s">
        <v>1268</v>
      </c>
      <c r="AB3772" s="12"/>
    </row>
    <row r="3773" spans="1:28" x14ac:dyDescent="0.3">
      <c r="A3773" s="12" t="s">
        <v>5700</v>
      </c>
      <c r="B3773" s="12" t="s">
        <v>206</v>
      </c>
      <c r="C3773" s="12" t="s">
        <v>578</v>
      </c>
      <c r="D3773" s="12" t="s">
        <v>5640</v>
      </c>
      <c r="E3773" s="12" t="s">
        <v>2978</v>
      </c>
      <c r="F3773" s="12" t="s">
        <v>1861</v>
      </c>
      <c r="G3773" s="12" t="s">
        <v>1861</v>
      </c>
      <c r="H3773" s="12" t="b">
        <v>1</v>
      </c>
      <c r="I3773" s="12" t="b">
        <v>0</v>
      </c>
      <c r="J3773" s="12" t="b">
        <v>1</v>
      </c>
      <c r="K3773" s="12" t="b">
        <v>0</v>
      </c>
      <c r="L3773" s="12">
        <v>456.6612947879313</v>
      </c>
      <c r="M3773" s="12">
        <v>282.13913411704431</v>
      </c>
      <c r="N3773" s="12">
        <v>3294.0065627405861</v>
      </c>
      <c r="O3773" s="12">
        <v>1001.571043316357</v>
      </c>
      <c r="P3773" s="12">
        <v>0.5</v>
      </c>
      <c r="Q3773" s="12">
        <v>0.90138407735295378</v>
      </c>
      <c r="R3773" s="12">
        <v>0.50392313243310849</v>
      </c>
      <c r="S3773" s="12">
        <v>0.44028194485600841</v>
      </c>
      <c r="T3773" s="12">
        <v>0.94479754544488725</v>
      </c>
      <c r="U3773" s="12">
        <v>0.54591173524896686</v>
      </c>
      <c r="V3773" s="12">
        <v>282.13913411704431</v>
      </c>
      <c r="W3773" s="12">
        <v>9.03326455835834</v>
      </c>
      <c r="X3773" s="12">
        <v>43.417056318688523</v>
      </c>
      <c r="Y3773" s="12">
        <v>2292.4355194242289</v>
      </c>
      <c r="Z3773" s="12">
        <v>3.2888396531848811</v>
      </c>
      <c r="AA3773" s="12" t="s">
        <v>1268</v>
      </c>
      <c r="AB3773" s="12"/>
    </row>
    <row r="3774" spans="1:28" x14ac:dyDescent="0.3">
      <c r="A3774" s="12" t="s">
        <v>5701</v>
      </c>
      <c r="B3774" s="12" t="s">
        <v>206</v>
      </c>
      <c r="C3774" s="12" t="s">
        <v>578</v>
      </c>
      <c r="D3774" s="12" t="s">
        <v>5640</v>
      </c>
      <c r="E3774" s="12" t="s">
        <v>2978</v>
      </c>
      <c r="F3774" s="12" t="s">
        <v>1862</v>
      </c>
      <c r="G3774" s="12" t="s">
        <v>1862</v>
      </c>
      <c r="H3774" s="12" t="b">
        <v>1</v>
      </c>
      <c r="I3774" s="12" t="b">
        <v>0</v>
      </c>
      <c r="J3774" s="12" t="b">
        <v>1</v>
      </c>
      <c r="K3774" s="12" t="b">
        <v>0</v>
      </c>
      <c r="L3774" s="12">
        <v>439.58742436978139</v>
      </c>
      <c r="M3774" s="12">
        <v>290.67532690088899</v>
      </c>
      <c r="N3774" s="12">
        <v>3219.1572302988752</v>
      </c>
      <c r="O3774" s="12">
        <v>316.78371652299069</v>
      </c>
      <c r="P3774" s="12">
        <v>0.5</v>
      </c>
      <c r="Q3774" s="12">
        <v>0.43401000769520898</v>
      </c>
      <c r="R3774" s="12">
        <v>0.47790622940486088</v>
      </c>
      <c r="S3774" s="12">
        <v>0.89330232914175456</v>
      </c>
      <c r="T3774" s="12">
        <v>0.73581166340129855</v>
      </c>
      <c r="U3774" s="12">
        <v>0.46282548179310601</v>
      </c>
      <c r="V3774" s="12">
        <v>290.67532690088899</v>
      </c>
      <c r="W3774" s="12">
        <v>-27.70751770781532</v>
      </c>
      <c r="X3774" s="12">
        <v>-110.1024073628801</v>
      </c>
      <c r="Y3774" s="12">
        <v>2902.373513775884</v>
      </c>
      <c r="Z3774" s="12">
        <v>10.1620034818464</v>
      </c>
      <c r="AA3774" s="12" t="s">
        <v>2513</v>
      </c>
      <c r="AB3774" s="12"/>
    </row>
    <row r="3775" spans="1:28" x14ac:dyDescent="0.3">
      <c r="A3775" s="12" t="s">
        <v>5702</v>
      </c>
      <c r="B3775" s="12" t="s">
        <v>206</v>
      </c>
      <c r="C3775" s="12" t="s">
        <v>578</v>
      </c>
      <c r="D3775" s="12" t="s">
        <v>5640</v>
      </c>
      <c r="E3775" s="12" t="s">
        <v>2978</v>
      </c>
      <c r="F3775" s="12" t="s">
        <v>1861</v>
      </c>
      <c r="G3775" s="12" t="s">
        <v>1861</v>
      </c>
      <c r="H3775" s="12" t="b">
        <v>1</v>
      </c>
      <c r="I3775" s="12" t="b">
        <v>0</v>
      </c>
      <c r="J3775" s="12" t="b">
        <v>1</v>
      </c>
      <c r="K3775" s="12" t="b">
        <v>0</v>
      </c>
      <c r="L3775" s="12">
        <v>513.80931473566284</v>
      </c>
      <c r="M3775" s="12">
        <v>297.77322343821868</v>
      </c>
      <c r="N3775" s="12">
        <v>4750.0274273257546</v>
      </c>
      <c r="O3775" s="12">
        <v>1040.17912341992</v>
      </c>
      <c r="P3775" s="12">
        <v>0.5</v>
      </c>
      <c r="Q3775" s="12">
        <v>0.47333198972221041</v>
      </c>
      <c r="R3775" s="12">
        <v>0.6094658746709285</v>
      </c>
      <c r="S3775" s="12">
        <v>0.90785535314083599</v>
      </c>
      <c r="T3775" s="12">
        <v>0.67935065461478228</v>
      </c>
      <c r="U3775" s="12">
        <v>0.84950775814549639</v>
      </c>
      <c r="V3775" s="12">
        <v>297.77322343821868</v>
      </c>
      <c r="W3775" s="12">
        <v>5.7276304770567101</v>
      </c>
      <c r="X3775" s="12">
        <v>106.7612584937858</v>
      </c>
      <c r="Y3775" s="12">
        <v>3709.8483039058351</v>
      </c>
      <c r="Z3775" s="12">
        <v>4.5665475497225234</v>
      </c>
      <c r="AA3775" s="12" t="s">
        <v>1268</v>
      </c>
      <c r="AB3775" s="12"/>
    </row>
    <row r="3776" spans="1:28" x14ac:dyDescent="0.3">
      <c r="A3776" s="12" t="s">
        <v>5703</v>
      </c>
      <c r="B3776" s="12" t="s">
        <v>206</v>
      </c>
      <c r="C3776" s="12" t="s">
        <v>578</v>
      </c>
      <c r="D3776" s="12" t="s">
        <v>5640</v>
      </c>
      <c r="E3776" s="12" t="s">
        <v>2978</v>
      </c>
      <c r="F3776" s="12" t="s">
        <v>32</v>
      </c>
      <c r="G3776" s="12" t="s">
        <v>32</v>
      </c>
      <c r="H3776" s="12" t="b">
        <v>1</v>
      </c>
      <c r="I3776" s="12" t="b">
        <v>1</v>
      </c>
      <c r="J3776" s="12" t="b">
        <v>0</v>
      </c>
      <c r="K3776" s="12" t="b">
        <v>0</v>
      </c>
      <c r="L3776" s="12">
        <v>408.15204605433757</v>
      </c>
      <c r="M3776" s="12">
        <v>290.9049964622825</v>
      </c>
      <c r="N3776" s="12">
        <v>2774.296346033062</v>
      </c>
      <c r="O3776" s="12">
        <v>982.78788768999846</v>
      </c>
      <c r="P3776" s="12">
        <v>0.5</v>
      </c>
      <c r="Q3776" s="12">
        <v>0.57061941551324258</v>
      </c>
      <c r="R3776" s="12">
        <v>0.43541405882458389</v>
      </c>
      <c r="S3776" s="12">
        <v>0.61252693853397333</v>
      </c>
      <c r="T3776" s="12">
        <v>0.53796581584993053</v>
      </c>
      <c r="U3776" s="12">
        <v>0.79365821009313198</v>
      </c>
      <c r="V3776" s="12">
        <v>290.9049964622825</v>
      </c>
      <c r="W3776" s="12">
        <v>1.7379099482447</v>
      </c>
      <c r="X3776" s="12">
        <v>6.104880694949447</v>
      </c>
      <c r="Y3776" s="12">
        <v>1791.5084583430639</v>
      </c>
      <c r="Z3776" s="12">
        <v>2.822884144974485</v>
      </c>
      <c r="AA3776" s="12"/>
      <c r="AB3776" s="12"/>
    </row>
    <row r="3777" spans="1:28" x14ac:dyDescent="0.3">
      <c r="A3777" s="12" t="s">
        <v>5704</v>
      </c>
      <c r="B3777" s="12" t="s">
        <v>206</v>
      </c>
      <c r="C3777" s="12" t="s">
        <v>578</v>
      </c>
      <c r="D3777" s="12" t="s">
        <v>5640</v>
      </c>
      <c r="E3777" s="12" t="s">
        <v>2978</v>
      </c>
      <c r="F3777" s="12" t="s">
        <v>1861</v>
      </c>
      <c r="G3777" s="12" t="s">
        <v>1861</v>
      </c>
      <c r="H3777" s="12" t="b">
        <v>1</v>
      </c>
      <c r="I3777" s="12" t="b">
        <v>0</v>
      </c>
      <c r="J3777" s="12" t="b">
        <v>1</v>
      </c>
      <c r="K3777" s="12" t="b">
        <v>0</v>
      </c>
      <c r="L3777" s="12">
        <v>435.852217826924</v>
      </c>
      <c r="M3777" s="12">
        <v>303.12988142275088</v>
      </c>
      <c r="N3777" s="12">
        <v>2913.3647419325139</v>
      </c>
      <c r="O3777" s="12">
        <v>1616.9728744329959</v>
      </c>
      <c r="P3777" s="12">
        <v>0.5</v>
      </c>
      <c r="Q3777" s="12">
        <v>0.70189383714287246</v>
      </c>
      <c r="R3777" s="12">
        <v>0.85758446782870656</v>
      </c>
      <c r="S3777" s="12">
        <v>0.94407665279511122</v>
      </c>
      <c r="T3777" s="12">
        <v>0.5920281131077435</v>
      </c>
      <c r="U3777" s="12">
        <v>0.4477759223268083</v>
      </c>
      <c r="V3777" s="12">
        <v>303.12988142275088</v>
      </c>
      <c r="W3777" s="12">
        <v>2.0730254779967399</v>
      </c>
      <c r="X3777" s="12">
        <v>10.40709454624913</v>
      </c>
      <c r="Y3777" s="12">
        <v>1296.3918674995191</v>
      </c>
      <c r="Z3777" s="12">
        <v>1.801740021739145</v>
      </c>
      <c r="AA3777" s="12" t="s">
        <v>1268</v>
      </c>
      <c r="AB3777" s="12"/>
    </row>
    <row r="3778" spans="1:28" x14ac:dyDescent="0.3">
      <c r="A3778" s="12" t="s">
        <v>5705</v>
      </c>
      <c r="B3778" s="12" t="s">
        <v>206</v>
      </c>
      <c r="C3778" s="12" t="s">
        <v>578</v>
      </c>
      <c r="D3778" s="12" t="s">
        <v>5640</v>
      </c>
      <c r="E3778" s="12" t="s">
        <v>2978</v>
      </c>
      <c r="F3778" s="12" t="s">
        <v>1861</v>
      </c>
      <c r="G3778" s="12" t="s">
        <v>1861</v>
      </c>
      <c r="H3778" s="12" t="b">
        <v>1</v>
      </c>
      <c r="I3778" s="12" t="b">
        <v>0</v>
      </c>
      <c r="J3778" s="12" t="b">
        <v>1</v>
      </c>
      <c r="K3778" s="12" t="b">
        <v>0</v>
      </c>
      <c r="L3778" s="12">
        <v>506.73381439160812</v>
      </c>
      <c r="M3778" s="12">
        <v>297.59695946731159</v>
      </c>
      <c r="N3778" s="12">
        <v>2402.6072451870268</v>
      </c>
      <c r="O3778" s="12">
        <v>490.73794529130032</v>
      </c>
      <c r="P3778" s="12">
        <v>0.5</v>
      </c>
      <c r="Q3778" s="12">
        <v>0.42913534350788612</v>
      </c>
      <c r="R3778" s="12">
        <v>0.54141090381843471</v>
      </c>
      <c r="S3778" s="12">
        <v>0.76459239964021053</v>
      </c>
      <c r="T3778" s="12">
        <v>0.78503001517512616</v>
      </c>
      <c r="U3778" s="12">
        <v>0.8029851744206542</v>
      </c>
      <c r="V3778" s="12">
        <v>297.59695946731159</v>
      </c>
      <c r="W3778" s="12">
        <v>3.3037849520228701</v>
      </c>
      <c r="X3778" s="12">
        <v>50.516640974339737</v>
      </c>
      <c r="Y3778" s="12">
        <v>1911.869299895726</v>
      </c>
      <c r="Z3778" s="12">
        <v>4.8959068037032427</v>
      </c>
      <c r="AA3778" s="12" t="s">
        <v>1268</v>
      </c>
      <c r="AB3778" s="12"/>
    </row>
    <row r="3779" spans="1:28" x14ac:dyDescent="0.3">
      <c r="A3779" s="12" t="s">
        <v>5706</v>
      </c>
      <c r="B3779" s="12" t="s">
        <v>206</v>
      </c>
      <c r="C3779" s="12" t="s">
        <v>578</v>
      </c>
      <c r="D3779" s="12" t="s">
        <v>5640</v>
      </c>
      <c r="E3779" s="12" t="s">
        <v>2978</v>
      </c>
      <c r="F3779" s="12" t="s">
        <v>1861</v>
      </c>
      <c r="G3779" s="12" t="s">
        <v>1861</v>
      </c>
      <c r="H3779" s="12" t="b">
        <v>1</v>
      </c>
      <c r="I3779" s="12" t="b">
        <v>0</v>
      </c>
      <c r="J3779" s="12" t="b">
        <v>1</v>
      </c>
      <c r="K3779" s="12" t="b">
        <v>0</v>
      </c>
      <c r="L3779" s="12">
        <v>454.50663100579533</v>
      </c>
      <c r="M3779" s="12">
        <v>287.9132549718845</v>
      </c>
      <c r="N3779" s="12">
        <v>3331.1390152662971</v>
      </c>
      <c r="O3779" s="12">
        <v>1606.5812484323169</v>
      </c>
      <c r="P3779" s="12">
        <v>0.5</v>
      </c>
      <c r="Q3779" s="12">
        <v>0.839552210545226</v>
      </c>
      <c r="R3779" s="12">
        <v>0.52437547746033086</v>
      </c>
      <c r="S3779" s="12">
        <v>0.48804686203705328</v>
      </c>
      <c r="T3779" s="12">
        <v>0.84442088581103136</v>
      </c>
      <c r="U3779" s="12">
        <v>0.4155295767194172</v>
      </c>
      <c r="V3779" s="12">
        <v>287.9132549718845</v>
      </c>
      <c r="W3779" s="12">
        <v>1.93598009465374</v>
      </c>
      <c r="X3779" s="12">
        <v>8.2236811177276152</v>
      </c>
      <c r="Y3779" s="12">
        <v>1724.5577668339799</v>
      </c>
      <c r="Z3779" s="12">
        <v>2.0734332723706208</v>
      </c>
      <c r="AA3779" s="12" t="s">
        <v>1268</v>
      </c>
      <c r="AB3779" s="12"/>
    </row>
    <row r="3780" spans="1:28" x14ac:dyDescent="0.3">
      <c r="A3780" s="12" t="s">
        <v>5707</v>
      </c>
      <c r="B3780" s="12" t="s">
        <v>206</v>
      </c>
      <c r="C3780" s="12" t="s">
        <v>578</v>
      </c>
      <c r="D3780" s="12" t="s">
        <v>5640</v>
      </c>
      <c r="E3780" s="12" t="s">
        <v>2978</v>
      </c>
      <c r="F3780" s="12" t="s">
        <v>32</v>
      </c>
      <c r="G3780" s="12" t="s">
        <v>32</v>
      </c>
      <c r="H3780" s="12" t="b">
        <v>1</v>
      </c>
      <c r="I3780" s="12" t="b">
        <v>1</v>
      </c>
      <c r="J3780" s="12" t="b">
        <v>0</v>
      </c>
      <c r="K3780" s="12" t="b">
        <v>0</v>
      </c>
      <c r="L3780" s="12">
        <v>410.30779895185378</v>
      </c>
      <c r="M3780" s="12">
        <v>300.80608590276279</v>
      </c>
      <c r="N3780" s="12">
        <v>3643.202070305616</v>
      </c>
      <c r="O3780" s="12">
        <v>1264.8305205265319</v>
      </c>
      <c r="P3780" s="12">
        <v>0.5</v>
      </c>
      <c r="Q3780" s="12">
        <v>0.47025638350432059</v>
      </c>
      <c r="R3780" s="12">
        <v>0.53143431581933054</v>
      </c>
      <c r="S3780" s="12">
        <v>0.65551057982555272</v>
      </c>
      <c r="T3780" s="12">
        <v>0.87493393905176076</v>
      </c>
      <c r="U3780" s="12">
        <v>0.74713813336692891</v>
      </c>
      <c r="V3780" s="12">
        <v>300.80608590276279</v>
      </c>
      <c r="W3780" s="12">
        <v>0.51604167193793005</v>
      </c>
      <c r="X3780" s="12">
        <v>0.92662650101141519</v>
      </c>
      <c r="Y3780" s="12">
        <v>2378.371549779084</v>
      </c>
      <c r="Z3780" s="12">
        <v>2.8803875390269682</v>
      </c>
      <c r="AA3780" s="12"/>
      <c r="AB3780" s="12"/>
    </row>
    <row r="3781" spans="1:28" x14ac:dyDescent="0.3">
      <c r="A3781" s="12" t="s">
        <v>5708</v>
      </c>
      <c r="B3781" s="12" t="s">
        <v>206</v>
      </c>
      <c r="C3781" s="12" t="s">
        <v>578</v>
      </c>
      <c r="D3781" s="12" t="s">
        <v>5640</v>
      </c>
      <c r="E3781" s="12" t="s">
        <v>2978</v>
      </c>
      <c r="F3781" s="12" t="s">
        <v>1861</v>
      </c>
      <c r="G3781" s="12" t="s">
        <v>1861</v>
      </c>
      <c r="H3781" s="12" t="b">
        <v>1</v>
      </c>
      <c r="I3781" s="12" t="b">
        <v>0</v>
      </c>
      <c r="J3781" s="12" t="b">
        <v>0</v>
      </c>
      <c r="K3781" s="12" t="b">
        <v>0</v>
      </c>
      <c r="L3781" s="12">
        <v>425.55380620175799</v>
      </c>
      <c r="M3781" s="12">
        <v>296.82602115946611</v>
      </c>
      <c r="N3781" s="12">
        <v>4546.8668987702749</v>
      </c>
      <c r="O3781" s="12">
        <v>534.73172028150464</v>
      </c>
      <c r="P3781" s="12">
        <v>0.5</v>
      </c>
      <c r="Q3781" s="12">
        <v>0.91038776247221642</v>
      </c>
      <c r="R3781" s="12">
        <v>0.84158017698501619</v>
      </c>
      <c r="S3781" s="12">
        <v>0.7847359901810016</v>
      </c>
      <c r="T3781" s="12">
        <v>0.49380510653647158</v>
      </c>
      <c r="U3781" s="12">
        <v>0.68340371190839178</v>
      </c>
      <c r="V3781" s="12">
        <v>296.82602115946611</v>
      </c>
      <c r="W3781" s="12">
        <v>6.1347582145998798</v>
      </c>
      <c r="X3781" s="12">
        <v>21.579064254679281</v>
      </c>
      <c r="Y3781" s="12">
        <v>4012.1351784887702</v>
      </c>
      <c r="Z3781" s="12">
        <v>8.503080566039019</v>
      </c>
      <c r="AA3781" s="12" t="s">
        <v>1268</v>
      </c>
      <c r="AB3781" s="12"/>
    </row>
    <row r="3782" spans="1:28" x14ac:dyDescent="0.3">
      <c r="A3782" s="12" t="s">
        <v>5709</v>
      </c>
      <c r="B3782" s="12" t="s">
        <v>206</v>
      </c>
      <c r="C3782" s="12" t="s">
        <v>578</v>
      </c>
      <c r="D3782" s="12" t="s">
        <v>5640</v>
      </c>
      <c r="E3782" s="12" t="s">
        <v>2978</v>
      </c>
      <c r="F3782" s="12" t="s">
        <v>832</v>
      </c>
      <c r="G3782" s="12" t="s">
        <v>832</v>
      </c>
      <c r="H3782" s="12" t="b">
        <v>0</v>
      </c>
      <c r="I3782" s="12" t="b">
        <v>0</v>
      </c>
      <c r="J3782" s="12" t="b">
        <v>0</v>
      </c>
      <c r="K3782" s="12" t="b">
        <v>0</v>
      </c>
      <c r="L3782" s="12">
        <v>385.87922300777512</v>
      </c>
      <c r="M3782" s="12">
        <v>295.70921153010852</v>
      </c>
      <c r="N3782" s="12">
        <v>4780.3262829173964</v>
      </c>
      <c r="O3782" s="12">
        <v>1118.445742127429</v>
      </c>
      <c r="P3782" s="12">
        <v>0.5</v>
      </c>
      <c r="Q3782" s="12">
        <v>0.82192975541620394</v>
      </c>
      <c r="R3782" s="12">
        <v>0.65645714816301881</v>
      </c>
      <c r="S3782" s="12">
        <v>0.55485542734570892</v>
      </c>
      <c r="T3782" s="12">
        <v>0.62379835648658954</v>
      </c>
      <c r="U3782" s="12">
        <v>0.8445032514777433</v>
      </c>
      <c r="V3782" s="12">
        <v>295.70921153010852</v>
      </c>
      <c r="W3782" s="12"/>
      <c r="X3782" s="12"/>
      <c r="Y3782" s="12">
        <v>3661.8805407899681</v>
      </c>
      <c r="Z3782" s="12">
        <v>4.2740797366035812</v>
      </c>
      <c r="AA3782" s="12"/>
      <c r="AB3782" s="12"/>
    </row>
    <row r="3783" spans="1:28" x14ac:dyDescent="0.3">
      <c r="A3783" s="12" t="s">
        <v>5710</v>
      </c>
      <c r="B3783" s="12" t="s">
        <v>206</v>
      </c>
      <c r="C3783" s="12" t="s">
        <v>578</v>
      </c>
      <c r="D3783" s="12" t="s">
        <v>5640</v>
      </c>
      <c r="E3783" s="12" t="s">
        <v>2978</v>
      </c>
      <c r="F3783" s="12" t="s">
        <v>832</v>
      </c>
      <c r="G3783" s="12" t="s">
        <v>832</v>
      </c>
      <c r="H3783" s="12" t="b">
        <v>0</v>
      </c>
      <c r="I3783" s="12" t="b">
        <v>0</v>
      </c>
      <c r="J3783" s="12" t="b">
        <v>0</v>
      </c>
      <c r="K3783" s="12" t="b">
        <v>0</v>
      </c>
      <c r="L3783" s="12">
        <v>391.67669568458763</v>
      </c>
      <c r="M3783" s="12">
        <v>291.11583311657239</v>
      </c>
      <c r="N3783" s="12">
        <v>4977.2502968546742</v>
      </c>
      <c r="O3783" s="12">
        <v>1318.1175094490841</v>
      </c>
      <c r="P3783" s="12">
        <v>0.5</v>
      </c>
      <c r="Q3783" s="12">
        <v>0.64048206619592296</v>
      </c>
      <c r="R3783" s="12">
        <v>0.72751262032282416</v>
      </c>
      <c r="S3783" s="12">
        <v>0.63427651284549302</v>
      </c>
      <c r="T3783" s="12">
        <v>0.88288147548679796</v>
      </c>
      <c r="U3783" s="12">
        <v>0.5652592931127961</v>
      </c>
      <c r="V3783" s="12">
        <v>291.11583311657239</v>
      </c>
      <c r="W3783" s="12"/>
      <c r="X3783" s="12"/>
      <c r="Y3783" s="12">
        <v>3659.132787405591</v>
      </c>
      <c r="Z3783" s="12">
        <v>3.776029269905496</v>
      </c>
      <c r="AA3783" s="12"/>
      <c r="AB3783" s="12"/>
    </row>
    <row r="3784" spans="1:28" x14ac:dyDescent="0.3">
      <c r="A3784" s="12" t="s">
        <v>5711</v>
      </c>
      <c r="B3784" s="12" t="s">
        <v>206</v>
      </c>
      <c r="C3784" s="12" t="s">
        <v>578</v>
      </c>
      <c r="D3784" s="12" t="s">
        <v>5640</v>
      </c>
      <c r="E3784" s="12" t="s">
        <v>2978</v>
      </c>
      <c r="F3784" s="12" t="s">
        <v>1861</v>
      </c>
      <c r="G3784" s="12" t="s">
        <v>1861</v>
      </c>
      <c r="H3784" s="12" t="b">
        <v>1</v>
      </c>
      <c r="I3784" s="12" t="b">
        <v>0</v>
      </c>
      <c r="J3784" s="12" t="b">
        <v>1</v>
      </c>
      <c r="K3784" s="12" t="b">
        <v>0</v>
      </c>
      <c r="L3784" s="12">
        <v>494.51123414635327</v>
      </c>
      <c r="M3784" s="12">
        <v>302.07558207966082</v>
      </c>
      <c r="N3784" s="12">
        <v>4833.4387699111767</v>
      </c>
      <c r="O3784" s="12">
        <v>746.21419022375289</v>
      </c>
      <c r="P3784" s="12">
        <v>0.5</v>
      </c>
      <c r="Q3784" s="12">
        <v>0.88600267108394748</v>
      </c>
      <c r="R3784" s="12">
        <v>0.84953006638813178</v>
      </c>
      <c r="S3784" s="12">
        <v>0.4469064600778821</v>
      </c>
      <c r="T3784" s="12">
        <v>0.9168881923018618</v>
      </c>
      <c r="U3784" s="12">
        <v>0.91634919053803043</v>
      </c>
      <c r="V3784" s="12">
        <v>302.07558207966082</v>
      </c>
      <c r="W3784" s="12">
        <v>13.41530008387533</v>
      </c>
      <c r="X3784" s="12">
        <v>112.4305473359408</v>
      </c>
      <c r="Y3784" s="12">
        <v>4087.224579687424</v>
      </c>
      <c r="Z3784" s="12">
        <v>6.4772806966614587</v>
      </c>
      <c r="AA3784" s="12" t="s">
        <v>3096</v>
      </c>
      <c r="AB3784" s="12"/>
    </row>
    <row r="3785" spans="1:28" x14ac:dyDescent="0.3">
      <c r="A3785" s="12" t="s">
        <v>5712</v>
      </c>
      <c r="B3785" s="12" t="s">
        <v>206</v>
      </c>
      <c r="C3785" s="12" t="s">
        <v>578</v>
      </c>
      <c r="D3785" s="12" t="s">
        <v>5640</v>
      </c>
      <c r="E3785" s="12" t="s">
        <v>2978</v>
      </c>
      <c r="F3785" s="12" t="s">
        <v>32</v>
      </c>
      <c r="G3785" s="12" t="s">
        <v>32</v>
      </c>
      <c r="H3785" s="12" t="b">
        <v>1</v>
      </c>
      <c r="I3785" s="12" t="b">
        <v>0</v>
      </c>
      <c r="J3785" s="12" t="b">
        <v>1</v>
      </c>
      <c r="K3785" s="12" t="b">
        <v>0</v>
      </c>
      <c r="L3785" s="12">
        <v>507.497177287451</v>
      </c>
      <c r="M3785" s="12">
        <v>288.07853322343351</v>
      </c>
      <c r="N3785" s="12">
        <v>4072.3250226760342</v>
      </c>
      <c r="O3785" s="12">
        <v>713.33855221746342</v>
      </c>
      <c r="P3785" s="12">
        <v>0.5</v>
      </c>
      <c r="Q3785" s="12">
        <v>0.85076298707167197</v>
      </c>
      <c r="R3785" s="12">
        <v>0.81950264325486388</v>
      </c>
      <c r="S3785" s="12">
        <v>0.51104499221894661</v>
      </c>
      <c r="T3785" s="12">
        <v>0.8341676743270503</v>
      </c>
      <c r="U3785" s="12">
        <v>0.90447424211508598</v>
      </c>
      <c r="V3785" s="12">
        <v>288.07853322343351</v>
      </c>
      <c r="W3785" s="12">
        <v>11.60134878704449</v>
      </c>
      <c r="X3785" s="12">
        <v>122.12630066167171</v>
      </c>
      <c r="Y3785" s="12">
        <v>3358.9864704585711</v>
      </c>
      <c r="Z3785" s="12">
        <v>5.7088250873542776</v>
      </c>
      <c r="AA3785" s="12"/>
      <c r="AB3785" s="12"/>
    </row>
    <row r="3786" spans="1:28" x14ac:dyDescent="0.3">
      <c r="A3786" s="12" t="s">
        <v>5713</v>
      </c>
      <c r="B3786" s="12" t="s">
        <v>206</v>
      </c>
      <c r="C3786" s="12" t="s">
        <v>578</v>
      </c>
      <c r="D3786" s="12" t="s">
        <v>5640</v>
      </c>
      <c r="E3786" s="12" t="s">
        <v>2978</v>
      </c>
      <c r="F3786" s="12" t="s">
        <v>1861</v>
      </c>
      <c r="G3786" s="12" t="s">
        <v>1861</v>
      </c>
      <c r="H3786" s="12" t="b">
        <v>1</v>
      </c>
      <c r="I3786" s="12" t="b">
        <v>0</v>
      </c>
      <c r="J3786" s="12" t="b">
        <v>1</v>
      </c>
      <c r="K3786" s="12" t="b">
        <v>0</v>
      </c>
      <c r="L3786" s="12">
        <v>468.03513310318641</v>
      </c>
      <c r="M3786" s="12">
        <v>301.12211570973102</v>
      </c>
      <c r="N3786" s="12">
        <v>4335.200169692097</v>
      </c>
      <c r="O3786" s="12">
        <v>898.68527353645732</v>
      </c>
      <c r="P3786" s="12">
        <v>0.5</v>
      </c>
      <c r="Q3786" s="12">
        <v>0.78012897085235067</v>
      </c>
      <c r="R3786" s="12">
        <v>0.88481724870180611</v>
      </c>
      <c r="S3786" s="12">
        <v>0.77567820762251072</v>
      </c>
      <c r="T3786" s="12">
        <v>0.91799049417210521</v>
      </c>
      <c r="U3786" s="12">
        <v>0.55838022135090914</v>
      </c>
      <c r="V3786" s="12">
        <v>301.12211570973102</v>
      </c>
      <c r="W3786" s="12">
        <v>8.8774871804358799</v>
      </c>
      <c r="X3786" s="12">
        <v>62.374768473477531</v>
      </c>
      <c r="Y3786" s="12">
        <v>3436.5148961556401</v>
      </c>
      <c r="Z3786" s="12">
        <v>4.8239359176683214</v>
      </c>
      <c r="AA3786" s="12" t="s">
        <v>1268</v>
      </c>
      <c r="AB3786" s="12"/>
    </row>
    <row r="3787" spans="1:28" x14ac:dyDescent="0.3">
      <c r="A3787" s="12" t="s">
        <v>5714</v>
      </c>
      <c r="B3787" s="12" t="s">
        <v>206</v>
      </c>
      <c r="C3787" s="12" t="s">
        <v>578</v>
      </c>
      <c r="D3787" s="12" t="s">
        <v>5640</v>
      </c>
      <c r="E3787" s="12" t="s">
        <v>2978</v>
      </c>
      <c r="F3787" s="12" t="s">
        <v>1861</v>
      </c>
      <c r="G3787" s="12" t="s">
        <v>1861</v>
      </c>
      <c r="H3787" s="12" t="b">
        <v>1</v>
      </c>
      <c r="I3787" s="12" t="b">
        <v>0</v>
      </c>
      <c r="J3787" s="12" t="b">
        <v>1</v>
      </c>
      <c r="K3787" s="12" t="b">
        <v>0</v>
      </c>
      <c r="L3787" s="12">
        <v>512.13453561700487</v>
      </c>
      <c r="M3787" s="12">
        <v>290.11858982057203</v>
      </c>
      <c r="N3787" s="12">
        <v>4812.1017928298461</v>
      </c>
      <c r="O3787" s="12">
        <v>694.90400829406235</v>
      </c>
      <c r="P3787" s="12">
        <v>0.5</v>
      </c>
      <c r="Q3787" s="12">
        <v>0.86734348420789931</v>
      </c>
      <c r="R3787" s="12">
        <v>0.80856137169742903</v>
      </c>
      <c r="S3787" s="12">
        <v>0.80754580618861649</v>
      </c>
      <c r="T3787" s="12">
        <v>0.56177623291558598</v>
      </c>
      <c r="U3787" s="12">
        <v>0.50658698452667017</v>
      </c>
      <c r="V3787" s="12">
        <v>290.11858982057203</v>
      </c>
      <c r="W3787" s="12">
        <v>10.600649368923181</v>
      </c>
      <c r="X3787" s="12">
        <v>114.1182339080773</v>
      </c>
      <c r="Y3787" s="12">
        <v>4117.1977845357833</v>
      </c>
      <c r="Z3787" s="12">
        <v>6.9248439142597524</v>
      </c>
      <c r="AA3787" s="12" t="s">
        <v>1981</v>
      </c>
      <c r="AB3787" s="12"/>
    </row>
    <row r="3788" spans="1:28" x14ac:dyDescent="0.3">
      <c r="A3788" s="12" t="s">
        <v>5715</v>
      </c>
      <c r="B3788" s="12" t="s">
        <v>206</v>
      </c>
      <c r="C3788" s="12" t="s">
        <v>578</v>
      </c>
      <c r="D3788" s="12" t="s">
        <v>5640</v>
      </c>
      <c r="E3788" s="12" t="s">
        <v>2978</v>
      </c>
      <c r="F3788" s="12" t="s">
        <v>832</v>
      </c>
      <c r="G3788" s="12" t="s">
        <v>832</v>
      </c>
      <c r="H3788" s="12" t="b">
        <v>0</v>
      </c>
      <c r="I3788" s="12" t="b">
        <v>0</v>
      </c>
      <c r="J3788" s="12" t="b">
        <v>0</v>
      </c>
      <c r="K3788" s="12" t="b">
        <v>0</v>
      </c>
      <c r="L3788" s="12">
        <v>401.66907069155678</v>
      </c>
      <c r="M3788" s="12">
        <v>282.44975459862229</v>
      </c>
      <c r="N3788" s="12">
        <v>4467.2112656417466</v>
      </c>
      <c r="O3788" s="12">
        <v>1178.8603755093491</v>
      </c>
      <c r="P3788" s="12">
        <v>0.5</v>
      </c>
      <c r="Q3788" s="12">
        <v>0.71573251356691148</v>
      </c>
      <c r="R3788" s="12">
        <v>0.78381968432335847</v>
      </c>
      <c r="S3788" s="12">
        <v>0.4731624794445396</v>
      </c>
      <c r="T3788" s="12">
        <v>0.69970944921896272</v>
      </c>
      <c r="U3788" s="12">
        <v>0.68795738756759772</v>
      </c>
      <c r="V3788" s="12">
        <v>282.44975459862229</v>
      </c>
      <c r="W3788" s="12"/>
      <c r="X3788" s="12"/>
      <c r="Y3788" s="12">
        <v>3288.350890132398</v>
      </c>
      <c r="Z3788" s="12">
        <v>3.7894320298208362</v>
      </c>
      <c r="AA3788" s="12"/>
      <c r="AB3788" s="12"/>
    </row>
    <row r="3789" spans="1:28" x14ac:dyDescent="0.3">
      <c r="A3789" s="12" t="s">
        <v>5716</v>
      </c>
      <c r="B3789" s="12" t="s">
        <v>206</v>
      </c>
      <c r="C3789" s="12" t="s">
        <v>578</v>
      </c>
      <c r="D3789" s="12" t="s">
        <v>5640</v>
      </c>
      <c r="E3789" s="12" t="s">
        <v>2978</v>
      </c>
      <c r="F3789" s="12" t="s">
        <v>1862</v>
      </c>
      <c r="G3789" s="12" t="s">
        <v>1862</v>
      </c>
      <c r="H3789" s="12" t="b">
        <v>1</v>
      </c>
      <c r="I3789" s="12" t="b">
        <v>0</v>
      </c>
      <c r="J3789" s="12" t="b">
        <v>0</v>
      </c>
      <c r="K3789" s="12" t="b">
        <v>0</v>
      </c>
      <c r="L3789" s="12">
        <v>421.87292717361112</v>
      </c>
      <c r="M3789" s="12">
        <v>287.42630312281551</v>
      </c>
      <c r="N3789" s="12">
        <v>4572.4700873944294</v>
      </c>
      <c r="O3789" s="12">
        <v>1980.447283758768</v>
      </c>
      <c r="P3789" s="12">
        <v>0.5</v>
      </c>
      <c r="Q3789" s="12">
        <v>0.79362540707306006</v>
      </c>
      <c r="R3789" s="12">
        <v>0.5930997992933692</v>
      </c>
      <c r="S3789" s="12">
        <v>0.46874195608064129</v>
      </c>
      <c r="T3789" s="12">
        <v>0.62602430468148174</v>
      </c>
      <c r="U3789" s="12">
        <v>0.4536315606015513</v>
      </c>
      <c r="V3789" s="12">
        <v>287.42630312281551</v>
      </c>
      <c r="W3789" s="12">
        <v>-3.0446476938801799</v>
      </c>
      <c r="X3789" s="12">
        <v>-4.8112222813900027</v>
      </c>
      <c r="Y3789" s="12">
        <v>2592.0228036356611</v>
      </c>
      <c r="Z3789" s="12">
        <v>2.308806765467728</v>
      </c>
      <c r="AA3789" s="12" t="s">
        <v>1696</v>
      </c>
      <c r="AB3789" s="12"/>
    </row>
    <row r="3790" spans="1:28" x14ac:dyDescent="0.3">
      <c r="A3790" s="12" t="s">
        <v>5717</v>
      </c>
      <c r="B3790" s="12" t="s">
        <v>206</v>
      </c>
      <c r="C3790" s="12" t="s">
        <v>578</v>
      </c>
      <c r="D3790" s="12" t="s">
        <v>5640</v>
      </c>
      <c r="E3790" s="12" t="s">
        <v>2978</v>
      </c>
      <c r="F3790" s="12" t="s">
        <v>1862</v>
      </c>
      <c r="G3790" s="12" t="s">
        <v>1862</v>
      </c>
      <c r="H3790" s="12" t="b">
        <v>1</v>
      </c>
      <c r="I3790" s="12" t="b">
        <v>0</v>
      </c>
      <c r="J3790" s="12" t="b">
        <v>1</v>
      </c>
      <c r="K3790" s="12" t="b">
        <v>0</v>
      </c>
      <c r="L3790" s="12">
        <v>500.31506076166488</v>
      </c>
      <c r="M3790" s="12">
        <v>293.81944886772231</v>
      </c>
      <c r="N3790" s="12">
        <v>2136.7998107983749</v>
      </c>
      <c r="O3790" s="12">
        <v>1097.232491544368</v>
      </c>
      <c r="P3790" s="12">
        <v>0.5</v>
      </c>
      <c r="Q3790" s="12">
        <v>0.60509779280806897</v>
      </c>
      <c r="R3790" s="12">
        <v>0.63698649120097728</v>
      </c>
      <c r="S3790" s="12">
        <v>0.61935504897793003</v>
      </c>
      <c r="T3790" s="12">
        <v>0.81659636103396993</v>
      </c>
      <c r="U3790" s="12">
        <v>0.48696622047180221</v>
      </c>
      <c r="V3790" s="12">
        <v>293.81944886772231</v>
      </c>
      <c r="W3790" s="12">
        <v>-0.83997231549536</v>
      </c>
      <c r="X3790" s="12">
        <v>-7.4454266929793036</v>
      </c>
      <c r="Y3790" s="12">
        <v>1039.5673192540071</v>
      </c>
      <c r="Z3790" s="12">
        <v>1.9474448918212439</v>
      </c>
      <c r="AA3790" s="12" t="s">
        <v>2513</v>
      </c>
      <c r="AB3790" s="12"/>
    </row>
    <row r="3791" spans="1:28" x14ac:dyDescent="0.3">
      <c r="A3791" s="12" t="s">
        <v>5718</v>
      </c>
      <c r="B3791" s="12" t="s">
        <v>206</v>
      </c>
      <c r="C3791" s="12" t="s">
        <v>578</v>
      </c>
      <c r="D3791" s="12" t="s">
        <v>5640</v>
      </c>
      <c r="E3791" s="12" t="s">
        <v>2978</v>
      </c>
      <c r="F3791" s="12" t="s">
        <v>32</v>
      </c>
      <c r="G3791" s="12" t="s">
        <v>32</v>
      </c>
      <c r="H3791" s="12" t="b">
        <v>1</v>
      </c>
      <c r="I3791" s="12" t="b">
        <v>0</v>
      </c>
      <c r="J3791" s="12" t="b">
        <v>1</v>
      </c>
      <c r="K3791" s="12" t="b">
        <v>0</v>
      </c>
      <c r="L3791" s="12">
        <v>483.83219247075328</v>
      </c>
      <c r="M3791" s="12">
        <v>292.95161589090412</v>
      </c>
      <c r="N3791" s="12">
        <v>3900.1153175608461</v>
      </c>
      <c r="O3791" s="12">
        <v>1541.6979963214239</v>
      </c>
      <c r="P3791" s="12">
        <v>0.5</v>
      </c>
      <c r="Q3791" s="12">
        <v>0.77945963025790088</v>
      </c>
      <c r="R3791" s="12">
        <v>0.92886945869658077</v>
      </c>
      <c r="S3791" s="12">
        <v>0.75661184370312373</v>
      </c>
      <c r="T3791" s="12">
        <v>0.6868890276424412</v>
      </c>
      <c r="U3791" s="12">
        <v>0.89155518195613936</v>
      </c>
      <c r="V3791" s="12">
        <v>292.95161589090412</v>
      </c>
      <c r="W3791" s="12">
        <v>6.0300616636876603</v>
      </c>
      <c r="X3791" s="12">
        <v>93.08247669334024</v>
      </c>
      <c r="Y3791" s="12">
        <v>2358.4173212394221</v>
      </c>
      <c r="Z3791" s="12">
        <v>2.5297531208231021</v>
      </c>
      <c r="AA3791" s="12"/>
      <c r="AB3791" s="12"/>
    </row>
    <row r="3792" spans="1:28" x14ac:dyDescent="0.3">
      <c r="A3792" s="12" t="s">
        <v>5719</v>
      </c>
      <c r="B3792" s="12" t="s">
        <v>206</v>
      </c>
      <c r="C3792" s="12" t="s">
        <v>578</v>
      </c>
      <c r="D3792" s="12" t="s">
        <v>5640</v>
      </c>
      <c r="E3792" s="12" t="s">
        <v>2978</v>
      </c>
      <c r="F3792" s="12" t="s">
        <v>1862</v>
      </c>
      <c r="G3792" s="12" t="s">
        <v>1862</v>
      </c>
      <c r="H3792" s="12" t="b">
        <v>1</v>
      </c>
      <c r="I3792" s="12" t="b">
        <v>0</v>
      </c>
      <c r="J3792" s="12" t="b">
        <v>1</v>
      </c>
      <c r="K3792" s="12" t="b">
        <v>0</v>
      </c>
      <c r="L3792" s="12">
        <v>480.3869639851282</v>
      </c>
      <c r="M3792" s="12">
        <v>283.46914270160102</v>
      </c>
      <c r="N3792" s="12">
        <v>2572.0210553066659</v>
      </c>
      <c r="O3792" s="12">
        <v>1914.507463321838</v>
      </c>
      <c r="P3792" s="12">
        <v>0.5</v>
      </c>
      <c r="Q3792" s="12">
        <v>0.40807167229197761</v>
      </c>
      <c r="R3792" s="12">
        <v>0.50911777090578492</v>
      </c>
      <c r="S3792" s="12">
        <v>0.7600316341179072</v>
      </c>
      <c r="T3792" s="12">
        <v>0.73336471066569597</v>
      </c>
      <c r="U3792" s="12">
        <v>0.58766793651113192</v>
      </c>
      <c r="V3792" s="12">
        <v>283.46914270160102</v>
      </c>
      <c r="W3792" s="12">
        <v>-0.51975838820186004</v>
      </c>
      <c r="X3792" s="12">
        <v>-6.1497645720575882</v>
      </c>
      <c r="Y3792" s="12">
        <v>657.51359198482874</v>
      </c>
      <c r="Z3792" s="12">
        <v>1.343437466074948</v>
      </c>
      <c r="AA3792" s="12" t="s">
        <v>2513</v>
      </c>
      <c r="AB3792" s="12"/>
    </row>
    <row r="3793" spans="1:28" x14ac:dyDescent="0.3">
      <c r="A3793" s="12" t="s">
        <v>5720</v>
      </c>
      <c r="B3793" s="12" t="s">
        <v>206</v>
      </c>
      <c r="C3793" s="12" t="s">
        <v>578</v>
      </c>
      <c r="D3793" s="12" t="s">
        <v>5640</v>
      </c>
      <c r="E3793" s="12" t="s">
        <v>2978</v>
      </c>
      <c r="F3793" s="12" t="s">
        <v>32</v>
      </c>
      <c r="G3793" s="12" t="s">
        <v>32</v>
      </c>
      <c r="H3793" s="12" t="b">
        <v>1</v>
      </c>
      <c r="I3793" s="12" t="b">
        <v>1</v>
      </c>
      <c r="J3793" s="12" t="b">
        <v>0</v>
      </c>
      <c r="K3793" s="12" t="b">
        <v>0</v>
      </c>
      <c r="L3793" s="12">
        <v>398.89306996387103</v>
      </c>
      <c r="M3793" s="12">
        <v>288.56316575264839</v>
      </c>
      <c r="N3793" s="12">
        <v>2342.97323951095</v>
      </c>
      <c r="O3793" s="12">
        <v>1816.8753192712061</v>
      </c>
      <c r="P3793" s="12">
        <v>0.5</v>
      </c>
      <c r="Q3793" s="12">
        <v>0.85269715357452092</v>
      </c>
      <c r="R3793" s="12">
        <v>0.7855681911312028</v>
      </c>
      <c r="S3793" s="12">
        <v>0.4841946215720746</v>
      </c>
      <c r="T3793" s="12">
        <v>0.77254362341074345</v>
      </c>
      <c r="U3793" s="12">
        <v>0.63096214718309129</v>
      </c>
      <c r="V3793" s="12">
        <v>288.56316575264839</v>
      </c>
      <c r="W3793" s="12">
        <v>1.2644967374874001</v>
      </c>
      <c r="X3793" s="12">
        <v>2.8537586408672588</v>
      </c>
      <c r="Y3793" s="12">
        <v>526.0979202397441</v>
      </c>
      <c r="Z3793" s="12">
        <v>1.28956192792072</v>
      </c>
      <c r="AA3793" s="12"/>
      <c r="AB3793" s="12"/>
    </row>
    <row r="3794" spans="1:28" x14ac:dyDescent="0.3">
      <c r="A3794" s="12" t="s">
        <v>5721</v>
      </c>
      <c r="B3794" s="12" t="s">
        <v>206</v>
      </c>
      <c r="C3794" s="12" t="s">
        <v>578</v>
      </c>
      <c r="D3794" s="12" t="s">
        <v>5640</v>
      </c>
      <c r="E3794" s="12" t="s">
        <v>2978</v>
      </c>
      <c r="F3794" s="12" t="s">
        <v>1861</v>
      </c>
      <c r="G3794" s="12" t="s">
        <v>1861</v>
      </c>
      <c r="H3794" s="12" t="b">
        <v>1</v>
      </c>
      <c r="I3794" s="12" t="b">
        <v>0</v>
      </c>
      <c r="J3794" s="12" t="b">
        <v>1</v>
      </c>
      <c r="K3794" s="12" t="b">
        <v>0</v>
      </c>
      <c r="L3794" s="12">
        <v>459.52489112541929</v>
      </c>
      <c r="M3794" s="12">
        <v>290.06272913469229</v>
      </c>
      <c r="N3794" s="12">
        <v>3822.52130262541</v>
      </c>
      <c r="O3794" s="12">
        <v>427.16992170435481</v>
      </c>
      <c r="P3794" s="12">
        <v>0.5</v>
      </c>
      <c r="Q3794" s="12">
        <v>0.74986631099190082</v>
      </c>
      <c r="R3794" s="12">
        <v>0.65090478853882727</v>
      </c>
      <c r="S3794" s="12">
        <v>0.665641534221728</v>
      </c>
      <c r="T3794" s="12">
        <v>0.69399968031624581</v>
      </c>
      <c r="U3794" s="12">
        <v>0.63466328448823217</v>
      </c>
      <c r="V3794" s="12">
        <v>290.06272913469229</v>
      </c>
      <c r="W3794" s="12">
        <v>9.7419796011186097</v>
      </c>
      <c r="X3794" s="12">
        <v>65.629693511861561</v>
      </c>
      <c r="Y3794" s="12">
        <v>3395.3513809210549</v>
      </c>
      <c r="Z3794" s="12">
        <v>8.9484795356705487</v>
      </c>
      <c r="AA3794" s="12" t="s">
        <v>1268</v>
      </c>
      <c r="AB3794" s="12"/>
    </row>
    <row r="3795" spans="1:28" x14ac:dyDescent="0.3">
      <c r="A3795" s="12" t="s">
        <v>5722</v>
      </c>
      <c r="B3795" s="12" t="s">
        <v>206</v>
      </c>
      <c r="C3795" s="12" t="s">
        <v>578</v>
      </c>
      <c r="D3795" s="12" t="s">
        <v>5640</v>
      </c>
      <c r="E3795" s="12" t="s">
        <v>2978</v>
      </c>
      <c r="F3795" s="12" t="s">
        <v>32</v>
      </c>
      <c r="G3795" s="12" t="s">
        <v>32</v>
      </c>
      <c r="H3795" s="12" t="b">
        <v>1</v>
      </c>
      <c r="I3795" s="12" t="b">
        <v>1</v>
      </c>
      <c r="J3795" s="12" t="b">
        <v>0</v>
      </c>
      <c r="K3795" s="12" t="b">
        <v>0</v>
      </c>
      <c r="L3795" s="12">
        <v>417.68774731737591</v>
      </c>
      <c r="M3795" s="12">
        <v>301.71818648066011</v>
      </c>
      <c r="N3795" s="12">
        <v>2718.760757600955</v>
      </c>
      <c r="O3795" s="12">
        <v>1895.182987385153</v>
      </c>
      <c r="P3795" s="12">
        <v>0.5</v>
      </c>
      <c r="Q3795" s="12">
        <v>0.87643668673047281</v>
      </c>
      <c r="R3795" s="12">
        <v>0.45951549691122989</v>
      </c>
      <c r="S3795" s="12">
        <v>0.94961283330905955</v>
      </c>
      <c r="T3795" s="12">
        <v>0.8120254351831514</v>
      </c>
      <c r="U3795" s="12">
        <v>0.77785507435619416</v>
      </c>
      <c r="V3795" s="12">
        <v>301.71818648066011</v>
      </c>
      <c r="W3795" s="12">
        <v>2.6343165889594999</v>
      </c>
      <c r="X3795" s="12">
        <v>14.63849765278594</v>
      </c>
      <c r="Y3795" s="12">
        <v>823.57777021580227</v>
      </c>
      <c r="Z3795" s="12">
        <v>1.4345637205999411</v>
      </c>
      <c r="AA3795" s="12"/>
      <c r="AB3795" s="12"/>
    </row>
    <row r="3796" spans="1:28" x14ac:dyDescent="0.3">
      <c r="A3796" s="12" t="s">
        <v>5723</v>
      </c>
      <c r="B3796" s="12" t="s">
        <v>206</v>
      </c>
      <c r="C3796" s="12" t="s">
        <v>578</v>
      </c>
      <c r="D3796" s="12" t="s">
        <v>5640</v>
      </c>
      <c r="E3796" s="12" t="s">
        <v>2978</v>
      </c>
      <c r="F3796" s="12" t="s">
        <v>1861</v>
      </c>
      <c r="G3796" s="12" t="s">
        <v>1861</v>
      </c>
      <c r="H3796" s="12" t="b">
        <v>1</v>
      </c>
      <c r="I3796" s="12" t="b">
        <v>0</v>
      </c>
      <c r="J3796" s="12" t="b">
        <v>1</v>
      </c>
      <c r="K3796" s="12" t="b">
        <v>0</v>
      </c>
      <c r="L3796" s="12">
        <v>473.34458940182719</v>
      </c>
      <c r="M3796" s="12">
        <v>286.09822749053529</v>
      </c>
      <c r="N3796" s="12">
        <v>3567.956515740324</v>
      </c>
      <c r="O3796" s="12">
        <v>1241.4051483837591</v>
      </c>
      <c r="P3796" s="12">
        <v>0.5</v>
      </c>
      <c r="Q3796" s="12">
        <v>0.68711759327083755</v>
      </c>
      <c r="R3796" s="12">
        <v>0.91013205285924437</v>
      </c>
      <c r="S3796" s="12">
        <v>0.91352102811920499</v>
      </c>
      <c r="T3796" s="12">
        <v>0.43301512083668758</v>
      </c>
      <c r="U3796" s="12">
        <v>0.65283136362680816</v>
      </c>
      <c r="V3796" s="12">
        <v>286.09822749053529</v>
      </c>
      <c r="W3796" s="12">
        <v>5.60084107618232</v>
      </c>
      <c r="X3796" s="12">
        <v>70.991119584903061</v>
      </c>
      <c r="Y3796" s="12">
        <v>2326.5513673565652</v>
      </c>
      <c r="Z3796" s="12">
        <v>2.8741273712176931</v>
      </c>
      <c r="AA3796" s="12" t="s">
        <v>1268</v>
      </c>
      <c r="AB3796" s="12"/>
    </row>
    <row r="3797" spans="1:28" x14ac:dyDescent="0.3">
      <c r="A3797" s="12" t="s">
        <v>5724</v>
      </c>
      <c r="B3797" s="12" t="s">
        <v>206</v>
      </c>
      <c r="C3797" s="12" t="s">
        <v>578</v>
      </c>
      <c r="D3797" s="12" t="s">
        <v>5640</v>
      </c>
      <c r="E3797" s="12" t="s">
        <v>2978</v>
      </c>
      <c r="F3797" s="12" t="s">
        <v>1862</v>
      </c>
      <c r="G3797" s="12" t="s">
        <v>1862</v>
      </c>
      <c r="H3797" s="12" t="b">
        <v>1</v>
      </c>
      <c r="I3797" s="12" t="b">
        <v>0</v>
      </c>
      <c r="J3797" s="12" t="b">
        <v>0</v>
      </c>
      <c r="K3797" s="12" t="b">
        <v>0</v>
      </c>
      <c r="L3797" s="12">
        <v>415.3947275685357</v>
      </c>
      <c r="M3797" s="12">
        <v>301.78165897323248</v>
      </c>
      <c r="N3797" s="12">
        <v>3159.995641192314</v>
      </c>
      <c r="O3797" s="12">
        <v>331.66696392285888</v>
      </c>
      <c r="P3797" s="12">
        <v>0.5</v>
      </c>
      <c r="Q3797" s="12">
        <v>0.66428867486678556</v>
      </c>
      <c r="R3797" s="12">
        <v>0.49342973244338639</v>
      </c>
      <c r="S3797" s="12">
        <v>0.90124750703507261</v>
      </c>
      <c r="T3797" s="12">
        <v>0.55382272537496102</v>
      </c>
      <c r="U3797" s="12">
        <v>0.47009901063848442</v>
      </c>
      <c r="V3797" s="12">
        <v>301.78165897323248</v>
      </c>
      <c r="W3797" s="12">
        <v>-21.701378737015489</v>
      </c>
      <c r="X3797" s="12">
        <v>-55.732708827721567</v>
      </c>
      <c r="Y3797" s="12">
        <v>2828.3286772694551</v>
      </c>
      <c r="Z3797" s="12">
        <v>9.5276165096964096</v>
      </c>
      <c r="AA3797" s="12" t="s">
        <v>2513</v>
      </c>
      <c r="AB3797" s="12"/>
    </row>
    <row r="3798" spans="1:28" x14ac:dyDescent="0.3">
      <c r="A3798" s="12" t="s">
        <v>5725</v>
      </c>
      <c r="B3798" s="12" t="s">
        <v>206</v>
      </c>
      <c r="C3798" s="12" t="s">
        <v>578</v>
      </c>
      <c r="D3798" s="12" t="s">
        <v>5640</v>
      </c>
      <c r="E3798" s="12" t="s">
        <v>2978</v>
      </c>
      <c r="F3798" s="12" t="s">
        <v>1861</v>
      </c>
      <c r="G3798" s="12" t="s">
        <v>1861</v>
      </c>
      <c r="H3798" s="12" t="b">
        <v>1</v>
      </c>
      <c r="I3798" s="12" t="b">
        <v>0</v>
      </c>
      <c r="J3798" s="12" t="b">
        <v>1</v>
      </c>
      <c r="K3798" s="12" t="b">
        <v>0</v>
      </c>
      <c r="L3798" s="12">
        <v>502.33055544645657</v>
      </c>
      <c r="M3798" s="12">
        <v>278.58735336654507</v>
      </c>
      <c r="N3798" s="12">
        <v>4421.056021958826</v>
      </c>
      <c r="O3798" s="12">
        <v>1158.2245005175421</v>
      </c>
      <c r="P3798" s="12">
        <v>0.5</v>
      </c>
      <c r="Q3798" s="12">
        <v>0.6135540629519135</v>
      </c>
      <c r="R3798" s="12">
        <v>0.61984884744958324</v>
      </c>
      <c r="S3798" s="12">
        <v>0.93146458579601676</v>
      </c>
      <c r="T3798" s="12">
        <v>0.64044481144964549</v>
      </c>
      <c r="U3798" s="12">
        <v>0.83168883486781897</v>
      </c>
      <c r="V3798" s="12">
        <v>278.58735336654507</v>
      </c>
      <c r="W3798" s="12">
        <v>6.87472099394361</v>
      </c>
      <c r="X3798" s="12">
        <v>132.7788212610761</v>
      </c>
      <c r="Y3798" s="12">
        <v>3262.8315214412842</v>
      </c>
      <c r="Z3798" s="12">
        <v>3.8170976524700651</v>
      </c>
      <c r="AA3798" s="12" t="s">
        <v>1268</v>
      </c>
      <c r="AB3798" s="12"/>
    </row>
    <row r="3799" spans="1:28" x14ac:dyDescent="0.3">
      <c r="A3799" s="12" t="s">
        <v>5726</v>
      </c>
      <c r="B3799" s="12" t="s">
        <v>206</v>
      </c>
      <c r="C3799" s="12" t="s">
        <v>578</v>
      </c>
      <c r="D3799" s="12" t="s">
        <v>5640</v>
      </c>
      <c r="E3799" s="12" t="s">
        <v>2978</v>
      </c>
      <c r="F3799" s="12" t="s">
        <v>1861</v>
      </c>
      <c r="G3799" s="12" t="s">
        <v>1861</v>
      </c>
      <c r="H3799" s="12" t="b">
        <v>1</v>
      </c>
      <c r="I3799" s="12" t="b">
        <v>0</v>
      </c>
      <c r="J3799" s="12" t="b">
        <v>1</v>
      </c>
      <c r="K3799" s="12" t="b">
        <v>0</v>
      </c>
      <c r="L3799" s="12">
        <v>446.32595652671529</v>
      </c>
      <c r="M3799" s="12">
        <v>279.72124443356051</v>
      </c>
      <c r="N3799" s="12">
        <v>3390.9310370048729</v>
      </c>
      <c r="O3799" s="12">
        <v>457.3075351691075</v>
      </c>
      <c r="P3799" s="12">
        <v>0.5</v>
      </c>
      <c r="Q3799" s="12">
        <v>0.81347496452353252</v>
      </c>
      <c r="R3799" s="12">
        <v>0.64247666040172557</v>
      </c>
      <c r="S3799" s="12">
        <v>0.87135162078041672</v>
      </c>
      <c r="T3799" s="12">
        <v>0.51531467761645011</v>
      </c>
      <c r="U3799" s="12">
        <v>0.80030656318562277</v>
      </c>
      <c r="V3799" s="12">
        <v>279.72124443356051</v>
      </c>
      <c r="W3799" s="12">
        <v>11.411342004626951</v>
      </c>
      <c r="X3799" s="12">
        <v>103.596830886311</v>
      </c>
      <c r="Y3799" s="12">
        <v>2933.6235018357661</v>
      </c>
      <c r="Z3799" s="12">
        <v>7.4149905178162934</v>
      </c>
      <c r="AA3799" s="12" t="s">
        <v>1268</v>
      </c>
      <c r="AB3799" s="12"/>
    </row>
    <row r="3800" spans="1:28" x14ac:dyDescent="0.3">
      <c r="A3800" s="12" t="s">
        <v>5727</v>
      </c>
      <c r="B3800" s="12" t="s">
        <v>206</v>
      </c>
      <c r="C3800" s="12" t="s">
        <v>578</v>
      </c>
      <c r="D3800" s="12" t="s">
        <v>5640</v>
      </c>
      <c r="E3800" s="12" t="s">
        <v>2978</v>
      </c>
      <c r="F3800" s="12" t="s">
        <v>1863</v>
      </c>
      <c r="G3800" s="12" t="s">
        <v>832</v>
      </c>
      <c r="H3800" s="12" t="b">
        <v>0</v>
      </c>
      <c r="I3800" s="12" t="b">
        <v>0</v>
      </c>
      <c r="J3800" s="12" t="b">
        <v>0</v>
      </c>
      <c r="K3800" s="12" t="b">
        <v>0</v>
      </c>
      <c r="L3800" s="12">
        <v>396.69147478427101</v>
      </c>
      <c r="M3800" s="12">
        <v>289.01410489704682</v>
      </c>
      <c r="N3800" s="12">
        <v>3289.2353382700821</v>
      </c>
      <c r="O3800" s="12">
        <v>1944.0714154484101</v>
      </c>
      <c r="P3800" s="12">
        <v>0.5</v>
      </c>
      <c r="Q3800" s="12">
        <v>0.68092607717841724</v>
      </c>
      <c r="R3800" s="12">
        <v>0.67656024092001465</v>
      </c>
      <c r="S3800" s="12">
        <v>0.41418337286945661</v>
      </c>
      <c r="T3800" s="12">
        <v>0.61310482618577467</v>
      </c>
      <c r="U3800" s="12">
        <v>0.61870563946757429</v>
      </c>
      <c r="V3800" s="12">
        <v>289.01410489704682</v>
      </c>
      <c r="W3800" s="12">
        <v>-10.518048519490129</v>
      </c>
      <c r="X3800" s="12">
        <v>-12.59232888604169</v>
      </c>
      <c r="Y3800" s="12">
        <v>1345.1639228216709</v>
      </c>
      <c r="Z3800" s="12">
        <v>1.691931331396795</v>
      </c>
      <c r="AA3800" s="12" t="s">
        <v>2018</v>
      </c>
      <c r="AB3800" s="12"/>
    </row>
    <row r="3801" spans="1:28" x14ac:dyDescent="0.3">
      <c r="A3801" s="12" t="s">
        <v>5728</v>
      </c>
      <c r="B3801" s="12" t="s">
        <v>206</v>
      </c>
      <c r="C3801" s="12" t="s">
        <v>578</v>
      </c>
      <c r="D3801" s="12" t="s">
        <v>5640</v>
      </c>
      <c r="E3801" s="12" t="s">
        <v>2978</v>
      </c>
      <c r="F3801" s="12" t="s">
        <v>1861</v>
      </c>
      <c r="G3801" s="12" t="s">
        <v>1861</v>
      </c>
      <c r="H3801" s="12" t="b">
        <v>1</v>
      </c>
      <c r="I3801" s="12" t="b">
        <v>0</v>
      </c>
      <c r="J3801" s="12" t="b">
        <v>1</v>
      </c>
      <c r="K3801" s="12" t="b">
        <v>0</v>
      </c>
      <c r="L3801" s="12">
        <v>519.5895422483876</v>
      </c>
      <c r="M3801" s="12">
        <v>287.63829300105027</v>
      </c>
      <c r="N3801" s="12">
        <v>3412.3855881297359</v>
      </c>
      <c r="O3801" s="12">
        <v>923.71052076504361</v>
      </c>
      <c r="P3801" s="12">
        <v>0.5</v>
      </c>
      <c r="Q3801" s="12">
        <v>0.93368958266891477</v>
      </c>
      <c r="R3801" s="12">
        <v>0.76468077493352449</v>
      </c>
      <c r="S3801" s="12">
        <v>0.74122803389791092</v>
      </c>
      <c r="T3801" s="12">
        <v>0.86257528106449166</v>
      </c>
      <c r="U3801" s="12">
        <v>0.7887759389342327</v>
      </c>
      <c r="V3801" s="12">
        <v>287.63829300105027</v>
      </c>
      <c r="W3801" s="12">
        <v>10.68825903507854</v>
      </c>
      <c r="X3801" s="12">
        <v>162.3106798368425</v>
      </c>
      <c r="Y3801" s="12">
        <v>2488.6750673646929</v>
      </c>
      <c r="Z3801" s="12">
        <v>3.6942153536407711</v>
      </c>
      <c r="AA3801" s="12" t="s">
        <v>1268</v>
      </c>
      <c r="AB3801" s="12"/>
    </row>
    <row r="3802" spans="1:28" x14ac:dyDescent="0.3">
      <c r="A3802" s="12" t="s">
        <v>5729</v>
      </c>
      <c r="B3802" s="12" t="s">
        <v>206</v>
      </c>
      <c r="C3802" s="12" t="s">
        <v>578</v>
      </c>
      <c r="D3802" s="12" t="s">
        <v>5640</v>
      </c>
      <c r="E3802" s="12" t="s">
        <v>2978</v>
      </c>
      <c r="F3802" s="12" t="s">
        <v>3483</v>
      </c>
      <c r="G3802" s="12"/>
      <c r="H3802" s="12" t="b">
        <v>0</v>
      </c>
      <c r="I3802" s="12" t="b">
        <v>0</v>
      </c>
      <c r="J3802" s="12"/>
      <c r="K3802" s="12" t="b">
        <v>1</v>
      </c>
      <c r="L3802" s="12">
        <v>493.15988112678701</v>
      </c>
      <c r="M3802" s="12">
        <v>299.39454551970431</v>
      </c>
      <c r="N3802" s="12">
        <v>2247.6812838065048</v>
      </c>
      <c r="O3802" s="12">
        <v>1954.2788016014431</v>
      </c>
      <c r="P3802" s="12">
        <v>0.5</v>
      </c>
      <c r="Q3802" s="12">
        <v>0.78618972586475322</v>
      </c>
      <c r="R3802" s="12">
        <v>0.48344199575757002</v>
      </c>
      <c r="S3802" s="12">
        <v>0.62624675142533281</v>
      </c>
      <c r="T3802" s="12">
        <v>0.93602953568078839</v>
      </c>
      <c r="U3802" s="12">
        <v>0.6758631216406803</v>
      </c>
      <c r="V3802" s="12"/>
      <c r="W3802" s="12"/>
      <c r="X3802" s="12"/>
      <c r="Y3802" s="12">
        <v>293.40248220506169</v>
      </c>
      <c r="Z3802" s="12">
        <v>1.1501333801321649</v>
      </c>
      <c r="AA3802" s="12"/>
      <c r="AB3802" s="12"/>
    </row>
    <row r="3803" spans="1:28" x14ac:dyDescent="0.3">
      <c r="A3803" s="12" t="s">
        <v>5730</v>
      </c>
      <c r="B3803" s="12" t="s">
        <v>206</v>
      </c>
      <c r="C3803" s="12" t="s">
        <v>578</v>
      </c>
      <c r="D3803" s="12" t="s">
        <v>5640</v>
      </c>
      <c r="E3803" s="12" t="s">
        <v>2978</v>
      </c>
      <c r="F3803" s="12" t="s">
        <v>1861</v>
      </c>
      <c r="G3803" s="12" t="s">
        <v>1861</v>
      </c>
      <c r="H3803" s="12" t="b">
        <v>1</v>
      </c>
      <c r="I3803" s="12" t="b">
        <v>0</v>
      </c>
      <c r="J3803" s="12" t="b">
        <v>1</v>
      </c>
      <c r="K3803" s="12" t="b">
        <v>0</v>
      </c>
      <c r="L3803" s="12">
        <v>509.57244329133022</v>
      </c>
      <c r="M3803" s="12">
        <v>286.63796293704291</v>
      </c>
      <c r="N3803" s="12">
        <v>3676.883827507017</v>
      </c>
      <c r="O3803" s="12">
        <v>581.7623476027718</v>
      </c>
      <c r="P3803" s="12">
        <v>0.5</v>
      </c>
      <c r="Q3803" s="12">
        <v>0.91910519004608005</v>
      </c>
      <c r="R3803" s="12">
        <v>0.79525453257909906</v>
      </c>
      <c r="S3803" s="12">
        <v>0.93747724968839963</v>
      </c>
      <c r="T3803" s="12">
        <v>0.75788738758557295</v>
      </c>
      <c r="U3803" s="12">
        <v>0.75881784247014883</v>
      </c>
      <c r="V3803" s="12">
        <v>286.63796293704291</v>
      </c>
      <c r="W3803" s="12">
        <v>13.78863412221807</v>
      </c>
      <c r="X3803" s="12">
        <v>249.73132313870289</v>
      </c>
      <c r="Y3803" s="12">
        <v>3095.121479904245</v>
      </c>
      <c r="Z3803" s="12">
        <v>6.3202506017415869</v>
      </c>
      <c r="AA3803" s="12" t="s">
        <v>1981</v>
      </c>
      <c r="AB3803" s="12"/>
    </row>
    <row r="3804" spans="1:28" x14ac:dyDescent="0.3">
      <c r="A3804" s="12" t="s">
        <v>5731</v>
      </c>
      <c r="B3804" s="12" t="s">
        <v>206</v>
      </c>
      <c r="C3804" s="12" t="s">
        <v>578</v>
      </c>
      <c r="D3804" s="12" t="s">
        <v>5640</v>
      </c>
      <c r="E3804" s="12" t="s">
        <v>2978</v>
      </c>
      <c r="F3804" s="12" t="s">
        <v>32</v>
      </c>
      <c r="G3804" s="12" t="s">
        <v>32</v>
      </c>
      <c r="H3804" s="12" t="b">
        <v>1</v>
      </c>
      <c r="I3804" s="12" t="b">
        <v>0</v>
      </c>
      <c r="J3804" s="12" t="b">
        <v>1</v>
      </c>
      <c r="K3804" s="12" t="b">
        <v>0</v>
      </c>
      <c r="L3804" s="12">
        <v>449.21724771185308</v>
      </c>
      <c r="M3804" s="12">
        <v>303.42091042906088</v>
      </c>
      <c r="N3804" s="12">
        <v>4897.1461135887939</v>
      </c>
      <c r="O3804" s="12">
        <v>825.84493030020417</v>
      </c>
      <c r="P3804" s="12">
        <v>0.5</v>
      </c>
      <c r="Q3804" s="12">
        <v>0.52869942307814988</v>
      </c>
      <c r="R3804" s="12">
        <v>0.49370130875023949</v>
      </c>
      <c r="S3804" s="12">
        <v>0.78993245758661534</v>
      </c>
      <c r="T3804" s="12">
        <v>0.4024286595266871</v>
      </c>
      <c r="U3804" s="12">
        <v>0.91032412117937245</v>
      </c>
      <c r="V3804" s="12">
        <v>303.42091042906088</v>
      </c>
      <c r="W3804" s="12">
        <v>3.6995624170747998</v>
      </c>
      <c r="X3804" s="12">
        <v>24.373993779289549</v>
      </c>
      <c r="Y3804" s="12">
        <v>4071.30118328859</v>
      </c>
      <c r="Z3804" s="12">
        <v>5.9298615683317504</v>
      </c>
      <c r="AA3804" s="12"/>
      <c r="AB3804" s="12"/>
    </row>
    <row r="3805" spans="1:28" x14ac:dyDescent="0.3">
      <c r="A3805" s="12" t="s">
        <v>5732</v>
      </c>
      <c r="B3805" s="12" t="s">
        <v>206</v>
      </c>
      <c r="C3805" s="12" t="s">
        <v>578</v>
      </c>
      <c r="D3805" s="12" t="s">
        <v>5640</v>
      </c>
      <c r="E3805" s="12" t="s">
        <v>2978</v>
      </c>
      <c r="F3805" s="12" t="s">
        <v>32</v>
      </c>
      <c r="G3805" s="12" t="s">
        <v>32</v>
      </c>
      <c r="H3805" s="12" t="b">
        <v>1</v>
      </c>
      <c r="I3805" s="12" t="b">
        <v>0</v>
      </c>
      <c r="J3805" s="12" t="b">
        <v>1</v>
      </c>
      <c r="K3805" s="12" t="b">
        <v>0</v>
      </c>
      <c r="L3805" s="12">
        <v>501.05187925767967</v>
      </c>
      <c r="M3805" s="12">
        <v>285.20282419169661</v>
      </c>
      <c r="N3805" s="12">
        <v>3977.4673418463599</v>
      </c>
      <c r="O3805" s="12">
        <v>1074.5430421874901</v>
      </c>
      <c r="P3805" s="12">
        <v>0.5</v>
      </c>
      <c r="Q3805" s="12">
        <v>0.56361384718494845</v>
      </c>
      <c r="R3805" s="12">
        <v>0.86873003410892813</v>
      </c>
      <c r="S3805" s="12">
        <v>0.51805686331692602</v>
      </c>
      <c r="T3805" s="12">
        <v>0.63375864423299411</v>
      </c>
      <c r="U3805" s="12">
        <v>0.86809557743630705</v>
      </c>
      <c r="V3805" s="12">
        <v>285.20282419169661</v>
      </c>
      <c r="W3805" s="12">
        <v>5.5359104602794202</v>
      </c>
      <c r="X3805" s="12">
        <v>59.756980618613291</v>
      </c>
      <c r="Y3805" s="12">
        <v>2902.92429965887</v>
      </c>
      <c r="Z3805" s="12">
        <v>3.7015430612712099</v>
      </c>
      <c r="AA3805" s="12"/>
      <c r="AB3805" s="12"/>
    </row>
    <row r="3806" spans="1:28" x14ac:dyDescent="0.3">
      <c r="A3806" s="12" t="s">
        <v>5733</v>
      </c>
      <c r="B3806" s="12" t="s">
        <v>206</v>
      </c>
      <c r="C3806" s="12" t="s">
        <v>578</v>
      </c>
      <c r="D3806" s="12" t="s">
        <v>5640</v>
      </c>
      <c r="E3806" s="12" t="s">
        <v>2978</v>
      </c>
      <c r="F3806" s="12" t="s">
        <v>32</v>
      </c>
      <c r="G3806" s="12" t="s">
        <v>32</v>
      </c>
      <c r="H3806" s="12" t="b">
        <v>1</v>
      </c>
      <c r="I3806" s="12" t="b">
        <v>1</v>
      </c>
      <c r="J3806" s="12" t="b">
        <v>0</v>
      </c>
      <c r="K3806" s="12" t="b">
        <v>0</v>
      </c>
      <c r="L3806" s="12">
        <v>429.03606995665768</v>
      </c>
      <c r="M3806" s="12">
        <v>279.99460663975429</v>
      </c>
      <c r="N3806" s="12">
        <v>2789.0632931765508</v>
      </c>
      <c r="O3806" s="12">
        <v>1811.461374951889</v>
      </c>
      <c r="P3806" s="12">
        <v>0.5</v>
      </c>
      <c r="Q3806" s="12">
        <v>0.75588062323654159</v>
      </c>
      <c r="R3806" s="12">
        <v>0.71439624179803696</v>
      </c>
      <c r="S3806" s="12">
        <v>0.59725135352780456</v>
      </c>
      <c r="T3806" s="12">
        <v>0.64216492047690066</v>
      </c>
      <c r="U3806" s="12">
        <v>0.71254198218526676</v>
      </c>
      <c r="V3806" s="12">
        <v>279.99460663975429</v>
      </c>
      <c r="W3806" s="12">
        <v>2.2782519094781</v>
      </c>
      <c r="X3806" s="12">
        <v>11.329444705297959</v>
      </c>
      <c r="Y3806" s="12">
        <v>977.60191822466243</v>
      </c>
      <c r="Z3806" s="12">
        <v>1.5396758284457639</v>
      </c>
      <c r="AA3806" s="12"/>
      <c r="AB3806" s="12"/>
    </row>
    <row r="3807" spans="1:28" x14ac:dyDescent="0.3">
      <c r="A3807" s="12" t="s">
        <v>5734</v>
      </c>
      <c r="B3807" s="12" t="s">
        <v>206</v>
      </c>
      <c r="C3807" s="12" t="s">
        <v>578</v>
      </c>
      <c r="D3807" s="12" t="s">
        <v>5640</v>
      </c>
      <c r="E3807" s="12" t="s">
        <v>2978</v>
      </c>
      <c r="F3807" s="12" t="s">
        <v>1862</v>
      </c>
      <c r="G3807" s="12" t="s">
        <v>1862</v>
      </c>
      <c r="H3807" s="12" t="b">
        <v>1</v>
      </c>
      <c r="I3807" s="12" t="b">
        <v>0</v>
      </c>
      <c r="J3807" s="12" t="b">
        <v>1</v>
      </c>
      <c r="K3807" s="12" t="b">
        <v>0</v>
      </c>
      <c r="L3807" s="12">
        <v>433.46145940272362</v>
      </c>
      <c r="M3807" s="12">
        <v>297.24261068813269</v>
      </c>
      <c r="N3807" s="12">
        <v>2663.44206896164</v>
      </c>
      <c r="O3807" s="12">
        <v>547.01069939991828</v>
      </c>
      <c r="P3807" s="12">
        <v>0.5</v>
      </c>
      <c r="Q3807" s="12">
        <v>0.44792072495081331</v>
      </c>
      <c r="R3807" s="12">
        <v>0.58990600463569554</v>
      </c>
      <c r="S3807" s="12">
        <v>0.73397475478810448</v>
      </c>
      <c r="T3807" s="12">
        <v>0.8056859379809701</v>
      </c>
      <c r="U3807" s="12">
        <v>0.50319896219371674</v>
      </c>
      <c r="V3807" s="12">
        <v>297.24261068813269</v>
      </c>
      <c r="W3807" s="12">
        <v>-5.5567833181941202</v>
      </c>
      <c r="X3807" s="12">
        <v>-25.611837241872411</v>
      </c>
      <c r="Y3807" s="12">
        <v>2116.4313695617211</v>
      </c>
      <c r="Z3807" s="12">
        <v>4.8690858732443241</v>
      </c>
      <c r="AA3807" s="12" t="s">
        <v>2513</v>
      </c>
      <c r="AB3807" s="12"/>
    </row>
    <row r="3808" spans="1:28" x14ac:dyDescent="0.3">
      <c r="A3808" s="12" t="s">
        <v>5735</v>
      </c>
      <c r="B3808" s="12" t="s">
        <v>206</v>
      </c>
      <c r="C3808" s="12" t="s">
        <v>578</v>
      </c>
      <c r="D3808" s="12" t="s">
        <v>5640</v>
      </c>
      <c r="E3808" s="12" t="s">
        <v>2978</v>
      </c>
      <c r="F3808" s="12" t="s">
        <v>1862</v>
      </c>
      <c r="G3808" s="12" t="s">
        <v>1862</v>
      </c>
      <c r="H3808" s="12" t="b">
        <v>1</v>
      </c>
      <c r="I3808" s="12" t="b">
        <v>0</v>
      </c>
      <c r="J3808" s="12" t="b">
        <v>1</v>
      </c>
      <c r="K3808" s="12" t="b">
        <v>0</v>
      </c>
      <c r="L3808" s="12">
        <v>495.09537733911861</v>
      </c>
      <c r="M3808" s="12">
        <v>284.8859020526566</v>
      </c>
      <c r="N3808" s="12">
        <v>3594.038197801452</v>
      </c>
      <c r="O3808" s="12">
        <v>1053.3057753333981</v>
      </c>
      <c r="P3808" s="12">
        <v>0.5</v>
      </c>
      <c r="Q3808" s="12">
        <v>0.50650082334370694</v>
      </c>
      <c r="R3808" s="12">
        <v>0.70613890136041535</v>
      </c>
      <c r="S3808" s="12">
        <v>0.48209986283551731</v>
      </c>
      <c r="T3808" s="12">
        <v>0.65720966295207861</v>
      </c>
      <c r="U3808" s="12">
        <v>0.45726141281245558</v>
      </c>
      <c r="V3808" s="12">
        <v>284.8859020526566</v>
      </c>
      <c r="W3808" s="12">
        <v>-2.3482548338275699</v>
      </c>
      <c r="X3808" s="12">
        <v>-16.512853565287319</v>
      </c>
      <c r="Y3808" s="12">
        <v>2540.7324224680542</v>
      </c>
      <c r="Z3808" s="12">
        <v>3.4121508511275822</v>
      </c>
      <c r="AA3808" s="12" t="s">
        <v>2513</v>
      </c>
      <c r="AB3808" s="12"/>
    </row>
    <row r="3809" spans="1:28" x14ac:dyDescent="0.3">
      <c r="A3809" s="12" t="s">
        <v>5736</v>
      </c>
      <c r="B3809" s="12" t="s">
        <v>206</v>
      </c>
      <c r="C3809" s="12" t="s">
        <v>578</v>
      </c>
      <c r="D3809" s="12" t="s">
        <v>5640</v>
      </c>
      <c r="E3809" s="12" t="s">
        <v>2978</v>
      </c>
      <c r="F3809" s="12" t="s">
        <v>32</v>
      </c>
      <c r="G3809" s="12" t="s">
        <v>32</v>
      </c>
      <c r="H3809" s="12" t="b">
        <v>1</v>
      </c>
      <c r="I3809" s="12" t="b">
        <v>0</v>
      </c>
      <c r="J3809" s="12" t="b">
        <v>1</v>
      </c>
      <c r="K3809" s="12" t="b">
        <v>0</v>
      </c>
      <c r="L3809" s="12">
        <v>468.5830255799965</v>
      </c>
      <c r="M3809" s="12">
        <v>296.27879535941162</v>
      </c>
      <c r="N3809" s="12">
        <v>4216.5613628243991</v>
      </c>
      <c r="O3809" s="12">
        <v>1323.8033507990931</v>
      </c>
      <c r="P3809" s="12">
        <v>0.5</v>
      </c>
      <c r="Q3809" s="12">
        <v>0.74019244041268739</v>
      </c>
      <c r="R3809" s="12">
        <v>0.87629206536445314</v>
      </c>
      <c r="S3809" s="12">
        <v>0.58798215020025835</v>
      </c>
      <c r="T3809" s="12">
        <v>0.84706964526063677</v>
      </c>
      <c r="U3809" s="12">
        <v>0.86637105472644982</v>
      </c>
      <c r="V3809" s="12">
        <v>296.27879535941162</v>
      </c>
      <c r="W3809" s="12">
        <v>6.8407531791052607</v>
      </c>
      <c r="X3809" s="12">
        <v>48.486428328218139</v>
      </c>
      <c r="Y3809" s="12">
        <v>2892.758012025306</v>
      </c>
      <c r="Z3809" s="12">
        <v>3.1851871052291401</v>
      </c>
      <c r="AA3809" s="12"/>
      <c r="AB3809" s="12"/>
    </row>
    <row r="3810" spans="1:28" x14ac:dyDescent="0.3">
      <c r="A3810" s="12" t="s">
        <v>5737</v>
      </c>
      <c r="B3810" s="12" t="s">
        <v>206</v>
      </c>
      <c r="C3810" s="12" t="s">
        <v>578</v>
      </c>
      <c r="D3810" s="12" t="s">
        <v>5640</v>
      </c>
      <c r="E3810" s="12" t="s">
        <v>2978</v>
      </c>
      <c r="F3810" s="12" t="s">
        <v>32</v>
      </c>
      <c r="G3810" s="12" t="s">
        <v>32</v>
      </c>
      <c r="H3810" s="12" t="b">
        <v>1</v>
      </c>
      <c r="I3810" s="12" t="b">
        <v>1</v>
      </c>
      <c r="J3810" s="12" t="b">
        <v>0</v>
      </c>
      <c r="K3810" s="12" t="b">
        <v>0</v>
      </c>
      <c r="L3810" s="12">
        <v>412.11801933266253</v>
      </c>
      <c r="M3810" s="12">
        <v>297.13439732767529</v>
      </c>
      <c r="N3810" s="12">
        <v>2646.6735027440518</v>
      </c>
      <c r="O3810" s="12">
        <v>1712.2645693661229</v>
      </c>
      <c r="P3810" s="12">
        <v>0.5</v>
      </c>
      <c r="Q3810" s="12">
        <v>0.92871012861343361</v>
      </c>
      <c r="R3810" s="12">
        <v>0.63204876619483874</v>
      </c>
      <c r="S3810" s="12">
        <v>0.53857144665771883</v>
      </c>
      <c r="T3810" s="12">
        <v>0.74272150660510694</v>
      </c>
      <c r="U3810" s="12">
        <v>0.51667611864141871</v>
      </c>
      <c r="V3810" s="12">
        <v>297.13439732767529</v>
      </c>
      <c r="W3810" s="12">
        <v>3.2269455052204998</v>
      </c>
      <c r="X3810" s="12">
        <v>9.013386838174096</v>
      </c>
      <c r="Y3810" s="12">
        <v>934.40893337792966</v>
      </c>
      <c r="Z3810" s="12">
        <v>1.5457152767716531</v>
      </c>
      <c r="AA3810" s="12"/>
      <c r="AB3810" s="12"/>
    </row>
    <row r="3811" spans="1:28" x14ac:dyDescent="0.3">
      <c r="A3811" s="12" t="s">
        <v>5738</v>
      </c>
      <c r="B3811" s="12" t="s">
        <v>206</v>
      </c>
      <c r="C3811" s="12" t="s">
        <v>578</v>
      </c>
      <c r="D3811" s="12" t="s">
        <v>5640</v>
      </c>
      <c r="E3811" s="12" t="s">
        <v>2978</v>
      </c>
      <c r="F3811" s="12" t="s">
        <v>1862</v>
      </c>
      <c r="G3811" s="12" t="s">
        <v>1862</v>
      </c>
      <c r="H3811" s="12" t="b">
        <v>1</v>
      </c>
      <c r="I3811" s="12" t="b">
        <v>0</v>
      </c>
      <c r="J3811" s="12" t="b">
        <v>1</v>
      </c>
      <c r="K3811" s="12" t="b">
        <v>0</v>
      </c>
      <c r="L3811" s="12">
        <v>503.80138766437511</v>
      </c>
      <c r="M3811" s="12">
        <v>300.65599071604771</v>
      </c>
      <c r="N3811" s="12">
        <v>4005.6070987733929</v>
      </c>
      <c r="O3811" s="12">
        <v>1420.5413678187881</v>
      </c>
      <c r="P3811" s="12">
        <v>0.5</v>
      </c>
      <c r="Q3811" s="12">
        <v>0.46154897449346138</v>
      </c>
      <c r="R3811" s="12">
        <v>0.8138574819403992</v>
      </c>
      <c r="S3811" s="12">
        <v>0.70177071675286173</v>
      </c>
      <c r="T3811" s="12">
        <v>0.4267413433663037</v>
      </c>
      <c r="U3811" s="12">
        <v>0.49835143469044402</v>
      </c>
      <c r="V3811" s="12">
        <v>300.65599071604771</v>
      </c>
      <c r="W3811" s="12">
        <v>-0.93621668393014001</v>
      </c>
      <c r="X3811" s="12">
        <v>-8.7840784994129137</v>
      </c>
      <c r="Y3811" s="12">
        <v>2585.065730954605</v>
      </c>
      <c r="Z3811" s="12">
        <v>2.819775044583122</v>
      </c>
      <c r="AA3811" s="12" t="s">
        <v>2513</v>
      </c>
      <c r="AB3811" s="12"/>
    </row>
    <row r="3812" spans="1:28" x14ac:dyDescent="0.3">
      <c r="A3812" s="12" t="s">
        <v>5739</v>
      </c>
      <c r="B3812" s="12" t="s">
        <v>206</v>
      </c>
      <c r="C3812" s="12" t="s">
        <v>578</v>
      </c>
      <c r="D3812" s="12" t="s">
        <v>5640</v>
      </c>
      <c r="E3812" s="12" t="s">
        <v>2978</v>
      </c>
      <c r="F3812" s="12" t="s">
        <v>32</v>
      </c>
      <c r="G3812" s="12" t="s">
        <v>32</v>
      </c>
      <c r="H3812" s="12" t="b">
        <v>1</v>
      </c>
      <c r="I3812" s="12" t="b">
        <v>1</v>
      </c>
      <c r="J3812" s="12" t="b">
        <v>0</v>
      </c>
      <c r="K3812" s="12" t="b">
        <v>0</v>
      </c>
      <c r="L3812" s="12">
        <v>427.48925050008961</v>
      </c>
      <c r="M3812" s="12">
        <v>287.18790109163291</v>
      </c>
      <c r="N3812" s="12">
        <v>4036.769224291656</v>
      </c>
      <c r="O3812" s="12">
        <v>737.25198918836259</v>
      </c>
      <c r="P3812" s="12">
        <v>0.5</v>
      </c>
      <c r="Q3812" s="12">
        <v>0.75853631502829266</v>
      </c>
      <c r="R3812" s="12">
        <v>0.92045089388788837</v>
      </c>
      <c r="S3812" s="12">
        <v>0.50870742769026145</v>
      </c>
      <c r="T3812" s="12">
        <v>0.89451777952419154</v>
      </c>
      <c r="U3812" s="12">
        <v>0.92291531644497904</v>
      </c>
      <c r="V3812" s="12">
        <v>287.18790109163291</v>
      </c>
      <c r="W3812" s="12">
        <v>6.9986862416480999</v>
      </c>
      <c r="X3812" s="12">
        <v>16.35324378708146</v>
      </c>
      <c r="Y3812" s="12">
        <v>3299.5172351032929</v>
      </c>
      <c r="Z3812" s="12">
        <v>5.4754266973707564</v>
      </c>
      <c r="AA3812" s="12"/>
      <c r="AB3812" s="12"/>
    </row>
    <row r="3813" spans="1:28" x14ac:dyDescent="0.3">
      <c r="A3813" s="12" t="s">
        <v>5740</v>
      </c>
      <c r="B3813" s="12" t="s">
        <v>206</v>
      </c>
      <c r="C3813" s="12" t="s">
        <v>578</v>
      </c>
      <c r="D3813" s="12" t="s">
        <v>5640</v>
      </c>
      <c r="E3813" s="12" t="s">
        <v>2978</v>
      </c>
      <c r="F3813" s="12" t="s">
        <v>1862</v>
      </c>
      <c r="G3813" s="12" t="s">
        <v>1862</v>
      </c>
      <c r="H3813" s="12" t="b">
        <v>1</v>
      </c>
      <c r="I3813" s="12" t="b">
        <v>0</v>
      </c>
      <c r="J3813" s="12" t="b">
        <v>0</v>
      </c>
      <c r="K3813" s="12" t="b">
        <v>0</v>
      </c>
      <c r="L3813" s="12">
        <v>414.88174907153331</v>
      </c>
      <c r="M3813" s="12">
        <v>293.47100493856351</v>
      </c>
      <c r="N3813" s="12">
        <v>4691.0498724145637</v>
      </c>
      <c r="O3813" s="12">
        <v>1206.0512101101519</v>
      </c>
      <c r="P3813" s="12">
        <v>0.5</v>
      </c>
      <c r="Q3813" s="12">
        <v>0.86849227952587671</v>
      </c>
      <c r="R3813" s="12">
        <v>0.56396134000742304</v>
      </c>
      <c r="S3813" s="12">
        <v>0.70402933014556779</v>
      </c>
      <c r="T3813" s="12">
        <v>0.92734568967594999</v>
      </c>
      <c r="U3813" s="12">
        <v>0.41661495529210568</v>
      </c>
      <c r="V3813" s="12">
        <v>293.47100493856351</v>
      </c>
      <c r="W3813" s="12">
        <v>-6.6437614182194604</v>
      </c>
      <c r="X3813" s="12">
        <v>-4.2302968843791469</v>
      </c>
      <c r="Y3813" s="12">
        <v>3484.998662304411</v>
      </c>
      <c r="Z3813" s="12">
        <v>3.8895942668853309</v>
      </c>
      <c r="AA3813" s="12" t="s">
        <v>1696</v>
      </c>
      <c r="AB3813" s="12"/>
    </row>
    <row r="3814" spans="1:28" x14ac:dyDescent="0.3">
      <c r="A3814" s="12" t="s">
        <v>5741</v>
      </c>
      <c r="B3814" s="12" t="s">
        <v>206</v>
      </c>
      <c r="C3814" s="12" t="s">
        <v>588</v>
      </c>
      <c r="D3814" s="12" t="s">
        <v>5742</v>
      </c>
      <c r="E3814" s="12" t="s">
        <v>2978</v>
      </c>
      <c r="F3814" s="12" t="s">
        <v>3483</v>
      </c>
      <c r="G3814" s="12"/>
      <c r="H3814" s="12" t="b">
        <v>0</v>
      </c>
      <c r="I3814" s="12" t="b">
        <v>0</v>
      </c>
      <c r="J3814" s="12"/>
      <c r="K3814" s="12" t="b">
        <v>1</v>
      </c>
      <c r="L3814" s="12">
        <v>623.15</v>
      </c>
      <c r="M3814" s="12">
        <v>302.43692984048602</v>
      </c>
      <c r="N3814" s="12">
        <v>2053.4782046975101</v>
      </c>
      <c r="O3814" s="12">
        <v>1826.8511532328459</v>
      </c>
      <c r="P3814" s="12">
        <v>0.5</v>
      </c>
      <c r="Q3814" s="12">
        <v>0.62948809835185959</v>
      </c>
      <c r="R3814" s="12">
        <v>0.43885165050260222</v>
      </c>
      <c r="S3814" s="12">
        <v>0.44236813351877058</v>
      </c>
      <c r="T3814" s="12">
        <v>0.5863711900583537</v>
      </c>
      <c r="U3814" s="12">
        <v>0.79653080915148489</v>
      </c>
      <c r="V3814" s="12"/>
      <c r="W3814" s="12"/>
      <c r="X3814" s="12"/>
      <c r="Y3814" s="12">
        <v>226.62705146466331</v>
      </c>
      <c r="Z3814" s="12">
        <v>1.124053375155178</v>
      </c>
      <c r="AA3814" s="12"/>
      <c r="AB3814" s="12"/>
    </row>
    <row r="3815" spans="1:28" x14ac:dyDescent="0.3">
      <c r="A3815" s="12" t="s">
        <v>5743</v>
      </c>
      <c r="B3815" s="12" t="s">
        <v>206</v>
      </c>
      <c r="C3815" s="12" t="s">
        <v>588</v>
      </c>
      <c r="D3815" s="12" t="s">
        <v>5742</v>
      </c>
      <c r="E3815" s="12" t="s">
        <v>2978</v>
      </c>
      <c r="F3815" s="12" t="s">
        <v>832</v>
      </c>
      <c r="G3815" s="12" t="s">
        <v>832</v>
      </c>
      <c r="H3815" s="12" t="b">
        <v>0</v>
      </c>
      <c r="I3815" s="12" t="b">
        <v>0</v>
      </c>
      <c r="J3815" s="12" t="b">
        <v>0</v>
      </c>
      <c r="K3815" s="12" t="b">
        <v>0</v>
      </c>
      <c r="L3815" s="12">
        <v>623.15</v>
      </c>
      <c r="M3815" s="12">
        <v>285.50576600306238</v>
      </c>
      <c r="N3815" s="12">
        <v>3023.887851124528</v>
      </c>
      <c r="O3815" s="12">
        <v>1036.985138163303</v>
      </c>
      <c r="P3815" s="12">
        <v>0.5</v>
      </c>
      <c r="Q3815" s="12">
        <v>0.42959414077315328</v>
      </c>
      <c r="R3815" s="12">
        <v>0.49541489636444003</v>
      </c>
      <c r="S3815" s="12">
        <v>0.93543072862760357</v>
      </c>
      <c r="T3815" s="12">
        <v>0.5671842255023356</v>
      </c>
      <c r="U3815" s="12">
        <v>0.40579085946573218</v>
      </c>
      <c r="V3815" s="12">
        <v>285.50576600306238</v>
      </c>
      <c r="W3815" s="12"/>
      <c r="X3815" s="12"/>
      <c r="Y3815" s="12">
        <v>1986.9027129612241</v>
      </c>
      <c r="Z3815" s="12">
        <v>2.916037790551564</v>
      </c>
      <c r="AA3815" s="12"/>
      <c r="AB3815" s="12"/>
    </row>
    <row r="3816" spans="1:28" x14ac:dyDescent="0.3">
      <c r="A3816" s="12" t="s">
        <v>5744</v>
      </c>
      <c r="B3816" s="12" t="s">
        <v>206</v>
      </c>
      <c r="C3816" s="12" t="s">
        <v>588</v>
      </c>
      <c r="D3816" s="12" t="s">
        <v>5742</v>
      </c>
      <c r="E3816" s="12" t="s">
        <v>2978</v>
      </c>
      <c r="F3816" s="12" t="s">
        <v>1861</v>
      </c>
      <c r="G3816" s="12" t="s">
        <v>1861</v>
      </c>
      <c r="H3816" s="12" t="b">
        <v>1</v>
      </c>
      <c r="I3816" s="12" t="b">
        <v>0</v>
      </c>
      <c r="J3816" s="12" t="b">
        <v>1</v>
      </c>
      <c r="K3816" s="12" t="b">
        <v>0</v>
      </c>
      <c r="L3816" s="12">
        <v>623.15</v>
      </c>
      <c r="M3816" s="12">
        <v>297.97445274137198</v>
      </c>
      <c r="N3816" s="12">
        <v>4119.4527533257788</v>
      </c>
      <c r="O3816" s="12">
        <v>1718.1420227970621</v>
      </c>
      <c r="P3816" s="12">
        <v>0.5</v>
      </c>
      <c r="Q3816" s="12">
        <v>0.57414557938313648</v>
      </c>
      <c r="R3816" s="12">
        <v>0.74442425141244517</v>
      </c>
      <c r="S3816" s="12">
        <v>0.4813276710437302</v>
      </c>
      <c r="T3816" s="12">
        <v>0.4501696673525023</v>
      </c>
      <c r="U3816" s="12">
        <v>0.51872902852564007</v>
      </c>
      <c r="V3816" s="12">
        <v>297.97445274137198</v>
      </c>
      <c r="W3816" s="12">
        <v>1.18206951261482</v>
      </c>
      <c r="X3816" s="12">
        <v>10.43562212521994</v>
      </c>
      <c r="Y3816" s="12">
        <v>2401.3107305287172</v>
      </c>
      <c r="Z3816" s="12">
        <v>2.3976206266228708</v>
      </c>
      <c r="AA3816" s="12" t="s">
        <v>1268</v>
      </c>
      <c r="AB3816" s="12"/>
    </row>
    <row r="3817" spans="1:28" x14ac:dyDescent="0.3">
      <c r="A3817" s="12" t="s">
        <v>5745</v>
      </c>
      <c r="B3817" s="12" t="s">
        <v>206</v>
      </c>
      <c r="C3817" s="12" t="s">
        <v>588</v>
      </c>
      <c r="D3817" s="12" t="s">
        <v>5742</v>
      </c>
      <c r="E3817" s="12" t="s">
        <v>2978</v>
      </c>
      <c r="F3817" s="12" t="s">
        <v>32</v>
      </c>
      <c r="G3817" s="12" t="s">
        <v>32</v>
      </c>
      <c r="H3817" s="12" t="b">
        <v>1</v>
      </c>
      <c r="I3817" s="12" t="b">
        <v>0</v>
      </c>
      <c r="J3817" s="12" t="b">
        <v>1</v>
      </c>
      <c r="K3817" s="12" t="b">
        <v>0</v>
      </c>
      <c r="L3817" s="12">
        <v>623.15</v>
      </c>
      <c r="M3817" s="12">
        <v>296.6709390361832</v>
      </c>
      <c r="N3817" s="12">
        <v>4838.7946403275246</v>
      </c>
      <c r="O3817" s="12">
        <v>1691.4757189033851</v>
      </c>
      <c r="P3817" s="12">
        <v>0.5</v>
      </c>
      <c r="Q3817" s="12">
        <v>0.8704763649122218</v>
      </c>
      <c r="R3817" s="12">
        <v>0.42463377028618599</v>
      </c>
      <c r="S3817" s="12">
        <v>0.80931284614936239</v>
      </c>
      <c r="T3817" s="12">
        <v>0.50775890371045096</v>
      </c>
      <c r="U3817" s="12">
        <v>0.88897286528721597</v>
      </c>
      <c r="V3817" s="12">
        <v>296.6709390361832</v>
      </c>
      <c r="W3817" s="12">
        <v>7.5568555635229702</v>
      </c>
      <c r="X3817" s="12">
        <v>150.81221757247559</v>
      </c>
      <c r="Y3817" s="12">
        <v>3147.3189214241411</v>
      </c>
      <c r="Z3817" s="12">
        <v>2.860694118307892</v>
      </c>
      <c r="AA3817" s="12"/>
      <c r="AB3817" s="12"/>
    </row>
    <row r="3818" spans="1:28" x14ac:dyDescent="0.3">
      <c r="A3818" s="12" t="s">
        <v>5746</v>
      </c>
      <c r="B3818" s="12" t="s">
        <v>206</v>
      </c>
      <c r="C3818" s="12" t="s">
        <v>588</v>
      </c>
      <c r="D3818" s="12" t="s">
        <v>5742</v>
      </c>
      <c r="E3818" s="12" t="s">
        <v>2978</v>
      </c>
      <c r="F3818" s="12" t="s">
        <v>832</v>
      </c>
      <c r="G3818" s="12" t="s">
        <v>832</v>
      </c>
      <c r="H3818" s="12" t="b">
        <v>0</v>
      </c>
      <c r="I3818" s="12" t="b">
        <v>0</v>
      </c>
      <c r="J3818" s="12" t="b">
        <v>0</v>
      </c>
      <c r="K3818" s="12" t="b">
        <v>0</v>
      </c>
      <c r="L3818" s="12">
        <v>623.15</v>
      </c>
      <c r="M3818" s="12">
        <v>294.52789728447812</v>
      </c>
      <c r="N3818" s="12">
        <v>2888.405024885868</v>
      </c>
      <c r="O3818" s="12">
        <v>1300.695137811615</v>
      </c>
      <c r="P3818" s="12">
        <v>0.5</v>
      </c>
      <c r="Q3818" s="12">
        <v>0.46130020479046702</v>
      </c>
      <c r="R3818" s="12">
        <v>0.80521880146475411</v>
      </c>
      <c r="S3818" s="12">
        <v>0.76027841053261414</v>
      </c>
      <c r="T3818" s="12">
        <v>0.89112055806200707</v>
      </c>
      <c r="U3818" s="12">
        <v>0.93155847810696635</v>
      </c>
      <c r="V3818" s="12">
        <v>294.52789728447812</v>
      </c>
      <c r="W3818" s="12"/>
      <c r="X3818" s="12"/>
      <c r="Y3818" s="12">
        <v>1587.7098870742529</v>
      </c>
      <c r="Z3818" s="12">
        <v>2.220662583351801</v>
      </c>
      <c r="AA3818" s="12"/>
      <c r="AB3818" s="12"/>
    </row>
    <row r="3819" spans="1:28" x14ac:dyDescent="0.3">
      <c r="A3819" s="12" t="s">
        <v>5747</v>
      </c>
      <c r="B3819" s="12" t="s">
        <v>206</v>
      </c>
      <c r="C3819" s="12" t="s">
        <v>588</v>
      </c>
      <c r="D3819" s="12" t="s">
        <v>5742</v>
      </c>
      <c r="E3819" s="12" t="s">
        <v>2978</v>
      </c>
      <c r="F3819" s="12" t="s">
        <v>1861</v>
      </c>
      <c r="G3819" s="12" t="s">
        <v>1861</v>
      </c>
      <c r="H3819" s="12" t="b">
        <v>1</v>
      </c>
      <c r="I3819" s="12" t="b">
        <v>0</v>
      </c>
      <c r="J3819" s="12" t="b">
        <v>1</v>
      </c>
      <c r="K3819" s="12" t="b">
        <v>0</v>
      </c>
      <c r="L3819" s="12">
        <v>623.15</v>
      </c>
      <c r="M3819" s="12">
        <v>280.38615540871052</v>
      </c>
      <c r="N3819" s="12">
        <v>4311.8577188260751</v>
      </c>
      <c r="O3819" s="12">
        <v>906.73166166679175</v>
      </c>
      <c r="P3819" s="12">
        <v>0.5</v>
      </c>
      <c r="Q3819" s="12">
        <v>0.90197087041175916</v>
      </c>
      <c r="R3819" s="12">
        <v>0.76785602695068134</v>
      </c>
      <c r="S3819" s="12">
        <v>0.57653880727130957</v>
      </c>
      <c r="T3819" s="12">
        <v>0.70074650355799351</v>
      </c>
      <c r="U3819" s="12">
        <v>0.6474577215001146</v>
      </c>
      <c r="V3819" s="12">
        <v>280.38615540871052</v>
      </c>
      <c r="W3819" s="12">
        <v>11.335337669306931</v>
      </c>
      <c r="X3819" s="12">
        <v>137.9306972909269</v>
      </c>
      <c r="Y3819" s="12">
        <v>3405.1260571592829</v>
      </c>
      <c r="Z3819" s="12">
        <v>4.7553845322880193</v>
      </c>
      <c r="AA3819" s="12" t="s">
        <v>1268</v>
      </c>
      <c r="AB3819" s="12"/>
    </row>
    <row r="3820" spans="1:28" x14ac:dyDescent="0.3">
      <c r="A3820" s="12" t="s">
        <v>5748</v>
      </c>
      <c r="B3820" s="12" t="s">
        <v>206</v>
      </c>
      <c r="C3820" s="12" t="s">
        <v>588</v>
      </c>
      <c r="D3820" s="12" t="s">
        <v>5742</v>
      </c>
      <c r="E3820" s="12" t="s">
        <v>2978</v>
      </c>
      <c r="F3820" s="12" t="s">
        <v>1861</v>
      </c>
      <c r="G3820" s="12" t="s">
        <v>1861</v>
      </c>
      <c r="H3820" s="12" t="b">
        <v>1</v>
      </c>
      <c r="I3820" s="12" t="b">
        <v>0</v>
      </c>
      <c r="J3820" s="12" t="b">
        <v>1</v>
      </c>
      <c r="K3820" s="12" t="b">
        <v>0</v>
      </c>
      <c r="L3820" s="12">
        <v>623.15</v>
      </c>
      <c r="M3820" s="12">
        <v>286.77702601833948</v>
      </c>
      <c r="N3820" s="12">
        <v>3344.0920292827</v>
      </c>
      <c r="O3820" s="12">
        <v>1841.4851566564539</v>
      </c>
      <c r="P3820" s="12">
        <v>0.5</v>
      </c>
      <c r="Q3820" s="12">
        <v>0.6733789253019512</v>
      </c>
      <c r="R3820" s="12">
        <v>0.53700061206055194</v>
      </c>
      <c r="S3820" s="12">
        <v>0.49633784270977932</v>
      </c>
      <c r="T3820" s="12">
        <v>0.78231873976878119</v>
      </c>
      <c r="U3820" s="12">
        <v>0.58915432701107329</v>
      </c>
      <c r="V3820" s="12">
        <v>286.77702601833948</v>
      </c>
      <c r="W3820" s="12">
        <v>1.8739076562244299</v>
      </c>
      <c r="X3820" s="12">
        <v>18.683708078240311</v>
      </c>
      <c r="Y3820" s="12">
        <v>1502.6068726262461</v>
      </c>
      <c r="Z3820" s="12">
        <v>1.8159755549452801</v>
      </c>
      <c r="AA3820" s="12" t="s">
        <v>1268</v>
      </c>
      <c r="AB3820" s="12"/>
    </row>
    <row r="3821" spans="1:28" x14ac:dyDescent="0.3">
      <c r="A3821" s="12" t="s">
        <v>5749</v>
      </c>
      <c r="B3821" s="12" t="s">
        <v>206</v>
      </c>
      <c r="C3821" s="12" t="s">
        <v>588</v>
      </c>
      <c r="D3821" s="12" t="s">
        <v>5742</v>
      </c>
      <c r="E3821" s="12" t="s">
        <v>2978</v>
      </c>
      <c r="F3821" s="12" t="s">
        <v>1861</v>
      </c>
      <c r="G3821" s="12" t="s">
        <v>1861</v>
      </c>
      <c r="H3821" s="12" t="b">
        <v>1</v>
      </c>
      <c r="I3821" s="12" t="b">
        <v>0</v>
      </c>
      <c r="J3821" s="12" t="b">
        <v>1</v>
      </c>
      <c r="K3821" s="12" t="b">
        <v>0</v>
      </c>
      <c r="L3821" s="12">
        <v>623.15</v>
      </c>
      <c r="M3821" s="12">
        <v>302.94880825059721</v>
      </c>
      <c r="N3821" s="12">
        <v>3832.934765698853</v>
      </c>
      <c r="O3821" s="12">
        <v>1551.3996514870721</v>
      </c>
      <c r="P3821" s="12">
        <v>0.5</v>
      </c>
      <c r="Q3821" s="12">
        <v>0.60523101470286289</v>
      </c>
      <c r="R3821" s="12">
        <v>0.52331488752593602</v>
      </c>
      <c r="S3821" s="12">
        <v>0.65893747345113773</v>
      </c>
      <c r="T3821" s="12">
        <v>0.86394152387739176</v>
      </c>
      <c r="U3821" s="12">
        <v>0.71706912973211434</v>
      </c>
      <c r="V3821" s="12">
        <v>302.94880825059721</v>
      </c>
      <c r="W3821" s="12">
        <v>3.3893999640643102</v>
      </c>
      <c r="X3821" s="12">
        <v>46.804079321477623</v>
      </c>
      <c r="Y3821" s="12">
        <v>2281.5351142117811</v>
      </c>
      <c r="Z3821" s="12">
        <v>2.470630157757769</v>
      </c>
      <c r="AA3821" s="12" t="s">
        <v>1268</v>
      </c>
      <c r="AB3821" s="12"/>
    </row>
    <row r="3822" spans="1:28" x14ac:dyDescent="0.3">
      <c r="A3822" s="12" t="s">
        <v>5750</v>
      </c>
      <c r="B3822" s="12" t="s">
        <v>206</v>
      </c>
      <c r="C3822" s="12" t="s">
        <v>588</v>
      </c>
      <c r="D3822" s="12" t="s">
        <v>5742</v>
      </c>
      <c r="E3822" s="12" t="s">
        <v>2978</v>
      </c>
      <c r="F3822" s="12" t="s">
        <v>1861</v>
      </c>
      <c r="G3822" s="12" t="s">
        <v>1861</v>
      </c>
      <c r="H3822" s="12" t="b">
        <v>1</v>
      </c>
      <c r="I3822" s="12" t="b">
        <v>0</v>
      </c>
      <c r="J3822" s="12" t="b">
        <v>1</v>
      </c>
      <c r="K3822" s="12" t="b">
        <v>0</v>
      </c>
      <c r="L3822" s="12">
        <v>623.15</v>
      </c>
      <c r="M3822" s="12">
        <v>287.68536644675498</v>
      </c>
      <c r="N3822" s="12">
        <v>3135.1843347553722</v>
      </c>
      <c r="O3822" s="12">
        <v>1956.5687996522611</v>
      </c>
      <c r="P3822" s="12">
        <v>0.5</v>
      </c>
      <c r="Q3822" s="12">
        <v>0.77958489018099031</v>
      </c>
      <c r="R3822" s="12">
        <v>0.6272931230930876</v>
      </c>
      <c r="S3822" s="12">
        <v>0.5142552253476359</v>
      </c>
      <c r="T3822" s="12">
        <v>0.67925007421116557</v>
      </c>
      <c r="U3822" s="12">
        <v>0.60224583786782571</v>
      </c>
      <c r="V3822" s="12">
        <v>287.68536644675498</v>
      </c>
      <c r="W3822" s="12">
        <v>2.5362948040704798</v>
      </c>
      <c r="X3822" s="12">
        <v>26.576112323858808</v>
      </c>
      <c r="Y3822" s="12">
        <v>1178.6155351031109</v>
      </c>
      <c r="Z3822" s="12">
        <v>1.6023890063628661</v>
      </c>
      <c r="AA3822" s="12" t="s">
        <v>1268</v>
      </c>
      <c r="AB3822" s="12"/>
    </row>
    <row r="3823" spans="1:28" x14ac:dyDescent="0.3">
      <c r="A3823" s="12" t="s">
        <v>5751</v>
      </c>
      <c r="B3823" s="12" t="s">
        <v>206</v>
      </c>
      <c r="C3823" s="12" t="s">
        <v>588</v>
      </c>
      <c r="D3823" s="12" t="s">
        <v>5742</v>
      </c>
      <c r="E3823" s="12" t="s">
        <v>2978</v>
      </c>
      <c r="F3823" s="12" t="s">
        <v>832</v>
      </c>
      <c r="G3823" s="12" t="s">
        <v>832</v>
      </c>
      <c r="H3823" s="12" t="b">
        <v>0</v>
      </c>
      <c r="I3823" s="12" t="b">
        <v>0</v>
      </c>
      <c r="J3823" s="12" t="b">
        <v>0</v>
      </c>
      <c r="K3823" s="12" t="b">
        <v>0</v>
      </c>
      <c r="L3823" s="12">
        <v>623.15</v>
      </c>
      <c r="M3823" s="12">
        <v>299.14851385802172</v>
      </c>
      <c r="N3823" s="12">
        <v>3559.1701331594359</v>
      </c>
      <c r="O3823" s="12">
        <v>758.03303535927751</v>
      </c>
      <c r="P3823" s="12">
        <v>0.5</v>
      </c>
      <c r="Q3823" s="12">
        <v>0.85156002398656105</v>
      </c>
      <c r="R3823" s="12">
        <v>0.75872987723313423</v>
      </c>
      <c r="S3823" s="12">
        <v>0.84828096567928402</v>
      </c>
      <c r="T3823" s="12">
        <v>0.67148413736659329</v>
      </c>
      <c r="U3823" s="12">
        <v>0.85782146928312664</v>
      </c>
      <c r="V3823" s="12">
        <v>299.14851385802172</v>
      </c>
      <c r="W3823" s="12"/>
      <c r="X3823" s="12"/>
      <c r="Y3823" s="12">
        <v>2801.1370978001592</v>
      </c>
      <c r="Z3823" s="12">
        <v>4.6952704791718363</v>
      </c>
      <c r="AA3823" s="12"/>
      <c r="AB3823" s="12"/>
    </row>
    <row r="3824" spans="1:28" x14ac:dyDescent="0.3">
      <c r="A3824" s="12" t="s">
        <v>5752</v>
      </c>
      <c r="B3824" s="12" t="s">
        <v>206</v>
      </c>
      <c r="C3824" s="12" t="s">
        <v>588</v>
      </c>
      <c r="D3824" s="12" t="s">
        <v>5742</v>
      </c>
      <c r="E3824" s="12" t="s">
        <v>2978</v>
      </c>
      <c r="F3824" s="12" t="s">
        <v>1862</v>
      </c>
      <c r="G3824" s="12" t="s">
        <v>1862</v>
      </c>
      <c r="H3824" s="12" t="b">
        <v>1</v>
      </c>
      <c r="I3824" s="12" t="b">
        <v>0</v>
      </c>
      <c r="J3824" s="12" t="b">
        <v>1</v>
      </c>
      <c r="K3824" s="12" t="b">
        <v>0</v>
      </c>
      <c r="L3824" s="12">
        <v>623.15</v>
      </c>
      <c r="M3824" s="12">
        <v>293.37413613722191</v>
      </c>
      <c r="N3824" s="12">
        <v>4944.1282627078581</v>
      </c>
      <c r="O3824" s="12">
        <v>1153.962499217281</v>
      </c>
      <c r="P3824" s="12">
        <v>0.5</v>
      </c>
      <c r="Q3824" s="12">
        <v>0.49763082846056461</v>
      </c>
      <c r="R3824" s="12">
        <v>0.46347309634461847</v>
      </c>
      <c r="S3824" s="12">
        <v>0.68489795914280294</v>
      </c>
      <c r="T3824" s="12">
        <v>0.62849687815397692</v>
      </c>
      <c r="U3824" s="12">
        <v>0.50362073681466524</v>
      </c>
      <c r="V3824" s="12">
        <v>293.37413613722191</v>
      </c>
      <c r="W3824" s="12">
        <v>-10.438332540040641</v>
      </c>
      <c r="X3824" s="12">
        <v>-102.5774614561138</v>
      </c>
      <c r="Y3824" s="12">
        <v>3790.1657634905769</v>
      </c>
      <c r="Z3824" s="12">
        <v>4.2844791456060314</v>
      </c>
      <c r="AA3824" s="12" t="s">
        <v>2513</v>
      </c>
      <c r="AB3824" s="12"/>
    </row>
    <row r="3825" spans="1:28" x14ac:dyDescent="0.3">
      <c r="A3825" s="12" t="s">
        <v>5753</v>
      </c>
      <c r="B3825" s="12" t="s">
        <v>206</v>
      </c>
      <c r="C3825" s="12" t="s">
        <v>588</v>
      </c>
      <c r="D3825" s="12" t="s">
        <v>5742</v>
      </c>
      <c r="E3825" s="12" t="s">
        <v>2978</v>
      </c>
      <c r="F3825" s="12" t="s">
        <v>32</v>
      </c>
      <c r="G3825" s="12" t="s">
        <v>32</v>
      </c>
      <c r="H3825" s="12" t="b">
        <v>1</v>
      </c>
      <c r="I3825" s="12" t="b">
        <v>0</v>
      </c>
      <c r="J3825" s="12" t="b">
        <v>1</v>
      </c>
      <c r="K3825" s="12" t="b">
        <v>0</v>
      </c>
      <c r="L3825" s="12">
        <v>623.15</v>
      </c>
      <c r="M3825" s="12">
        <v>288.49273277144459</v>
      </c>
      <c r="N3825" s="12">
        <v>4706.9246544998878</v>
      </c>
      <c r="O3825" s="12">
        <v>1896.6676965987681</v>
      </c>
      <c r="P3825" s="12">
        <v>0.5</v>
      </c>
      <c r="Q3825" s="12">
        <v>0.52750858025782066</v>
      </c>
      <c r="R3825" s="12">
        <v>0.60497909929974503</v>
      </c>
      <c r="S3825" s="12">
        <v>0.58437298306370178</v>
      </c>
      <c r="T3825" s="12">
        <v>0.85572731551437364</v>
      </c>
      <c r="U3825" s="12">
        <v>0.89860557990381185</v>
      </c>
      <c r="V3825" s="12">
        <v>288.49273277144459</v>
      </c>
      <c r="W3825" s="12">
        <v>3.7235144806072298</v>
      </c>
      <c r="X3825" s="12">
        <v>52.051362068058168</v>
      </c>
      <c r="Y3825" s="12">
        <v>2810.2569579011201</v>
      </c>
      <c r="Z3825" s="12">
        <v>2.4816812470316552</v>
      </c>
      <c r="AA3825" s="12"/>
      <c r="AB3825" s="12"/>
    </row>
    <row r="3826" spans="1:28" x14ac:dyDescent="0.3">
      <c r="A3826" s="12" t="s">
        <v>5754</v>
      </c>
      <c r="B3826" s="12" t="s">
        <v>206</v>
      </c>
      <c r="C3826" s="12" t="s">
        <v>588</v>
      </c>
      <c r="D3826" s="12" t="s">
        <v>5742</v>
      </c>
      <c r="E3826" s="12" t="s">
        <v>2978</v>
      </c>
      <c r="F3826" s="12" t="s">
        <v>832</v>
      </c>
      <c r="G3826" s="12" t="s">
        <v>832</v>
      </c>
      <c r="H3826" s="12" t="b">
        <v>0</v>
      </c>
      <c r="I3826" s="12" t="b">
        <v>0</v>
      </c>
      <c r="J3826" s="12" t="b">
        <v>0</v>
      </c>
      <c r="K3826" s="12" t="b">
        <v>0</v>
      </c>
      <c r="L3826" s="12">
        <v>623.15</v>
      </c>
      <c r="M3826" s="12">
        <v>293.87977941448889</v>
      </c>
      <c r="N3826" s="12">
        <v>2286.2894492805408</v>
      </c>
      <c r="O3826" s="12">
        <v>1221.7926030998251</v>
      </c>
      <c r="P3826" s="12">
        <v>0.5</v>
      </c>
      <c r="Q3826" s="12">
        <v>0.76011740470449007</v>
      </c>
      <c r="R3826" s="12">
        <v>0.72443346410726717</v>
      </c>
      <c r="S3826" s="12">
        <v>0.90999605085350643</v>
      </c>
      <c r="T3826" s="12">
        <v>0.75307701391705506</v>
      </c>
      <c r="U3826" s="12">
        <v>0.67834057305629769</v>
      </c>
      <c r="V3826" s="12">
        <v>293.87977941448889</v>
      </c>
      <c r="W3826" s="12"/>
      <c r="X3826" s="12"/>
      <c r="Y3826" s="12">
        <v>1064.4968461807159</v>
      </c>
      <c r="Z3826" s="12">
        <v>1.871258218031413</v>
      </c>
      <c r="AA3826" s="12"/>
      <c r="AB3826" s="12"/>
    </row>
    <row r="3827" spans="1:28" x14ac:dyDescent="0.3">
      <c r="A3827" s="12" t="s">
        <v>5755</v>
      </c>
      <c r="B3827" s="12" t="s">
        <v>206</v>
      </c>
      <c r="C3827" s="12" t="s">
        <v>588</v>
      </c>
      <c r="D3827" s="12" t="s">
        <v>5742</v>
      </c>
      <c r="E3827" s="12" t="s">
        <v>2978</v>
      </c>
      <c r="F3827" s="12" t="s">
        <v>1862</v>
      </c>
      <c r="G3827" s="12" t="s">
        <v>1862</v>
      </c>
      <c r="H3827" s="12" t="b">
        <v>1</v>
      </c>
      <c r="I3827" s="12" t="b">
        <v>0</v>
      </c>
      <c r="J3827" s="12" t="b">
        <v>1</v>
      </c>
      <c r="K3827" s="12" t="b">
        <v>0</v>
      </c>
      <c r="L3827" s="12">
        <v>623.15</v>
      </c>
      <c r="M3827" s="12">
        <v>295.75260436740871</v>
      </c>
      <c r="N3827" s="12">
        <v>3207.9965074324969</v>
      </c>
      <c r="O3827" s="12">
        <v>663.31012189775493</v>
      </c>
      <c r="P3827" s="12">
        <v>0.5</v>
      </c>
      <c r="Q3827" s="12">
        <v>0.69187907361311862</v>
      </c>
      <c r="R3827" s="12">
        <v>0.57800370706946314</v>
      </c>
      <c r="S3827" s="12">
        <v>0.63893684955329921</v>
      </c>
      <c r="T3827" s="12">
        <v>0.42347422024331821</v>
      </c>
      <c r="U3827" s="12">
        <v>0.43245708012076139</v>
      </c>
      <c r="V3827" s="12">
        <v>295.75260436740871</v>
      </c>
      <c r="W3827" s="12">
        <v>-6.9869188753795992</v>
      </c>
      <c r="X3827" s="12">
        <v>-58.935484175305866</v>
      </c>
      <c r="Y3827" s="12">
        <v>2544.6863855347419</v>
      </c>
      <c r="Z3827" s="12">
        <v>4.8363448732763183</v>
      </c>
      <c r="AA3827" s="12" t="s">
        <v>2513</v>
      </c>
      <c r="AB3827" s="12"/>
    </row>
    <row r="3828" spans="1:28" x14ac:dyDescent="0.3">
      <c r="A3828" s="12" t="s">
        <v>5756</v>
      </c>
      <c r="B3828" s="12" t="s">
        <v>206</v>
      </c>
      <c r="C3828" s="12" t="s">
        <v>588</v>
      </c>
      <c r="D3828" s="12" t="s">
        <v>5742</v>
      </c>
      <c r="E3828" s="12" t="s">
        <v>2978</v>
      </c>
      <c r="F3828" s="12" t="s">
        <v>1861</v>
      </c>
      <c r="G3828" s="12" t="s">
        <v>1861</v>
      </c>
      <c r="H3828" s="12" t="b">
        <v>1</v>
      </c>
      <c r="I3828" s="12" t="b">
        <v>0</v>
      </c>
      <c r="J3828" s="12" t="b">
        <v>1</v>
      </c>
      <c r="K3828" s="12" t="b">
        <v>0</v>
      </c>
      <c r="L3828" s="12">
        <v>623.15</v>
      </c>
      <c r="M3828" s="12">
        <v>290.12851081125319</v>
      </c>
      <c r="N3828" s="12">
        <v>2521.2492550858351</v>
      </c>
      <c r="O3828" s="12">
        <v>410.81361995002032</v>
      </c>
      <c r="P3828" s="12">
        <v>0.5</v>
      </c>
      <c r="Q3828" s="12">
        <v>0.72731096867747069</v>
      </c>
      <c r="R3828" s="12">
        <v>0.89909345914158312</v>
      </c>
      <c r="S3828" s="12">
        <v>0.62620911362688725</v>
      </c>
      <c r="T3828" s="12">
        <v>0.83942020671896223</v>
      </c>
      <c r="U3828" s="12">
        <v>0.49042703467108328</v>
      </c>
      <c r="V3828" s="12">
        <v>290.12851081125319</v>
      </c>
      <c r="W3828" s="12">
        <v>6.0047647812496798</v>
      </c>
      <c r="X3828" s="12">
        <v>61.306816002204641</v>
      </c>
      <c r="Y3828" s="12">
        <v>2110.4356351358151</v>
      </c>
      <c r="Z3828" s="12">
        <v>6.1372095097347819</v>
      </c>
      <c r="AA3828" s="12" t="s">
        <v>1268</v>
      </c>
      <c r="AB3828" s="12"/>
    </row>
    <row r="3829" spans="1:28" x14ac:dyDescent="0.3">
      <c r="A3829" s="12" t="s">
        <v>5757</v>
      </c>
      <c r="B3829" s="12" t="s">
        <v>206</v>
      </c>
      <c r="C3829" s="12" t="s">
        <v>588</v>
      </c>
      <c r="D3829" s="12" t="s">
        <v>5742</v>
      </c>
      <c r="E3829" s="12" t="s">
        <v>2978</v>
      </c>
      <c r="F3829" s="12" t="s">
        <v>832</v>
      </c>
      <c r="G3829" s="12" t="s">
        <v>832</v>
      </c>
      <c r="H3829" s="12" t="b">
        <v>0</v>
      </c>
      <c r="I3829" s="12" t="b">
        <v>0</v>
      </c>
      <c r="J3829" s="12" t="b">
        <v>0</v>
      </c>
      <c r="K3829" s="12" t="b">
        <v>0</v>
      </c>
      <c r="L3829" s="12">
        <v>623.15</v>
      </c>
      <c r="M3829" s="12">
        <v>301.36220782371231</v>
      </c>
      <c r="N3829" s="12">
        <v>2789.943982846316</v>
      </c>
      <c r="O3829" s="12">
        <v>472.26146906016379</v>
      </c>
      <c r="P3829" s="12">
        <v>0.5</v>
      </c>
      <c r="Q3829" s="12">
        <v>0.8767749760130179</v>
      </c>
      <c r="R3829" s="12">
        <v>0.59033986754371892</v>
      </c>
      <c r="S3829" s="12">
        <v>0.88370478217667725</v>
      </c>
      <c r="T3829" s="12">
        <v>0.4007836466241444</v>
      </c>
      <c r="U3829" s="12">
        <v>0.86675954374836961</v>
      </c>
      <c r="V3829" s="12">
        <v>301.36220782371231</v>
      </c>
      <c r="W3829" s="12"/>
      <c r="X3829" s="12"/>
      <c r="Y3829" s="12">
        <v>2317.682513786152</v>
      </c>
      <c r="Z3829" s="12">
        <v>5.9076256811687733</v>
      </c>
      <c r="AA3829" s="12"/>
      <c r="AB3829" s="12"/>
    </row>
    <row r="3830" spans="1:28" x14ac:dyDescent="0.3">
      <c r="A3830" s="12" t="s">
        <v>5758</v>
      </c>
      <c r="B3830" s="12" t="s">
        <v>206</v>
      </c>
      <c r="C3830" s="12" t="s">
        <v>588</v>
      </c>
      <c r="D3830" s="12" t="s">
        <v>5742</v>
      </c>
      <c r="E3830" s="12" t="s">
        <v>2978</v>
      </c>
      <c r="F3830" s="12" t="s">
        <v>832</v>
      </c>
      <c r="G3830" s="12" t="s">
        <v>832</v>
      </c>
      <c r="H3830" s="12" t="b">
        <v>0</v>
      </c>
      <c r="I3830" s="12" t="b">
        <v>0</v>
      </c>
      <c r="J3830" s="12" t="b">
        <v>0</v>
      </c>
      <c r="K3830" s="12" t="b">
        <v>0</v>
      </c>
      <c r="L3830" s="12">
        <v>623.15</v>
      </c>
      <c r="M3830" s="12">
        <v>286.04611960775998</v>
      </c>
      <c r="N3830" s="12">
        <v>3626.1393601110171</v>
      </c>
      <c r="O3830" s="12">
        <v>614.34576707165274</v>
      </c>
      <c r="P3830" s="12">
        <v>0.5</v>
      </c>
      <c r="Q3830" s="12">
        <v>0.43808094382134249</v>
      </c>
      <c r="R3830" s="12">
        <v>0.67064733041979285</v>
      </c>
      <c r="S3830" s="12">
        <v>0.77173356656760195</v>
      </c>
      <c r="T3830" s="12">
        <v>0.56107359919981192</v>
      </c>
      <c r="U3830" s="12">
        <v>0.47066497855053002</v>
      </c>
      <c r="V3830" s="12">
        <v>286.04611960775998</v>
      </c>
      <c r="W3830" s="12"/>
      <c r="X3830" s="12"/>
      <c r="Y3830" s="12">
        <v>3011.7935930393642</v>
      </c>
      <c r="Z3830" s="12">
        <v>5.9024405383232521</v>
      </c>
      <c r="AA3830" s="12"/>
      <c r="AB3830" s="12"/>
    </row>
    <row r="3831" spans="1:28" x14ac:dyDescent="0.3">
      <c r="A3831" s="12" t="s">
        <v>5759</v>
      </c>
      <c r="B3831" s="12" t="s">
        <v>206</v>
      </c>
      <c r="C3831" s="12" t="s">
        <v>588</v>
      </c>
      <c r="D3831" s="12" t="s">
        <v>5742</v>
      </c>
      <c r="E3831" s="12" t="s">
        <v>2978</v>
      </c>
      <c r="F3831" s="12" t="s">
        <v>1861</v>
      </c>
      <c r="G3831" s="12" t="s">
        <v>1861</v>
      </c>
      <c r="H3831" s="12" t="b">
        <v>1</v>
      </c>
      <c r="I3831" s="12" t="b">
        <v>0</v>
      </c>
      <c r="J3831" s="12" t="b">
        <v>1</v>
      </c>
      <c r="K3831" s="12" t="b">
        <v>0</v>
      </c>
      <c r="L3831" s="12">
        <v>623.15</v>
      </c>
      <c r="M3831" s="12">
        <v>279.43735218296899</v>
      </c>
      <c r="N3831" s="12">
        <v>3492.8263978633422</v>
      </c>
      <c r="O3831" s="12">
        <v>564.50313323253931</v>
      </c>
      <c r="P3831" s="12">
        <v>0.5</v>
      </c>
      <c r="Q3831" s="12">
        <v>0.92092260158219363</v>
      </c>
      <c r="R3831" s="12">
        <v>0.48150401947621863</v>
      </c>
      <c r="S3831" s="12">
        <v>0.41379717548444961</v>
      </c>
      <c r="T3831" s="12">
        <v>0.51668254807737068</v>
      </c>
      <c r="U3831" s="12">
        <v>0.70148681337025087</v>
      </c>
      <c r="V3831" s="12">
        <v>279.43735218296899</v>
      </c>
      <c r="W3831" s="12">
        <v>11.855728364637359</v>
      </c>
      <c r="X3831" s="12">
        <v>114.0759581985261</v>
      </c>
      <c r="Y3831" s="12">
        <v>2928.3232646308029</v>
      </c>
      <c r="Z3831" s="12">
        <v>6.187434917964433</v>
      </c>
      <c r="AA3831" s="12" t="s">
        <v>1268</v>
      </c>
      <c r="AB3831" s="12"/>
    </row>
    <row r="3832" spans="1:28" x14ac:dyDescent="0.3">
      <c r="A3832" s="12" t="s">
        <v>5760</v>
      </c>
      <c r="B3832" s="12" t="s">
        <v>206</v>
      </c>
      <c r="C3832" s="12" t="s">
        <v>588</v>
      </c>
      <c r="D3832" s="12" t="s">
        <v>5742</v>
      </c>
      <c r="E3832" s="12" t="s">
        <v>2978</v>
      </c>
      <c r="F3832" s="12" t="s">
        <v>1862</v>
      </c>
      <c r="G3832" s="12" t="s">
        <v>1862</v>
      </c>
      <c r="H3832" s="12" t="b">
        <v>1</v>
      </c>
      <c r="I3832" s="12" t="b">
        <v>0</v>
      </c>
      <c r="J3832" s="12" t="b">
        <v>1</v>
      </c>
      <c r="K3832" s="12" t="b">
        <v>0</v>
      </c>
      <c r="L3832" s="12">
        <v>623.15</v>
      </c>
      <c r="M3832" s="12">
        <v>283.33442687364408</v>
      </c>
      <c r="N3832" s="12">
        <v>2695.4725913848129</v>
      </c>
      <c r="O3832" s="12">
        <v>1022.176402623704</v>
      </c>
      <c r="P3832" s="12">
        <v>0.5</v>
      </c>
      <c r="Q3832" s="12">
        <v>0.40521969181727019</v>
      </c>
      <c r="R3832" s="12">
        <v>0.41022023365075361</v>
      </c>
      <c r="S3832" s="12">
        <v>0.55564921359304953</v>
      </c>
      <c r="T3832" s="12">
        <v>0.4774699603986482</v>
      </c>
      <c r="U3832" s="12">
        <v>0.54531600329658036</v>
      </c>
      <c r="V3832" s="12">
        <v>283.33442687364408</v>
      </c>
      <c r="W3832" s="12">
        <v>-6.9002159754652999</v>
      </c>
      <c r="X3832" s="12">
        <v>-68.544079850404643</v>
      </c>
      <c r="Y3832" s="12">
        <v>1673.2961887611091</v>
      </c>
      <c r="Z3832" s="12">
        <v>2.6369935604716779</v>
      </c>
      <c r="AA3832" s="12" t="s">
        <v>2513</v>
      </c>
      <c r="AB3832" s="12"/>
    </row>
    <row r="3833" spans="1:28" x14ac:dyDescent="0.3">
      <c r="A3833" s="12" t="s">
        <v>5761</v>
      </c>
      <c r="B3833" s="12" t="s">
        <v>206</v>
      </c>
      <c r="C3833" s="12" t="s">
        <v>588</v>
      </c>
      <c r="D3833" s="12" t="s">
        <v>5742</v>
      </c>
      <c r="E3833" s="12" t="s">
        <v>2978</v>
      </c>
      <c r="F3833" s="12" t="s">
        <v>1861</v>
      </c>
      <c r="G3833" s="12" t="s">
        <v>1861</v>
      </c>
      <c r="H3833" s="12" t="b">
        <v>1</v>
      </c>
      <c r="I3833" s="12" t="b">
        <v>0</v>
      </c>
      <c r="J3833" s="12" t="b">
        <v>1</v>
      </c>
      <c r="K3833" s="12" t="b">
        <v>0</v>
      </c>
      <c r="L3833" s="12">
        <v>623.15</v>
      </c>
      <c r="M3833" s="12">
        <v>297.03665195844582</v>
      </c>
      <c r="N3833" s="12">
        <v>3735.82872772568</v>
      </c>
      <c r="O3833" s="12">
        <v>1363.4770177545961</v>
      </c>
      <c r="P3833" s="12">
        <v>0.5</v>
      </c>
      <c r="Q3833" s="12">
        <v>0.79556809205690771</v>
      </c>
      <c r="R3833" s="12">
        <v>0.93982322991070022</v>
      </c>
      <c r="S3833" s="12">
        <v>0.73880482522359192</v>
      </c>
      <c r="T3833" s="12">
        <v>0.93921348670523397</v>
      </c>
      <c r="U3833" s="12">
        <v>0.80372327190761594</v>
      </c>
      <c r="V3833" s="12">
        <v>297.03665195844582</v>
      </c>
      <c r="W3833" s="12">
        <v>7.29734653390347</v>
      </c>
      <c r="X3833" s="12">
        <v>123.9159369869196</v>
      </c>
      <c r="Y3833" s="12">
        <v>2372.3517099710839</v>
      </c>
      <c r="Z3833" s="12">
        <v>2.7399279042326099</v>
      </c>
      <c r="AA3833" s="12" t="s">
        <v>1268</v>
      </c>
      <c r="AB3833" s="12"/>
    </row>
    <row r="3834" spans="1:28" x14ac:dyDescent="0.3">
      <c r="A3834" s="12" t="s">
        <v>5762</v>
      </c>
      <c r="B3834" s="12" t="s">
        <v>206</v>
      </c>
      <c r="C3834" s="12" t="s">
        <v>588</v>
      </c>
      <c r="D3834" s="12" t="s">
        <v>5742</v>
      </c>
      <c r="E3834" s="12" t="s">
        <v>2978</v>
      </c>
      <c r="F3834" s="12" t="s">
        <v>1861</v>
      </c>
      <c r="G3834" s="12" t="s">
        <v>1861</v>
      </c>
      <c r="H3834" s="12" t="b">
        <v>1</v>
      </c>
      <c r="I3834" s="12" t="b">
        <v>0</v>
      </c>
      <c r="J3834" s="12" t="b">
        <v>1</v>
      </c>
      <c r="K3834" s="12" t="b">
        <v>0</v>
      </c>
      <c r="L3834" s="12">
        <v>623.15</v>
      </c>
      <c r="M3834" s="12">
        <v>300.77758572230391</v>
      </c>
      <c r="N3834" s="12">
        <v>4271.3451573060011</v>
      </c>
      <c r="O3834" s="12">
        <v>828.5603230612337</v>
      </c>
      <c r="P3834" s="12">
        <v>0.5</v>
      </c>
      <c r="Q3834" s="12">
        <v>0.83253272841253523</v>
      </c>
      <c r="R3834" s="12">
        <v>0.85036217452290352</v>
      </c>
      <c r="S3834" s="12">
        <v>0.79498452419821508</v>
      </c>
      <c r="T3834" s="12">
        <v>0.9156576638667896</v>
      </c>
      <c r="U3834" s="12">
        <v>0.74978149232501701</v>
      </c>
      <c r="V3834" s="12">
        <v>300.77758572230391</v>
      </c>
      <c r="W3834" s="12">
        <v>11.292906414487611</v>
      </c>
      <c r="X3834" s="12">
        <v>193.21301527251239</v>
      </c>
      <c r="Y3834" s="12">
        <v>3442.7848342447678</v>
      </c>
      <c r="Z3834" s="12">
        <v>5.1551408369699754</v>
      </c>
      <c r="AA3834" s="12" t="s">
        <v>1268</v>
      </c>
      <c r="AB3834" s="12"/>
    </row>
    <row r="3835" spans="1:28" x14ac:dyDescent="0.3">
      <c r="A3835" s="12" t="s">
        <v>5763</v>
      </c>
      <c r="B3835" s="12" t="s">
        <v>206</v>
      </c>
      <c r="C3835" s="12" t="s">
        <v>588</v>
      </c>
      <c r="D3835" s="12" t="s">
        <v>5742</v>
      </c>
      <c r="E3835" s="12" t="s">
        <v>2978</v>
      </c>
      <c r="F3835" s="12" t="s">
        <v>1861</v>
      </c>
      <c r="G3835" s="12" t="s">
        <v>1861</v>
      </c>
      <c r="H3835" s="12" t="b">
        <v>1</v>
      </c>
      <c r="I3835" s="12" t="b">
        <v>0</v>
      </c>
      <c r="J3835" s="12" t="b">
        <v>1</v>
      </c>
      <c r="K3835" s="12" t="b">
        <v>0</v>
      </c>
      <c r="L3835" s="12">
        <v>623.15</v>
      </c>
      <c r="M3835" s="12">
        <v>282.45043750694748</v>
      </c>
      <c r="N3835" s="12">
        <v>4024.0538518058102</v>
      </c>
      <c r="O3835" s="12">
        <v>1478.717686865702</v>
      </c>
      <c r="P3835" s="12">
        <v>0.5</v>
      </c>
      <c r="Q3835" s="12">
        <v>0.69368543985022857</v>
      </c>
      <c r="R3835" s="12">
        <v>0.5586787654959271</v>
      </c>
      <c r="S3835" s="12">
        <v>0.71556514420173667</v>
      </c>
      <c r="T3835" s="12">
        <v>0.648981114597321</v>
      </c>
      <c r="U3835" s="12">
        <v>0.73279056300757439</v>
      </c>
      <c r="V3835" s="12">
        <v>282.45043750694748</v>
      </c>
      <c r="W3835" s="12">
        <v>5.5457363889110898</v>
      </c>
      <c r="X3835" s="12">
        <v>87.392425440889056</v>
      </c>
      <c r="Y3835" s="12">
        <v>2545.3361649401081</v>
      </c>
      <c r="Z3835" s="12">
        <v>2.721313126601749</v>
      </c>
      <c r="AA3835" s="12" t="s">
        <v>1268</v>
      </c>
      <c r="AB3835" s="12"/>
    </row>
    <row r="3836" spans="1:28" x14ac:dyDescent="0.3">
      <c r="A3836" s="12" t="s">
        <v>5764</v>
      </c>
      <c r="B3836" s="12" t="s">
        <v>206</v>
      </c>
      <c r="C3836" s="12" t="s">
        <v>588</v>
      </c>
      <c r="D3836" s="12" t="s">
        <v>5742</v>
      </c>
      <c r="E3836" s="12" t="s">
        <v>2978</v>
      </c>
      <c r="F3836" s="12" t="s">
        <v>1861</v>
      </c>
      <c r="G3836" s="12" t="s">
        <v>1861</v>
      </c>
      <c r="H3836" s="12" t="b">
        <v>1</v>
      </c>
      <c r="I3836" s="12" t="b">
        <v>0</v>
      </c>
      <c r="J3836" s="12" t="b">
        <v>1</v>
      </c>
      <c r="K3836" s="12" t="b">
        <v>0</v>
      </c>
      <c r="L3836" s="12">
        <v>623.15</v>
      </c>
      <c r="M3836" s="12">
        <v>282.04936481054222</v>
      </c>
      <c r="N3836" s="12">
        <v>2159.0954523858172</v>
      </c>
      <c r="O3836" s="12">
        <v>433.95986287819437</v>
      </c>
      <c r="P3836" s="12">
        <v>0.5</v>
      </c>
      <c r="Q3836" s="12">
        <v>0.48889707692097067</v>
      </c>
      <c r="R3836" s="12">
        <v>0.70836554663628881</v>
      </c>
      <c r="S3836" s="12">
        <v>0.69598047032087784</v>
      </c>
      <c r="T3836" s="12">
        <v>0.80961091486351111</v>
      </c>
      <c r="U3836" s="12">
        <v>0.78026097623277701</v>
      </c>
      <c r="V3836" s="12">
        <v>282.04936481054222</v>
      </c>
      <c r="W3836" s="12">
        <v>4.8643256878755894</v>
      </c>
      <c r="X3836" s="12">
        <v>78.498155911208698</v>
      </c>
      <c r="Y3836" s="12">
        <v>1725.1355895076219</v>
      </c>
      <c r="Z3836" s="12">
        <v>4.9753344423740877</v>
      </c>
      <c r="AA3836" s="12" t="s">
        <v>1268</v>
      </c>
      <c r="AB3836" s="12"/>
    </row>
    <row r="3837" spans="1:28" x14ac:dyDescent="0.3">
      <c r="A3837" s="12" t="s">
        <v>5765</v>
      </c>
      <c r="B3837" s="12" t="s">
        <v>206</v>
      </c>
      <c r="C3837" s="12" t="s">
        <v>588</v>
      </c>
      <c r="D3837" s="12" t="s">
        <v>5742</v>
      </c>
      <c r="E3837" s="12" t="s">
        <v>2978</v>
      </c>
      <c r="F3837" s="12" t="s">
        <v>1861</v>
      </c>
      <c r="G3837" s="12" t="s">
        <v>1861</v>
      </c>
      <c r="H3837" s="12" t="b">
        <v>1</v>
      </c>
      <c r="I3837" s="12" t="b">
        <v>0</v>
      </c>
      <c r="J3837" s="12" t="b">
        <v>1</v>
      </c>
      <c r="K3837" s="12" t="b">
        <v>0</v>
      </c>
      <c r="L3837" s="12">
        <v>623.15</v>
      </c>
      <c r="M3837" s="12">
        <v>278.84784593739909</v>
      </c>
      <c r="N3837" s="12">
        <v>4487.133998989706</v>
      </c>
      <c r="O3837" s="12">
        <v>340.40303697573518</v>
      </c>
      <c r="P3837" s="12">
        <v>0.5</v>
      </c>
      <c r="Q3837" s="12">
        <v>0.82140518714323307</v>
      </c>
      <c r="R3837" s="12">
        <v>0.79117202769563133</v>
      </c>
      <c r="S3837" s="12">
        <v>0.54378859114543565</v>
      </c>
      <c r="T3837" s="12">
        <v>0.60541621069409102</v>
      </c>
      <c r="U3837" s="12">
        <v>0.82501689605466733</v>
      </c>
      <c r="V3837" s="12">
        <v>278.84784593739909</v>
      </c>
      <c r="W3837" s="12">
        <v>15.51086170487519</v>
      </c>
      <c r="X3837" s="12">
        <v>202.9876404735908</v>
      </c>
      <c r="Y3837" s="12">
        <v>4146.7309620139713</v>
      </c>
      <c r="Z3837" s="12">
        <v>13.18182716245731</v>
      </c>
      <c r="AA3837" s="12" t="s">
        <v>1981</v>
      </c>
      <c r="AB3837" s="12"/>
    </row>
    <row r="3838" spans="1:28" x14ac:dyDescent="0.3">
      <c r="A3838" s="12" t="s">
        <v>5766</v>
      </c>
      <c r="B3838" s="12" t="s">
        <v>206</v>
      </c>
      <c r="C3838" s="12" t="s">
        <v>588</v>
      </c>
      <c r="D3838" s="12" t="s">
        <v>5742</v>
      </c>
      <c r="E3838" s="12" t="s">
        <v>2978</v>
      </c>
      <c r="F3838" s="12" t="s">
        <v>832</v>
      </c>
      <c r="G3838" s="12" t="s">
        <v>832</v>
      </c>
      <c r="H3838" s="12" t="b">
        <v>0</v>
      </c>
      <c r="I3838" s="12" t="b">
        <v>0</v>
      </c>
      <c r="J3838" s="12" t="b">
        <v>0</v>
      </c>
      <c r="K3838" s="12" t="b">
        <v>0</v>
      </c>
      <c r="L3838" s="12">
        <v>623.15</v>
      </c>
      <c r="M3838" s="12">
        <v>284.44763551577148</v>
      </c>
      <c r="N3838" s="12">
        <v>4595.0585113607294</v>
      </c>
      <c r="O3838" s="12">
        <v>928.80332279112361</v>
      </c>
      <c r="P3838" s="12">
        <v>0.5</v>
      </c>
      <c r="Q3838" s="12">
        <v>0.53710947283369936</v>
      </c>
      <c r="R3838" s="12">
        <v>0.65651665909703727</v>
      </c>
      <c r="S3838" s="12">
        <v>0.91633139647865225</v>
      </c>
      <c r="T3838" s="12">
        <v>0.46815065780330639</v>
      </c>
      <c r="U3838" s="12">
        <v>0.66204605462498778</v>
      </c>
      <c r="V3838" s="12">
        <v>284.44763551577148</v>
      </c>
      <c r="W3838" s="12"/>
      <c r="X3838" s="12"/>
      <c r="Y3838" s="12">
        <v>3666.2551885696062</v>
      </c>
      <c r="Z3838" s="12">
        <v>4.94728905313585</v>
      </c>
      <c r="AA3838" s="12"/>
      <c r="AB3838" s="12"/>
    </row>
    <row r="3839" spans="1:28" x14ac:dyDescent="0.3">
      <c r="A3839" s="12" t="s">
        <v>5767</v>
      </c>
      <c r="B3839" s="12" t="s">
        <v>206</v>
      </c>
      <c r="C3839" s="12" t="s">
        <v>588</v>
      </c>
      <c r="D3839" s="12" t="s">
        <v>5742</v>
      </c>
      <c r="E3839" s="12" t="s">
        <v>2978</v>
      </c>
      <c r="F3839" s="12" t="s">
        <v>1861</v>
      </c>
      <c r="G3839" s="12" t="s">
        <v>1861</v>
      </c>
      <c r="H3839" s="12" t="b">
        <v>1</v>
      </c>
      <c r="I3839" s="12" t="b">
        <v>0</v>
      </c>
      <c r="J3839" s="12" t="b">
        <v>1</v>
      </c>
      <c r="K3839" s="12" t="b">
        <v>0</v>
      </c>
      <c r="L3839" s="12">
        <v>623.15</v>
      </c>
      <c r="M3839" s="12">
        <v>299.67148067572668</v>
      </c>
      <c r="N3839" s="12">
        <v>4601.4397844003834</v>
      </c>
      <c r="O3839" s="12">
        <v>1122.1760505548471</v>
      </c>
      <c r="P3839" s="12">
        <v>0.5</v>
      </c>
      <c r="Q3839" s="12">
        <v>0.74760731226251709</v>
      </c>
      <c r="R3839" s="12">
        <v>0.86733075638091151</v>
      </c>
      <c r="S3839" s="12">
        <v>0.41960371859867163</v>
      </c>
      <c r="T3839" s="12">
        <v>0.74630274546816366</v>
      </c>
      <c r="U3839" s="12">
        <v>0.43693458182566591</v>
      </c>
      <c r="V3839" s="12">
        <v>299.67148067572668</v>
      </c>
      <c r="W3839" s="12">
        <v>4.7291749709274704</v>
      </c>
      <c r="X3839" s="12">
        <v>33.703951444756981</v>
      </c>
      <c r="Y3839" s="12">
        <v>3479.263733845537</v>
      </c>
      <c r="Z3839" s="12">
        <v>4.1004615827661404</v>
      </c>
      <c r="AA3839" s="12" t="s">
        <v>1268</v>
      </c>
      <c r="AB3839" s="12"/>
    </row>
    <row r="3840" spans="1:28" x14ac:dyDescent="0.3">
      <c r="A3840" s="12" t="s">
        <v>5768</v>
      </c>
      <c r="B3840" s="12" t="s">
        <v>206</v>
      </c>
      <c r="C3840" s="12" t="s">
        <v>588</v>
      </c>
      <c r="D3840" s="12" t="s">
        <v>5742</v>
      </c>
      <c r="E3840" s="12" t="s">
        <v>2978</v>
      </c>
      <c r="F3840" s="12" t="s">
        <v>1861</v>
      </c>
      <c r="G3840" s="12" t="s">
        <v>1861</v>
      </c>
      <c r="H3840" s="12" t="b">
        <v>1</v>
      </c>
      <c r="I3840" s="12" t="b">
        <v>0</v>
      </c>
      <c r="J3840" s="12" t="b">
        <v>1</v>
      </c>
      <c r="K3840" s="12" t="b">
        <v>0</v>
      </c>
      <c r="L3840" s="12">
        <v>623.15</v>
      </c>
      <c r="M3840" s="12">
        <v>289.99445340513091</v>
      </c>
      <c r="N3840" s="12">
        <v>2398.923215660549</v>
      </c>
      <c r="O3840" s="12">
        <v>1428.0863322412031</v>
      </c>
      <c r="P3840" s="12">
        <v>0.5</v>
      </c>
      <c r="Q3840" s="12">
        <v>0.55049984988179579</v>
      </c>
      <c r="R3840" s="12">
        <v>0.68855059094593118</v>
      </c>
      <c r="S3840" s="12">
        <v>0.61284596409766146</v>
      </c>
      <c r="T3840" s="12">
        <v>0.90785523840968718</v>
      </c>
      <c r="U3840" s="12">
        <v>0.55954089831046094</v>
      </c>
      <c r="V3840" s="12">
        <v>289.99445340513091</v>
      </c>
      <c r="W3840" s="12">
        <v>0.47396309844300999</v>
      </c>
      <c r="X3840" s="12">
        <v>5.3416118424355119</v>
      </c>
      <c r="Y3840" s="12">
        <v>970.83688341934555</v>
      </c>
      <c r="Z3840" s="12">
        <v>1.679816661991113</v>
      </c>
      <c r="AA3840" s="12" t="s">
        <v>1268</v>
      </c>
      <c r="AB3840" s="12"/>
    </row>
    <row r="3841" spans="1:28" x14ac:dyDescent="0.3">
      <c r="A3841" s="12" t="s">
        <v>5769</v>
      </c>
      <c r="B3841" s="12" t="s">
        <v>206</v>
      </c>
      <c r="C3841" s="12" t="s">
        <v>588</v>
      </c>
      <c r="D3841" s="12" t="s">
        <v>5742</v>
      </c>
      <c r="E3841" s="12" t="s">
        <v>2978</v>
      </c>
      <c r="F3841" s="12" t="s">
        <v>1861</v>
      </c>
      <c r="G3841" s="12" t="s">
        <v>1861</v>
      </c>
      <c r="H3841" s="12" t="b">
        <v>1</v>
      </c>
      <c r="I3841" s="12" t="b">
        <v>0</v>
      </c>
      <c r="J3841" s="12" t="b">
        <v>1</v>
      </c>
      <c r="K3841" s="12" t="b">
        <v>0</v>
      </c>
      <c r="L3841" s="12">
        <v>623.15</v>
      </c>
      <c r="M3841" s="12">
        <v>292.46869627078098</v>
      </c>
      <c r="N3841" s="12">
        <v>2407.3699027724369</v>
      </c>
      <c r="O3841" s="12">
        <v>1628.860994557014</v>
      </c>
      <c r="P3841" s="12">
        <v>0.5</v>
      </c>
      <c r="Q3841" s="12">
        <v>0.94700424684346995</v>
      </c>
      <c r="R3841" s="12">
        <v>0.83984230707131791</v>
      </c>
      <c r="S3841" s="12">
        <v>0.47311105028207401</v>
      </c>
      <c r="T3841" s="12">
        <v>0.7291212088978487</v>
      </c>
      <c r="U3841" s="12">
        <v>0.62224246234889247</v>
      </c>
      <c r="V3841" s="12">
        <v>292.46869627078098</v>
      </c>
      <c r="W3841" s="12">
        <v>3.3161896232420398</v>
      </c>
      <c r="X3841" s="12">
        <v>33.144066870771532</v>
      </c>
      <c r="Y3841" s="12">
        <v>778.50890821542248</v>
      </c>
      <c r="Z3841" s="12">
        <v>1.477946805047748</v>
      </c>
      <c r="AA3841" s="12" t="s">
        <v>1268</v>
      </c>
      <c r="AB3841" s="12"/>
    </row>
    <row r="3842" spans="1:28" x14ac:dyDescent="0.3">
      <c r="A3842" s="12" t="s">
        <v>5770</v>
      </c>
      <c r="B3842" s="12" t="s">
        <v>206</v>
      </c>
      <c r="C3842" s="12" t="s">
        <v>588</v>
      </c>
      <c r="D3842" s="12" t="s">
        <v>5742</v>
      </c>
      <c r="E3842" s="12" t="s">
        <v>2978</v>
      </c>
      <c r="F3842" s="12" t="s">
        <v>832</v>
      </c>
      <c r="G3842" s="12" t="s">
        <v>832</v>
      </c>
      <c r="H3842" s="12" t="b">
        <v>0</v>
      </c>
      <c r="I3842" s="12" t="b">
        <v>0</v>
      </c>
      <c r="J3842" s="12" t="b">
        <v>0</v>
      </c>
      <c r="K3842" s="12" t="b">
        <v>0</v>
      </c>
      <c r="L3842" s="12">
        <v>623.15</v>
      </c>
      <c r="M3842" s="12">
        <v>281.04936960987288</v>
      </c>
      <c r="N3842" s="12">
        <v>3903.1507750094038</v>
      </c>
      <c r="O3842" s="12">
        <v>749.88626246183833</v>
      </c>
      <c r="P3842" s="12">
        <v>0.5</v>
      </c>
      <c r="Q3842" s="12">
        <v>0.64254991541163919</v>
      </c>
      <c r="R3842" s="12">
        <v>0.91746962626347184</v>
      </c>
      <c r="S3842" s="12">
        <v>0.87335815445456288</v>
      </c>
      <c r="T3842" s="12">
        <v>0.78899223135339702</v>
      </c>
      <c r="U3842" s="12">
        <v>0.94417310946336663</v>
      </c>
      <c r="V3842" s="12">
        <v>281.04936960987288</v>
      </c>
      <c r="W3842" s="12"/>
      <c r="X3842" s="12"/>
      <c r="Y3842" s="12">
        <v>3153.264512547566</v>
      </c>
      <c r="Z3842" s="12">
        <v>5.2049903704003846</v>
      </c>
      <c r="AA3842" s="12"/>
      <c r="AB3842" s="12"/>
    </row>
    <row r="3843" spans="1:28" x14ac:dyDescent="0.3">
      <c r="A3843" s="12" t="s">
        <v>5771</v>
      </c>
      <c r="B3843" s="12" t="s">
        <v>206</v>
      </c>
      <c r="C3843" s="12" t="s">
        <v>588</v>
      </c>
      <c r="D3843" s="12" t="s">
        <v>5742</v>
      </c>
      <c r="E3843" s="12" t="s">
        <v>2978</v>
      </c>
      <c r="F3843" s="12" t="s">
        <v>832</v>
      </c>
      <c r="G3843" s="12" t="s">
        <v>832</v>
      </c>
      <c r="H3843" s="12" t="b">
        <v>0</v>
      </c>
      <c r="I3843" s="12" t="b">
        <v>0</v>
      </c>
      <c r="J3843" s="12" t="b">
        <v>0</v>
      </c>
      <c r="K3843" s="12" t="b">
        <v>0</v>
      </c>
      <c r="L3843" s="12">
        <v>623.15</v>
      </c>
      <c r="M3843" s="12">
        <v>291.07721032936388</v>
      </c>
      <c r="N3843" s="12">
        <v>2969.0213876434559</v>
      </c>
      <c r="O3843" s="12">
        <v>1517.0053654218041</v>
      </c>
      <c r="P3843" s="12">
        <v>0.5</v>
      </c>
      <c r="Q3843" s="12">
        <v>0.58717989374528268</v>
      </c>
      <c r="R3843" s="12">
        <v>0.89144439404993214</v>
      </c>
      <c r="S3843" s="12">
        <v>0.83908363513056572</v>
      </c>
      <c r="T3843" s="12">
        <v>0.53051855110312185</v>
      </c>
      <c r="U3843" s="12">
        <v>0.57012413185440247</v>
      </c>
      <c r="V3843" s="12">
        <v>291.07721032936388</v>
      </c>
      <c r="W3843" s="12"/>
      <c r="X3843" s="12"/>
      <c r="Y3843" s="12">
        <v>1452.016022221653</v>
      </c>
      <c r="Z3843" s="12">
        <v>1.9571594506641179</v>
      </c>
      <c r="AA3843" s="12"/>
      <c r="AB3843" s="12"/>
    </row>
    <row r="3844" spans="1:28" x14ac:dyDescent="0.3">
      <c r="A3844" s="12" t="s">
        <v>5772</v>
      </c>
      <c r="B3844" s="12" t="s">
        <v>206</v>
      </c>
      <c r="C3844" s="12" t="s">
        <v>597</v>
      </c>
      <c r="D3844" s="12" t="s">
        <v>5773</v>
      </c>
      <c r="E3844" s="12" t="s">
        <v>2978</v>
      </c>
      <c r="F3844" s="12" t="s">
        <v>1863</v>
      </c>
      <c r="G3844" s="12" t="s">
        <v>832</v>
      </c>
      <c r="H3844" s="12" t="b">
        <v>0</v>
      </c>
      <c r="I3844" s="12" t="b">
        <v>0</v>
      </c>
      <c r="J3844" s="12" t="b">
        <v>0</v>
      </c>
      <c r="K3844" s="12" t="b">
        <v>0</v>
      </c>
      <c r="L3844" s="12">
        <v>391.07829871705411</v>
      </c>
      <c r="M3844" s="12">
        <v>279.7230067017183</v>
      </c>
      <c r="N3844" s="12">
        <v>4236.2263514841343</v>
      </c>
      <c r="O3844" s="12">
        <v>1006.937147624862</v>
      </c>
      <c r="P3844" s="12">
        <v>0.5</v>
      </c>
      <c r="Q3844" s="12">
        <v>0.85</v>
      </c>
      <c r="R3844" s="12">
        <v>0.75</v>
      </c>
      <c r="S3844" s="12">
        <v>0.85</v>
      </c>
      <c r="T3844" s="12">
        <v>0.75</v>
      </c>
      <c r="U3844" s="12">
        <v>0.8</v>
      </c>
      <c r="V3844" s="12">
        <v>279.7230067017183</v>
      </c>
      <c r="W3844" s="12">
        <v>-138.19439662104051</v>
      </c>
      <c r="X3844" s="12">
        <v>-44.848689373677139</v>
      </c>
      <c r="Y3844" s="12">
        <v>3229.2892038592722</v>
      </c>
      <c r="Z3844" s="12">
        <v>4.2070414836481476</v>
      </c>
      <c r="AA3844" s="12" t="s">
        <v>2018</v>
      </c>
      <c r="AB3844" s="12"/>
    </row>
    <row r="3845" spans="1:28" x14ac:dyDescent="0.3">
      <c r="A3845" s="12" t="s">
        <v>5774</v>
      </c>
      <c r="B3845" s="12" t="s">
        <v>206</v>
      </c>
      <c r="C3845" s="12" t="s">
        <v>597</v>
      </c>
      <c r="D3845" s="12" t="s">
        <v>5773</v>
      </c>
      <c r="E3845" s="12" t="s">
        <v>2978</v>
      </c>
      <c r="F3845" s="12" t="s">
        <v>1861</v>
      </c>
      <c r="G3845" s="12" t="s">
        <v>1861</v>
      </c>
      <c r="H3845" s="12" t="b">
        <v>1</v>
      </c>
      <c r="I3845" s="12" t="b">
        <v>0</v>
      </c>
      <c r="J3845" s="12" t="b">
        <v>1</v>
      </c>
      <c r="K3845" s="12" t="b">
        <v>0</v>
      </c>
      <c r="L3845" s="12">
        <v>465.36330351563703</v>
      </c>
      <c r="M3845" s="12">
        <v>283.55886256178047</v>
      </c>
      <c r="N3845" s="12">
        <v>3811.7849308461191</v>
      </c>
      <c r="O3845" s="12">
        <v>455.3787606252119</v>
      </c>
      <c r="P3845" s="12">
        <v>0.5</v>
      </c>
      <c r="Q3845" s="12">
        <v>0.85</v>
      </c>
      <c r="R3845" s="12">
        <v>0.75</v>
      </c>
      <c r="S3845" s="12">
        <v>0.85</v>
      </c>
      <c r="T3845" s="12">
        <v>0.75</v>
      </c>
      <c r="U3845" s="12">
        <v>0.8</v>
      </c>
      <c r="V3845" s="12">
        <v>283.55886256178047</v>
      </c>
      <c r="W3845" s="12">
        <v>14.15926232556043</v>
      </c>
      <c r="X3845" s="12">
        <v>154.94467315925081</v>
      </c>
      <c r="Y3845" s="12">
        <v>3356.4061702209078</v>
      </c>
      <c r="Z3845" s="12">
        <v>8.370581284056227</v>
      </c>
      <c r="AA3845" s="12" t="s">
        <v>1981</v>
      </c>
      <c r="AB3845" s="12"/>
    </row>
    <row r="3846" spans="1:28" x14ac:dyDescent="0.3">
      <c r="A3846" s="12" t="s">
        <v>5775</v>
      </c>
      <c r="B3846" s="12" t="s">
        <v>206</v>
      </c>
      <c r="C3846" s="12" t="s">
        <v>597</v>
      </c>
      <c r="D3846" s="12" t="s">
        <v>5773</v>
      </c>
      <c r="E3846" s="12" t="s">
        <v>2978</v>
      </c>
      <c r="F3846" s="12" t="s">
        <v>1861</v>
      </c>
      <c r="G3846" s="12" t="s">
        <v>1861</v>
      </c>
      <c r="H3846" s="12" t="b">
        <v>1</v>
      </c>
      <c r="I3846" s="12" t="b">
        <v>0</v>
      </c>
      <c r="J3846" s="12" t="b">
        <v>1</v>
      </c>
      <c r="K3846" s="12" t="b">
        <v>0</v>
      </c>
      <c r="L3846" s="12">
        <v>460.81311405151001</v>
      </c>
      <c r="M3846" s="12">
        <v>289.8623076986778</v>
      </c>
      <c r="N3846" s="12">
        <v>2378.3178893573722</v>
      </c>
      <c r="O3846" s="12">
        <v>694.76513973153419</v>
      </c>
      <c r="P3846" s="12">
        <v>0.5</v>
      </c>
      <c r="Q3846" s="12">
        <v>0.85</v>
      </c>
      <c r="R3846" s="12">
        <v>0.75</v>
      </c>
      <c r="S3846" s="12">
        <v>0.85</v>
      </c>
      <c r="T3846" s="12">
        <v>0.75</v>
      </c>
      <c r="U3846" s="12">
        <v>0.8</v>
      </c>
      <c r="V3846" s="12">
        <v>289.8623076986778</v>
      </c>
      <c r="W3846" s="12">
        <v>8.6725810979835796</v>
      </c>
      <c r="X3846" s="12">
        <v>140.62262634345839</v>
      </c>
      <c r="Y3846" s="12">
        <v>1683.552749625838</v>
      </c>
      <c r="Z3846" s="12">
        <v>3.423196924181291</v>
      </c>
      <c r="AA3846" s="12" t="s">
        <v>1268</v>
      </c>
      <c r="AB3846" s="12"/>
    </row>
    <row r="3847" spans="1:28" x14ac:dyDescent="0.3">
      <c r="A3847" s="12" t="s">
        <v>5776</v>
      </c>
      <c r="B3847" s="12" t="s">
        <v>206</v>
      </c>
      <c r="C3847" s="12" t="s">
        <v>597</v>
      </c>
      <c r="D3847" s="12" t="s">
        <v>5773</v>
      </c>
      <c r="E3847" s="12" t="s">
        <v>2978</v>
      </c>
      <c r="F3847" s="12" t="s">
        <v>32</v>
      </c>
      <c r="G3847" s="12" t="s">
        <v>32</v>
      </c>
      <c r="H3847" s="12" t="b">
        <v>1</v>
      </c>
      <c r="I3847" s="12" t="b">
        <v>0</v>
      </c>
      <c r="J3847" s="12" t="b">
        <v>1</v>
      </c>
      <c r="K3847" s="12" t="b">
        <v>0</v>
      </c>
      <c r="L3847" s="12">
        <v>430.06976512806949</v>
      </c>
      <c r="M3847" s="12">
        <v>280.41097096995821</v>
      </c>
      <c r="N3847" s="12">
        <v>4538.2043862927276</v>
      </c>
      <c r="O3847" s="12">
        <v>897.25469633368027</v>
      </c>
      <c r="P3847" s="12">
        <v>0.5</v>
      </c>
      <c r="Q3847" s="12">
        <v>0.85</v>
      </c>
      <c r="R3847" s="12">
        <v>0.75</v>
      </c>
      <c r="S3847" s="12">
        <v>0.85</v>
      </c>
      <c r="T3847" s="12">
        <v>0.75</v>
      </c>
      <c r="U3847" s="12">
        <v>0.8</v>
      </c>
      <c r="V3847" s="12">
        <v>280.41097096995821</v>
      </c>
      <c r="W3847" s="12">
        <v>7.1660024203377208</v>
      </c>
      <c r="X3847" s="12">
        <v>28.555362679081409</v>
      </c>
      <c r="Y3847" s="12">
        <v>3640.9496899590472</v>
      </c>
      <c r="Z3847" s="12">
        <v>5.0578775511975849</v>
      </c>
      <c r="AA3847" s="12"/>
      <c r="AB3847" s="12"/>
    </row>
    <row r="3848" spans="1:28" x14ac:dyDescent="0.3">
      <c r="A3848" s="12" t="s">
        <v>5777</v>
      </c>
      <c r="B3848" s="12" t="s">
        <v>206</v>
      </c>
      <c r="C3848" s="12" t="s">
        <v>597</v>
      </c>
      <c r="D3848" s="12" t="s">
        <v>5773</v>
      </c>
      <c r="E3848" s="12" t="s">
        <v>2978</v>
      </c>
      <c r="F3848" s="12" t="s">
        <v>32</v>
      </c>
      <c r="G3848" s="12" t="s">
        <v>32</v>
      </c>
      <c r="H3848" s="12" t="b">
        <v>1</v>
      </c>
      <c r="I3848" s="12" t="b">
        <v>0</v>
      </c>
      <c r="J3848" s="12" t="b">
        <v>1</v>
      </c>
      <c r="K3848" s="12" t="b">
        <v>0</v>
      </c>
      <c r="L3848" s="12">
        <v>436.46839350129369</v>
      </c>
      <c r="M3848" s="12">
        <v>296.76082248295609</v>
      </c>
      <c r="N3848" s="12">
        <v>2818.4777514964189</v>
      </c>
      <c r="O3848" s="12">
        <v>1273.827186847795</v>
      </c>
      <c r="P3848" s="12">
        <v>0.5</v>
      </c>
      <c r="Q3848" s="12">
        <v>0.85</v>
      </c>
      <c r="R3848" s="12">
        <v>0.75</v>
      </c>
      <c r="S3848" s="12">
        <v>0.85</v>
      </c>
      <c r="T3848" s="12">
        <v>0.75</v>
      </c>
      <c r="U3848" s="12">
        <v>0.8</v>
      </c>
      <c r="V3848" s="12">
        <v>296.76082248295609</v>
      </c>
      <c r="W3848" s="12">
        <v>5.8480313607424002</v>
      </c>
      <c r="X3848" s="12">
        <v>44.841712235234432</v>
      </c>
      <c r="Y3848" s="12">
        <v>1544.6505646486239</v>
      </c>
      <c r="Z3848" s="12">
        <v>2.2126060588100702</v>
      </c>
      <c r="AA3848" s="12"/>
      <c r="AB3848" s="12"/>
    </row>
    <row r="3849" spans="1:28" x14ac:dyDescent="0.3">
      <c r="A3849" s="12" t="s">
        <v>5778</v>
      </c>
      <c r="B3849" s="12" t="s">
        <v>206</v>
      </c>
      <c r="C3849" s="12" t="s">
        <v>597</v>
      </c>
      <c r="D3849" s="12" t="s">
        <v>5773</v>
      </c>
      <c r="E3849" s="12" t="s">
        <v>2978</v>
      </c>
      <c r="F3849" s="12" t="s">
        <v>1861</v>
      </c>
      <c r="G3849" s="12" t="s">
        <v>1861</v>
      </c>
      <c r="H3849" s="12" t="b">
        <v>1</v>
      </c>
      <c r="I3849" s="12" t="b">
        <v>0</v>
      </c>
      <c r="J3849" s="12" t="b">
        <v>1</v>
      </c>
      <c r="K3849" s="12" t="b">
        <v>0</v>
      </c>
      <c r="L3849" s="12">
        <v>514.71405074743814</v>
      </c>
      <c r="M3849" s="12">
        <v>299.79081076041638</v>
      </c>
      <c r="N3849" s="12">
        <v>2992.789413231787</v>
      </c>
      <c r="O3849" s="12">
        <v>1726.788529672536</v>
      </c>
      <c r="P3849" s="12">
        <v>0.5</v>
      </c>
      <c r="Q3849" s="12">
        <v>0.85</v>
      </c>
      <c r="R3849" s="12">
        <v>0.75</v>
      </c>
      <c r="S3849" s="12">
        <v>0.85</v>
      </c>
      <c r="T3849" s="12">
        <v>0.75</v>
      </c>
      <c r="U3849" s="12">
        <v>0.8</v>
      </c>
      <c r="V3849" s="12">
        <v>299.79081076041638</v>
      </c>
      <c r="W3849" s="12">
        <v>4.2910235482693704</v>
      </c>
      <c r="X3849" s="12">
        <v>73.384694783065811</v>
      </c>
      <c r="Y3849" s="12">
        <v>1266.000883559251</v>
      </c>
      <c r="Z3849" s="12">
        <v>1.7331534011285861</v>
      </c>
      <c r="AA3849" s="12" t="s">
        <v>1268</v>
      </c>
      <c r="AB3849" s="12"/>
    </row>
    <row r="3850" spans="1:28" x14ac:dyDescent="0.3">
      <c r="A3850" s="12" t="s">
        <v>5779</v>
      </c>
      <c r="B3850" s="12" t="s">
        <v>206</v>
      </c>
      <c r="C3850" s="12" t="s">
        <v>597</v>
      </c>
      <c r="D3850" s="12" t="s">
        <v>5773</v>
      </c>
      <c r="E3850" s="12" t="s">
        <v>2978</v>
      </c>
      <c r="F3850" s="12" t="s">
        <v>1861</v>
      </c>
      <c r="G3850" s="12" t="s">
        <v>1861</v>
      </c>
      <c r="H3850" s="12" t="b">
        <v>1</v>
      </c>
      <c r="I3850" s="12" t="b">
        <v>0</v>
      </c>
      <c r="J3850" s="12" t="b">
        <v>1</v>
      </c>
      <c r="K3850" s="12" t="b">
        <v>0</v>
      </c>
      <c r="L3850" s="12">
        <v>506.8417783134193</v>
      </c>
      <c r="M3850" s="12">
        <v>281.15237291483032</v>
      </c>
      <c r="N3850" s="12">
        <v>4717.5516802447692</v>
      </c>
      <c r="O3850" s="12">
        <v>1406.741141638304</v>
      </c>
      <c r="P3850" s="12">
        <v>0.5</v>
      </c>
      <c r="Q3850" s="12">
        <v>0.85</v>
      </c>
      <c r="R3850" s="12">
        <v>0.75</v>
      </c>
      <c r="S3850" s="12">
        <v>0.85</v>
      </c>
      <c r="T3850" s="12">
        <v>0.75</v>
      </c>
      <c r="U3850" s="12">
        <v>0.8</v>
      </c>
      <c r="V3850" s="12">
        <v>281.15237291483032</v>
      </c>
      <c r="W3850" s="12">
        <v>9.0387308394163401</v>
      </c>
      <c r="X3850" s="12">
        <v>153.8928211599434</v>
      </c>
      <c r="Y3850" s="12">
        <v>3310.8105386064649</v>
      </c>
      <c r="Z3850" s="12">
        <v>3.353532174903668</v>
      </c>
      <c r="AA3850" s="12" t="s">
        <v>1268</v>
      </c>
      <c r="AB3850" s="12"/>
    </row>
    <row r="3851" spans="1:28" x14ac:dyDescent="0.3">
      <c r="A3851" s="12" t="s">
        <v>5780</v>
      </c>
      <c r="B3851" s="12" t="s">
        <v>206</v>
      </c>
      <c r="C3851" s="12" t="s">
        <v>597</v>
      </c>
      <c r="D3851" s="12" t="s">
        <v>5773</v>
      </c>
      <c r="E3851" s="12" t="s">
        <v>2978</v>
      </c>
      <c r="F3851" s="12" t="s">
        <v>1861</v>
      </c>
      <c r="G3851" s="12" t="s">
        <v>1861</v>
      </c>
      <c r="H3851" s="12" t="b">
        <v>1</v>
      </c>
      <c r="I3851" s="12" t="b">
        <v>0</v>
      </c>
      <c r="J3851" s="12" t="b">
        <v>1</v>
      </c>
      <c r="K3851" s="12" t="b">
        <v>0</v>
      </c>
      <c r="L3851" s="12">
        <v>454.15033544389479</v>
      </c>
      <c r="M3851" s="12">
        <v>288.33737930660573</v>
      </c>
      <c r="N3851" s="12">
        <v>2186.1977279045432</v>
      </c>
      <c r="O3851" s="12">
        <v>753.56163615305991</v>
      </c>
      <c r="P3851" s="12">
        <v>0.5</v>
      </c>
      <c r="Q3851" s="12">
        <v>0.85</v>
      </c>
      <c r="R3851" s="12">
        <v>0.75</v>
      </c>
      <c r="S3851" s="12">
        <v>0.85</v>
      </c>
      <c r="T3851" s="12">
        <v>0.75</v>
      </c>
      <c r="U3851" s="12">
        <v>0.8</v>
      </c>
      <c r="V3851" s="12">
        <v>288.33737930660573</v>
      </c>
      <c r="W3851" s="12">
        <v>7.6709742086983903</v>
      </c>
      <c r="X3851" s="12">
        <v>114.68350857763279</v>
      </c>
      <c r="Y3851" s="12">
        <v>1432.636091751483</v>
      </c>
      <c r="Z3851" s="12">
        <v>2.901153167861763</v>
      </c>
      <c r="AA3851" s="12" t="s">
        <v>1268</v>
      </c>
      <c r="AB3851" s="12"/>
    </row>
    <row r="3852" spans="1:28" x14ac:dyDescent="0.3">
      <c r="A3852" s="12" t="s">
        <v>5781</v>
      </c>
      <c r="B3852" s="12" t="s">
        <v>206</v>
      </c>
      <c r="C3852" s="12" t="s">
        <v>597</v>
      </c>
      <c r="D3852" s="12" t="s">
        <v>5773</v>
      </c>
      <c r="E3852" s="12" t="s">
        <v>2978</v>
      </c>
      <c r="F3852" s="12" t="s">
        <v>1861</v>
      </c>
      <c r="G3852" s="12" t="s">
        <v>1861</v>
      </c>
      <c r="H3852" s="12" t="b">
        <v>1</v>
      </c>
      <c r="I3852" s="12" t="b">
        <v>0</v>
      </c>
      <c r="J3852" s="12" t="b">
        <v>1</v>
      </c>
      <c r="K3852" s="12" t="b">
        <v>0</v>
      </c>
      <c r="L3852" s="12">
        <v>457.60240553595139</v>
      </c>
      <c r="M3852" s="12">
        <v>302.65256452911967</v>
      </c>
      <c r="N3852" s="12">
        <v>3427.9168609883018</v>
      </c>
      <c r="O3852" s="12">
        <v>955.46570963686918</v>
      </c>
      <c r="P3852" s="12">
        <v>0.5</v>
      </c>
      <c r="Q3852" s="12">
        <v>0.85</v>
      </c>
      <c r="R3852" s="12">
        <v>0.75</v>
      </c>
      <c r="S3852" s="12">
        <v>0.85</v>
      </c>
      <c r="T3852" s="12">
        <v>0.75</v>
      </c>
      <c r="U3852" s="12">
        <v>0.8</v>
      </c>
      <c r="V3852" s="12">
        <v>302.65256452911967</v>
      </c>
      <c r="W3852" s="12">
        <v>9.4037335455231297</v>
      </c>
      <c r="X3852" s="12">
        <v>92.435480575975717</v>
      </c>
      <c r="Y3852" s="12">
        <v>2472.4511513514331</v>
      </c>
      <c r="Z3852" s="12">
        <v>3.5876921865580118</v>
      </c>
      <c r="AA3852" s="12" t="s">
        <v>1268</v>
      </c>
      <c r="AB3852" s="12"/>
    </row>
    <row r="3853" spans="1:28" x14ac:dyDescent="0.3">
      <c r="A3853" s="12" t="s">
        <v>5782</v>
      </c>
      <c r="B3853" s="12" t="s">
        <v>206</v>
      </c>
      <c r="C3853" s="12" t="s">
        <v>597</v>
      </c>
      <c r="D3853" s="12" t="s">
        <v>5773</v>
      </c>
      <c r="E3853" s="12" t="s">
        <v>2978</v>
      </c>
      <c r="F3853" s="12" t="s">
        <v>32</v>
      </c>
      <c r="G3853" s="12" t="s">
        <v>32</v>
      </c>
      <c r="H3853" s="12" t="b">
        <v>1</v>
      </c>
      <c r="I3853" s="12" t="b">
        <v>1</v>
      </c>
      <c r="J3853" s="12" t="b">
        <v>0</v>
      </c>
      <c r="K3853" s="12" t="b">
        <v>0</v>
      </c>
      <c r="L3853" s="12">
        <v>395.55331589891318</v>
      </c>
      <c r="M3853" s="12">
        <v>297.41187363513433</v>
      </c>
      <c r="N3853" s="12">
        <v>2748.3426122775891</v>
      </c>
      <c r="O3853" s="12">
        <v>525.39174059008667</v>
      </c>
      <c r="P3853" s="12">
        <v>0.5</v>
      </c>
      <c r="Q3853" s="12">
        <v>0.85</v>
      </c>
      <c r="R3853" s="12">
        <v>0.75</v>
      </c>
      <c r="S3853" s="12">
        <v>0.85</v>
      </c>
      <c r="T3853" s="12">
        <v>0.75</v>
      </c>
      <c r="U3853" s="12">
        <v>0.8</v>
      </c>
      <c r="V3853" s="12">
        <v>297.41187363513433</v>
      </c>
      <c r="W3853" s="12">
        <v>7.8148412073062099</v>
      </c>
      <c r="X3853" s="12">
        <v>21.23235068462165</v>
      </c>
      <c r="Y3853" s="12">
        <v>2222.950871687503</v>
      </c>
      <c r="Z3853" s="12">
        <v>5.2310350543212287</v>
      </c>
      <c r="AA3853" s="12"/>
      <c r="AB3853" s="12"/>
    </row>
    <row r="3854" spans="1:28" x14ac:dyDescent="0.3">
      <c r="A3854" s="12" t="s">
        <v>5783</v>
      </c>
      <c r="B3854" s="12" t="s">
        <v>206</v>
      </c>
      <c r="C3854" s="12" t="s">
        <v>597</v>
      </c>
      <c r="D3854" s="12" t="s">
        <v>5773</v>
      </c>
      <c r="E3854" s="12" t="s">
        <v>2978</v>
      </c>
      <c r="F3854" s="12" t="s">
        <v>1861</v>
      </c>
      <c r="G3854" s="12" t="s">
        <v>1861</v>
      </c>
      <c r="H3854" s="12" t="b">
        <v>1</v>
      </c>
      <c r="I3854" s="12" t="b">
        <v>0</v>
      </c>
      <c r="J3854" s="12" t="b">
        <v>1</v>
      </c>
      <c r="K3854" s="12" t="b">
        <v>0</v>
      </c>
      <c r="L3854" s="12">
        <v>477.87403161564731</v>
      </c>
      <c r="M3854" s="12">
        <v>291.61177933062902</v>
      </c>
      <c r="N3854" s="12">
        <v>3992.9378066697741</v>
      </c>
      <c r="O3854" s="12">
        <v>1089.5947835362349</v>
      </c>
      <c r="P3854" s="12">
        <v>0.5</v>
      </c>
      <c r="Q3854" s="12">
        <v>0.85</v>
      </c>
      <c r="R3854" s="12">
        <v>0.75</v>
      </c>
      <c r="S3854" s="12">
        <v>0.85</v>
      </c>
      <c r="T3854" s="12">
        <v>0.75</v>
      </c>
      <c r="U3854" s="12">
        <v>0.8</v>
      </c>
      <c r="V3854" s="12">
        <v>291.61177933062902</v>
      </c>
      <c r="W3854" s="12">
        <v>9.59478900462741</v>
      </c>
      <c r="X3854" s="12">
        <v>130.212947899131</v>
      </c>
      <c r="Y3854" s="12">
        <v>2903.3430231335392</v>
      </c>
      <c r="Z3854" s="12">
        <v>3.6646080423686129</v>
      </c>
      <c r="AA3854" s="12" t="s">
        <v>1268</v>
      </c>
      <c r="AB3854" s="12"/>
    </row>
    <row r="3855" spans="1:28" x14ac:dyDescent="0.3">
      <c r="A3855" s="12" t="s">
        <v>5784</v>
      </c>
      <c r="B3855" s="12" t="s">
        <v>206</v>
      </c>
      <c r="C3855" s="12" t="s">
        <v>597</v>
      </c>
      <c r="D3855" s="12" t="s">
        <v>5773</v>
      </c>
      <c r="E3855" s="12" t="s">
        <v>2978</v>
      </c>
      <c r="F3855" s="12" t="s">
        <v>32</v>
      </c>
      <c r="G3855" s="12" t="s">
        <v>32</v>
      </c>
      <c r="H3855" s="12" t="b">
        <v>1</v>
      </c>
      <c r="I3855" s="12" t="b">
        <v>1</v>
      </c>
      <c r="J3855" s="12" t="b">
        <v>0</v>
      </c>
      <c r="K3855" s="12" t="b">
        <v>0</v>
      </c>
      <c r="L3855" s="12">
        <v>410.63796470796831</v>
      </c>
      <c r="M3855" s="12">
        <v>290.84331590060901</v>
      </c>
      <c r="N3855" s="12">
        <v>3227.5722308224022</v>
      </c>
      <c r="O3855" s="12">
        <v>1342.1434325800051</v>
      </c>
      <c r="P3855" s="12">
        <v>0.5</v>
      </c>
      <c r="Q3855" s="12">
        <v>0.85</v>
      </c>
      <c r="R3855" s="12">
        <v>0.75</v>
      </c>
      <c r="S3855" s="12">
        <v>0.85</v>
      </c>
      <c r="T3855" s="12">
        <v>0.75</v>
      </c>
      <c r="U3855" s="12">
        <v>0.8</v>
      </c>
      <c r="V3855" s="12">
        <v>290.84331590060901</v>
      </c>
      <c r="W3855" s="12">
        <v>4.5540483885802798</v>
      </c>
      <c r="X3855" s="12">
        <v>16.60408709096323</v>
      </c>
      <c r="Y3855" s="12">
        <v>1885.4287982423971</v>
      </c>
      <c r="Z3855" s="12">
        <v>2.4047893484961089</v>
      </c>
      <c r="AA3855" s="12"/>
      <c r="AB3855" s="12"/>
    </row>
    <row r="3856" spans="1:28" x14ac:dyDescent="0.3">
      <c r="A3856" s="12" t="s">
        <v>5785</v>
      </c>
      <c r="B3856" s="12" t="s">
        <v>206</v>
      </c>
      <c r="C3856" s="12" t="s">
        <v>597</v>
      </c>
      <c r="D3856" s="12" t="s">
        <v>5773</v>
      </c>
      <c r="E3856" s="12" t="s">
        <v>2978</v>
      </c>
      <c r="F3856" s="12" t="s">
        <v>32</v>
      </c>
      <c r="G3856" s="12" t="s">
        <v>32</v>
      </c>
      <c r="H3856" s="12" t="b">
        <v>1</v>
      </c>
      <c r="I3856" s="12" t="b">
        <v>1</v>
      </c>
      <c r="J3856" s="12" t="b">
        <v>0</v>
      </c>
      <c r="K3856" s="12" t="b">
        <v>0</v>
      </c>
      <c r="L3856" s="12">
        <v>402.6038150156632</v>
      </c>
      <c r="M3856" s="12">
        <v>300.79691443295633</v>
      </c>
      <c r="N3856" s="12">
        <v>2506.9035902215369</v>
      </c>
      <c r="O3856" s="12">
        <v>1594.4914235886649</v>
      </c>
      <c r="P3856" s="12">
        <v>0.5</v>
      </c>
      <c r="Q3856" s="12">
        <v>0.85</v>
      </c>
      <c r="R3856" s="12">
        <v>0.75</v>
      </c>
      <c r="S3856" s="12">
        <v>0.85</v>
      </c>
      <c r="T3856" s="12">
        <v>0.75</v>
      </c>
      <c r="U3856" s="12">
        <v>0.8</v>
      </c>
      <c r="V3856" s="12">
        <v>300.79691443295633</v>
      </c>
      <c r="W3856" s="12">
        <v>2.8813145145889298</v>
      </c>
      <c r="X3856" s="12">
        <v>11.37463803825076</v>
      </c>
      <c r="Y3856" s="12">
        <v>912.41216663287264</v>
      </c>
      <c r="Z3856" s="12">
        <v>1.572227704166222</v>
      </c>
      <c r="AA3856" s="12"/>
      <c r="AB3856" s="12"/>
    </row>
    <row r="3857" spans="1:28" x14ac:dyDescent="0.3">
      <c r="A3857" s="12" t="s">
        <v>5786</v>
      </c>
      <c r="B3857" s="12" t="s">
        <v>206</v>
      </c>
      <c r="C3857" s="12" t="s">
        <v>597</v>
      </c>
      <c r="D3857" s="12" t="s">
        <v>5773</v>
      </c>
      <c r="E3857" s="12" t="s">
        <v>2978</v>
      </c>
      <c r="F3857" s="12" t="s">
        <v>1861</v>
      </c>
      <c r="G3857" s="12" t="s">
        <v>1861</v>
      </c>
      <c r="H3857" s="12" t="b">
        <v>1</v>
      </c>
      <c r="I3857" s="12" t="b">
        <v>0</v>
      </c>
      <c r="J3857" s="12" t="b">
        <v>1</v>
      </c>
      <c r="K3857" s="12" t="b">
        <v>0</v>
      </c>
      <c r="L3857" s="12">
        <v>498.12852575373938</v>
      </c>
      <c r="M3857" s="12">
        <v>292.55072812534593</v>
      </c>
      <c r="N3857" s="12">
        <v>2287.3979325895339</v>
      </c>
      <c r="O3857" s="12">
        <v>570.67951250039914</v>
      </c>
      <c r="P3857" s="12">
        <v>0.5</v>
      </c>
      <c r="Q3857" s="12">
        <v>0.85</v>
      </c>
      <c r="R3857" s="12">
        <v>0.75</v>
      </c>
      <c r="S3857" s="12">
        <v>0.85</v>
      </c>
      <c r="T3857" s="12">
        <v>0.75</v>
      </c>
      <c r="U3857" s="12">
        <v>0.8</v>
      </c>
      <c r="V3857" s="12">
        <v>292.55072812534593</v>
      </c>
      <c r="W3857" s="12">
        <v>9.4230499115866806</v>
      </c>
      <c r="X3857" s="12">
        <v>161.72380263242329</v>
      </c>
      <c r="Y3857" s="12">
        <v>1716.718420089135</v>
      </c>
      <c r="Z3857" s="12">
        <v>4.0082005442379263</v>
      </c>
      <c r="AA3857" s="12" t="s">
        <v>1268</v>
      </c>
      <c r="AB3857" s="12"/>
    </row>
    <row r="3858" spans="1:28" x14ac:dyDescent="0.3">
      <c r="A3858" s="12" t="s">
        <v>5787</v>
      </c>
      <c r="B3858" s="12" t="s">
        <v>206</v>
      </c>
      <c r="C3858" s="12" t="s">
        <v>597</v>
      </c>
      <c r="D3858" s="12" t="s">
        <v>5773</v>
      </c>
      <c r="E3858" s="12" t="s">
        <v>2978</v>
      </c>
      <c r="F3858" s="12" t="s">
        <v>32</v>
      </c>
      <c r="G3858" s="12" t="s">
        <v>32</v>
      </c>
      <c r="H3858" s="12" t="b">
        <v>1</v>
      </c>
      <c r="I3858" s="12" t="b">
        <v>1</v>
      </c>
      <c r="J3858" s="12" t="b">
        <v>0</v>
      </c>
      <c r="K3858" s="12" t="b">
        <v>0</v>
      </c>
      <c r="L3858" s="12">
        <v>418.71802586028201</v>
      </c>
      <c r="M3858" s="12">
        <v>294.51498534126313</v>
      </c>
      <c r="N3858" s="12">
        <v>3145.2656798183029</v>
      </c>
      <c r="O3858" s="12">
        <v>1123.6316661755641</v>
      </c>
      <c r="P3858" s="12">
        <v>0.5</v>
      </c>
      <c r="Q3858" s="12">
        <v>0.85</v>
      </c>
      <c r="R3858" s="12">
        <v>0.75</v>
      </c>
      <c r="S3858" s="12">
        <v>0.85</v>
      </c>
      <c r="T3858" s="12">
        <v>0.75</v>
      </c>
      <c r="U3858" s="12">
        <v>0.8</v>
      </c>
      <c r="V3858" s="12">
        <v>294.51498534126313</v>
      </c>
      <c r="W3858" s="12">
        <v>6.3410593421786707</v>
      </c>
      <c r="X3858" s="12">
        <v>29.728530523989448</v>
      </c>
      <c r="Y3858" s="12">
        <v>2021.63401364274</v>
      </c>
      <c r="Z3858" s="12">
        <v>2.7991963687919639</v>
      </c>
      <c r="AA3858" s="12"/>
      <c r="AB3858" s="12"/>
    </row>
    <row r="3859" spans="1:28" x14ac:dyDescent="0.3">
      <c r="A3859" s="12" t="s">
        <v>5788</v>
      </c>
      <c r="B3859" s="12" t="s">
        <v>206</v>
      </c>
      <c r="C3859" s="12" t="s">
        <v>597</v>
      </c>
      <c r="D3859" s="12" t="s">
        <v>5773</v>
      </c>
      <c r="E3859" s="12" t="s">
        <v>2978</v>
      </c>
      <c r="F3859" s="12" t="s">
        <v>32</v>
      </c>
      <c r="G3859" s="12" t="s">
        <v>32</v>
      </c>
      <c r="H3859" s="12" t="b">
        <v>1</v>
      </c>
      <c r="I3859" s="12" t="b">
        <v>1</v>
      </c>
      <c r="J3859" s="12" t="b">
        <v>0</v>
      </c>
      <c r="K3859" s="12" t="b">
        <v>0</v>
      </c>
      <c r="L3859" s="12">
        <v>405.3405182778576</v>
      </c>
      <c r="M3859" s="12">
        <v>298.4967451487056</v>
      </c>
      <c r="N3859" s="12">
        <v>3005.4607994641001</v>
      </c>
      <c r="O3859" s="12">
        <v>1157.865344444537</v>
      </c>
      <c r="P3859" s="12">
        <v>0.5</v>
      </c>
      <c r="Q3859" s="12">
        <v>0.85</v>
      </c>
      <c r="R3859" s="12">
        <v>0.75</v>
      </c>
      <c r="S3859" s="12">
        <v>0.85</v>
      </c>
      <c r="T3859" s="12">
        <v>0.75</v>
      </c>
      <c r="U3859" s="12">
        <v>0.8</v>
      </c>
      <c r="V3859" s="12">
        <v>298.4967451487056</v>
      </c>
      <c r="W3859" s="12">
        <v>5.0915225028017099</v>
      </c>
      <c r="X3859" s="12">
        <v>16.970684500976201</v>
      </c>
      <c r="Y3859" s="12">
        <v>1847.5954550195629</v>
      </c>
      <c r="Z3859" s="12">
        <v>2.595691125815593</v>
      </c>
      <c r="AA3859" s="12"/>
      <c r="AB3859" s="12"/>
    </row>
    <row r="3860" spans="1:28" x14ac:dyDescent="0.3">
      <c r="A3860" s="12" t="s">
        <v>5789</v>
      </c>
      <c r="B3860" s="12" t="s">
        <v>206</v>
      </c>
      <c r="C3860" s="12" t="s">
        <v>597</v>
      </c>
      <c r="D3860" s="12" t="s">
        <v>5773</v>
      </c>
      <c r="E3860" s="12" t="s">
        <v>2978</v>
      </c>
      <c r="F3860" s="12" t="s">
        <v>32</v>
      </c>
      <c r="G3860" s="12" t="s">
        <v>32</v>
      </c>
      <c r="H3860" s="12" t="b">
        <v>1</v>
      </c>
      <c r="I3860" s="12" t="b">
        <v>1</v>
      </c>
      <c r="J3860" s="12" t="b">
        <v>0</v>
      </c>
      <c r="K3860" s="12" t="b">
        <v>0</v>
      </c>
      <c r="L3860" s="12">
        <v>425.47033004680509</v>
      </c>
      <c r="M3860" s="12">
        <v>303.52964217835802</v>
      </c>
      <c r="N3860" s="12">
        <v>2490.9482916310999</v>
      </c>
      <c r="O3860" s="12">
        <v>1472.476000377402</v>
      </c>
      <c r="P3860" s="12">
        <v>0.5</v>
      </c>
      <c r="Q3860" s="12">
        <v>0.85</v>
      </c>
      <c r="R3860" s="12">
        <v>0.75</v>
      </c>
      <c r="S3860" s="12">
        <v>0.85</v>
      </c>
      <c r="T3860" s="12">
        <v>0.75</v>
      </c>
      <c r="U3860" s="12">
        <v>0.8</v>
      </c>
      <c r="V3860" s="12">
        <v>303.52964217835802</v>
      </c>
      <c r="W3860" s="12">
        <v>3.9694815417795701</v>
      </c>
      <c r="X3860" s="12">
        <v>26.553395177509799</v>
      </c>
      <c r="Y3860" s="12">
        <v>1018.472291253698</v>
      </c>
      <c r="Z3860" s="12">
        <v>1.6916732707308371</v>
      </c>
      <c r="AA3860" s="12"/>
      <c r="AB3860" s="12"/>
    </row>
    <row r="3861" spans="1:28" x14ac:dyDescent="0.3">
      <c r="A3861" s="12" t="s">
        <v>5790</v>
      </c>
      <c r="B3861" s="12" t="s">
        <v>206</v>
      </c>
      <c r="C3861" s="12" t="s">
        <v>597</v>
      </c>
      <c r="D3861" s="12" t="s">
        <v>5773</v>
      </c>
      <c r="E3861" s="12" t="s">
        <v>2978</v>
      </c>
      <c r="F3861" s="12" t="s">
        <v>1861</v>
      </c>
      <c r="G3861" s="12" t="s">
        <v>1861</v>
      </c>
      <c r="H3861" s="12" t="b">
        <v>1</v>
      </c>
      <c r="I3861" s="12" t="b">
        <v>0</v>
      </c>
      <c r="J3861" s="12" t="b">
        <v>1</v>
      </c>
      <c r="K3861" s="12" t="b">
        <v>0</v>
      </c>
      <c r="L3861" s="12">
        <v>441.78818052739223</v>
      </c>
      <c r="M3861" s="12">
        <v>298.42554210177173</v>
      </c>
      <c r="N3861" s="12">
        <v>2057.9085859223119</v>
      </c>
      <c r="O3861" s="12">
        <v>721.21389442713621</v>
      </c>
      <c r="P3861" s="12">
        <v>0.5</v>
      </c>
      <c r="Q3861" s="12">
        <v>0.85</v>
      </c>
      <c r="R3861" s="12">
        <v>0.75</v>
      </c>
      <c r="S3861" s="12">
        <v>0.85</v>
      </c>
      <c r="T3861" s="12">
        <v>0.75</v>
      </c>
      <c r="U3861" s="12">
        <v>0.8</v>
      </c>
      <c r="V3861" s="12">
        <v>298.42554210177173</v>
      </c>
      <c r="W3861" s="12">
        <v>7.6182627459034107</v>
      </c>
      <c r="X3861" s="12">
        <v>86.931321065673515</v>
      </c>
      <c r="Y3861" s="12">
        <v>1336.6946914951759</v>
      </c>
      <c r="Z3861" s="12">
        <v>2.8533956456245471</v>
      </c>
      <c r="AA3861" s="12" t="s">
        <v>1268</v>
      </c>
      <c r="AB3861" s="12"/>
    </row>
    <row r="3862" spans="1:28" x14ac:dyDescent="0.3">
      <c r="A3862" s="12" t="s">
        <v>5791</v>
      </c>
      <c r="B3862" s="12" t="s">
        <v>206</v>
      </c>
      <c r="C3862" s="12" t="s">
        <v>597</v>
      </c>
      <c r="D3862" s="12" t="s">
        <v>5773</v>
      </c>
      <c r="E3862" s="12" t="s">
        <v>2978</v>
      </c>
      <c r="F3862" s="12" t="s">
        <v>1861</v>
      </c>
      <c r="G3862" s="12" t="s">
        <v>1861</v>
      </c>
      <c r="H3862" s="12" t="b">
        <v>1</v>
      </c>
      <c r="I3862" s="12" t="b">
        <v>0</v>
      </c>
      <c r="J3862" s="12" t="b">
        <v>1</v>
      </c>
      <c r="K3862" s="12" t="b">
        <v>0</v>
      </c>
      <c r="L3862" s="12">
        <v>504.53992721793918</v>
      </c>
      <c r="M3862" s="12">
        <v>287.20042349655972</v>
      </c>
      <c r="N3862" s="12">
        <v>4031.7814336133229</v>
      </c>
      <c r="O3862" s="12">
        <v>1881.8229639099361</v>
      </c>
      <c r="P3862" s="12">
        <v>0.5</v>
      </c>
      <c r="Q3862" s="12">
        <v>0.85</v>
      </c>
      <c r="R3862" s="12">
        <v>0.75</v>
      </c>
      <c r="S3862" s="12">
        <v>0.85</v>
      </c>
      <c r="T3862" s="12">
        <v>0.75</v>
      </c>
      <c r="U3862" s="12">
        <v>0.8</v>
      </c>
      <c r="V3862" s="12">
        <v>287.20042349655972</v>
      </c>
      <c r="W3862" s="12">
        <v>5.9577943459811999</v>
      </c>
      <c r="X3862" s="12">
        <v>101.0875176349477</v>
      </c>
      <c r="Y3862" s="12">
        <v>2149.958469703387</v>
      </c>
      <c r="Z3862" s="12">
        <v>2.142487104757365</v>
      </c>
      <c r="AA3862" s="12" t="s">
        <v>1268</v>
      </c>
      <c r="AB3862" s="12"/>
    </row>
    <row r="3863" spans="1:28" x14ac:dyDescent="0.3">
      <c r="A3863" s="12" t="s">
        <v>5792</v>
      </c>
      <c r="B3863" s="12" t="s">
        <v>206</v>
      </c>
      <c r="C3863" s="12" t="s">
        <v>597</v>
      </c>
      <c r="D3863" s="12" t="s">
        <v>5773</v>
      </c>
      <c r="E3863" s="12" t="s">
        <v>2978</v>
      </c>
      <c r="F3863" s="12" t="s">
        <v>1861</v>
      </c>
      <c r="G3863" s="12" t="s">
        <v>1861</v>
      </c>
      <c r="H3863" s="12" t="b">
        <v>1</v>
      </c>
      <c r="I3863" s="12" t="b">
        <v>0</v>
      </c>
      <c r="J3863" s="12" t="b">
        <v>1</v>
      </c>
      <c r="K3863" s="12" t="b">
        <v>0</v>
      </c>
      <c r="L3863" s="12">
        <v>485.45029070466842</v>
      </c>
      <c r="M3863" s="12">
        <v>301.72364970729262</v>
      </c>
      <c r="N3863" s="12">
        <v>3357.9457017290379</v>
      </c>
      <c r="O3863" s="12">
        <v>1668.232065584594</v>
      </c>
      <c r="P3863" s="12">
        <v>0.5</v>
      </c>
      <c r="Q3863" s="12">
        <v>0.85</v>
      </c>
      <c r="R3863" s="12">
        <v>0.75</v>
      </c>
      <c r="S3863" s="12">
        <v>0.85</v>
      </c>
      <c r="T3863" s="12">
        <v>0.75</v>
      </c>
      <c r="U3863" s="12">
        <v>0.8</v>
      </c>
      <c r="V3863" s="12">
        <v>301.72364970729262</v>
      </c>
      <c r="W3863" s="12">
        <v>5.4716697931833496</v>
      </c>
      <c r="X3863" s="12">
        <v>89.012719452403715</v>
      </c>
      <c r="Y3863" s="12">
        <v>1689.7136361444441</v>
      </c>
      <c r="Z3863" s="12">
        <v>2.0128768478936538</v>
      </c>
      <c r="AA3863" s="12" t="s">
        <v>1268</v>
      </c>
      <c r="AB3863" s="12"/>
    </row>
    <row r="3864" spans="1:28" x14ac:dyDescent="0.3">
      <c r="A3864" s="12" t="s">
        <v>5793</v>
      </c>
      <c r="B3864" s="12" t="s">
        <v>206</v>
      </c>
      <c r="C3864" s="12" t="s">
        <v>597</v>
      </c>
      <c r="D3864" s="12" t="s">
        <v>5773</v>
      </c>
      <c r="E3864" s="12" t="s">
        <v>2978</v>
      </c>
      <c r="F3864" s="12" t="s">
        <v>1861</v>
      </c>
      <c r="G3864" s="12" t="s">
        <v>1861</v>
      </c>
      <c r="H3864" s="12" t="b">
        <v>1</v>
      </c>
      <c r="I3864" s="12" t="b">
        <v>0</v>
      </c>
      <c r="J3864" s="12" t="b">
        <v>1</v>
      </c>
      <c r="K3864" s="12" t="b">
        <v>0</v>
      </c>
      <c r="L3864" s="12">
        <v>517.01389731952202</v>
      </c>
      <c r="M3864" s="12">
        <v>295.10560850569038</v>
      </c>
      <c r="N3864" s="12">
        <v>4359.4729062028791</v>
      </c>
      <c r="O3864" s="12">
        <v>365.6025233828052</v>
      </c>
      <c r="P3864" s="12">
        <v>0.5</v>
      </c>
      <c r="Q3864" s="12">
        <v>0.85</v>
      </c>
      <c r="R3864" s="12">
        <v>0.75</v>
      </c>
      <c r="S3864" s="12">
        <v>0.85</v>
      </c>
      <c r="T3864" s="12">
        <v>0.75</v>
      </c>
      <c r="U3864" s="12">
        <v>0.8</v>
      </c>
      <c r="V3864" s="12">
        <v>295.10560850569038</v>
      </c>
      <c r="W3864" s="12">
        <v>16.12950517219457</v>
      </c>
      <c r="X3864" s="12">
        <v>273.57434631037631</v>
      </c>
      <c r="Y3864" s="12">
        <v>3993.8703828200742</v>
      </c>
      <c r="Z3864" s="12">
        <v>11.92407772754424</v>
      </c>
      <c r="AA3864" s="12" t="s">
        <v>1981</v>
      </c>
      <c r="AB3864" s="12"/>
    </row>
    <row r="3865" spans="1:28" x14ac:dyDescent="0.3">
      <c r="A3865" s="12" t="s">
        <v>5794</v>
      </c>
      <c r="B3865" s="12" t="s">
        <v>206</v>
      </c>
      <c r="C3865" s="12" t="s">
        <v>597</v>
      </c>
      <c r="D3865" s="12" t="s">
        <v>5773</v>
      </c>
      <c r="E3865" s="12" t="s">
        <v>2978</v>
      </c>
      <c r="F3865" s="12" t="s">
        <v>1861</v>
      </c>
      <c r="G3865" s="12" t="s">
        <v>1861</v>
      </c>
      <c r="H3865" s="12" t="b">
        <v>1</v>
      </c>
      <c r="I3865" s="12" t="b">
        <v>0</v>
      </c>
      <c r="J3865" s="12" t="b">
        <v>1</v>
      </c>
      <c r="K3865" s="12" t="b">
        <v>0</v>
      </c>
      <c r="L3865" s="12">
        <v>473.03226551761668</v>
      </c>
      <c r="M3865" s="12">
        <v>285.14887115014261</v>
      </c>
      <c r="N3865" s="12">
        <v>2688.599849030285</v>
      </c>
      <c r="O3865" s="12">
        <v>1227.7110090909</v>
      </c>
      <c r="P3865" s="12">
        <v>0.5</v>
      </c>
      <c r="Q3865" s="12">
        <v>0.85</v>
      </c>
      <c r="R3865" s="12">
        <v>0.75</v>
      </c>
      <c r="S3865" s="12">
        <v>0.85</v>
      </c>
      <c r="T3865" s="12">
        <v>0.75</v>
      </c>
      <c r="U3865" s="12">
        <v>0.8</v>
      </c>
      <c r="V3865" s="12">
        <v>285.14887115014261</v>
      </c>
      <c r="W3865" s="12">
        <v>5.9682342627169396</v>
      </c>
      <c r="X3865" s="12">
        <v>99.903313889826663</v>
      </c>
      <c r="Y3865" s="12">
        <v>1460.8888399393841</v>
      </c>
      <c r="Z3865" s="12">
        <v>2.1899289239257929</v>
      </c>
      <c r="AA3865" s="12" t="s">
        <v>1268</v>
      </c>
      <c r="AB3865" s="12"/>
    </row>
    <row r="3866" spans="1:28" x14ac:dyDescent="0.3">
      <c r="A3866" s="12" t="s">
        <v>5795</v>
      </c>
      <c r="B3866" s="12" t="s">
        <v>206</v>
      </c>
      <c r="C3866" s="12" t="s">
        <v>597</v>
      </c>
      <c r="D3866" s="12" t="s">
        <v>5773</v>
      </c>
      <c r="E3866" s="12" t="s">
        <v>2978</v>
      </c>
      <c r="F3866" s="12" t="s">
        <v>1861</v>
      </c>
      <c r="G3866" s="12" t="s">
        <v>1861</v>
      </c>
      <c r="H3866" s="12" t="b">
        <v>1</v>
      </c>
      <c r="I3866" s="12" t="b">
        <v>0</v>
      </c>
      <c r="J3866" s="12" t="b">
        <v>1</v>
      </c>
      <c r="K3866" s="12" t="b">
        <v>0</v>
      </c>
      <c r="L3866" s="12">
        <v>495.71722698517999</v>
      </c>
      <c r="M3866" s="12">
        <v>283.11996650033137</v>
      </c>
      <c r="N3866" s="12">
        <v>3715.219719637771</v>
      </c>
      <c r="O3866" s="12">
        <v>330.14537414915611</v>
      </c>
      <c r="P3866" s="12">
        <v>0.5</v>
      </c>
      <c r="Q3866" s="12">
        <v>0.85</v>
      </c>
      <c r="R3866" s="12">
        <v>0.75</v>
      </c>
      <c r="S3866" s="12">
        <v>0.85</v>
      </c>
      <c r="T3866" s="12">
        <v>0.75</v>
      </c>
      <c r="U3866" s="12">
        <v>0.8</v>
      </c>
      <c r="V3866" s="12">
        <v>283.11996650033137</v>
      </c>
      <c r="W3866" s="12">
        <v>15.746575912329289</v>
      </c>
      <c r="X3866" s="12">
        <v>268.19607166781998</v>
      </c>
      <c r="Y3866" s="12">
        <v>3385.0743454886151</v>
      </c>
      <c r="Z3866" s="12">
        <v>11.253284190979681</v>
      </c>
      <c r="AA3866" s="12" t="s">
        <v>1981</v>
      </c>
      <c r="AB3866" s="12"/>
    </row>
    <row r="3867" spans="1:28" x14ac:dyDescent="0.3">
      <c r="A3867" s="12" t="s">
        <v>5796</v>
      </c>
      <c r="B3867" s="12" t="s">
        <v>206</v>
      </c>
      <c r="C3867" s="12" t="s">
        <v>597</v>
      </c>
      <c r="D3867" s="12" t="s">
        <v>5773</v>
      </c>
      <c r="E3867" s="12" t="s">
        <v>2978</v>
      </c>
      <c r="F3867" s="12" t="s">
        <v>32</v>
      </c>
      <c r="G3867" s="12" t="s">
        <v>32</v>
      </c>
      <c r="H3867" s="12" t="b">
        <v>1</v>
      </c>
      <c r="I3867" s="12" t="b">
        <v>0</v>
      </c>
      <c r="J3867" s="12" t="b">
        <v>1</v>
      </c>
      <c r="K3867" s="12" t="b">
        <v>0</v>
      </c>
      <c r="L3867" s="12">
        <v>478.71872630412452</v>
      </c>
      <c r="M3867" s="12">
        <v>281.67696746977049</v>
      </c>
      <c r="N3867" s="12">
        <v>4470.2381346443417</v>
      </c>
      <c r="O3867" s="12">
        <v>1800.946415453315</v>
      </c>
      <c r="P3867" s="12">
        <v>0.5</v>
      </c>
      <c r="Q3867" s="12">
        <v>0.85</v>
      </c>
      <c r="R3867" s="12">
        <v>0.75</v>
      </c>
      <c r="S3867" s="12">
        <v>0.85</v>
      </c>
      <c r="T3867" s="12">
        <v>0.75</v>
      </c>
      <c r="U3867" s="12">
        <v>0.8</v>
      </c>
      <c r="V3867" s="12">
        <v>281.67696746977049</v>
      </c>
      <c r="W3867" s="12">
        <v>6.6028038779817004</v>
      </c>
      <c r="X3867" s="12">
        <v>81.668100854476478</v>
      </c>
      <c r="Y3867" s="12">
        <v>2669.291719191026</v>
      </c>
      <c r="Z3867" s="12">
        <v>2.4821605441931709</v>
      </c>
      <c r="AA3867" s="12"/>
      <c r="AB3867" s="12"/>
    </row>
    <row r="3868" spans="1:28" x14ac:dyDescent="0.3">
      <c r="A3868" s="12" t="s">
        <v>5797</v>
      </c>
      <c r="B3868" s="12" t="s">
        <v>206</v>
      </c>
      <c r="C3868" s="12" t="s">
        <v>597</v>
      </c>
      <c r="D3868" s="12" t="s">
        <v>5773</v>
      </c>
      <c r="E3868" s="12" t="s">
        <v>2978</v>
      </c>
      <c r="F3868" s="12" t="s">
        <v>832</v>
      </c>
      <c r="G3868" s="12" t="s">
        <v>832</v>
      </c>
      <c r="H3868" s="12" t="b">
        <v>0</v>
      </c>
      <c r="I3868" s="12" t="b">
        <v>0</v>
      </c>
      <c r="J3868" s="12" t="b">
        <v>0</v>
      </c>
      <c r="K3868" s="12" t="b">
        <v>0</v>
      </c>
      <c r="L3868" s="12">
        <v>384.03734284263862</v>
      </c>
      <c r="M3868" s="12">
        <v>284.40554615011592</v>
      </c>
      <c r="N3868" s="12">
        <v>4852.2701921920416</v>
      </c>
      <c r="O3868" s="12">
        <v>1541.825708075567</v>
      </c>
      <c r="P3868" s="12">
        <v>0.5</v>
      </c>
      <c r="Q3868" s="12">
        <v>0.85</v>
      </c>
      <c r="R3868" s="12">
        <v>0.75</v>
      </c>
      <c r="S3868" s="12">
        <v>0.85</v>
      </c>
      <c r="T3868" s="12">
        <v>0.75</v>
      </c>
      <c r="U3868" s="12">
        <v>0.8</v>
      </c>
      <c r="V3868" s="12">
        <v>284.40554615011592</v>
      </c>
      <c r="W3868" s="12"/>
      <c r="X3868" s="12"/>
      <c r="Y3868" s="12">
        <v>3310.4444841164759</v>
      </c>
      <c r="Z3868" s="12">
        <v>3.1470938425643542</v>
      </c>
      <c r="AA3868" s="12"/>
      <c r="AB3868" s="12"/>
    </row>
    <row r="3869" spans="1:28" x14ac:dyDescent="0.3">
      <c r="A3869" s="12" t="s">
        <v>5798</v>
      </c>
      <c r="B3869" s="12" t="s">
        <v>206</v>
      </c>
      <c r="C3869" s="12" t="s">
        <v>597</v>
      </c>
      <c r="D3869" s="12" t="s">
        <v>5773</v>
      </c>
      <c r="E3869" s="12" t="s">
        <v>2978</v>
      </c>
      <c r="F3869" s="12" t="s">
        <v>32</v>
      </c>
      <c r="G3869" s="12" t="s">
        <v>32</v>
      </c>
      <c r="H3869" s="12" t="b">
        <v>1</v>
      </c>
      <c r="I3869" s="12" t="b">
        <v>0</v>
      </c>
      <c r="J3869" s="12" t="b">
        <v>1</v>
      </c>
      <c r="K3869" s="12" t="b">
        <v>0</v>
      </c>
      <c r="L3869" s="12">
        <v>447.59242879063447</v>
      </c>
      <c r="M3869" s="12">
        <v>278.54978159955988</v>
      </c>
      <c r="N3869" s="12">
        <v>4641.7758577099721</v>
      </c>
      <c r="O3869" s="12">
        <v>845.54255438439702</v>
      </c>
      <c r="P3869" s="12">
        <v>0.5</v>
      </c>
      <c r="Q3869" s="12">
        <v>0.85</v>
      </c>
      <c r="R3869" s="12">
        <v>0.75</v>
      </c>
      <c r="S3869" s="12">
        <v>0.85</v>
      </c>
      <c r="T3869" s="12">
        <v>0.75</v>
      </c>
      <c r="U3869" s="12">
        <v>0.8</v>
      </c>
      <c r="V3869" s="12">
        <v>278.54978159955988</v>
      </c>
      <c r="W3869" s="12">
        <v>9.7617471346271696</v>
      </c>
      <c r="X3869" s="12">
        <v>60.100690763783788</v>
      </c>
      <c r="Y3869" s="12">
        <v>3796.233303325575</v>
      </c>
      <c r="Z3869" s="12">
        <v>5.4897010607460777</v>
      </c>
      <c r="AA3869" s="12"/>
      <c r="AB3869" s="12"/>
    </row>
    <row r="3870" spans="1:28" x14ac:dyDescent="0.3">
      <c r="A3870" s="12" t="s">
        <v>5799</v>
      </c>
      <c r="B3870" s="12" t="s">
        <v>206</v>
      </c>
      <c r="C3870" s="12" t="s">
        <v>597</v>
      </c>
      <c r="D3870" s="12" t="s">
        <v>5773</v>
      </c>
      <c r="E3870" s="12" t="s">
        <v>2978</v>
      </c>
      <c r="F3870" s="12" t="s">
        <v>32</v>
      </c>
      <c r="G3870" s="12" t="s">
        <v>32</v>
      </c>
      <c r="H3870" s="12" t="b">
        <v>1</v>
      </c>
      <c r="I3870" s="12" t="b">
        <v>0</v>
      </c>
      <c r="J3870" s="12" t="b">
        <v>1</v>
      </c>
      <c r="K3870" s="12" t="b">
        <v>0</v>
      </c>
      <c r="L3870" s="12">
        <v>435.48537558938762</v>
      </c>
      <c r="M3870" s="12">
        <v>287.81545232721908</v>
      </c>
      <c r="N3870" s="12">
        <v>4186.9919999449157</v>
      </c>
      <c r="O3870" s="12">
        <v>1943.5031899449</v>
      </c>
      <c r="P3870" s="12">
        <v>0.5</v>
      </c>
      <c r="Q3870" s="12">
        <v>0.85</v>
      </c>
      <c r="R3870" s="12">
        <v>0.75</v>
      </c>
      <c r="S3870" s="12">
        <v>0.85</v>
      </c>
      <c r="T3870" s="12">
        <v>0.75</v>
      </c>
      <c r="U3870" s="12">
        <v>0.8</v>
      </c>
      <c r="V3870" s="12">
        <v>287.81545232721908</v>
      </c>
      <c r="W3870" s="12">
        <v>4.3498850370430597</v>
      </c>
      <c r="X3870" s="12">
        <v>22.145910090509659</v>
      </c>
      <c r="Y3870" s="12">
        <v>2243.4888100000162</v>
      </c>
      <c r="Z3870" s="12">
        <v>2.1543530371378612</v>
      </c>
      <c r="AA3870" s="12"/>
      <c r="AB3870" s="12"/>
    </row>
    <row r="3871" spans="1:28" x14ac:dyDescent="0.3">
      <c r="A3871" s="12" t="s">
        <v>5800</v>
      </c>
      <c r="B3871" s="12" t="s">
        <v>206</v>
      </c>
      <c r="C3871" s="12" t="s">
        <v>597</v>
      </c>
      <c r="D3871" s="12" t="s">
        <v>5773</v>
      </c>
      <c r="E3871" s="12" t="s">
        <v>2978</v>
      </c>
      <c r="F3871" s="12" t="s">
        <v>1861</v>
      </c>
      <c r="G3871" s="12" t="s">
        <v>1861</v>
      </c>
      <c r="H3871" s="12" t="b">
        <v>1</v>
      </c>
      <c r="I3871" s="12" t="b">
        <v>0</v>
      </c>
      <c r="J3871" s="12" t="b">
        <v>1</v>
      </c>
      <c r="K3871" s="12" t="b">
        <v>0</v>
      </c>
      <c r="L3871" s="12">
        <v>490.84782486043918</v>
      </c>
      <c r="M3871" s="12">
        <v>286.58303419143738</v>
      </c>
      <c r="N3871" s="12">
        <v>3510.3542929719661</v>
      </c>
      <c r="O3871" s="12">
        <v>1620.8233611234859</v>
      </c>
      <c r="P3871" s="12">
        <v>0.5</v>
      </c>
      <c r="Q3871" s="12">
        <v>0.85</v>
      </c>
      <c r="R3871" s="12">
        <v>0.75</v>
      </c>
      <c r="S3871" s="12">
        <v>0.85</v>
      </c>
      <c r="T3871" s="12">
        <v>0.75</v>
      </c>
      <c r="U3871" s="12">
        <v>0.8</v>
      </c>
      <c r="V3871" s="12">
        <v>286.58303419143738</v>
      </c>
      <c r="W3871" s="12">
        <v>6.0152202588463801</v>
      </c>
      <c r="X3871" s="12">
        <v>101.1890135190791</v>
      </c>
      <c r="Y3871" s="12">
        <v>1889.5309318484799</v>
      </c>
      <c r="Z3871" s="12">
        <v>2.1657846111859702</v>
      </c>
      <c r="AA3871" s="12" t="s">
        <v>1268</v>
      </c>
      <c r="AB3871" s="12"/>
    </row>
    <row r="3872" spans="1:28" x14ac:dyDescent="0.3">
      <c r="A3872" s="12" t="s">
        <v>5801</v>
      </c>
      <c r="B3872" s="12" t="s">
        <v>206</v>
      </c>
      <c r="C3872" s="12" t="s">
        <v>597</v>
      </c>
      <c r="D3872" s="12" t="s">
        <v>5773</v>
      </c>
      <c r="E3872" s="12" t="s">
        <v>2978</v>
      </c>
      <c r="F3872" s="12" t="s">
        <v>1863</v>
      </c>
      <c r="G3872" s="12" t="s">
        <v>832</v>
      </c>
      <c r="H3872" s="12" t="b">
        <v>0</v>
      </c>
      <c r="I3872" s="12" t="b">
        <v>0</v>
      </c>
      <c r="J3872" s="12" t="b">
        <v>0</v>
      </c>
      <c r="K3872" s="12" t="b">
        <v>0</v>
      </c>
      <c r="L3872" s="12">
        <v>386.73925045477262</v>
      </c>
      <c r="M3872" s="12">
        <v>293.59961628957888</v>
      </c>
      <c r="N3872" s="12">
        <v>3650.5903098750359</v>
      </c>
      <c r="O3872" s="12">
        <v>1920.7694574288701</v>
      </c>
      <c r="P3872" s="12">
        <v>0.5</v>
      </c>
      <c r="Q3872" s="12">
        <v>0.85</v>
      </c>
      <c r="R3872" s="12">
        <v>0.75</v>
      </c>
      <c r="S3872" s="12">
        <v>0.85</v>
      </c>
      <c r="T3872" s="12">
        <v>0.75</v>
      </c>
      <c r="U3872" s="12">
        <v>0.8</v>
      </c>
      <c r="V3872" s="12">
        <v>293.59961628957888</v>
      </c>
      <c r="W3872" s="12">
        <v>-30.597808405816789</v>
      </c>
      <c r="X3872" s="12">
        <v>-16.114340270308229</v>
      </c>
      <c r="Y3872" s="12">
        <v>1729.8208524461661</v>
      </c>
      <c r="Z3872" s="12">
        <v>1.900587442056525</v>
      </c>
      <c r="AA3872" s="12" t="s">
        <v>2018</v>
      </c>
      <c r="AB3872" s="12"/>
    </row>
    <row r="3873" spans="1:28" x14ac:dyDescent="0.3">
      <c r="A3873" s="12" t="s">
        <v>5802</v>
      </c>
      <c r="B3873" s="12" t="s">
        <v>206</v>
      </c>
      <c r="C3873" s="12" t="s">
        <v>597</v>
      </c>
      <c r="D3873" s="12" t="s">
        <v>5773</v>
      </c>
      <c r="E3873" s="12" t="s">
        <v>2978</v>
      </c>
      <c r="F3873" s="12" t="s">
        <v>1863</v>
      </c>
      <c r="G3873" s="12" t="s">
        <v>832</v>
      </c>
      <c r="H3873" s="12" t="b">
        <v>0</v>
      </c>
      <c r="I3873" s="12" t="b">
        <v>0</v>
      </c>
      <c r="J3873" s="12" t="b">
        <v>0</v>
      </c>
      <c r="K3873" s="12" t="b">
        <v>0</v>
      </c>
      <c r="L3873" s="12">
        <v>415.26323629699789</v>
      </c>
      <c r="M3873" s="12">
        <v>292.08728323973679</v>
      </c>
      <c r="N3873" s="12">
        <v>4961.2738671343359</v>
      </c>
      <c r="O3873" s="12">
        <v>605.64036422132676</v>
      </c>
      <c r="P3873" s="12">
        <v>0.5</v>
      </c>
      <c r="Q3873" s="12">
        <v>0.85</v>
      </c>
      <c r="R3873" s="12">
        <v>0.75</v>
      </c>
      <c r="S3873" s="12">
        <v>0.85</v>
      </c>
      <c r="T3873" s="12">
        <v>0.75</v>
      </c>
      <c r="U3873" s="12">
        <v>0.8</v>
      </c>
      <c r="V3873" s="12">
        <v>292.08728323973679</v>
      </c>
      <c r="W3873" s="12">
        <v>-15.40978720215942</v>
      </c>
      <c r="X3873" s="12">
        <v>-18.28106381570019</v>
      </c>
      <c r="Y3873" s="12">
        <v>4355.6335029130096</v>
      </c>
      <c r="Z3873" s="12">
        <v>8.1917820545416546</v>
      </c>
      <c r="AA3873" s="12" t="s">
        <v>2846</v>
      </c>
      <c r="AB3873" s="12"/>
    </row>
    <row r="3874" spans="1:28" x14ac:dyDescent="0.3">
      <c r="A3874" s="12" t="s">
        <v>5803</v>
      </c>
      <c r="B3874" s="12" t="s">
        <v>206</v>
      </c>
      <c r="C3874" s="12" t="s">
        <v>602</v>
      </c>
      <c r="D3874" s="12" t="s">
        <v>5804</v>
      </c>
      <c r="E3874" s="12" t="s">
        <v>2978</v>
      </c>
      <c r="F3874" s="12" t="s">
        <v>1861</v>
      </c>
      <c r="G3874" s="12" t="s">
        <v>1861</v>
      </c>
      <c r="H3874" s="12" t="b">
        <v>1</v>
      </c>
      <c r="I3874" s="12" t="b">
        <v>0</v>
      </c>
      <c r="J3874" s="12" t="b">
        <v>0</v>
      </c>
      <c r="K3874" s="12" t="b">
        <v>0</v>
      </c>
      <c r="L3874" s="12">
        <v>401.03663753905931</v>
      </c>
      <c r="M3874" s="12">
        <v>285.78097575036992</v>
      </c>
      <c r="N3874" s="12">
        <v>3000</v>
      </c>
      <c r="O3874" s="12">
        <v>478.915945231107</v>
      </c>
      <c r="P3874" s="12">
        <v>0.5</v>
      </c>
      <c r="Q3874" s="12">
        <v>0.47900960883092331</v>
      </c>
      <c r="R3874" s="12">
        <v>0.63718014703494097</v>
      </c>
      <c r="S3874" s="12">
        <v>0.7684697639268212</v>
      </c>
      <c r="T3874" s="12">
        <v>0.68633704247159399</v>
      </c>
      <c r="U3874" s="12">
        <v>0.56234950911344717</v>
      </c>
      <c r="V3874" s="12">
        <v>285.78097575036992</v>
      </c>
      <c r="W3874" s="12">
        <v>2.5408033174688298</v>
      </c>
      <c r="X3874" s="12">
        <v>6.4400406415076539</v>
      </c>
      <c r="Y3874" s="12">
        <v>2521.0840547688931</v>
      </c>
      <c r="Z3874" s="12">
        <v>6.2641472472843054</v>
      </c>
      <c r="AA3874" s="12" t="s">
        <v>1268</v>
      </c>
      <c r="AB3874" s="12"/>
    </row>
    <row r="3875" spans="1:28" x14ac:dyDescent="0.3">
      <c r="A3875" s="12" t="s">
        <v>5805</v>
      </c>
      <c r="B3875" s="12" t="s">
        <v>206</v>
      </c>
      <c r="C3875" s="12" t="s">
        <v>602</v>
      </c>
      <c r="D3875" s="12" t="s">
        <v>5804</v>
      </c>
      <c r="E3875" s="12" t="s">
        <v>2978</v>
      </c>
      <c r="F3875" s="12" t="s">
        <v>1861</v>
      </c>
      <c r="G3875" s="12" t="s">
        <v>1861</v>
      </c>
      <c r="H3875" s="12" t="b">
        <v>1</v>
      </c>
      <c r="I3875" s="12" t="b">
        <v>0</v>
      </c>
      <c r="J3875" s="12" t="b">
        <v>1</v>
      </c>
      <c r="K3875" s="12" t="b">
        <v>0</v>
      </c>
      <c r="L3875" s="12">
        <v>500.07907617990787</v>
      </c>
      <c r="M3875" s="12">
        <v>284.69506064899542</v>
      </c>
      <c r="N3875" s="12">
        <v>3000</v>
      </c>
      <c r="O3875" s="12">
        <v>1657.487498922877</v>
      </c>
      <c r="P3875" s="12">
        <v>0.5</v>
      </c>
      <c r="Q3875" s="12">
        <v>0.78966912851674509</v>
      </c>
      <c r="R3875" s="12">
        <v>0.64410404889921469</v>
      </c>
      <c r="S3875" s="12">
        <v>0.4569927143042431</v>
      </c>
      <c r="T3875" s="12">
        <v>0.84446234408675647</v>
      </c>
      <c r="U3875" s="12">
        <v>0.63733001511817222</v>
      </c>
      <c r="V3875" s="12">
        <v>284.69506064899542</v>
      </c>
      <c r="W3875" s="12">
        <v>4.1604045186968506</v>
      </c>
      <c r="X3875" s="12">
        <v>35.882464145034888</v>
      </c>
      <c r="Y3875" s="12">
        <v>1342.512501077123</v>
      </c>
      <c r="Z3875" s="12">
        <v>1.8099684021445459</v>
      </c>
      <c r="AA3875" s="12" t="s">
        <v>1268</v>
      </c>
      <c r="AB3875" s="12"/>
    </row>
    <row r="3876" spans="1:28" x14ac:dyDescent="0.3">
      <c r="A3876" s="12" t="s">
        <v>5806</v>
      </c>
      <c r="B3876" s="12" t="s">
        <v>206</v>
      </c>
      <c r="C3876" s="12" t="s">
        <v>602</v>
      </c>
      <c r="D3876" s="12" t="s">
        <v>5804</v>
      </c>
      <c r="E3876" s="12" t="s">
        <v>2978</v>
      </c>
      <c r="F3876" s="12" t="s">
        <v>1861</v>
      </c>
      <c r="G3876" s="12" t="s">
        <v>1861</v>
      </c>
      <c r="H3876" s="12" t="b">
        <v>1</v>
      </c>
      <c r="I3876" s="12" t="b">
        <v>0</v>
      </c>
      <c r="J3876" s="12" t="b">
        <v>1</v>
      </c>
      <c r="K3876" s="12" t="b">
        <v>0</v>
      </c>
      <c r="L3876" s="12">
        <v>511.50707833447291</v>
      </c>
      <c r="M3876" s="12">
        <v>297.65721806436898</v>
      </c>
      <c r="N3876" s="12">
        <v>3000</v>
      </c>
      <c r="O3876" s="12">
        <v>841.98422592668521</v>
      </c>
      <c r="P3876" s="12">
        <v>0.5</v>
      </c>
      <c r="Q3876" s="12">
        <v>0.75629999948885618</v>
      </c>
      <c r="R3876" s="12">
        <v>0.77697525263695066</v>
      </c>
      <c r="S3876" s="12">
        <v>0.86143485492632643</v>
      </c>
      <c r="T3876" s="12">
        <v>0.90707832676674605</v>
      </c>
      <c r="U3876" s="12">
        <v>0.58305861328679809</v>
      </c>
      <c r="V3876" s="12">
        <v>297.65721806436898</v>
      </c>
      <c r="W3876" s="12">
        <v>5.5598289793089899</v>
      </c>
      <c r="X3876" s="12">
        <v>71.152704385062179</v>
      </c>
      <c r="Y3876" s="12">
        <v>2158.0157740733148</v>
      </c>
      <c r="Z3876" s="12">
        <v>3.5630121178317911</v>
      </c>
      <c r="AA3876" s="12" t="s">
        <v>1268</v>
      </c>
      <c r="AB3876" s="12"/>
    </row>
    <row r="3877" spans="1:28" x14ac:dyDescent="0.3">
      <c r="A3877" s="12" t="s">
        <v>5807</v>
      </c>
      <c r="B3877" s="12" t="s">
        <v>206</v>
      </c>
      <c r="C3877" s="12" t="s">
        <v>602</v>
      </c>
      <c r="D3877" s="12" t="s">
        <v>5804</v>
      </c>
      <c r="E3877" s="12" t="s">
        <v>2978</v>
      </c>
      <c r="F3877" s="12" t="s">
        <v>32</v>
      </c>
      <c r="G3877" s="12" t="s">
        <v>32</v>
      </c>
      <c r="H3877" s="12" t="b">
        <v>1</v>
      </c>
      <c r="I3877" s="12" t="b">
        <v>1</v>
      </c>
      <c r="J3877" s="12" t="b">
        <v>0</v>
      </c>
      <c r="K3877" s="12" t="b">
        <v>0</v>
      </c>
      <c r="L3877" s="12">
        <v>391.19397922888402</v>
      </c>
      <c r="M3877" s="12">
        <v>281.22907480167208</v>
      </c>
      <c r="N3877" s="12">
        <v>3000</v>
      </c>
      <c r="O3877" s="12">
        <v>631.28329344521171</v>
      </c>
      <c r="P3877" s="12">
        <v>0.5</v>
      </c>
      <c r="Q3877" s="12">
        <v>0.67884107017800666</v>
      </c>
      <c r="R3877" s="12">
        <v>0.80700275249083053</v>
      </c>
      <c r="S3877" s="12">
        <v>0.90362428171383002</v>
      </c>
      <c r="T3877" s="12">
        <v>0.78304243414524588</v>
      </c>
      <c r="U3877" s="12">
        <v>0.9176245000297758</v>
      </c>
      <c r="V3877" s="12">
        <v>281.22907480167208</v>
      </c>
      <c r="W3877" s="12">
        <v>2.2659036411208402</v>
      </c>
      <c r="X3877" s="12">
        <v>4.2036421420125514</v>
      </c>
      <c r="Y3877" s="12">
        <v>2368.7167065547878</v>
      </c>
      <c r="Z3877" s="12">
        <v>4.7522246052601522</v>
      </c>
      <c r="AA3877" s="12"/>
      <c r="AB3877" s="12"/>
    </row>
    <row r="3878" spans="1:28" x14ac:dyDescent="0.3">
      <c r="A3878" s="12" t="s">
        <v>5808</v>
      </c>
      <c r="B3878" s="12" t="s">
        <v>206</v>
      </c>
      <c r="C3878" s="12" t="s">
        <v>602</v>
      </c>
      <c r="D3878" s="12" t="s">
        <v>5804</v>
      </c>
      <c r="E3878" s="12" t="s">
        <v>2978</v>
      </c>
      <c r="F3878" s="12" t="s">
        <v>32</v>
      </c>
      <c r="G3878" s="12" t="s">
        <v>32</v>
      </c>
      <c r="H3878" s="12" t="b">
        <v>1</v>
      </c>
      <c r="I3878" s="12" t="b">
        <v>1</v>
      </c>
      <c r="J3878" s="12" t="b">
        <v>0</v>
      </c>
      <c r="K3878" s="12" t="b">
        <v>0</v>
      </c>
      <c r="L3878" s="12">
        <v>432.6853245083326</v>
      </c>
      <c r="M3878" s="12">
        <v>280.0905889777963</v>
      </c>
      <c r="N3878" s="12">
        <v>3000</v>
      </c>
      <c r="O3878" s="12">
        <v>1386.5847572427381</v>
      </c>
      <c r="P3878" s="12">
        <v>0.5</v>
      </c>
      <c r="Q3878" s="12">
        <v>0.43398250261998372</v>
      </c>
      <c r="R3878" s="12">
        <v>0.72728921673075686</v>
      </c>
      <c r="S3878" s="12">
        <v>0.48282790320266961</v>
      </c>
      <c r="T3878" s="12">
        <v>0.79373553450124523</v>
      </c>
      <c r="U3878" s="12">
        <v>0.74542316681881604</v>
      </c>
      <c r="V3878" s="12">
        <v>280.0905889777963</v>
      </c>
      <c r="W3878" s="12">
        <v>1.14403134098897</v>
      </c>
      <c r="X3878" s="12">
        <v>4.4927264014833614</v>
      </c>
      <c r="Y3878" s="12">
        <v>1613.4152427572619</v>
      </c>
      <c r="Z3878" s="12">
        <v>2.1635893401609159</v>
      </c>
      <c r="AA3878" s="12"/>
      <c r="AB3878" s="12"/>
    </row>
    <row r="3879" spans="1:28" x14ac:dyDescent="0.3">
      <c r="A3879" s="12" t="s">
        <v>5809</v>
      </c>
      <c r="B3879" s="12" t="s">
        <v>206</v>
      </c>
      <c r="C3879" s="12" t="s">
        <v>602</v>
      </c>
      <c r="D3879" s="12" t="s">
        <v>5804</v>
      </c>
      <c r="E3879" s="12" t="s">
        <v>2978</v>
      </c>
      <c r="F3879" s="12" t="s">
        <v>32</v>
      </c>
      <c r="G3879" s="12" t="s">
        <v>32</v>
      </c>
      <c r="H3879" s="12" t="b">
        <v>1</v>
      </c>
      <c r="I3879" s="12" t="b">
        <v>1</v>
      </c>
      <c r="J3879" s="12" t="b">
        <v>0</v>
      </c>
      <c r="K3879" s="12" t="b">
        <v>0</v>
      </c>
      <c r="L3879" s="12">
        <v>396.07379033781211</v>
      </c>
      <c r="M3879" s="12">
        <v>296.1335958263204</v>
      </c>
      <c r="N3879" s="12">
        <v>3000</v>
      </c>
      <c r="O3879" s="12">
        <v>1049.213514645438</v>
      </c>
      <c r="P3879" s="12">
        <v>0.5</v>
      </c>
      <c r="Q3879" s="12">
        <v>0.41094470434943248</v>
      </c>
      <c r="R3879" s="12">
        <v>0.58936461377249605</v>
      </c>
      <c r="S3879" s="12">
        <v>0.85553121768412765</v>
      </c>
      <c r="T3879" s="12">
        <v>0.71928435645040167</v>
      </c>
      <c r="U3879" s="12">
        <v>0.72610305638874206</v>
      </c>
      <c r="V3879" s="12">
        <v>296.1335958263204</v>
      </c>
      <c r="W3879" s="12">
        <v>0.70700667418498997</v>
      </c>
      <c r="X3879" s="12">
        <v>1.6203702139670479</v>
      </c>
      <c r="Y3879" s="12">
        <v>1950.786485354562</v>
      </c>
      <c r="Z3879" s="12">
        <v>2.859284557551466</v>
      </c>
      <c r="AA3879" s="12"/>
      <c r="AB3879" s="12"/>
    </row>
    <row r="3880" spans="1:28" x14ac:dyDescent="0.3">
      <c r="A3880" s="12" t="s">
        <v>5810</v>
      </c>
      <c r="B3880" s="12" t="s">
        <v>206</v>
      </c>
      <c r="C3880" s="12" t="s">
        <v>602</v>
      </c>
      <c r="D3880" s="12" t="s">
        <v>5804</v>
      </c>
      <c r="E3880" s="12" t="s">
        <v>2978</v>
      </c>
      <c r="F3880" s="12" t="s">
        <v>32</v>
      </c>
      <c r="G3880" s="12" t="s">
        <v>32</v>
      </c>
      <c r="H3880" s="12" t="b">
        <v>1</v>
      </c>
      <c r="I3880" s="12" t="b">
        <v>0</v>
      </c>
      <c r="J3880" s="12" t="b">
        <v>1</v>
      </c>
      <c r="K3880" s="12" t="b">
        <v>0</v>
      </c>
      <c r="L3880" s="12">
        <v>474.57763564791418</v>
      </c>
      <c r="M3880" s="12">
        <v>279.6690204358145</v>
      </c>
      <c r="N3880" s="12">
        <v>3000</v>
      </c>
      <c r="O3880" s="12">
        <v>1549.2375779329161</v>
      </c>
      <c r="P3880" s="12">
        <v>0.5</v>
      </c>
      <c r="Q3880" s="12">
        <v>0.84340805434803934</v>
      </c>
      <c r="R3880" s="12">
        <v>0.8637331476328266</v>
      </c>
      <c r="S3880" s="12">
        <v>0.81520552288744752</v>
      </c>
      <c r="T3880" s="12">
        <v>0.47024806855131779</v>
      </c>
      <c r="U3880" s="12">
        <v>0.893677918141353</v>
      </c>
      <c r="V3880" s="12">
        <v>279.6690204358145</v>
      </c>
      <c r="W3880" s="12">
        <v>4.5921981960855902</v>
      </c>
      <c r="X3880" s="12">
        <v>81.131450549136048</v>
      </c>
      <c r="Y3880" s="12">
        <v>1450.7624220670839</v>
      </c>
      <c r="Z3880" s="12">
        <v>1.9364363753703779</v>
      </c>
      <c r="AA3880" s="12"/>
      <c r="AB3880" s="12"/>
    </row>
    <row r="3881" spans="1:28" x14ac:dyDescent="0.3">
      <c r="A3881" s="12" t="s">
        <v>5811</v>
      </c>
      <c r="B3881" s="12" t="s">
        <v>206</v>
      </c>
      <c r="C3881" s="12" t="s">
        <v>602</v>
      </c>
      <c r="D3881" s="12" t="s">
        <v>5804</v>
      </c>
      <c r="E3881" s="12" t="s">
        <v>2978</v>
      </c>
      <c r="F3881" s="12" t="s">
        <v>1861</v>
      </c>
      <c r="G3881" s="12" t="s">
        <v>1861</v>
      </c>
      <c r="H3881" s="12" t="b">
        <v>1</v>
      </c>
      <c r="I3881" s="12" t="b">
        <v>0</v>
      </c>
      <c r="J3881" s="12" t="b">
        <v>1</v>
      </c>
      <c r="K3881" s="12" t="b">
        <v>0</v>
      </c>
      <c r="L3881" s="12">
        <v>479.64300355787839</v>
      </c>
      <c r="M3881" s="12">
        <v>302.73053520052582</v>
      </c>
      <c r="N3881" s="12">
        <v>3000</v>
      </c>
      <c r="O3881" s="12">
        <v>361.37912550219443</v>
      </c>
      <c r="P3881" s="12">
        <v>0.5</v>
      </c>
      <c r="Q3881" s="12">
        <v>0.82812444554951647</v>
      </c>
      <c r="R3881" s="12">
        <v>0.48307954010566589</v>
      </c>
      <c r="S3881" s="12">
        <v>0.54754014254456407</v>
      </c>
      <c r="T3881" s="12">
        <v>0.65539528482787079</v>
      </c>
      <c r="U3881" s="12">
        <v>0.78817969646761843</v>
      </c>
      <c r="V3881" s="12">
        <v>302.73053520052582</v>
      </c>
      <c r="W3881" s="12">
        <v>11.14294633938281</v>
      </c>
      <c r="X3881" s="12">
        <v>116.5155816544838</v>
      </c>
      <c r="Y3881" s="12">
        <v>2638.6208744978062</v>
      </c>
      <c r="Z3881" s="12">
        <v>8.3015309637240868</v>
      </c>
      <c r="AA3881" s="12" t="s">
        <v>1268</v>
      </c>
      <c r="AB3881" s="12"/>
    </row>
    <row r="3882" spans="1:28" x14ac:dyDescent="0.3">
      <c r="A3882" s="12" t="s">
        <v>5812</v>
      </c>
      <c r="B3882" s="12" t="s">
        <v>206</v>
      </c>
      <c r="C3882" s="12" t="s">
        <v>602</v>
      </c>
      <c r="D3882" s="12" t="s">
        <v>5804</v>
      </c>
      <c r="E3882" s="12" t="s">
        <v>2978</v>
      </c>
      <c r="F3882" s="12" t="s">
        <v>1862</v>
      </c>
      <c r="G3882" s="12" t="s">
        <v>1862</v>
      </c>
      <c r="H3882" s="12" t="b">
        <v>1</v>
      </c>
      <c r="I3882" s="12" t="b">
        <v>0</v>
      </c>
      <c r="J3882" s="12" t="b">
        <v>1</v>
      </c>
      <c r="K3882" s="12" t="b">
        <v>0</v>
      </c>
      <c r="L3882" s="12">
        <v>457.82411740878678</v>
      </c>
      <c r="M3882" s="12">
        <v>293.27614366998171</v>
      </c>
      <c r="N3882" s="12">
        <v>3000</v>
      </c>
      <c r="O3882" s="12">
        <v>437.61294524039948</v>
      </c>
      <c r="P3882" s="12">
        <v>0.5</v>
      </c>
      <c r="Q3882" s="12">
        <v>0.86664328390788947</v>
      </c>
      <c r="R3882" s="12">
        <v>0.5128674217954432</v>
      </c>
      <c r="S3882" s="12">
        <v>0.5309957211082541</v>
      </c>
      <c r="T3882" s="12">
        <v>0.87856443366178338</v>
      </c>
      <c r="U3882" s="12">
        <v>0.4427065273953969</v>
      </c>
      <c r="V3882" s="12">
        <v>293.27614366998171</v>
      </c>
      <c r="W3882" s="12">
        <v>-2.7682087570784799</v>
      </c>
      <c r="X3882" s="12">
        <v>-13.460617849815661</v>
      </c>
      <c r="Y3882" s="12">
        <v>2562.3870547596011</v>
      </c>
      <c r="Z3882" s="12">
        <v>6.8553730702641156</v>
      </c>
      <c r="AA3882" s="12" t="s">
        <v>2513</v>
      </c>
      <c r="AB3882" s="12"/>
    </row>
    <row r="3883" spans="1:28" x14ac:dyDescent="0.3">
      <c r="A3883" s="12" t="s">
        <v>5813</v>
      </c>
      <c r="B3883" s="12" t="s">
        <v>206</v>
      </c>
      <c r="C3883" s="12" t="s">
        <v>602</v>
      </c>
      <c r="D3883" s="12" t="s">
        <v>5804</v>
      </c>
      <c r="E3883" s="12" t="s">
        <v>2978</v>
      </c>
      <c r="F3883" s="12" t="s">
        <v>1861</v>
      </c>
      <c r="G3883" s="12" t="s">
        <v>1861</v>
      </c>
      <c r="H3883" s="12" t="b">
        <v>1</v>
      </c>
      <c r="I3883" s="12" t="b">
        <v>0</v>
      </c>
      <c r="J3883" s="12" t="b">
        <v>1</v>
      </c>
      <c r="K3883" s="12" t="b">
        <v>0</v>
      </c>
      <c r="L3883" s="12">
        <v>508.40583256959809</v>
      </c>
      <c r="M3883" s="12">
        <v>296.92540780514003</v>
      </c>
      <c r="N3883" s="12">
        <v>3000</v>
      </c>
      <c r="O3883" s="12">
        <v>784.22649254601549</v>
      </c>
      <c r="P3883" s="12">
        <v>0.5</v>
      </c>
      <c r="Q3883" s="12">
        <v>0.65415405789221093</v>
      </c>
      <c r="R3883" s="12">
        <v>0.92970900407525958</v>
      </c>
      <c r="S3883" s="12">
        <v>0.72260220317732149</v>
      </c>
      <c r="T3883" s="12">
        <v>0.4869323063156879</v>
      </c>
      <c r="U3883" s="12">
        <v>0.4769924352116206</v>
      </c>
      <c r="V3883" s="12">
        <v>296.92540780514003</v>
      </c>
      <c r="W3883" s="12">
        <v>3.3361696641699798</v>
      </c>
      <c r="X3883" s="12">
        <v>31.858933662765509</v>
      </c>
      <c r="Y3883" s="12">
        <v>2215.7735074539851</v>
      </c>
      <c r="Z3883" s="12">
        <v>3.825425471486442</v>
      </c>
      <c r="AA3883" s="12" t="s">
        <v>1268</v>
      </c>
      <c r="AB3883" s="12"/>
    </row>
    <row r="3884" spans="1:28" x14ac:dyDescent="0.3">
      <c r="A3884" s="12" t="s">
        <v>5814</v>
      </c>
      <c r="B3884" s="12" t="s">
        <v>206</v>
      </c>
      <c r="C3884" s="12" t="s">
        <v>602</v>
      </c>
      <c r="D3884" s="12" t="s">
        <v>5804</v>
      </c>
      <c r="E3884" s="12" t="s">
        <v>2978</v>
      </c>
      <c r="F3884" s="12" t="s">
        <v>32</v>
      </c>
      <c r="G3884" s="12" t="s">
        <v>32</v>
      </c>
      <c r="H3884" s="12" t="b">
        <v>1</v>
      </c>
      <c r="I3884" s="12" t="b">
        <v>1</v>
      </c>
      <c r="J3884" s="12" t="b">
        <v>0</v>
      </c>
      <c r="K3884" s="12" t="b">
        <v>0</v>
      </c>
      <c r="L3884" s="12">
        <v>410.0080573216207</v>
      </c>
      <c r="M3884" s="12">
        <v>301.12439652336991</v>
      </c>
      <c r="N3884" s="12">
        <v>3000</v>
      </c>
      <c r="O3884" s="12">
        <v>1852.3052654297401</v>
      </c>
      <c r="P3884" s="12">
        <v>0.5</v>
      </c>
      <c r="Q3884" s="12">
        <v>0.82043036190425211</v>
      </c>
      <c r="R3884" s="12">
        <v>0.90461130275383661</v>
      </c>
      <c r="S3884" s="12">
        <v>0.44768802121846463</v>
      </c>
      <c r="T3884" s="12">
        <v>0.93047466964517844</v>
      </c>
      <c r="U3884" s="12">
        <v>0.53036038408832087</v>
      </c>
      <c r="V3884" s="12">
        <v>301.12439652336991</v>
      </c>
      <c r="W3884" s="12">
        <v>2.9477684446502401</v>
      </c>
      <c r="X3884" s="12">
        <v>5.1140217821483356</v>
      </c>
      <c r="Y3884" s="12">
        <v>1147.6947345702599</v>
      </c>
      <c r="Z3884" s="12">
        <v>1.6196034508944681</v>
      </c>
      <c r="AA3884" s="12"/>
      <c r="AB3884" s="12"/>
    </row>
    <row r="3885" spans="1:28" x14ac:dyDescent="0.3">
      <c r="A3885" s="12" t="s">
        <v>5815</v>
      </c>
      <c r="B3885" s="12" t="s">
        <v>206</v>
      </c>
      <c r="C3885" s="12" t="s">
        <v>602</v>
      </c>
      <c r="D3885" s="12" t="s">
        <v>5804</v>
      </c>
      <c r="E3885" s="12" t="s">
        <v>2978</v>
      </c>
      <c r="F3885" s="12" t="s">
        <v>32</v>
      </c>
      <c r="G3885" s="12" t="s">
        <v>32</v>
      </c>
      <c r="H3885" s="12" t="b">
        <v>1</v>
      </c>
      <c r="I3885" s="12" t="b">
        <v>0</v>
      </c>
      <c r="J3885" s="12" t="b">
        <v>1</v>
      </c>
      <c r="K3885" s="12" t="b">
        <v>0</v>
      </c>
      <c r="L3885" s="12">
        <v>438.93274264838681</v>
      </c>
      <c r="M3885" s="12">
        <v>292.38451790777219</v>
      </c>
      <c r="N3885" s="12">
        <v>3000</v>
      </c>
      <c r="O3885" s="12">
        <v>1014.680125357152</v>
      </c>
      <c r="P3885" s="12">
        <v>0.5</v>
      </c>
      <c r="Q3885" s="12">
        <v>0.56521296060675974</v>
      </c>
      <c r="R3885" s="12">
        <v>0.42779937908276389</v>
      </c>
      <c r="S3885" s="12">
        <v>0.69894053786037325</v>
      </c>
      <c r="T3885" s="12">
        <v>0.57990454825001669</v>
      </c>
      <c r="U3885" s="12">
        <v>0.77072189689532467</v>
      </c>
      <c r="V3885" s="12">
        <v>292.38451790777219</v>
      </c>
      <c r="W3885" s="12">
        <v>4.1587732193057008</v>
      </c>
      <c r="X3885" s="12">
        <v>27.4672800604442</v>
      </c>
      <c r="Y3885" s="12">
        <v>1985.3198746428479</v>
      </c>
      <c r="Z3885" s="12">
        <v>2.9565967885140618</v>
      </c>
      <c r="AA3885" s="12"/>
      <c r="AB3885" s="12"/>
    </row>
    <row r="3886" spans="1:28" x14ac:dyDescent="0.3">
      <c r="A3886" s="12" t="s">
        <v>5816</v>
      </c>
      <c r="B3886" s="12" t="s">
        <v>206</v>
      </c>
      <c r="C3886" s="12" t="s">
        <v>602</v>
      </c>
      <c r="D3886" s="12" t="s">
        <v>5804</v>
      </c>
      <c r="E3886" s="12" t="s">
        <v>2978</v>
      </c>
      <c r="F3886" s="12" t="s">
        <v>1861</v>
      </c>
      <c r="G3886" s="12" t="s">
        <v>1861</v>
      </c>
      <c r="H3886" s="12" t="b">
        <v>1</v>
      </c>
      <c r="I3886" s="12" t="b">
        <v>0</v>
      </c>
      <c r="J3886" s="12" t="b">
        <v>1</v>
      </c>
      <c r="K3886" s="12" t="b">
        <v>0</v>
      </c>
      <c r="L3886" s="12">
        <v>464.71575462053028</v>
      </c>
      <c r="M3886" s="12">
        <v>290.48535477443761</v>
      </c>
      <c r="N3886" s="12">
        <v>3000</v>
      </c>
      <c r="O3886" s="12">
        <v>342.08624499729552</v>
      </c>
      <c r="P3886" s="12">
        <v>0.5</v>
      </c>
      <c r="Q3886" s="12">
        <v>0.54404207631639201</v>
      </c>
      <c r="R3886" s="12">
        <v>0.7380387429292492</v>
      </c>
      <c r="S3886" s="12">
        <v>0.79619851931039609</v>
      </c>
      <c r="T3886" s="12">
        <v>0.82864887332291293</v>
      </c>
      <c r="U3886" s="12">
        <v>0.61578316243916165</v>
      </c>
      <c r="V3886" s="12">
        <v>290.48535477443761</v>
      </c>
      <c r="W3886" s="12">
        <v>2.9756509928364201</v>
      </c>
      <c r="X3886" s="12">
        <v>29.626546139746129</v>
      </c>
      <c r="Y3886" s="12">
        <v>2657.913755002704</v>
      </c>
      <c r="Z3886" s="12">
        <v>8.7697182914317935</v>
      </c>
      <c r="AA3886" s="12" t="s">
        <v>1268</v>
      </c>
      <c r="AB3886" s="12"/>
    </row>
    <row r="3887" spans="1:28" x14ac:dyDescent="0.3">
      <c r="A3887" s="12" t="s">
        <v>5817</v>
      </c>
      <c r="B3887" s="12" t="s">
        <v>206</v>
      </c>
      <c r="C3887" s="12" t="s">
        <v>602</v>
      </c>
      <c r="D3887" s="12" t="s">
        <v>5804</v>
      </c>
      <c r="E3887" s="12" t="s">
        <v>2978</v>
      </c>
      <c r="F3887" s="12" t="s">
        <v>832</v>
      </c>
      <c r="G3887" s="12" t="s">
        <v>832</v>
      </c>
      <c r="H3887" s="12" t="b">
        <v>0</v>
      </c>
      <c r="I3887" s="12" t="b">
        <v>0</v>
      </c>
      <c r="J3887" s="12" t="b">
        <v>0</v>
      </c>
      <c r="K3887" s="12" t="b">
        <v>0</v>
      </c>
      <c r="L3887" s="12">
        <v>382.59967763038321</v>
      </c>
      <c r="M3887" s="12">
        <v>291.59672781212703</v>
      </c>
      <c r="N3887" s="12">
        <v>3000</v>
      </c>
      <c r="O3887" s="12">
        <v>1926.41261285158</v>
      </c>
      <c r="P3887" s="12">
        <v>0.5</v>
      </c>
      <c r="Q3887" s="12">
        <v>0.61060059025372093</v>
      </c>
      <c r="R3887" s="12">
        <v>0.55534611665362787</v>
      </c>
      <c r="S3887" s="12">
        <v>0.61547091928955389</v>
      </c>
      <c r="T3887" s="12">
        <v>0.50207507431130982</v>
      </c>
      <c r="U3887" s="12">
        <v>0.83294579626512966</v>
      </c>
      <c r="V3887" s="12">
        <v>291.59672781212703</v>
      </c>
      <c r="W3887" s="12"/>
      <c r="X3887" s="12"/>
      <c r="Y3887" s="12">
        <v>1073.58738714842</v>
      </c>
      <c r="Z3887" s="12">
        <v>1.557298773890001</v>
      </c>
      <c r="AA3887" s="12"/>
      <c r="AB3887" s="12"/>
    </row>
    <row r="3888" spans="1:28" x14ac:dyDescent="0.3">
      <c r="A3888" s="12" t="s">
        <v>5818</v>
      </c>
      <c r="B3888" s="12" t="s">
        <v>206</v>
      </c>
      <c r="C3888" s="12" t="s">
        <v>602</v>
      </c>
      <c r="D3888" s="12" t="s">
        <v>5804</v>
      </c>
      <c r="E3888" s="12" t="s">
        <v>2978</v>
      </c>
      <c r="F3888" s="12" t="s">
        <v>1861</v>
      </c>
      <c r="G3888" s="12" t="s">
        <v>1861</v>
      </c>
      <c r="H3888" s="12" t="b">
        <v>1</v>
      </c>
      <c r="I3888" s="12" t="b">
        <v>0</v>
      </c>
      <c r="J3888" s="12" t="b">
        <v>1</v>
      </c>
      <c r="K3888" s="12" t="b">
        <v>0</v>
      </c>
      <c r="L3888" s="12">
        <v>441.86298700122421</v>
      </c>
      <c r="M3888" s="12">
        <v>298.74203836989881</v>
      </c>
      <c r="N3888" s="12">
        <v>3000</v>
      </c>
      <c r="O3888" s="12">
        <v>1989.509694549336</v>
      </c>
      <c r="P3888" s="12">
        <v>0.5</v>
      </c>
      <c r="Q3888" s="12">
        <v>0.59559541742460265</v>
      </c>
      <c r="R3888" s="12">
        <v>0.44161333543367309</v>
      </c>
      <c r="S3888" s="12">
        <v>0.83089681301738605</v>
      </c>
      <c r="T3888" s="12">
        <v>0.45152486625729149</v>
      </c>
      <c r="U3888" s="12">
        <v>0.69231113427624924</v>
      </c>
      <c r="V3888" s="12">
        <v>298.74203836989881</v>
      </c>
      <c r="W3888" s="12">
        <v>1.9781019116010901</v>
      </c>
      <c r="X3888" s="12">
        <v>15.081399773510229</v>
      </c>
      <c r="Y3888" s="12">
        <v>1010.490305450664</v>
      </c>
      <c r="Z3888" s="12">
        <v>1.507909214124016</v>
      </c>
      <c r="AA3888" s="12" t="s">
        <v>1268</v>
      </c>
      <c r="AB3888" s="12"/>
    </row>
    <row r="3889" spans="1:28" x14ac:dyDescent="0.3">
      <c r="A3889" s="12" t="s">
        <v>5819</v>
      </c>
      <c r="B3889" s="12" t="s">
        <v>206</v>
      </c>
      <c r="C3889" s="12" t="s">
        <v>602</v>
      </c>
      <c r="D3889" s="12" t="s">
        <v>5804</v>
      </c>
      <c r="E3889" s="12" t="s">
        <v>2978</v>
      </c>
      <c r="F3889" s="12" t="s">
        <v>1863</v>
      </c>
      <c r="G3889" s="12" t="s">
        <v>832</v>
      </c>
      <c r="H3889" s="12" t="b">
        <v>0</v>
      </c>
      <c r="I3889" s="12" t="b">
        <v>0</v>
      </c>
      <c r="J3889" s="12" t="b">
        <v>0</v>
      </c>
      <c r="K3889" s="12" t="b">
        <v>0</v>
      </c>
      <c r="L3889" s="12">
        <v>387.90266385210072</v>
      </c>
      <c r="M3889" s="12">
        <v>285.02929102207179</v>
      </c>
      <c r="N3889" s="12">
        <v>3000</v>
      </c>
      <c r="O3889" s="12">
        <v>1752.4689782636519</v>
      </c>
      <c r="P3889" s="12">
        <v>0.5</v>
      </c>
      <c r="Q3889" s="12">
        <v>0.45997092945843721</v>
      </c>
      <c r="R3889" s="12">
        <v>0.70293444217764423</v>
      </c>
      <c r="S3889" s="12">
        <v>0.49755197157165548</v>
      </c>
      <c r="T3889" s="12">
        <v>0.74549612642814023</v>
      </c>
      <c r="U3889" s="12">
        <v>0.67349563586408157</v>
      </c>
      <c r="V3889" s="12">
        <v>285.02929102207179</v>
      </c>
      <c r="W3889" s="12">
        <v>-7.4404840370247189</v>
      </c>
      <c r="X3889" s="12">
        <v>-5.8301173281363523</v>
      </c>
      <c r="Y3889" s="12">
        <v>1247.5310217363481</v>
      </c>
      <c r="Z3889" s="12">
        <v>1.711870530782464</v>
      </c>
      <c r="AA3889" s="12" t="s">
        <v>2018</v>
      </c>
      <c r="AB3889" s="12"/>
    </row>
    <row r="3890" spans="1:28" x14ac:dyDescent="0.3">
      <c r="A3890" s="12" t="s">
        <v>5820</v>
      </c>
      <c r="B3890" s="12" t="s">
        <v>206</v>
      </c>
      <c r="C3890" s="12" t="s">
        <v>602</v>
      </c>
      <c r="D3890" s="12" t="s">
        <v>5804</v>
      </c>
      <c r="E3890" s="12" t="s">
        <v>2978</v>
      </c>
      <c r="F3890" s="12" t="s">
        <v>1861</v>
      </c>
      <c r="G3890" s="12" t="s">
        <v>1861</v>
      </c>
      <c r="H3890" s="12" t="b">
        <v>1</v>
      </c>
      <c r="I3890" s="12" t="b">
        <v>0</v>
      </c>
      <c r="J3890" s="12" t="b">
        <v>1</v>
      </c>
      <c r="K3890" s="12" t="b">
        <v>0</v>
      </c>
      <c r="L3890" s="12">
        <v>518.06543687485123</v>
      </c>
      <c r="M3890" s="12">
        <v>294.95970786832339</v>
      </c>
      <c r="N3890" s="12">
        <v>3000</v>
      </c>
      <c r="O3890" s="12">
        <v>1349.8297334325589</v>
      </c>
      <c r="P3890" s="12">
        <v>0.5</v>
      </c>
      <c r="Q3890" s="12">
        <v>0.91562364151892461</v>
      </c>
      <c r="R3890" s="12">
        <v>0.66011073316991209</v>
      </c>
      <c r="S3890" s="12">
        <v>0.76445396118709463</v>
      </c>
      <c r="T3890" s="12">
        <v>0.66231478563832402</v>
      </c>
      <c r="U3890" s="12">
        <v>0.41907276064994481</v>
      </c>
      <c r="V3890" s="12">
        <v>294.95970786832339</v>
      </c>
      <c r="W3890" s="12">
        <v>2.4264749479682202</v>
      </c>
      <c r="X3890" s="12">
        <v>21.654892019997039</v>
      </c>
      <c r="Y3890" s="12">
        <v>1650.1702665674411</v>
      </c>
      <c r="Z3890" s="12">
        <v>2.222502531760898</v>
      </c>
      <c r="AA3890" s="12" t="s">
        <v>1268</v>
      </c>
      <c r="AB3890" s="12"/>
    </row>
    <row r="3891" spans="1:28" x14ac:dyDescent="0.3">
      <c r="A3891" s="12" t="s">
        <v>5821</v>
      </c>
      <c r="B3891" s="12" t="s">
        <v>206</v>
      </c>
      <c r="C3891" s="12" t="s">
        <v>602</v>
      </c>
      <c r="D3891" s="12" t="s">
        <v>5804</v>
      </c>
      <c r="E3891" s="12" t="s">
        <v>2978</v>
      </c>
      <c r="F3891" s="12" t="s">
        <v>32</v>
      </c>
      <c r="G3891" s="12" t="s">
        <v>32</v>
      </c>
      <c r="H3891" s="12" t="b">
        <v>1</v>
      </c>
      <c r="I3891" s="12" t="b">
        <v>1</v>
      </c>
      <c r="J3891" s="12" t="b">
        <v>0</v>
      </c>
      <c r="K3891" s="12" t="b">
        <v>0</v>
      </c>
      <c r="L3891" s="12">
        <v>415.60651823296001</v>
      </c>
      <c r="M3891" s="12">
        <v>294.1113567187428</v>
      </c>
      <c r="N3891" s="12">
        <v>3000</v>
      </c>
      <c r="O3891" s="12">
        <v>545.161308938704</v>
      </c>
      <c r="P3891" s="12">
        <v>0.5</v>
      </c>
      <c r="Q3891" s="12">
        <v>0.76909835645387792</v>
      </c>
      <c r="R3891" s="12">
        <v>0.8850992241866904</v>
      </c>
      <c r="S3891" s="12">
        <v>0.74272615024158051</v>
      </c>
      <c r="T3891" s="12">
        <v>0.41553907782699268</v>
      </c>
      <c r="U3891" s="12">
        <v>0.84011025189140287</v>
      </c>
      <c r="V3891" s="12">
        <v>294.1113567187428</v>
      </c>
      <c r="W3891" s="12">
        <v>6.5310700103899899</v>
      </c>
      <c r="X3891" s="12">
        <v>32.429707692689867</v>
      </c>
      <c r="Y3891" s="12">
        <v>2454.8386910612958</v>
      </c>
      <c r="Z3891" s="12">
        <v>5.5029583919670806</v>
      </c>
      <c r="AA3891" s="12"/>
      <c r="AB3891" s="12"/>
    </row>
    <row r="3892" spans="1:28" x14ac:dyDescent="0.3">
      <c r="A3892" s="12" t="s">
        <v>5822</v>
      </c>
      <c r="B3892" s="12" t="s">
        <v>206</v>
      </c>
      <c r="C3892" s="12" t="s">
        <v>602</v>
      </c>
      <c r="D3892" s="12" t="s">
        <v>5804</v>
      </c>
      <c r="E3892" s="12" t="s">
        <v>2978</v>
      </c>
      <c r="F3892" s="12" t="s">
        <v>32</v>
      </c>
      <c r="G3892" s="12" t="s">
        <v>32</v>
      </c>
      <c r="H3892" s="12" t="b">
        <v>1</v>
      </c>
      <c r="I3892" s="12" t="b">
        <v>0</v>
      </c>
      <c r="J3892" s="12" t="b">
        <v>1</v>
      </c>
      <c r="K3892" s="12" t="b">
        <v>0</v>
      </c>
      <c r="L3892" s="12">
        <v>482.82903995325142</v>
      </c>
      <c r="M3892" s="12">
        <v>300.52359710303369</v>
      </c>
      <c r="N3892" s="12">
        <v>3000</v>
      </c>
      <c r="O3892" s="12">
        <v>1821.9307756205189</v>
      </c>
      <c r="P3892" s="12">
        <v>0.5</v>
      </c>
      <c r="Q3892" s="12">
        <v>0.69501576639705842</v>
      </c>
      <c r="R3892" s="12">
        <v>0.94651495989453183</v>
      </c>
      <c r="S3892" s="12">
        <v>0.62819957855446162</v>
      </c>
      <c r="T3892" s="12">
        <v>0.76357262011399674</v>
      </c>
      <c r="U3892" s="12">
        <v>0.94569174702492442</v>
      </c>
      <c r="V3892" s="12">
        <v>300.52359710303369</v>
      </c>
      <c r="W3892" s="12">
        <v>2.8910498361253998</v>
      </c>
      <c r="X3892" s="12">
        <v>38.153230440133207</v>
      </c>
      <c r="Y3892" s="12">
        <v>1178.0692243794811</v>
      </c>
      <c r="Z3892" s="12">
        <v>1.6466048217327309</v>
      </c>
      <c r="AA3892" s="12"/>
      <c r="AB3892" s="12"/>
    </row>
    <row r="3893" spans="1:28" x14ac:dyDescent="0.3">
      <c r="A3893" s="12" t="s">
        <v>5823</v>
      </c>
      <c r="B3893" s="12" t="s">
        <v>206</v>
      </c>
      <c r="C3893" s="12" t="s">
        <v>602</v>
      </c>
      <c r="D3893" s="12" t="s">
        <v>5804</v>
      </c>
      <c r="E3893" s="12" t="s">
        <v>2978</v>
      </c>
      <c r="F3893" s="12" t="s">
        <v>1862</v>
      </c>
      <c r="G3893" s="12" t="s">
        <v>1862</v>
      </c>
      <c r="H3893" s="12" t="b">
        <v>1</v>
      </c>
      <c r="I3893" s="12" t="b">
        <v>0</v>
      </c>
      <c r="J3893" s="12" t="b">
        <v>1</v>
      </c>
      <c r="K3893" s="12" t="b">
        <v>0</v>
      </c>
      <c r="L3893" s="12">
        <v>463.13836577658282</v>
      </c>
      <c r="M3893" s="12">
        <v>295.91620010863312</v>
      </c>
      <c r="N3893" s="12">
        <v>3000</v>
      </c>
      <c r="O3893" s="12">
        <v>732.32397372930177</v>
      </c>
      <c r="P3893" s="12">
        <v>0.5</v>
      </c>
      <c r="Q3893" s="12">
        <v>0.51605045593450727</v>
      </c>
      <c r="R3893" s="12">
        <v>0.41642289526431531</v>
      </c>
      <c r="S3893" s="12">
        <v>0.88309893016649488</v>
      </c>
      <c r="T3893" s="12">
        <v>0.51745962319788674</v>
      </c>
      <c r="U3893" s="12">
        <v>0.59247535703426868</v>
      </c>
      <c r="V3893" s="12">
        <v>295.91620010863312</v>
      </c>
      <c r="W3893" s="12">
        <v>-5.2348535210793603</v>
      </c>
      <c r="X3893" s="12">
        <v>-49.839660331962179</v>
      </c>
      <c r="Y3893" s="12">
        <v>2267.676026270698</v>
      </c>
      <c r="Z3893" s="12">
        <v>4.0965475767818154</v>
      </c>
      <c r="AA3893" s="12" t="s">
        <v>2513</v>
      </c>
      <c r="AB3893" s="12"/>
    </row>
    <row r="3894" spans="1:28" x14ac:dyDescent="0.3">
      <c r="A3894" s="12" t="s">
        <v>5824</v>
      </c>
      <c r="B3894" s="12" t="s">
        <v>206</v>
      </c>
      <c r="C3894" s="12" t="s">
        <v>602</v>
      </c>
      <c r="D3894" s="12" t="s">
        <v>5804</v>
      </c>
      <c r="E3894" s="12" t="s">
        <v>2978</v>
      </c>
      <c r="F3894" s="12" t="s">
        <v>1861</v>
      </c>
      <c r="G3894" s="12" t="s">
        <v>1861</v>
      </c>
      <c r="H3894" s="12" t="b">
        <v>1</v>
      </c>
      <c r="I3894" s="12" t="b">
        <v>0</v>
      </c>
      <c r="J3894" s="12" t="b">
        <v>1</v>
      </c>
      <c r="K3894" s="12" t="b">
        <v>0</v>
      </c>
      <c r="L3894" s="12">
        <v>502.55271123358671</v>
      </c>
      <c r="M3894" s="12">
        <v>287.66497129685138</v>
      </c>
      <c r="N3894" s="12">
        <v>3000</v>
      </c>
      <c r="O3894" s="12">
        <v>1526.818086185177</v>
      </c>
      <c r="P3894" s="12">
        <v>0.5</v>
      </c>
      <c r="Q3894" s="12">
        <v>0.9357656962713462</v>
      </c>
      <c r="R3894" s="12">
        <v>0.60167435551048654</v>
      </c>
      <c r="S3894" s="12">
        <v>0.67423434880743893</v>
      </c>
      <c r="T3894" s="12">
        <v>0.54646281845511502</v>
      </c>
      <c r="U3894" s="12">
        <v>0.50532670359622101</v>
      </c>
      <c r="V3894" s="12">
        <v>287.66497129685138</v>
      </c>
      <c r="W3894" s="12">
        <v>3.2363213010142902</v>
      </c>
      <c r="X3894" s="12">
        <v>31.837795339388968</v>
      </c>
      <c r="Y3894" s="12">
        <v>1473.181913814823</v>
      </c>
      <c r="Z3894" s="12">
        <v>1.9648706202424111</v>
      </c>
      <c r="AA3894" s="12" t="s">
        <v>1268</v>
      </c>
      <c r="AB3894" s="12"/>
    </row>
    <row r="3895" spans="1:28" x14ac:dyDescent="0.3">
      <c r="A3895" s="12" t="s">
        <v>5825</v>
      </c>
      <c r="B3895" s="12" t="s">
        <v>206</v>
      </c>
      <c r="C3895" s="12" t="s">
        <v>602</v>
      </c>
      <c r="D3895" s="12" t="s">
        <v>5804</v>
      </c>
      <c r="E3895" s="12" t="s">
        <v>2978</v>
      </c>
      <c r="F3895" s="12" t="s">
        <v>32</v>
      </c>
      <c r="G3895" s="12" t="s">
        <v>32</v>
      </c>
      <c r="H3895" s="12" t="b">
        <v>1</v>
      </c>
      <c r="I3895" s="12" t="b">
        <v>1</v>
      </c>
      <c r="J3895" s="12" t="b">
        <v>0</v>
      </c>
      <c r="K3895" s="12" t="b">
        <v>0</v>
      </c>
      <c r="L3895" s="12">
        <v>423.3797511890549</v>
      </c>
      <c r="M3895" s="12">
        <v>283.34719042197679</v>
      </c>
      <c r="N3895" s="12">
        <v>3000</v>
      </c>
      <c r="O3895" s="12">
        <v>1711.4534447326971</v>
      </c>
      <c r="P3895" s="12">
        <v>0.5</v>
      </c>
      <c r="Q3895" s="12">
        <v>0.44006430778384159</v>
      </c>
      <c r="R3895" s="12">
        <v>0.79849325443795549</v>
      </c>
      <c r="S3895" s="12">
        <v>0.59274075616670285</v>
      </c>
      <c r="T3895" s="12">
        <v>0.87496644364980602</v>
      </c>
      <c r="U3895" s="12">
        <v>0.90444901501438157</v>
      </c>
      <c r="V3895" s="12">
        <v>283.34719042197679</v>
      </c>
      <c r="W3895" s="12">
        <v>1.50746985972808</v>
      </c>
      <c r="X3895" s="12">
        <v>5.8399975665988304</v>
      </c>
      <c r="Y3895" s="12">
        <v>1288.5465552673029</v>
      </c>
      <c r="Z3895" s="12">
        <v>1.7528960599150589</v>
      </c>
      <c r="AA3895" s="12"/>
      <c r="AB3895" s="12"/>
    </row>
    <row r="3896" spans="1:28" x14ac:dyDescent="0.3">
      <c r="A3896" s="12" t="s">
        <v>5826</v>
      </c>
      <c r="B3896" s="12" t="s">
        <v>206</v>
      </c>
      <c r="C3896" s="12" t="s">
        <v>602</v>
      </c>
      <c r="D3896" s="12" t="s">
        <v>5804</v>
      </c>
      <c r="E3896" s="12" t="s">
        <v>2978</v>
      </c>
      <c r="F3896" s="12" t="s">
        <v>1861</v>
      </c>
      <c r="G3896" s="12" t="s">
        <v>1861</v>
      </c>
      <c r="H3896" s="12" t="b">
        <v>1</v>
      </c>
      <c r="I3896" s="12" t="b">
        <v>0</v>
      </c>
      <c r="J3896" s="12" t="b">
        <v>1</v>
      </c>
      <c r="K3896" s="12" t="b">
        <v>0</v>
      </c>
      <c r="L3896" s="12">
        <v>430.02022179902792</v>
      </c>
      <c r="M3896" s="12">
        <v>278.39302711197757</v>
      </c>
      <c r="N3896" s="12">
        <v>3000</v>
      </c>
      <c r="O3896" s="12">
        <v>688.37581306766981</v>
      </c>
      <c r="P3896" s="12">
        <v>0.5</v>
      </c>
      <c r="Q3896" s="12">
        <v>0.66320932530915411</v>
      </c>
      <c r="R3896" s="12">
        <v>0.7536131560804632</v>
      </c>
      <c r="S3896" s="12">
        <v>0.91493937480746856</v>
      </c>
      <c r="T3896" s="12">
        <v>0.63340272427004973</v>
      </c>
      <c r="U3896" s="12">
        <v>0.69733769201072737</v>
      </c>
      <c r="V3896" s="12">
        <v>278.39302711197757</v>
      </c>
      <c r="W3896" s="12">
        <v>7.4654938071508594</v>
      </c>
      <c r="X3896" s="12">
        <v>51.452499636594332</v>
      </c>
      <c r="Y3896" s="12">
        <v>2311.6241869323298</v>
      </c>
      <c r="Z3896" s="12">
        <v>4.3580845565024076</v>
      </c>
      <c r="AA3896" s="12" t="s">
        <v>1268</v>
      </c>
      <c r="AB3896" s="12"/>
    </row>
    <row r="3897" spans="1:28" x14ac:dyDescent="0.3">
      <c r="A3897" s="12" t="s">
        <v>5827</v>
      </c>
      <c r="B3897" s="12" t="s">
        <v>206</v>
      </c>
      <c r="C3897" s="12" t="s">
        <v>602</v>
      </c>
      <c r="D3897" s="12" t="s">
        <v>5804</v>
      </c>
      <c r="E3897" s="12" t="s">
        <v>2978</v>
      </c>
      <c r="F3897" s="12" t="s">
        <v>1861</v>
      </c>
      <c r="G3897" s="12" t="s">
        <v>1861</v>
      </c>
      <c r="H3897" s="12" t="b">
        <v>1</v>
      </c>
      <c r="I3897" s="12" t="b">
        <v>0</v>
      </c>
      <c r="J3897" s="12" t="b">
        <v>1</v>
      </c>
      <c r="K3897" s="12" t="b">
        <v>0</v>
      </c>
      <c r="L3897" s="12">
        <v>491.11542791641762</v>
      </c>
      <c r="M3897" s="12">
        <v>281.72560957904199</v>
      </c>
      <c r="N3897" s="12">
        <v>3000</v>
      </c>
      <c r="O3897" s="12">
        <v>1174.035676282562</v>
      </c>
      <c r="P3897" s="12">
        <v>0.5</v>
      </c>
      <c r="Q3897" s="12">
        <v>0.72431148927423461</v>
      </c>
      <c r="R3897" s="12">
        <v>0.82789298637175746</v>
      </c>
      <c r="S3897" s="12">
        <v>0.40345588243317038</v>
      </c>
      <c r="T3897" s="12">
        <v>0.55841787275540145</v>
      </c>
      <c r="U3897" s="12">
        <v>0.51231307611869259</v>
      </c>
      <c r="V3897" s="12">
        <v>281.72560957904199</v>
      </c>
      <c r="W3897" s="12">
        <v>4.2025558575575896</v>
      </c>
      <c r="X3897" s="12">
        <v>29.4606551217766</v>
      </c>
      <c r="Y3897" s="12">
        <v>1825.964323717438</v>
      </c>
      <c r="Z3897" s="12">
        <v>2.555288617377562</v>
      </c>
      <c r="AA3897" s="12" t="s">
        <v>1268</v>
      </c>
      <c r="AB3897" s="12"/>
    </row>
    <row r="3898" spans="1:28" x14ac:dyDescent="0.3">
      <c r="A3898" s="12" t="s">
        <v>5828</v>
      </c>
      <c r="B3898" s="12" t="s">
        <v>206</v>
      </c>
      <c r="C3898" s="12" t="s">
        <v>602</v>
      </c>
      <c r="D3898" s="12" t="s">
        <v>5804</v>
      </c>
      <c r="E3898" s="12" t="s">
        <v>2978</v>
      </c>
      <c r="F3898" s="12" t="s">
        <v>32</v>
      </c>
      <c r="G3898" s="12" t="s">
        <v>32</v>
      </c>
      <c r="H3898" s="12" t="b">
        <v>1</v>
      </c>
      <c r="I3898" s="12" t="b">
        <v>0</v>
      </c>
      <c r="J3898" s="12" t="b">
        <v>1</v>
      </c>
      <c r="K3898" s="12" t="b">
        <v>0</v>
      </c>
      <c r="L3898" s="12">
        <v>452.51789046703539</v>
      </c>
      <c r="M3898" s="12">
        <v>289.72642557543321</v>
      </c>
      <c r="N3898" s="12">
        <v>3000</v>
      </c>
      <c r="O3898" s="12">
        <v>1481.814736505255</v>
      </c>
      <c r="P3898" s="12">
        <v>0.5</v>
      </c>
      <c r="Q3898" s="12">
        <v>0.50130027770717522</v>
      </c>
      <c r="R3898" s="12">
        <v>0.53825458358368383</v>
      </c>
      <c r="S3898" s="12">
        <v>0.69223111162485873</v>
      </c>
      <c r="T3898" s="12">
        <v>0.61257226463232539</v>
      </c>
      <c r="U3898" s="12">
        <v>0.81333455927815201</v>
      </c>
      <c r="V3898" s="12">
        <v>289.72642557543321</v>
      </c>
      <c r="W3898" s="12">
        <v>2.6519107213632398</v>
      </c>
      <c r="X3898" s="12">
        <v>23.129467919242028</v>
      </c>
      <c r="Y3898" s="12">
        <v>1518.185263494745</v>
      </c>
      <c r="Z3898" s="12">
        <v>2.0245445844837979</v>
      </c>
      <c r="AA3898" s="12"/>
      <c r="AB3898" s="12"/>
    </row>
    <row r="3899" spans="1:28" x14ac:dyDescent="0.3">
      <c r="A3899" s="12" t="s">
        <v>5829</v>
      </c>
      <c r="B3899" s="12" t="s">
        <v>206</v>
      </c>
      <c r="C3899" s="12" t="s">
        <v>602</v>
      </c>
      <c r="D3899" s="12" t="s">
        <v>5804</v>
      </c>
      <c r="E3899" s="12" t="s">
        <v>2978</v>
      </c>
      <c r="F3899" s="12" t="s">
        <v>1861</v>
      </c>
      <c r="G3899" s="12" t="s">
        <v>1861</v>
      </c>
      <c r="H3899" s="12" t="b">
        <v>1</v>
      </c>
      <c r="I3899" s="12" t="b">
        <v>0</v>
      </c>
      <c r="J3899" s="12" t="b">
        <v>1</v>
      </c>
      <c r="K3899" s="12" t="b">
        <v>0</v>
      </c>
      <c r="L3899" s="12">
        <v>447.34968494704441</v>
      </c>
      <c r="M3899" s="12">
        <v>282.6789081359222</v>
      </c>
      <c r="N3899" s="12">
        <v>3000</v>
      </c>
      <c r="O3899" s="12">
        <v>870.12085765052177</v>
      </c>
      <c r="P3899" s="12">
        <v>0.5</v>
      </c>
      <c r="Q3899" s="12">
        <v>0.62690743634189072</v>
      </c>
      <c r="R3899" s="12">
        <v>0.58177624617345525</v>
      </c>
      <c r="S3899" s="12">
        <v>0.94556284694581882</v>
      </c>
      <c r="T3899" s="12">
        <v>0.69369994955337866</v>
      </c>
      <c r="U3899" s="12">
        <v>0.64928236747954082</v>
      </c>
      <c r="V3899" s="12">
        <v>282.6789081359222</v>
      </c>
      <c r="W3899" s="12">
        <v>4.8626564027872599</v>
      </c>
      <c r="X3899" s="12">
        <v>43.557465657787361</v>
      </c>
      <c r="Y3899" s="12">
        <v>2129.8791423494781</v>
      </c>
      <c r="Z3899" s="12">
        <v>3.4477969050190609</v>
      </c>
      <c r="AA3899" s="12" t="s">
        <v>1268</v>
      </c>
      <c r="AB3899" s="12"/>
    </row>
    <row r="3900" spans="1:28" x14ac:dyDescent="0.3">
      <c r="A3900" s="12" t="s">
        <v>5830</v>
      </c>
      <c r="B3900" s="12" t="s">
        <v>206</v>
      </c>
      <c r="C3900" s="12" t="s">
        <v>602</v>
      </c>
      <c r="D3900" s="12" t="s">
        <v>5804</v>
      </c>
      <c r="E3900" s="12" t="s">
        <v>2978</v>
      </c>
      <c r="F3900" s="12" t="s">
        <v>1861</v>
      </c>
      <c r="G3900" s="12" t="s">
        <v>1861</v>
      </c>
      <c r="H3900" s="12" t="b">
        <v>1</v>
      </c>
      <c r="I3900" s="12" t="b">
        <v>0</v>
      </c>
      <c r="J3900" s="12" t="b">
        <v>1</v>
      </c>
      <c r="K3900" s="12" t="b">
        <v>0</v>
      </c>
      <c r="L3900" s="12">
        <v>495.04206253369222</v>
      </c>
      <c r="M3900" s="12">
        <v>287.1283510864522</v>
      </c>
      <c r="N3900" s="12">
        <v>3000</v>
      </c>
      <c r="O3900" s="12">
        <v>1098.7192308645101</v>
      </c>
      <c r="P3900" s="12">
        <v>0.5</v>
      </c>
      <c r="Q3900" s="12">
        <v>0.56407740817892471</v>
      </c>
      <c r="R3900" s="12">
        <v>0.8553434033258509</v>
      </c>
      <c r="S3900" s="12">
        <v>0.43139054188024978</v>
      </c>
      <c r="T3900" s="12">
        <v>0.43223356971726251</v>
      </c>
      <c r="U3900" s="12">
        <v>0.75650653368227605</v>
      </c>
      <c r="V3900" s="12">
        <v>287.1283510864522</v>
      </c>
      <c r="W3900" s="12">
        <v>4.4998204585666803</v>
      </c>
      <c r="X3900" s="12">
        <v>40.291471397666072</v>
      </c>
      <c r="Y3900" s="12">
        <v>1901.2807691354899</v>
      </c>
      <c r="Z3900" s="12">
        <v>2.7304518895509791</v>
      </c>
      <c r="AA3900" s="12" t="s">
        <v>1268</v>
      </c>
      <c r="AB3900" s="12"/>
    </row>
    <row r="3901" spans="1:28" x14ac:dyDescent="0.3">
      <c r="A3901" s="12" t="s">
        <v>5831</v>
      </c>
      <c r="B3901" s="12" t="s">
        <v>206</v>
      </c>
      <c r="C3901" s="12" t="s">
        <v>602</v>
      </c>
      <c r="D3901" s="12" t="s">
        <v>5804</v>
      </c>
      <c r="E3901" s="12" t="s">
        <v>2978</v>
      </c>
      <c r="F3901" s="12" t="s">
        <v>32</v>
      </c>
      <c r="G3901" s="12" t="s">
        <v>32</v>
      </c>
      <c r="H3901" s="12" t="b">
        <v>1</v>
      </c>
      <c r="I3901" s="12" t="b">
        <v>1</v>
      </c>
      <c r="J3901" s="12" t="b">
        <v>0</v>
      </c>
      <c r="K3901" s="12" t="b">
        <v>0</v>
      </c>
      <c r="L3901" s="12">
        <v>419.73862331127037</v>
      </c>
      <c r="M3901" s="12">
        <v>288.62328662126617</v>
      </c>
      <c r="N3901" s="12">
        <v>3000</v>
      </c>
      <c r="O3901" s="12">
        <v>1253.176525495383</v>
      </c>
      <c r="P3901" s="12">
        <v>0.5</v>
      </c>
      <c r="Q3901" s="12">
        <v>0.90107212519309399</v>
      </c>
      <c r="R3901" s="12">
        <v>0.49457958696390908</v>
      </c>
      <c r="S3901" s="12">
        <v>0.52454256160767987</v>
      </c>
      <c r="T3901" s="12">
        <v>0.58653448574373246</v>
      </c>
      <c r="U3901" s="12">
        <v>0.87612445379670501</v>
      </c>
      <c r="V3901" s="12">
        <v>288.62328662126617</v>
      </c>
      <c r="W3901" s="12">
        <v>2.9259772600862899</v>
      </c>
      <c r="X3901" s="12">
        <v>10.76401586455944</v>
      </c>
      <c r="Y3901" s="12">
        <v>1746.823474504617</v>
      </c>
      <c r="Z3901" s="12">
        <v>2.393916530485674</v>
      </c>
      <c r="AA3901" s="12"/>
      <c r="AB3901" s="12"/>
    </row>
    <row r="3902" spans="1:28" x14ac:dyDescent="0.3">
      <c r="A3902" s="12" t="s">
        <v>5832</v>
      </c>
      <c r="B3902" s="12" t="s">
        <v>206</v>
      </c>
      <c r="C3902" s="12" t="s">
        <v>602</v>
      </c>
      <c r="D3902" s="12" t="s">
        <v>5804</v>
      </c>
      <c r="E3902" s="12" t="s">
        <v>2978</v>
      </c>
      <c r="F3902" s="12" t="s">
        <v>1861</v>
      </c>
      <c r="G3902" s="12" t="s">
        <v>1861</v>
      </c>
      <c r="H3902" s="12" t="b">
        <v>1</v>
      </c>
      <c r="I3902" s="12" t="b">
        <v>0</v>
      </c>
      <c r="J3902" s="12" t="b">
        <v>0</v>
      </c>
      <c r="K3902" s="12" t="b">
        <v>0</v>
      </c>
      <c r="L3902" s="12">
        <v>405.47166839930378</v>
      </c>
      <c r="M3902" s="12">
        <v>299.709434503279</v>
      </c>
      <c r="N3902" s="12">
        <v>3000</v>
      </c>
      <c r="O3902" s="12">
        <v>978.64440860576485</v>
      </c>
      <c r="P3902" s="12">
        <v>0.5</v>
      </c>
      <c r="Q3902" s="12">
        <v>0.74614996445814841</v>
      </c>
      <c r="R3902" s="12">
        <v>0.47041274141730161</v>
      </c>
      <c r="S3902" s="12">
        <v>0.58318201741216313</v>
      </c>
      <c r="T3902" s="12">
        <v>0.81286698877486407</v>
      </c>
      <c r="U3902" s="12">
        <v>0.4141877563234686</v>
      </c>
      <c r="V3902" s="12">
        <v>299.709434503279</v>
      </c>
      <c r="W3902" s="12">
        <v>2.6004314503604502</v>
      </c>
      <c r="X3902" s="12">
        <v>4.8569173930704892</v>
      </c>
      <c r="Y3902" s="12">
        <v>2021.355591394235</v>
      </c>
      <c r="Z3902" s="12">
        <v>3.0654648140012148</v>
      </c>
      <c r="AA3902" s="12" t="s">
        <v>1268</v>
      </c>
      <c r="AB3902" s="12"/>
    </row>
    <row r="3903" spans="1:28" x14ac:dyDescent="0.3">
      <c r="A3903" s="12" t="s">
        <v>5833</v>
      </c>
      <c r="B3903" s="12" t="s">
        <v>206</v>
      </c>
      <c r="C3903" s="12" t="s">
        <v>602</v>
      </c>
      <c r="D3903" s="12" t="s">
        <v>5804</v>
      </c>
      <c r="E3903" s="12" t="s">
        <v>2978</v>
      </c>
      <c r="F3903" s="12" t="s">
        <v>1861</v>
      </c>
      <c r="G3903" s="12" t="s">
        <v>1861</v>
      </c>
      <c r="H3903" s="12" t="b">
        <v>1</v>
      </c>
      <c r="I3903" s="12" t="b">
        <v>0</v>
      </c>
      <c r="J3903" s="12" t="b">
        <v>1</v>
      </c>
      <c r="K3903" s="12" t="b">
        <v>0</v>
      </c>
      <c r="L3903" s="12">
        <v>469.35275192096162</v>
      </c>
      <c r="M3903" s="12">
        <v>302.1197236308829</v>
      </c>
      <c r="N3903" s="12">
        <v>3000</v>
      </c>
      <c r="O3903" s="12">
        <v>1316.3244053189781</v>
      </c>
      <c r="P3903" s="12">
        <v>0.5</v>
      </c>
      <c r="Q3903" s="12">
        <v>0.88358249408007516</v>
      </c>
      <c r="R3903" s="12">
        <v>0.67872818956931213</v>
      </c>
      <c r="S3903" s="12">
        <v>0.65338657269084854</v>
      </c>
      <c r="T3903" s="12">
        <v>0.93399852333697164</v>
      </c>
      <c r="U3903" s="12">
        <v>0.46368218404218781</v>
      </c>
      <c r="V3903" s="12">
        <v>302.1197236308829</v>
      </c>
      <c r="W3903" s="12">
        <v>3.3286113261706101</v>
      </c>
      <c r="X3903" s="12">
        <v>26.008436553050931</v>
      </c>
      <c r="Y3903" s="12">
        <v>1683.6755946810219</v>
      </c>
      <c r="Z3903" s="12">
        <v>2.279073447151521</v>
      </c>
      <c r="AA3903" s="12" t="s">
        <v>1268</v>
      </c>
      <c r="AB3903" s="12"/>
    </row>
    <row r="3904" spans="1:28" x14ac:dyDescent="0.3">
      <c r="A3904" s="12" t="s">
        <v>5834</v>
      </c>
      <c r="B3904" s="12" t="s">
        <v>206</v>
      </c>
      <c r="C3904" s="12" t="s">
        <v>611</v>
      </c>
      <c r="D3904" s="12" t="s">
        <v>5835</v>
      </c>
      <c r="E3904" s="12" t="s">
        <v>2978</v>
      </c>
      <c r="F3904" s="12" t="s">
        <v>32</v>
      </c>
      <c r="G3904" s="12" t="s">
        <v>32</v>
      </c>
      <c r="H3904" s="12" t="b">
        <v>1</v>
      </c>
      <c r="I3904" s="12" t="b">
        <v>1</v>
      </c>
      <c r="J3904" s="12" t="b">
        <v>0</v>
      </c>
      <c r="K3904" s="12" t="b">
        <v>0</v>
      </c>
      <c r="L3904" s="12">
        <v>403.91846900031442</v>
      </c>
      <c r="M3904" s="12">
        <v>285.68556438878409</v>
      </c>
      <c r="N3904" s="12">
        <v>2965.6130715740742</v>
      </c>
      <c r="O3904" s="12">
        <v>400</v>
      </c>
      <c r="P3904" s="12">
        <v>0.5</v>
      </c>
      <c r="Q3904" s="12">
        <v>0.49376678026711329</v>
      </c>
      <c r="R3904" s="12">
        <v>0.48942988766000722</v>
      </c>
      <c r="S3904" s="12">
        <v>0.61395829408701119</v>
      </c>
      <c r="T3904" s="12">
        <v>0.77912252383214653</v>
      </c>
      <c r="U3904" s="12">
        <v>0.84640848590695361</v>
      </c>
      <c r="V3904" s="12">
        <v>285.68556438878409</v>
      </c>
      <c r="W3904" s="12">
        <v>2.8784695004357101</v>
      </c>
      <c r="X3904" s="12">
        <v>7.0875785886280802</v>
      </c>
      <c r="Y3904" s="12">
        <v>2565.6130715740742</v>
      </c>
      <c r="Z3904" s="12">
        <v>7.4140326789351851</v>
      </c>
      <c r="AA3904" s="12"/>
      <c r="AB3904" s="12"/>
    </row>
    <row r="3905" spans="1:28" x14ac:dyDescent="0.3">
      <c r="A3905" s="12" t="s">
        <v>5836</v>
      </c>
      <c r="B3905" s="12" t="s">
        <v>206</v>
      </c>
      <c r="C3905" s="12" t="s">
        <v>611</v>
      </c>
      <c r="D3905" s="12" t="s">
        <v>5835</v>
      </c>
      <c r="E3905" s="12" t="s">
        <v>2978</v>
      </c>
      <c r="F3905" s="12" t="s">
        <v>32</v>
      </c>
      <c r="G3905" s="12" t="s">
        <v>32</v>
      </c>
      <c r="H3905" s="12" t="b">
        <v>1</v>
      </c>
      <c r="I3905" s="12" t="b">
        <v>1</v>
      </c>
      <c r="J3905" s="12" t="b">
        <v>0</v>
      </c>
      <c r="K3905" s="12" t="b">
        <v>0</v>
      </c>
      <c r="L3905" s="12">
        <v>398.06891895385138</v>
      </c>
      <c r="M3905" s="12">
        <v>283.81254878104818</v>
      </c>
      <c r="N3905" s="12">
        <v>2790.381293608908</v>
      </c>
      <c r="O3905" s="12">
        <v>400</v>
      </c>
      <c r="P3905" s="12">
        <v>0.5</v>
      </c>
      <c r="Q3905" s="12">
        <v>0.48432237954553681</v>
      </c>
      <c r="R3905" s="12">
        <v>0.65571791964676951</v>
      </c>
      <c r="S3905" s="12">
        <v>0.94263215203896056</v>
      </c>
      <c r="T3905" s="12">
        <v>0.60364421285358849</v>
      </c>
      <c r="U3905" s="12">
        <v>0.80150184814348446</v>
      </c>
      <c r="V3905" s="12">
        <v>283.81254878104818</v>
      </c>
      <c r="W3905" s="12">
        <v>4.1560070772081907</v>
      </c>
      <c r="X3905" s="12">
        <v>16.15421554334613</v>
      </c>
      <c r="Y3905" s="12">
        <v>2390.381293608908</v>
      </c>
      <c r="Z3905" s="12">
        <v>6.9759532340222696</v>
      </c>
      <c r="AA3905" s="12"/>
      <c r="AB3905" s="12"/>
    </row>
    <row r="3906" spans="1:28" x14ac:dyDescent="0.3">
      <c r="A3906" s="12" t="s">
        <v>5837</v>
      </c>
      <c r="B3906" s="12" t="s">
        <v>206</v>
      </c>
      <c r="C3906" s="12" t="s">
        <v>611</v>
      </c>
      <c r="D3906" s="12" t="s">
        <v>5835</v>
      </c>
      <c r="E3906" s="12" t="s">
        <v>2978</v>
      </c>
      <c r="F3906" s="12" t="s">
        <v>1861</v>
      </c>
      <c r="G3906" s="12" t="s">
        <v>1861</v>
      </c>
      <c r="H3906" s="12" t="b">
        <v>1</v>
      </c>
      <c r="I3906" s="12" t="b">
        <v>0</v>
      </c>
      <c r="J3906" s="12" t="b">
        <v>1</v>
      </c>
      <c r="K3906" s="12" t="b">
        <v>0</v>
      </c>
      <c r="L3906" s="12">
        <v>460.22960859612419</v>
      </c>
      <c r="M3906" s="12">
        <v>293.24353472007198</v>
      </c>
      <c r="N3906" s="12">
        <v>4986.7713804567829</v>
      </c>
      <c r="O3906" s="12">
        <v>400</v>
      </c>
      <c r="P3906" s="12">
        <v>0.5</v>
      </c>
      <c r="Q3906" s="12">
        <v>0.83837910974609664</v>
      </c>
      <c r="R3906" s="12">
        <v>0.62206241050346944</v>
      </c>
      <c r="S3906" s="12">
        <v>0.53948547374598121</v>
      </c>
      <c r="T3906" s="12">
        <v>0.46377479488344647</v>
      </c>
      <c r="U3906" s="12">
        <v>0.87915326577862818</v>
      </c>
      <c r="V3906" s="12">
        <v>293.24353472007198</v>
      </c>
      <c r="W3906" s="12">
        <v>7.8562514856404198</v>
      </c>
      <c r="X3906" s="12">
        <v>42.504276670320081</v>
      </c>
      <c r="Y3906" s="12">
        <v>4586.7713804567829</v>
      </c>
      <c r="Z3906" s="12">
        <v>12.46692845114196</v>
      </c>
      <c r="AA3906" s="12" t="s">
        <v>1981</v>
      </c>
      <c r="AB3906" s="12"/>
    </row>
    <row r="3907" spans="1:28" x14ac:dyDescent="0.3">
      <c r="A3907" s="12" t="s">
        <v>5838</v>
      </c>
      <c r="B3907" s="12" t="s">
        <v>206</v>
      </c>
      <c r="C3907" s="12" t="s">
        <v>611</v>
      </c>
      <c r="D3907" s="12" t="s">
        <v>5835</v>
      </c>
      <c r="E3907" s="12" t="s">
        <v>2978</v>
      </c>
      <c r="F3907" s="12" t="s">
        <v>32</v>
      </c>
      <c r="G3907" s="12" t="s">
        <v>32</v>
      </c>
      <c r="H3907" s="12" t="b">
        <v>1</v>
      </c>
      <c r="I3907" s="12" t="b">
        <v>0</v>
      </c>
      <c r="J3907" s="12" t="b">
        <v>1</v>
      </c>
      <c r="K3907" s="12" t="b">
        <v>0</v>
      </c>
      <c r="L3907" s="12">
        <v>434.6955987443896</v>
      </c>
      <c r="M3907" s="12">
        <v>279.56098699992771</v>
      </c>
      <c r="N3907" s="12">
        <v>4275.7268390735526</v>
      </c>
      <c r="O3907" s="12">
        <v>400</v>
      </c>
      <c r="P3907" s="12">
        <v>0.5</v>
      </c>
      <c r="Q3907" s="12">
        <v>0.72399079911789566</v>
      </c>
      <c r="R3907" s="12">
        <v>0.466950817717602</v>
      </c>
      <c r="S3907" s="12">
        <v>0.80546323920342067</v>
      </c>
      <c r="T3907" s="12">
        <v>0.51845245978261623</v>
      </c>
      <c r="U3907" s="12">
        <v>0.91879585102782002</v>
      </c>
      <c r="V3907" s="12">
        <v>279.56098699992771</v>
      </c>
      <c r="W3907" s="12">
        <v>6.72419450413663</v>
      </c>
      <c r="X3907" s="12">
        <v>39.499466562319228</v>
      </c>
      <c r="Y3907" s="12">
        <v>3875.726839073553</v>
      </c>
      <c r="Z3907" s="12">
        <v>10.68931709768388</v>
      </c>
      <c r="AA3907" s="12"/>
      <c r="AB3907" s="12"/>
    </row>
    <row r="3908" spans="1:28" x14ac:dyDescent="0.3">
      <c r="A3908" s="12" t="s">
        <v>5839</v>
      </c>
      <c r="B3908" s="12" t="s">
        <v>206</v>
      </c>
      <c r="C3908" s="12" t="s">
        <v>611</v>
      </c>
      <c r="D3908" s="12" t="s">
        <v>5835</v>
      </c>
      <c r="E3908" s="12" t="s">
        <v>2978</v>
      </c>
      <c r="F3908" s="12" t="s">
        <v>1861</v>
      </c>
      <c r="G3908" s="12" t="s">
        <v>1861</v>
      </c>
      <c r="H3908" s="12" t="b">
        <v>1</v>
      </c>
      <c r="I3908" s="12" t="b">
        <v>0</v>
      </c>
      <c r="J3908" s="12" t="b">
        <v>0</v>
      </c>
      <c r="K3908" s="12" t="b">
        <v>0</v>
      </c>
      <c r="L3908" s="12">
        <v>383.99781412105801</v>
      </c>
      <c r="M3908" s="12">
        <v>303.44226667467018</v>
      </c>
      <c r="N3908" s="12">
        <v>2074.9220386467819</v>
      </c>
      <c r="O3908" s="12">
        <v>400</v>
      </c>
      <c r="P3908" s="12">
        <v>0.5</v>
      </c>
      <c r="Q3908" s="12">
        <v>0.43892880577170712</v>
      </c>
      <c r="R3908" s="12">
        <v>0.91740855276754285</v>
      </c>
      <c r="S3908" s="12">
        <v>0.84907397641307614</v>
      </c>
      <c r="T3908" s="12">
        <v>0.50292581476156362</v>
      </c>
      <c r="U3908" s="12">
        <v>0.70671570560132468</v>
      </c>
      <c r="V3908" s="12">
        <v>303.44226667467018</v>
      </c>
      <c r="W3908" s="12">
        <v>2.6604043446902099</v>
      </c>
      <c r="X3908" s="12">
        <v>8.067818080706294</v>
      </c>
      <c r="Y3908" s="12">
        <v>1674.9220386467821</v>
      </c>
      <c r="Z3908" s="12">
        <v>5.1873050966169547</v>
      </c>
      <c r="AA3908" s="12" t="s">
        <v>1268</v>
      </c>
      <c r="AB3908" s="12"/>
    </row>
    <row r="3909" spans="1:28" x14ac:dyDescent="0.3">
      <c r="A3909" s="12" t="s">
        <v>5840</v>
      </c>
      <c r="B3909" s="12" t="s">
        <v>206</v>
      </c>
      <c r="C3909" s="12" t="s">
        <v>611</v>
      </c>
      <c r="D3909" s="12" t="s">
        <v>5835</v>
      </c>
      <c r="E3909" s="12" t="s">
        <v>2978</v>
      </c>
      <c r="F3909" s="12" t="s">
        <v>1862</v>
      </c>
      <c r="G3909" s="12" t="s">
        <v>1862</v>
      </c>
      <c r="H3909" s="12" t="b">
        <v>1</v>
      </c>
      <c r="I3909" s="12" t="b">
        <v>0</v>
      </c>
      <c r="J3909" s="12" t="b">
        <v>1</v>
      </c>
      <c r="K3909" s="12" t="b">
        <v>0</v>
      </c>
      <c r="L3909" s="12">
        <v>466.75937623719682</v>
      </c>
      <c r="M3909" s="12">
        <v>290.02337283642208</v>
      </c>
      <c r="N3909" s="12">
        <v>3329.4375929655698</v>
      </c>
      <c r="O3909" s="12">
        <v>400</v>
      </c>
      <c r="P3909" s="12">
        <v>0.5</v>
      </c>
      <c r="Q3909" s="12">
        <v>0.58019148956060518</v>
      </c>
      <c r="R3909" s="12">
        <v>0.54826056247032284</v>
      </c>
      <c r="S3909" s="12">
        <v>0.73162882489065273</v>
      </c>
      <c r="T3909" s="12">
        <v>0.73566130854346623</v>
      </c>
      <c r="U3909" s="12">
        <v>0.41717271523046301</v>
      </c>
      <c r="V3909" s="12">
        <v>290.02337283642208</v>
      </c>
      <c r="W3909" s="12">
        <v>-20.84544147139799</v>
      </c>
      <c r="X3909" s="12">
        <v>-112.65259443809001</v>
      </c>
      <c r="Y3909" s="12">
        <v>2929.4375929655698</v>
      </c>
      <c r="Z3909" s="12">
        <v>8.3235939824139251</v>
      </c>
      <c r="AA3909" s="12" t="s">
        <v>2513</v>
      </c>
      <c r="AB3909" s="12"/>
    </row>
    <row r="3910" spans="1:28" x14ac:dyDescent="0.3">
      <c r="A3910" s="12" t="s">
        <v>5841</v>
      </c>
      <c r="B3910" s="12" t="s">
        <v>206</v>
      </c>
      <c r="C3910" s="12" t="s">
        <v>611</v>
      </c>
      <c r="D3910" s="12" t="s">
        <v>5835</v>
      </c>
      <c r="E3910" s="12" t="s">
        <v>2978</v>
      </c>
      <c r="F3910" s="12" t="s">
        <v>1861</v>
      </c>
      <c r="G3910" s="12" t="s">
        <v>1861</v>
      </c>
      <c r="H3910" s="12" t="b">
        <v>1</v>
      </c>
      <c r="I3910" s="12" t="b">
        <v>0</v>
      </c>
      <c r="J3910" s="12" t="b">
        <v>1</v>
      </c>
      <c r="K3910" s="12" t="b">
        <v>0</v>
      </c>
      <c r="L3910" s="12">
        <v>449.37722612824467</v>
      </c>
      <c r="M3910" s="12">
        <v>281.28171021780332</v>
      </c>
      <c r="N3910" s="12">
        <v>3863.2275897974368</v>
      </c>
      <c r="O3910" s="12">
        <v>400</v>
      </c>
      <c r="P3910" s="12">
        <v>0.5</v>
      </c>
      <c r="Q3910" s="12">
        <v>0.66366771299196881</v>
      </c>
      <c r="R3910" s="12">
        <v>0.91315022742833796</v>
      </c>
      <c r="S3910" s="12">
        <v>0.8930744891071658</v>
      </c>
      <c r="T3910" s="12">
        <v>0.8992272206072871</v>
      </c>
      <c r="U3910" s="12">
        <v>0.85889264967407297</v>
      </c>
      <c r="V3910" s="12">
        <v>281.28171021780332</v>
      </c>
      <c r="W3910" s="12">
        <v>11.681138966723431</v>
      </c>
      <c r="X3910" s="12">
        <v>92.965591282556261</v>
      </c>
      <c r="Y3910" s="12">
        <v>3463.2275897974368</v>
      </c>
      <c r="Z3910" s="12">
        <v>9.6580689744935917</v>
      </c>
      <c r="AA3910" s="12" t="s">
        <v>1268</v>
      </c>
      <c r="AB3910" s="12"/>
    </row>
    <row r="3911" spans="1:28" x14ac:dyDescent="0.3">
      <c r="A3911" s="12" t="s">
        <v>5842</v>
      </c>
      <c r="B3911" s="12" t="s">
        <v>206</v>
      </c>
      <c r="C3911" s="12" t="s">
        <v>611</v>
      </c>
      <c r="D3911" s="12" t="s">
        <v>5835</v>
      </c>
      <c r="E3911" s="12" t="s">
        <v>2978</v>
      </c>
      <c r="F3911" s="12" t="s">
        <v>1861</v>
      </c>
      <c r="G3911" s="12" t="s">
        <v>1861</v>
      </c>
      <c r="H3911" s="12" t="b">
        <v>1</v>
      </c>
      <c r="I3911" s="12" t="b">
        <v>0</v>
      </c>
      <c r="J3911" s="12" t="b">
        <v>1</v>
      </c>
      <c r="K3911" s="12" t="b">
        <v>0</v>
      </c>
      <c r="L3911" s="12">
        <v>450.37126043676977</v>
      </c>
      <c r="M3911" s="12">
        <v>287.9177616719054</v>
      </c>
      <c r="N3911" s="12">
        <v>3671.2987106604669</v>
      </c>
      <c r="O3911" s="12">
        <v>400</v>
      </c>
      <c r="P3911" s="12">
        <v>0.5</v>
      </c>
      <c r="Q3911" s="12">
        <v>0.45558684946379158</v>
      </c>
      <c r="R3911" s="12">
        <v>0.80087249159435703</v>
      </c>
      <c r="S3911" s="12">
        <v>0.87433292670597185</v>
      </c>
      <c r="T3911" s="12">
        <v>0.40447564430823019</v>
      </c>
      <c r="U3911" s="12">
        <v>0.63334606726162024</v>
      </c>
      <c r="V3911" s="12">
        <v>287.9177616719054</v>
      </c>
      <c r="W3911" s="12">
        <v>3.21761142838765</v>
      </c>
      <c r="X3911" s="12">
        <v>24.18149705457548</v>
      </c>
      <c r="Y3911" s="12">
        <v>3271.2987106604669</v>
      </c>
      <c r="Z3911" s="12">
        <v>9.1782467766511679</v>
      </c>
      <c r="AA3911" s="12" t="s">
        <v>1268</v>
      </c>
      <c r="AB3911" s="12"/>
    </row>
    <row r="3912" spans="1:28" x14ac:dyDescent="0.3">
      <c r="A3912" s="12" t="s">
        <v>5843</v>
      </c>
      <c r="B3912" s="12" t="s">
        <v>206</v>
      </c>
      <c r="C3912" s="12" t="s">
        <v>611</v>
      </c>
      <c r="D3912" s="12" t="s">
        <v>5835</v>
      </c>
      <c r="E3912" s="12" t="s">
        <v>2978</v>
      </c>
      <c r="F3912" s="12" t="s">
        <v>1861</v>
      </c>
      <c r="G3912" s="12" t="s">
        <v>1861</v>
      </c>
      <c r="H3912" s="12" t="b">
        <v>1</v>
      </c>
      <c r="I3912" s="12" t="b">
        <v>0</v>
      </c>
      <c r="J3912" s="12" t="b">
        <v>1</v>
      </c>
      <c r="K3912" s="12" t="b">
        <v>0</v>
      </c>
      <c r="L3912" s="12">
        <v>499.12258942215959</v>
      </c>
      <c r="M3912" s="12">
        <v>299.73972487862358</v>
      </c>
      <c r="N3912" s="12">
        <v>4883.145640595545</v>
      </c>
      <c r="O3912" s="12">
        <v>400</v>
      </c>
      <c r="P3912" s="12">
        <v>0.5</v>
      </c>
      <c r="Q3912" s="12">
        <v>0.91106743465520179</v>
      </c>
      <c r="R3912" s="12">
        <v>0.54474635528190529</v>
      </c>
      <c r="S3912" s="12">
        <v>0.70203660283804914</v>
      </c>
      <c r="T3912" s="12">
        <v>0.54392595270773736</v>
      </c>
      <c r="U3912" s="12">
        <v>0.4924866172330048</v>
      </c>
      <c r="V3912" s="12">
        <v>299.73972487862358</v>
      </c>
      <c r="W3912" s="12">
        <v>3.8179118630741198</v>
      </c>
      <c r="X3912" s="12">
        <v>32.261912175871323</v>
      </c>
      <c r="Y3912" s="12">
        <v>4483.145640595545</v>
      </c>
      <c r="Z3912" s="12">
        <v>12.207864101488861</v>
      </c>
      <c r="AA3912" s="12" t="s">
        <v>1981</v>
      </c>
      <c r="AB3912" s="12"/>
    </row>
    <row r="3913" spans="1:28" x14ac:dyDescent="0.3">
      <c r="A3913" s="12" t="s">
        <v>5844</v>
      </c>
      <c r="B3913" s="12" t="s">
        <v>206</v>
      </c>
      <c r="C3913" s="12" t="s">
        <v>611</v>
      </c>
      <c r="D3913" s="12" t="s">
        <v>5835</v>
      </c>
      <c r="E3913" s="12" t="s">
        <v>2978</v>
      </c>
      <c r="F3913" s="12" t="s">
        <v>1861</v>
      </c>
      <c r="G3913" s="12" t="s">
        <v>1861</v>
      </c>
      <c r="H3913" s="12" t="b">
        <v>1</v>
      </c>
      <c r="I3913" s="12" t="b">
        <v>0</v>
      </c>
      <c r="J3913" s="12" t="b">
        <v>1</v>
      </c>
      <c r="K3913" s="12" t="b">
        <v>0</v>
      </c>
      <c r="L3913" s="12">
        <v>471.86036440283749</v>
      </c>
      <c r="M3913" s="12">
        <v>282.8753868259339</v>
      </c>
      <c r="N3913" s="12">
        <v>2820.7029658828142</v>
      </c>
      <c r="O3913" s="12">
        <v>400</v>
      </c>
      <c r="P3913" s="12">
        <v>0.5</v>
      </c>
      <c r="Q3913" s="12">
        <v>0.79402025557468159</v>
      </c>
      <c r="R3913" s="12">
        <v>0.77524690821133702</v>
      </c>
      <c r="S3913" s="12">
        <v>0.64126030322644023</v>
      </c>
      <c r="T3913" s="12">
        <v>0.4524933437649194</v>
      </c>
      <c r="U3913" s="12">
        <v>0.7474396573365526</v>
      </c>
      <c r="V3913" s="12">
        <v>282.8753868259339</v>
      </c>
      <c r="W3913" s="12">
        <v>11.39413181791606</v>
      </c>
      <c r="X3913" s="12">
        <v>142.38081217499271</v>
      </c>
      <c r="Y3913" s="12">
        <v>2420.7029658828142</v>
      </c>
      <c r="Z3913" s="12">
        <v>7.0517574147070352</v>
      </c>
      <c r="AA3913" s="12" t="s">
        <v>1268</v>
      </c>
      <c r="AB3913" s="12"/>
    </row>
    <row r="3914" spans="1:28" x14ac:dyDescent="0.3">
      <c r="A3914" s="12" t="s">
        <v>5845</v>
      </c>
      <c r="B3914" s="12" t="s">
        <v>206</v>
      </c>
      <c r="C3914" s="12" t="s">
        <v>611</v>
      </c>
      <c r="D3914" s="12" t="s">
        <v>5835</v>
      </c>
      <c r="E3914" s="12" t="s">
        <v>2978</v>
      </c>
      <c r="F3914" s="12" t="s">
        <v>1861</v>
      </c>
      <c r="G3914" s="12" t="s">
        <v>1861</v>
      </c>
      <c r="H3914" s="12" t="b">
        <v>1</v>
      </c>
      <c r="I3914" s="12" t="b">
        <v>0</v>
      </c>
      <c r="J3914" s="12" t="b">
        <v>0</v>
      </c>
      <c r="K3914" s="12" t="b">
        <v>0</v>
      </c>
      <c r="L3914" s="12">
        <v>444.44216885999418</v>
      </c>
      <c r="M3914" s="12">
        <v>284.26537935236411</v>
      </c>
      <c r="N3914" s="12">
        <v>4378.1319957540372</v>
      </c>
      <c r="O3914" s="12">
        <v>400</v>
      </c>
      <c r="P3914" s="12">
        <v>0.5</v>
      </c>
      <c r="Q3914" s="12">
        <v>0.43156441574812171</v>
      </c>
      <c r="R3914" s="12">
        <v>0.81349108482479171</v>
      </c>
      <c r="S3914" s="12">
        <v>0.40442898735775662</v>
      </c>
      <c r="T3914" s="12">
        <v>0.62070826378181476</v>
      </c>
      <c r="U3914" s="12">
        <v>0.59657272309080422</v>
      </c>
      <c r="V3914" s="12">
        <v>284.26537935236411</v>
      </c>
      <c r="W3914" s="12">
        <v>1.5539903168251901</v>
      </c>
      <c r="X3914" s="12">
        <v>4.5541228688475286</v>
      </c>
      <c r="Y3914" s="12">
        <v>3978.1319957540368</v>
      </c>
      <c r="Z3914" s="12">
        <v>10.94532998938509</v>
      </c>
      <c r="AA3914" s="12" t="s">
        <v>1268</v>
      </c>
      <c r="AB3914" s="12"/>
    </row>
    <row r="3915" spans="1:28" x14ac:dyDescent="0.3">
      <c r="A3915" s="12" t="s">
        <v>5846</v>
      </c>
      <c r="B3915" s="12" t="s">
        <v>206</v>
      </c>
      <c r="C3915" s="12" t="s">
        <v>611</v>
      </c>
      <c r="D3915" s="12" t="s">
        <v>5835</v>
      </c>
      <c r="E3915" s="12" t="s">
        <v>2978</v>
      </c>
      <c r="F3915" s="12" t="s">
        <v>1863</v>
      </c>
      <c r="G3915" s="12" t="s">
        <v>832</v>
      </c>
      <c r="H3915" s="12" t="b">
        <v>0</v>
      </c>
      <c r="I3915" s="12" t="b">
        <v>0</v>
      </c>
      <c r="J3915" s="12" t="b">
        <v>0</v>
      </c>
      <c r="K3915" s="12" t="b">
        <v>0</v>
      </c>
      <c r="L3915" s="12">
        <v>399.70720678174632</v>
      </c>
      <c r="M3915" s="12">
        <v>295.0813394712294</v>
      </c>
      <c r="N3915" s="12">
        <v>3922.8787762220381</v>
      </c>
      <c r="O3915" s="12">
        <v>400</v>
      </c>
      <c r="P3915" s="12">
        <v>0.5</v>
      </c>
      <c r="Q3915" s="12">
        <v>0.78284051592981108</v>
      </c>
      <c r="R3915" s="12">
        <v>0.50211067212442173</v>
      </c>
      <c r="S3915" s="12">
        <v>0.68276111681902751</v>
      </c>
      <c r="T3915" s="12">
        <v>0.70885958178237485</v>
      </c>
      <c r="U3915" s="12">
        <v>0.52316209105081501</v>
      </c>
      <c r="V3915" s="12">
        <v>295.0813394712294</v>
      </c>
      <c r="W3915" s="12">
        <v>-42.430256411319547</v>
      </c>
      <c r="X3915" s="12">
        <v>-38.024048889974409</v>
      </c>
      <c r="Y3915" s="12">
        <v>3522.8787762220381</v>
      </c>
      <c r="Z3915" s="12">
        <v>9.8071969405550945</v>
      </c>
      <c r="AA3915" s="12" t="s">
        <v>2846</v>
      </c>
      <c r="AB3915" s="12"/>
    </row>
    <row r="3916" spans="1:28" x14ac:dyDescent="0.3">
      <c r="A3916" s="12" t="s">
        <v>5847</v>
      </c>
      <c r="B3916" s="12" t="s">
        <v>206</v>
      </c>
      <c r="C3916" s="12" t="s">
        <v>611</v>
      </c>
      <c r="D3916" s="12" t="s">
        <v>5835</v>
      </c>
      <c r="E3916" s="12" t="s">
        <v>2978</v>
      </c>
      <c r="F3916" s="12" t="s">
        <v>1861</v>
      </c>
      <c r="G3916" s="12" t="s">
        <v>1861</v>
      </c>
      <c r="H3916" s="12" t="b">
        <v>1</v>
      </c>
      <c r="I3916" s="12" t="b">
        <v>0</v>
      </c>
      <c r="J3916" s="12" t="b">
        <v>0</v>
      </c>
      <c r="K3916" s="12" t="b">
        <v>0</v>
      </c>
      <c r="L3916" s="12">
        <v>425.93126623341072</v>
      </c>
      <c r="M3916" s="12">
        <v>280.09789045789688</v>
      </c>
      <c r="N3916" s="12">
        <v>4514.6177595317049</v>
      </c>
      <c r="O3916" s="12">
        <v>400</v>
      </c>
      <c r="P3916" s="12">
        <v>0.5</v>
      </c>
      <c r="Q3916" s="12">
        <v>0.94847917295169903</v>
      </c>
      <c r="R3916" s="12">
        <v>0.72035654828375761</v>
      </c>
      <c r="S3916" s="12">
        <v>0.56293618306200599</v>
      </c>
      <c r="T3916" s="12">
        <v>0.9405239072245456</v>
      </c>
      <c r="U3916" s="12">
        <v>0.43768477269888872</v>
      </c>
      <c r="V3916" s="12">
        <v>280.09789045789688</v>
      </c>
      <c r="W3916" s="12">
        <v>12.777341003655931</v>
      </c>
      <c r="X3916" s="12">
        <v>20.920972082670161</v>
      </c>
      <c r="Y3916" s="12">
        <v>4114.6177595317049</v>
      </c>
      <c r="Z3916" s="12">
        <v>11.28654439882926</v>
      </c>
      <c r="AA3916" s="12" t="s">
        <v>1981</v>
      </c>
      <c r="AB3916" s="12"/>
    </row>
    <row r="3917" spans="1:28" x14ac:dyDescent="0.3">
      <c r="A3917" s="12" t="s">
        <v>5848</v>
      </c>
      <c r="B3917" s="12" t="s">
        <v>206</v>
      </c>
      <c r="C3917" s="12" t="s">
        <v>611</v>
      </c>
      <c r="D3917" s="12" t="s">
        <v>5835</v>
      </c>
      <c r="E3917" s="12" t="s">
        <v>2978</v>
      </c>
      <c r="F3917" s="12" t="s">
        <v>1862</v>
      </c>
      <c r="G3917" s="12" t="s">
        <v>1862</v>
      </c>
      <c r="H3917" s="12" t="b">
        <v>1</v>
      </c>
      <c r="I3917" s="12" t="b">
        <v>0</v>
      </c>
      <c r="J3917" s="12" t="b">
        <v>1</v>
      </c>
      <c r="K3917" s="12" t="b">
        <v>0</v>
      </c>
      <c r="L3917" s="12">
        <v>438.3676109197898</v>
      </c>
      <c r="M3917" s="12">
        <v>291.41668897051818</v>
      </c>
      <c r="N3917" s="12">
        <v>4734.8792933732866</v>
      </c>
      <c r="O3917" s="12">
        <v>400</v>
      </c>
      <c r="P3917" s="12">
        <v>0.5</v>
      </c>
      <c r="Q3917" s="12">
        <v>0.68133411724644621</v>
      </c>
      <c r="R3917" s="12">
        <v>0.6170070508074138</v>
      </c>
      <c r="S3917" s="12">
        <v>0.65911214381297201</v>
      </c>
      <c r="T3917" s="12">
        <v>0.59401329851699702</v>
      </c>
      <c r="U3917" s="12">
        <v>0.41951763592380131</v>
      </c>
      <c r="V3917" s="12">
        <v>291.41668897051818</v>
      </c>
      <c r="W3917" s="12">
        <v>-8.4439038732282707</v>
      </c>
      <c r="X3917" s="12">
        <v>-23.294713408270312</v>
      </c>
      <c r="Y3917" s="12">
        <v>4334.8792933732866</v>
      </c>
      <c r="Z3917" s="12">
        <v>11.83719823343322</v>
      </c>
      <c r="AA3917" s="12" t="s">
        <v>2513</v>
      </c>
      <c r="AB3917" s="12"/>
    </row>
    <row r="3918" spans="1:28" x14ac:dyDescent="0.3">
      <c r="A3918" s="12" t="s">
        <v>5849</v>
      </c>
      <c r="B3918" s="12" t="s">
        <v>206</v>
      </c>
      <c r="C3918" s="12" t="s">
        <v>611</v>
      </c>
      <c r="D3918" s="12" t="s">
        <v>5835</v>
      </c>
      <c r="E3918" s="12" t="s">
        <v>2978</v>
      </c>
      <c r="F3918" s="12" t="s">
        <v>1863</v>
      </c>
      <c r="G3918" s="12" t="s">
        <v>832</v>
      </c>
      <c r="H3918" s="12" t="b">
        <v>0</v>
      </c>
      <c r="I3918" s="12" t="b">
        <v>0</v>
      </c>
      <c r="J3918" s="12" t="b">
        <v>0</v>
      </c>
      <c r="K3918" s="12" t="b">
        <v>0</v>
      </c>
      <c r="L3918" s="12">
        <v>389.22981053392112</v>
      </c>
      <c r="M3918" s="12">
        <v>289.89711566984772</v>
      </c>
      <c r="N3918" s="12">
        <v>3138.894388235572</v>
      </c>
      <c r="O3918" s="12">
        <v>400</v>
      </c>
      <c r="P3918" s="12">
        <v>0.5</v>
      </c>
      <c r="Q3918" s="12">
        <v>0.89134719676742713</v>
      </c>
      <c r="R3918" s="12">
        <v>0.69565436131046132</v>
      </c>
      <c r="S3918" s="12">
        <v>0.83385574140467322</v>
      </c>
      <c r="T3918" s="12">
        <v>0.43275188864287339</v>
      </c>
      <c r="U3918" s="12">
        <v>0.9117974773080908</v>
      </c>
      <c r="V3918" s="12">
        <v>289.89711566984772</v>
      </c>
      <c r="W3918" s="12">
        <v>-8.7189421328815193</v>
      </c>
      <c r="X3918" s="12">
        <v>-20.038720030653259</v>
      </c>
      <c r="Y3918" s="12">
        <v>2738.894388235572</v>
      </c>
      <c r="Z3918" s="12">
        <v>7.8472359705889296</v>
      </c>
      <c r="AA3918" s="12" t="s">
        <v>2846</v>
      </c>
      <c r="AB3918" s="12"/>
    </row>
    <row r="3919" spans="1:28" x14ac:dyDescent="0.3">
      <c r="A3919" s="12" t="s">
        <v>5850</v>
      </c>
      <c r="B3919" s="12" t="s">
        <v>206</v>
      </c>
      <c r="C3919" s="12" t="s">
        <v>611</v>
      </c>
      <c r="D3919" s="12" t="s">
        <v>5835</v>
      </c>
      <c r="E3919" s="12" t="s">
        <v>2978</v>
      </c>
      <c r="F3919" s="12" t="s">
        <v>1861</v>
      </c>
      <c r="G3919" s="12" t="s">
        <v>1861</v>
      </c>
      <c r="H3919" s="12" t="b">
        <v>1</v>
      </c>
      <c r="I3919" s="12" t="b">
        <v>0</v>
      </c>
      <c r="J3919" s="12" t="b">
        <v>1</v>
      </c>
      <c r="K3919" s="12" t="b">
        <v>0</v>
      </c>
      <c r="L3919" s="12">
        <v>503.15568167879252</v>
      </c>
      <c r="M3919" s="12">
        <v>301.00036939447011</v>
      </c>
      <c r="N3919" s="12">
        <v>3436.1653030458428</v>
      </c>
      <c r="O3919" s="12">
        <v>400</v>
      </c>
      <c r="P3919" s="12">
        <v>0.5</v>
      </c>
      <c r="Q3919" s="12">
        <v>0.84864044855143739</v>
      </c>
      <c r="R3919" s="12">
        <v>0.56605814884645367</v>
      </c>
      <c r="S3919" s="12">
        <v>0.75473336331744267</v>
      </c>
      <c r="T3919" s="12">
        <v>0.82613776042314613</v>
      </c>
      <c r="U3919" s="12">
        <v>0.5531678697871738</v>
      </c>
      <c r="V3919" s="12">
        <v>301.00036939447011</v>
      </c>
      <c r="W3919" s="12">
        <v>5.0427616931798198</v>
      </c>
      <c r="X3919" s="12">
        <v>51.994636700352537</v>
      </c>
      <c r="Y3919" s="12">
        <v>3036.1653030458428</v>
      </c>
      <c r="Z3919" s="12">
        <v>8.5904132576146068</v>
      </c>
      <c r="AA3919" s="12" t="s">
        <v>1981</v>
      </c>
      <c r="AB3919" s="12"/>
    </row>
    <row r="3920" spans="1:28" x14ac:dyDescent="0.3">
      <c r="A3920" s="12" t="s">
        <v>5851</v>
      </c>
      <c r="B3920" s="12" t="s">
        <v>206</v>
      </c>
      <c r="C3920" s="12" t="s">
        <v>611</v>
      </c>
      <c r="D3920" s="12" t="s">
        <v>5835</v>
      </c>
      <c r="E3920" s="12" t="s">
        <v>2978</v>
      </c>
      <c r="F3920" s="12" t="s">
        <v>1862</v>
      </c>
      <c r="G3920" s="12" t="s">
        <v>1862</v>
      </c>
      <c r="H3920" s="12" t="b">
        <v>1</v>
      </c>
      <c r="I3920" s="12" t="b">
        <v>0</v>
      </c>
      <c r="J3920" s="12" t="b">
        <v>1</v>
      </c>
      <c r="K3920" s="12" t="b">
        <v>0</v>
      </c>
      <c r="L3920" s="12">
        <v>516.48849367929438</v>
      </c>
      <c r="M3920" s="12">
        <v>278.73877910433902</v>
      </c>
      <c r="N3920" s="12">
        <v>3501.8491614537829</v>
      </c>
      <c r="O3920" s="12">
        <v>400</v>
      </c>
      <c r="P3920" s="12">
        <v>0.5</v>
      </c>
      <c r="Q3920" s="12">
        <v>0.40303950028391411</v>
      </c>
      <c r="R3920" s="12">
        <v>0.523278264115696</v>
      </c>
      <c r="S3920" s="12">
        <v>0.58391658964638049</v>
      </c>
      <c r="T3920" s="12">
        <v>0.63994719363342678</v>
      </c>
      <c r="U3920" s="12">
        <v>0.47405532236833459</v>
      </c>
      <c r="V3920" s="12">
        <v>278.73877910433902</v>
      </c>
      <c r="W3920" s="12">
        <v>-22.371653187731859</v>
      </c>
      <c r="X3920" s="12">
        <v>-163.19005705686229</v>
      </c>
      <c r="Y3920" s="12">
        <v>3101.8491614537829</v>
      </c>
      <c r="Z3920" s="12">
        <v>8.7546229036344574</v>
      </c>
      <c r="AA3920" s="12" t="s">
        <v>2513</v>
      </c>
      <c r="AB3920" s="12"/>
    </row>
    <row r="3921" spans="1:28" x14ac:dyDescent="0.3">
      <c r="A3921" s="12" t="s">
        <v>5852</v>
      </c>
      <c r="B3921" s="12" t="s">
        <v>206</v>
      </c>
      <c r="C3921" s="12" t="s">
        <v>611</v>
      </c>
      <c r="D3921" s="12" t="s">
        <v>5835</v>
      </c>
      <c r="E3921" s="12" t="s">
        <v>2978</v>
      </c>
      <c r="F3921" s="12" t="s">
        <v>1861</v>
      </c>
      <c r="G3921" s="12" t="s">
        <v>1861</v>
      </c>
      <c r="H3921" s="12" t="b">
        <v>1</v>
      </c>
      <c r="I3921" s="12" t="b">
        <v>0</v>
      </c>
      <c r="J3921" s="12" t="b">
        <v>1</v>
      </c>
      <c r="K3921" s="12" t="b">
        <v>0</v>
      </c>
      <c r="L3921" s="12">
        <v>492.83619529695449</v>
      </c>
      <c r="M3921" s="12">
        <v>295.47168461845979</v>
      </c>
      <c r="N3921" s="12">
        <v>4418.4461911610342</v>
      </c>
      <c r="O3921" s="12">
        <v>400</v>
      </c>
      <c r="P3921" s="12">
        <v>0.5</v>
      </c>
      <c r="Q3921" s="12">
        <v>0.54356569726698456</v>
      </c>
      <c r="R3921" s="12">
        <v>0.67280619444018686</v>
      </c>
      <c r="S3921" s="12">
        <v>0.78530117741726924</v>
      </c>
      <c r="T3921" s="12">
        <v>0.72810878020402248</v>
      </c>
      <c r="U3921" s="12">
        <v>0.67542567668190356</v>
      </c>
      <c r="V3921" s="12">
        <v>295.47168461845979</v>
      </c>
      <c r="W3921" s="12">
        <v>4.7601244154593703</v>
      </c>
      <c r="X3921" s="12">
        <v>60.330484009076372</v>
      </c>
      <c r="Y3921" s="12">
        <v>4018.4461911610342</v>
      </c>
      <c r="Z3921" s="12">
        <v>11.04611547790258</v>
      </c>
      <c r="AA3921" s="12" t="s">
        <v>1268</v>
      </c>
      <c r="AB3921" s="12"/>
    </row>
    <row r="3922" spans="1:28" x14ac:dyDescent="0.3">
      <c r="A3922" s="12" t="s">
        <v>5853</v>
      </c>
      <c r="B3922" s="12" t="s">
        <v>206</v>
      </c>
      <c r="C3922" s="12" t="s">
        <v>611</v>
      </c>
      <c r="D3922" s="12" t="s">
        <v>5835</v>
      </c>
      <c r="E3922" s="12" t="s">
        <v>2978</v>
      </c>
      <c r="F3922" s="12" t="s">
        <v>1861</v>
      </c>
      <c r="G3922" s="12" t="s">
        <v>1861</v>
      </c>
      <c r="H3922" s="12" t="b">
        <v>1</v>
      </c>
      <c r="I3922" s="12" t="b">
        <v>0</v>
      </c>
      <c r="J3922" s="12" t="b">
        <v>1</v>
      </c>
      <c r="K3922" s="12" t="b">
        <v>0</v>
      </c>
      <c r="L3922" s="12">
        <v>479.24122302110032</v>
      </c>
      <c r="M3922" s="12">
        <v>288.90967645707019</v>
      </c>
      <c r="N3922" s="12">
        <v>2575.5381108431998</v>
      </c>
      <c r="O3922" s="12">
        <v>400</v>
      </c>
      <c r="P3922" s="12">
        <v>0.5</v>
      </c>
      <c r="Q3922" s="12">
        <v>0.86782877142038728</v>
      </c>
      <c r="R3922" s="12">
        <v>0.87394284893470719</v>
      </c>
      <c r="S3922" s="12">
        <v>0.63676486068333982</v>
      </c>
      <c r="T3922" s="12">
        <v>0.47488857102243859</v>
      </c>
      <c r="U3922" s="12">
        <v>0.66814323150571453</v>
      </c>
      <c r="V3922" s="12">
        <v>288.90967645707019</v>
      </c>
      <c r="W3922" s="12">
        <v>11.6886193302922</v>
      </c>
      <c r="X3922" s="12">
        <v>134.79627778092089</v>
      </c>
      <c r="Y3922" s="12">
        <v>2175.5381108431998</v>
      </c>
      <c r="Z3922" s="12">
        <v>6.4388452771079994</v>
      </c>
      <c r="AA3922" s="12" t="s">
        <v>1268</v>
      </c>
      <c r="AB3922" s="12"/>
    </row>
    <row r="3923" spans="1:28" x14ac:dyDescent="0.3">
      <c r="A3923" s="12" t="s">
        <v>5854</v>
      </c>
      <c r="B3923" s="12" t="s">
        <v>206</v>
      </c>
      <c r="C3923" s="12" t="s">
        <v>611</v>
      </c>
      <c r="D3923" s="12" t="s">
        <v>5835</v>
      </c>
      <c r="E3923" s="12" t="s">
        <v>2978</v>
      </c>
      <c r="F3923" s="12" t="s">
        <v>1861</v>
      </c>
      <c r="G3923" s="12" t="s">
        <v>1861</v>
      </c>
      <c r="H3923" s="12" t="b">
        <v>1</v>
      </c>
      <c r="I3923" s="12" t="b">
        <v>0</v>
      </c>
      <c r="J3923" s="12" t="b">
        <v>1</v>
      </c>
      <c r="K3923" s="12" t="b">
        <v>0</v>
      </c>
      <c r="L3923" s="12">
        <v>427.1330725866992</v>
      </c>
      <c r="M3923" s="12">
        <v>299.23940150072559</v>
      </c>
      <c r="N3923" s="12">
        <v>4161.037717792</v>
      </c>
      <c r="O3923" s="12">
        <v>400</v>
      </c>
      <c r="P3923" s="12">
        <v>0.5</v>
      </c>
      <c r="Q3923" s="12">
        <v>0.6218869907322464</v>
      </c>
      <c r="R3923" s="12">
        <v>0.83000743619861761</v>
      </c>
      <c r="S3923" s="12">
        <v>0.76935160107932543</v>
      </c>
      <c r="T3923" s="12">
        <v>0.57832992759686386</v>
      </c>
      <c r="U3923" s="12">
        <v>0.57741052154852168</v>
      </c>
      <c r="V3923" s="12">
        <v>299.23940150072559</v>
      </c>
      <c r="W3923" s="12">
        <v>3.6796145758826002</v>
      </c>
      <c r="X3923" s="12">
        <v>12.63641196004424</v>
      </c>
      <c r="Y3923" s="12">
        <v>3761.037717792</v>
      </c>
      <c r="Z3923" s="12">
        <v>10.40259429448</v>
      </c>
      <c r="AA3923" s="12" t="s">
        <v>1268</v>
      </c>
      <c r="AB3923" s="12"/>
    </row>
    <row r="3924" spans="1:28" x14ac:dyDescent="0.3">
      <c r="A3924" s="12" t="s">
        <v>5855</v>
      </c>
      <c r="B3924" s="12" t="s">
        <v>206</v>
      </c>
      <c r="C3924" s="12" t="s">
        <v>611</v>
      </c>
      <c r="D3924" s="12" t="s">
        <v>5835</v>
      </c>
      <c r="E3924" s="12" t="s">
        <v>2978</v>
      </c>
      <c r="F3924" s="12" t="s">
        <v>1861</v>
      </c>
      <c r="G3924" s="12" t="s">
        <v>1861</v>
      </c>
      <c r="H3924" s="12" t="b">
        <v>1</v>
      </c>
      <c r="I3924" s="12" t="b">
        <v>0</v>
      </c>
      <c r="J3924" s="12" t="b">
        <v>1</v>
      </c>
      <c r="K3924" s="12" t="b">
        <v>0</v>
      </c>
      <c r="L3924" s="12">
        <v>513.13670136484768</v>
      </c>
      <c r="M3924" s="12">
        <v>301.02166898172032</v>
      </c>
      <c r="N3924" s="12">
        <v>2447.9158398751838</v>
      </c>
      <c r="O3924" s="12">
        <v>400</v>
      </c>
      <c r="P3924" s="12">
        <v>0.5</v>
      </c>
      <c r="Q3924" s="12">
        <v>0.73873764057557456</v>
      </c>
      <c r="R3924" s="12">
        <v>0.41783646292393228</v>
      </c>
      <c r="S3924" s="12">
        <v>0.48452971691316432</v>
      </c>
      <c r="T3924" s="12">
        <v>0.81387145305361974</v>
      </c>
      <c r="U3924" s="12">
        <v>0.83712497308486289</v>
      </c>
      <c r="V3924" s="12">
        <v>301.02166898172032</v>
      </c>
      <c r="W3924" s="12">
        <v>9.6232285357207008</v>
      </c>
      <c r="X3924" s="12">
        <v>97.647029611809245</v>
      </c>
      <c r="Y3924" s="12">
        <v>2047.915839875184</v>
      </c>
      <c r="Z3924" s="12">
        <v>6.1197895996879597</v>
      </c>
      <c r="AA3924" s="12" t="s">
        <v>1268</v>
      </c>
      <c r="AB3924" s="12"/>
    </row>
    <row r="3925" spans="1:28" x14ac:dyDescent="0.3">
      <c r="A3925" s="12" t="s">
        <v>5856</v>
      </c>
      <c r="B3925" s="12" t="s">
        <v>206</v>
      </c>
      <c r="C3925" s="12" t="s">
        <v>611</v>
      </c>
      <c r="D3925" s="12" t="s">
        <v>5835</v>
      </c>
      <c r="E3925" s="12" t="s">
        <v>2978</v>
      </c>
      <c r="F3925" s="12" t="s">
        <v>1861</v>
      </c>
      <c r="G3925" s="12" t="s">
        <v>1861</v>
      </c>
      <c r="H3925" s="12" t="b">
        <v>1</v>
      </c>
      <c r="I3925" s="12" t="b">
        <v>0</v>
      </c>
      <c r="J3925" s="12" t="b">
        <v>0</v>
      </c>
      <c r="K3925" s="12" t="b">
        <v>0</v>
      </c>
      <c r="L3925" s="12">
        <v>414.60801970922051</v>
      </c>
      <c r="M3925" s="12">
        <v>296.98062257074741</v>
      </c>
      <c r="N3925" s="12">
        <v>3234.741308356678</v>
      </c>
      <c r="O3925" s="12">
        <v>400</v>
      </c>
      <c r="P3925" s="12">
        <v>0.5</v>
      </c>
      <c r="Q3925" s="12">
        <v>0.81288924241688276</v>
      </c>
      <c r="R3925" s="12">
        <v>0.58620870111371115</v>
      </c>
      <c r="S3925" s="12">
        <v>0.71484909864288859</v>
      </c>
      <c r="T3925" s="12">
        <v>0.93075875234049343</v>
      </c>
      <c r="U3925" s="12">
        <v>0.53680056792297415</v>
      </c>
      <c r="V3925" s="12">
        <v>296.98062257074741</v>
      </c>
      <c r="W3925" s="12">
        <v>8.5774397710817603</v>
      </c>
      <c r="X3925" s="12">
        <v>22.96328272165611</v>
      </c>
      <c r="Y3925" s="12">
        <v>2834.741308356678</v>
      </c>
      <c r="Z3925" s="12">
        <v>8.0868532708916945</v>
      </c>
      <c r="AA3925" s="12" t="s">
        <v>1268</v>
      </c>
      <c r="AB3925" s="12"/>
    </row>
    <row r="3926" spans="1:28" x14ac:dyDescent="0.3">
      <c r="A3926" s="12" t="s">
        <v>5857</v>
      </c>
      <c r="B3926" s="12" t="s">
        <v>206</v>
      </c>
      <c r="C3926" s="12" t="s">
        <v>611</v>
      </c>
      <c r="D3926" s="12" t="s">
        <v>5835</v>
      </c>
      <c r="E3926" s="12" t="s">
        <v>2978</v>
      </c>
      <c r="F3926" s="12" t="s">
        <v>1861</v>
      </c>
      <c r="G3926" s="12" t="s">
        <v>1861</v>
      </c>
      <c r="H3926" s="12" t="b">
        <v>1</v>
      </c>
      <c r="I3926" s="12" t="b">
        <v>0</v>
      </c>
      <c r="J3926" s="12" t="b">
        <v>1</v>
      </c>
      <c r="K3926" s="12" t="b">
        <v>0</v>
      </c>
      <c r="L3926" s="12">
        <v>455.4798300422836</v>
      </c>
      <c r="M3926" s="12">
        <v>292.50169492280889</v>
      </c>
      <c r="N3926" s="12">
        <v>2289.0071338016578</v>
      </c>
      <c r="O3926" s="12">
        <v>400</v>
      </c>
      <c r="P3926" s="12">
        <v>0.5</v>
      </c>
      <c r="Q3926" s="12">
        <v>0.59180144088485132</v>
      </c>
      <c r="R3926" s="12">
        <v>0.73369312345265791</v>
      </c>
      <c r="S3926" s="12">
        <v>0.52657648304056148</v>
      </c>
      <c r="T3926" s="12">
        <v>0.55601726621063352</v>
      </c>
      <c r="U3926" s="12">
        <v>0.81665439653289085</v>
      </c>
      <c r="V3926" s="12">
        <v>292.50169492280889</v>
      </c>
      <c r="W3926" s="12">
        <v>7.48165724924299</v>
      </c>
      <c r="X3926" s="12">
        <v>70.94199996218002</v>
      </c>
      <c r="Y3926" s="12">
        <v>1889.007133801658</v>
      </c>
      <c r="Z3926" s="12">
        <v>5.7225178345041456</v>
      </c>
      <c r="AA3926" s="12" t="s">
        <v>1268</v>
      </c>
      <c r="AB3926" s="12"/>
    </row>
    <row r="3927" spans="1:28" x14ac:dyDescent="0.3">
      <c r="A3927" s="12" t="s">
        <v>5858</v>
      </c>
      <c r="B3927" s="12" t="s">
        <v>206</v>
      </c>
      <c r="C3927" s="12" t="s">
        <v>611</v>
      </c>
      <c r="D3927" s="12" t="s">
        <v>5835</v>
      </c>
      <c r="E3927" s="12" t="s">
        <v>2978</v>
      </c>
      <c r="F3927" s="12" t="s">
        <v>1861</v>
      </c>
      <c r="G3927" s="12" t="s">
        <v>1861</v>
      </c>
      <c r="H3927" s="12" t="b">
        <v>1</v>
      </c>
      <c r="I3927" s="12" t="b">
        <v>0</v>
      </c>
      <c r="J3927" s="12" t="b">
        <v>1</v>
      </c>
      <c r="K3927" s="12" t="b">
        <v>0</v>
      </c>
      <c r="L3927" s="12">
        <v>506.96147986030849</v>
      </c>
      <c r="M3927" s="12">
        <v>296.46693299204821</v>
      </c>
      <c r="N3927" s="12">
        <v>4608.1731771230552</v>
      </c>
      <c r="O3927" s="12">
        <v>400</v>
      </c>
      <c r="P3927" s="12">
        <v>0.5</v>
      </c>
      <c r="Q3927" s="12">
        <v>0.56226021834456907</v>
      </c>
      <c r="R3927" s="12">
        <v>0.75429585601422833</v>
      </c>
      <c r="S3927" s="12">
        <v>0.9232793293320164</v>
      </c>
      <c r="T3927" s="12">
        <v>0.84770541081828554</v>
      </c>
      <c r="U3927" s="12">
        <v>0.76481587036387944</v>
      </c>
      <c r="V3927" s="12">
        <v>296.46693299204821</v>
      </c>
      <c r="W3927" s="12">
        <v>8.7856121313274809</v>
      </c>
      <c r="X3927" s="12">
        <v>148.27561086940159</v>
      </c>
      <c r="Y3927" s="12">
        <v>4208.1731771230552</v>
      </c>
      <c r="Z3927" s="12">
        <v>11.52043294280764</v>
      </c>
      <c r="AA3927" s="12" t="s">
        <v>1268</v>
      </c>
      <c r="AB3927" s="12"/>
    </row>
    <row r="3928" spans="1:28" x14ac:dyDescent="0.3">
      <c r="A3928" s="12" t="s">
        <v>5859</v>
      </c>
      <c r="B3928" s="12" t="s">
        <v>206</v>
      </c>
      <c r="C3928" s="12" t="s">
        <v>611</v>
      </c>
      <c r="D3928" s="12" t="s">
        <v>5835</v>
      </c>
      <c r="E3928" s="12" t="s">
        <v>2978</v>
      </c>
      <c r="F3928" s="12" t="s">
        <v>32</v>
      </c>
      <c r="G3928" s="12" t="s">
        <v>32</v>
      </c>
      <c r="H3928" s="12" t="b">
        <v>1</v>
      </c>
      <c r="I3928" s="12" t="b">
        <v>1</v>
      </c>
      <c r="J3928" s="12" t="b">
        <v>0</v>
      </c>
      <c r="K3928" s="12" t="b">
        <v>0</v>
      </c>
      <c r="L3928" s="12">
        <v>417.63577051497037</v>
      </c>
      <c r="M3928" s="12">
        <v>281.77442238877592</v>
      </c>
      <c r="N3928" s="12">
        <v>2605.8988454926771</v>
      </c>
      <c r="O3928" s="12">
        <v>400</v>
      </c>
      <c r="P3928" s="12">
        <v>0.5</v>
      </c>
      <c r="Q3928" s="12">
        <v>0.51142323289442759</v>
      </c>
      <c r="R3928" s="12">
        <v>0.87727567909488657</v>
      </c>
      <c r="S3928" s="12">
        <v>0.42237971564782978</v>
      </c>
      <c r="T3928" s="12">
        <v>0.74875372443269295</v>
      </c>
      <c r="U3928" s="12">
        <v>0.7702873261177372</v>
      </c>
      <c r="V3928" s="12">
        <v>281.77442238877592</v>
      </c>
      <c r="W3928" s="12">
        <v>4.9116536356330194</v>
      </c>
      <c r="X3928" s="12">
        <v>14.654036109084119</v>
      </c>
      <c r="Y3928" s="12">
        <v>2205.8988454926771</v>
      </c>
      <c r="Z3928" s="12">
        <v>6.5147471137316924</v>
      </c>
      <c r="AA3928" s="12"/>
      <c r="AB3928" s="12"/>
    </row>
    <row r="3929" spans="1:28" x14ac:dyDescent="0.3">
      <c r="A3929" s="12" t="s">
        <v>5860</v>
      </c>
      <c r="B3929" s="12" t="s">
        <v>206</v>
      </c>
      <c r="C3929" s="12" t="s">
        <v>611</v>
      </c>
      <c r="D3929" s="12" t="s">
        <v>5835</v>
      </c>
      <c r="E3929" s="12" t="s">
        <v>2978</v>
      </c>
      <c r="F3929" s="12" t="s">
        <v>1861</v>
      </c>
      <c r="G3929" s="12" t="s">
        <v>1861</v>
      </c>
      <c r="H3929" s="12" t="b">
        <v>1</v>
      </c>
      <c r="I3929" s="12" t="b">
        <v>0</v>
      </c>
      <c r="J3929" s="12" t="b">
        <v>1</v>
      </c>
      <c r="K3929" s="12" t="b">
        <v>0</v>
      </c>
      <c r="L3929" s="12">
        <v>485.9156616355591</v>
      </c>
      <c r="M3929" s="12">
        <v>287.23882255336292</v>
      </c>
      <c r="N3929" s="12">
        <v>3085.7442397403311</v>
      </c>
      <c r="O3929" s="12">
        <v>400</v>
      </c>
      <c r="P3929" s="12">
        <v>0.5</v>
      </c>
      <c r="Q3929" s="12">
        <v>0.61847307893427439</v>
      </c>
      <c r="R3929" s="12">
        <v>0.45306167335550729</v>
      </c>
      <c r="S3929" s="12">
        <v>0.90977315865078245</v>
      </c>
      <c r="T3929" s="12">
        <v>0.79244755363229602</v>
      </c>
      <c r="U3929" s="12">
        <v>0.65114990440743736</v>
      </c>
      <c r="V3929" s="12">
        <v>287.23882255336292</v>
      </c>
      <c r="W3929" s="12">
        <v>0.10696644476335</v>
      </c>
      <c r="X3929" s="12">
        <v>1.4454529871076429</v>
      </c>
      <c r="Y3929" s="12">
        <v>2685.7442397403311</v>
      </c>
      <c r="Z3929" s="12">
        <v>7.7143605993508277</v>
      </c>
      <c r="AA3929" s="12" t="s">
        <v>1268</v>
      </c>
      <c r="AB3929" s="12"/>
    </row>
    <row r="3930" spans="1:28" x14ac:dyDescent="0.3">
      <c r="A3930" s="12" t="s">
        <v>5861</v>
      </c>
      <c r="B3930" s="12" t="s">
        <v>206</v>
      </c>
      <c r="C3930" s="12" t="s">
        <v>611</v>
      </c>
      <c r="D3930" s="12" t="s">
        <v>5835</v>
      </c>
      <c r="E3930" s="12" t="s">
        <v>2978</v>
      </c>
      <c r="F3930" s="12" t="s">
        <v>1861</v>
      </c>
      <c r="G3930" s="12" t="s">
        <v>1861</v>
      </c>
      <c r="H3930" s="12" t="b">
        <v>1</v>
      </c>
      <c r="I3930" s="12" t="b">
        <v>0</v>
      </c>
      <c r="J3930" s="12" t="b">
        <v>1</v>
      </c>
      <c r="K3930" s="12" t="b">
        <v>0</v>
      </c>
      <c r="L3930" s="12">
        <v>474.69475490988071</v>
      </c>
      <c r="M3930" s="12">
        <v>293.47158117381758</v>
      </c>
      <c r="N3930" s="12">
        <v>2318.2243052035569</v>
      </c>
      <c r="O3930" s="12">
        <v>400</v>
      </c>
      <c r="P3930" s="12">
        <v>0.5</v>
      </c>
      <c r="Q3930" s="12">
        <v>0.70580317798120928</v>
      </c>
      <c r="R3930" s="12">
        <v>0.94777364615670756</v>
      </c>
      <c r="S3930" s="12">
        <v>0.49488336558310381</v>
      </c>
      <c r="T3930" s="12">
        <v>0.87826120113933692</v>
      </c>
      <c r="U3930" s="12">
        <v>0.45813105935425708</v>
      </c>
      <c r="V3930" s="12">
        <v>293.47158117381758</v>
      </c>
      <c r="W3930" s="12">
        <v>5.0332171497927796</v>
      </c>
      <c r="X3930" s="12">
        <v>35.80723168874448</v>
      </c>
      <c r="Y3930" s="12">
        <v>1918.2243052035569</v>
      </c>
      <c r="Z3930" s="12">
        <v>5.7955607630088926</v>
      </c>
      <c r="AA3930" s="12" t="s">
        <v>1268</v>
      </c>
      <c r="AB3930" s="12"/>
    </row>
    <row r="3931" spans="1:28" x14ac:dyDescent="0.3">
      <c r="A3931" s="12" t="s">
        <v>5862</v>
      </c>
      <c r="B3931" s="12" t="s">
        <v>206</v>
      </c>
      <c r="C3931" s="12" t="s">
        <v>611</v>
      </c>
      <c r="D3931" s="12" t="s">
        <v>5835</v>
      </c>
      <c r="E3931" s="12" t="s">
        <v>2978</v>
      </c>
      <c r="F3931" s="12" t="s">
        <v>1861</v>
      </c>
      <c r="G3931" s="12" t="s">
        <v>1861</v>
      </c>
      <c r="H3931" s="12" t="b">
        <v>1</v>
      </c>
      <c r="I3931" s="12" t="b">
        <v>0</v>
      </c>
      <c r="J3931" s="12" t="b">
        <v>1</v>
      </c>
      <c r="K3931" s="12" t="b">
        <v>0</v>
      </c>
      <c r="L3931" s="12">
        <v>490.21628444536788</v>
      </c>
      <c r="M3931" s="12">
        <v>298.13074974189618</v>
      </c>
      <c r="N3931" s="12">
        <v>3773.4904484132248</v>
      </c>
      <c r="O3931" s="12">
        <v>400</v>
      </c>
      <c r="P3931" s="12">
        <v>0.5</v>
      </c>
      <c r="Q3931" s="12">
        <v>0.92732333043239179</v>
      </c>
      <c r="R3931" s="12">
        <v>0.84188416017293988</v>
      </c>
      <c r="S3931" s="12">
        <v>0.44500594352130252</v>
      </c>
      <c r="T3931" s="12">
        <v>0.86705869188882534</v>
      </c>
      <c r="U3931" s="12">
        <v>0.94272947372087978</v>
      </c>
      <c r="V3931" s="12">
        <v>298.13074974189618</v>
      </c>
      <c r="W3931" s="12">
        <v>16.21714940699124</v>
      </c>
      <c r="X3931" s="12">
        <v>143.79554453257219</v>
      </c>
      <c r="Y3931" s="12">
        <v>3373.4904484132248</v>
      </c>
      <c r="Z3931" s="12">
        <v>9.4337261210330645</v>
      </c>
      <c r="AA3931" s="12" t="s">
        <v>1981</v>
      </c>
      <c r="AB3931" s="12"/>
    </row>
    <row r="3932" spans="1:28" x14ac:dyDescent="0.3">
      <c r="A3932" s="12" t="s">
        <v>5863</v>
      </c>
      <c r="B3932" s="12" t="s">
        <v>206</v>
      </c>
      <c r="C3932" s="12" t="s">
        <v>611</v>
      </c>
      <c r="D3932" s="12" t="s">
        <v>5835</v>
      </c>
      <c r="E3932" s="12" t="s">
        <v>2978</v>
      </c>
      <c r="F3932" s="12" t="s">
        <v>832</v>
      </c>
      <c r="G3932" s="12" t="s">
        <v>832</v>
      </c>
      <c r="H3932" s="12" t="b">
        <v>0</v>
      </c>
      <c r="I3932" s="12" t="b">
        <v>0</v>
      </c>
      <c r="J3932" s="12" t="b">
        <v>0</v>
      </c>
      <c r="K3932" s="12" t="b">
        <v>0</v>
      </c>
      <c r="L3932" s="12">
        <v>392.98141107112411</v>
      </c>
      <c r="M3932" s="12">
        <v>302.20024893553108</v>
      </c>
      <c r="N3932" s="12">
        <v>4095.4945385581382</v>
      </c>
      <c r="O3932" s="12">
        <v>400</v>
      </c>
      <c r="P3932" s="12">
        <v>0.5</v>
      </c>
      <c r="Q3932" s="12">
        <v>0.65037281638882538</v>
      </c>
      <c r="R3932" s="12">
        <v>0.69127690597904401</v>
      </c>
      <c r="S3932" s="12">
        <v>0.45812917837138339</v>
      </c>
      <c r="T3932" s="12">
        <v>0.68198078243988236</v>
      </c>
      <c r="U3932" s="12">
        <v>0.71938873069627651</v>
      </c>
      <c r="V3932" s="12">
        <v>302.20024893553108</v>
      </c>
      <c r="W3932" s="12"/>
      <c r="X3932" s="12"/>
      <c r="Y3932" s="12">
        <v>3695.4945385581382</v>
      </c>
      <c r="Z3932" s="12">
        <v>10.23873634639534</v>
      </c>
      <c r="AA3932" s="12"/>
      <c r="AB3932" s="12"/>
    </row>
    <row r="3933" spans="1:28" x14ac:dyDescent="0.3">
      <c r="A3933" s="12" t="s">
        <v>5864</v>
      </c>
      <c r="B3933" s="12" t="s">
        <v>206</v>
      </c>
      <c r="C3933" s="12" t="s">
        <v>611</v>
      </c>
      <c r="D3933" s="12" t="s">
        <v>5835</v>
      </c>
      <c r="E3933" s="12" t="s">
        <v>2978</v>
      </c>
      <c r="F3933" s="12" t="s">
        <v>1861</v>
      </c>
      <c r="G3933" s="12" t="s">
        <v>1861</v>
      </c>
      <c r="H3933" s="12" t="b">
        <v>1</v>
      </c>
      <c r="I3933" s="12" t="b">
        <v>0</v>
      </c>
      <c r="J3933" s="12" t="b">
        <v>0</v>
      </c>
      <c r="K3933" s="12" t="b">
        <v>0</v>
      </c>
      <c r="L3933" s="12">
        <v>408.60394889652912</v>
      </c>
      <c r="M3933" s="12">
        <v>286.33291096747428</v>
      </c>
      <c r="N3933" s="12">
        <v>2174.8579228249359</v>
      </c>
      <c r="O3933" s="12">
        <v>400</v>
      </c>
      <c r="P3933" s="12">
        <v>0.5</v>
      </c>
      <c r="Q3933" s="12">
        <v>0.7663602859714469</v>
      </c>
      <c r="R3933" s="12">
        <v>0.42637148821722493</v>
      </c>
      <c r="S3933" s="12">
        <v>0.57386838468094359</v>
      </c>
      <c r="T3933" s="12">
        <v>0.67165439269720084</v>
      </c>
      <c r="U3933" s="12">
        <v>0.61619948374406563</v>
      </c>
      <c r="V3933" s="12">
        <v>286.33291096747428</v>
      </c>
      <c r="W3933" s="12">
        <v>6.1788042926852604</v>
      </c>
      <c r="X3933" s="12">
        <v>22.661668548252081</v>
      </c>
      <c r="Y3933" s="12">
        <v>1774.8579228249359</v>
      </c>
      <c r="Z3933" s="12">
        <v>5.4371448070623414</v>
      </c>
      <c r="AA3933" s="12" t="s">
        <v>1268</v>
      </c>
      <c r="AB3933" s="12"/>
    </row>
    <row r="3934" spans="1:28" x14ac:dyDescent="0.3">
      <c r="A3934" s="12" t="s">
        <v>5865</v>
      </c>
      <c r="B3934" s="12" t="s">
        <v>206</v>
      </c>
      <c r="C3934" s="12" t="s">
        <v>620</v>
      </c>
      <c r="D3934" s="12" t="s">
        <v>5866</v>
      </c>
      <c r="E3934" s="12" t="s">
        <v>2978</v>
      </c>
      <c r="F3934" s="12" t="s">
        <v>1863</v>
      </c>
      <c r="G3934" s="12" t="s">
        <v>832</v>
      </c>
      <c r="H3934" s="12" t="b">
        <v>0</v>
      </c>
      <c r="I3934" s="12" t="b">
        <v>0</v>
      </c>
      <c r="J3934" s="12" t="b">
        <v>0</v>
      </c>
      <c r="K3934" s="12" t="b">
        <v>0</v>
      </c>
      <c r="L3934" s="12">
        <v>383.80799067695068</v>
      </c>
      <c r="M3934" s="12">
        <v>300.032917</v>
      </c>
      <c r="N3934" s="12">
        <v>2916.2383703550991</v>
      </c>
      <c r="O3934" s="12">
        <v>854.72482152286011</v>
      </c>
      <c r="P3934" s="12">
        <v>0.5</v>
      </c>
      <c r="Q3934" s="12">
        <v>0.69015152542639635</v>
      </c>
      <c r="R3934" s="12">
        <v>0.75664113405596334</v>
      </c>
      <c r="S3934" s="12">
        <v>0.77198300641233719</v>
      </c>
      <c r="T3934" s="12">
        <v>0.88591536947105687</v>
      </c>
      <c r="U3934" s="12">
        <v>0.67411513656831723</v>
      </c>
      <c r="V3934" s="12">
        <v>300.032917</v>
      </c>
      <c r="W3934" s="12">
        <v>-19.747634984785741</v>
      </c>
      <c r="X3934" s="12">
        <v>-6.6863829274047024</v>
      </c>
      <c r="Y3934" s="12">
        <v>2061.5135488322389</v>
      </c>
      <c r="Z3934" s="12">
        <v>3.4119032195171859</v>
      </c>
      <c r="AA3934" s="12" t="s">
        <v>2846</v>
      </c>
      <c r="AB3934" s="12"/>
    </row>
    <row r="3935" spans="1:28" x14ac:dyDescent="0.3">
      <c r="A3935" s="12" t="s">
        <v>5867</v>
      </c>
      <c r="B3935" s="12" t="s">
        <v>206</v>
      </c>
      <c r="C3935" s="12" t="s">
        <v>620</v>
      </c>
      <c r="D3935" s="12" t="s">
        <v>5866</v>
      </c>
      <c r="E3935" s="12" t="s">
        <v>2978</v>
      </c>
      <c r="F3935" s="12" t="s">
        <v>1862</v>
      </c>
      <c r="G3935" s="12" t="s">
        <v>1862</v>
      </c>
      <c r="H3935" s="12" t="b">
        <v>1</v>
      </c>
      <c r="I3935" s="12" t="b">
        <v>0</v>
      </c>
      <c r="J3935" s="12" t="b">
        <v>0</v>
      </c>
      <c r="K3935" s="12" t="b">
        <v>0</v>
      </c>
      <c r="L3935" s="12">
        <v>425.30278535011001</v>
      </c>
      <c r="M3935" s="12">
        <v>300.032917</v>
      </c>
      <c r="N3935" s="12">
        <v>4482.9324981479422</v>
      </c>
      <c r="O3935" s="12">
        <v>1557.7718289208581</v>
      </c>
      <c r="P3935" s="12">
        <v>0.5</v>
      </c>
      <c r="Q3935" s="12">
        <v>0.61446734114798751</v>
      </c>
      <c r="R3935" s="12">
        <v>0.72970045541578388</v>
      </c>
      <c r="S3935" s="12">
        <v>0.44050258982559831</v>
      </c>
      <c r="T3935" s="12">
        <v>0.64269806866910284</v>
      </c>
      <c r="U3935" s="12">
        <v>0.6481077906964865</v>
      </c>
      <c r="V3935" s="12">
        <v>300.032917</v>
      </c>
      <c r="W3935" s="12">
        <v>-1.6860256541038501</v>
      </c>
      <c r="X3935" s="12">
        <v>-3.0650535905861709</v>
      </c>
      <c r="Y3935" s="12">
        <v>2925.1606692270839</v>
      </c>
      <c r="Z3935" s="12">
        <v>2.8777850612778648</v>
      </c>
      <c r="AA3935" s="12" t="s">
        <v>1696</v>
      </c>
      <c r="AB3935" s="12"/>
    </row>
    <row r="3936" spans="1:28" x14ac:dyDescent="0.3">
      <c r="A3936" s="12" t="s">
        <v>5868</v>
      </c>
      <c r="B3936" s="12" t="s">
        <v>206</v>
      </c>
      <c r="C3936" s="12" t="s">
        <v>620</v>
      </c>
      <c r="D3936" s="12" t="s">
        <v>5866</v>
      </c>
      <c r="E3936" s="12" t="s">
        <v>2978</v>
      </c>
      <c r="F3936" s="12" t="s">
        <v>1861</v>
      </c>
      <c r="G3936" s="12" t="s">
        <v>1861</v>
      </c>
      <c r="H3936" s="12" t="b">
        <v>1</v>
      </c>
      <c r="I3936" s="12" t="b">
        <v>0</v>
      </c>
      <c r="J3936" s="12" t="b">
        <v>1</v>
      </c>
      <c r="K3936" s="12" t="b">
        <v>0</v>
      </c>
      <c r="L3936" s="12">
        <v>483.6972328198878</v>
      </c>
      <c r="M3936" s="12">
        <v>300.032917</v>
      </c>
      <c r="N3936" s="12">
        <v>4501.1765486501254</v>
      </c>
      <c r="O3936" s="12">
        <v>946.54489351667837</v>
      </c>
      <c r="P3936" s="12">
        <v>0.5</v>
      </c>
      <c r="Q3936" s="12">
        <v>0.93332715809414035</v>
      </c>
      <c r="R3936" s="12">
        <v>0.85539588601454097</v>
      </c>
      <c r="S3936" s="12">
        <v>0.92604550052141321</v>
      </c>
      <c r="T3936" s="12">
        <v>0.65816384377439563</v>
      </c>
      <c r="U3936" s="12">
        <v>0.74504834764187833</v>
      </c>
      <c r="V3936" s="12">
        <v>300.032917</v>
      </c>
      <c r="W3936" s="12">
        <v>12.52201206672491</v>
      </c>
      <c r="X3936" s="12">
        <v>173.39664912125741</v>
      </c>
      <c r="Y3936" s="12">
        <v>3554.6316551334471</v>
      </c>
      <c r="Z3936" s="12">
        <v>4.7553756609757816</v>
      </c>
      <c r="AA3936" s="12" t="s">
        <v>1981</v>
      </c>
      <c r="AB3936" s="12"/>
    </row>
    <row r="3937" spans="1:28" x14ac:dyDescent="0.3">
      <c r="A3937" s="12" t="s">
        <v>5869</v>
      </c>
      <c r="B3937" s="12" t="s">
        <v>206</v>
      </c>
      <c r="C3937" s="12" t="s">
        <v>620</v>
      </c>
      <c r="D3937" s="12" t="s">
        <v>5866</v>
      </c>
      <c r="E3937" s="12" t="s">
        <v>2978</v>
      </c>
      <c r="F3937" s="12" t="s">
        <v>1861</v>
      </c>
      <c r="G3937" s="12" t="s">
        <v>1861</v>
      </c>
      <c r="H3937" s="12" t="b">
        <v>1</v>
      </c>
      <c r="I3937" s="12" t="b">
        <v>0</v>
      </c>
      <c r="J3937" s="12" t="b">
        <v>1</v>
      </c>
      <c r="K3937" s="12" t="b">
        <v>0</v>
      </c>
      <c r="L3937" s="12">
        <v>491.13319420709138</v>
      </c>
      <c r="M3937" s="12">
        <v>300.032917</v>
      </c>
      <c r="N3937" s="12">
        <v>2246.1657568839719</v>
      </c>
      <c r="O3937" s="12">
        <v>1167.9223958848499</v>
      </c>
      <c r="P3937" s="12">
        <v>0.5</v>
      </c>
      <c r="Q3937" s="12">
        <v>0.84308039148766756</v>
      </c>
      <c r="R3937" s="12">
        <v>0.51389760917320759</v>
      </c>
      <c r="S3937" s="12">
        <v>0.64470739104683239</v>
      </c>
      <c r="T3937" s="12">
        <v>0.85076112856036534</v>
      </c>
      <c r="U3937" s="12">
        <v>0.50190288402188876</v>
      </c>
      <c r="V3937" s="12">
        <v>300.032917</v>
      </c>
      <c r="W3937" s="12">
        <v>0.38656361718867999</v>
      </c>
      <c r="X3937" s="12">
        <v>3.5060717678151292</v>
      </c>
      <c r="Y3937" s="12">
        <v>1078.2433609991219</v>
      </c>
      <c r="Z3937" s="12">
        <v>1.923214902632477</v>
      </c>
      <c r="AA3937" s="12" t="s">
        <v>1268</v>
      </c>
      <c r="AB3937" s="12"/>
    </row>
    <row r="3938" spans="1:28" x14ac:dyDescent="0.3">
      <c r="A3938" s="12" t="s">
        <v>5870</v>
      </c>
      <c r="B3938" s="12" t="s">
        <v>206</v>
      </c>
      <c r="C3938" s="12" t="s">
        <v>620</v>
      </c>
      <c r="D3938" s="12" t="s">
        <v>5866</v>
      </c>
      <c r="E3938" s="12" t="s">
        <v>2978</v>
      </c>
      <c r="F3938" s="12" t="s">
        <v>32</v>
      </c>
      <c r="G3938" s="12" t="s">
        <v>32</v>
      </c>
      <c r="H3938" s="12" t="b">
        <v>1</v>
      </c>
      <c r="I3938" s="12" t="b">
        <v>1</v>
      </c>
      <c r="J3938" s="12" t="b">
        <v>0</v>
      </c>
      <c r="K3938" s="12" t="b">
        <v>0</v>
      </c>
      <c r="L3938" s="12">
        <v>390.19317729023533</v>
      </c>
      <c r="M3938" s="12">
        <v>300.032917</v>
      </c>
      <c r="N3938" s="12">
        <v>2887.7973990544101</v>
      </c>
      <c r="O3938" s="12">
        <v>1612.1624236947009</v>
      </c>
      <c r="P3938" s="12">
        <v>0.5</v>
      </c>
      <c r="Q3938" s="12">
        <v>0.79830063100321802</v>
      </c>
      <c r="R3938" s="12">
        <v>0.6366465424109895</v>
      </c>
      <c r="S3938" s="12">
        <v>0.84877652477908128</v>
      </c>
      <c r="T3938" s="12">
        <v>0.5707245370279026</v>
      </c>
      <c r="U3938" s="12">
        <v>0.92700810392373079</v>
      </c>
      <c r="V3938" s="12">
        <v>300.032917</v>
      </c>
      <c r="W3938" s="12">
        <v>0.38471252241313991</v>
      </c>
      <c r="X3938" s="12">
        <v>0.90937174397562603</v>
      </c>
      <c r="Y3938" s="12">
        <v>1275.634975359709</v>
      </c>
      <c r="Z3938" s="12">
        <v>1.7912571069832099</v>
      </c>
      <c r="AA3938" s="12"/>
      <c r="AB3938" s="12"/>
    </row>
    <row r="3939" spans="1:28" x14ac:dyDescent="0.3">
      <c r="A3939" s="12" t="s">
        <v>5871</v>
      </c>
      <c r="B3939" s="12" t="s">
        <v>206</v>
      </c>
      <c r="C3939" s="12" t="s">
        <v>620</v>
      </c>
      <c r="D3939" s="12" t="s">
        <v>5866</v>
      </c>
      <c r="E3939" s="12" t="s">
        <v>2978</v>
      </c>
      <c r="F3939" s="12" t="s">
        <v>1861</v>
      </c>
      <c r="G3939" s="12" t="s">
        <v>1861</v>
      </c>
      <c r="H3939" s="12" t="b">
        <v>1</v>
      </c>
      <c r="I3939" s="12" t="b">
        <v>0</v>
      </c>
      <c r="J3939" s="12" t="b">
        <v>1</v>
      </c>
      <c r="K3939" s="12" t="b">
        <v>0</v>
      </c>
      <c r="L3939" s="12">
        <v>509.31620548361678</v>
      </c>
      <c r="M3939" s="12">
        <v>300.032917</v>
      </c>
      <c r="N3939" s="12">
        <v>3713.7813202859502</v>
      </c>
      <c r="O3939" s="12">
        <v>1518.859616816866</v>
      </c>
      <c r="P3939" s="12">
        <v>0.5</v>
      </c>
      <c r="Q3939" s="12">
        <v>0.90360604952374723</v>
      </c>
      <c r="R3939" s="12">
        <v>0.66825945701662981</v>
      </c>
      <c r="S3939" s="12">
        <v>0.87691886613110404</v>
      </c>
      <c r="T3939" s="12">
        <v>0.86725029277873922</v>
      </c>
      <c r="U3939" s="12">
        <v>0.69957125505257611</v>
      </c>
      <c r="V3939" s="12">
        <v>300.032917</v>
      </c>
      <c r="W3939" s="12">
        <v>6.6145181053176403</v>
      </c>
      <c r="X3939" s="12">
        <v>101.1320726626065</v>
      </c>
      <c r="Y3939" s="12">
        <v>2194.9217034690842</v>
      </c>
      <c r="Z3939" s="12">
        <v>2.4451116345229251</v>
      </c>
      <c r="AA3939" s="12" t="s">
        <v>1268</v>
      </c>
      <c r="AB3939" s="12"/>
    </row>
    <row r="3940" spans="1:28" x14ac:dyDescent="0.3">
      <c r="A3940" s="12" t="s">
        <v>5872</v>
      </c>
      <c r="B3940" s="12" t="s">
        <v>206</v>
      </c>
      <c r="C3940" s="12" t="s">
        <v>620</v>
      </c>
      <c r="D3940" s="12" t="s">
        <v>5866</v>
      </c>
      <c r="E3940" s="12" t="s">
        <v>2978</v>
      </c>
      <c r="F3940" s="12" t="s">
        <v>32</v>
      </c>
      <c r="G3940" s="12" t="s">
        <v>32</v>
      </c>
      <c r="H3940" s="12" t="b">
        <v>1</v>
      </c>
      <c r="I3940" s="12" t="b">
        <v>0</v>
      </c>
      <c r="J3940" s="12" t="b">
        <v>1</v>
      </c>
      <c r="K3940" s="12" t="b">
        <v>0</v>
      </c>
      <c r="L3940" s="12">
        <v>428.94656736732537</v>
      </c>
      <c r="M3940" s="12">
        <v>300.032917</v>
      </c>
      <c r="N3940" s="12">
        <v>3274.463034061931</v>
      </c>
      <c r="O3940" s="12">
        <v>1662.220150683911</v>
      </c>
      <c r="P3940" s="12">
        <v>0.5</v>
      </c>
      <c r="Q3940" s="12">
        <v>0.4835007506909732</v>
      </c>
      <c r="R3940" s="12">
        <v>0.82081846608243336</v>
      </c>
      <c r="S3940" s="12">
        <v>0.94993382660483161</v>
      </c>
      <c r="T3940" s="12">
        <v>0.9303516725739932</v>
      </c>
      <c r="U3940" s="12">
        <v>0.76931823540109279</v>
      </c>
      <c r="V3940" s="12">
        <v>300.032917</v>
      </c>
      <c r="W3940" s="12">
        <v>2.81711916035403</v>
      </c>
      <c r="X3940" s="12">
        <v>15.82289712804641</v>
      </c>
      <c r="Y3940" s="12">
        <v>1612.24288337802</v>
      </c>
      <c r="Z3940" s="12">
        <v>1.9699334247119269</v>
      </c>
      <c r="AA3940" s="12"/>
      <c r="AB3940" s="12"/>
    </row>
    <row r="3941" spans="1:28" x14ac:dyDescent="0.3">
      <c r="A3941" s="12" t="s">
        <v>5873</v>
      </c>
      <c r="B3941" s="12" t="s">
        <v>206</v>
      </c>
      <c r="C3941" s="12" t="s">
        <v>620</v>
      </c>
      <c r="D3941" s="12" t="s">
        <v>5866</v>
      </c>
      <c r="E3941" s="12" t="s">
        <v>2978</v>
      </c>
      <c r="F3941" s="12" t="s">
        <v>832</v>
      </c>
      <c r="G3941" s="12" t="s">
        <v>832</v>
      </c>
      <c r="H3941" s="12" t="b">
        <v>0</v>
      </c>
      <c r="I3941" s="12" t="b">
        <v>0</v>
      </c>
      <c r="J3941" s="12" t="b">
        <v>0</v>
      </c>
      <c r="K3941" s="12" t="b">
        <v>0</v>
      </c>
      <c r="L3941" s="12">
        <v>401.4700152944767</v>
      </c>
      <c r="M3941" s="12">
        <v>300.032917</v>
      </c>
      <c r="N3941" s="12">
        <v>4845.1351468643106</v>
      </c>
      <c r="O3941" s="12">
        <v>1006.4987119715551</v>
      </c>
      <c r="P3941" s="12">
        <v>0.5</v>
      </c>
      <c r="Q3941" s="12">
        <v>0.42674125607426822</v>
      </c>
      <c r="R3941" s="12">
        <v>0.48333983924668311</v>
      </c>
      <c r="S3941" s="12">
        <v>0.58838150251546417</v>
      </c>
      <c r="T3941" s="12">
        <v>0.50489625339255928</v>
      </c>
      <c r="U3941" s="12">
        <v>0.51458818984652033</v>
      </c>
      <c r="V3941" s="12">
        <v>300.032917</v>
      </c>
      <c r="W3941" s="12"/>
      <c r="X3941" s="12"/>
      <c r="Y3941" s="12">
        <v>3838.6364348927559</v>
      </c>
      <c r="Z3941" s="12">
        <v>4.8138513137026662</v>
      </c>
      <c r="AA3941" s="12"/>
      <c r="AB3941" s="12"/>
    </row>
    <row r="3942" spans="1:28" x14ac:dyDescent="0.3">
      <c r="A3942" s="12" t="s">
        <v>5874</v>
      </c>
      <c r="B3942" s="12" t="s">
        <v>206</v>
      </c>
      <c r="C3942" s="12" t="s">
        <v>620</v>
      </c>
      <c r="D3942" s="12" t="s">
        <v>5866</v>
      </c>
      <c r="E3942" s="12" t="s">
        <v>2978</v>
      </c>
      <c r="F3942" s="12" t="s">
        <v>1861</v>
      </c>
      <c r="G3942" s="12" t="s">
        <v>1861</v>
      </c>
      <c r="H3942" s="12" t="b">
        <v>1</v>
      </c>
      <c r="I3942" s="12" t="b">
        <v>0</v>
      </c>
      <c r="J3942" s="12" t="b">
        <v>1</v>
      </c>
      <c r="K3942" s="12" t="b">
        <v>0</v>
      </c>
      <c r="L3942" s="12">
        <v>473.15608833995202</v>
      </c>
      <c r="M3942" s="12">
        <v>300.032917</v>
      </c>
      <c r="N3942" s="12">
        <v>4342.4551098384154</v>
      </c>
      <c r="O3942" s="12">
        <v>1789.442453228495</v>
      </c>
      <c r="P3942" s="12">
        <v>0.5</v>
      </c>
      <c r="Q3942" s="12">
        <v>0.92770664008236559</v>
      </c>
      <c r="R3942" s="12">
        <v>0.93139941907360357</v>
      </c>
      <c r="S3942" s="12">
        <v>0.73830010673073776</v>
      </c>
      <c r="T3942" s="12">
        <v>0.48704229941985339</v>
      </c>
      <c r="U3942" s="12">
        <v>0.41482651816165739</v>
      </c>
      <c r="V3942" s="12">
        <v>300.032917</v>
      </c>
      <c r="W3942" s="12">
        <v>6.29285749026781</v>
      </c>
      <c r="X3942" s="12">
        <v>38.278276036311688</v>
      </c>
      <c r="Y3942" s="12">
        <v>2553.0126566099211</v>
      </c>
      <c r="Z3942" s="12">
        <v>2.4267084431822878</v>
      </c>
      <c r="AA3942" s="12" t="s">
        <v>1268</v>
      </c>
      <c r="AB3942" s="12"/>
    </row>
    <row r="3943" spans="1:28" x14ac:dyDescent="0.3">
      <c r="A3943" s="12" t="s">
        <v>5875</v>
      </c>
      <c r="B3943" s="12" t="s">
        <v>206</v>
      </c>
      <c r="C3943" s="12" t="s">
        <v>620</v>
      </c>
      <c r="D3943" s="12" t="s">
        <v>5866</v>
      </c>
      <c r="E3943" s="12" t="s">
        <v>2978</v>
      </c>
      <c r="F3943" s="12" t="s">
        <v>1861</v>
      </c>
      <c r="G3943" s="12" t="s">
        <v>1861</v>
      </c>
      <c r="H3943" s="12" t="b">
        <v>1</v>
      </c>
      <c r="I3943" s="12" t="b">
        <v>0</v>
      </c>
      <c r="J3943" s="12" t="b">
        <v>1</v>
      </c>
      <c r="K3943" s="12" t="b">
        <v>0</v>
      </c>
      <c r="L3943" s="12">
        <v>519.7955651428274</v>
      </c>
      <c r="M3943" s="12">
        <v>300.032917</v>
      </c>
      <c r="N3943" s="12">
        <v>3669.2550296611362</v>
      </c>
      <c r="O3943" s="12">
        <v>440.56905128227862</v>
      </c>
      <c r="P3943" s="12">
        <v>0.5</v>
      </c>
      <c r="Q3943" s="12">
        <v>0.77042927727124877</v>
      </c>
      <c r="R3943" s="12">
        <v>0.67953070879430744</v>
      </c>
      <c r="S3943" s="12">
        <v>0.4882929762612564</v>
      </c>
      <c r="T3943" s="12">
        <v>0.81320070581582526</v>
      </c>
      <c r="U3943" s="12">
        <v>0.58350362403165468</v>
      </c>
      <c r="V3943" s="12">
        <v>300.032917</v>
      </c>
      <c r="W3943" s="12">
        <v>7.4079901712568494</v>
      </c>
      <c r="X3943" s="12">
        <v>61.783893860234627</v>
      </c>
      <c r="Y3943" s="12">
        <v>3228.6859783788582</v>
      </c>
      <c r="Z3943" s="12">
        <v>8.3284448124119255</v>
      </c>
      <c r="AA3943" s="12" t="s">
        <v>1268</v>
      </c>
      <c r="AB3943" s="12"/>
    </row>
    <row r="3944" spans="1:28" x14ac:dyDescent="0.3">
      <c r="A3944" s="12" t="s">
        <v>5876</v>
      </c>
      <c r="B3944" s="12" t="s">
        <v>206</v>
      </c>
      <c r="C3944" s="12" t="s">
        <v>620</v>
      </c>
      <c r="D3944" s="12" t="s">
        <v>5866</v>
      </c>
      <c r="E3944" s="12" t="s">
        <v>2978</v>
      </c>
      <c r="F3944" s="12" t="s">
        <v>32</v>
      </c>
      <c r="G3944" s="12" t="s">
        <v>32</v>
      </c>
      <c r="H3944" s="12" t="b">
        <v>1</v>
      </c>
      <c r="I3944" s="12" t="b">
        <v>1</v>
      </c>
      <c r="J3944" s="12" t="b">
        <v>0</v>
      </c>
      <c r="K3944" s="12" t="b">
        <v>0</v>
      </c>
      <c r="L3944" s="12">
        <v>396.99244244338928</v>
      </c>
      <c r="M3944" s="12">
        <v>300.032917</v>
      </c>
      <c r="N3944" s="12">
        <v>2760.8152417827541</v>
      </c>
      <c r="O3944" s="12">
        <v>522.48397629363626</v>
      </c>
      <c r="P3944" s="12">
        <v>0.5</v>
      </c>
      <c r="Q3944" s="12">
        <v>0.57858825908375355</v>
      </c>
      <c r="R3944" s="12">
        <v>0.55006119004971388</v>
      </c>
      <c r="S3944" s="12">
        <v>0.61376971742476383</v>
      </c>
      <c r="T3944" s="12">
        <v>0.52414003979995305</v>
      </c>
      <c r="U3944" s="12">
        <v>0.89285272388775594</v>
      </c>
      <c r="V3944" s="12">
        <v>300.032917</v>
      </c>
      <c r="W3944" s="12">
        <v>1.2723814766742501</v>
      </c>
      <c r="X3944" s="12">
        <v>3.3342655428326018</v>
      </c>
      <c r="Y3944" s="12">
        <v>2238.331265489117</v>
      </c>
      <c r="Z3944" s="12">
        <v>5.284018969093081</v>
      </c>
      <c r="AA3944" s="12"/>
      <c r="AB3944" s="12"/>
    </row>
    <row r="3945" spans="1:28" x14ac:dyDescent="0.3">
      <c r="A3945" s="12" t="s">
        <v>5877</v>
      </c>
      <c r="B3945" s="12" t="s">
        <v>206</v>
      </c>
      <c r="C3945" s="12" t="s">
        <v>620</v>
      </c>
      <c r="D3945" s="12" t="s">
        <v>5866</v>
      </c>
      <c r="E3945" s="12" t="s">
        <v>2978</v>
      </c>
      <c r="F3945" s="12" t="s">
        <v>1862</v>
      </c>
      <c r="G3945" s="12" t="s">
        <v>1862</v>
      </c>
      <c r="H3945" s="12" t="b">
        <v>1</v>
      </c>
      <c r="I3945" s="12" t="b">
        <v>0</v>
      </c>
      <c r="J3945" s="12" t="b">
        <v>1</v>
      </c>
      <c r="K3945" s="12" t="b">
        <v>0</v>
      </c>
      <c r="L3945" s="12">
        <v>476.65520734366618</v>
      </c>
      <c r="M3945" s="12">
        <v>300.032917</v>
      </c>
      <c r="N3945" s="12">
        <v>2196.4112865279531</v>
      </c>
      <c r="O3945" s="12">
        <v>544.06613908388226</v>
      </c>
      <c r="P3945" s="12">
        <v>0.5</v>
      </c>
      <c r="Q3945" s="12">
        <v>0.59990545300496589</v>
      </c>
      <c r="R3945" s="12">
        <v>0.4137812335925683</v>
      </c>
      <c r="S3945" s="12">
        <v>0.55305508820772153</v>
      </c>
      <c r="T3945" s="12">
        <v>0.72214584384740488</v>
      </c>
      <c r="U3945" s="12">
        <v>0.47760729317071599</v>
      </c>
      <c r="V3945" s="12">
        <v>300.032917</v>
      </c>
      <c r="W3945" s="12">
        <v>-15.747734228531851</v>
      </c>
      <c r="X3945" s="12">
        <v>-109.16251363282591</v>
      </c>
      <c r="Y3945" s="12">
        <v>1652.3451474440701</v>
      </c>
      <c r="Z3945" s="12">
        <v>4.0370299284317666</v>
      </c>
      <c r="AA3945" s="12" t="s">
        <v>2513</v>
      </c>
      <c r="AB3945" s="12"/>
    </row>
    <row r="3946" spans="1:28" x14ac:dyDescent="0.3">
      <c r="A3946" s="12" t="s">
        <v>5878</v>
      </c>
      <c r="B3946" s="12" t="s">
        <v>206</v>
      </c>
      <c r="C3946" s="12" t="s">
        <v>620</v>
      </c>
      <c r="D3946" s="12" t="s">
        <v>5866</v>
      </c>
      <c r="E3946" s="12" t="s">
        <v>2978</v>
      </c>
      <c r="F3946" s="12" t="s">
        <v>32</v>
      </c>
      <c r="G3946" s="12" t="s">
        <v>32</v>
      </c>
      <c r="H3946" s="12" t="b">
        <v>1</v>
      </c>
      <c r="I3946" s="12" t="b">
        <v>0</v>
      </c>
      <c r="J3946" s="12" t="b">
        <v>1</v>
      </c>
      <c r="K3946" s="12" t="b">
        <v>0</v>
      </c>
      <c r="L3946" s="12">
        <v>496.38739416637537</v>
      </c>
      <c r="M3946" s="12">
        <v>300.032917</v>
      </c>
      <c r="N3946" s="12">
        <v>4210.5026791545879</v>
      </c>
      <c r="O3946" s="12">
        <v>1280.7247503753049</v>
      </c>
      <c r="P3946" s="12">
        <v>0.5</v>
      </c>
      <c r="Q3946" s="12">
        <v>0.86592108823555547</v>
      </c>
      <c r="R3946" s="12">
        <v>0.4279122184338478</v>
      </c>
      <c r="S3946" s="12">
        <v>0.6788068759337641</v>
      </c>
      <c r="T3946" s="12">
        <v>0.6109141371904161</v>
      </c>
      <c r="U3946" s="12">
        <v>0.90418695196954835</v>
      </c>
      <c r="V3946" s="12">
        <v>300.032917</v>
      </c>
      <c r="W3946" s="12">
        <v>8.0362578904495212</v>
      </c>
      <c r="X3946" s="12">
        <v>113.0615173473832</v>
      </c>
      <c r="Y3946" s="12">
        <v>2929.7779287792828</v>
      </c>
      <c r="Z3946" s="12">
        <v>3.2875937455887669</v>
      </c>
      <c r="AA3946" s="12"/>
      <c r="AB3946" s="12"/>
    </row>
    <row r="3947" spans="1:28" x14ac:dyDescent="0.3">
      <c r="A3947" s="12" t="s">
        <v>5879</v>
      </c>
      <c r="B3947" s="12" t="s">
        <v>206</v>
      </c>
      <c r="C3947" s="12" t="s">
        <v>620</v>
      </c>
      <c r="D3947" s="12" t="s">
        <v>5866</v>
      </c>
      <c r="E3947" s="12" t="s">
        <v>2978</v>
      </c>
      <c r="F3947" s="12" t="s">
        <v>32</v>
      </c>
      <c r="G3947" s="12" t="s">
        <v>32</v>
      </c>
      <c r="H3947" s="12" t="b">
        <v>1</v>
      </c>
      <c r="I3947" s="12" t="b">
        <v>1</v>
      </c>
      <c r="J3947" s="12" t="b">
        <v>0</v>
      </c>
      <c r="K3947" s="12" t="b">
        <v>0</v>
      </c>
      <c r="L3947" s="12">
        <v>445.08990165649408</v>
      </c>
      <c r="M3947" s="12">
        <v>300.032917</v>
      </c>
      <c r="N3947" s="12">
        <v>3990.481090263972</v>
      </c>
      <c r="O3947" s="12">
        <v>1410.3584586846059</v>
      </c>
      <c r="P3947" s="12">
        <v>0.5</v>
      </c>
      <c r="Q3947" s="12">
        <v>0.50484450984176621</v>
      </c>
      <c r="R3947" s="12">
        <v>0.77195474497609284</v>
      </c>
      <c r="S3947" s="12">
        <v>0.51406688375997878</v>
      </c>
      <c r="T3947" s="12">
        <v>0.53949506968275762</v>
      </c>
      <c r="U3947" s="12">
        <v>0.82787857120520647</v>
      </c>
      <c r="V3947" s="12">
        <v>300.032917</v>
      </c>
      <c r="W3947" s="12">
        <v>2.1549237851703902</v>
      </c>
      <c r="X3947" s="12">
        <v>9.5875875163055539</v>
      </c>
      <c r="Y3947" s="12">
        <v>2580.122631579366</v>
      </c>
      <c r="Z3947" s="12">
        <v>2.8294091233981469</v>
      </c>
      <c r="AA3947" s="12"/>
      <c r="AB3947" s="12"/>
    </row>
    <row r="3948" spans="1:28" x14ac:dyDescent="0.3">
      <c r="A3948" s="12" t="s">
        <v>5880</v>
      </c>
      <c r="B3948" s="12" t="s">
        <v>206</v>
      </c>
      <c r="C3948" s="12" t="s">
        <v>620</v>
      </c>
      <c r="D3948" s="12" t="s">
        <v>5866</v>
      </c>
      <c r="E3948" s="12" t="s">
        <v>2978</v>
      </c>
      <c r="F3948" s="12" t="s">
        <v>1861</v>
      </c>
      <c r="G3948" s="12" t="s">
        <v>1861</v>
      </c>
      <c r="H3948" s="12" t="b">
        <v>1</v>
      </c>
      <c r="I3948" s="12" t="b">
        <v>0</v>
      </c>
      <c r="J3948" s="12" t="b">
        <v>0</v>
      </c>
      <c r="K3948" s="12" t="b">
        <v>0</v>
      </c>
      <c r="L3948" s="12">
        <v>414.83872922907022</v>
      </c>
      <c r="M3948" s="12">
        <v>300.032917</v>
      </c>
      <c r="N3948" s="12">
        <v>2695.387689718927</v>
      </c>
      <c r="O3948" s="12">
        <v>1143.6392888648861</v>
      </c>
      <c r="P3948" s="12">
        <v>0.5</v>
      </c>
      <c r="Q3948" s="12">
        <v>0.52498479762237837</v>
      </c>
      <c r="R3948" s="12">
        <v>0.64001176656356829</v>
      </c>
      <c r="S3948" s="12">
        <v>0.46891318079821731</v>
      </c>
      <c r="T3948" s="12">
        <v>0.75807574132966016</v>
      </c>
      <c r="U3948" s="12">
        <v>0.56705675566604463</v>
      </c>
      <c r="V3948" s="12">
        <v>300.032917</v>
      </c>
      <c r="W3948" s="12">
        <v>2.8011927049094298</v>
      </c>
      <c r="X3948" s="12">
        <v>7.3988895178815657</v>
      </c>
      <c r="Y3948" s="12">
        <v>1551.7484008540409</v>
      </c>
      <c r="Z3948" s="12">
        <v>2.3568512519312121</v>
      </c>
      <c r="AA3948" s="12" t="s">
        <v>1268</v>
      </c>
      <c r="AB3948" s="12"/>
    </row>
    <row r="3949" spans="1:28" x14ac:dyDescent="0.3">
      <c r="A3949" s="12" t="s">
        <v>5881</v>
      </c>
      <c r="B3949" s="12" t="s">
        <v>206</v>
      </c>
      <c r="C3949" s="12" t="s">
        <v>620</v>
      </c>
      <c r="D3949" s="12" t="s">
        <v>5866</v>
      </c>
      <c r="E3949" s="12" t="s">
        <v>2978</v>
      </c>
      <c r="F3949" s="12" t="s">
        <v>32</v>
      </c>
      <c r="G3949" s="12" t="s">
        <v>32</v>
      </c>
      <c r="H3949" s="12" t="b">
        <v>1</v>
      </c>
      <c r="I3949" s="12" t="b">
        <v>1</v>
      </c>
      <c r="J3949" s="12" t="b">
        <v>0</v>
      </c>
      <c r="K3949" s="12" t="b">
        <v>0</v>
      </c>
      <c r="L3949" s="12">
        <v>432.2499076872291</v>
      </c>
      <c r="M3949" s="12">
        <v>300.032917</v>
      </c>
      <c r="N3949" s="12">
        <v>2423.9543691015929</v>
      </c>
      <c r="O3949" s="12">
        <v>734.8909794561439</v>
      </c>
      <c r="P3949" s="12">
        <v>0.5</v>
      </c>
      <c r="Q3949" s="12">
        <v>0.80505499942293157</v>
      </c>
      <c r="R3949" s="12">
        <v>0.46720720829782891</v>
      </c>
      <c r="S3949" s="12">
        <v>0.71406529510653804</v>
      </c>
      <c r="T3949" s="12">
        <v>0.7915656730913605</v>
      </c>
      <c r="U3949" s="12">
        <v>0.87088528726935177</v>
      </c>
      <c r="V3949" s="12">
        <v>300.032917</v>
      </c>
      <c r="W3949" s="12">
        <v>7.7470589972558708</v>
      </c>
      <c r="X3949" s="12">
        <v>53.766645433632974</v>
      </c>
      <c r="Y3949" s="12">
        <v>1689.063389645449</v>
      </c>
      <c r="Z3949" s="12">
        <v>3.2983863414617511</v>
      </c>
      <c r="AA3949" s="12"/>
      <c r="AB3949" s="12"/>
    </row>
    <row r="3950" spans="1:28" x14ac:dyDescent="0.3">
      <c r="A3950" s="12" t="s">
        <v>5882</v>
      </c>
      <c r="B3950" s="12" t="s">
        <v>206</v>
      </c>
      <c r="C3950" s="12" t="s">
        <v>620</v>
      </c>
      <c r="D3950" s="12" t="s">
        <v>5866</v>
      </c>
      <c r="E3950" s="12" t="s">
        <v>2978</v>
      </c>
      <c r="F3950" s="12" t="s">
        <v>1863</v>
      </c>
      <c r="G3950" s="12" t="s">
        <v>832</v>
      </c>
      <c r="H3950" s="12" t="b">
        <v>0</v>
      </c>
      <c r="I3950" s="12" t="b">
        <v>0</v>
      </c>
      <c r="J3950" s="12" t="b">
        <v>0</v>
      </c>
      <c r="K3950" s="12" t="b">
        <v>0</v>
      </c>
      <c r="L3950" s="12">
        <v>386.71858842316021</v>
      </c>
      <c r="M3950" s="12">
        <v>300.032917</v>
      </c>
      <c r="N3950" s="12">
        <v>3027.925706310089</v>
      </c>
      <c r="O3950" s="12">
        <v>1465.1575640178869</v>
      </c>
      <c r="P3950" s="12">
        <v>0.5</v>
      </c>
      <c r="Q3950" s="12">
        <v>0.70410061940447144</v>
      </c>
      <c r="R3950" s="12">
        <v>0.89838275814515178</v>
      </c>
      <c r="S3950" s="12">
        <v>0.58160376319719032</v>
      </c>
      <c r="T3950" s="12">
        <v>0.7375766178961789</v>
      </c>
      <c r="U3950" s="12">
        <v>0.75445521311969577</v>
      </c>
      <c r="V3950" s="12">
        <v>300.032917</v>
      </c>
      <c r="W3950" s="12">
        <v>-14.10472866577215</v>
      </c>
      <c r="X3950" s="12">
        <v>-9.8041272960461487</v>
      </c>
      <c r="Y3950" s="12">
        <v>1562.7681422922019</v>
      </c>
      <c r="Z3950" s="12">
        <v>2.0666212158142492</v>
      </c>
      <c r="AA3950" s="12" t="s">
        <v>2018</v>
      </c>
      <c r="AB3950" s="12"/>
    </row>
    <row r="3951" spans="1:28" x14ac:dyDescent="0.3">
      <c r="A3951" s="12" t="s">
        <v>5883</v>
      </c>
      <c r="B3951" s="12" t="s">
        <v>206</v>
      </c>
      <c r="C3951" s="12" t="s">
        <v>620</v>
      </c>
      <c r="D3951" s="12" t="s">
        <v>5866</v>
      </c>
      <c r="E3951" s="12" t="s">
        <v>2978</v>
      </c>
      <c r="F3951" s="12" t="s">
        <v>1861</v>
      </c>
      <c r="G3951" s="12" t="s">
        <v>1861</v>
      </c>
      <c r="H3951" s="12" t="b">
        <v>1</v>
      </c>
      <c r="I3951" s="12" t="b">
        <v>0</v>
      </c>
      <c r="J3951" s="12" t="b">
        <v>1</v>
      </c>
      <c r="K3951" s="12" t="b">
        <v>0</v>
      </c>
      <c r="L3951" s="12">
        <v>514.17153053510719</v>
      </c>
      <c r="M3951" s="12">
        <v>300.032917</v>
      </c>
      <c r="N3951" s="12">
        <v>2399.9213657542668</v>
      </c>
      <c r="O3951" s="12">
        <v>588.75452381033676</v>
      </c>
      <c r="P3951" s="12">
        <v>0.5</v>
      </c>
      <c r="Q3951" s="12">
        <v>0.40191128144268318</v>
      </c>
      <c r="R3951" s="12">
        <v>0.70206073715284245</v>
      </c>
      <c r="S3951" s="12">
        <v>0.83089741212413482</v>
      </c>
      <c r="T3951" s="12">
        <v>0.8329136338234655</v>
      </c>
      <c r="U3951" s="12">
        <v>0.68111125898321068</v>
      </c>
      <c r="V3951" s="12">
        <v>300.032917</v>
      </c>
      <c r="W3951" s="12">
        <v>0.39931474301902992</v>
      </c>
      <c r="X3951" s="12">
        <v>5.6542286215438509</v>
      </c>
      <c r="Y3951" s="12">
        <v>1811.16684194393</v>
      </c>
      <c r="Z3951" s="12">
        <v>4.0762682386239888</v>
      </c>
      <c r="AA3951" s="12" t="s">
        <v>1268</v>
      </c>
      <c r="AB3951" s="12"/>
    </row>
    <row r="3952" spans="1:28" x14ac:dyDescent="0.3">
      <c r="A3952" s="12" t="s">
        <v>5884</v>
      </c>
      <c r="B3952" s="12" t="s">
        <v>206</v>
      </c>
      <c r="C3952" s="12" t="s">
        <v>620</v>
      </c>
      <c r="D3952" s="12" t="s">
        <v>5866</v>
      </c>
      <c r="E3952" s="12" t="s">
        <v>2978</v>
      </c>
      <c r="F3952" s="12" t="s">
        <v>1861</v>
      </c>
      <c r="G3952" s="12" t="s">
        <v>1861</v>
      </c>
      <c r="H3952" s="12" t="b">
        <v>1</v>
      </c>
      <c r="I3952" s="12" t="b">
        <v>0</v>
      </c>
      <c r="J3952" s="12" t="b">
        <v>1</v>
      </c>
      <c r="K3952" s="12" t="b">
        <v>0</v>
      </c>
      <c r="L3952" s="12">
        <v>463.83962545803701</v>
      </c>
      <c r="M3952" s="12">
        <v>300.032917</v>
      </c>
      <c r="N3952" s="12">
        <v>4609.5283371149126</v>
      </c>
      <c r="O3952" s="12">
        <v>652.14907219166787</v>
      </c>
      <c r="P3952" s="12">
        <v>0.5</v>
      </c>
      <c r="Q3952" s="12">
        <v>0.74491722572265662</v>
      </c>
      <c r="R3952" s="12">
        <v>0.44894433232078967</v>
      </c>
      <c r="S3952" s="12">
        <v>0.79489649413775465</v>
      </c>
      <c r="T3952" s="12">
        <v>0.69806525377231177</v>
      </c>
      <c r="U3952" s="12">
        <v>0.82142994473280029</v>
      </c>
      <c r="V3952" s="12">
        <v>300.032917</v>
      </c>
      <c r="W3952" s="12">
        <v>10.24081208480578</v>
      </c>
      <c r="X3952" s="12">
        <v>82.077701684013149</v>
      </c>
      <c r="Y3952" s="12">
        <v>3957.379264923245</v>
      </c>
      <c r="Z3952" s="12">
        <v>7.0682126735590343</v>
      </c>
      <c r="AA3952" s="12" t="s">
        <v>1268</v>
      </c>
      <c r="AB3952" s="12"/>
    </row>
    <row r="3953" spans="1:28" x14ac:dyDescent="0.3">
      <c r="A3953" s="12" t="s">
        <v>5885</v>
      </c>
      <c r="B3953" s="12" t="s">
        <v>206</v>
      </c>
      <c r="C3953" s="12" t="s">
        <v>620</v>
      </c>
      <c r="D3953" s="12" t="s">
        <v>5866</v>
      </c>
      <c r="E3953" s="12" t="s">
        <v>2978</v>
      </c>
      <c r="F3953" s="12" t="s">
        <v>832</v>
      </c>
      <c r="G3953" s="12" t="s">
        <v>832</v>
      </c>
      <c r="H3953" s="12" t="b">
        <v>0</v>
      </c>
      <c r="I3953" s="12" t="b">
        <v>0</v>
      </c>
      <c r="J3953" s="12" t="b">
        <v>0</v>
      </c>
      <c r="K3953" s="12" t="b">
        <v>0</v>
      </c>
      <c r="L3953" s="12">
        <v>405.20486202839618</v>
      </c>
      <c r="M3953" s="12">
        <v>300.032917</v>
      </c>
      <c r="N3953" s="12">
        <v>4193.8942872911921</v>
      </c>
      <c r="O3953" s="12">
        <v>911.63640879871718</v>
      </c>
      <c r="P3953" s="12">
        <v>0.5</v>
      </c>
      <c r="Q3953" s="12">
        <v>0.64884981510514295</v>
      </c>
      <c r="R3953" s="12">
        <v>0.85957355557535697</v>
      </c>
      <c r="S3953" s="12">
        <v>0.4173689344063069</v>
      </c>
      <c r="T3953" s="12">
        <v>0.90344344754372641</v>
      </c>
      <c r="U3953" s="12">
        <v>0.43263836409307721</v>
      </c>
      <c r="V3953" s="12">
        <v>300.032917</v>
      </c>
      <c r="W3953" s="12"/>
      <c r="X3953" s="12"/>
      <c r="Y3953" s="12">
        <v>3282.2578784924749</v>
      </c>
      <c r="Z3953" s="12">
        <v>4.6004023608683822</v>
      </c>
      <c r="AA3953" s="12"/>
      <c r="AB3953" s="12"/>
    </row>
    <row r="3954" spans="1:28" x14ac:dyDescent="0.3">
      <c r="A3954" s="12" t="s">
        <v>5886</v>
      </c>
      <c r="B3954" s="12" t="s">
        <v>206</v>
      </c>
      <c r="C3954" s="12" t="s">
        <v>620</v>
      </c>
      <c r="D3954" s="12" t="s">
        <v>5866</v>
      </c>
      <c r="E3954" s="12" t="s">
        <v>2978</v>
      </c>
      <c r="F3954" s="12" t="s">
        <v>1861</v>
      </c>
      <c r="G3954" s="12" t="s">
        <v>1861</v>
      </c>
      <c r="H3954" s="12" t="b">
        <v>1</v>
      </c>
      <c r="I3954" s="12" t="b">
        <v>0</v>
      </c>
      <c r="J3954" s="12" t="b">
        <v>1</v>
      </c>
      <c r="K3954" s="12" t="b">
        <v>0</v>
      </c>
      <c r="L3954" s="12">
        <v>479.12812374346282</v>
      </c>
      <c r="M3954" s="12">
        <v>300.032917</v>
      </c>
      <c r="N3954" s="12">
        <v>4736.1731246547952</v>
      </c>
      <c r="O3954" s="12">
        <v>1328.232405360023</v>
      </c>
      <c r="P3954" s="12">
        <v>0.5</v>
      </c>
      <c r="Q3954" s="12">
        <v>0.83345576022118373</v>
      </c>
      <c r="R3954" s="12">
        <v>0.53225266149039208</v>
      </c>
      <c r="S3954" s="12">
        <v>0.90954142860099518</v>
      </c>
      <c r="T3954" s="12">
        <v>0.41210552754861479</v>
      </c>
      <c r="U3954" s="12">
        <v>0.71938129743226442</v>
      </c>
      <c r="V3954" s="12">
        <v>300.032917</v>
      </c>
      <c r="W3954" s="12">
        <v>8.2336229752637902</v>
      </c>
      <c r="X3954" s="12">
        <v>95.05672207330484</v>
      </c>
      <c r="Y3954" s="12">
        <v>3407.940719294772</v>
      </c>
      <c r="Z3954" s="12">
        <v>3.5657714008046919</v>
      </c>
      <c r="AA3954" s="12" t="s">
        <v>1268</v>
      </c>
      <c r="AB3954" s="12"/>
    </row>
    <row r="3955" spans="1:28" x14ac:dyDescent="0.3">
      <c r="A3955" s="12" t="s">
        <v>5887</v>
      </c>
      <c r="B3955" s="12" t="s">
        <v>206</v>
      </c>
      <c r="C3955" s="12" t="s">
        <v>620</v>
      </c>
      <c r="D3955" s="12" t="s">
        <v>5866</v>
      </c>
      <c r="E3955" s="12" t="s">
        <v>2978</v>
      </c>
      <c r="F3955" s="12" t="s">
        <v>1861</v>
      </c>
      <c r="G3955" s="12" t="s">
        <v>1861</v>
      </c>
      <c r="H3955" s="12" t="b">
        <v>1</v>
      </c>
      <c r="I3955" s="12" t="b">
        <v>0</v>
      </c>
      <c r="J3955" s="12" t="b">
        <v>1</v>
      </c>
      <c r="K3955" s="12" t="b">
        <v>0</v>
      </c>
      <c r="L3955" s="12">
        <v>465.8492941682681</v>
      </c>
      <c r="M3955" s="12">
        <v>300.032917</v>
      </c>
      <c r="N3955" s="12">
        <v>4027.2868218258441</v>
      </c>
      <c r="O3955" s="12">
        <v>1239.8178520481761</v>
      </c>
      <c r="P3955" s="12">
        <v>0.5</v>
      </c>
      <c r="Q3955" s="12">
        <v>0.6594359575483113</v>
      </c>
      <c r="R3955" s="12">
        <v>0.88383557455315387</v>
      </c>
      <c r="S3955" s="12">
        <v>0.42854226286239999</v>
      </c>
      <c r="T3955" s="12">
        <v>0.43820233543849951</v>
      </c>
      <c r="U3955" s="12">
        <v>0.56003764628705988</v>
      </c>
      <c r="V3955" s="12">
        <v>300.032917</v>
      </c>
      <c r="W3955" s="12">
        <v>4.9767720553163102</v>
      </c>
      <c r="X3955" s="12">
        <v>24.381040640888369</v>
      </c>
      <c r="Y3955" s="12">
        <v>2787.468969777668</v>
      </c>
      <c r="Z3955" s="12">
        <v>3.2482891056720762</v>
      </c>
      <c r="AA3955" s="12" t="s">
        <v>1268</v>
      </c>
      <c r="AB3955" s="12"/>
    </row>
    <row r="3956" spans="1:28" x14ac:dyDescent="0.3">
      <c r="A3956" s="12" t="s">
        <v>5888</v>
      </c>
      <c r="B3956" s="12" t="s">
        <v>206</v>
      </c>
      <c r="C3956" s="12" t="s">
        <v>620</v>
      </c>
      <c r="D3956" s="12" t="s">
        <v>5866</v>
      </c>
      <c r="E3956" s="12" t="s">
        <v>2978</v>
      </c>
      <c r="F3956" s="12" t="s">
        <v>1862</v>
      </c>
      <c r="G3956" s="12" t="s">
        <v>1862</v>
      </c>
      <c r="H3956" s="12" t="b">
        <v>1</v>
      </c>
      <c r="I3956" s="12" t="b">
        <v>0</v>
      </c>
      <c r="J3956" s="12" t="b">
        <v>1</v>
      </c>
      <c r="K3956" s="12" t="b">
        <v>0</v>
      </c>
      <c r="L3956" s="12">
        <v>505.02137384468409</v>
      </c>
      <c r="M3956" s="12">
        <v>300.032917</v>
      </c>
      <c r="N3956" s="12">
        <v>3143.6630470106002</v>
      </c>
      <c r="O3956" s="12">
        <v>1921.6710774315609</v>
      </c>
      <c r="P3956" s="12">
        <v>0.5</v>
      </c>
      <c r="Q3956" s="12">
        <v>0.55671026152667813</v>
      </c>
      <c r="R3956" s="12">
        <v>0.60280221551298308</v>
      </c>
      <c r="S3956" s="12">
        <v>0.86668886179227689</v>
      </c>
      <c r="T3956" s="12">
        <v>0.46300909259863898</v>
      </c>
      <c r="U3956" s="12">
        <v>0.45703677268566428</v>
      </c>
      <c r="V3956" s="12">
        <v>300.032917</v>
      </c>
      <c r="W3956" s="12">
        <v>-1.9458357770319501</v>
      </c>
      <c r="X3956" s="12">
        <v>-19.335310900203719</v>
      </c>
      <c r="Y3956" s="12">
        <v>1221.9919695790391</v>
      </c>
      <c r="Z3956" s="12">
        <v>1.635900692855466</v>
      </c>
      <c r="AA3956" s="12" t="s">
        <v>2513</v>
      </c>
      <c r="AB3956" s="12"/>
    </row>
    <row r="3957" spans="1:28" x14ac:dyDescent="0.3">
      <c r="A3957" s="12" t="s">
        <v>5889</v>
      </c>
      <c r="B3957" s="12" t="s">
        <v>206</v>
      </c>
      <c r="C3957" s="12" t="s">
        <v>620</v>
      </c>
      <c r="D3957" s="12" t="s">
        <v>5866</v>
      </c>
      <c r="E3957" s="12" t="s">
        <v>2978</v>
      </c>
      <c r="F3957" s="12" t="s">
        <v>1861</v>
      </c>
      <c r="G3957" s="12" t="s">
        <v>1861</v>
      </c>
      <c r="H3957" s="12" t="b">
        <v>1</v>
      </c>
      <c r="I3957" s="12" t="b">
        <v>0</v>
      </c>
      <c r="J3957" s="12" t="b">
        <v>1</v>
      </c>
      <c r="K3957" s="12" t="b">
        <v>0</v>
      </c>
      <c r="L3957" s="12">
        <v>439.97216450018487</v>
      </c>
      <c r="M3957" s="12">
        <v>300.032917</v>
      </c>
      <c r="N3957" s="12">
        <v>3551.8409429019512</v>
      </c>
      <c r="O3957" s="12">
        <v>753.41280933834037</v>
      </c>
      <c r="P3957" s="12">
        <v>0.5</v>
      </c>
      <c r="Q3957" s="12">
        <v>0.71790958273942973</v>
      </c>
      <c r="R3957" s="12">
        <v>0.83100863065238606</v>
      </c>
      <c r="S3957" s="12">
        <v>0.70302837343088487</v>
      </c>
      <c r="T3957" s="12">
        <v>0.63742977250536326</v>
      </c>
      <c r="U3957" s="12">
        <v>0.54524995392460951</v>
      </c>
      <c r="V3957" s="12">
        <v>300.032917</v>
      </c>
      <c r="W3957" s="12">
        <v>6.43885449826832</v>
      </c>
      <c r="X3957" s="12">
        <v>30.435808372399961</v>
      </c>
      <c r="Y3957" s="12">
        <v>2798.428133563611</v>
      </c>
      <c r="Z3957" s="12">
        <v>4.7143357517656712</v>
      </c>
      <c r="AA3957" s="12" t="s">
        <v>1268</v>
      </c>
      <c r="AB3957" s="12"/>
    </row>
    <row r="3958" spans="1:28" x14ac:dyDescent="0.3">
      <c r="A3958" s="12" t="s">
        <v>5890</v>
      </c>
      <c r="B3958" s="12" t="s">
        <v>206</v>
      </c>
      <c r="C3958" s="12" t="s">
        <v>620</v>
      </c>
      <c r="D3958" s="12" t="s">
        <v>5866</v>
      </c>
      <c r="E3958" s="12" t="s">
        <v>2978</v>
      </c>
      <c r="F3958" s="12" t="s">
        <v>1862</v>
      </c>
      <c r="G3958" s="12" t="s">
        <v>1862</v>
      </c>
      <c r="H3958" s="12" t="b">
        <v>1</v>
      </c>
      <c r="I3958" s="12" t="b">
        <v>0</v>
      </c>
      <c r="J3958" s="12" t="b">
        <v>0</v>
      </c>
      <c r="K3958" s="12" t="b">
        <v>0</v>
      </c>
      <c r="L3958" s="12">
        <v>408.7935648182696</v>
      </c>
      <c r="M3958" s="12">
        <v>300.032917</v>
      </c>
      <c r="N3958" s="12">
        <v>2083.4293154443731</v>
      </c>
      <c r="O3958" s="12">
        <v>1038.825391615323</v>
      </c>
      <c r="P3958" s="12">
        <v>0.5</v>
      </c>
      <c r="Q3958" s="12">
        <v>0.47175134991217949</v>
      </c>
      <c r="R3958" s="12">
        <v>0.7881930269731775</v>
      </c>
      <c r="S3958" s="12">
        <v>0.66347529514977321</v>
      </c>
      <c r="T3958" s="12">
        <v>0.4339408780896381</v>
      </c>
      <c r="U3958" s="12">
        <v>0.44848603243342</v>
      </c>
      <c r="V3958" s="12">
        <v>300.032917</v>
      </c>
      <c r="W3958" s="12">
        <v>-0.40063422208795002</v>
      </c>
      <c r="X3958" s="12">
        <v>-1.3450144240815649</v>
      </c>
      <c r="Y3958" s="12">
        <v>1044.60392382905</v>
      </c>
      <c r="Z3958" s="12">
        <v>2.0055625635071759</v>
      </c>
      <c r="AA3958" s="12" t="s">
        <v>2513</v>
      </c>
      <c r="AB3958" s="12"/>
    </row>
    <row r="3959" spans="1:28" x14ac:dyDescent="0.3">
      <c r="A3959" s="12" t="s">
        <v>5891</v>
      </c>
      <c r="B3959" s="12" t="s">
        <v>206</v>
      </c>
      <c r="C3959" s="12" t="s">
        <v>620</v>
      </c>
      <c r="D3959" s="12" t="s">
        <v>5866</v>
      </c>
      <c r="E3959" s="12" t="s">
        <v>2978</v>
      </c>
      <c r="F3959" s="12" t="s">
        <v>32</v>
      </c>
      <c r="G3959" s="12" t="s">
        <v>32</v>
      </c>
      <c r="H3959" s="12" t="b">
        <v>1</v>
      </c>
      <c r="I3959" s="12" t="b">
        <v>0</v>
      </c>
      <c r="J3959" s="12" t="b">
        <v>1</v>
      </c>
      <c r="K3959" s="12" t="b">
        <v>0</v>
      </c>
      <c r="L3959" s="12">
        <v>445.95908136334953</v>
      </c>
      <c r="M3959" s="12">
        <v>300.032917</v>
      </c>
      <c r="N3959" s="12">
        <v>4923.7804392742428</v>
      </c>
      <c r="O3959" s="12">
        <v>1833.74756282359</v>
      </c>
      <c r="P3959" s="12">
        <v>0.5</v>
      </c>
      <c r="Q3959" s="12">
        <v>0.44854256774183793</v>
      </c>
      <c r="R3959" s="12">
        <v>0.58559155739770874</v>
      </c>
      <c r="S3959" s="12">
        <v>0.62923051908713767</v>
      </c>
      <c r="T3959" s="12">
        <v>0.93198019067119198</v>
      </c>
      <c r="U3959" s="12">
        <v>0.61387724639387087</v>
      </c>
      <c r="V3959" s="12">
        <v>300.032917</v>
      </c>
      <c r="W3959" s="12">
        <v>2.2241214751004801</v>
      </c>
      <c r="X3959" s="12">
        <v>7.0294943894928199</v>
      </c>
      <c r="Y3959" s="12">
        <v>3090.0328764506521</v>
      </c>
      <c r="Z3959" s="12">
        <v>2.6850917427765491</v>
      </c>
      <c r="AA3959" s="12"/>
      <c r="AB3959" s="12"/>
    </row>
    <row r="3960" spans="1:28" x14ac:dyDescent="0.3">
      <c r="A3960" s="12" t="s">
        <v>5892</v>
      </c>
      <c r="B3960" s="12" t="s">
        <v>206</v>
      </c>
      <c r="C3960" s="12" t="s">
        <v>620</v>
      </c>
      <c r="D3960" s="12" t="s">
        <v>5866</v>
      </c>
      <c r="E3960" s="12" t="s">
        <v>2978</v>
      </c>
      <c r="F3960" s="12" t="s">
        <v>32</v>
      </c>
      <c r="G3960" s="12" t="s">
        <v>32</v>
      </c>
      <c r="H3960" s="12" t="b">
        <v>1</v>
      </c>
      <c r="I3960" s="12" t="b">
        <v>0</v>
      </c>
      <c r="J3960" s="12" t="b">
        <v>1</v>
      </c>
      <c r="K3960" s="12" t="b">
        <v>0</v>
      </c>
      <c r="L3960" s="12">
        <v>454.14568142223919</v>
      </c>
      <c r="M3960" s="12">
        <v>300.032917</v>
      </c>
      <c r="N3960" s="12">
        <v>3350.6717719192479</v>
      </c>
      <c r="O3960" s="12">
        <v>1729.406777851075</v>
      </c>
      <c r="P3960" s="12">
        <v>0.5</v>
      </c>
      <c r="Q3960" s="12">
        <v>0.75650103491453491</v>
      </c>
      <c r="R3960" s="12">
        <v>0.94128535203926145</v>
      </c>
      <c r="S3960" s="12">
        <v>0.53086318706381308</v>
      </c>
      <c r="T3960" s="12">
        <v>0.55580380233649929</v>
      </c>
      <c r="U3960" s="12">
        <v>0.84317329548060149</v>
      </c>
      <c r="V3960" s="12">
        <v>300.032917</v>
      </c>
      <c r="W3960" s="12">
        <v>3.530089285596</v>
      </c>
      <c r="X3960" s="12">
        <v>22.52215576815713</v>
      </c>
      <c r="Y3960" s="12">
        <v>1621.2649940681731</v>
      </c>
      <c r="Z3960" s="12">
        <v>1.9374688562760951</v>
      </c>
      <c r="AA3960" s="12"/>
      <c r="AB3960" s="12"/>
    </row>
    <row r="3961" spans="1:28" x14ac:dyDescent="0.3">
      <c r="A3961" s="12" t="s">
        <v>5893</v>
      </c>
      <c r="B3961" s="12" t="s">
        <v>206</v>
      </c>
      <c r="C3961" s="12" t="s">
        <v>620</v>
      </c>
      <c r="D3961" s="12" t="s">
        <v>5866</v>
      </c>
      <c r="E3961" s="12" t="s">
        <v>2978</v>
      </c>
      <c r="F3961" s="12" t="s">
        <v>1861</v>
      </c>
      <c r="G3961" s="12" t="s">
        <v>1861</v>
      </c>
      <c r="H3961" s="12" t="b">
        <v>1</v>
      </c>
      <c r="I3961" s="12" t="b">
        <v>0</v>
      </c>
      <c r="J3961" s="12" t="b">
        <v>1</v>
      </c>
      <c r="K3961" s="12" t="b">
        <v>0</v>
      </c>
      <c r="L3961" s="12">
        <v>455.81511907224831</v>
      </c>
      <c r="M3961" s="12">
        <v>300.032917</v>
      </c>
      <c r="N3961" s="12">
        <v>3435.1915416260272</v>
      </c>
      <c r="O3961" s="12">
        <v>365.9291792650892</v>
      </c>
      <c r="P3961" s="12">
        <v>0.5</v>
      </c>
      <c r="Q3961" s="12">
        <v>0.8800398456138967</v>
      </c>
      <c r="R3961" s="12">
        <v>0.57588035086648826</v>
      </c>
      <c r="S3961" s="12">
        <v>0.75498705645020459</v>
      </c>
      <c r="T3961" s="12">
        <v>0.68244860140854791</v>
      </c>
      <c r="U3961" s="12">
        <v>0.93560895760742202</v>
      </c>
      <c r="V3961" s="12">
        <v>300.032917</v>
      </c>
      <c r="W3961" s="12">
        <v>14.196947586176289</v>
      </c>
      <c r="X3961" s="12">
        <v>131.14664216108289</v>
      </c>
      <c r="Y3961" s="12">
        <v>3069.2623623609379</v>
      </c>
      <c r="Z3961" s="12">
        <v>9.3875857304549086</v>
      </c>
      <c r="AA3961" s="12" t="s">
        <v>1981</v>
      </c>
      <c r="AB3961" s="12"/>
    </row>
    <row r="3962" spans="1:28" x14ac:dyDescent="0.3">
      <c r="A3962" s="12" t="s">
        <v>5894</v>
      </c>
      <c r="B3962" s="12" t="s">
        <v>206</v>
      </c>
      <c r="C3962" s="12" t="s">
        <v>620</v>
      </c>
      <c r="D3962" s="12" t="s">
        <v>5866</v>
      </c>
      <c r="E3962" s="12" t="s">
        <v>2978</v>
      </c>
      <c r="F3962" s="12" t="s">
        <v>32</v>
      </c>
      <c r="G3962" s="12" t="s">
        <v>32</v>
      </c>
      <c r="H3962" s="12" t="b">
        <v>1</v>
      </c>
      <c r="I3962" s="12" t="b">
        <v>1</v>
      </c>
      <c r="J3962" s="12" t="b">
        <v>0</v>
      </c>
      <c r="K3962" s="12" t="b">
        <v>0</v>
      </c>
      <c r="L3962" s="12">
        <v>417.82852596741901</v>
      </c>
      <c r="M3962" s="12">
        <v>300.032917</v>
      </c>
      <c r="N3962" s="12">
        <v>2525.130236666977</v>
      </c>
      <c r="O3962" s="12">
        <v>1972.60965678394</v>
      </c>
      <c r="P3962" s="12">
        <v>0.5</v>
      </c>
      <c r="Q3962" s="12">
        <v>0.53653646416685397</v>
      </c>
      <c r="R3962" s="12">
        <v>0.74581858614119323</v>
      </c>
      <c r="S3962" s="12">
        <v>0.50364939841824496</v>
      </c>
      <c r="T3962" s="12">
        <v>0.78125131507316758</v>
      </c>
      <c r="U3962" s="12">
        <v>0.80075196067713783</v>
      </c>
      <c r="V3962" s="12">
        <v>300.032917</v>
      </c>
      <c r="W3962" s="12">
        <v>0.85884050525804001</v>
      </c>
      <c r="X3962" s="12">
        <v>2.9798976219696822</v>
      </c>
      <c r="Y3962" s="12">
        <v>552.52057988303659</v>
      </c>
      <c r="Z3962" s="12">
        <v>1.2800962562374569</v>
      </c>
      <c r="AA3962" s="12"/>
      <c r="AB3962" s="12"/>
    </row>
    <row r="3963" spans="1:28" x14ac:dyDescent="0.3">
      <c r="A3963" s="12" t="s">
        <v>5895</v>
      </c>
      <c r="B3963" s="12" t="s">
        <v>206</v>
      </c>
      <c r="C3963" s="12" t="s">
        <v>620</v>
      </c>
      <c r="D3963" s="12" t="s">
        <v>5866</v>
      </c>
      <c r="E3963" s="12" t="s">
        <v>2978</v>
      </c>
      <c r="F3963" s="12" t="s">
        <v>1862</v>
      </c>
      <c r="G3963" s="12" t="s">
        <v>1862</v>
      </c>
      <c r="H3963" s="12" t="b">
        <v>1</v>
      </c>
      <c r="I3963" s="12" t="b">
        <v>0</v>
      </c>
      <c r="J3963" s="12" t="b">
        <v>1</v>
      </c>
      <c r="K3963" s="12" t="b">
        <v>0</v>
      </c>
      <c r="L3963" s="12">
        <v>498.94841749551313</v>
      </c>
      <c r="M3963" s="12">
        <v>300.032917</v>
      </c>
      <c r="N3963" s="12">
        <v>3851.045000982725</v>
      </c>
      <c r="O3963" s="12">
        <v>312.4090999729699</v>
      </c>
      <c r="P3963" s="12">
        <v>0.5</v>
      </c>
      <c r="Q3963" s="12">
        <v>0.62427691386459172</v>
      </c>
      <c r="R3963" s="12">
        <v>0.50147313722365727</v>
      </c>
      <c r="S3963" s="12">
        <v>0.80471241064376442</v>
      </c>
      <c r="T3963" s="12">
        <v>0.59224147107429437</v>
      </c>
      <c r="U3963" s="12">
        <v>0.63509456318532942</v>
      </c>
      <c r="V3963" s="12">
        <v>300.032917</v>
      </c>
      <c r="W3963" s="12">
        <v>-2.0356285561724401</v>
      </c>
      <c r="X3963" s="12">
        <v>-22.82931617457794</v>
      </c>
      <c r="Y3963" s="12">
        <v>3538.6359010097558</v>
      </c>
      <c r="Z3963" s="12">
        <v>12.326929661510899</v>
      </c>
      <c r="AA3963" s="12" t="s">
        <v>2513</v>
      </c>
      <c r="AB3963" s="12"/>
    </row>
    <row r="3964" spans="1:28" x14ac:dyDescent="0.3">
      <c r="A3964" s="12" t="s">
        <v>5896</v>
      </c>
      <c r="B3964" s="12" t="s">
        <v>206</v>
      </c>
      <c r="C3964" s="12" t="s">
        <v>629</v>
      </c>
      <c r="D3964" s="12" t="s">
        <v>5897</v>
      </c>
      <c r="E3964" s="12" t="s">
        <v>2978</v>
      </c>
      <c r="F3964" s="12" t="s">
        <v>832</v>
      </c>
      <c r="G3964" s="12" t="s">
        <v>832</v>
      </c>
      <c r="H3964" s="12" t="b">
        <v>0</v>
      </c>
      <c r="I3964" s="12" t="b">
        <v>0</v>
      </c>
      <c r="J3964" s="12" t="b">
        <v>0</v>
      </c>
      <c r="K3964" s="12" t="b">
        <v>0</v>
      </c>
      <c r="L3964" s="12">
        <v>623.15</v>
      </c>
      <c r="M3964" s="12">
        <v>298.51245850892877</v>
      </c>
      <c r="N3964" s="12">
        <v>3000</v>
      </c>
      <c r="O3964" s="12">
        <v>1140.577524497842</v>
      </c>
      <c r="P3964" s="12">
        <v>0.5</v>
      </c>
      <c r="Q3964" s="12">
        <v>0.63111808985349871</v>
      </c>
      <c r="R3964" s="12">
        <v>0.65307190801251358</v>
      </c>
      <c r="S3964" s="12">
        <v>0.88149841704066056</v>
      </c>
      <c r="T3964" s="12">
        <v>0.84113692053946854</v>
      </c>
      <c r="U3964" s="12">
        <v>0.56647302202256</v>
      </c>
      <c r="V3964" s="12">
        <v>298.51245850892877</v>
      </c>
      <c r="W3964" s="12"/>
      <c r="X3964" s="12"/>
      <c r="Y3964" s="12">
        <v>1859.422475502158</v>
      </c>
      <c r="Z3964" s="12">
        <v>2.6302464633614431</v>
      </c>
      <c r="AA3964" s="12"/>
      <c r="AB3964" s="12"/>
    </row>
    <row r="3965" spans="1:28" x14ac:dyDescent="0.3">
      <c r="A3965" s="12" t="s">
        <v>5898</v>
      </c>
      <c r="B3965" s="12" t="s">
        <v>206</v>
      </c>
      <c r="C3965" s="12" t="s">
        <v>629</v>
      </c>
      <c r="D3965" s="12" t="s">
        <v>5897</v>
      </c>
      <c r="E3965" s="12" t="s">
        <v>2978</v>
      </c>
      <c r="F3965" s="12" t="s">
        <v>832</v>
      </c>
      <c r="G3965" s="12" t="s">
        <v>832</v>
      </c>
      <c r="H3965" s="12" t="b">
        <v>0</v>
      </c>
      <c r="I3965" s="12" t="b">
        <v>0</v>
      </c>
      <c r="J3965" s="12" t="b">
        <v>0</v>
      </c>
      <c r="K3965" s="12" t="b">
        <v>0</v>
      </c>
      <c r="L3965" s="12">
        <v>623.15</v>
      </c>
      <c r="M3965" s="12">
        <v>279.83411040157512</v>
      </c>
      <c r="N3965" s="12">
        <v>3000</v>
      </c>
      <c r="O3965" s="12">
        <v>703.21038495534776</v>
      </c>
      <c r="P3965" s="12">
        <v>0.5</v>
      </c>
      <c r="Q3965" s="12">
        <v>0.87099405492360671</v>
      </c>
      <c r="R3965" s="12">
        <v>0.48893419449331149</v>
      </c>
      <c r="S3965" s="12">
        <v>0.93393883491457841</v>
      </c>
      <c r="T3965" s="12">
        <v>0.40990626173632821</v>
      </c>
      <c r="U3965" s="12">
        <v>0.88890006215167927</v>
      </c>
      <c r="V3965" s="12">
        <v>279.83411040157512</v>
      </c>
      <c r="W3965" s="12"/>
      <c r="X3965" s="12"/>
      <c r="Y3965" s="12">
        <v>2296.7896150446518</v>
      </c>
      <c r="Z3965" s="12">
        <v>4.2661486010200109</v>
      </c>
      <c r="AA3965" s="12"/>
      <c r="AB3965" s="12"/>
    </row>
    <row r="3966" spans="1:28" x14ac:dyDescent="0.3">
      <c r="A3966" s="12" t="s">
        <v>5899</v>
      </c>
      <c r="B3966" s="12" t="s">
        <v>206</v>
      </c>
      <c r="C3966" s="12" t="s">
        <v>629</v>
      </c>
      <c r="D3966" s="12" t="s">
        <v>5897</v>
      </c>
      <c r="E3966" s="12" t="s">
        <v>2978</v>
      </c>
      <c r="F3966" s="12" t="s">
        <v>832</v>
      </c>
      <c r="G3966" s="12" t="s">
        <v>832</v>
      </c>
      <c r="H3966" s="12" t="b">
        <v>0</v>
      </c>
      <c r="I3966" s="12" t="b">
        <v>0</v>
      </c>
      <c r="J3966" s="12" t="b">
        <v>0</v>
      </c>
      <c r="K3966" s="12" t="b">
        <v>0</v>
      </c>
      <c r="L3966" s="12">
        <v>623.15</v>
      </c>
      <c r="M3966" s="12">
        <v>291.69507227342268</v>
      </c>
      <c r="N3966" s="12">
        <v>3000</v>
      </c>
      <c r="O3966" s="12">
        <v>600.44099733423263</v>
      </c>
      <c r="P3966" s="12">
        <v>0.5</v>
      </c>
      <c r="Q3966" s="12">
        <v>0.70956280274710759</v>
      </c>
      <c r="R3966" s="12">
        <v>0.82641085514878554</v>
      </c>
      <c r="S3966" s="12">
        <v>0.79967678066161951</v>
      </c>
      <c r="T3966" s="12">
        <v>0.60464334064506309</v>
      </c>
      <c r="U3966" s="12">
        <v>0.53900046889833708</v>
      </c>
      <c r="V3966" s="12">
        <v>291.69507227342268</v>
      </c>
      <c r="W3966" s="12"/>
      <c r="X3966" s="12"/>
      <c r="Y3966" s="12">
        <v>2399.5590026657678</v>
      </c>
      <c r="Z3966" s="12">
        <v>4.9963277213232393</v>
      </c>
      <c r="AA3966" s="12"/>
      <c r="AB3966" s="12"/>
    </row>
    <row r="3967" spans="1:28" x14ac:dyDescent="0.3">
      <c r="A3967" s="12" t="s">
        <v>5900</v>
      </c>
      <c r="B3967" s="12" t="s">
        <v>206</v>
      </c>
      <c r="C3967" s="12" t="s">
        <v>629</v>
      </c>
      <c r="D3967" s="12" t="s">
        <v>5897</v>
      </c>
      <c r="E3967" s="12" t="s">
        <v>2978</v>
      </c>
      <c r="F3967" s="12" t="s">
        <v>1862</v>
      </c>
      <c r="G3967" s="12" t="s">
        <v>1862</v>
      </c>
      <c r="H3967" s="12" t="b">
        <v>1</v>
      </c>
      <c r="I3967" s="12" t="b">
        <v>0</v>
      </c>
      <c r="J3967" s="12" t="b">
        <v>1</v>
      </c>
      <c r="K3967" s="12" t="b">
        <v>0</v>
      </c>
      <c r="L3967" s="12">
        <v>623.15</v>
      </c>
      <c r="M3967" s="12">
        <v>293.89142571175302</v>
      </c>
      <c r="N3967" s="12">
        <v>3000</v>
      </c>
      <c r="O3967" s="12">
        <v>1048.034598468812</v>
      </c>
      <c r="P3967" s="12">
        <v>0.5</v>
      </c>
      <c r="Q3967" s="12">
        <v>0.4050288781728138</v>
      </c>
      <c r="R3967" s="12">
        <v>0.70292885938041616</v>
      </c>
      <c r="S3967" s="12">
        <v>0.69475530580356959</v>
      </c>
      <c r="T3967" s="12">
        <v>0.66794608783868092</v>
      </c>
      <c r="U3967" s="12">
        <v>0.62616200567601721</v>
      </c>
      <c r="V3967" s="12">
        <v>293.89142571175302</v>
      </c>
      <c r="W3967" s="12">
        <v>-8.2781153602564002E-3</v>
      </c>
      <c r="X3967" s="12">
        <v>-0.1088815756947383</v>
      </c>
      <c r="Y3967" s="12">
        <v>1951.965401531188</v>
      </c>
      <c r="Z3967" s="12">
        <v>2.862500917797016</v>
      </c>
      <c r="AA3967" s="12" t="s">
        <v>2513</v>
      </c>
      <c r="AB3967" s="12"/>
    </row>
    <row r="3968" spans="1:28" x14ac:dyDescent="0.3">
      <c r="A3968" s="12" t="s">
        <v>5901</v>
      </c>
      <c r="B3968" s="12" t="s">
        <v>206</v>
      </c>
      <c r="C3968" s="12" t="s">
        <v>629</v>
      </c>
      <c r="D3968" s="12" t="s">
        <v>5897</v>
      </c>
      <c r="E3968" s="12" t="s">
        <v>2978</v>
      </c>
      <c r="F3968" s="12" t="s">
        <v>832</v>
      </c>
      <c r="G3968" s="12" t="s">
        <v>832</v>
      </c>
      <c r="H3968" s="12" t="b">
        <v>0</v>
      </c>
      <c r="I3968" s="12" t="b">
        <v>0</v>
      </c>
      <c r="J3968" s="12" t="b">
        <v>0</v>
      </c>
      <c r="K3968" s="12" t="b">
        <v>0</v>
      </c>
      <c r="L3968" s="12">
        <v>623.15</v>
      </c>
      <c r="M3968" s="12">
        <v>297.11902055920189</v>
      </c>
      <c r="N3968" s="12">
        <v>3000</v>
      </c>
      <c r="O3968" s="12">
        <v>982.47236904963518</v>
      </c>
      <c r="P3968" s="12">
        <v>0.5</v>
      </c>
      <c r="Q3968" s="12">
        <v>0.77567056845380267</v>
      </c>
      <c r="R3968" s="12">
        <v>0.82116043439601627</v>
      </c>
      <c r="S3968" s="12">
        <v>0.92676577437905461</v>
      </c>
      <c r="T3968" s="12">
        <v>0.78217932850824079</v>
      </c>
      <c r="U3968" s="12">
        <v>0.92818752803029159</v>
      </c>
      <c r="V3968" s="12">
        <v>297.11902055920189</v>
      </c>
      <c r="W3968" s="12"/>
      <c r="X3968" s="12"/>
      <c r="Y3968" s="12">
        <v>2017.5276309503649</v>
      </c>
      <c r="Z3968" s="12">
        <v>3.0535209889942849</v>
      </c>
      <c r="AA3968" s="12"/>
      <c r="AB3968" s="12"/>
    </row>
    <row r="3969" spans="1:28" x14ac:dyDescent="0.3">
      <c r="A3969" s="12" t="s">
        <v>5902</v>
      </c>
      <c r="B3969" s="12" t="s">
        <v>206</v>
      </c>
      <c r="C3969" s="12" t="s">
        <v>629</v>
      </c>
      <c r="D3969" s="12" t="s">
        <v>5897</v>
      </c>
      <c r="E3969" s="12" t="s">
        <v>2978</v>
      </c>
      <c r="F3969" s="12" t="s">
        <v>1861</v>
      </c>
      <c r="G3969" s="12" t="s">
        <v>1861</v>
      </c>
      <c r="H3969" s="12" t="b">
        <v>1</v>
      </c>
      <c r="I3969" s="12" t="b">
        <v>0</v>
      </c>
      <c r="J3969" s="12" t="b">
        <v>1</v>
      </c>
      <c r="K3969" s="12" t="b">
        <v>0</v>
      </c>
      <c r="L3969" s="12">
        <v>623.15</v>
      </c>
      <c r="M3969" s="12">
        <v>289.85759437955352</v>
      </c>
      <c r="N3969" s="12">
        <v>3000</v>
      </c>
      <c r="O3969" s="12">
        <v>1974.733538765139</v>
      </c>
      <c r="P3969" s="12">
        <v>0.5</v>
      </c>
      <c r="Q3969" s="12">
        <v>0.5473086868306356</v>
      </c>
      <c r="R3969" s="12">
        <v>0.79899674048574942</v>
      </c>
      <c r="S3969" s="12">
        <v>0.64891215315251383</v>
      </c>
      <c r="T3969" s="12">
        <v>0.46845604937746249</v>
      </c>
      <c r="U3969" s="12">
        <v>0.70784842340948129</v>
      </c>
      <c r="V3969" s="12">
        <v>289.85759437955352</v>
      </c>
      <c r="W3969" s="12">
        <v>1.7800308742831801</v>
      </c>
      <c r="X3969" s="12">
        <v>25.098235491096212</v>
      </c>
      <c r="Y3969" s="12">
        <v>1025.266461234861</v>
      </c>
      <c r="Z3969" s="12">
        <v>1.51919230676357</v>
      </c>
      <c r="AA3969" s="12" t="s">
        <v>1268</v>
      </c>
      <c r="AB3969" s="12"/>
    </row>
    <row r="3970" spans="1:28" x14ac:dyDescent="0.3">
      <c r="A3970" s="12" t="s">
        <v>5903</v>
      </c>
      <c r="B3970" s="12" t="s">
        <v>206</v>
      </c>
      <c r="C3970" s="12" t="s">
        <v>629</v>
      </c>
      <c r="D3970" s="12" t="s">
        <v>5897</v>
      </c>
      <c r="E3970" s="12" t="s">
        <v>2978</v>
      </c>
      <c r="F3970" s="12" t="s">
        <v>1861</v>
      </c>
      <c r="G3970" s="12" t="s">
        <v>1861</v>
      </c>
      <c r="H3970" s="12" t="b">
        <v>1</v>
      </c>
      <c r="I3970" s="12" t="b">
        <v>0</v>
      </c>
      <c r="J3970" s="12" t="b">
        <v>1</v>
      </c>
      <c r="K3970" s="12" t="b">
        <v>0</v>
      </c>
      <c r="L3970" s="12">
        <v>623.15</v>
      </c>
      <c r="M3970" s="12">
        <v>284.06844032467831</v>
      </c>
      <c r="N3970" s="12">
        <v>3000</v>
      </c>
      <c r="O3970" s="12">
        <v>1292.696340970301</v>
      </c>
      <c r="P3970" s="12">
        <v>0.5</v>
      </c>
      <c r="Q3970" s="12">
        <v>0.49932207752888519</v>
      </c>
      <c r="R3970" s="12">
        <v>0.5276052688115257</v>
      </c>
      <c r="S3970" s="12">
        <v>0.57811747211362308</v>
      </c>
      <c r="T3970" s="12">
        <v>0.50137329476815418</v>
      </c>
      <c r="U3970" s="12">
        <v>0.73719014063873822</v>
      </c>
      <c r="V3970" s="12">
        <v>284.06844032467831</v>
      </c>
      <c r="W3970" s="12">
        <v>2.9539938283112699</v>
      </c>
      <c r="X3970" s="12">
        <v>39.034888297433334</v>
      </c>
      <c r="Y3970" s="12">
        <v>1707.303659029699</v>
      </c>
      <c r="Z3970" s="12">
        <v>2.320730634812652</v>
      </c>
      <c r="AA3970" s="12" t="s">
        <v>1268</v>
      </c>
      <c r="AB3970" s="12"/>
    </row>
    <row r="3971" spans="1:28" x14ac:dyDescent="0.3">
      <c r="A3971" s="12" t="s">
        <v>5904</v>
      </c>
      <c r="B3971" s="12" t="s">
        <v>206</v>
      </c>
      <c r="C3971" s="12" t="s">
        <v>629</v>
      </c>
      <c r="D3971" s="12" t="s">
        <v>5897</v>
      </c>
      <c r="E3971" s="12" t="s">
        <v>2978</v>
      </c>
      <c r="F3971" s="12" t="s">
        <v>832</v>
      </c>
      <c r="G3971" s="12" t="s">
        <v>832</v>
      </c>
      <c r="H3971" s="12" t="b">
        <v>0</v>
      </c>
      <c r="I3971" s="12" t="b">
        <v>0</v>
      </c>
      <c r="J3971" s="12" t="b">
        <v>0</v>
      </c>
      <c r="K3971" s="12" t="b">
        <v>0</v>
      </c>
      <c r="L3971" s="12">
        <v>623.15</v>
      </c>
      <c r="M3971" s="12">
        <v>292.82571465501962</v>
      </c>
      <c r="N3971" s="12">
        <v>3000</v>
      </c>
      <c r="O3971" s="12">
        <v>399.02319989281727</v>
      </c>
      <c r="P3971" s="12">
        <v>0.5</v>
      </c>
      <c r="Q3971" s="12">
        <v>0.79440265826622269</v>
      </c>
      <c r="R3971" s="12">
        <v>0.67300185110349686</v>
      </c>
      <c r="S3971" s="12">
        <v>0.47485657523819441</v>
      </c>
      <c r="T3971" s="12">
        <v>0.91839141134644942</v>
      </c>
      <c r="U3971" s="12">
        <v>0.91303050848787204</v>
      </c>
      <c r="V3971" s="12">
        <v>292.82571465501962</v>
      </c>
      <c r="W3971" s="12"/>
      <c r="X3971" s="12"/>
      <c r="Y3971" s="12">
        <v>2600.976800107182</v>
      </c>
      <c r="Z3971" s="12">
        <v>7.5183598367359048</v>
      </c>
      <c r="AA3971" s="12"/>
      <c r="AB3971" s="12"/>
    </row>
    <row r="3972" spans="1:28" x14ac:dyDescent="0.3">
      <c r="A3972" s="12" t="s">
        <v>5905</v>
      </c>
      <c r="B3972" s="12" t="s">
        <v>206</v>
      </c>
      <c r="C3972" s="12" t="s">
        <v>629</v>
      </c>
      <c r="D3972" s="12" t="s">
        <v>5897</v>
      </c>
      <c r="E3972" s="12" t="s">
        <v>2978</v>
      </c>
      <c r="F3972" s="12" t="s">
        <v>1861</v>
      </c>
      <c r="G3972" s="12" t="s">
        <v>1861</v>
      </c>
      <c r="H3972" s="12" t="b">
        <v>1</v>
      </c>
      <c r="I3972" s="12" t="b">
        <v>0</v>
      </c>
      <c r="J3972" s="12" t="b">
        <v>1</v>
      </c>
      <c r="K3972" s="12" t="b">
        <v>0</v>
      </c>
      <c r="L3972" s="12">
        <v>623.15</v>
      </c>
      <c r="M3972" s="12">
        <v>280.3106386064868</v>
      </c>
      <c r="N3972" s="12">
        <v>3000</v>
      </c>
      <c r="O3972" s="12">
        <v>1475.918512447287</v>
      </c>
      <c r="P3972" s="12">
        <v>0.5</v>
      </c>
      <c r="Q3972" s="12">
        <v>0.44035527984686068</v>
      </c>
      <c r="R3972" s="12">
        <v>0.76258201110181822</v>
      </c>
      <c r="S3972" s="12">
        <v>0.65809434099217823</v>
      </c>
      <c r="T3972" s="12">
        <v>0.7156345642819939</v>
      </c>
      <c r="U3972" s="12">
        <v>0.59864159521609273</v>
      </c>
      <c r="V3972" s="12">
        <v>280.3106386064868</v>
      </c>
      <c r="W3972" s="12">
        <v>0.77122704643355</v>
      </c>
      <c r="X3972" s="12">
        <v>9.7478092929998539</v>
      </c>
      <c r="Y3972" s="12">
        <v>1524.081487552713</v>
      </c>
      <c r="Z3972" s="12">
        <v>2.0326325435308519</v>
      </c>
      <c r="AA3972" s="12" t="s">
        <v>1268</v>
      </c>
      <c r="AB3972" s="12"/>
    </row>
    <row r="3973" spans="1:28" x14ac:dyDescent="0.3">
      <c r="A3973" s="12" t="s">
        <v>5906</v>
      </c>
      <c r="B3973" s="12" t="s">
        <v>206</v>
      </c>
      <c r="C3973" s="12" t="s">
        <v>629</v>
      </c>
      <c r="D3973" s="12" t="s">
        <v>5897</v>
      </c>
      <c r="E3973" s="12" t="s">
        <v>2978</v>
      </c>
      <c r="F3973" s="12" t="s">
        <v>1862</v>
      </c>
      <c r="G3973" s="12" t="s">
        <v>1862</v>
      </c>
      <c r="H3973" s="12" t="b">
        <v>1</v>
      </c>
      <c r="I3973" s="12" t="b">
        <v>0</v>
      </c>
      <c r="J3973" s="12" t="b">
        <v>1</v>
      </c>
      <c r="K3973" s="12" t="b">
        <v>0</v>
      </c>
      <c r="L3973" s="12">
        <v>623.15</v>
      </c>
      <c r="M3973" s="12">
        <v>294.54226023164608</v>
      </c>
      <c r="N3973" s="12">
        <v>3000</v>
      </c>
      <c r="O3973" s="12">
        <v>835.89294985112383</v>
      </c>
      <c r="P3973" s="12">
        <v>0.5</v>
      </c>
      <c r="Q3973" s="12">
        <v>0.51716838853179581</v>
      </c>
      <c r="R3973" s="12">
        <v>0.47140455669857229</v>
      </c>
      <c r="S3973" s="12">
        <v>0.55468685345284774</v>
      </c>
      <c r="T3973" s="12">
        <v>0.47730938602893169</v>
      </c>
      <c r="U3973" s="12">
        <v>0.55201120323066599</v>
      </c>
      <c r="V3973" s="12">
        <v>294.54226023164608</v>
      </c>
      <c r="W3973" s="12">
        <v>-5.3564953513740203</v>
      </c>
      <c r="X3973" s="12">
        <v>-52.301751872678693</v>
      </c>
      <c r="Y3973" s="12">
        <v>2164.1070501488762</v>
      </c>
      <c r="Z3973" s="12">
        <v>3.588976316326526</v>
      </c>
      <c r="AA3973" s="12" t="s">
        <v>2513</v>
      </c>
      <c r="AB3973" s="12"/>
    </row>
    <row r="3974" spans="1:28" x14ac:dyDescent="0.3">
      <c r="A3974" s="12" t="s">
        <v>5907</v>
      </c>
      <c r="B3974" s="12" t="s">
        <v>206</v>
      </c>
      <c r="C3974" s="12" t="s">
        <v>629</v>
      </c>
      <c r="D3974" s="12" t="s">
        <v>5897</v>
      </c>
      <c r="E3974" s="12" t="s">
        <v>2978</v>
      </c>
      <c r="F3974" s="12" t="s">
        <v>832</v>
      </c>
      <c r="G3974" s="12" t="s">
        <v>832</v>
      </c>
      <c r="H3974" s="12" t="b">
        <v>0</v>
      </c>
      <c r="I3974" s="12" t="b">
        <v>0</v>
      </c>
      <c r="J3974" s="12" t="b">
        <v>0</v>
      </c>
      <c r="K3974" s="12" t="b">
        <v>0</v>
      </c>
      <c r="L3974" s="12">
        <v>623.15</v>
      </c>
      <c r="M3974" s="12">
        <v>282.26121860154927</v>
      </c>
      <c r="N3974" s="12">
        <v>3000</v>
      </c>
      <c r="O3974" s="12">
        <v>311.1661409391682</v>
      </c>
      <c r="P3974" s="12">
        <v>0.5</v>
      </c>
      <c r="Q3974" s="12">
        <v>0.82748661591484707</v>
      </c>
      <c r="R3974" s="12">
        <v>0.61703404519948934</v>
      </c>
      <c r="S3974" s="12">
        <v>0.86063846240553965</v>
      </c>
      <c r="T3974" s="12">
        <v>0.58198803841486912</v>
      </c>
      <c r="U3974" s="12">
        <v>0.77489646035006132</v>
      </c>
      <c r="V3974" s="12">
        <v>282.26121860154927</v>
      </c>
      <c r="W3974" s="12"/>
      <c r="X3974" s="12"/>
      <c r="Y3974" s="12">
        <v>2688.8338590608319</v>
      </c>
      <c r="Z3974" s="12">
        <v>9.6411518005954537</v>
      </c>
      <c r="AA3974" s="12"/>
      <c r="AB3974" s="12"/>
    </row>
    <row r="3975" spans="1:28" x14ac:dyDescent="0.3">
      <c r="A3975" s="12" t="s">
        <v>5908</v>
      </c>
      <c r="B3975" s="12" t="s">
        <v>206</v>
      </c>
      <c r="C3975" s="12" t="s">
        <v>629</v>
      </c>
      <c r="D3975" s="12" t="s">
        <v>5897</v>
      </c>
      <c r="E3975" s="12" t="s">
        <v>2978</v>
      </c>
      <c r="F3975" s="12" t="s">
        <v>32</v>
      </c>
      <c r="G3975" s="12" t="s">
        <v>32</v>
      </c>
      <c r="H3975" s="12" t="b">
        <v>1</v>
      </c>
      <c r="I3975" s="12" t="b">
        <v>0</v>
      </c>
      <c r="J3975" s="12" t="b">
        <v>1</v>
      </c>
      <c r="K3975" s="12" t="b">
        <v>0</v>
      </c>
      <c r="L3975" s="12">
        <v>623.15</v>
      </c>
      <c r="M3975" s="12">
        <v>285.53162682269948</v>
      </c>
      <c r="N3975" s="12">
        <v>3000</v>
      </c>
      <c r="O3975" s="12">
        <v>1815.6946430586879</v>
      </c>
      <c r="P3975" s="12">
        <v>0.5</v>
      </c>
      <c r="Q3975" s="12">
        <v>0.68531570043625645</v>
      </c>
      <c r="R3975" s="12">
        <v>0.770636033726113</v>
      </c>
      <c r="S3975" s="12">
        <v>0.44570775806343138</v>
      </c>
      <c r="T3975" s="12">
        <v>0.89040977449525283</v>
      </c>
      <c r="U3975" s="12">
        <v>0.81237119348926079</v>
      </c>
      <c r="V3975" s="12">
        <v>285.53162682269948</v>
      </c>
      <c r="W3975" s="12">
        <v>3.0778424791090302</v>
      </c>
      <c r="X3975" s="12">
        <v>32.309246583325987</v>
      </c>
      <c r="Y3975" s="12">
        <v>1184.3053569413121</v>
      </c>
      <c r="Z3975" s="12">
        <v>1.652260203260969</v>
      </c>
      <c r="AA3975" s="12"/>
      <c r="AB3975" s="12"/>
    </row>
    <row r="3976" spans="1:28" x14ac:dyDescent="0.3">
      <c r="A3976" s="12" t="s">
        <v>5909</v>
      </c>
      <c r="B3976" s="12" t="s">
        <v>206</v>
      </c>
      <c r="C3976" s="12" t="s">
        <v>629</v>
      </c>
      <c r="D3976" s="12" t="s">
        <v>5897</v>
      </c>
      <c r="E3976" s="12" t="s">
        <v>2978</v>
      </c>
      <c r="F3976" s="12" t="s">
        <v>832</v>
      </c>
      <c r="G3976" s="12" t="s">
        <v>832</v>
      </c>
      <c r="H3976" s="12" t="b">
        <v>0</v>
      </c>
      <c r="I3976" s="12" t="b">
        <v>0</v>
      </c>
      <c r="J3976" s="12" t="b">
        <v>0</v>
      </c>
      <c r="K3976" s="12" t="b">
        <v>0</v>
      </c>
      <c r="L3976" s="12">
        <v>623.15</v>
      </c>
      <c r="M3976" s="12">
        <v>289.13048001903201</v>
      </c>
      <c r="N3976" s="12">
        <v>3000</v>
      </c>
      <c r="O3976" s="12">
        <v>1230.6900586802301</v>
      </c>
      <c r="P3976" s="12">
        <v>0.5</v>
      </c>
      <c r="Q3976" s="12">
        <v>0.45584164406379618</v>
      </c>
      <c r="R3976" s="12">
        <v>0.44798167520453919</v>
      </c>
      <c r="S3976" s="12">
        <v>0.89819717383190323</v>
      </c>
      <c r="T3976" s="12">
        <v>0.76465108713938035</v>
      </c>
      <c r="U3976" s="12">
        <v>0.410205388194882</v>
      </c>
      <c r="V3976" s="12">
        <v>289.13048001903201</v>
      </c>
      <c r="W3976" s="12"/>
      <c r="X3976" s="12"/>
      <c r="Y3976" s="12">
        <v>1769.3099413197699</v>
      </c>
      <c r="Z3976" s="12">
        <v>2.437656807935173</v>
      </c>
      <c r="AA3976" s="12"/>
      <c r="AB3976" s="12"/>
    </row>
    <row r="3977" spans="1:28" x14ac:dyDescent="0.3">
      <c r="A3977" s="12" t="s">
        <v>5910</v>
      </c>
      <c r="B3977" s="12" t="s">
        <v>206</v>
      </c>
      <c r="C3977" s="12" t="s">
        <v>629</v>
      </c>
      <c r="D3977" s="12" t="s">
        <v>5897</v>
      </c>
      <c r="E3977" s="12" t="s">
        <v>2978</v>
      </c>
      <c r="F3977" s="12" t="s">
        <v>1861</v>
      </c>
      <c r="G3977" s="12" t="s">
        <v>1861</v>
      </c>
      <c r="H3977" s="12" t="b">
        <v>1</v>
      </c>
      <c r="I3977" s="12" t="b">
        <v>0</v>
      </c>
      <c r="J3977" s="12" t="b">
        <v>1</v>
      </c>
      <c r="K3977" s="12" t="b">
        <v>0</v>
      </c>
      <c r="L3977" s="12">
        <v>623.15</v>
      </c>
      <c r="M3977" s="12">
        <v>298.39773126182843</v>
      </c>
      <c r="N3977" s="12">
        <v>3000</v>
      </c>
      <c r="O3977" s="12">
        <v>422.77087578100378</v>
      </c>
      <c r="P3977" s="12">
        <v>0.5</v>
      </c>
      <c r="Q3977" s="12">
        <v>0.88941844296410033</v>
      </c>
      <c r="R3977" s="12">
        <v>0.56829462612433368</v>
      </c>
      <c r="S3977" s="12">
        <v>0.6209151204565988</v>
      </c>
      <c r="T3977" s="12">
        <v>0.63819762581901618</v>
      </c>
      <c r="U3977" s="12">
        <v>0.85235477486629507</v>
      </c>
      <c r="V3977" s="12">
        <v>298.39773126182843</v>
      </c>
      <c r="W3977" s="12">
        <v>13.43570048604713</v>
      </c>
      <c r="X3977" s="12">
        <v>201.24695444693691</v>
      </c>
      <c r="Y3977" s="12">
        <v>2577.2291242189958</v>
      </c>
      <c r="Z3977" s="12">
        <v>7.0960422580149682</v>
      </c>
      <c r="AA3977" s="12" t="s">
        <v>1981</v>
      </c>
      <c r="AB3977" s="12"/>
    </row>
    <row r="3978" spans="1:28" x14ac:dyDescent="0.3">
      <c r="A3978" s="12" t="s">
        <v>5911</v>
      </c>
      <c r="B3978" s="12" t="s">
        <v>206</v>
      </c>
      <c r="C3978" s="12" t="s">
        <v>629</v>
      </c>
      <c r="D3978" s="12" t="s">
        <v>5897</v>
      </c>
      <c r="E3978" s="12" t="s">
        <v>2978</v>
      </c>
      <c r="F3978" s="12" t="s">
        <v>1861</v>
      </c>
      <c r="G3978" s="12" t="s">
        <v>1861</v>
      </c>
      <c r="H3978" s="12" t="b">
        <v>1</v>
      </c>
      <c r="I3978" s="12" t="b">
        <v>0</v>
      </c>
      <c r="J3978" s="12" t="b">
        <v>1</v>
      </c>
      <c r="K3978" s="12" t="b">
        <v>0</v>
      </c>
      <c r="L3978" s="12">
        <v>623.15</v>
      </c>
      <c r="M3978" s="12">
        <v>295.09879387130422</v>
      </c>
      <c r="N3978" s="12">
        <v>3000</v>
      </c>
      <c r="O3978" s="12">
        <v>1905.4587152000099</v>
      </c>
      <c r="P3978" s="12">
        <v>0.5</v>
      </c>
      <c r="Q3978" s="12">
        <v>0.53974549555448048</v>
      </c>
      <c r="R3978" s="12">
        <v>0.84292413474064176</v>
      </c>
      <c r="S3978" s="12">
        <v>0.78396306427744045</v>
      </c>
      <c r="T3978" s="12">
        <v>0.5901179556326932</v>
      </c>
      <c r="U3978" s="12">
        <v>0.80071877763467914</v>
      </c>
      <c r="V3978" s="12">
        <v>295.09879387130422</v>
      </c>
      <c r="W3978" s="12">
        <v>2.1845406244293302</v>
      </c>
      <c r="X3978" s="12">
        <v>39.463066227054441</v>
      </c>
      <c r="Y3978" s="12">
        <v>1094.5412847999901</v>
      </c>
      <c r="Z3978" s="12">
        <v>1.5744240355714549</v>
      </c>
      <c r="AA3978" s="12" t="s">
        <v>1268</v>
      </c>
      <c r="AB3978" s="12"/>
    </row>
    <row r="3979" spans="1:28" x14ac:dyDescent="0.3">
      <c r="A3979" s="12" t="s">
        <v>5912</v>
      </c>
      <c r="B3979" s="12" t="s">
        <v>206</v>
      </c>
      <c r="C3979" s="12" t="s">
        <v>629</v>
      </c>
      <c r="D3979" s="12" t="s">
        <v>5897</v>
      </c>
      <c r="E3979" s="12" t="s">
        <v>2978</v>
      </c>
      <c r="F3979" s="12" t="s">
        <v>1862</v>
      </c>
      <c r="G3979" s="12" t="s">
        <v>1862</v>
      </c>
      <c r="H3979" s="12" t="b">
        <v>1</v>
      </c>
      <c r="I3979" s="12" t="b">
        <v>0</v>
      </c>
      <c r="J3979" s="12" t="b">
        <v>1</v>
      </c>
      <c r="K3979" s="12" t="b">
        <v>0</v>
      </c>
      <c r="L3979" s="12">
        <v>623.15</v>
      </c>
      <c r="M3979" s="12">
        <v>301.29244107688447</v>
      </c>
      <c r="N3979" s="12">
        <v>3000</v>
      </c>
      <c r="O3979" s="12">
        <v>1701.9457032898761</v>
      </c>
      <c r="P3979" s="12">
        <v>0.5</v>
      </c>
      <c r="Q3979" s="12">
        <v>0.42923266658123232</v>
      </c>
      <c r="R3979" s="12">
        <v>0.72013302393836121</v>
      </c>
      <c r="S3979" s="12">
        <v>0.51332816408023696</v>
      </c>
      <c r="T3979" s="12">
        <v>0.42512670582296408</v>
      </c>
      <c r="U3979" s="12">
        <v>0.46343620647107681</v>
      </c>
      <c r="V3979" s="12">
        <v>301.29244107688447</v>
      </c>
      <c r="W3979" s="12">
        <v>-2.0362833940725298</v>
      </c>
      <c r="X3979" s="12">
        <v>-17.325780342828541</v>
      </c>
      <c r="Y3979" s="12">
        <v>1298.0542967101239</v>
      </c>
      <c r="Z3979" s="12">
        <v>1.76268843018962</v>
      </c>
      <c r="AA3979" s="12" t="s">
        <v>2513</v>
      </c>
      <c r="AB3979" s="12"/>
    </row>
    <row r="3980" spans="1:28" x14ac:dyDescent="0.3">
      <c r="A3980" s="12" t="s">
        <v>5913</v>
      </c>
      <c r="B3980" s="12" t="s">
        <v>206</v>
      </c>
      <c r="C3980" s="12" t="s">
        <v>629</v>
      </c>
      <c r="D3980" s="12" t="s">
        <v>5897</v>
      </c>
      <c r="E3980" s="12" t="s">
        <v>2978</v>
      </c>
      <c r="F3980" s="12" t="s">
        <v>832</v>
      </c>
      <c r="G3980" s="12" t="s">
        <v>832</v>
      </c>
      <c r="H3980" s="12" t="b">
        <v>0</v>
      </c>
      <c r="I3980" s="12" t="b">
        <v>0</v>
      </c>
      <c r="J3980" s="12" t="b">
        <v>0</v>
      </c>
      <c r="K3980" s="12" t="b">
        <v>0</v>
      </c>
      <c r="L3980" s="12">
        <v>623.15</v>
      </c>
      <c r="M3980" s="12">
        <v>290.03109043702</v>
      </c>
      <c r="N3980" s="12">
        <v>3000</v>
      </c>
      <c r="O3980" s="12">
        <v>507.6488705062842</v>
      </c>
      <c r="P3980" s="12">
        <v>0.5</v>
      </c>
      <c r="Q3980" s="12">
        <v>0.85659939896293835</v>
      </c>
      <c r="R3980" s="12">
        <v>0.8810170126900031</v>
      </c>
      <c r="S3980" s="12">
        <v>0.82135644902376281</v>
      </c>
      <c r="T3980" s="12">
        <v>0.89536607247634359</v>
      </c>
      <c r="U3980" s="12">
        <v>0.50752682898798429</v>
      </c>
      <c r="V3980" s="12">
        <v>290.03109043702</v>
      </c>
      <c r="W3980" s="12"/>
      <c r="X3980" s="12"/>
      <c r="Y3980" s="12">
        <v>2492.3511294937161</v>
      </c>
      <c r="Z3980" s="12">
        <v>5.9095965229038434</v>
      </c>
      <c r="AA3980" s="12"/>
      <c r="AB3980" s="12"/>
    </row>
    <row r="3981" spans="1:28" x14ac:dyDescent="0.3">
      <c r="A3981" s="12" t="s">
        <v>5914</v>
      </c>
      <c r="B3981" s="12" t="s">
        <v>206</v>
      </c>
      <c r="C3981" s="12" t="s">
        <v>629</v>
      </c>
      <c r="D3981" s="12" t="s">
        <v>5897</v>
      </c>
      <c r="E3981" s="12" t="s">
        <v>2978</v>
      </c>
      <c r="F3981" s="12" t="s">
        <v>1861</v>
      </c>
      <c r="G3981" s="12" t="s">
        <v>1861</v>
      </c>
      <c r="H3981" s="12" t="b">
        <v>1</v>
      </c>
      <c r="I3981" s="12" t="b">
        <v>0</v>
      </c>
      <c r="J3981" s="12" t="b">
        <v>1</v>
      </c>
      <c r="K3981" s="12" t="b">
        <v>0</v>
      </c>
      <c r="L3981" s="12">
        <v>623.15</v>
      </c>
      <c r="M3981" s="12">
        <v>288.2645411381921</v>
      </c>
      <c r="N3981" s="12">
        <v>3000</v>
      </c>
      <c r="O3981" s="12">
        <v>1569.145839222811</v>
      </c>
      <c r="P3981" s="12">
        <v>0.5</v>
      </c>
      <c r="Q3981" s="12">
        <v>0.61735390755188002</v>
      </c>
      <c r="R3981" s="12">
        <v>0.53510520440004039</v>
      </c>
      <c r="S3981" s="12">
        <v>0.4703475180441441</v>
      </c>
      <c r="T3981" s="12">
        <v>0.94641389179846958</v>
      </c>
      <c r="U3981" s="12">
        <v>0.71607541274033348</v>
      </c>
      <c r="V3981" s="12">
        <v>288.2645411381921</v>
      </c>
      <c r="W3981" s="12">
        <v>3.5229943075363699</v>
      </c>
      <c r="X3981" s="12">
        <v>37.154179005547768</v>
      </c>
      <c r="Y3981" s="12">
        <v>1430.854160777189</v>
      </c>
      <c r="Z3981" s="12">
        <v>1.911868180134157</v>
      </c>
      <c r="AA3981" s="12" t="s">
        <v>1268</v>
      </c>
      <c r="AB3981" s="12"/>
    </row>
    <row r="3982" spans="1:28" x14ac:dyDescent="0.3">
      <c r="A3982" s="12" t="s">
        <v>5915</v>
      </c>
      <c r="B3982" s="12" t="s">
        <v>206</v>
      </c>
      <c r="C3982" s="12" t="s">
        <v>629</v>
      </c>
      <c r="D3982" s="12" t="s">
        <v>5897</v>
      </c>
      <c r="E3982" s="12" t="s">
        <v>2978</v>
      </c>
      <c r="F3982" s="12" t="s">
        <v>832</v>
      </c>
      <c r="G3982" s="12" t="s">
        <v>832</v>
      </c>
      <c r="H3982" s="12" t="b">
        <v>0</v>
      </c>
      <c r="I3982" s="12" t="b">
        <v>0</v>
      </c>
      <c r="J3982" s="12" t="b">
        <v>0</v>
      </c>
      <c r="K3982" s="12" t="b">
        <v>0</v>
      </c>
      <c r="L3982" s="12">
        <v>623.15</v>
      </c>
      <c r="M3982" s="12">
        <v>302.04522738771198</v>
      </c>
      <c r="N3982" s="12">
        <v>3000</v>
      </c>
      <c r="O3982" s="12">
        <v>935.29646353585156</v>
      </c>
      <c r="P3982" s="12">
        <v>0.5</v>
      </c>
      <c r="Q3982" s="12">
        <v>0.64458040872238875</v>
      </c>
      <c r="R3982" s="12">
        <v>0.5486598139289991</v>
      </c>
      <c r="S3982" s="12">
        <v>0.71322063639767919</v>
      </c>
      <c r="T3982" s="12">
        <v>0.45302141722360478</v>
      </c>
      <c r="U3982" s="12">
        <v>0.48399210372347778</v>
      </c>
      <c r="V3982" s="12">
        <v>302.04522738771198</v>
      </c>
      <c r="W3982" s="12"/>
      <c r="X3982" s="12"/>
      <c r="Y3982" s="12">
        <v>2064.7035364641479</v>
      </c>
      <c r="Z3982" s="12">
        <v>3.207539124716261</v>
      </c>
      <c r="AA3982" s="12"/>
      <c r="AB3982" s="12"/>
    </row>
    <row r="3983" spans="1:28" x14ac:dyDescent="0.3">
      <c r="A3983" s="12" t="s">
        <v>5916</v>
      </c>
      <c r="B3983" s="12" t="s">
        <v>206</v>
      </c>
      <c r="C3983" s="12" t="s">
        <v>629</v>
      </c>
      <c r="D3983" s="12" t="s">
        <v>5897</v>
      </c>
      <c r="E3983" s="12" t="s">
        <v>2978</v>
      </c>
      <c r="F3983" s="12" t="s">
        <v>832</v>
      </c>
      <c r="G3983" s="12" t="s">
        <v>832</v>
      </c>
      <c r="H3983" s="12" t="b">
        <v>0</v>
      </c>
      <c r="I3983" s="12" t="b">
        <v>0</v>
      </c>
      <c r="J3983" s="12" t="b">
        <v>0</v>
      </c>
      <c r="K3983" s="12" t="b">
        <v>0</v>
      </c>
      <c r="L3983" s="12">
        <v>623.15</v>
      </c>
      <c r="M3983" s="12">
        <v>299.54156330313219</v>
      </c>
      <c r="N3983" s="12">
        <v>3000</v>
      </c>
      <c r="O3983" s="12">
        <v>1192.44490158747</v>
      </c>
      <c r="P3983" s="12">
        <v>0.5</v>
      </c>
      <c r="Q3983" s="12">
        <v>0.7502394168066111</v>
      </c>
      <c r="R3983" s="12">
        <v>0.73599706049808589</v>
      </c>
      <c r="S3983" s="12">
        <v>0.82917017265002524</v>
      </c>
      <c r="T3983" s="12">
        <v>0.56219312672833488</v>
      </c>
      <c r="U3983" s="12">
        <v>0.74859129411749503</v>
      </c>
      <c r="V3983" s="12">
        <v>299.54156330313219</v>
      </c>
      <c r="W3983" s="12"/>
      <c r="X3983" s="12"/>
      <c r="Y3983" s="12">
        <v>1807.55509841253</v>
      </c>
      <c r="Z3983" s="12">
        <v>2.515839512589789</v>
      </c>
      <c r="AA3983" s="12"/>
      <c r="AB3983" s="12"/>
    </row>
    <row r="3984" spans="1:28" x14ac:dyDescent="0.3">
      <c r="A3984" s="12" t="s">
        <v>5917</v>
      </c>
      <c r="B3984" s="12" t="s">
        <v>206</v>
      </c>
      <c r="C3984" s="12" t="s">
        <v>629</v>
      </c>
      <c r="D3984" s="12" t="s">
        <v>5897</v>
      </c>
      <c r="E3984" s="12" t="s">
        <v>2978</v>
      </c>
      <c r="F3984" s="12" t="s">
        <v>32</v>
      </c>
      <c r="G3984" s="12" t="s">
        <v>32</v>
      </c>
      <c r="H3984" s="12" t="b">
        <v>1</v>
      </c>
      <c r="I3984" s="12" t="b">
        <v>0</v>
      </c>
      <c r="J3984" s="12" t="b">
        <v>1</v>
      </c>
      <c r="K3984" s="12" t="b">
        <v>0</v>
      </c>
      <c r="L3984" s="12">
        <v>623.15</v>
      </c>
      <c r="M3984" s="12">
        <v>281.30785312116319</v>
      </c>
      <c r="N3984" s="12">
        <v>3000</v>
      </c>
      <c r="O3984" s="12">
        <v>1830.205145779677</v>
      </c>
      <c r="P3984" s="12">
        <v>0.5</v>
      </c>
      <c r="Q3984" s="12">
        <v>0.6576500146997929</v>
      </c>
      <c r="R3984" s="12">
        <v>0.68973490854701824</v>
      </c>
      <c r="S3984" s="12">
        <v>0.42189373945355318</v>
      </c>
      <c r="T3984" s="12">
        <v>0.71072903785518282</v>
      </c>
      <c r="U3984" s="12">
        <v>0.94609805646721157</v>
      </c>
      <c r="V3984" s="12">
        <v>281.30785312116319</v>
      </c>
      <c r="W3984" s="12">
        <v>2.4263235704230901</v>
      </c>
      <c r="X3984" s="12">
        <v>25.680081216057761</v>
      </c>
      <c r="Y3984" s="12">
        <v>1169.794854220323</v>
      </c>
      <c r="Z3984" s="12">
        <v>1.63916050991212</v>
      </c>
      <c r="AA3984" s="12"/>
      <c r="AB3984" s="12"/>
    </row>
    <row r="3985" spans="1:28" x14ac:dyDescent="0.3">
      <c r="A3985" s="12" t="s">
        <v>5918</v>
      </c>
      <c r="B3985" s="12" t="s">
        <v>206</v>
      </c>
      <c r="C3985" s="12" t="s">
        <v>629</v>
      </c>
      <c r="D3985" s="12" t="s">
        <v>5897</v>
      </c>
      <c r="E3985" s="12" t="s">
        <v>2978</v>
      </c>
      <c r="F3985" s="12" t="s">
        <v>1861</v>
      </c>
      <c r="G3985" s="12" t="s">
        <v>1861</v>
      </c>
      <c r="H3985" s="12" t="b">
        <v>1</v>
      </c>
      <c r="I3985" s="12" t="b">
        <v>0</v>
      </c>
      <c r="J3985" s="12" t="b">
        <v>1</v>
      </c>
      <c r="K3985" s="12" t="b">
        <v>0</v>
      </c>
      <c r="L3985" s="12">
        <v>623.15</v>
      </c>
      <c r="M3985" s="12">
        <v>292.32601519651848</v>
      </c>
      <c r="N3985" s="12">
        <v>3000</v>
      </c>
      <c r="O3985" s="12">
        <v>916.87445011445323</v>
      </c>
      <c r="P3985" s="12">
        <v>0.5</v>
      </c>
      <c r="Q3985" s="12">
        <v>0.91374968020609604</v>
      </c>
      <c r="R3985" s="12">
        <v>0.93892024559787157</v>
      </c>
      <c r="S3985" s="12">
        <v>0.69078330961939427</v>
      </c>
      <c r="T3985" s="12">
        <v>0.5329800310495979</v>
      </c>
      <c r="U3985" s="12">
        <v>0.43784924779736639</v>
      </c>
      <c r="V3985" s="12">
        <v>292.32601519651848</v>
      </c>
      <c r="W3985" s="12">
        <v>8.2738783044803199</v>
      </c>
      <c r="X3985" s="12">
        <v>83.856812019411251</v>
      </c>
      <c r="Y3985" s="12">
        <v>2083.1255498855471</v>
      </c>
      <c r="Z3985" s="12">
        <v>3.271985602418642</v>
      </c>
      <c r="AA3985" s="12" t="s">
        <v>1268</v>
      </c>
      <c r="AB3985" s="12"/>
    </row>
    <row r="3986" spans="1:28" x14ac:dyDescent="0.3">
      <c r="A3986" s="12" t="s">
        <v>5919</v>
      </c>
      <c r="B3986" s="12" t="s">
        <v>206</v>
      </c>
      <c r="C3986" s="12" t="s">
        <v>629</v>
      </c>
      <c r="D3986" s="12" t="s">
        <v>5897</v>
      </c>
      <c r="E3986" s="12" t="s">
        <v>2978</v>
      </c>
      <c r="F3986" s="12" t="s">
        <v>1861</v>
      </c>
      <c r="G3986" s="12" t="s">
        <v>1861</v>
      </c>
      <c r="H3986" s="12" t="b">
        <v>1</v>
      </c>
      <c r="I3986" s="12" t="b">
        <v>0</v>
      </c>
      <c r="J3986" s="12" t="b">
        <v>1</v>
      </c>
      <c r="K3986" s="12" t="b">
        <v>0</v>
      </c>
      <c r="L3986" s="12">
        <v>623.15</v>
      </c>
      <c r="M3986" s="12">
        <v>303.07861373731401</v>
      </c>
      <c r="N3986" s="12">
        <v>3000</v>
      </c>
      <c r="O3986" s="12">
        <v>545.02251466672919</v>
      </c>
      <c r="P3986" s="12">
        <v>0.5</v>
      </c>
      <c r="Q3986" s="12">
        <v>0.90284374625660635</v>
      </c>
      <c r="R3986" s="12">
        <v>0.40769842292390163</v>
      </c>
      <c r="S3986" s="12">
        <v>0.75707600083049642</v>
      </c>
      <c r="T3986" s="12">
        <v>0.73460624146863407</v>
      </c>
      <c r="U3986" s="12">
        <v>0.87498360748177917</v>
      </c>
      <c r="V3986" s="12">
        <v>303.07861373731401</v>
      </c>
      <c r="W3986" s="12">
        <v>11.97916141314135</v>
      </c>
      <c r="X3986" s="12">
        <v>220.22371013330459</v>
      </c>
      <c r="Y3986" s="12">
        <v>2454.977485333271</v>
      </c>
      <c r="Z3986" s="12">
        <v>5.5043597636226869</v>
      </c>
      <c r="AA3986" s="12" t="s">
        <v>1268</v>
      </c>
      <c r="AB3986" s="12"/>
    </row>
    <row r="3987" spans="1:28" x14ac:dyDescent="0.3">
      <c r="A3987" s="12" t="s">
        <v>5920</v>
      </c>
      <c r="B3987" s="12" t="s">
        <v>206</v>
      </c>
      <c r="C3987" s="12" t="s">
        <v>629</v>
      </c>
      <c r="D3987" s="12" t="s">
        <v>5897</v>
      </c>
      <c r="E3987" s="12" t="s">
        <v>2978</v>
      </c>
      <c r="F3987" s="12" t="s">
        <v>32</v>
      </c>
      <c r="G3987" s="12" t="s">
        <v>32</v>
      </c>
      <c r="H3987" s="12" t="b">
        <v>1</v>
      </c>
      <c r="I3987" s="12" t="b">
        <v>0</v>
      </c>
      <c r="J3987" s="12" t="b">
        <v>1</v>
      </c>
      <c r="K3987" s="12" t="b">
        <v>0</v>
      </c>
      <c r="L3987" s="12">
        <v>623.15</v>
      </c>
      <c r="M3987" s="12">
        <v>285.92873575807891</v>
      </c>
      <c r="N3987" s="12">
        <v>3000</v>
      </c>
      <c r="O3987" s="12">
        <v>1400.378800273782</v>
      </c>
      <c r="P3987" s="12">
        <v>0.5</v>
      </c>
      <c r="Q3987" s="12">
        <v>0.58879753524176381</v>
      </c>
      <c r="R3987" s="12">
        <v>0.4215749272174103</v>
      </c>
      <c r="S3987" s="12">
        <v>0.60690994732105907</v>
      </c>
      <c r="T3987" s="12">
        <v>0.82118161040476689</v>
      </c>
      <c r="U3987" s="12">
        <v>0.82739806024715878</v>
      </c>
      <c r="V3987" s="12">
        <v>285.92873575807891</v>
      </c>
      <c r="W3987" s="12">
        <v>3.8231087074842001</v>
      </c>
      <c r="X3987" s="12">
        <v>55.450966207554814</v>
      </c>
      <c r="Y3987" s="12">
        <v>1599.621199726218</v>
      </c>
      <c r="Z3987" s="12">
        <v>2.142277503353724</v>
      </c>
      <c r="AA3987" s="12"/>
      <c r="AB3987" s="12"/>
    </row>
    <row r="3988" spans="1:28" x14ac:dyDescent="0.3">
      <c r="A3988" s="12" t="s">
        <v>5921</v>
      </c>
      <c r="B3988" s="12" t="s">
        <v>206</v>
      </c>
      <c r="C3988" s="12" t="s">
        <v>629</v>
      </c>
      <c r="D3988" s="12" t="s">
        <v>5897</v>
      </c>
      <c r="E3988" s="12" t="s">
        <v>2978</v>
      </c>
      <c r="F3988" s="12" t="s">
        <v>832</v>
      </c>
      <c r="G3988" s="12" t="s">
        <v>832</v>
      </c>
      <c r="H3988" s="12" t="b">
        <v>0</v>
      </c>
      <c r="I3988" s="12" t="b">
        <v>0</v>
      </c>
      <c r="J3988" s="12" t="b">
        <v>0</v>
      </c>
      <c r="K3988" s="12" t="b">
        <v>0</v>
      </c>
      <c r="L3988" s="12">
        <v>623.15</v>
      </c>
      <c r="M3988" s="12">
        <v>287.23147891954818</v>
      </c>
      <c r="N3988" s="12">
        <v>3000</v>
      </c>
      <c r="O3988" s="12">
        <v>1541.091075198467</v>
      </c>
      <c r="P3988" s="12">
        <v>0.5</v>
      </c>
      <c r="Q3988" s="12">
        <v>0.73356633050160513</v>
      </c>
      <c r="R3988" s="12">
        <v>0.60008201267967043</v>
      </c>
      <c r="S3988" s="12">
        <v>0.8410071726641275</v>
      </c>
      <c r="T3988" s="12">
        <v>0.87320022342557668</v>
      </c>
      <c r="U3988" s="12">
        <v>0.43138223758358363</v>
      </c>
      <c r="V3988" s="12">
        <v>287.23147891954818</v>
      </c>
      <c r="W3988" s="12"/>
      <c r="X3988" s="12"/>
      <c r="Y3988" s="12">
        <v>1458.908924801533</v>
      </c>
      <c r="Z3988" s="12">
        <v>1.946672749119418</v>
      </c>
      <c r="AA3988" s="12"/>
      <c r="AB3988" s="12"/>
    </row>
    <row r="3989" spans="1:28" x14ac:dyDescent="0.3">
      <c r="A3989" s="12" t="s">
        <v>5922</v>
      </c>
      <c r="B3989" s="12" t="s">
        <v>206</v>
      </c>
      <c r="C3989" s="12" t="s">
        <v>629</v>
      </c>
      <c r="D3989" s="12" t="s">
        <v>5897</v>
      </c>
      <c r="E3989" s="12" t="s">
        <v>2978</v>
      </c>
      <c r="F3989" s="12" t="s">
        <v>1861</v>
      </c>
      <c r="G3989" s="12" t="s">
        <v>1861</v>
      </c>
      <c r="H3989" s="12" t="b">
        <v>1</v>
      </c>
      <c r="I3989" s="12" t="b">
        <v>0</v>
      </c>
      <c r="J3989" s="12" t="b">
        <v>1</v>
      </c>
      <c r="K3989" s="12" t="b">
        <v>0</v>
      </c>
      <c r="L3989" s="12">
        <v>623.15</v>
      </c>
      <c r="M3989" s="12">
        <v>296.43021914077292</v>
      </c>
      <c r="N3989" s="12">
        <v>3000</v>
      </c>
      <c r="O3989" s="12">
        <v>651.33415184073488</v>
      </c>
      <c r="P3989" s="12">
        <v>0.5</v>
      </c>
      <c r="Q3989" s="12">
        <v>0.57021205962195864</v>
      </c>
      <c r="R3989" s="12">
        <v>0.9093596588331484</v>
      </c>
      <c r="S3989" s="12">
        <v>0.54480744166130768</v>
      </c>
      <c r="T3989" s="12">
        <v>0.82657518512128969</v>
      </c>
      <c r="U3989" s="12">
        <v>0.52437265278361656</v>
      </c>
      <c r="V3989" s="12">
        <v>296.43021914077292</v>
      </c>
      <c r="W3989" s="12">
        <v>2.5300808984051399</v>
      </c>
      <c r="X3989" s="12">
        <v>24.365461112858501</v>
      </c>
      <c r="Y3989" s="12">
        <v>2348.6658481592649</v>
      </c>
      <c r="Z3989" s="12">
        <v>4.6059307523207602</v>
      </c>
      <c r="AA3989" s="12" t="s">
        <v>1268</v>
      </c>
      <c r="AB3989" s="12"/>
    </row>
    <row r="3990" spans="1:28" x14ac:dyDescent="0.3">
      <c r="A3990" s="12" t="s">
        <v>5923</v>
      </c>
      <c r="B3990" s="12" t="s">
        <v>206</v>
      </c>
      <c r="C3990" s="12" t="s">
        <v>629</v>
      </c>
      <c r="D3990" s="12" t="s">
        <v>5897</v>
      </c>
      <c r="E3990" s="12" t="s">
        <v>2978</v>
      </c>
      <c r="F3990" s="12" t="s">
        <v>1861</v>
      </c>
      <c r="G3990" s="12" t="s">
        <v>1861</v>
      </c>
      <c r="H3990" s="12" t="b">
        <v>1</v>
      </c>
      <c r="I3990" s="12" t="b">
        <v>0</v>
      </c>
      <c r="J3990" s="12" t="b">
        <v>1</v>
      </c>
      <c r="K3990" s="12" t="b">
        <v>0</v>
      </c>
      <c r="L3990" s="12">
        <v>623.15</v>
      </c>
      <c r="M3990" s="12">
        <v>282.43320082093118</v>
      </c>
      <c r="N3990" s="12">
        <v>3000</v>
      </c>
      <c r="O3990" s="12">
        <v>1637.133267781828</v>
      </c>
      <c r="P3990" s="12">
        <v>0.5</v>
      </c>
      <c r="Q3990" s="12">
        <v>0.71503063144527323</v>
      </c>
      <c r="R3990" s="12">
        <v>0.63191208088906448</v>
      </c>
      <c r="S3990" s="12">
        <v>0.73401365214072012</v>
      </c>
      <c r="T3990" s="12">
        <v>0.6846413334901269</v>
      </c>
      <c r="U3990" s="12">
        <v>0.6692324581420136</v>
      </c>
      <c r="V3990" s="12">
        <v>282.43320082093118</v>
      </c>
      <c r="W3990" s="12">
        <v>2.9638166217488999</v>
      </c>
      <c r="X3990" s="12">
        <v>44.587893030632799</v>
      </c>
      <c r="Y3990" s="12">
        <v>1362.866732218172</v>
      </c>
      <c r="Z3990" s="12">
        <v>1.8324714664584001</v>
      </c>
      <c r="AA3990" s="12" t="s">
        <v>1268</v>
      </c>
      <c r="AB3990" s="12"/>
    </row>
    <row r="3991" spans="1:28" x14ac:dyDescent="0.3">
      <c r="A3991" s="12" t="s">
        <v>5924</v>
      </c>
      <c r="B3991" s="12" t="s">
        <v>206</v>
      </c>
      <c r="C3991" s="12" t="s">
        <v>629</v>
      </c>
      <c r="D3991" s="12" t="s">
        <v>5897</v>
      </c>
      <c r="E3991" s="12" t="s">
        <v>2978</v>
      </c>
      <c r="F3991" s="12" t="s">
        <v>1861</v>
      </c>
      <c r="G3991" s="12" t="s">
        <v>1861</v>
      </c>
      <c r="H3991" s="12" t="b">
        <v>1</v>
      </c>
      <c r="I3991" s="12" t="b">
        <v>0</v>
      </c>
      <c r="J3991" s="12" t="b">
        <v>1</v>
      </c>
      <c r="K3991" s="12" t="b">
        <v>0</v>
      </c>
      <c r="L3991" s="12">
        <v>623.15</v>
      </c>
      <c r="M3991" s="12">
        <v>300.42829872826638</v>
      </c>
      <c r="N3991" s="12">
        <v>3000</v>
      </c>
      <c r="O3991" s="12">
        <v>1353.5580198455259</v>
      </c>
      <c r="P3991" s="12">
        <v>0.5</v>
      </c>
      <c r="Q3991" s="12">
        <v>0.48920951234833721</v>
      </c>
      <c r="R3991" s="12">
        <v>0.87640730575198222</v>
      </c>
      <c r="S3991" s="12">
        <v>0.4097101644455598</v>
      </c>
      <c r="T3991" s="12">
        <v>0.80274084962275705</v>
      </c>
      <c r="U3991" s="12">
        <v>0.68851057355719858</v>
      </c>
      <c r="V3991" s="12">
        <v>300.42829872826638</v>
      </c>
      <c r="W3991" s="12">
        <v>3.06122264474106</v>
      </c>
      <c r="X3991" s="12">
        <v>27.816487731694341</v>
      </c>
      <c r="Y3991" s="12">
        <v>1646.4419801544741</v>
      </c>
      <c r="Z3991" s="12">
        <v>2.2163807949232739</v>
      </c>
      <c r="AA3991" s="12" t="s">
        <v>1268</v>
      </c>
      <c r="AB3991" s="12"/>
    </row>
    <row r="3992" spans="1:28" x14ac:dyDescent="0.3">
      <c r="A3992" s="12" t="s">
        <v>5925</v>
      </c>
      <c r="B3992" s="12" t="s">
        <v>206</v>
      </c>
      <c r="C3992" s="12" t="s">
        <v>629</v>
      </c>
      <c r="D3992" s="12" t="s">
        <v>5897</v>
      </c>
      <c r="E3992" s="12" t="s">
        <v>2978</v>
      </c>
      <c r="F3992" s="12" t="s">
        <v>1861</v>
      </c>
      <c r="G3992" s="12" t="s">
        <v>1861</v>
      </c>
      <c r="H3992" s="12" t="b">
        <v>1</v>
      </c>
      <c r="I3992" s="12" t="b">
        <v>0</v>
      </c>
      <c r="J3992" s="12" t="b">
        <v>1</v>
      </c>
      <c r="K3992" s="12" t="b">
        <v>0</v>
      </c>
      <c r="L3992" s="12">
        <v>623.15</v>
      </c>
      <c r="M3992" s="12">
        <v>278.60356818354842</v>
      </c>
      <c r="N3992" s="12">
        <v>3000</v>
      </c>
      <c r="O3992" s="12">
        <v>794.73288027543083</v>
      </c>
      <c r="P3992" s="12">
        <v>0.5</v>
      </c>
      <c r="Q3992" s="12">
        <v>0.81670403211320308</v>
      </c>
      <c r="R3992" s="12">
        <v>0.92831351166641696</v>
      </c>
      <c r="S3992" s="12">
        <v>0.5969665918523156</v>
      </c>
      <c r="T3992" s="12">
        <v>0.65235692217283281</v>
      </c>
      <c r="U3992" s="12">
        <v>0.618385253579259</v>
      </c>
      <c r="V3992" s="12">
        <v>278.60356818354842</v>
      </c>
      <c r="W3992" s="12">
        <v>8.4876796887412489</v>
      </c>
      <c r="X3992" s="12">
        <v>103.9796351288541</v>
      </c>
      <c r="Y3992" s="12">
        <v>2205.2671197245691</v>
      </c>
      <c r="Z3992" s="12">
        <v>3.7748532550462599</v>
      </c>
      <c r="AA3992" s="12" t="s">
        <v>1268</v>
      </c>
      <c r="AB3992" s="12"/>
    </row>
    <row r="3993" spans="1:28" x14ac:dyDescent="0.3">
      <c r="A3993" s="12" t="s">
        <v>5926</v>
      </c>
      <c r="B3993" s="12" t="s">
        <v>206</v>
      </c>
      <c r="C3993" s="12" t="s">
        <v>629</v>
      </c>
      <c r="D3993" s="12" t="s">
        <v>5897</v>
      </c>
      <c r="E3993" s="12" t="s">
        <v>2978</v>
      </c>
      <c r="F3993" s="12" t="s">
        <v>1861</v>
      </c>
      <c r="G3993" s="12" t="s">
        <v>1861</v>
      </c>
      <c r="H3993" s="12" t="b">
        <v>1</v>
      </c>
      <c r="I3993" s="12" t="b">
        <v>0</v>
      </c>
      <c r="J3993" s="12" t="b">
        <v>1</v>
      </c>
      <c r="K3993" s="12" t="b">
        <v>0</v>
      </c>
      <c r="L3993" s="12">
        <v>623.15</v>
      </c>
      <c r="M3993" s="12">
        <v>284.64095545091538</v>
      </c>
      <c r="N3993" s="12">
        <v>3000</v>
      </c>
      <c r="O3993" s="12">
        <v>1737.2900887103219</v>
      </c>
      <c r="P3993" s="12">
        <v>0.5</v>
      </c>
      <c r="Q3993" s="12">
        <v>0.94334182730262639</v>
      </c>
      <c r="R3993" s="12">
        <v>0.50332737251002424</v>
      </c>
      <c r="S3993" s="12">
        <v>0.4972271185829919</v>
      </c>
      <c r="T3993" s="12">
        <v>0.51018937410043796</v>
      </c>
      <c r="U3993" s="12">
        <v>0.65434494801604148</v>
      </c>
      <c r="V3993" s="12">
        <v>284.64095545091538</v>
      </c>
      <c r="W3993" s="12">
        <v>4.0287039601521597</v>
      </c>
      <c r="X3993" s="12">
        <v>43.748158893575287</v>
      </c>
      <c r="Y3993" s="12">
        <v>1262.7099112896781</v>
      </c>
      <c r="Z3993" s="12">
        <v>1.72682732693597</v>
      </c>
      <c r="AA3993" s="12" t="s">
        <v>1268</v>
      </c>
      <c r="AB3993" s="12"/>
    </row>
    <row r="3994" spans="1:28" x14ac:dyDescent="0.3">
      <c r="A3994" s="12" t="s">
        <v>5927</v>
      </c>
      <c r="B3994" s="12" t="s">
        <v>206</v>
      </c>
      <c r="C3994" s="12" t="s">
        <v>637</v>
      </c>
      <c r="D3994" s="12" t="s">
        <v>5928</v>
      </c>
      <c r="E3994" s="12" t="s">
        <v>2978</v>
      </c>
      <c r="F3994" s="12" t="s">
        <v>32</v>
      </c>
      <c r="G3994" s="12" t="s">
        <v>32</v>
      </c>
      <c r="H3994" s="12" t="b">
        <v>1</v>
      </c>
      <c r="I3994" s="12" t="b">
        <v>0</v>
      </c>
      <c r="J3994" s="12" t="b">
        <v>1</v>
      </c>
      <c r="K3994" s="12" t="b">
        <v>0</v>
      </c>
      <c r="L3994" s="12">
        <v>433.6578582413249</v>
      </c>
      <c r="M3994" s="12">
        <v>288.88448051291721</v>
      </c>
      <c r="N3994" s="12">
        <v>3000</v>
      </c>
      <c r="O3994" s="12">
        <v>1343.409792866931</v>
      </c>
      <c r="P3994" s="12">
        <v>0.5</v>
      </c>
      <c r="Q3994" s="12">
        <v>0.85</v>
      </c>
      <c r="R3994" s="12">
        <v>0.75</v>
      </c>
      <c r="S3994" s="12">
        <v>0.85</v>
      </c>
      <c r="T3994" s="12">
        <v>0.75</v>
      </c>
      <c r="U3994" s="12">
        <v>0.8</v>
      </c>
      <c r="V3994" s="12">
        <v>288.88448051291721</v>
      </c>
      <c r="W3994" s="12">
        <v>5.5863224398860698</v>
      </c>
      <c r="X3994" s="12">
        <v>38.987130661929477</v>
      </c>
      <c r="Y3994" s="12">
        <v>1656.590207133069</v>
      </c>
      <c r="Z3994" s="12">
        <v>2.2331235159435532</v>
      </c>
      <c r="AA3994" s="12"/>
      <c r="AB3994" s="12"/>
    </row>
    <row r="3995" spans="1:28" x14ac:dyDescent="0.3">
      <c r="A3995" s="12" t="s">
        <v>5929</v>
      </c>
      <c r="B3995" s="12" t="s">
        <v>206</v>
      </c>
      <c r="C3995" s="12" t="s">
        <v>637</v>
      </c>
      <c r="D3995" s="12" t="s">
        <v>5928</v>
      </c>
      <c r="E3995" s="12" t="s">
        <v>2978</v>
      </c>
      <c r="F3995" s="12" t="s">
        <v>32</v>
      </c>
      <c r="G3995" s="12" t="s">
        <v>32</v>
      </c>
      <c r="H3995" s="12" t="b">
        <v>1</v>
      </c>
      <c r="I3995" s="12" t="b">
        <v>1</v>
      </c>
      <c r="J3995" s="12" t="b">
        <v>0</v>
      </c>
      <c r="K3995" s="12" t="b">
        <v>0</v>
      </c>
      <c r="L3995" s="12">
        <v>411.2669845760941</v>
      </c>
      <c r="M3995" s="12">
        <v>278.40614917411369</v>
      </c>
      <c r="N3995" s="12">
        <v>3000</v>
      </c>
      <c r="O3995" s="12">
        <v>1807.931266362591</v>
      </c>
      <c r="P3995" s="12">
        <v>0.5</v>
      </c>
      <c r="Q3995" s="12">
        <v>0.85</v>
      </c>
      <c r="R3995" s="12">
        <v>0.75</v>
      </c>
      <c r="S3995" s="12">
        <v>0.85</v>
      </c>
      <c r="T3995" s="12">
        <v>0.75</v>
      </c>
      <c r="U3995" s="12">
        <v>0.8</v>
      </c>
      <c r="V3995" s="12">
        <v>278.40614917411369</v>
      </c>
      <c r="W3995" s="12">
        <v>2.7703700463362502</v>
      </c>
      <c r="X3995" s="12">
        <v>11.94593429873966</v>
      </c>
      <c r="Y3995" s="12">
        <v>1192.068733637409</v>
      </c>
      <c r="Z3995" s="12">
        <v>1.659355118093484</v>
      </c>
      <c r="AA3995" s="12"/>
      <c r="AB3995" s="12"/>
    </row>
    <row r="3996" spans="1:28" x14ac:dyDescent="0.3">
      <c r="A3996" s="12" t="s">
        <v>5930</v>
      </c>
      <c r="B3996" s="12" t="s">
        <v>206</v>
      </c>
      <c r="C3996" s="12" t="s">
        <v>637</v>
      </c>
      <c r="D3996" s="12" t="s">
        <v>5928</v>
      </c>
      <c r="E3996" s="12" t="s">
        <v>2978</v>
      </c>
      <c r="F3996" s="12" t="s">
        <v>1861</v>
      </c>
      <c r="G3996" s="12" t="s">
        <v>1861</v>
      </c>
      <c r="H3996" s="12" t="b">
        <v>1</v>
      </c>
      <c r="I3996" s="12" t="b">
        <v>0</v>
      </c>
      <c r="J3996" s="12" t="b">
        <v>1</v>
      </c>
      <c r="K3996" s="12" t="b">
        <v>0</v>
      </c>
      <c r="L3996" s="12">
        <v>466.72317434063848</v>
      </c>
      <c r="M3996" s="12">
        <v>294.61534791349112</v>
      </c>
      <c r="N3996" s="12">
        <v>3000</v>
      </c>
      <c r="O3996" s="12">
        <v>755.14299411779393</v>
      </c>
      <c r="P3996" s="12">
        <v>0.5</v>
      </c>
      <c r="Q3996" s="12">
        <v>0.85</v>
      </c>
      <c r="R3996" s="12">
        <v>0.75</v>
      </c>
      <c r="S3996" s="12">
        <v>0.85</v>
      </c>
      <c r="T3996" s="12">
        <v>0.75</v>
      </c>
      <c r="U3996" s="12">
        <v>0.8</v>
      </c>
      <c r="V3996" s="12">
        <v>294.61534791349112</v>
      </c>
      <c r="W3996" s="12">
        <v>9.9071740512222402</v>
      </c>
      <c r="X3996" s="12">
        <v>141.1704249286071</v>
      </c>
      <c r="Y3996" s="12">
        <v>2244.8570058822061</v>
      </c>
      <c r="Z3996" s="12">
        <v>3.9727575086686611</v>
      </c>
      <c r="AA3996" s="12" t="s">
        <v>1268</v>
      </c>
      <c r="AB3996" s="12"/>
    </row>
    <row r="3997" spans="1:28" x14ac:dyDescent="0.3">
      <c r="A3997" s="12" t="s">
        <v>5931</v>
      </c>
      <c r="B3997" s="12" t="s">
        <v>206</v>
      </c>
      <c r="C3997" s="12" t="s">
        <v>637</v>
      </c>
      <c r="D3997" s="12" t="s">
        <v>5928</v>
      </c>
      <c r="E3997" s="12" t="s">
        <v>2978</v>
      </c>
      <c r="F3997" s="12" t="s">
        <v>1862</v>
      </c>
      <c r="G3997" s="12" t="s">
        <v>1862</v>
      </c>
      <c r="H3997" s="12" t="b">
        <v>1</v>
      </c>
      <c r="I3997" s="12" t="b">
        <v>0</v>
      </c>
      <c r="J3997" s="12" t="b">
        <v>0</v>
      </c>
      <c r="K3997" s="12" t="b">
        <v>0</v>
      </c>
      <c r="L3997" s="12">
        <v>387.85077930872171</v>
      </c>
      <c r="M3997" s="12">
        <v>281.02551194699771</v>
      </c>
      <c r="N3997" s="12">
        <v>3000</v>
      </c>
      <c r="O3997" s="12">
        <v>1899.235386585173</v>
      </c>
      <c r="P3997" s="12">
        <v>0.5</v>
      </c>
      <c r="Q3997" s="12">
        <v>0.85</v>
      </c>
      <c r="R3997" s="12">
        <v>0.75</v>
      </c>
      <c r="S3997" s="12">
        <v>0.85</v>
      </c>
      <c r="T3997" s="12">
        <v>0.75</v>
      </c>
      <c r="U3997" s="12">
        <v>0.8</v>
      </c>
      <c r="V3997" s="12">
        <v>281.02551194699771</v>
      </c>
      <c r="W3997" s="12">
        <v>-0.81721103809782003</v>
      </c>
      <c r="X3997" s="12">
        <v>-1.094236683879392</v>
      </c>
      <c r="Y3997" s="12">
        <v>1100.764613414826</v>
      </c>
      <c r="Z3997" s="12">
        <v>1.5795830370420809</v>
      </c>
      <c r="AA3997" s="12" t="s">
        <v>1696</v>
      </c>
      <c r="AB3997" s="12"/>
    </row>
    <row r="3998" spans="1:28" x14ac:dyDescent="0.3">
      <c r="A3998" s="12" t="s">
        <v>5932</v>
      </c>
      <c r="B3998" s="12" t="s">
        <v>206</v>
      </c>
      <c r="C3998" s="12" t="s">
        <v>637</v>
      </c>
      <c r="D3998" s="12" t="s">
        <v>5928</v>
      </c>
      <c r="E3998" s="12" t="s">
        <v>2978</v>
      </c>
      <c r="F3998" s="12" t="s">
        <v>1861</v>
      </c>
      <c r="G3998" s="12" t="s">
        <v>1861</v>
      </c>
      <c r="H3998" s="12" t="b">
        <v>1</v>
      </c>
      <c r="I3998" s="12" t="b">
        <v>0</v>
      </c>
      <c r="J3998" s="12" t="b">
        <v>1</v>
      </c>
      <c r="K3998" s="12" t="b">
        <v>0</v>
      </c>
      <c r="L3998" s="12">
        <v>488.50039394696017</v>
      </c>
      <c r="M3998" s="12">
        <v>289.48650863344341</v>
      </c>
      <c r="N3998" s="12">
        <v>3000</v>
      </c>
      <c r="O3998" s="12">
        <v>1022.88203346673</v>
      </c>
      <c r="P3998" s="12">
        <v>0.5</v>
      </c>
      <c r="Q3998" s="12">
        <v>0.85</v>
      </c>
      <c r="R3998" s="12">
        <v>0.75</v>
      </c>
      <c r="S3998" s="12">
        <v>0.85</v>
      </c>
      <c r="T3998" s="12">
        <v>0.75</v>
      </c>
      <c r="U3998" s="12">
        <v>0.8</v>
      </c>
      <c r="V3998" s="12">
        <v>289.48650863344341</v>
      </c>
      <c r="W3998" s="12">
        <v>7.9664750978295196</v>
      </c>
      <c r="X3998" s="12">
        <v>134.4668707444375</v>
      </c>
      <c r="Y3998" s="12">
        <v>1977.11796653327</v>
      </c>
      <c r="Z3998" s="12">
        <v>2.9328895237630319</v>
      </c>
      <c r="AA3998" s="12" t="s">
        <v>1268</v>
      </c>
      <c r="AB3998" s="12"/>
    </row>
    <row r="3999" spans="1:28" x14ac:dyDescent="0.3">
      <c r="A3999" s="12" t="s">
        <v>5933</v>
      </c>
      <c r="B3999" s="12" t="s">
        <v>206</v>
      </c>
      <c r="C3999" s="12" t="s">
        <v>637</v>
      </c>
      <c r="D3999" s="12" t="s">
        <v>5928</v>
      </c>
      <c r="E3999" s="12" t="s">
        <v>2978</v>
      </c>
      <c r="F3999" s="12" t="s">
        <v>32</v>
      </c>
      <c r="G3999" s="12" t="s">
        <v>32</v>
      </c>
      <c r="H3999" s="12" t="b">
        <v>1</v>
      </c>
      <c r="I3999" s="12" t="b">
        <v>0</v>
      </c>
      <c r="J3999" s="12" t="b">
        <v>1</v>
      </c>
      <c r="K3999" s="12" t="b">
        <v>0</v>
      </c>
      <c r="L3999" s="12">
        <v>428.9337945361774</v>
      </c>
      <c r="M3999" s="12">
        <v>298.6873470994251</v>
      </c>
      <c r="N3999" s="12">
        <v>3000</v>
      </c>
      <c r="O3999" s="12">
        <v>1451.024042359099</v>
      </c>
      <c r="P3999" s="12">
        <v>0.5</v>
      </c>
      <c r="Q3999" s="12">
        <v>0.85</v>
      </c>
      <c r="R3999" s="12">
        <v>0.75</v>
      </c>
      <c r="S3999" s="12">
        <v>0.85</v>
      </c>
      <c r="T3999" s="12">
        <v>0.75</v>
      </c>
      <c r="U3999" s="12">
        <v>0.8</v>
      </c>
      <c r="V3999" s="12">
        <v>298.6873470994251</v>
      </c>
      <c r="W3999" s="12">
        <v>5.0958158885754399</v>
      </c>
      <c r="X3999" s="12">
        <v>31.3226271619118</v>
      </c>
      <c r="Y3999" s="12">
        <v>1548.975957640901</v>
      </c>
      <c r="Z3999" s="12">
        <v>2.067505370291832</v>
      </c>
      <c r="AA3999" s="12"/>
      <c r="AB3999" s="12"/>
    </row>
    <row r="4000" spans="1:28" x14ac:dyDescent="0.3">
      <c r="A4000" s="12" t="s">
        <v>5934</v>
      </c>
      <c r="B4000" s="12" t="s">
        <v>206</v>
      </c>
      <c r="C4000" s="12" t="s">
        <v>637</v>
      </c>
      <c r="D4000" s="12" t="s">
        <v>5928</v>
      </c>
      <c r="E4000" s="12" t="s">
        <v>2978</v>
      </c>
      <c r="F4000" s="12" t="s">
        <v>32</v>
      </c>
      <c r="G4000" s="12" t="s">
        <v>32</v>
      </c>
      <c r="H4000" s="12" t="b">
        <v>1</v>
      </c>
      <c r="I4000" s="12" t="b">
        <v>1</v>
      </c>
      <c r="J4000" s="12" t="b">
        <v>0</v>
      </c>
      <c r="K4000" s="12" t="b">
        <v>0</v>
      </c>
      <c r="L4000" s="12">
        <v>403.75398334525488</v>
      </c>
      <c r="M4000" s="12">
        <v>295.93508463884632</v>
      </c>
      <c r="N4000" s="12">
        <v>3000</v>
      </c>
      <c r="O4000" s="12">
        <v>673.25568725840753</v>
      </c>
      <c r="P4000" s="12">
        <v>0.5</v>
      </c>
      <c r="Q4000" s="12">
        <v>0.85</v>
      </c>
      <c r="R4000" s="12">
        <v>0.75</v>
      </c>
      <c r="S4000" s="12">
        <v>0.85</v>
      </c>
      <c r="T4000" s="12">
        <v>0.75</v>
      </c>
      <c r="U4000" s="12">
        <v>0.8</v>
      </c>
      <c r="V4000" s="12">
        <v>295.93508463884632</v>
      </c>
      <c r="W4000" s="12">
        <v>7.58426449683739</v>
      </c>
      <c r="X4000" s="12">
        <v>24.26710948108418</v>
      </c>
      <c r="Y4000" s="12">
        <v>2326.7443127415931</v>
      </c>
      <c r="Z4000" s="12">
        <v>4.4559593877571606</v>
      </c>
      <c r="AA4000" s="12"/>
      <c r="AB4000" s="12"/>
    </row>
    <row r="4001" spans="1:28" x14ac:dyDescent="0.3">
      <c r="A4001" s="12" t="s">
        <v>5935</v>
      </c>
      <c r="B4001" s="12" t="s">
        <v>206</v>
      </c>
      <c r="C4001" s="12" t="s">
        <v>637</v>
      </c>
      <c r="D4001" s="12" t="s">
        <v>5928</v>
      </c>
      <c r="E4001" s="12" t="s">
        <v>2978</v>
      </c>
      <c r="F4001" s="12" t="s">
        <v>1861</v>
      </c>
      <c r="G4001" s="12" t="s">
        <v>1861</v>
      </c>
      <c r="H4001" s="12" t="b">
        <v>1</v>
      </c>
      <c r="I4001" s="12" t="b">
        <v>0</v>
      </c>
      <c r="J4001" s="12" t="b">
        <v>1</v>
      </c>
      <c r="K4001" s="12" t="b">
        <v>0</v>
      </c>
      <c r="L4001" s="12">
        <v>500.33452035815611</v>
      </c>
      <c r="M4001" s="12">
        <v>287.95403924778083</v>
      </c>
      <c r="N4001" s="12">
        <v>3000</v>
      </c>
      <c r="O4001" s="12">
        <v>466.07975956922922</v>
      </c>
      <c r="P4001" s="12">
        <v>0.5</v>
      </c>
      <c r="Q4001" s="12">
        <v>0.85</v>
      </c>
      <c r="R4001" s="12">
        <v>0.75</v>
      </c>
      <c r="S4001" s="12">
        <v>0.85</v>
      </c>
      <c r="T4001" s="12">
        <v>0.75</v>
      </c>
      <c r="U4001" s="12">
        <v>0.8</v>
      </c>
      <c r="V4001" s="12">
        <v>287.95403924778083</v>
      </c>
      <c r="W4001" s="12">
        <v>12.540467048062791</v>
      </c>
      <c r="X4001" s="12">
        <v>215.7413250894854</v>
      </c>
      <c r="Y4001" s="12">
        <v>2533.9202404307712</v>
      </c>
      <c r="Z4001" s="12">
        <v>6.4366665541810439</v>
      </c>
      <c r="AA4001" s="12" t="s">
        <v>1268</v>
      </c>
      <c r="AB4001" s="12"/>
    </row>
    <row r="4002" spans="1:28" x14ac:dyDescent="0.3">
      <c r="A4002" s="12" t="s">
        <v>5936</v>
      </c>
      <c r="B4002" s="12" t="s">
        <v>206</v>
      </c>
      <c r="C4002" s="12" t="s">
        <v>637</v>
      </c>
      <c r="D4002" s="12" t="s">
        <v>5928</v>
      </c>
      <c r="E4002" s="12" t="s">
        <v>2978</v>
      </c>
      <c r="F4002" s="12" t="s">
        <v>32</v>
      </c>
      <c r="G4002" s="12" t="s">
        <v>32</v>
      </c>
      <c r="H4002" s="12" t="b">
        <v>1</v>
      </c>
      <c r="I4002" s="12" t="b">
        <v>1</v>
      </c>
      <c r="J4002" s="12" t="b">
        <v>0</v>
      </c>
      <c r="K4002" s="12" t="b">
        <v>0</v>
      </c>
      <c r="L4002" s="12">
        <v>391.37219758261881</v>
      </c>
      <c r="M4002" s="12">
        <v>281.81115598667913</v>
      </c>
      <c r="N4002" s="12">
        <v>3000</v>
      </c>
      <c r="O4002" s="12">
        <v>1596.9698209825401</v>
      </c>
      <c r="P4002" s="12">
        <v>0.5</v>
      </c>
      <c r="Q4002" s="12">
        <v>0.85</v>
      </c>
      <c r="R4002" s="12">
        <v>0.75</v>
      </c>
      <c r="S4002" s="12">
        <v>0.85</v>
      </c>
      <c r="T4002" s="12">
        <v>0.75</v>
      </c>
      <c r="U4002" s="12">
        <v>0.8</v>
      </c>
      <c r="V4002" s="12">
        <v>281.81115598667913</v>
      </c>
      <c r="W4002" s="12">
        <v>0.75489731921365999</v>
      </c>
      <c r="X4002" s="12">
        <v>1.376961874079939</v>
      </c>
      <c r="Y4002" s="12">
        <v>1403.0301790174599</v>
      </c>
      <c r="Z4002" s="12">
        <v>1.8785577288832189</v>
      </c>
      <c r="AA4002" s="12"/>
      <c r="AB4002" s="12"/>
    </row>
    <row r="4003" spans="1:28" x14ac:dyDescent="0.3">
      <c r="A4003" s="12" t="s">
        <v>5937</v>
      </c>
      <c r="B4003" s="12" t="s">
        <v>206</v>
      </c>
      <c r="C4003" s="12" t="s">
        <v>637</v>
      </c>
      <c r="D4003" s="12" t="s">
        <v>5928</v>
      </c>
      <c r="E4003" s="12" t="s">
        <v>2978</v>
      </c>
      <c r="F4003" s="12" t="s">
        <v>32</v>
      </c>
      <c r="G4003" s="12" t="s">
        <v>32</v>
      </c>
      <c r="H4003" s="12" t="b">
        <v>1</v>
      </c>
      <c r="I4003" s="12" t="b">
        <v>1</v>
      </c>
      <c r="J4003" s="12" t="b">
        <v>0</v>
      </c>
      <c r="K4003" s="12" t="b">
        <v>0</v>
      </c>
      <c r="L4003" s="12">
        <v>424.90445725162931</v>
      </c>
      <c r="M4003" s="12">
        <v>302.69641803160192</v>
      </c>
      <c r="N4003" s="12">
        <v>3000</v>
      </c>
      <c r="O4003" s="12">
        <v>1734.821217933898</v>
      </c>
      <c r="P4003" s="12">
        <v>0.5</v>
      </c>
      <c r="Q4003" s="12">
        <v>0.85</v>
      </c>
      <c r="R4003" s="12">
        <v>0.75</v>
      </c>
      <c r="S4003" s="12">
        <v>0.85</v>
      </c>
      <c r="T4003" s="12">
        <v>0.75</v>
      </c>
      <c r="U4003" s="12">
        <v>0.8</v>
      </c>
      <c r="V4003" s="12">
        <v>302.69641803160192</v>
      </c>
      <c r="W4003" s="12">
        <v>3.8147086535917101</v>
      </c>
      <c r="X4003" s="12">
        <v>21.19014649475416</v>
      </c>
      <c r="Y4003" s="12">
        <v>1265.178782066102</v>
      </c>
      <c r="Z4003" s="12">
        <v>1.7292848213909211</v>
      </c>
      <c r="AA4003" s="12"/>
      <c r="AB4003" s="12"/>
    </row>
    <row r="4004" spans="1:28" x14ac:dyDescent="0.3">
      <c r="A4004" s="12" t="s">
        <v>5938</v>
      </c>
      <c r="B4004" s="12" t="s">
        <v>206</v>
      </c>
      <c r="C4004" s="12" t="s">
        <v>637</v>
      </c>
      <c r="D4004" s="12" t="s">
        <v>5928</v>
      </c>
      <c r="E4004" s="12" t="s">
        <v>2978</v>
      </c>
      <c r="F4004" s="12" t="s">
        <v>1861</v>
      </c>
      <c r="G4004" s="12" t="s">
        <v>1861</v>
      </c>
      <c r="H4004" s="12" t="b">
        <v>1</v>
      </c>
      <c r="I4004" s="12" t="b">
        <v>0</v>
      </c>
      <c r="J4004" s="12" t="b">
        <v>1</v>
      </c>
      <c r="K4004" s="12" t="b">
        <v>0</v>
      </c>
      <c r="L4004" s="12">
        <v>469.29389487555318</v>
      </c>
      <c r="M4004" s="12">
        <v>303.23472607972838</v>
      </c>
      <c r="N4004" s="12">
        <v>3000</v>
      </c>
      <c r="O4004" s="12">
        <v>575.93740803419939</v>
      </c>
      <c r="P4004" s="12">
        <v>0.5</v>
      </c>
      <c r="Q4004" s="12">
        <v>0.85</v>
      </c>
      <c r="R4004" s="12">
        <v>0.75</v>
      </c>
      <c r="S4004" s="12">
        <v>0.85</v>
      </c>
      <c r="T4004" s="12">
        <v>0.75</v>
      </c>
      <c r="U4004" s="12">
        <v>0.8</v>
      </c>
      <c r="V4004" s="12">
        <v>303.23472607972838</v>
      </c>
      <c r="W4004" s="12">
        <v>11.256113788383511</v>
      </c>
      <c r="X4004" s="12">
        <v>168.22906151225951</v>
      </c>
      <c r="Y4004" s="12">
        <v>2424.0625919658</v>
      </c>
      <c r="Z4004" s="12">
        <v>5.2088993667552481</v>
      </c>
      <c r="AA4004" s="12" t="s">
        <v>1268</v>
      </c>
      <c r="AB4004" s="12"/>
    </row>
    <row r="4005" spans="1:28" x14ac:dyDescent="0.3">
      <c r="A4005" s="12" t="s">
        <v>5939</v>
      </c>
      <c r="B4005" s="12" t="s">
        <v>206</v>
      </c>
      <c r="C4005" s="12" t="s">
        <v>637</v>
      </c>
      <c r="D4005" s="12" t="s">
        <v>5928</v>
      </c>
      <c r="E4005" s="12" t="s">
        <v>2978</v>
      </c>
      <c r="F4005" s="12" t="s">
        <v>32</v>
      </c>
      <c r="G4005" s="12" t="s">
        <v>32</v>
      </c>
      <c r="H4005" s="12" t="b">
        <v>1</v>
      </c>
      <c r="I4005" s="12" t="b">
        <v>0</v>
      </c>
      <c r="J4005" s="12" t="b">
        <v>1</v>
      </c>
      <c r="K4005" s="12" t="b">
        <v>0</v>
      </c>
      <c r="L4005" s="12">
        <v>441.2164437020428</v>
      </c>
      <c r="M4005" s="12">
        <v>283.74609786108891</v>
      </c>
      <c r="N4005" s="12">
        <v>3000</v>
      </c>
      <c r="O4005" s="12">
        <v>1393.4306341028871</v>
      </c>
      <c r="P4005" s="12">
        <v>0.5</v>
      </c>
      <c r="Q4005" s="12">
        <v>0.85</v>
      </c>
      <c r="R4005" s="12">
        <v>0.75</v>
      </c>
      <c r="S4005" s="12">
        <v>0.85</v>
      </c>
      <c r="T4005" s="12">
        <v>0.75</v>
      </c>
      <c r="U4005" s="12">
        <v>0.8</v>
      </c>
      <c r="V4005" s="12">
        <v>283.74609786108891</v>
      </c>
      <c r="W4005" s="12">
        <v>5.4434021287840899</v>
      </c>
      <c r="X4005" s="12">
        <v>44.891828419819348</v>
      </c>
      <c r="Y4005" s="12">
        <v>1606.5693658971129</v>
      </c>
      <c r="Z4005" s="12">
        <v>2.1529597000222749</v>
      </c>
      <c r="AA4005" s="12"/>
      <c r="AB4005" s="12"/>
    </row>
    <row r="4006" spans="1:28" x14ac:dyDescent="0.3">
      <c r="A4006" s="12" t="s">
        <v>5940</v>
      </c>
      <c r="B4006" s="12" t="s">
        <v>206</v>
      </c>
      <c r="C4006" s="12" t="s">
        <v>637</v>
      </c>
      <c r="D4006" s="12" t="s">
        <v>5928</v>
      </c>
      <c r="E4006" s="12" t="s">
        <v>2978</v>
      </c>
      <c r="F4006" s="12" t="s">
        <v>832</v>
      </c>
      <c r="G4006" s="12" t="s">
        <v>832</v>
      </c>
      <c r="H4006" s="12" t="b">
        <v>0</v>
      </c>
      <c r="I4006" s="12" t="b">
        <v>0</v>
      </c>
      <c r="J4006" s="12" t="b">
        <v>0</v>
      </c>
      <c r="K4006" s="12" t="b">
        <v>0</v>
      </c>
      <c r="L4006" s="12">
        <v>401.83374107249068</v>
      </c>
      <c r="M4006" s="12">
        <v>280.36630820784421</v>
      </c>
      <c r="N4006" s="12">
        <v>3000</v>
      </c>
      <c r="O4006" s="12">
        <v>897.23621550499695</v>
      </c>
      <c r="P4006" s="12">
        <v>0.5</v>
      </c>
      <c r="Q4006" s="12">
        <v>0.85</v>
      </c>
      <c r="R4006" s="12">
        <v>0.75</v>
      </c>
      <c r="S4006" s="12">
        <v>0.85</v>
      </c>
      <c r="T4006" s="12">
        <v>0.75</v>
      </c>
      <c r="U4006" s="12">
        <v>0.8</v>
      </c>
      <c r="V4006" s="12">
        <v>280.36630820784421</v>
      </c>
      <c r="W4006" s="12"/>
      <c r="X4006" s="12"/>
      <c r="Y4006" s="12">
        <v>2102.7637844950032</v>
      </c>
      <c r="Z4006" s="12">
        <v>3.3436011032072441</v>
      </c>
      <c r="AA4006" s="12"/>
      <c r="AB4006" s="12"/>
    </row>
    <row r="4007" spans="1:28" x14ac:dyDescent="0.3">
      <c r="A4007" s="12" t="s">
        <v>5941</v>
      </c>
      <c r="B4007" s="12" t="s">
        <v>206</v>
      </c>
      <c r="C4007" s="12" t="s">
        <v>637</v>
      </c>
      <c r="D4007" s="12" t="s">
        <v>5928</v>
      </c>
      <c r="E4007" s="12" t="s">
        <v>2978</v>
      </c>
      <c r="F4007" s="12" t="s">
        <v>1861</v>
      </c>
      <c r="G4007" s="12" t="s">
        <v>1861</v>
      </c>
      <c r="H4007" s="12" t="b">
        <v>1</v>
      </c>
      <c r="I4007" s="12" t="b">
        <v>0</v>
      </c>
      <c r="J4007" s="12" t="b">
        <v>1</v>
      </c>
      <c r="K4007" s="12" t="b">
        <v>0</v>
      </c>
      <c r="L4007" s="12">
        <v>508.39929522575733</v>
      </c>
      <c r="M4007" s="12">
        <v>292.16538836781501</v>
      </c>
      <c r="N4007" s="12">
        <v>3000</v>
      </c>
      <c r="O4007" s="12">
        <v>604.34611334055035</v>
      </c>
      <c r="P4007" s="12">
        <v>0.5</v>
      </c>
      <c r="Q4007" s="12">
        <v>0.85</v>
      </c>
      <c r="R4007" s="12">
        <v>0.75</v>
      </c>
      <c r="S4007" s="12">
        <v>0.85</v>
      </c>
      <c r="T4007" s="12">
        <v>0.75</v>
      </c>
      <c r="U4007" s="12">
        <v>0.8</v>
      </c>
      <c r="V4007" s="12">
        <v>292.16538836781501</v>
      </c>
      <c r="W4007" s="12">
        <v>11.065419581102439</v>
      </c>
      <c r="X4007" s="12">
        <v>190.8366580367915</v>
      </c>
      <c r="Y4007" s="12">
        <v>2395.6538866594501</v>
      </c>
      <c r="Z4007" s="12">
        <v>4.9640428452784526</v>
      </c>
      <c r="AA4007" s="12" t="s">
        <v>1268</v>
      </c>
      <c r="AB4007" s="12"/>
    </row>
    <row r="4008" spans="1:28" x14ac:dyDescent="0.3">
      <c r="A4008" s="12" t="s">
        <v>5942</v>
      </c>
      <c r="B4008" s="12" t="s">
        <v>206</v>
      </c>
      <c r="C4008" s="12" t="s">
        <v>637</v>
      </c>
      <c r="D4008" s="12" t="s">
        <v>5928</v>
      </c>
      <c r="E4008" s="12" t="s">
        <v>2978</v>
      </c>
      <c r="F4008" s="12" t="s">
        <v>1861</v>
      </c>
      <c r="G4008" s="12" t="s">
        <v>1861</v>
      </c>
      <c r="H4008" s="12" t="b">
        <v>1</v>
      </c>
      <c r="I4008" s="12" t="b">
        <v>0</v>
      </c>
      <c r="J4008" s="12" t="b">
        <v>1</v>
      </c>
      <c r="K4008" s="12" t="b">
        <v>0</v>
      </c>
      <c r="L4008" s="12">
        <v>485.9509311934093</v>
      </c>
      <c r="M4008" s="12">
        <v>295.27422828186951</v>
      </c>
      <c r="N4008" s="12">
        <v>3000</v>
      </c>
      <c r="O4008" s="12">
        <v>750.87629411973376</v>
      </c>
      <c r="P4008" s="12">
        <v>0.5</v>
      </c>
      <c r="Q4008" s="12">
        <v>0.85</v>
      </c>
      <c r="R4008" s="12">
        <v>0.75</v>
      </c>
      <c r="S4008" s="12">
        <v>0.85</v>
      </c>
      <c r="T4008" s="12">
        <v>0.75</v>
      </c>
      <c r="U4008" s="12">
        <v>0.8</v>
      </c>
      <c r="V4008" s="12">
        <v>295.27422828186951</v>
      </c>
      <c r="W4008" s="12">
        <v>9.8120319632064295</v>
      </c>
      <c r="X4008" s="12">
        <v>163.19106925053879</v>
      </c>
      <c r="Y4008" s="12">
        <v>2249.1237058802658</v>
      </c>
      <c r="Z4008" s="12">
        <v>3.9953318855497439</v>
      </c>
      <c r="AA4008" s="12" t="s">
        <v>1268</v>
      </c>
      <c r="AB4008" s="12"/>
    </row>
    <row r="4009" spans="1:28" x14ac:dyDescent="0.3">
      <c r="A4009" s="12" t="s">
        <v>5943</v>
      </c>
      <c r="B4009" s="12" t="s">
        <v>206</v>
      </c>
      <c r="C4009" s="12" t="s">
        <v>637</v>
      </c>
      <c r="D4009" s="12" t="s">
        <v>5928</v>
      </c>
      <c r="E4009" s="12" t="s">
        <v>2978</v>
      </c>
      <c r="F4009" s="12" t="s">
        <v>1863</v>
      </c>
      <c r="G4009" s="12" t="s">
        <v>832</v>
      </c>
      <c r="H4009" s="12" t="b">
        <v>0</v>
      </c>
      <c r="I4009" s="12" t="b">
        <v>0</v>
      </c>
      <c r="J4009" s="12" t="b">
        <v>0</v>
      </c>
      <c r="K4009" s="12" t="b">
        <v>0</v>
      </c>
      <c r="L4009" s="12">
        <v>381.65444096150651</v>
      </c>
      <c r="M4009" s="12">
        <v>299.98050760783048</v>
      </c>
      <c r="N4009" s="12">
        <v>3000</v>
      </c>
      <c r="O4009" s="12">
        <v>402.31120347060153</v>
      </c>
      <c r="P4009" s="12">
        <v>0.5</v>
      </c>
      <c r="Q4009" s="12">
        <v>0.85</v>
      </c>
      <c r="R4009" s="12">
        <v>0.75</v>
      </c>
      <c r="S4009" s="12">
        <v>0.85</v>
      </c>
      <c r="T4009" s="12">
        <v>0.75</v>
      </c>
      <c r="U4009" s="12">
        <v>0.8</v>
      </c>
      <c r="V4009" s="12">
        <v>299.98050760783048</v>
      </c>
      <c r="W4009" s="12">
        <v>-34.246015559582219</v>
      </c>
      <c r="X4009" s="12">
        <v>-23.515809233669689</v>
      </c>
      <c r="Y4009" s="12">
        <v>2597.688796529399</v>
      </c>
      <c r="Z4009" s="12">
        <v>7.4569138868617708</v>
      </c>
      <c r="AA4009" s="12" t="s">
        <v>2846</v>
      </c>
      <c r="AB4009" s="12"/>
    </row>
    <row r="4010" spans="1:28" x14ac:dyDescent="0.3">
      <c r="A4010" s="12" t="s">
        <v>5944</v>
      </c>
      <c r="B4010" s="12" t="s">
        <v>206</v>
      </c>
      <c r="C4010" s="12" t="s">
        <v>637</v>
      </c>
      <c r="D4010" s="12" t="s">
        <v>5928</v>
      </c>
      <c r="E4010" s="12" t="s">
        <v>2978</v>
      </c>
      <c r="F4010" s="12" t="s">
        <v>1861</v>
      </c>
      <c r="G4010" s="12" t="s">
        <v>1861</v>
      </c>
      <c r="H4010" s="12" t="b">
        <v>1</v>
      </c>
      <c r="I4010" s="12" t="b">
        <v>0</v>
      </c>
      <c r="J4010" s="12" t="b">
        <v>1</v>
      </c>
      <c r="K4010" s="12" t="b">
        <v>0</v>
      </c>
      <c r="L4010" s="12">
        <v>495.79916960336152</v>
      </c>
      <c r="M4010" s="12">
        <v>290.91941808450201</v>
      </c>
      <c r="N4010" s="12">
        <v>3000</v>
      </c>
      <c r="O4010" s="12">
        <v>856.34256450627367</v>
      </c>
      <c r="P4010" s="12">
        <v>0.5</v>
      </c>
      <c r="Q4010" s="12">
        <v>0.85</v>
      </c>
      <c r="R4010" s="12">
        <v>0.75</v>
      </c>
      <c r="S4010" s="12">
        <v>0.85</v>
      </c>
      <c r="T4010" s="12">
        <v>0.75</v>
      </c>
      <c r="U4010" s="12">
        <v>0.8</v>
      </c>
      <c r="V4010" s="12">
        <v>290.91941808450201</v>
      </c>
      <c r="W4010" s="12">
        <v>9.0596560688480903</v>
      </c>
      <c r="X4010" s="12">
        <v>154.08438846211561</v>
      </c>
      <c r="Y4010" s="12">
        <v>2143.657435493727</v>
      </c>
      <c r="Z4010" s="12">
        <v>3.5032709155706359</v>
      </c>
      <c r="AA4010" s="12" t="s">
        <v>1268</v>
      </c>
      <c r="AB4010" s="12"/>
    </row>
    <row r="4011" spans="1:28" x14ac:dyDescent="0.3">
      <c r="A4011" s="12" t="s">
        <v>5945</v>
      </c>
      <c r="B4011" s="12" t="s">
        <v>206</v>
      </c>
      <c r="C4011" s="12" t="s">
        <v>637</v>
      </c>
      <c r="D4011" s="12" t="s">
        <v>5928</v>
      </c>
      <c r="E4011" s="12" t="s">
        <v>2978</v>
      </c>
      <c r="F4011" s="12" t="s">
        <v>1861</v>
      </c>
      <c r="G4011" s="12" t="s">
        <v>1861</v>
      </c>
      <c r="H4011" s="12" t="b">
        <v>1</v>
      </c>
      <c r="I4011" s="12" t="b">
        <v>0</v>
      </c>
      <c r="J4011" s="12" t="b">
        <v>1</v>
      </c>
      <c r="K4011" s="12" t="b">
        <v>0</v>
      </c>
      <c r="L4011" s="12">
        <v>438.32894142049258</v>
      </c>
      <c r="M4011" s="12">
        <v>296.97813576342389</v>
      </c>
      <c r="N4011" s="12">
        <v>3000</v>
      </c>
      <c r="O4011" s="12">
        <v>306.72582021436352</v>
      </c>
      <c r="P4011" s="12">
        <v>0.5</v>
      </c>
      <c r="Q4011" s="12">
        <v>0.85</v>
      </c>
      <c r="R4011" s="12">
        <v>0.75</v>
      </c>
      <c r="S4011" s="12">
        <v>0.85</v>
      </c>
      <c r="T4011" s="12">
        <v>0.75</v>
      </c>
      <c r="U4011" s="12">
        <v>0.8</v>
      </c>
      <c r="V4011" s="12">
        <v>296.97813576342389</v>
      </c>
      <c r="W4011" s="12">
        <v>14.30929697296526</v>
      </c>
      <c r="X4011" s="12">
        <v>107.60066506499921</v>
      </c>
      <c r="Y4011" s="12">
        <v>2693.274179785637</v>
      </c>
      <c r="Z4011" s="12">
        <v>9.7807220725772943</v>
      </c>
      <c r="AA4011" s="12" t="s">
        <v>1268</v>
      </c>
      <c r="AB4011" s="12"/>
    </row>
    <row r="4012" spans="1:28" x14ac:dyDescent="0.3">
      <c r="A4012" s="12" t="s">
        <v>5946</v>
      </c>
      <c r="B4012" s="12" t="s">
        <v>206</v>
      </c>
      <c r="C4012" s="12" t="s">
        <v>637</v>
      </c>
      <c r="D4012" s="12" t="s">
        <v>5928</v>
      </c>
      <c r="E4012" s="12" t="s">
        <v>2978</v>
      </c>
      <c r="F4012" s="12" t="s">
        <v>32</v>
      </c>
      <c r="G4012" s="12" t="s">
        <v>32</v>
      </c>
      <c r="H4012" s="12" t="b">
        <v>1</v>
      </c>
      <c r="I4012" s="12" t="b">
        <v>1</v>
      </c>
      <c r="J4012" s="12" t="b">
        <v>0</v>
      </c>
      <c r="K4012" s="12" t="b">
        <v>0</v>
      </c>
      <c r="L4012" s="12">
        <v>415.09853795506882</v>
      </c>
      <c r="M4012" s="12">
        <v>290.55037719599181</v>
      </c>
      <c r="N4012" s="12">
        <v>3000</v>
      </c>
      <c r="O4012" s="12">
        <v>1252.4668806980551</v>
      </c>
      <c r="P4012" s="12">
        <v>0.5</v>
      </c>
      <c r="Q4012" s="12">
        <v>0.85</v>
      </c>
      <c r="R4012" s="12">
        <v>0.75</v>
      </c>
      <c r="S4012" s="12">
        <v>0.85</v>
      </c>
      <c r="T4012" s="12">
        <v>0.75</v>
      </c>
      <c r="U4012" s="12">
        <v>0.8</v>
      </c>
      <c r="V4012" s="12">
        <v>290.55037719599181</v>
      </c>
      <c r="W4012" s="12">
        <v>5.2945238690057694</v>
      </c>
      <c r="X4012" s="12">
        <v>24.282514330026348</v>
      </c>
      <c r="Y4012" s="12">
        <v>1747.5331193019449</v>
      </c>
      <c r="Z4012" s="12">
        <v>2.3952729179776542</v>
      </c>
      <c r="AA4012" s="12"/>
      <c r="AB4012" s="12"/>
    </row>
    <row r="4013" spans="1:28" x14ac:dyDescent="0.3">
      <c r="A4013" s="12" t="s">
        <v>5947</v>
      </c>
      <c r="B4013" s="12" t="s">
        <v>206</v>
      </c>
      <c r="C4013" s="12" t="s">
        <v>637</v>
      </c>
      <c r="D4013" s="12" t="s">
        <v>5928</v>
      </c>
      <c r="E4013" s="12" t="s">
        <v>2978</v>
      </c>
      <c r="F4013" s="12" t="s">
        <v>32</v>
      </c>
      <c r="G4013" s="12" t="s">
        <v>32</v>
      </c>
      <c r="H4013" s="12" t="b">
        <v>1</v>
      </c>
      <c r="I4013" s="12" t="b">
        <v>0</v>
      </c>
      <c r="J4013" s="12" t="b">
        <v>1</v>
      </c>
      <c r="K4013" s="12" t="b">
        <v>0</v>
      </c>
      <c r="L4013" s="12">
        <v>453.42593656051912</v>
      </c>
      <c r="M4013" s="12">
        <v>286.81051280410162</v>
      </c>
      <c r="N4013" s="12">
        <v>3000</v>
      </c>
      <c r="O4013" s="12">
        <v>1284.2530804505291</v>
      </c>
      <c r="P4013" s="12">
        <v>0.5</v>
      </c>
      <c r="Q4013" s="12">
        <v>0.85</v>
      </c>
      <c r="R4013" s="12">
        <v>0.75</v>
      </c>
      <c r="S4013" s="12">
        <v>0.85</v>
      </c>
      <c r="T4013" s="12">
        <v>0.75</v>
      </c>
      <c r="U4013" s="12">
        <v>0.8</v>
      </c>
      <c r="V4013" s="12">
        <v>286.81051280410162</v>
      </c>
      <c r="W4013" s="12">
        <v>6.3227514507589397</v>
      </c>
      <c r="X4013" s="12">
        <v>66.878607041276609</v>
      </c>
      <c r="Y4013" s="12">
        <v>1715.7469195494709</v>
      </c>
      <c r="Z4013" s="12">
        <v>2.3359881674938792</v>
      </c>
      <c r="AA4013" s="12"/>
      <c r="AB4013" s="12"/>
    </row>
    <row r="4014" spans="1:28" x14ac:dyDescent="0.3">
      <c r="A4014" s="12" t="s">
        <v>5948</v>
      </c>
      <c r="B4014" s="12" t="s">
        <v>206</v>
      </c>
      <c r="C4014" s="12" t="s">
        <v>637</v>
      </c>
      <c r="D4014" s="12" t="s">
        <v>5928</v>
      </c>
      <c r="E4014" s="12" t="s">
        <v>2978</v>
      </c>
      <c r="F4014" s="12" t="s">
        <v>32</v>
      </c>
      <c r="G4014" s="12" t="s">
        <v>32</v>
      </c>
      <c r="H4014" s="12" t="b">
        <v>1</v>
      </c>
      <c r="I4014" s="12" t="b">
        <v>0</v>
      </c>
      <c r="J4014" s="12" t="b">
        <v>1</v>
      </c>
      <c r="K4014" s="12" t="b">
        <v>0</v>
      </c>
      <c r="L4014" s="12">
        <v>462.0221652764215</v>
      </c>
      <c r="M4014" s="12">
        <v>279.05687546678502</v>
      </c>
      <c r="N4014" s="12">
        <v>3000</v>
      </c>
      <c r="O4014" s="12">
        <v>1641.92395500055</v>
      </c>
      <c r="P4014" s="12">
        <v>0.5</v>
      </c>
      <c r="Q4014" s="12">
        <v>0.85</v>
      </c>
      <c r="R4014" s="12">
        <v>0.75</v>
      </c>
      <c r="S4014" s="12">
        <v>0.85</v>
      </c>
      <c r="T4014" s="12">
        <v>0.75</v>
      </c>
      <c r="U4014" s="12">
        <v>0.8</v>
      </c>
      <c r="V4014" s="12">
        <v>279.05687546678502</v>
      </c>
      <c r="W4014" s="12">
        <v>4.5817535583103197</v>
      </c>
      <c r="X4014" s="12">
        <v>59.685969347790433</v>
      </c>
      <c r="Y4014" s="12">
        <v>1358.07604499945</v>
      </c>
      <c r="Z4014" s="12">
        <v>1.8271248134625051</v>
      </c>
      <c r="AA4014" s="12"/>
      <c r="AB4014" s="12"/>
    </row>
    <row r="4015" spans="1:28" x14ac:dyDescent="0.3">
      <c r="A4015" s="12" t="s">
        <v>5949</v>
      </c>
      <c r="B4015" s="12" t="s">
        <v>206</v>
      </c>
      <c r="C4015" s="12" t="s">
        <v>637</v>
      </c>
      <c r="D4015" s="12" t="s">
        <v>5928</v>
      </c>
      <c r="E4015" s="12" t="s">
        <v>2978</v>
      </c>
      <c r="F4015" s="12" t="s">
        <v>1861</v>
      </c>
      <c r="G4015" s="12" t="s">
        <v>1861</v>
      </c>
      <c r="H4015" s="12" t="b">
        <v>1</v>
      </c>
      <c r="I4015" s="12" t="b">
        <v>0</v>
      </c>
      <c r="J4015" s="12" t="b">
        <v>1</v>
      </c>
      <c r="K4015" s="12" t="b">
        <v>0</v>
      </c>
      <c r="L4015" s="12">
        <v>458.21940744331482</v>
      </c>
      <c r="M4015" s="12">
        <v>298.3153514048098</v>
      </c>
      <c r="N4015" s="12">
        <v>3000</v>
      </c>
      <c r="O4015" s="12">
        <v>1102.8570822707411</v>
      </c>
      <c r="P4015" s="12">
        <v>0.5</v>
      </c>
      <c r="Q4015" s="12">
        <v>0.85</v>
      </c>
      <c r="R4015" s="12">
        <v>0.75</v>
      </c>
      <c r="S4015" s="12">
        <v>0.85</v>
      </c>
      <c r="T4015" s="12">
        <v>0.75</v>
      </c>
      <c r="U4015" s="12">
        <v>0.8</v>
      </c>
      <c r="V4015" s="12">
        <v>298.3153514048098</v>
      </c>
      <c r="W4015" s="12">
        <v>7.5925235235512298</v>
      </c>
      <c r="X4015" s="12">
        <v>87.311367671694342</v>
      </c>
      <c r="Y4015" s="12">
        <v>1897.1429177292589</v>
      </c>
      <c r="Z4015" s="12">
        <v>2.720207403322934</v>
      </c>
      <c r="AA4015" s="12" t="s">
        <v>1268</v>
      </c>
      <c r="AB4015" s="12"/>
    </row>
    <row r="4016" spans="1:28" x14ac:dyDescent="0.3">
      <c r="A4016" s="12" t="s">
        <v>5950</v>
      </c>
      <c r="B4016" s="12" t="s">
        <v>206</v>
      </c>
      <c r="C4016" s="12" t="s">
        <v>637</v>
      </c>
      <c r="D4016" s="12" t="s">
        <v>5928</v>
      </c>
      <c r="E4016" s="12" t="s">
        <v>2978</v>
      </c>
      <c r="F4016" s="12" t="s">
        <v>32</v>
      </c>
      <c r="G4016" s="12" t="s">
        <v>32</v>
      </c>
      <c r="H4016" s="12" t="b">
        <v>1</v>
      </c>
      <c r="I4016" s="12" t="b">
        <v>1</v>
      </c>
      <c r="J4016" s="12" t="b">
        <v>0</v>
      </c>
      <c r="K4016" s="12" t="b">
        <v>0</v>
      </c>
      <c r="L4016" s="12">
        <v>417.4916292043406</v>
      </c>
      <c r="M4016" s="12">
        <v>300.8558039161872</v>
      </c>
      <c r="N4016" s="12">
        <v>3000</v>
      </c>
      <c r="O4016" s="12">
        <v>1877.2491555205861</v>
      </c>
      <c r="P4016" s="12">
        <v>0.5</v>
      </c>
      <c r="Q4016" s="12">
        <v>0.85</v>
      </c>
      <c r="R4016" s="12">
        <v>0.75</v>
      </c>
      <c r="S4016" s="12">
        <v>0.85</v>
      </c>
      <c r="T4016" s="12">
        <v>0.75</v>
      </c>
      <c r="U4016" s="12">
        <v>0.8</v>
      </c>
      <c r="V4016" s="12">
        <v>300.8558039161872</v>
      </c>
      <c r="W4016" s="12">
        <v>3.04973900568634</v>
      </c>
      <c r="X4016" s="12">
        <v>14.31887144038499</v>
      </c>
      <c r="Y4016" s="12">
        <v>1122.7508444794139</v>
      </c>
      <c r="Z4016" s="12">
        <v>1.598083020134885</v>
      </c>
      <c r="AA4016" s="12"/>
      <c r="AB4016" s="12"/>
    </row>
    <row r="4017" spans="1:28" x14ac:dyDescent="0.3">
      <c r="A4017" s="12" t="s">
        <v>5951</v>
      </c>
      <c r="B4017" s="12" t="s">
        <v>206</v>
      </c>
      <c r="C4017" s="12" t="s">
        <v>637</v>
      </c>
      <c r="D4017" s="12" t="s">
        <v>5928</v>
      </c>
      <c r="E4017" s="12" t="s">
        <v>2978</v>
      </c>
      <c r="F4017" s="12" t="s">
        <v>1861</v>
      </c>
      <c r="G4017" s="12" t="s">
        <v>1861</v>
      </c>
      <c r="H4017" s="12" t="b">
        <v>1</v>
      </c>
      <c r="I4017" s="12" t="b">
        <v>0</v>
      </c>
      <c r="J4017" s="12" t="b">
        <v>1</v>
      </c>
      <c r="K4017" s="12" t="b">
        <v>0</v>
      </c>
      <c r="L4017" s="12">
        <v>475.84240668023779</v>
      </c>
      <c r="M4017" s="12">
        <v>293.07094409800521</v>
      </c>
      <c r="N4017" s="12">
        <v>3000</v>
      </c>
      <c r="O4017" s="12">
        <v>1963.0838574520219</v>
      </c>
      <c r="P4017" s="12">
        <v>0.5</v>
      </c>
      <c r="Q4017" s="12">
        <v>0.85</v>
      </c>
      <c r="R4017" s="12">
        <v>0.75</v>
      </c>
      <c r="S4017" s="12">
        <v>0.85</v>
      </c>
      <c r="T4017" s="12">
        <v>0.75</v>
      </c>
      <c r="U4017" s="12">
        <v>0.8</v>
      </c>
      <c r="V4017" s="12">
        <v>293.07094409800521</v>
      </c>
      <c r="W4017" s="12">
        <v>3.4115948635965898</v>
      </c>
      <c r="X4017" s="12">
        <v>55.9525648389899</v>
      </c>
      <c r="Y4017" s="12">
        <v>1036.9161425479781</v>
      </c>
      <c r="Z4017" s="12">
        <v>1.528207767901387</v>
      </c>
      <c r="AA4017" s="12" t="s">
        <v>1268</v>
      </c>
      <c r="AB4017" s="12"/>
    </row>
    <row r="4018" spans="1:28" x14ac:dyDescent="0.3">
      <c r="A4018" s="12" t="s">
        <v>5952</v>
      </c>
      <c r="B4018" s="12" t="s">
        <v>206</v>
      </c>
      <c r="C4018" s="12" t="s">
        <v>637</v>
      </c>
      <c r="D4018" s="12" t="s">
        <v>5928</v>
      </c>
      <c r="E4018" s="12" t="s">
        <v>2978</v>
      </c>
      <c r="F4018" s="12" t="s">
        <v>1861</v>
      </c>
      <c r="G4018" s="12" t="s">
        <v>1861</v>
      </c>
      <c r="H4018" s="12" t="b">
        <v>1</v>
      </c>
      <c r="I4018" s="12" t="b">
        <v>0</v>
      </c>
      <c r="J4018" s="12" t="b">
        <v>1</v>
      </c>
      <c r="K4018" s="12" t="b">
        <v>0</v>
      </c>
      <c r="L4018" s="12">
        <v>505.52617166106518</v>
      </c>
      <c r="M4018" s="12">
        <v>301.73430023049701</v>
      </c>
      <c r="N4018" s="12">
        <v>3000</v>
      </c>
      <c r="O4018" s="12">
        <v>1037.3721032919759</v>
      </c>
      <c r="P4018" s="12">
        <v>0.5</v>
      </c>
      <c r="Q4018" s="12">
        <v>0.85</v>
      </c>
      <c r="R4018" s="12">
        <v>0.75</v>
      </c>
      <c r="S4018" s="12">
        <v>0.85</v>
      </c>
      <c r="T4018" s="12">
        <v>0.75</v>
      </c>
      <c r="U4018" s="12">
        <v>0.8</v>
      </c>
      <c r="V4018" s="12">
        <v>301.73430023049701</v>
      </c>
      <c r="W4018" s="12">
        <v>7.7426873743665592</v>
      </c>
      <c r="X4018" s="12">
        <v>130.5228795755603</v>
      </c>
      <c r="Y4018" s="12">
        <v>1962.6278967080241</v>
      </c>
      <c r="Z4018" s="12">
        <v>2.891922763760332</v>
      </c>
      <c r="AA4018" s="12" t="s">
        <v>1268</v>
      </c>
      <c r="AB4018" s="12"/>
    </row>
    <row r="4019" spans="1:28" x14ac:dyDescent="0.3">
      <c r="A4019" s="12" t="s">
        <v>5953</v>
      </c>
      <c r="B4019" s="12" t="s">
        <v>206</v>
      </c>
      <c r="C4019" s="12" t="s">
        <v>637</v>
      </c>
      <c r="D4019" s="12" t="s">
        <v>5928</v>
      </c>
      <c r="E4019" s="12" t="s">
        <v>2978</v>
      </c>
      <c r="F4019" s="12" t="s">
        <v>32</v>
      </c>
      <c r="G4019" s="12" t="s">
        <v>32</v>
      </c>
      <c r="H4019" s="12" t="b">
        <v>1</v>
      </c>
      <c r="I4019" s="12" t="b">
        <v>0</v>
      </c>
      <c r="J4019" s="12" t="b">
        <v>1</v>
      </c>
      <c r="K4019" s="12" t="b">
        <v>0</v>
      </c>
      <c r="L4019" s="12">
        <v>449.84685856317782</v>
      </c>
      <c r="M4019" s="12">
        <v>282.72775724938089</v>
      </c>
      <c r="N4019" s="12">
        <v>3000</v>
      </c>
      <c r="O4019" s="12">
        <v>1168.972064652047</v>
      </c>
      <c r="P4019" s="12">
        <v>0.5</v>
      </c>
      <c r="Q4019" s="12">
        <v>0.85</v>
      </c>
      <c r="R4019" s="12">
        <v>0.75</v>
      </c>
      <c r="S4019" s="12">
        <v>0.85</v>
      </c>
      <c r="T4019" s="12">
        <v>0.75</v>
      </c>
      <c r="U4019" s="12">
        <v>0.8</v>
      </c>
      <c r="V4019" s="12">
        <v>282.72775724938089</v>
      </c>
      <c r="W4019" s="12">
        <v>6.8434861728511098</v>
      </c>
      <c r="X4019" s="12">
        <v>67.687904870754735</v>
      </c>
      <c r="Y4019" s="12">
        <v>1831.027935347953</v>
      </c>
      <c r="Z4019" s="12">
        <v>2.5663573071722392</v>
      </c>
      <c r="AA4019" s="12"/>
      <c r="AB4019" s="12"/>
    </row>
    <row r="4020" spans="1:28" x14ac:dyDescent="0.3">
      <c r="A4020" s="12" t="s">
        <v>5954</v>
      </c>
      <c r="B4020" s="12" t="s">
        <v>206</v>
      </c>
      <c r="C4020" s="12" t="s">
        <v>637</v>
      </c>
      <c r="D4020" s="12" t="s">
        <v>5928</v>
      </c>
      <c r="E4020" s="12" t="s">
        <v>2978</v>
      </c>
      <c r="F4020" s="12" t="s">
        <v>1861</v>
      </c>
      <c r="G4020" s="12" t="s">
        <v>1861</v>
      </c>
      <c r="H4020" s="12" t="b">
        <v>1</v>
      </c>
      <c r="I4020" s="12" t="b">
        <v>0</v>
      </c>
      <c r="J4020" s="12" t="b">
        <v>1</v>
      </c>
      <c r="K4020" s="12" t="b">
        <v>0</v>
      </c>
      <c r="L4020" s="12">
        <v>481.64446539617461</v>
      </c>
      <c r="M4020" s="12">
        <v>284.19470315637727</v>
      </c>
      <c r="N4020" s="12">
        <v>3000</v>
      </c>
      <c r="O4020" s="12">
        <v>1708.643273353171</v>
      </c>
      <c r="P4020" s="12">
        <v>0.5</v>
      </c>
      <c r="Q4020" s="12">
        <v>0.85</v>
      </c>
      <c r="R4020" s="12">
        <v>0.75</v>
      </c>
      <c r="S4020" s="12">
        <v>0.85</v>
      </c>
      <c r="T4020" s="12">
        <v>0.75</v>
      </c>
      <c r="U4020" s="12">
        <v>0.8</v>
      </c>
      <c r="V4020" s="12">
        <v>284.19470315637727</v>
      </c>
      <c r="W4020" s="12">
        <v>4.4435937307975104</v>
      </c>
      <c r="X4020" s="12">
        <v>74.779702671764369</v>
      </c>
      <c r="Y4020" s="12">
        <v>1291.356726646829</v>
      </c>
      <c r="Z4020" s="12">
        <v>1.75577901296657</v>
      </c>
      <c r="AA4020" s="12" t="s">
        <v>1268</v>
      </c>
      <c r="AB4020" s="12"/>
    </row>
    <row r="4021" spans="1:28" x14ac:dyDescent="0.3">
      <c r="A4021" s="12" t="s">
        <v>5955</v>
      </c>
      <c r="B4021" s="12" t="s">
        <v>206</v>
      </c>
      <c r="C4021" s="12" t="s">
        <v>637</v>
      </c>
      <c r="D4021" s="12" t="s">
        <v>5928</v>
      </c>
      <c r="E4021" s="12" t="s">
        <v>2978</v>
      </c>
      <c r="F4021" s="12" t="s">
        <v>1861</v>
      </c>
      <c r="G4021" s="12" t="s">
        <v>1861</v>
      </c>
      <c r="H4021" s="12" t="b">
        <v>1</v>
      </c>
      <c r="I4021" s="12" t="b">
        <v>0</v>
      </c>
      <c r="J4021" s="12" t="b">
        <v>1</v>
      </c>
      <c r="K4021" s="12" t="b">
        <v>0</v>
      </c>
      <c r="L4021" s="12">
        <v>512.83757412120463</v>
      </c>
      <c r="M4021" s="12">
        <v>286.04292338250008</v>
      </c>
      <c r="N4021" s="12">
        <v>3000</v>
      </c>
      <c r="O4021" s="12">
        <v>927.7683686426742</v>
      </c>
      <c r="P4021" s="12">
        <v>0.5</v>
      </c>
      <c r="Q4021" s="12">
        <v>0.85</v>
      </c>
      <c r="R4021" s="12">
        <v>0.75</v>
      </c>
      <c r="S4021" s="12">
        <v>0.85</v>
      </c>
      <c r="T4021" s="12">
        <v>0.75</v>
      </c>
      <c r="U4021" s="12">
        <v>0.8</v>
      </c>
      <c r="V4021" s="12">
        <v>286.04292338250008</v>
      </c>
      <c r="W4021" s="12">
        <v>8.5826149914832701</v>
      </c>
      <c r="X4021" s="12">
        <v>150.649524303552</v>
      </c>
      <c r="Y4021" s="12">
        <v>2072.231631357326</v>
      </c>
      <c r="Z4021" s="12">
        <v>3.2335657276061291</v>
      </c>
      <c r="AA4021" s="12" t="s">
        <v>1268</v>
      </c>
      <c r="AB4021" s="12"/>
    </row>
    <row r="4022" spans="1:28" x14ac:dyDescent="0.3">
      <c r="A4022" s="12" t="s">
        <v>5956</v>
      </c>
      <c r="B4022" s="12" t="s">
        <v>206</v>
      </c>
      <c r="C4022" s="12" t="s">
        <v>637</v>
      </c>
      <c r="D4022" s="12" t="s">
        <v>5928</v>
      </c>
      <c r="E4022" s="12" t="s">
        <v>2978</v>
      </c>
      <c r="F4022" s="12" t="s">
        <v>1861</v>
      </c>
      <c r="G4022" s="12" t="s">
        <v>1861</v>
      </c>
      <c r="H4022" s="12" t="b">
        <v>1</v>
      </c>
      <c r="I4022" s="12" t="b">
        <v>0</v>
      </c>
      <c r="J4022" s="12" t="b">
        <v>1</v>
      </c>
      <c r="K4022" s="12" t="b">
        <v>0</v>
      </c>
      <c r="L4022" s="12">
        <v>516.65081982384424</v>
      </c>
      <c r="M4022" s="12">
        <v>293.83681716980988</v>
      </c>
      <c r="N4022" s="12">
        <v>3000</v>
      </c>
      <c r="O4022" s="12">
        <v>1535.216717011496</v>
      </c>
      <c r="P4022" s="12">
        <v>0.5</v>
      </c>
      <c r="Q4022" s="12">
        <v>0.85</v>
      </c>
      <c r="R4022" s="12">
        <v>0.75</v>
      </c>
      <c r="S4022" s="12">
        <v>0.85</v>
      </c>
      <c r="T4022" s="12">
        <v>0.75</v>
      </c>
      <c r="U4022" s="12">
        <v>0.8</v>
      </c>
      <c r="V4022" s="12">
        <v>293.83681716980988</v>
      </c>
      <c r="W4022" s="12">
        <v>5.1839039930001398</v>
      </c>
      <c r="X4022" s="12">
        <v>89.927639861707988</v>
      </c>
      <c r="Y4022" s="12">
        <v>1464.783282988504</v>
      </c>
      <c r="Z4022" s="12">
        <v>1.9541215039918931</v>
      </c>
      <c r="AA4022" s="12" t="s">
        <v>1268</v>
      </c>
      <c r="AB4022" s="12"/>
    </row>
    <row r="4023" spans="1:28" x14ac:dyDescent="0.3">
      <c r="A4023" s="12" t="s">
        <v>5957</v>
      </c>
      <c r="B4023" s="12" t="s">
        <v>206</v>
      </c>
      <c r="C4023" s="12" t="s">
        <v>637</v>
      </c>
      <c r="D4023" s="12" t="s">
        <v>5928</v>
      </c>
      <c r="E4023" s="12" t="s">
        <v>2978</v>
      </c>
      <c r="F4023" s="12" t="s">
        <v>32</v>
      </c>
      <c r="G4023" s="12" t="s">
        <v>32</v>
      </c>
      <c r="H4023" s="12" t="b">
        <v>1</v>
      </c>
      <c r="I4023" s="12" t="b">
        <v>1</v>
      </c>
      <c r="J4023" s="12" t="b">
        <v>0</v>
      </c>
      <c r="K4023" s="12" t="b">
        <v>0</v>
      </c>
      <c r="L4023" s="12">
        <v>397.22297950358592</v>
      </c>
      <c r="M4023" s="12">
        <v>285.13959243725151</v>
      </c>
      <c r="N4023" s="12">
        <v>3000</v>
      </c>
      <c r="O4023" s="12">
        <v>518.21453144503437</v>
      </c>
      <c r="P4023" s="12">
        <v>0.5</v>
      </c>
      <c r="Q4023" s="12">
        <v>0.85</v>
      </c>
      <c r="R4023" s="12">
        <v>0.75</v>
      </c>
      <c r="S4023" s="12">
        <v>0.85</v>
      </c>
      <c r="T4023" s="12">
        <v>0.75</v>
      </c>
      <c r="U4023" s="12">
        <v>0.8</v>
      </c>
      <c r="V4023" s="12">
        <v>285.13959243725151</v>
      </c>
      <c r="W4023" s="12">
        <v>6.4732542398652404</v>
      </c>
      <c r="X4023" s="12">
        <v>16.50727515995418</v>
      </c>
      <c r="Y4023" s="12">
        <v>2481.7854685549651</v>
      </c>
      <c r="Z4023" s="12">
        <v>5.7891082128371423</v>
      </c>
      <c r="AA4023" s="12"/>
      <c r="AB4023" s="12"/>
    </row>
    <row r="4024" spans="1:28" x14ac:dyDescent="0.3">
      <c r="A4024" s="12" t="s">
        <v>5958</v>
      </c>
      <c r="B4024" s="12" t="s">
        <v>206</v>
      </c>
      <c r="C4024" s="12" t="s">
        <v>641</v>
      </c>
      <c r="D4024" s="12" t="s">
        <v>5959</v>
      </c>
      <c r="E4024" s="12" t="s">
        <v>2978</v>
      </c>
      <c r="F4024" s="12" t="s">
        <v>1862</v>
      </c>
      <c r="G4024" s="12" t="s">
        <v>1862</v>
      </c>
      <c r="H4024" s="12" t="b">
        <v>1</v>
      </c>
      <c r="I4024" s="12" t="b">
        <v>0</v>
      </c>
      <c r="J4024" s="12" t="b">
        <v>1</v>
      </c>
      <c r="K4024" s="12" t="b">
        <v>0</v>
      </c>
      <c r="L4024" s="12">
        <v>514.42072740054618</v>
      </c>
      <c r="M4024" s="12">
        <v>303.19585303740013</v>
      </c>
      <c r="N4024" s="12">
        <v>3000</v>
      </c>
      <c r="O4024" s="12">
        <v>400</v>
      </c>
      <c r="P4024" s="12">
        <v>0.5</v>
      </c>
      <c r="Q4024" s="12">
        <v>0.67058476791989841</v>
      </c>
      <c r="R4024" s="12">
        <v>0.41112031731032411</v>
      </c>
      <c r="S4024" s="12">
        <v>0.4111959148797098</v>
      </c>
      <c r="T4024" s="12">
        <v>0.76427644838803399</v>
      </c>
      <c r="U4024" s="12">
        <v>0.58612766455085785</v>
      </c>
      <c r="V4024" s="12">
        <v>303.19585303740013</v>
      </c>
      <c r="W4024" s="12">
        <v>-5.52661830955455</v>
      </c>
      <c r="X4024" s="12">
        <v>-38.257575324527267</v>
      </c>
      <c r="Y4024" s="12">
        <v>2600</v>
      </c>
      <c r="Z4024" s="12">
        <v>7.5</v>
      </c>
      <c r="AA4024" s="12" t="s">
        <v>2513</v>
      </c>
      <c r="AB4024" s="12"/>
    </row>
    <row r="4025" spans="1:28" x14ac:dyDescent="0.3">
      <c r="A4025" s="12" t="s">
        <v>5960</v>
      </c>
      <c r="B4025" s="12" t="s">
        <v>206</v>
      </c>
      <c r="C4025" s="12" t="s">
        <v>641</v>
      </c>
      <c r="D4025" s="12" t="s">
        <v>5959</v>
      </c>
      <c r="E4025" s="12" t="s">
        <v>2978</v>
      </c>
      <c r="F4025" s="12" t="s">
        <v>1861</v>
      </c>
      <c r="G4025" s="12" t="s">
        <v>1861</v>
      </c>
      <c r="H4025" s="12" t="b">
        <v>1</v>
      </c>
      <c r="I4025" s="12" t="b">
        <v>0</v>
      </c>
      <c r="J4025" s="12" t="b">
        <v>1</v>
      </c>
      <c r="K4025" s="12" t="b">
        <v>0</v>
      </c>
      <c r="L4025" s="12">
        <v>439.50219578573939</v>
      </c>
      <c r="M4025" s="12">
        <v>289.02642076128649</v>
      </c>
      <c r="N4025" s="12">
        <v>3000</v>
      </c>
      <c r="O4025" s="12">
        <v>400</v>
      </c>
      <c r="P4025" s="12">
        <v>0.5</v>
      </c>
      <c r="Q4025" s="12">
        <v>0.86834752091298584</v>
      </c>
      <c r="R4025" s="12">
        <v>0.74581021858988283</v>
      </c>
      <c r="S4025" s="12">
        <v>0.92943834753699683</v>
      </c>
      <c r="T4025" s="12">
        <v>0.6343460275676901</v>
      </c>
      <c r="U4025" s="12">
        <v>0.84345963919045719</v>
      </c>
      <c r="V4025" s="12">
        <v>289.02642076128649</v>
      </c>
      <c r="W4025" s="12">
        <v>13.05909567676146</v>
      </c>
      <c r="X4025" s="12">
        <v>119.70653967428061</v>
      </c>
      <c r="Y4025" s="12">
        <v>2600</v>
      </c>
      <c r="Z4025" s="12">
        <v>7.5</v>
      </c>
      <c r="AA4025" s="12" t="s">
        <v>1268</v>
      </c>
      <c r="AB4025" s="12"/>
    </row>
    <row r="4026" spans="1:28" x14ac:dyDescent="0.3">
      <c r="A4026" s="12" t="s">
        <v>5961</v>
      </c>
      <c r="B4026" s="12" t="s">
        <v>206</v>
      </c>
      <c r="C4026" s="12" t="s">
        <v>641</v>
      </c>
      <c r="D4026" s="12" t="s">
        <v>5959</v>
      </c>
      <c r="E4026" s="12" t="s">
        <v>2978</v>
      </c>
      <c r="F4026" s="12" t="s">
        <v>1861</v>
      </c>
      <c r="G4026" s="12" t="s">
        <v>1861</v>
      </c>
      <c r="H4026" s="12" t="b">
        <v>1</v>
      </c>
      <c r="I4026" s="12" t="b">
        <v>0</v>
      </c>
      <c r="J4026" s="12" t="b">
        <v>0</v>
      </c>
      <c r="K4026" s="12" t="b">
        <v>0</v>
      </c>
      <c r="L4026" s="12">
        <v>413.22149181439232</v>
      </c>
      <c r="M4026" s="12">
        <v>284.11036976287318</v>
      </c>
      <c r="N4026" s="12">
        <v>3000</v>
      </c>
      <c r="O4026" s="12">
        <v>400</v>
      </c>
      <c r="P4026" s="12">
        <v>0.5</v>
      </c>
      <c r="Q4026" s="12">
        <v>0.62056660573829214</v>
      </c>
      <c r="R4026" s="12">
        <v>0.9421701664446096</v>
      </c>
      <c r="S4026" s="12">
        <v>0.54527947037011593</v>
      </c>
      <c r="T4026" s="12">
        <v>0.71678578287093286</v>
      </c>
      <c r="U4026" s="12">
        <v>0.41308904548580849</v>
      </c>
      <c r="V4026" s="12">
        <v>284.11036976287318</v>
      </c>
      <c r="W4026" s="12">
        <v>2.3271105148136599</v>
      </c>
      <c r="X4026" s="12">
        <v>5.5929950725549924</v>
      </c>
      <c r="Y4026" s="12">
        <v>2600</v>
      </c>
      <c r="Z4026" s="12">
        <v>7.5</v>
      </c>
      <c r="AA4026" s="12" t="s">
        <v>1268</v>
      </c>
      <c r="AB4026" s="12"/>
    </row>
    <row r="4027" spans="1:28" x14ac:dyDescent="0.3">
      <c r="A4027" s="12" t="s">
        <v>5962</v>
      </c>
      <c r="B4027" s="12" t="s">
        <v>206</v>
      </c>
      <c r="C4027" s="12" t="s">
        <v>641</v>
      </c>
      <c r="D4027" s="12" t="s">
        <v>5959</v>
      </c>
      <c r="E4027" s="12" t="s">
        <v>2978</v>
      </c>
      <c r="F4027" s="12" t="s">
        <v>1862</v>
      </c>
      <c r="G4027" s="12" t="s">
        <v>1862</v>
      </c>
      <c r="H4027" s="12" t="b">
        <v>1</v>
      </c>
      <c r="I4027" s="12" t="b">
        <v>0</v>
      </c>
      <c r="J4027" s="12" t="b">
        <v>0</v>
      </c>
      <c r="K4027" s="12" t="b">
        <v>0</v>
      </c>
      <c r="L4027" s="12">
        <v>407.41130297211367</v>
      </c>
      <c r="M4027" s="12">
        <v>300.25434849140481</v>
      </c>
      <c r="N4027" s="12">
        <v>3000</v>
      </c>
      <c r="O4027" s="12">
        <v>400</v>
      </c>
      <c r="P4027" s="12">
        <v>0.5</v>
      </c>
      <c r="Q4027" s="12">
        <v>0.58507335672495708</v>
      </c>
      <c r="R4027" s="12">
        <v>0.53017847433663157</v>
      </c>
      <c r="S4027" s="12">
        <v>0.90188517800423584</v>
      </c>
      <c r="T4027" s="12">
        <v>0.55394533520848299</v>
      </c>
      <c r="U4027" s="12">
        <v>0.47614285498327741</v>
      </c>
      <c r="V4027" s="12">
        <v>300.25434849140481</v>
      </c>
      <c r="W4027" s="12">
        <v>-9.1907624471629408</v>
      </c>
      <c r="X4027" s="12">
        <v>-25.777785776820402</v>
      </c>
      <c r="Y4027" s="12">
        <v>2600</v>
      </c>
      <c r="Z4027" s="12">
        <v>7.5</v>
      </c>
      <c r="AA4027" s="12" t="s">
        <v>2513</v>
      </c>
      <c r="AB4027" s="12"/>
    </row>
    <row r="4028" spans="1:28" x14ac:dyDescent="0.3">
      <c r="A4028" s="12" t="s">
        <v>5963</v>
      </c>
      <c r="B4028" s="12" t="s">
        <v>206</v>
      </c>
      <c r="C4028" s="12" t="s">
        <v>641</v>
      </c>
      <c r="D4028" s="12" t="s">
        <v>5959</v>
      </c>
      <c r="E4028" s="12" t="s">
        <v>2978</v>
      </c>
      <c r="F4028" s="12" t="s">
        <v>1861</v>
      </c>
      <c r="G4028" s="12" t="s">
        <v>1861</v>
      </c>
      <c r="H4028" s="12" t="b">
        <v>1</v>
      </c>
      <c r="I4028" s="12" t="b">
        <v>0</v>
      </c>
      <c r="J4028" s="12" t="b">
        <v>1</v>
      </c>
      <c r="K4028" s="12" t="b">
        <v>0</v>
      </c>
      <c r="L4028" s="12">
        <v>476.67564934423058</v>
      </c>
      <c r="M4028" s="12">
        <v>283.43315791127122</v>
      </c>
      <c r="N4028" s="12">
        <v>3000</v>
      </c>
      <c r="O4028" s="12">
        <v>400</v>
      </c>
      <c r="P4028" s="12">
        <v>0.5</v>
      </c>
      <c r="Q4028" s="12">
        <v>0.94995876314272465</v>
      </c>
      <c r="R4028" s="12">
        <v>0.70750220418679732</v>
      </c>
      <c r="S4028" s="12">
        <v>0.59359470137533366</v>
      </c>
      <c r="T4028" s="12">
        <v>0.84226265962170366</v>
      </c>
      <c r="U4028" s="12">
        <v>0.54466735711434211</v>
      </c>
      <c r="V4028" s="12">
        <v>283.43315791127122</v>
      </c>
      <c r="W4028" s="12">
        <v>11.815268780357171</v>
      </c>
      <c r="X4028" s="12">
        <v>109.16042898968141</v>
      </c>
      <c r="Y4028" s="12">
        <v>2600</v>
      </c>
      <c r="Z4028" s="12">
        <v>7.5</v>
      </c>
      <c r="AA4028" s="12" t="s">
        <v>1981</v>
      </c>
      <c r="AB4028" s="12"/>
    </row>
    <row r="4029" spans="1:28" x14ac:dyDescent="0.3">
      <c r="A4029" s="12" t="s">
        <v>5964</v>
      </c>
      <c r="B4029" s="12" t="s">
        <v>206</v>
      </c>
      <c r="C4029" s="12" t="s">
        <v>641</v>
      </c>
      <c r="D4029" s="12" t="s">
        <v>5959</v>
      </c>
      <c r="E4029" s="12" t="s">
        <v>2978</v>
      </c>
      <c r="F4029" s="12" t="s">
        <v>1861</v>
      </c>
      <c r="G4029" s="12" t="s">
        <v>1861</v>
      </c>
      <c r="H4029" s="12" t="b">
        <v>1</v>
      </c>
      <c r="I4029" s="12" t="b">
        <v>0</v>
      </c>
      <c r="J4029" s="12" t="b">
        <v>1</v>
      </c>
      <c r="K4029" s="12" t="b">
        <v>0</v>
      </c>
      <c r="L4029" s="12">
        <v>505.91689914050937</v>
      </c>
      <c r="M4029" s="12">
        <v>293.09790571690468</v>
      </c>
      <c r="N4029" s="12">
        <v>3000</v>
      </c>
      <c r="O4029" s="12">
        <v>400</v>
      </c>
      <c r="P4029" s="12">
        <v>0.5</v>
      </c>
      <c r="Q4029" s="12">
        <v>0.57299564324977659</v>
      </c>
      <c r="R4029" s="12">
        <v>0.91755557614570082</v>
      </c>
      <c r="S4029" s="12">
        <v>0.62600582240064839</v>
      </c>
      <c r="T4029" s="12">
        <v>0.82294404396700793</v>
      </c>
      <c r="U4029" s="12">
        <v>0.80456537694770081</v>
      </c>
      <c r="V4029" s="12">
        <v>293.09790571690468</v>
      </c>
      <c r="W4029" s="12">
        <v>8.8145975084358703</v>
      </c>
      <c r="X4029" s="12">
        <v>112.05945422520089</v>
      </c>
      <c r="Y4029" s="12">
        <v>2600</v>
      </c>
      <c r="Z4029" s="12">
        <v>7.5</v>
      </c>
      <c r="AA4029" s="12" t="s">
        <v>1268</v>
      </c>
      <c r="AB4029" s="12"/>
    </row>
    <row r="4030" spans="1:28" x14ac:dyDescent="0.3">
      <c r="A4030" s="12" t="s">
        <v>5965</v>
      </c>
      <c r="B4030" s="12" t="s">
        <v>206</v>
      </c>
      <c r="C4030" s="12" t="s">
        <v>641</v>
      </c>
      <c r="D4030" s="12" t="s">
        <v>5959</v>
      </c>
      <c r="E4030" s="12" t="s">
        <v>2978</v>
      </c>
      <c r="F4030" s="12" t="s">
        <v>32</v>
      </c>
      <c r="G4030" s="12" t="s">
        <v>32</v>
      </c>
      <c r="H4030" s="12" t="b">
        <v>1</v>
      </c>
      <c r="I4030" s="12" t="b">
        <v>1</v>
      </c>
      <c r="J4030" s="12" t="b">
        <v>0</v>
      </c>
      <c r="K4030" s="12" t="b">
        <v>0</v>
      </c>
      <c r="L4030" s="12">
        <v>426.26265913266951</v>
      </c>
      <c r="M4030" s="12">
        <v>296.1855764361585</v>
      </c>
      <c r="N4030" s="12">
        <v>3000</v>
      </c>
      <c r="O4030" s="12">
        <v>400</v>
      </c>
      <c r="P4030" s="12">
        <v>0.5</v>
      </c>
      <c r="Q4030" s="12">
        <v>0.80130030840638988</v>
      </c>
      <c r="R4030" s="12">
        <v>0.78603997343229559</v>
      </c>
      <c r="S4030" s="12">
        <v>0.42265311928923538</v>
      </c>
      <c r="T4030" s="12">
        <v>0.74170513224070234</v>
      </c>
      <c r="U4030" s="12">
        <v>0.94806307014581437</v>
      </c>
      <c r="V4030" s="12">
        <v>296.1855764361585</v>
      </c>
      <c r="W4030" s="12">
        <v>8.3297784592067696</v>
      </c>
      <c r="X4030" s="12">
        <v>26.09002426571389</v>
      </c>
      <c r="Y4030" s="12">
        <v>2600</v>
      </c>
      <c r="Z4030" s="12">
        <v>7.5</v>
      </c>
      <c r="AA4030" s="12"/>
      <c r="AB4030" s="12"/>
    </row>
    <row r="4031" spans="1:28" x14ac:dyDescent="0.3">
      <c r="A4031" s="12" t="s">
        <v>5966</v>
      </c>
      <c r="B4031" s="12" t="s">
        <v>206</v>
      </c>
      <c r="C4031" s="12" t="s">
        <v>641</v>
      </c>
      <c r="D4031" s="12" t="s">
        <v>5959</v>
      </c>
      <c r="E4031" s="12" t="s">
        <v>2978</v>
      </c>
      <c r="F4031" s="12" t="s">
        <v>1861</v>
      </c>
      <c r="G4031" s="12" t="s">
        <v>1861</v>
      </c>
      <c r="H4031" s="12" t="b">
        <v>1</v>
      </c>
      <c r="I4031" s="12" t="b">
        <v>0</v>
      </c>
      <c r="J4031" s="12" t="b">
        <v>1</v>
      </c>
      <c r="K4031" s="12" t="b">
        <v>0</v>
      </c>
      <c r="L4031" s="12">
        <v>501.1473437422768</v>
      </c>
      <c r="M4031" s="12">
        <v>278.21949304554062</v>
      </c>
      <c r="N4031" s="12">
        <v>3000</v>
      </c>
      <c r="O4031" s="12">
        <v>400</v>
      </c>
      <c r="P4031" s="12">
        <v>0.5</v>
      </c>
      <c r="Q4031" s="12">
        <v>0.64607514763413099</v>
      </c>
      <c r="R4031" s="12">
        <v>0.89428185619940992</v>
      </c>
      <c r="S4031" s="12">
        <v>0.80094733070214397</v>
      </c>
      <c r="T4031" s="12">
        <v>0.52935206215528363</v>
      </c>
      <c r="U4031" s="12">
        <v>0.83871188823348719</v>
      </c>
      <c r="V4031" s="12">
        <v>278.21949304554062</v>
      </c>
      <c r="W4031" s="12">
        <v>10.07835094604618</v>
      </c>
      <c r="X4031" s="12">
        <v>173.78490613145141</v>
      </c>
      <c r="Y4031" s="12">
        <v>2600</v>
      </c>
      <c r="Z4031" s="12">
        <v>7.5</v>
      </c>
      <c r="AA4031" s="12" t="s">
        <v>1268</v>
      </c>
      <c r="AB4031" s="12"/>
    </row>
    <row r="4032" spans="1:28" x14ac:dyDescent="0.3">
      <c r="A4032" s="12" t="s">
        <v>5967</v>
      </c>
      <c r="B4032" s="12" t="s">
        <v>206</v>
      </c>
      <c r="C4032" s="12" t="s">
        <v>641</v>
      </c>
      <c r="D4032" s="12" t="s">
        <v>5959</v>
      </c>
      <c r="E4032" s="12" t="s">
        <v>2978</v>
      </c>
      <c r="F4032" s="12" t="s">
        <v>1861</v>
      </c>
      <c r="G4032" s="12" t="s">
        <v>1861</v>
      </c>
      <c r="H4032" s="12" t="b">
        <v>1</v>
      </c>
      <c r="I4032" s="12" t="b">
        <v>0</v>
      </c>
      <c r="J4032" s="12" t="b">
        <v>1</v>
      </c>
      <c r="K4032" s="12" t="b">
        <v>0</v>
      </c>
      <c r="L4032" s="12">
        <v>468.93561870060103</v>
      </c>
      <c r="M4032" s="12">
        <v>301.77859387543413</v>
      </c>
      <c r="N4032" s="12">
        <v>3000</v>
      </c>
      <c r="O4032" s="12">
        <v>400</v>
      </c>
      <c r="P4032" s="12">
        <v>0.5</v>
      </c>
      <c r="Q4032" s="12">
        <v>0.54809733142595762</v>
      </c>
      <c r="R4032" s="12">
        <v>0.75944957439212568</v>
      </c>
      <c r="S4032" s="12">
        <v>0.86640078477728966</v>
      </c>
      <c r="T4032" s="12">
        <v>0.77745558038670359</v>
      </c>
      <c r="U4032" s="12">
        <v>0.92442059868538795</v>
      </c>
      <c r="V4032" s="12">
        <v>301.77859387543413</v>
      </c>
      <c r="W4032" s="12">
        <v>8.5220377295432996</v>
      </c>
      <c r="X4032" s="12">
        <v>142.8929970305181</v>
      </c>
      <c r="Y4032" s="12">
        <v>2600</v>
      </c>
      <c r="Z4032" s="12">
        <v>7.5</v>
      </c>
      <c r="AA4032" s="12" t="s">
        <v>1268</v>
      </c>
      <c r="AB4032" s="12"/>
    </row>
    <row r="4033" spans="1:28" x14ac:dyDescent="0.3">
      <c r="A4033" s="12" t="s">
        <v>5968</v>
      </c>
      <c r="B4033" s="12" t="s">
        <v>206</v>
      </c>
      <c r="C4033" s="12" t="s">
        <v>641</v>
      </c>
      <c r="D4033" s="12" t="s">
        <v>5959</v>
      </c>
      <c r="E4033" s="12" t="s">
        <v>2978</v>
      </c>
      <c r="F4033" s="12" t="s">
        <v>1863</v>
      </c>
      <c r="G4033" s="12" t="s">
        <v>832</v>
      </c>
      <c r="H4033" s="12" t="b">
        <v>0</v>
      </c>
      <c r="I4033" s="12" t="b">
        <v>0</v>
      </c>
      <c r="J4033" s="12" t="b">
        <v>0</v>
      </c>
      <c r="K4033" s="12" t="b">
        <v>0</v>
      </c>
      <c r="L4033" s="12">
        <v>385.18320506050247</v>
      </c>
      <c r="M4033" s="12">
        <v>290.68594071069339</v>
      </c>
      <c r="N4033" s="12">
        <v>3000</v>
      </c>
      <c r="O4033" s="12">
        <v>400</v>
      </c>
      <c r="P4033" s="12">
        <v>0.5</v>
      </c>
      <c r="Q4033" s="12">
        <v>0.4661219467634975</v>
      </c>
      <c r="R4033" s="12">
        <v>0.63194901965610795</v>
      </c>
      <c r="S4033" s="12">
        <v>0.64038655907010722</v>
      </c>
      <c r="T4033" s="12">
        <v>0.68331218367416735</v>
      </c>
      <c r="U4033" s="12">
        <v>0.89438197156795773</v>
      </c>
      <c r="V4033" s="12">
        <v>290.68594071069339</v>
      </c>
      <c r="W4033" s="12">
        <v>-26.365307217316531</v>
      </c>
      <c r="X4033" s="12">
        <v>-22.673395568489589</v>
      </c>
      <c r="Y4033" s="12">
        <v>2600</v>
      </c>
      <c r="Z4033" s="12">
        <v>7.5</v>
      </c>
      <c r="AA4033" s="12" t="s">
        <v>2018</v>
      </c>
      <c r="AB4033" s="12"/>
    </row>
    <row r="4034" spans="1:28" x14ac:dyDescent="0.3">
      <c r="A4034" s="12" t="s">
        <v>5969</v>
      </c>
      <c r="B4034" s="12" t="s">
        <v>206</v>
      </c>
      <c r="C4034" s="12" t="s">
        <v>641</v>
      </c>
      <c r="D4034" s="12" t="s">
        <v>5959</v>
      </c>
      <c r="E4034" s="12" t="s">
        <v>2978</v>
      </c>
      <c r="F4034" s="12" t="s">
        <v>1862</v>
      </c>
      <c r="G4034" s="12" t="s">
        <v>1862</v>
      </c>
      <c r="H4034" s="12" t="b">
        <v>1</v>
      </c>
      <c r="I4034" s="12" t="b">
        <v>0</v>
      </c>
      <c r="J4034" s="12" t="b">
        <v>1</v>
      </c>
      <c r="K4034" s="12" t="b">
        <v>0</v>
      </c>
      <c r="L4034" s="12">
        <v>455.16683941293422</v>
      </c>
      <c r="M4034" s="12">
        <v>281.68929085400691</v>
      </c>
      <c r="N4034" s="12">
        <v>3000</v>
      </c>
      <c r="O4034" s="12">
        <v>400</v>
      </c>
      <c r="P4034" s="12">
        <v>0.5</v>
      </c>
      <c r="Q4034" s="12">
        <v>0.43300764708027001</v>
      </c>
      <c r="R4034" s="12">
        <v>0.61407908003351774</v>
      </c>
      <c r="S4034" s="12">
        <v>0.45125866293833822</v>
      </c>
      <c r="T4034" s="12">
        <v>0.81000656725918407</v>
      </c>
      <c r="U4034" s="12">
        <v>0.47144497163610538</v>
      </c>
      <c r="V4034" s="12">
        <v>281.68929085400691</v>
      </c>
      <c r="W4034" s="12">
        <v>-8.2981152202094091</v>
      </c>
      <c r="X4034" s="12">
        <v>-37.801542837902211</v>
      </c>
      <c r="Y4034" s="12">
        <v>2600</v>
      </c>
      <c r="Z4034" s="12">
        <v>7.5</v>
      </c>
      <c r="AA4034" s="12" t="s">
        <v>2513</v>
      </c>
      <c r="AB4034" s="12"/>
    </row>
    <row r="4035" spans="1:28" x14ac:dyDescent="0.3">
      <c r="A4035" s="12" t="s">
        <v>5970</v>
      </c>
      <c r="B4035" s="12" t="s">
        <v>206</v>
      </c>
      <c r="C4035" s="12" t="s">
        <v>641</v>
      </c>
      <c r="D4035" s="12" t="s">
        <v>5959</v>
      </c>
      <c r="E4035" s="12" t="s">
        <v>2978</v>
      </c>
      <c r="F4035" s="12" t="s">
        <v>1861</v>
      </c>
      <c r="G4035" s="12" t="s">
        <v>1861</v>
      </c>
      <c r="H4035" s="12" t="b">
        <v>1</v>
      </c>
      <c r="I4035" s="12" t="b">
        <v>0</v>
      </c>
      <c r="J4035" s="12" t="b">
        <v>0</v>
      </c>
      <c r="K4035" s="12" t="b">
        <v>0</v>
      </c>
      <c r="L4035" s="12">
        <v>390.99179064759852</v>
      </c>
      <c r="M4035" s="12">
        <v>299.14454762709988</v>
      </c>
      <c r="N4035" s="12">
        <v>3000</v>
      </c>
      <c r="O4035" s="12">
        <v>400</v>
      </c>
      <c r="P4035" s="12">
        <v>0.5</v>
      </c>
      <c r="Q4035" s="12">
        <v>0.7613287970331124</v>
      </c>
      <c r="R4035" s="12">
        <v>0.71877888326125239</v>
      </c>
      <c r="S4035" s="12">
        <v>0.75151909123560245</v>
      </c>
      <c r="T4035" s="12">
        <v>0.79872524050345728</v>
      </c>
      <c r="U4035" s="12">
        <v>0.60534139672204823</v>
      </c>
      <c r="V4035" s="12">
        <v>299.14454762709988</v>
      </c>
      <c r="W4035" s="12">
        <v>1.7007165785166001</v>
      </c>
      <c r="X4035" s="12">
        <v>2.0420654824579438</v>
      </c>
      <c r="Y4035" s="12">
        <v>2600</v>
      </c>
      <c r="Z4035" s="12">
        <v>7.5</v>
      </c>
      <c r="AA4035" s="12" t="s">
        <v>1268</v>
      </c>
      <c r="AB4035" s="12"/>
    </row>
    <row r="4036" spans="1:28" x14ac:dyDescent="0.3">
      <c r="A4036" s="12" t="s">
        <v>5971</v>
      </c>
      <c r="B4036" s="12" t="s">
        <v>206</v>
      </c>
      <c r="C4036" s="12" t="s">
        <v>641</v>
      </c>
      <c r="D4036" s="12" t="s">
        <v>5959</v>
      </c>
      <c r="E4036" s="12" t="s">
        <v>2978</v>
      </c>
      <c r="F4036" s="12" t="s">
        <v>1862</v>
      </c>
      <c r="G4036" s="12" t="s">
        <v>1862</v>
      </c>
      <c r="H4036" s="12" t="b">
        <v>1</v>
      </c>
      <c r="I4036" s="12" t="b">
        <v>0</v>
      </c>
      <c r="J4036" s="12" t="b">
        <v>1</v>
      </c>
      <c r="K4036" s="12" t="b">
        <v>0</v>
      </c>
      <c r="L4036" s="12">
        <v>485.89901887576929</v>
      </c>
      <c r="M4036" s="12">
        <v>292.34109016532409</v>
      </c>
      <c r="N4036" s="12">
        <v>3000</v>
      </c>
      <c r="O4036" s="12">
        <v>400</v>
      </c>
      <c r="P4036" s="12">
        <v>0.5</v>
      </c>
      <c r="Q4036" s="12">
        <v>0.83922404176939813</v>
      </c>
      <c r="R4036" s="12">
        <v>0.52657554214417168</v>
      </c>
      <c r="S4036" s="12">
        <v>0.82211231844834032</v>
      </c>
      <c r="T4036" s="12">
        <v>0.64145593764797959</v>
      </c>
      <c r="U4036" s="12">
        <v>0.4428971614299726</v>
      </c>
      <c r="V4036" s="12">
        <v>292.34109016532409</v>
      </c>
      <c r="W4036" s="12">
        <v>-5.2709985539798794</v>
      </c>
      <c r="X4036" s="12">
        <v>-43.217928280945728</v>
      </c>
      <c r="Y4036" s="12">
        <v>2600</v>
      </c>
      <c r="Z4036" s="12">
        <v>7.5</v>
      </c>
      <c r="AA4036" s="12" t="s">
        <v>2513</v>
      </c>
      <c r="AB4036" s="12"/>
    </row>
    <row r="4037" spans="1:28" x14ac:dyDescent="0.3">
      <c r="A4037" s="12" t="s">
        <v>5972</v>
      </c>
      <c r="B4037" s="12" t="s">
        <v>206</v>
      </c>
      <c r="C4037" s="12" t="s">
        <v>641</v>
      </c>
      <c r="D4037" s="12" t="s">
        <v>5959</v>
      </c>
      <c r="E4037" s="12" t="s">
        <v>2978</v>
      </c>
      <c r="F4037" s="12" t="s">
        <v>1862</v>
      </c>
      <c r="G4037" s="12" t="s">
        <v>1862</v>
      </c>
      <c r="H4037" s="12" t="b">
        <v>1</v>
      </c>
      <c r="I4037" s="12" t="b">
        <v>0</v>
      </c>
      <c r="J4037" s="12" t="b">
        <v>1</v>
      </c>
      <c r="K4037" s="12" t="b">
        <v>0</v>
      </c>
      <c r="L4037" s="12">
        <v>508.07308067957132</v>
      </c>
      <c r="M4037" s="12">
        <v>285.12909099947012</v>
      </c>
      <c r="N4037" s="12">
        <v>3000</v>
      </c>
      <c r="O4037" s="12">
        <v>400</v>
      </c>
      <c r="P4037" s="12">
        <v>0.5</v>
      </c>
      <c r="Q4037" s="12">
        <v>0.81406421401747708</v>
      </c>
      <c r="R4037" s="12">
        <v>0.45120746671976703</v>
      </c>
      <c r="S4037" s="12">
        <v>0.66026264519868016</v>
      </c>
      <c r="T4037" s="12">
        <v>0.46319556992359751</v>
      </c>
      <c r="U4037" s="12">
        <v>0.52108448868946611</v>
      </c>
      <c r="V4037" s="12">
        <v>285.12909099947012</v>
      </c>
      <c r="W4037" s="12">
        <v>-3.07708460364718</v>
      </c>
      <c r="X4037" s="12">
        <v>-27.847146737077509</v>
      </c>
      <c r="Y4037" s="12">
        <v>2600</v>
      </c>
      <c r="Z4037" s="12">
        <v>7.5</v>
      </c>
      <c r="AA4037" s="12" t="s">
        <v>2513</v>
      </c>
      <c r="AB4037" s="12"/>
    </row>
    <row r="4038" spans="1:28" x14ac:dyDescent="0.3">
      <c r="A4038" s="12" t="s">
        <v>5973</v>
      </c>
      <c r="B4038" s="12" t="s">
        <v>206</v>
      </c>
      <c r="C4038" s="12" t="s">
        <v>641</v>
      </c>
      <c r="D4038" s="12" t="s">
        <v>5959</v>
      </c>
      <c r="E4038" s="12" t="s">
        <v>2978</v>
      </c>
      <c r="F4038" s="12" t="s">
        <v>1861</v>
      </c>
      <c r="G4038" s="12" t="s">
        <v>1861</v>
      </c>
      <c r="H4038" s="12" t="b">
        <v>1</v>
      </c>
      <c r="I4038" s="12" t="b">
        <v>0</v>
      </c>
      <c r="J4038" s="12" t="b">
        <v>1</v>
      </c>
      <c r="K4038" s="12" t="b">
        <v>0</v>
      </c>
      <c r="L4038" s="12">
        <v>446.03358508968358</v>
      </c>
      <c r="M4038" s="12">
        <v>291.56045645967009</v>
      </c>
      <c r="N4038" s="12">
        <v>3000</v>
      </c>
      <c r="O4038" s="12">
        <v>400</v>
      </c>
      <c r="P4038" s="12">
        <v>0.5</v>
      </c>
      <c r="Q4038" s="12">
        <v>0.92820769883252363</v>
      </c>
      <c r="R4038" s="12">
        <v>0.58767272647372693</v>
      </c>
      <c r="S4038" s="12">
        <v>0.88430882611342776</v>
      </c>
      <c r="T4038" s="12">
        <v>0.86957795733093368</v>
      </c>
      <c r="U4038" s="12">
        <v>0.77044113499341227</v>
      </c>
      <c r="V4038" s="12">
        <v>291.56045645967009</v>
      </c>
      <c r="W4038" s="12">
        <v>14.78471626456516</v>
      </c>
      <c r="X4038" s="12">
        <v>131.66736757090089</v>
      </c>
      <c r="Y4038" s="12">
        <v>2600</v>
      </c>
      <c r="Z4038" s="12">
        <v>7.5</v>
      </c>
      <c r="AA4038" s="12" t="s">
        <v>1981</v>
      </c>
      <c r="AB4038" s="12"/>
    </row>
    <row r="4039" spans="1:28" x14ac:dyDescent="0.3">
      <c r="A4039" s="12" t="s">
        <v>5974</v>
      </c>
      <c r="B4039" s="12" t="s">
        <v>206</v>
      </c>
      <c r="C4039" s="12" t="s">
        <v>641</v>
      </c>
      <c r="D4039" s="12" t="s">
        <v>5959</v>
      </c>
      <c r="E4039" s="12" t="s">
        <v>2978</v>
      </c>
      <c r="F4039" s="12" t="s">
        <v>1861</v>
      </c>
      <c r="G4039" s="12" t="s">
        <v>1861</v>
      </c>
      <c r="H4039" s="12" t="b">
        <v>1</v>
      </c>
      <c r="I4039" s="12" t="b">
        <v>0</v>
      </c>
      <c r="J4039" s="12" t="b">
        <v>0</v>
      </c>
      <c r="K4039" s="12" t="b">
        <v>0</v>
      </c>
      <c r="L4039" s="12">
        <v>400.9754404426368</v>
      </c>
      <c r="M4039" s="12">
        <v>298.42255285654772</v>
      </c>
      <c r="N4039" s="12">
        <v>3000</v>
      </c>
      <c r="O4039" s="12">
        <v>400</v>
      </c>
      <c r="P4039" s="12">
        <v>0.5</v>
      </c>
      <c r="Q4039" s="12">
        <v>0.69986548486487798</v>
      </c>
      <c r="R4039" s="12">
        <v>0.48940915651704298</v>
      </c>
      <c r="S4039" s="12">
        <v>0.85183187897010626</v>
      </c>
      <c r="T4039" s="12">
        <v>0.60276385469960214</v>
      </c>
      <c r="U4039" s="12">
        <v>0.68610624668727216</v>
      </c>
      <c r="V4039" s="12">
        <v>298.42255285654772</v>
      </c>
      <c r="W4039" s="12">
        <v>4.2313596693399704</v>
      </c>
      <c r="X4039" s="12">
        <v>12.66737505457905</v>
      </c>
      <c r="Y4039" s="12">
        <v>2600</v>
      </c>
      <c r="Z4039" s="12">
        <v>7.5</v>
      </c>
      <c r="AA4039" s="12" t="s">
        <v>1268</v>
      </c>
      <c r="AB4039" s="12"/>
    </row>
    <row r="4040" spans="1:28" x14ac:dyDescent="0.3">
      <c r="A4040" s="12" t="s">
        <v>5975</v>
      </c>
      <c r="B4040" s="12" t="s">
        <v>206</v>
      </c>
      <c r="C4040" s="12" t="s">
        <v>641</v>
      </c>
      <c r="D4040" s="12" t="s">
        <v>5959</v>
      </c>
      <c r="E4040" s="12" t="s">
        <v>2978</v>
      </c>
      <c r="F4040" s="12" t="s">
        <v>1861</v>
      </c>
      <c r="G4040" s="12" t="s">
        <v>1861</v>
      </c>
      <c r="H4040" s="12" t="b">
        <v>1</v>
      </c>
      <c r="I4040" s="12" t="b">
        <v>0</v>
      </c>
      <c r="J4040" s="12" t="b">
        <v>1</v>
      </c>
      <c r="K4040" s="12" t="b">
        <v>0</v>
      </c>
      <c r="L4040" s="12">
        <v>435.21597696026822</v>
      </c>
      <c r="M4040" s="12">
        <v>295.61203625567418</v>
      </c>
      <c r="N4040" s="12">
        <v>3000</v>
      </c>
      <c r="O4040" s="12">
        <v>400</v>
      </c>
      <c r="P4040" s="12">
        <v>0.5</v>
      </c>
      <c r="Q4040" s="12">
        <v>0.50525830062733834</v>
      </c>
      <c r="R4040" s="12">
        <v>0.65464045014304362</v>
      </c>
      <c r="S4040" s="12">
        <v>0.69408764286988311</v>
      </c>
      <c r="T4040" s="12">
        <v>0.58229998416949735</v>
      </c>
      <c r="U4040" s="12">
        <v>0.63422660971245437</v>
      </c>
      <c r="V4040" s="12">
        <v>295.61203625567418</v>
      </c>
      <c r="W4040" s="12">
        <v>3.0005607142984898</v>
      </c>
      <c r="X4040" s="12">
        <v>16.18834743833985</v>
      </c>
      <c r="Y4040" s="12">
        <v>2600</v>
      </c>
      <c r="Z4040" s="12">
        <v>7.5</v>
      </c>
      <c r="AA4040" s="12" t="s">
        <v>1268</v>
      </c>
      <c r="AB4040" s="12"/>
    </row>
    <row r="4041" spans="1:28" x14ac:dyDescent="0.3">
      <c r="A4041" s="12" t="s">
        <v>5976</v>
      </c>
      <c r="B4041" s="12" t="s">
        <v>206</v>
      </c>
      <c r="C4041" s="12" t="s">
        <v>641</v>
      </c>
      <c r="D4041" s="12" t="s">
        <v>5959</v>
      </c>
      <c r="E4041" s="12" t="s">
        <v>2978</v>
      </c>
      <c r="F4041" s="12" t="s">
        <v>1863</v>
      </c>
      <c r="G4041" s="12" t="s">
        <v>832</v>
      </c>
      <c r="H4041" s="12" t="b">
        <v>0</v>
      </c>
      <c r="I4041" s="12" t="b">
        <v>0</v>
      </c>
      <c r="J4041" s="12" t="b">
        <v>0</v>
      </c>
      <c r="K4041" s="12" t="b">
        <v>0</v>
      </c>
      <c r="L4041" s="12">
        <v>380.09015234039629</v>
      </c>
      <c r="M4041" s="12">
        <v>280.14692585235531</v>
      </c>
      <c r="N4041" s="12">
        <v>3000</v>
      </c>
      <c r="O4041" s="12">
        <v>400</v>
      </c>
      <c r="P4041" s="12">
        <v>0.5</v>
      </c>
      <c r="Q4041" s="12">
        <v>0.51674455769595118</v>
      </c>
      <c r="R4041" s="12">
        <v>0.4269982610573243</v>
      </c>
      <c r="S4041" s="12">
        <v>0.73291690324504843</v>
      </c>
      <c r="T4041" s="12">
        <v>0.49121236827014342</v>
      </c>
      <c r="U4041" s="12">
        <v>0.79375045292668611</v>
      </c>
      <c r="V4041" s="12">
        <v>280.14692585235531</v>
      </c>
      <c r="W4041" s="12">
        <v>-29.006510638014909</v>
      </c>
      <c r="X4041" s="12">
        <v>-45.532075692165023</v>
      </c>
      <c r="Y4041" s="12">
        <v>2600</v>
      </c>
      <c r="Z4041" s="12">
        <v>7.5</v>
      </c>
      <c r="AA4041" s="12" t="s">
        <v>2018</v>
      </c>
      <c r="AB4041" s="12"/>
    </row>
    <row r="4042" spans="1:28" x14ac:dyDescent="0.3">
      <c r="A4042" s="12" t="s">
        <v>5977</v>
      </c>
      <c r="B4042" s="12" t="s">
        <v>206</v>
      </c>
      <c r="C4042" s="12" t="s">
        <v>641</v>
      </c>
      <c r="D4042" s="12" t="s">
        <v>5959</v>
      </c>
      <c r="E4042" s="12" t="s">
        <v>2978</v>
      </c>
      <c r="F4042" s="12" t="s">
        <v>1861</v>
      </c>
      <c r="G4042" s="12" t="s">
        <v>1861</v>
      </c>
      <c r="H4042" s="12" t="b">
        <v>1</v>
      </c>
      <c r="I4042" s="12" t="b">
        <v>0</v>
      </c>
      <c r="J4042" s="12" t="b">
        <v>0</v>
      </c>
      <c r="K4042" s="12" t="b">
        <v>0</v>
      </c>
      <c r="L4042" s="12">
        <v>419.76255714316972</v>
      </c>
      <c r="M4042" s="12">
        <v>286.4026335543993</v>
      </c>
      <c r="N4042" s="12">
        <v>3000</v>
      </c>
      <c r="O4042" s="12">
        <v>400</v>
      </c>
      <c r="P4042" s="12">
        <v>0.5</v>
      </c>
      <c r="Q4042" s="12">
        <v>0.40814246939995807</v>
      </c>
      <c r="R4042" s="12">
        <v>0.80551304969272397</v>
      </c>
      <c r="S4042" s="12">
        <v>0.48605649099821691</v>
      </c>
      <c r="T4042" s="12">
        <v>0.6683132888899872</v>
      </c>
      <c r="U4042" s="12">
        <v>0.71566171810765677</v>
      </c>
      <c r="V4042" s="12">
        <v>286.4026335543993</v>
      </c>
      <c r="W4042" s="12">
        <v>3.3553227296027002</v>
      </c>
      <c r="X4042" s="12">
        <v>10.49324881228425</v>
      </c>
      <c r="Y4042" s="12">
        <v>2600</v>
      </c>
      <c r="Z4042" s="12">
        <v>7.5</v>
      </c>
      <c r="AA4042" s="12" t="s">
        <v>1268</v>
      </c>
      <c r="AB4042" s="12"/>
    </row>
    <row r="4043" spans="1:28" x14ac:dyDescent="0.3">
      <c r="A4043" s="12" t="s">
        <v>5978</v>
      </c>
      <c r="B4043" s="12" t="s">
        <v>206</v>
      </c>
      <c r="C4043" s="12" t="s">
        <v>641</v>
      </c>
      <c r="D4043" s="12" t="s">
        <v>5959</v>
      </c>
      <c r="E4043" s="12" t="s">
        <v>2978</v>
      </c>
      <c r="F4043" s="12" t="s">
        <v>1861</v>
      </c>
      <c r="G4043" s="12" t="s">
        <v>1861</v>
      </c>
      <c r="H4043" s="12" t="b">
        <v>1</v>
      </c>
      <c r="I4043" s="12" t="b">
        <v>0</v>
      </c>
      <c r="J4043" s="12" t="b">
        <v>0</v>
      </c>
      <c r="K4043" s="12" t="b">
        <v>0</v>
      </c>
      <c r="L4043" s="12">
        <v>409.15810245881801</v>
      </c>
      <c r="M4043" s="12">
        <v>293.94578574489452</v>
      </c>
      <c r="N4043" s="12">
        <v>3000</v>
      </c>
      <c r="O4043" s="12">
        <v>400</v>
      </c>
      <c r="P4043" s="12">
        <v>0.5</v>
      </c>
      <c r="Q4043" s="12">
        <v>0.88533111190501224</v>
      </c>
      <c r="R4043" s="12">
        <v>0.66197103957404413</v>
      </c>
      <c r="S4043" s="12">
        <v>0.57463871310752013</v>
      </c>
      <c r="T4043" s="12">
        <v>0.91746563777600365</v>
      </c>
      <c r="U4043" s="12">
        <v>0.50516454418810885</v>
      </c>
      <c r="V4043" s="12">
        <v>293.94578574489452</v>
      </c>
      <c r="W4043" s="12">
        <v>10.03570351885444</v>
      </c>
      <c r="X4043" s="12">
        <v>21.432763877492128</v>
      </c>
      <c r="Y4043" s="12">
        <v>2600</v>
      </c>
      <c r="Z4043" s="12">
        <v>7.5</v>
      </c>
      <c r="AA4043" s="12" t="s">
        <v>1268</v>
      </c>
      <c r="AB4043" s="12"/>
    </row>
    <row r="4044" spans="1:28" x14ac:dyDescent="0.3">
      <c r="A4044" s="12" t="s">
        <v>5979</v>
      </c>
      <c r="B4044" s="12" t="s">
        <v>206</v>
      </c>
      <c r="C4044" s="12" t="s">
        <v>641</v>
      </c>
      <c r="D4044" s="12" t="s">
        <v>5959</v>
      </c>
      <c r="E4044" s="12" t="s">
        <v>2978</v>
      </c>
      <c r="F4044" s="12" t="s">
        <v>1861</v>
      </c>
      <c r="G4044" s="12" t="s">
        <v>1861</v>
      </c>
      <c r="H4044" s="12" t="b">
        <v>1</v>
      </c>
      <c r="I4044" s="12" t="b">
        <v>0</v>
      </c>
      <c r="J4044" s="12" t="b">
        <v>0</v>
      </c>
      <c r="K4044" s="12" t="b">
        <v>0</v>
      </c>
      <c r="L4044" s="12">
        <v>430.6376396131223</v>
      </c>
      <c r="M4044" s="12">
        <v>281.45248362686863</v>
      </c>
      <c r="N4044" s="12">
        <v>3000</v>
      </c>
      <c r="O4044" s="12">
        <v>400</v>
      </c>
      <c r="P4044" s="12">
        <v>0.5</v>
      </c>
      <c r="Q4044" s="12">
        <v>0.84572125436492551</v>
      </c>
      <c r="R4044" s="12">
        <v>0.68970820744724726</v>
      </c>
      <c r="S4044" s="12">
        <v>0.47193222380646249</v>
      </c>
      <c r="T4044" s="12">
        <v>0.50798026206642821</v>
      </c>
      <c r="U4044" s="12">
        <v>0.64429036401987394</v>
      </c>
      <c r="V4044" s="12">
        <v>281.45248362686863</v>
      </c>
      <c r="W4044" s="12">
        <v>8.1382800250226808</v>
      </c>
      <c r="X4044" s="12">
        <v>32.241050503905043</v>
      </c>
      <c r="Y4044" s="12">
        <v>2600</v>
      </c>
      <c r="Z4044" s="12">
        <v>7.5</v>
      </c>
      <c r="AA4044" s="12" t="s">
        <v>1268</v>
      </c>
      <c r="AB4044" s="12"/>
    </row>
    <row r="4045" spans="1:28" x14ac:dyDescent="0.3">
      <c r="A4045" s="12" t="s">
        <v>5980</v>
      </c>
      <c r="B4045" s="12" t="s">
        <v>206</v>
      </c>
      <c r="C4045" s="12" t="s">
        <v>641</v>
      </c>
      <c r="D4045" s="12" t="s">
        <v>5959</v>
      </c>
      <c r="E4045" s="12" t="s">
        <v>2978</v>
      </c>
      <c r="F4045" s="12" t="s">
        <v>1861</v>
      </c>
      <c r="G4045" s="12" t="s">
        <v>1861</v>
      </c>
      <c r="H4045" s="12" t="b">
        <v>1</v>
      </c>
      <c r="I4045" s="12" t="b">
        <v>0</v>
      </c>
      <c r="J4045" s="12" t="b">
        <v>1</v>
      </c>
      <c r="K4045" s="12" t="b">
        <v>0</v>
      </c>
      <c r="L4045" s="12">
        <v>515.81654445291599</v>
      </c>
      <c r="M4045" s="12">
        <v>287.1507762764241</v>
      </c>
      <c r="N4045" s="12">
        <v>3000</v>
      </c>
      <c r="O4045" s="12">
        <v>400</v>
      </c>
      <c r="P4045" s="12">
        <v>0.5</v>
      </c>
      <c r="Q4045" s="12">
        <v>0.73309310852733378</v>
      </c>
      <c r="R4045" s="12">
        <v>0.77999965514647762</v>
      </c>
      <c r="S4045" s="12">
        <v>0.68422827192904334</v>
      </c>
      <c r="T4045" s="12">
        <v>0.51589514559802951</v>
      </c>
      <c r="U4045" s="12">
        <v>0.74311625663851921</v>
      </c>
      <c r="V4045" s="12">
        <v>287.1507762764241</v>
      </c>
      <c r="W4045" s="12">
        <v>10.497878765941429</v>
      </c>
      <c r="X4045" s="12">
        <v>143.60450138813229</v>
      </c>
      <c r="Y4045" s="12">
        <v>2600</v>
      </c>
      <c r="Z4045" s="12">
        <v>7.5</v>
      </c>
      <c r="AA4045" s="12" t="s">
        <v>1268</v>
      </c>
      <c r="AB4045" s="12"/>
    </row>
    <row r="4046" spans="1:28" x14ac:dyDescent="0.3">
      <c r="A4046" s="12" t="s">
        <v>5981</v>
      </c>
      <c r="B4046" s="12" t="s">
        <v>206</v>
      </c>
      <c r="C4046" s="12" t="s">
        <v>641</v>
      </c>
      <c r="D4046" s="12" t="s">
        <v>5959</v>
      </c>
      <c r="E4046" s="12" t="s">
        <v>2978</v>
      </c>
      <c r="F4046" s="12" t="s">
        <v>1861</v>
      </c>
      <c r="G4046" s="12" t="s">
        <v>1861</v>
      </c>
      <c r="H4046" s="12" t="b">
        <v>1</v>
      </c>
      <c r="I4046" s="12" t="b">
        <v>0</v>
      </c>
      <c r="J4046" s="12" t="b">
        <v>1</v>
      </c>
      <c r="K4046" s="12" t="b">
        <v>0</v>
      </c>
      <c r="L4046" s="12">
        <v>479.85937224096</v>
      </c>
      <c r="M4046" s="12">
        <v>289.17220617575532</v>
      </c>
      <c r="N4046" s="12">
        <v>3000</v>
      </c>
      <c r="O4046" s="12">
        <v>400</v>
      </c>
      <c r="P4046" s="12">
        <v>0.5</v>
      </c>
      <c r="Q4046" s="12">
        <v>0.60580435864973692</v>
      </c>
      <c r="R4046" s="12">
        <v>0.91134071509903236</v>
      </c>
      <c r="S4046" s="12">
        <v>0.51374162323750505</v>
      </c>
      <c r="T4046" s="12">
        <v>0.41069188858204331</v>
      </c>
      <c r="U4046" s="12">
        <v>0.55811850807970365</v>
      </c>
      <c r="V4046" s="12">
        <v>289.17220617575532</v>
      </c>
      <c r="W4046" s="12">
        <v>4.6807947452745502</v>
      </c>
      <c r="X4046" s="12">
        <v>39.490648054435582</v>
      </c>
      <c r="Y4046" s="12">
        <v>2600</v>
      </c>
      <c r="Z4046" s="12">
        <v>7.5</v>
      </c>
      <c r="AA4046" s="12" t="s">
        <v>1268</v>
      </c>
      <c r="AB4046" s="12"/>
    </row>
    <row r="4047" spans="1:28" x14ac:dyDescent="0.3">
      <c r="A4047" s="12" t="s">
        <v>5982</v>
      </c>
      <c r="B4047" s="12" t="s">
        <v>206</v>
      </c>
      <c r="C4047" s="12" t="s">
        <v>641</v>
      </c>
      <c r="D4047" s="12" t="s">
        <v>5959</v>
      </c>
      <c r="E4047" s="12" t="s">
        <v>2978</v>
      </c>
      <c r="F4047" s="12" t="s">
        <v>1861</v>
      </c>
      <c r="G4047" s="12" t="s">
        <v>1861</v>
      </c>
      <c r="H4047" s="12" t="b">
        <v>1</v>
      </c>
      <c r="I4047" s="12" t="b">
        <v>0</v>
      </c>
      <c r="J4047" s="12" t="b">
        <v>1</v>
      </c>
      <c r="K4047" s="12" t="b">
        <v>0</v>
      </c>
      <c r="L4047" s="12">
        <v>441.33688081382422</v>
      </c>
      <c r="M4047" s="12">
        <v>297.26253953724341</v>
      </c>
      <c r="N4047" s="12">
        <v>3000</v>
      </c>
      <c r="O4047" s="12">
        <v>400</v>
      </c>
      <c r="P4047" s="12">
        <v>0.5</v>
      </c>
      <c r="Q4047" s="12">
        <v>0.43842709669925839</v>
      </c>
      <c r="R4047" s="12">
        <v>0.50852108510706795</v>
      </c>
      <c r="S4047" s="12">
        <v>0.93654147462887838</v>
      </c>
      <c r="T4047" s="12">
        <v>0.93977909837783957</v>
      </c>
      <c r="U4047" s="12">
        <v>0.85917254793134457</v>
      </c>
      <c r="V4047" s="12">
        <v>297.26253953724341</v>
      </c>
      <c r="W4047" s="12">
        <v>6.4522694048066196</v>
      </c>
      <c r="X4047" s="12">
        <v>55.740080493775039</v>
      </c>
      <c r="Y4047" s="12">
        <v>2600</v>
      </c>
      <c r="Z4047" s="12">
        <v>7.5</v>
      </c>
      <c r="AA4047" s="12" t="s">
        <v>1268</v>
      </c>
      <c r="AB4047" s="12"/>
    </row>
    <row r="4048" spans="1:28" x14ac:dyDescent="0.3">
      <c r="A4048" s="12" t="s">
        <v>5983</v>
      </c>
      <c r="B4048" s="12" t="s">
        <v>206</v>
      </c>
      <c r="C4048" s="12" t="s">
        <v>641</v>
      </c>
      <c r="D4048" s="12" t="s">
        <v>5959</v>
      </c>
      <c r="E4048" s="12" t="s">
        <v>2978</v>
      </c>
      <c r="F4048" s="12" t="s">
        <v>1861</v>
      </c>
      <c r="G4048" s="12" t="s">
        <v>1861</v>
      </c>
      <c r="H4048" s="12" t="b">
        <v>1</v>
      </c>
      <c r="I4048" s="12" t="b">
        <v>0</v>
      </c>
      <c r="J4048" s="12" t="b">
        <v>1</v>
      </c>
      <c r="K4048" s="12" t="b">
        <v>0</v>
      </c>
      <c r="L4048" s="12">
        <v>491.13867742711619</v>
      </c>
      <c r="M4048" s="12">
        <v>287.67200890331708</v>
      </c>
      <c r="N4048" s="12">
        <v>3000</v>
      </c>
      <c r="O4048" s="12">
        <v>400</v>
      </c>
      <c r="P4048" s="12">
        <v>0.5</v>
      </c>
      <c r="Q4048" s="12">
        <v>0.72368897192739667</v>
      </c>
      <c r="R4048" s="12">
        <v>0.55685554750205568</v>
      </c>
      <c r="S4048" s="12">
        <v>0.76942318993997538</v>
      </c>
      <c r="T4048" s="12">
        <v>0.58963033857761071</v>
      </c>
      <c r="U4048" s="12">
        <v>0.5773253115123167</v>
      </c>
      <c r="V4048" s="12">
        <v>287.67200890331708</v>
      </c>
      <c r="W4048" s="12">
        <v>2.34360727742345</v>
      </c>
      <c r="X4048" s="12">
        <v>25.974316347952961</v>
      </c>
      <c r="Y4048" s="12">
        <v>2600</v>
      </c>
      <c r="Z4048" s="12">
        <v>7.5</v>
      </c>
      <c r="AA4048" s="12" t="s">
        <v>1268</v>
      </c>
      <c r="AB4048" s="12"/>
    </row>
    <row r="4049" spans="1:28" x14ac:dyDescent="0.3">
      <c r="A4049" s="12" t="s">
        <v>5984</v>
      </c>
      <c r="B4049" s="12" t="s">
        <v>206</v>
      </c>
      <c r="C4049" s="12" t="s">
        <v>641</v>
      </c>
      <c r="D4049" s="12" t="s">
        <v>5959</v>
      </c>
      <c r="E4049" s="12" t="s">
        <v>2978</v>
      </c>
      <c r="F4049" s="12" t="s">
        <v>1861</v>
      </c>
      <c r="G4049" s="12" t="s">
        <v>1861</v>
      </c>
      <c r="H4049" s="12" t="b">
        <v>1</v>
      </c>
      <c r="I4049" s="12" t="b">
        <v>0</v>
      </c>
      <c r="J4049" s="12" t="b">
        <v>1</v>
      </c>
      <c r="K4049" s="12" t="b">
        <v>0</v>
      </c>
      <c r="L4049" s="12">
        <v>465.00208608253672</v>
      </c>
      <c r="M4049" s="12">
        <v>279.11429450062911</v>
      </c>
      <c r="N4049" s="12">
        <v>3000</v>
      </c>
      <c r="O4049" s="12">
        <v>400</v>
      </c>
      <c r="P4049" s="12">
        <v>0.5</v>
      </c>
      <c r="Q4049" s="12">
        <v>0.53309208315032486</v>
      </c>
      <c r="R4049" s="12">
        <v>0.46416310267701738</v>
      </c>
      <c r="S4049" s="12">
        <v>0.54699138698178329</v>
      </c>
      <c r="T4049" s="12">
        <v>0.88133637130928677</v>
      </c>
      <c r="U4049" s="12">
        <v>0.67271444054729068</v>
      </c>
      <c r="V4049" s="12">
        <v>279.11429450062911</v>
      </c>
      <c r="W4049" s="12">
        <v>4.5208174153580298</v>
      </c>
      <c r="X4049" s="12">
        <v>37.302296439103472</v>
      </c>
      <c r="Y4049" s="12">
        <v>2600</v>
      </c>
      <c r="Z4049" s="12">
        <v>7.5</v>
      </c>
      <c r="AA4049" s="12" t="s">
        <v>1268</v>
      </c>
      <c r="AB4049" s="12"/>
    </row>
    <row r="4050" spans="1:28" x14ac:dyDescent="0.3">
      <c r="A4050" s="12" t="s">
        <v>5985</v>
      </c>
      <c r="B4050" s="12" t="s">
        <v>206</v>
      </c>
      <c r="C4050" s="12" t="s">
        <v>641</v>
      </c>
      <c r="D4050" s="12" t="s">
        <v>5959</v>
      </c>
      <c r="E4050" s="12" t="s">
        <v>2978</v>
      </c>
      <c r="F4050" s="12" t="s">
        <v>32</v>
      </c>
      <c r="G4050" s="12" t="s">
        <v>32</v>
      </c>
      <c r="H4050" s="12" t="b">
        <v>1</v>
      </c>
      <c r="I4050" s="12" t="b">
        <v>1</v>
      </c>
      <c r="J4050" s="12" t="b">
        <v>0</v>
      </c>
      <c r="K4050" s="12" t="b">
        <v>0</v>
      </c>
      <c r="L4050" s="12">
        <v>397.87452149174362</v>
      </c>
      <c r="M4050" s="12">
        <v>295.0143405728146</v>
      </c>
      <c r="N4050" s="12">
        <v>3000</v>
      </c>
      <c r="O4050" s="12">
        <v>400</v>
      </c>
      <c r="P4050" s="12">
        <v>0.5</v>
      </c>
      <c r="Q4050" s="12">
        <v>0.67598457081267482</v>
      </c>
      <c r="R4050" s="12">
        <v>0.84216791423455339</v>
      </c>
      <c r="S4050" s="12">
        <v>0.72264503294099502</v>
      </c>
      <c r="T4050" s="12">
        <v>0.70081026680002145</v>
      </c>
      <c r="U4050" s="12">
        <v>0.89952057062341706</v>
      </c>
      <c r="V4050" s="12">
        <v>295.0143405728146</v>
      </c>
      <c r="W4050" s="12">
        <v>4.3527826237087304</v>
      </c>
      <c r="X4050" s="12">
        <v>10.26612703065835</v>
      </c>
      <c r="Y4050" s="12">
        <v>2600</v>
      </c>
      <c r="Z4050" s="12">
        <v>7.5</v>
      </c>
      <c r="AA4050" s="12"/>
      <c r="AB4050" s="12"/>
    </row>
    <row r="4051" spans="1:28" x14ac:dyDescent="0.3">
      <c r="A4051" s="12" t="s">
        <v>5986</v>
      </c>
      <c r="B4051" s="12" t="s">
        <v>206</v>
      </c>
      <c r="C4051" s="12" t="s">
        <v>641</v>
      </c>
      <c r="D4051" s="12" t="s">
        <v>5959</v>
      </c>
      <c r="E4051" s="12" t="s">
        <v>2978</v>
      </c>
      <c r="F4051" s="12" t="s">
        <v>1861</v>
      </c>
      <c r="G4051" s="12" t="s">
        <v>1861</v>
      </c>
      <c r="H4051" s="12" t="b">
        <v>1</v>
      </c>
      <c r="I4051" s="12" t="b">
        <v>0</v>
      </c>
      <c r="J4051" s="12" t="b">
        <v>1</v>
      </c>
      <c r="K4051" s="12" t="b">
        <v>0</v>
      </c>
      <c r="L4051" s="12">
        <v>492.09792925348688</v>
      </c>
      <c r="M4051" s="12">
        <v>299.80528466510992</v>
      </c>
      <c r="N4051" s="12">
        <v>3000</v>
      </c>
      <c r="O4051" s="12">
        <v>400</v>
      </c>
      <c r="P4051" s="12">
        <v>0.5</v>
      </c>
      <c r="Q4051" s="12">
        <v>0.90537794825620599</v>
      </c>
      <c r="R4051" s="12">
        <v>0.82636220532162485</v>
      </c>
      <c r="S4051" s="12">
        <v>0.60283948742205096</v>
      </c>
      <c r="T4051" s="12">
        <v>0.90884781842036755</v>
      </c>
      <c r="U4051" s="12">
        <v>0.70447675083653816</v>
      </c>
      <c r="V4051" s="12">
        <v>299.80528466510992</v>
      </c>
      <c r="W4051" s="12">
        <v>13.929545038753551</v>
      </c>
      <c r="X4051" s="12">
        <v>154.40024116655749</v>
      </c>
      <c r="Y4051" s="12">
        <v>2600</v>
      </c>
      <c r="Z4051" s="12">
        <v>7.5</v>
      </c>
      <c r="AA4051" s="12" t="s">
        <v>1981</v>
      </c>
      <c r="AB4051" s="12"/>
    </row>
    <row r="4052" spans="1:28" x14ac:dyDescent="0.3">
      <c r="A4052" s="12" t="s">
        <v>5987</v>
      </c>
      <c r="B4052" s="12" t="s">
        <v>206</v>
      </c>
      <c r="C4052" s="12" t="s">
        <v>641</v>
      </c>
      <c r="D4052" s="12" t="s">
        <v>5959</v>
      </c>
      <c r="E4052" s="12" t="s">
        <v>2978</v>
      </c>
      <c r="F4052" s="12" t="s">
        <v>1862</v>
      </c>
      <c r="G4052" s="12" t="s">
        <v>1862</v>
      </c>
      <c r="H4052" s="12" t="b">
        <v>1</v>
      </c>
      <c r="I4052" s="12" t="b">
        <v>0</v>
      </c>
      <c r="J4052" s="12" t="b">
        <v>1</v>
      </c>
      <c r="K4052" s="12" t="b">
        <v>0</v>
      </c>
      <c r="L4052" s="12">
        <v>451.95599182155132</v>
      </c>
      <c r="M4052" s="12">
        <v>302.09357231438349</v>
      </c>
      <c r="N4052" s="12">
        <v>3000</v>
      </c>
      <c r="O4052" s="12">
        <v>400</v>
      </c>
      <c r="P4052" s="12">
        <v>0.5</v>
      </c>
      <c r="Q4052" s="12">
        <v>0.48667198116333887</v>
      </c>
      <c r="R4052" s="12">
        <v>0.57469687054836649</v>
      </c>
      <c r="S4052" s="12">
        <v>0.50355025312358304</v>
      </c>
      <c r="T4052" s="12">
        <v>0.44231651898162477</v>
      </c>
      <c r="U4052" s="12">
        <v>0.43584431407495627</v>
      </c>
      <c r="V4052" s="12">
        <v>302.09357231438349</v>
      </c>
      <c r="W4052" s="12">
        <v>-20.332167966678689</v>
      </c>
      <c r="X4052" s="12">
        <v>-79.046409800083183</v>
      </c>
      <c r="Y4052" s="12">
        <v>2600</v>
      </c>
      <c r="Z4052" s="12">
        <v>7.5</v>
      </c>
      <c r="AA4052" s="12" t="s">
        <v>2513</v>
      </c>
      <c r="AB4052" s="12"/>
    </row>
    <row r="4053" spans="1:28" x14ac:dyDescent="0.3">
      <c r="A4053" s="12" t="s">
        <v>5988</v>
      </c>
      <c r="B4053" s="12" t="s">
        <v>206</v>
      </c>
      <c r="C4053" s="12" t="s">
        <v>641</v>
      </c>
      <c r="D4053" s="12" t="s">
        <v>5959</v>
      </c>
      <c r="E4053" s="12" t="s">
        <v>2978</v>
      </c>
      <c r="F4053" s="12" t="s">
        <v>1861</v>
      </c>
      <c r="G4053" s="12" t="s">
        <v>1861</v>
      </c>
      <c r="H4053" s="12" t="b">
        <v>1</v>
      </c>
      <c r="I4053" s="12" t="b">
        <v>0</v>
      </c>
      <c r="J4053" s="12" t="b">
        <v>1</v>
      </c>
      <c r="K4053" s="12" t="b">
        <v>0</v>
      </c>
      <c r="L4053" s="12">
        <v>459.64178535434257</v>
      </c>
      <c r="M4053" s="12">
        <v>282.73689162074032</v>
      </c>
      <c r="N4053" s="12">
        <v>3000</v>
      </c>
      <c r="O4053" s="12">
        <v>400</v>
      </c>
      <c r="P4053" s="12">
        <v>0.5</v>
      </c>
      <c r="Q4053" s="12">
        <v>0.7727247621441693</v>
      </c>
      <c r="R4053" s="12">
        <v>0.86031479264259536</v>
      </c>
      <c r="S4053" s="12">
        <v>0.81290466104533088</v>
      </c>
      <c r="T4053" s="12">
        <v>0.42276495341784298</v>
      </c>
      <c r="U4053" s="12">
        <v>0.75106688507819697</v>
      </c>
      <c r="V4053" s="12">
        <v>282.73689162074032</v>
      </c>
      <c r="W4053" s="12">
        <v>11.48004859287361</v>
      </c>
      <c r="X4053" s="12">
        <v>134.23746827477109</v>
      </c>
      <c r="Y4053" s="12">
        <v>2600</v>
      </c>
      <c r="Z4053" s="12">
        <v>7.5</v>
      </c>
      <c r="AA4053" s="12" t="s">
        <v>1268</v>
      </c>
      <c r="AB4053" s="12"/>
    </row>
    <row r="4054" spans="1:28" x14ac:dyDescent="0.3">
      <c r="A4054" s="12" t="s">
        <v>5989</v>
      </c>
      <c r="B4054" s="12" t="s">
        <v>206</v>
      </c>
      <c r="C4054" s="12" t="s">
        <v>649</v>
      </c>
      <c r="D4054" s="12" t="s">
        <v>5990</v>
      </c>
      <c r="E4054" s="12" t="s">
        <v>2978</v>
      </c>
      <c r="F4054" s="12" t="s">
        <v>1861</v>
      </c>
      <c r="G4054" s="12" t="s">
        <v>1861</v>
      </c>
      <c r="H4054" s="12" t="b">
        <v>1</v>
      </c>
      <c r="I4054" s="12" t="b">
        <v>0</v>
      </c>
      <c r="J4054" s="12" t="b">
        <v>1</v>
      </c>
      <c r="K4054" s="12" t="b">
        <v>0</v>
      </c>
      <c r="L4054" s="12">
        <v>444.23293725435389</v>
      </c>
      <c r="M4054" s="12">
        <v>300.032917</v>
      </c>
      <c r="N4054" s="12">
        <v>3000</v>
      </c>
      <c r="O4054" s="12">
        <v>481.72546243068939</v>
      </c>
      <c r="P4054" s="12">
        <v>0.5</v>
      </c>
      <c r="Q4054" s="12">
        <v>0.64198208401608314</v>
      </c>
      <c r="R4054" s="12">
        <v>0.66207231984993331</v>
      </c>
      <c r="S4054" s="12">
        <v>0.88178805594207532</v>
      </c>
      <c r="T4054" s="12">
        <v>0.45145769349996928</v>
      </c>
      <c r="U4054" s="12">
        <v>0.52711929139744318</v>
      </c>
      <c r="V4054" s="12">
        <v>300.032917</v>
      </c>
      <c r="W4054" s="12">
        <v>4.7876741213310002E-2</v>
      </c>
      <c r="X4054" s="12">
        <v>0.29233023503240929</v>
      </c>
      <c r="Y4054" s="12">
        <v>2518.2745375693112</v>
      </c>
      <c r="Z4054" s="12">
        <v>6.2276135142672464</v>
      </c>
      <c r="AA4054" s="12" t="s">
        <v>1268</v>
      </c>
      <c r="AB4054" s="12"/>
    </row>
    <row r="4055" spans="1:28" x14ac:dyDescent="0.3">
      <c r="A4055" s="12" t="s">
        <v>5991</v>
      </c>
      <c r="B4055" s="12" t="s">
        <v>206</v>
      </c>
      <c r="C4055" s="12" t="s">
        <v>649</v>
      </c>
      <c r="D4055" s="12" t="s">
        <v>5990</v>
      </c>
      <c r="E4055" s="12" t="s">
        <v>2978</v>
      </c>
      <c r="F4055" s="12" t="s">
        <v>1861</v>
      </c>
      <c r="G4055" s="12" t="s">
        <v>1861</v>
      </c>
      <c r="H4055" s="12" t="b">
        <v>1</v>
      </c>
      <c r="I4055" s="12" t="b">
        <v>0</v>
      </c>
      <c r="J4055" s="12" t="b">
        <v>1</v>
      </c>
      <c r="K4055" s="12" t="b">
        <v>0</v>
      </c>
      <c r="L4055" s="12">
        <v>517.81925273170737</v>
      </c>
      <c r="M4055" s="12">
        <v>300.032917</v>
      </c>
      <c r="N4055" s="12">
        <v>3000</v>
      </c>
      <c r="O4055" s="12">
        <v>655.91354536342192</v>
      </c>
      <c r="P4055" s="12">
        <v>0.5</v>
      </c>
      <c r="Q4055" s="12">
        <v>0.86343740772795341</v>
      </c>
      <c r="R4055" s="12">
        <v>0.68602990226582738</v>
      </c>
      <c r="S4055" s="12">
        <v>0.43169082820372678</v>
      </c>
      <c r="T4055" s="12">
        <v>0.6247809721002292</v>
      </c>
      <c r="U4055" s="12">
        <v>0.84636166315110095</v>
      </c>
      <c r="V4055" s="12">
        <v>300.032917</v>
      </c>
      <c r="W4055" s="12">
        <v>10.409266825418969</v>
      </c>
      <c r="X4055" s="12">
        <v>96.045633162105176</v>
      </c>
      <c r="Y4055" s="12">
        <v>2344.0864546365779</v>
      </c>
      <c r="Z4055" s="12">
        <v>4.5737735120835028</v>
      </c>
      <c r="AA4055" s="12" t="s">
        <v>1268</v>
      </c>
      <c r="AB4055" s="12"/>
    </row>
    <row r="4056" spans="1:28" x14ac:dyDescent="0.3">
      <c r="A4056" s="12" t="s">
        <v>5992</v>
      </c>
      <c r="B4056" s="12" t="s">
        <v>206</v>
      </c>
      <c r="C4056" s="12" t="s">
        <v>649</v>
      </c>
      <c r="D4056" s="12" t="s">
        <v>5990</v>
      </c>
      <c r="E4056" s="12" t="s">
        <v>2978</v>
      </c>
      <c r="F4056" s="12" t="s">
        <v>1863</v>
      </c>
      <c r="G4056" s="12" t="s">
        <v>832</v>
      </c>
      <c r="H4056" s="12" t="b">
        <v>0</v>
      </c>
      <c r="I4056" s="12" t="b">
        <v>0</v>
      </c>
      <c r="J4056" s="12" t="b">
        <v>0</v>
      </c>
      <c r="K4056" s="12" t="b">
        <v>0</v>
      </c>
      <c r="L4056" s="12">
        <v>386.8608990276125</v>
      </c>
      <c r="M4056" s="12">
        <v>300.032917</v>
      </c>
      <c r="N4056" s="12">
        <v>3000</v>
      </c>
      <c r="O4056" s="12">
        <v>1592.2269791784449</v>
      </c>
      <c r="P4056" s="12">
        <v>0.5</v>
      </c>
      <c r="Q4056" s="12">
        <v>0.53997999129075558</v>
      </c>
      <c r="R4056" s="12">
        <v>0.9195190019134456</v>
      </c>
      <c r="S4056" s="12">
        <v>0.51693343300279659</v>
      </c>
      <c r="T4056" s="12">
        <v>0.56242443092012029</v>
      </c>
      <c r="U4056" s="12">
        <v>0.68670350946535064</v>
      </c>
      <c r="V4056" s="12">
        <v>300.032917</v>
      </c>
      <c r="W4056" s="12">
        <v>-13.26746151102653</v>
      </c>
      <c r="X4056" s="12">
        <v>-14.74947273891798</v>
      </c>
      <c r="Y4056" s="12">
        <v>1407.7730208215551</v>
      </c>
      <c r="Z4056" s="12">
        <v>1.8841534776329041</v>
      </c>
      <c r="AA4056" s="12" t="s">
        <v>2018</v>
      </c>
      <c r="AB4056" s="12"/>
    </row>
    <row r="4057" spans="1:28" x14ac:dyDescent="0.3">
      <c r="A4057" s="12" t="s">
        <v>5993</v>
      </c>
      <c r="B4057" s="12" t="s">
        <v>206</v>
      </c>
      <c r="C4057" s="12" t="s">
        <v>649</v>
      </c>
      <c r="D4057" s="12" t="s">
        <v>5990</v>
      </c>
      <c r="E4057" s="12" t="s">
        <v>2978</v>
      </c>
      <c r="F4057" s="12" t="s">
        <v>1861</v>
      </c>
      <c r="G4057" s="12" t="s">
        <v>1861</v>
      </c>
      <c r="H4057" s="12" t="b">
        <v>1</v>
      </c>
      <c r="I4057" s="12" t="b">
        <v>0</v>
      </c>
      <c r="J4057" s="12" t="b">
        <v>0</v>
      </c>
      <c r="K4057" s="12" t="b">
        <v>0</v>
      </c>
      <c r="L4057" s="12">
        <v>422.62046801051332</v>
      </c>
      <c r="M4057" s="12">
        <v>300.032917</v>
      </c>
      <c r="N4057" s="12">
        <v>3000</v>
      </c>
      <c r="O4057" s="12">
        <v>929.39340250635155</v>
      </c>
      <c r="P4057" s="12">
        <v>0.5</v>
      </c>
      <c r="Q4057" s="12">
        <v>0.44547142259787198</v>
      </c>
      <c r="R4057" s="12">
        <v>0.52298087585485442</v>
      </c>
      <c r="S4057" s="12">
        <v>0.78141084705905106</v>
      </c>
      <c r="T4057" s="12">
        <v>0.71498528319366184</v>
      </c>
      <c r="U4057" s="12">
        <v>0.60446768754625513</v>
      </c>
      <c r="V4057" s="12">
        <v>300.032917</v>
      </c>
      <c r="W4057" s="12">
        <v>2.2932830460895102</v>
      </c>
      <c r="X4057" s="12">
        <v>10.005769050568169</v>
      </c>
      <c r="Y4057" s="12">
        <v>2070.6065974936482</v>
      </c>
      <c r="Z4057" s="12">
        <v>3.227911874465343</v>
      </c>
      <c r="AA4057" s="12" t="s">
        <v>1268</v>
      </c>
      <c r="AB4057" s="12"/>
    </row>
    <row r="4058" spans="1:28" x14ac:dyDescent="0.3">
      <c r="A4058" s="12" t="s">
        <v>5994</v>
      </c>
      <c r="B4058" s="12" t="s">
        <v>206</v>
      </c>
      <c r="C4058" s="12" t="s">
        <v>649</v>
      </c>
      <c r="D4058" s="12" t="s">
        <v>5990</v>
      </c>
      <c r="E4058" s="12" t="s">
        <v>2978</v>
      </c>
      <c r="F4058" s="12" t="s">
        <v>1863</v>
      </c>
      <c r="G4058" s="12" t="s">
        <v>832</v>
      </c>
      <c r="H4058" s="12" t="b">
        <v>0</v>
      </c>
      <c r="I4058" s="12" t="b">
        <v>0</v>
      </c>
      <c r="J4058" s="12" t="b">
        <v>1</v>
      </c>
      <c r="K4058" s="12" t="b">
        <v>0</v>
      </c>
      <c r="L4058" s="12">
        <v>508.29647047689292</v>
      </c>
      <c r="M4058" s="12">
        <v>300.032917</v>
      </c>
      <c r="N4058" s="12">
        <v>3000</v>
      </c>
      <c r="O4058" s="12">
        <v>338.07553384159581</v>
      </c>
      <c r="P4058" s="12">
        <v>0.5</v>
      </c>
      <c r="Q4058" s="12">
        <v>0.51883431602385133</v>
      </c>
      <c r="R4058" s="12">
        <v>0.75517870923557884</v>
      </c>
      <c r="S4058" s="12">
        <v>0.92935325275736957</v>
      </c>
      <c r="T4058" s="12">
        <v>0.70886524746499591</v>
      </c>
      <c r="U4058" s="12">
        <v>0.62758029425588158</v>
      </c>
      <c r="V4058" s="12">
        <v>300.032917</v>
      </c>
      <c r="W4058" s="12">
        <v>1.80756697944922</v>
      </c>
      <c r="X4058" s="12">
        <v>23.666356715917949</v>
      </c>
      <c r="Y4058" s="12">
        <v>2661.9244661584039</v>
      </c>
      <c r="Z4058" s="12">
        <v>8.8737566008122908</v>
      </c>
      <c r="AA4058" s="12" t="s">
        <v>3442</v>
      </c>
      <c r="AB4058" s="12"/>
    </row>
    <row r="4059" spans="1:28" x14ac:dyDescent="0.3">
      <c r="A4059" s="12" t="s">
        <v>5995</v>
      </c>
      <c r="B4059" s="12" t="s">
        <v>206</v>
      </c>
      <c r="C4059" s="12" t="s">
        <v>649</v>
      </c>
      <c r="D4059" s="12" t="s">
        <v>5990</v>
      </c>
      <c r="E4059" s="12" t="s">
        <v>2978</v>
      </c>
      <c r="F4059" s="12" t="s">
        <v>1861</v>
      </c>
      <c r="G4059" s="12" t="s">
        <v>1861</v>
      </c>
      <c r="H4059" s="12" t="b">
        <v>1</v>
      </c>
      <c r="I4059" s="12" t="b">
        <v>0</v>
      </c>
      <c r="J4059" s="12" t="b">
        <v>1</v>
      </c>
      <c r="K4059" s="12" t="b">
        <v>0</v>
      </c>
      <c r="L4059" s="12">
        <v>495.44209742760268</v>
      </c>
      <c r="M4059" s="12">
        <v>300.032917</v>
      </c>
      <c r="N4059" s="12">
        <v>3000</v>
      </c>
      <c r="O4059" s="12">
        <v>1686.6882251357731</v>
      </c>
      <c r="P4059" s="12">
        <v>0.5</v>
      </c>
      <c r="Q4059" s="12">
        <v>0.50225732570054271</v>
      </c>
      <c r="R4059" s="12">
        <v>0.89967222689401705</v>
      </c>
      <c r="S4059" s="12">
        <v>0.85934625914177842</v>
      </c>
      <c r="T4059" s="12">
        <v>0.69109068102736437</v>
      </c>
      <c r="U4059" s="12">
        <v>0.58254882616973946</v>
      </c>
      <c r="V4059" s="12">
        <v>300.032917</v>
      </c>
      <c r="W4059" s="12">
        <v>1.1752813928936201</v>
      </c>
      <c r="X4059" s="12">
        <v>14.76669785234048</v>
      </c>
      <c r="Y4059" s="12">
        <v>1313.3117748642269</v>
      </c>
      <c r="Z4059" s="12">
        <v>1.77863339252191</v>
      </c>
      <c r="AA4059" s="12" t="s">
        <v>1268</v>
      </c>
      <c r="AB4059" s="12"/>
    </row>
    <row r="4060" spans="1:28" x14ac:dyDescent="0.3">
      <c r="A4060" s="12" t="s">
        <v>5996</v>
      </c>
      <c r="B4060" s="12" t="s">
        <v>206</v>
      </c>
      <c r="C4060" s="12" t="s">
        <v>649</v>
      </c>
      <c r="D4060" s="12" t="s">
        <v>5990</v>
      </c>
      <c r="E4060" s="12" t="s">
        <v>2978</v>
      </c>
      <c r="F4060" s="12" t="s">
        <v>32</v>
      </c>
      <c r="G4060" s="12" t="s">
        <v>32</v>
      </c>
      <c r="H4060" s="12" t="b">
        <v>1</v>
      </c>
      <c r="I4060" s="12" t="b">
        <v>1</v>
      </c>
      <c r="J4060" s="12" t="b">
        <v>0</v>
      </c>
      <c r="K4060" s="12" t="b">
        <v>0</v>
      </c>
      <c r="L4060" s="12">
        <v>414.66757334340582</v>
      </c>
      <c r="M4060" s="12">
        <v>300.032917</v>
      </c>
      <c r="N4060" s="12">
        <v>3000</v>
      </c>
      <c r="O4060" s="12">
        <v>1123.4569310431059</v>
      </c>
      <c r="P4060" s="12">
        <v>0.5</v>
      </c>
      <c r="Q4060" s="12">
        <v>0.81483053163270847</v>
      </c>
      <c r="R4060" s="12">
        <v>0.54442251794558638</v>
      </c>
      <c r="S4060" s="12">
        <v>0.67313415835607693</v>
      </c>
      <c r="T4060" s="12">
        <v>0.85023857061742536</v>
      </c>
      <c r="U4060" s="12">
        <v>0.80621283637956742</v>
      </c>
      <c r="V4060" s="12">
        <v>300.032917</v>
      </c>
      <c r="W4060" s="12">
        <v>5.4823832414334603</v>
      </c>
      <c r="X4060" s="12">
        <v>18.238404097698091</v>
      </c>
      <c r="Y4060" s="12">
        <v>1876.5430689568941</v>
      </c>
      <c r="Z4060" s="12">
        <v>2.6703293353796518</v>
      </c>
      <c r="AA4060" s="12"/>
      <c r="AB4060" s="12"/>
    </row>
    <row r="4061" spans="1:28" x14ac:dyDescent="0.3">
      <c r="A4061" s="12" t="s">
        <v>5997</v>
      </c>
      <c r="B4061" s="12" t="s">
        <v>206</v>
      </c>
      <c r="C4061" s="12" t="s">
        <v>649</v>
      </c>
      <c r="D4061" s="12" t="s">
        <v>5990</v>
      </c>
      <c r="E4061" s="12" t="s">
        <v>2978</v>
      </c>
      <c r="F4061" s="12" t="s">
        <v>1861</v>
      </c>
      <c r="G4061" s="12" t="s">
        <v>1861</v>
      </c>
      <c r="H4061" s="12" t="b">
        <v>1</v>
      </c>
      <c r="I4061" s="12" t="b">
        <v>0</v>
      </c>
      <c r="J4061" s="12" t="b">
        <v>1</v>
      </c>
      <c r="K4061" s="12" t="b">
        <v>0</v>
      </c>
      <c r="L4061" s="12">
        <v>468.73809803914969</v>
      </c>
      <c r="M4061" s="12">
        <v>300.032917</v>
      </c>
      <c r="N4061" s="12">
        <v>3000</v>
      </c>
      <c r="O4061" s="12">
        <v>1401.5637975586219</v>
      </c>
      <c r="P4061" s="12">
        <v>0.5</v>
      </c>
      <c r="Q4061" s="12">
        <v>0.84332474181130934</v>
      </c>
      <c r="R4061" s="12">
        <v>0.45527827655284592</v>
      </c>
      <c r="S4061" s="12">
        <v>0.5966833438306367</v>
      </c>
      <c r="T4061" s="12">
        <v>0.4287740191651217</v>
      </c>
      <c r="U4061" s="12">
        <v>0.75455640835704396</v>
      </c>
      <c r="V4061" s="12">
        <v>300.032917</v>
      </c>
      <c r="W4061" s="12">
        <v>5.3110183132972404</v>
      </c>
      <c r="X4061" s="12">
        <v>55.915986932898598</v>
      </c>
      <c r="Y4061" s="12">
        <v>1598.4362024413781</v>
      </c>
      <c r="Z4061" s="12">
        <v>2.1404662457932262</v>
      </c>
      <c r="AA4061" s="12" t="s">
        <v>1268</v>
      </c>
      <c r="AB4061" s="12"/>
    </row>
    <row r="4062" spans="1:28" x14ac:dyDescent="0.3">
      <c r="A4062" s="12" t="s">
        <v>5998</v>
      </c>
      <c r="B4062" s="12" t="s">
        <v>206</v>
      </c>
      <c r="C4062" s="12" t="s">
        <v>649</v>
      </c>
      <c r="D4062" s="12" t="s">
        <v>5990</v>
      </c>
      <c r="E4062" s="12" t="s">
        <v>2978</v>
      </c>
      <c r="F4062" s="12" t="s">
        <v>1861</v>
      </c>
      <c r="G4062" s="12" t="s">
        <v>1861</v>
      </c>
      <c r="H4062" s="12" t="b">
        <v>1</v>
      </c>
      <c r="I4062" s="12" t="b">
        <v>0</v>
      </c>
      <c r="J4062" s="12" t="b">
        <v>1</v>
      </c>
      <c r="K4062" s="12" t="b">
        <v>0</v>
      </c>
      <c r="L4062" s="12">
        <v>487.35677384772248</v>
      </c>
      <c r="M4062" s="12">
        <v>300.032917</v>
      </c>
      <c r="N4062" s="12">
        <v>3000</v>
      </c>
      <c r="O4062" s="12">
        <v>1327.362530348222</v>
      </c>
      <c r="P4062" s="12">
        <v>0.5</v>
      </c>
      <c r="Q4062" s="12">
        <v>0.56996187675481047</v>
      </c>
      <c r="R4062" s="12">
        <v>0.80882717276765259</v>
      </c>
      <c r="S4062" s="12">
        <v>0.74331682726143344</v>
      </c>
      <c r="T4062" s="12">
        <v>0.49440341981747998</v>
      </c>
      <c r="U4062" s="12">
        <v>0.70411104550133174</v>
      </c>
      <c r="V4062" s="12">
        <v>300.032917</v>
      </c>
      <c r="W4062" s="12">
        <v>3.2435092379112098</v>
      </c>
      <c r="X4062" s="12">
        <v>42.903416852900051</v>
      </c>
      <c r="Y4062" s="12">
        <v>1672.637469651778</v>
      </c>
      <c r="Z4062" s="12">
        <v>2.2601210531481368</v>
      </c>
      <c r="AA4062" s="12" t="s">
        <v>1268</v>
      </c>
      <c r="AB4062" s="12"/>
    </row>
    <row r="4063" spans="1:28" x14ac:dyDescent="0.3">
      <c r="A4063" s="12" t="s">
        <v>5999</v>
      </c>
      <c r="B4063" s="12" t="s">
        <v>206</v>
      </c>
      <c r="C4063" s="12" t="s">
        <v>649</v>
      </c>
      <c r="D4063" s="12" t="s">
        <v>5990</v>
      </c>
      <c r="E4063" s="12" t="s">
        <v>2978</v>
      </c>
      <c r="F4063" s="12" t="s">
        <v>32</v>
      </c>
      <c r="G4063" s="12" t="s">
        <v>32</v>
      </c>
      <c r="H4063" s="12" t="b">
        <v>1</v>
      </c>
      <c r="I4063" s="12" t="b">
        <v>0</v>
      </c>
      <c r="J4063" s="12" t="b">
        <v>1</v>
      </c>
      <c r="K4063" s="12" t="b">
        <v>0</v>
      </c>
      <c r="L4063" s="12">
        <v>484.62144826462048</v>
      </c>
      <c r="M4063" s="12">
        <v>300.032917</v>
      </c>
      <c r="N4063" s="12">
        <v>3000</v>
      </c>
      <c r="O4063" s="12">
        <v>1491.9808701259039</v>
      </c>
      <c r="P4063" s="12">
        <v>0.5</v>
      </c>
      <c r="Q4063" s="12">
        <v>0.883020358640624</v>
      </c>
      <c r="R4063" s="12">
        <v>0.72233041117953412</v>
      </c>
      <c r="S4063" s="12">
        <v>0.55778879611229859</v>
      </c>
      <c r="T4063" s="12">
        <v>0.56747508284260473</v>
      </c>
      <c r="U4063" s="12">
        <v>0.86864926871133441</v>
      </c>
      <c r="V4063" s="12">
        <v>300.032917</v>
      </c>
      <c r="W4063" s="12">
        <v>5.16184216066637</v>
      </c>
      <c r="X4063" s="12">
        <v>59.516811758558163</v>
      </c>
      <c r="Y4063" s="12">
        <v>1508.0191298740961</v>
      </c>
      <c r="Z4063" s="12">
        <v>2.010749641680619</v>
      </c>
      <c r="AA4063" s="12"/>
      <c r="AB4063" s="12"/>
    </row>
    <row r="4064" spans="1:28" x14ac:dyDescent="0.3">
      <c r="A4064" s="12" t="s">
        <v>6000</v>
      </c>
      <c r="B4064" s="12" t="s">
        <v>206</v>
      </c>
      <c r="C4064" s="12" t="s">
        <v>649</v>
      </c>
      <c r="D4064" s="12" t="s">
        <v>5990</v>
      </c>
      <c r="E4064" s="12" t="s">
        <v>2978</v>
      </c>
      <c r="F4064" s="12" t="s">
        <v>1861</v>
      </c>
      <c r="G4064" s="12" t="s">
        <v>1861</v>
      </c>
      <c r="H4064" s="12" t="b">
        <v>1</v>
      </c>
      <c r="I4064" s="12" t="b">
        <v>0</v>
      </c>
      <c r="J4064" s="12" t="b">
        <v>0</v>
      </c>
      <c r="K4064" s="12" t="b">
        <v>0</v>
      </c>
      <c r="L4064" s="12">
        <v>451.07188019215539</v>
      </c>
      <c r="M4064" s="12">
        <v>300.032917</v>
      </c>
      <c r="N4064" s="12">
        <v>3000</v>
      </c>
      <c r="O4064" s="12">
        <v>1752.676154610713</v>
      </c>
      <c r="P4064" s="12">
        <v>0.5</v>
      </c>
      <c r="Q4064" s="12">
        <v>0.5502568510962581</v>
      </c>
      <c r="R4064" s="12">
        <v>0.77915474725021183</v>
      </c>
      <c r="S4064" s="12">
        <v>0.40867538318633911</v>
      </c>
      <c r="T4064" s="12">
        <v>0.54529245098413581</v>
      </c>
      <c r="U4064" s="12">
        <v>0.58894388222607974</v>
      </c>
      <c r="V4064" s="12">
        <v>300.032917</v>
      </c>
      <c r="W4064" s="12">
        <v>2.3679154671815001</v>
      </c>
      <c r="X4064" s="12">
        <v>10.94349795499398</v>
      </c>
      <c r="Y4064" s="12">
        <v>1247.323845389287</v>
      </c>
      <c r="Z4064" s="12">
        <v>1.7116681778935541</v>
      </c>
      <c r="AA4064" s="12" t="s">
        <v>1268</v>
      </c>
      <c r="AB4064" s="12"/>
    </row>
    <row r="4065" spans="1:28" x14ac:dyDescent="0.3">
      <c r="A4065" s="12" t="s">
        <v>6001</v>
      </c>
      <c r="B4065" s="12" t="s">
        <v>206</v>
      </c>
      <c r="C4065" s="12" t="s">
        <v>649</v>
      </c>
      <c r="D4065" s="12" t="s">
        <v>5990</v>
      </c>
      <c r="E4065" s="12" t="s">
        <v>2978</v>
      </c>
      <c r="F4065" s="12" t="s">
        <v>1861</v>
      </c>
      <c r="G4065" s="12" t="s">
        <v>1861</v>
      </c>
      <c r="H4065" s="12" t="b">
        <v>1</v>
      </c>
      <c r="I4065" s="12" t="b">
        <v>0</v>
      </c>
      <c r="J4065" s="12" t="b">
        <v>1</v>
      </c>
      <c r="K4065" s="12" t="b">
        <v>0</v>
      </c>
      <c r="L4065" s="12">
        <v>456.64020712730468</v>
      </c>
      <c r="M4065" s="12">
        <v>300.032917</v>
      </c>
      <c r="N4065" s="12">
        <v>3000</v>
      </c>
      <c r="O4065" s="12">
        <v>1206.983221728553</v>
      </c>
      <c r="P4065" s="12">
        <v>0.5</v>
      </c>
      <c r="Q4065" s="12">
        <v>0.79939123333529261</v>
      </c>
      <c r="R4065" s="12">
        <v>0.56530993632199777</v>
      </c>
      <c r="S4065" s="12">
        <v>0.58156711309000053</v>
      </c>
      <c r="T4065" s="12">
        <v>0.80775664074482478</v>
      </c>
      <c r="U4065" s="12">
        <v>0.72081448654295155</v>
      </c>
      <c r="V4065" s="12">
        <v>300.032917</v>
      </c>
      <c r="W4065" s="12">
        <v>6.4826110519467601</v>
      </c>
      <c r="X4065" s="12">
        <v>47.375368742088597</v>
      </c>
      <c r="Y4065" s="12">
        <v>1793.016778271447</v>
      </c>
      <c r="Z4065" s="12">
        <v>2.485535793698622</v>
      </c>
      <c r="AA4065" s="12" t="s">
        <v>1268</v>
      </c>
      <c r="AB4065" s="12"/>
    </row>
    <row r="4066" spans="1:28" x14ac:dyDescent="0.3">
      <c r="A4066" s="12" t="s">
        <v>6002</v>
      </c>
      <c r="B4066" s="12" t="s">
        <v>206</v>
      </c>
      <c r="C4066" s="12" t="s">
        <v>649</v>
      </c>
      <c r="D4066" s="12" t="s">
        <v>5990</v>
      </c>
      <c r="E4066" s="12" t="s">
        <v>2978</v>
      </c>
      <c r="F4066" s="12" t="s">
        <v>32</v>
      </c>
      <c r="G4066" s="12" t="s">
        <v>32</v>
      </c>
      <c r="H4066" s="12" t="b">
        <v>1</v>
      </c>
      <c r="I4066" s="12" t="b">
        <v>1</v>
      </c>
      <c r="J4066" s="12" t="b">
        <v>0</v>
      </c>
      <c r="K4066" s="12" t="b">
        <v>0</v>
      </c>
      <c r="L4066" s="12">
        <v>393.05784601158882</v>
      </c>
      <c r="M4066" s="12">
        <v>300.032917</v>
      </c>
      <c r="N4066" s="12">
        <v>3000</v>
      </c>
      <c r="O4066" s="12">
        <v>1944.9514791328411</v>
      </c>
      <c r="P4066" s="12">
        <v>0.5</v>
      </c>
      <c r="Q4066" s="12">
        <v>0.71640790345233274</v>
      </c>
      <c r="R4066" s="12">
        <v>0.94182841348666979</v>
      </c>
      <c r="S4066" s="12">
        <v>0.82284800305313088</v>
      </c>
      <c r="T4066" s="12">
        <v>0.40765396045770569</v>
      </c>
      <c r="U4066" s="12">
        <v>0.93778864268667617</v>
      </c>
      <c r="V4066" s="12">
        <v>300.032917</v>
      </c>
      <c r="W4066" s="12">
        <v>0.2126119151354999</v>
      </c>
      <c r="X4066" s="12">
        <v>0.62957050268727954</v>
      </c>
      <c r="Y4066" s="12">
        <v>1055.0485208671589</v>
      </c>
      <c r="Z4066" s="12">
        <v>1.542454931234353</v>
      </c>
      <c r="AA4066" s="12"/>
      <c r="AB4066" s="12"/>
    </row>
    <row r="4067" spans="1:28" x14ac:dyDescent="0.3">
      <c r="A4067" s="12" t="s">
        <v>6003</v>
      </c>
      <c r="B4067" s="12" t="s">
        <v>206</v>
      </c>
      <c r="C4067" s="12" t="s">
        <v>649</v>
      </c>
      <c r="D4067" s="12" t="s">
        <v>5990</v>
      </c>
      <c r="E4067" s="12" t="s">
        <v>2978</v>
      </c>
      <c r="F4067" s="12" t="s">
        <v>1861</v>
      </c>
      <c r="G4067" s="12" t="s">
        <v>1861</v>
      </c>
      <c r="H4067" s="12" t="b">
        <v>1</v>
      </c>
      <c r="I4067" s="12" t="b">
        <v>0</v>
      </c>
      <c r="J4067" s="12" t="b">
        <v>0</v>
      </c>
      <c r="K4067" s="12" t="b">
        <v>0</v>
      </c>
      <c r="L4067" s="12">
        <v>407.71467896506891</v>
      </c>
      <c r="M4067" s="12">
        <v>300.032917</v>
      </c>
      <c r="N4067" s="12">
        <v>3000</v>
      </c>
      <c r="O4067" s="12">
        <v>562.98871487019289</v>
      </c>
      <c r="P4067" s="12">
        <v>0.5</v>
      </c>
      <c r="Q4067" s="12">
        <v>0.40779744118354139</v>
      </c>
      <c r="R4067" s="12">
        <v>0.87238023645664864</v>
      </c>
      <c r="S4067" s="12">
        <v>0.49670709440786831</v>
      </c>
      <c r="T4067" s="12">
        <v>0.59257892899235631</v>
      </c>
      <c r="U4067" s="12">
        <v>0.53661633591223556</v>
      </c>
      <c r="V4067" s="12">
        <v>300.032917</v>
      </c>
      <c r="W4067" s="12">
        <v>0.45488237524517999</v>
      </c>
      <c r="X4067" s="12">
        <v>0.97559763735085703</v>
      </c>
      <c r="Y4067" s="12">
        <v>2437.0112851298072</v>
      </c>
      <c r="Z4067" s="12">
        <v>5.328703614763759</v>
      </c>
      <c r="AA4067" s="12" t="s">
        <v>1268</v>
      </c>
      <c r="AB4067" s="12"/>
    </row>
    <row r="4068" spans="1:28" x14ac:dyDescent="0.3">
      <c r="A4068" s="12" t="s">
        <v>6004</v>
      </c>
      <c r="B4068" s="12" t="s">
        <v>206</v>
      </c>
      <c r="C4068" s="12" t="s">
        <v>649</v>
      </c>
      <c r="D4068" s="12" t="s">
        <v>5990</v>
      </c>
      <c r="E4068" s="12" t="s">
        <v>2978</v>
      </c>
      <c r="F4068" s="12" t="s">
        <v>1861</v>
      </c>
      <c r="G4068" s="12" t="s">
        <v>1861</v>
      </c>
      <c r="H4068" s="12" t="b">
        <v>1</v>
      </c>
      <c r="I4068" s="12" t="b">
        <v>0</v>
      </c>
      <c r="J4068" s="12" t="b">
        <v>0</v>
      </c>
      <c r="K4068" s="12" t="b">
        <v>0</v>
      </c>
      <c r="L4068" s="12">
        <v>418.90893699256731</v>
      </c>
      <c r="M4068" s="12">
        <v>300.032917</v>
      </c>
      <c r="N4068" s="12">
        <v>3000</v>
      </c>
      <c r="O4068" s="12">
        <v>376.45435854221557</v>
      </c>
      <c r="P4068" s="12">
        <v>0.5</v>
      </c>
      <c r="Q4068" s="12">
        <v>0.4363933082093584</v>
      </c>
      <c r="R4068" s="12">
        <v>0.84480856943616744</v>
      </c>
      <c r="S4068" s="12">
        <v>0.8025276058302071</v>
      </c>
      <c r="T4068" s="12">
        <v>0.77583964905607361</v>
      </c>
      <c r="U4068" s="12">
        <v>0.769959087057141</v>
      </c>
      <c r="V4068" s="12">
        <v>300.032917</v>
      </c>
      <c r="W4068" s="12">
        <v>5.5530428067615114</v>
      </c>
      <c r="X4068" s="12">
        <v>24.940785038796129</v>
      </c>
      <c r="Y4068" s="12">
        <v>2623.5456414577839</v>
      </c>
      <c r="Z4068" s="12">
        <v>7.9690935485970211</v>
      </c>
      <c r="AA4068" s="12" t="s">
        <v>1268</v>
      </c>
      <c r="AB4068" s="12"/>
    </row>
    <row r="4069" spans="1:28" x14ac:dyDescent="0.3">
      <c r="A4069" s="12" t="s">
        <v>6005</v>
      </c>
      <c r="B4069" s="12" t="s">
        <v>206</v>
      </c>
      <c r="C4069" s="12" t="s">
        <v>649</v>
      </c>
      <c r="D4069" s="12" t="s">
        <v>5990</v>
      </c>
      <c r="E4069" s="12" t="s">
        <v>2978</v>
      </c>
      <c r="F4069" s="12" t="s">
        <v>1861</v>
      </c>
      <c r="G4069" s="12" t="s">
        <v>1861</v>
      </c>
      <c r="H4069" s="12" t="b">
        <v>1</v>
      </c>
      <c r="I4069" s="12" t="b">
        <v>0</v>
      </c>
      <c r="J4069" s="12" t="b">
        <v>1</v>
      </c>
      <c r="K4069" s="12" t="b">
        <v>0</v>
      </c>
      <c r="L4069" s="12">
        <v>478.76053013507652</v>
      </c>
      <c r="M4069" s="12">
        <v>300.032917</v>
      </c>
      <c r="N4069" s="12">
        <v>3000</v>
      </c>
      <c r="O4069" s="12">
        <v>1867.0160337936061</v>
      </c>
      <c r="P4069" s="12">
        <v>0.5</v>
      </c>
      <c r="Q4069" s="12">
        <v>0.8951746544404704</v>
      </c>
      <c r="R4069" s="12">
        <v>0.55372712015120251</v>
      </c>
      <c r="S4069" s="12">
        <v>0.65500442588310803</v>
      </c>
      <c r="T4069" s="12">
        <v>0.61404082961830542</v>
      </c>
      <c r="U4069" s="12">
        <v>0.55014810425959082</v>
      </c>
      <c r="V4069" s="12">
        <v>300.032917</v>
      </c>
      <c r="W4069" s="12">
        <v>2.1263443840766598</v>
      </c>
      <c r="X4069" s="12">
        <v>20.786675924928719</v>
      </c>
      <c r="Y4069" s="12">
        <v>1132.9839662063939</v>
      </c>
      <c r="Z4069" s="12">
        <v>1.606842119027909</v>
      </c>
      <c r="AA4069" s="12" t="s">
        <v>1268</v>
      </c>
      <c r="AB4069" s="12"/>
    </row>
    <row r="4070" spans="1:28" x14ac:dyDescent="0.3">
      <c r="A4070" s="12" t="s">
        <v>6006</v>
      </c>
      <c r="B4070" s="12" t="s">
        <v>206</v>
      </c>
      <c r="C4070" s="12" t="s">
        <v>649</v>
      </c>
      <c r="D4070" s="12" t="s">
        <v>5990</v>
      </c>
      <c r="E4070" s="12" t="s">
        <v>2978</v>
      </c>
      <c r="F4070" s="12" t="s">
        <v>1861</v>
      </c>
      <c r="G4070" s="12" t="s">
        <v>1861</v>
      </c>
      <c r="H4070" s="12" t="b">
        <v>1</v>
      </c>
      <c r="I4070" s="12" t="b">
        <v>0</v>
      </c>
      <c r="J4070" s="12" t="b">
        <v>1</v>
      </c>
      <c r="K4070" s="12" t="b">
        <v>0</v>
      </c>
      <c r="L4070" s="12">
        <v>511.78266638654583</v>
      </c>
      <c r="M4070" s="12">
        <v>300.032917</v>
      </c>
      <c r="N4070" s="12">
        <v>3000</v>
      </c>
      <c r="O4070" s="12">
        <v>786.89182309455055</v>
      </c>
      <c r="P4070" s="12">
        <v>0.5</v>
      </c>
      <c r="Q4070" s="12">
        <v>0.73972415027879612</v>
      </c>
      <c r="R4070" s="12">
        <v>0.70905078720826542</v>
      </c>
      <c r="S4070" s="12">
        <v>0.80405392221709882</v>
      </c>
      <c r="T4070" s="12">
        <v>0.64749222696651199</v>
      </c>
      <c r="U4070" s="12">
        <v>0.83200601326137136</v>
      </c>
      <c r="V4070" s="12">
        <v>300.032917</v>
      </c>
      <c r="W4070" s="12">
        <v>8.1835104464203905</v>
      </c>
      <c r="X4070" s="12">
        <v>136.6113826979514</v>
      </c>
      <c r="Y4070" s="12">
        <v>2213.108176905449</v>
      </c>
      <c r="Z4070" s="12">
        <v>3.812468133424141</v>
      </c>
      <c r="AA4070" s="12" t="s">
        <v>1268</v>
      </c>
      <c r="AB4070" s="12"/>
    </row>
    <row r="4071" spans="1:28" x14ac:dyDescent="0.3">
      <c r="A4071" s="12" t="s">
        <v>6007</v>
      </c>
      <c r="B4071" s="12" t="s">
        <v>206</v>
      </c>
      <c r="C4071" s="12" t="s">
        <v>649</v>
      </c>
      <c r="D4071" s="12" t="s">
        <v>5990</v>
      </c>
      <c r="E4071" s="12" t="s">
        <v>2978</v>
      </c>
      <c r="F4071" s="12" t="s">
        <v>32</v>
      </c>
      <c r="G4071" s="12" t="s">
        <v>32</v>
      </c>
      <c r="H4071" s="12" t="b">
        <v>1</v>
      </c>
      <c r="I4071" s="12" t="b">
        <v>1</v>
      </c>
      <c r="J4071" s="12" t="b">
        <v>0</v>
      </c>
      <c r="K4071" s="12" t="b">
        <v>0</v>
      </c>
      <c r="L4071" s="12">
        <v>412.5342522232894</v>
      </c>
      <c r="M4071" s="12">
        <v>300.032917</v>
      </c>
      <c r="N4071" s="12">
        <v>3000</v>
      </c>
      <c r="O4071" s="12">
        <v>1606.8569498524439</v>
      </c>
      <c r="P4071" s="12">
        <v>0.5</v>
      </c>
      <c r="Q4071" s="12">
        <v>0.93531984051739359</v>
      </c>
      <c r="R4071" s="12">
        <v>0.63076401276040284</v>
      </c>
      <c r="S4071" s="12">
        <v>0.47369798337122299</v>
      </c>
      <c r="T4071" s="12">
        <v>0.75436140432059307</v>
      </c>
      <c r="U4071" s="12">
        <v>0.47870345007528098</v>
      </c>
      <c r="V4071" s="12">
        <v>300.032917</v>
      </c>
      <c r="W4071" s="12">
        <v>3.7083166627848398</v>
      </c>
      <c r="X4071" s="12">
        <v>7.873819215007682</v>
      </c>
      <c r="Y4071" s="12">
        <v>1393.1430501475561</v>
      </c>
      <c r="Z4071" s="12">
        <v>1.8669988017760299</v>
      </c>
      <c r="AA4071" s="12"/>
      <c r="AB4071" s="12"/>
    </row>
    <row r="4072" spans="1:28" x14ac:dyDescent="0.3">
      <c r="A4072" s="12" t="s">
        <v>6008</v>
      </c>
      <c r="B4072" s="12" t="s">
        <v>206</v>
      </c>
      <c r="C4072" s="12" t="s">
        <v>649</v>
      </c>
      <c r="D4072" s="12" t="s">
        <v>5990</v>
      </c>
      <c r="E4072" s="12" t="s">
        <v>2978</v>
      </c>
      <c r="F4072" s="12" t="s">
        <v>1862</v>
      </c>
      <c r="G4072" s="12" t="s">
        <v>1862</v>
      </c>
      <c r="H4072" s="12" t="b">
        <v>1</v>
      </c>
      <c r="I4072" s="12" t="b">
        <v>0</v>
      </c>
      <c r="J4072" s="12" t="b">
        <v>0</v>
      </c>
      <c r="K4072" s="12" t="b">
        <v>0</v>
      </c>
      <c r="L4072" s="12">
        <v>427.9805782050725</v>
      </c>
      <c r="M4072" s="12">
        <v>300.032917</v>
      </c>
      <c r="N4072" s="12">
        <v>3000</v>
      </c>
      <c r="O4072" s="12">
        <v>1022.332192204083</v>
      </c>
      <c r="P4072" s="12">
        <v>0.5</v>
      </c>
      <c r="Q4072" s="12">
        <v>0.47380161248821812</v>
      </c>
      <c r="R4072" s="12">
        <v>0.44737281894392689</v>
      </c>
      <c r="S4072" s="12">
        <v>0.45889344590468278</v>
      </c>
      <c r="T4072" s="12">
        <v>0.47859029484185611</v>
      </c>
      <c r="U4072" s="12">
        <v>0.46615491024581468</v>
      </c>
      <c r="V4072" s="12">
        <v>300.032917</v>
      </c>
      <c r="W4072" s="12">
        <v>-2.5086312275704001</v>
      </c>
      <c r="X4072" s="12">
        <v>-7.468664102042867</v>
      </c>
      <c r="Y4072" s="12">
        <v>1977.667807795917</v>
      </c>
      <c r="Z4072" s="12">
        <v>2.9344669207101779</v>
      </c>
      <c r="AA4072" s="12" t="s">
        <v>2513</v>
      </c>
      <c r="AB4072" s="12"/>
    </row>
    <row r="4073" spans="1:28" x14ac:dyDescent="0.3">
      <c r="A4073" s="12" t="s">
        <v>6009</v>
      </c>
      <c r="B4073" s="12" t="s">
        <v>206</v>
      </c>
      <c r="C4073" s="12" t="s">
        <v>649</v>
      </c>
      <c r="D4073" s="12" t="s">
        <v>5990</v>
      </c>
      <c r="E4073" s="12" t="s">
        <v>2978</v>
      </c>
      <c r="F4073" s="12" t="s">
        <v>1861</v>
      </c>
      <c r="G4073" s="12" t="s">
        <v>1861</v>
      </c>
      <c r="H4073" s="12" t="b">
        <v>1</v>
      </c>
      <c r="I4073" s="12" t="b">
        <v>0</v>
      </c>
      <c r="J4073" s="12" t="b">
        <v>1</v>
      </c>
      <c r="K4073" s="12" t="b">
        <v>0</v>
      </c>
      <c r="L4073" s="12">
        <v>466.82057107170112</v>
      </c>
      <c r="M4073" s="12">
        <v>300.032917</v>
      </c>
      <c r="N4073" s="12">
        <v>3000</v>
      </c>
      <c r="O4073" s="12">
        <v>858.96731601190663</v>
      </c>
      <c r="P4073" s="12">
        <v>0.5</v>
      </c>
      <c r="Q4073" s="12">
        <v>0.71014885871518141</v>
      </c>
      <c r="R4073" s="12">
        <v>0.41929729611741651</v>
      </c>
      <c r="S4073" s="12">
        <v>0.94822701932917897</v>
      </c>
      <c r="T4073" s="12">
        <v>0.46478433034623118</v>
      </c>
      <c r="U4073" s="12">
        <v>0.74108776838996093</v>
      </c>
      <c r="V4073" s="12">
        <v>300.032917</v>
      </c>
      <c r="W4073" s="12">
        <v>4.6267744604584697</v>
      </c>
      <c r="X4073" s="12">
        <v>66.152218288898666</v>
      </c>
      <c r="Y4073" s="12">
        <v>2141.032683988094</v>
      </c>
      <c r="Z4073" s="12">
        <v>3.492565949923077</v>
      </c>
      <c r="AA4073" s="12" t="s">
        <v>1268</v>
      </c>
      <c r="AB4073" s="12"/>
    </row>
    <row r="4074" spans="1:28" x14ac:dyDescent="0.3">
      <c r="A4074" s="12" t="s">
        <v>6010</v>
      </c>
      <c r="B4074" s="12" t="s">
        <v>206</v>
      </c>
      <c r="C4074" s="12" t="s">
        <v>649</v>
      </c>
      <c r="D4074" s="12" t="s">
        <v>5990</v>
      </c>
      <c r="E4074" s="12" t="s">
        <v>2978</v>
      </c>
      <c r="F4074" s="12" t="s">
        <v>32</v>
      </c>
      <c r="G4074" s="12" t="s">
        <v>32</v>
      </c>
      <c r="H4074" s="12" t="b">
        <v>1</v>
      </c>
      <c r="I4074" s="12" t="b">
        <v>1</v>
      </c>
      <c r="J4074" s="12" t="b">
        <v>0</v>
      </c>
      <c r="K4074" s="12" t="b">
        <v>0</v>
      </c>
      <c r="L4074" s="12">
        <v>401.38901533738988</v>
      </c>
      <c r="M4074" s="12">
        <v>300.032917</v>
      </c>
      <c r="N4074" s="12">
        <v>3000</v>
      </c>
      <c r="O4074" s="12">
        <v>1174.169053044774</v>
      </c>
      <c r="P4074" s="12">
        <v>0.5</v>
      </c>
      <c r="Q4074" s="12">
        <v>0.92638123028742281</v>
      </c>
      <c r="R4074" s="12">
        <v>0.60313197277918751</v>
      </c>
      <c r="S4074" s="12">
        <v>0.53873804884255372</v>
      </c>
      <c r="T4074" s="12">
        <v>0.51773188529673309</v>
      </c>
      <c r="U4074" s="12">
        <v>0.49577681282746922</v>
      </c>
      <c r="V4074" s="12">
        <v>300.032917</v>
      </c>
      <c r="W4074" s="12">
        <v>2.0669613679558601</v>
      </c>
      <c r="X4074" s="12">
        <v>3.96729127225362</v>
      </c>
      <c r="Y4074" s="12">
        <v>1825.830946955226</v>
      </c>
      <c r="Z4074" s="12">
        <v>2.5549983558335212</v>
      </c>
      <c r="AA4074" s="12"/>
      <c r="AB4074" s="12"/>
    </row>
    <row r="4075" spans="1:28" x14ac:dyDescent="0.3">
      <c r="A4075" s="12" t="s">
        <v>6011</v>
      </c>
      <c r="B4075" s="12" t="s">
        <v>206</v>
      </c>
      <c r="C4075" s="12" t="s">
        <v>649</v>
      </c>
      <c r="D4075" s="12" t="s">
        <v>5990</v>
      </c>
      <c r="E4075" s="12" t="s">
        <v>2978</v>
      </c>
      <c r="F4075" s="12" t="s">
        <v>1862</v>
      </c>
      <c r="G4075" s="12" t="s">
        <v>1862</v>
      </c>
      <c r="H4075" s="12" t="b">
        <v>1</v>
      </c>
      <c r="I4075" s="12" t="b">
        <v>0</v>
      </c>
      <c r="J4075" s="12" t="b">
        <v>0</v>
      </c>
      <c r="K4075" s="12" t="b">
        <v>0</v>
      </c>
      <c r="L4075" s="12">
        <v>432.49680239538952</v>
      </c>
      <c r="M4075" s="12">
        <v>300.032917</v>
      </c>
      <c r="N4075" s="12">
        <v>3000</v>
      </c>
      <c r="O4075" s="12">
        <v>610.47462148021441</v>
      </c>
      <c r="P4075" s="12">
        <v>0.5</v>
      </c>
      <c r="Q4075" s="12">
        <v>0.46226069640425821</v>
      </c>
      <c r="R4075" s="12">
        <v>0.82231760096009743</v>
      </c>
      <c r="S4075" s="12">
        <v>0.60929841252764105</v>
      </c>
      <c r="T4075" s="12">
        <v>0.78743101057968734</v>
      </c>
      <c r="U4075" s="12">
        <v>0.4496209584456235</v>
      </c>
      <c r="V4075" s="12">
        <v>300.032917</v>
      </c>
      <c r="W4075" s="12">
        <v>-2.5799629529374899</v>
      </c>
      <c r="X4075" s="12">
        <v>-9.163772881362334</v>
      </c>
      <c r="Y4075" s="12">
        <v>2389.525378519786</v>
      </c>
      <c r="Z4075" s="12">
        <v>4.914209197961279</v>
      </c>
      <c r="AA4075" s="12" t="s">
        <v>2513</v>
      </c>
      <c r="AB4075" s="12"/>
    </row>
    <row r="4076" spans="1:28" x14ac:dyDescent="0.3">
      <c r="A4076" s="12" t="s">
        <v>6012</v>
      </c>
      <c r="B4076" s="12" t="s">
        <v>206</v>
      </c>
      <c r="C4076" s="12" t="s">
        <v>649</v>
      </c>
      <c r="D4076" s="12" t="s">
        <v>5990</v>
      </c>
      <c r="E4076" s="12" t="s">
        <v>2978</v>
      </c>
      <c r="F4076" s="12" t="s">
        <v>1861</v>
      </c>
      <c r="G4076" s="12" t="s">
        <v>1861</v>
      </c>
      <c r="H4076" s="12" t="b">
        <v>1</v>
      </c>
      <c r="I4076" s="12" t="b">
        <v>0</v>
      </c>
      <c r="J4076" s="12" t="b">
        <v>1</v>
      </c>
      <c r="K4076" s="12" t="b">
        <v>0</v>
      </c>
      <c r="L4076" s="12">
        <v>505.36837363210088</v>
      </c>
      <c r="M4076" s="12">
        <v>300.032917</v>
      </c>
      <c r="N4076" s="12">
        <v>3000</v>
      </c>
      <c r="O4076" s="12">
        <v>1930.0131144537991</v>
      </c>
      <c r="P4076" s="12">
        <v>0.5</v>
      </c>
      <c r="Q4076" s="12">
        <v>0.66803421207219515</v>
      </c>
      <c r="R4076" s="12">
        <v>0.64881757010253249</v>
      </c>
      <c r="S4076" s="12">
        <v>0.69424514187927011</v>
      </c>
      <c r="T4076" s="12">
        <v>0.73786586915178243</v>
      </c>
      <c r="U4076" s="12">
        <v>0.65242686433404751</v>
      </c>
      <c r="V4076" s="12">
        <v>300.032917</v>
      </c>
      <c r="W4076" s="12">
        <v>1.90380147578207</v>
      </c>
      <c r="X4076" s="12">
        <v>22.871248544161961</v>
      </c>
      <c r="Y4076" s="12">
        <v>1069.9868855462009</v>
      </c>
      <c r="Z4076" s="12">
        <v>1.554393582889726</v>
      </c>
      <c r="AA4076" s="12" t="s">
        <v>1268</v>
      </c>
      <c r="AB4076" s="12"/>
    </row>
    <row r="4077" spans="1:28" x14ac:dyDescent="0.3">
      <c r="A4077" s="12" t="s">
        <v>6013</v>
      </c>
      <c r="B4077" s="12" t="s">
        <v>206</v>
      </c>
      <c r="C4077" s="12" t="s">
        <v>649</v>
      </c>
      <c r="D4077" s="12" t="s">
        <v>5990</v>
      </c>
      <c r="E4077" s="12" t="s">
        <v>2978</v>
      </c>
      <c r="F4077" s="12" t="s">
        <v>1862</v>
      </c>
      <c r="G4077" s="12" t="s">
        <v>1862</v>
      </c>
      <c r="H4077" s="12" t="b">
        <v>1</v>
      </c>
      <c r="I4077" s="12" t="b">
        <v>0</v>
      </c>
      <c r="J4077" s="12" t="b">
        <v>1</v>
      </c>
      <c r="K4077" s="12" t="b">
        <v>0</v>
      </c>
      <c r="L4077" s="12">
        <v>500.71568100101058</v>
      </c>
      <c r="M4077" s="12">
        <v>300.032917</v>
      </c>
      <c r="N4077" s="12">
        <v>3000</v>
      </c>
      <c r="O4077" s="12">
        <v>418.52568257802551</v>
      </c>
      <c r="P4077" s="12">
        <v>0.5</v>
      </c>
      <c r="Q4077" s="12">
        <v>0.58615302502747091</v>
      </c>
      <c r="R4077" s="12">
        <v>0.79547289932580667</v>
      </c>
      <c r="S4077" s="12">
        <v>0.67598269506804076</v>
      </c>
      <c r="T4077" s="12">
        <v>0.927876204372175</v>
      </c>
      <c r="U4077" s="12">
        <v>0.4159510664154849</v>
      </c>
      <c r="V4077" s="12">
        <v>300.032917</v>
      </c>
      <c r="W4077" s="12">
        <v>-5.6850862089466299</v>
      </c>
      <c r="X4077" s="12">
        <v>-41.883051240566431</v>
      </c>
      <c r="Y4077" s="12">
        <v>2581.4743174219739</v>
      </c>
      <c r="Z4077" s="12">
        <v>7.1680188931791822</v>
      </c>
      <c r="AA4077" s="12" t="s">
        <v>2513</v>
      </c>
      <c r="AB4077" s="12"/>
    </row>
    <row r="4078" spans="1:28" x14ac:dyDescent="0.3">
      <c r="A4078" s="12" t="s">
        <v>6014</v>
      </c>
      <c r="B4078" s="12" t="s">
        <v>206</v>
      </c>
      <c r="C4078" s="12" t="s">
        <v>649</v>
      </c>
      <c r="D4078" s="12" t="s">
        <v>5990</v>
      </c>
      <c r="E4078" s="12" t="s">
        <v>2978</v>
      </c>
      <c r="F4078" s="12" t="s">
        <v>1862</v>
      </c>
      <c r="G4078" s="12" t="s">
        <v>1862</v>
      </c>
      <c r="H4078" s="12" t="b">
        <v>1</v>
      </c>
      <c r="I4078" s="12" t="b">
        <v>0</v>
      </c>
      <c r="J4078" s="12" t="b">
        <v>1</v>
      </c>
      <c r="K4078" s="12" t="b">
        <v>0</v>
      </c>
      <c r="L4078" s="12">
        <v>446.1527734130886</v>
      </c>
      <c r="M4078" s="12">
        <v>300.032917</v>
      </c>
      <c r="N4078" s="12">
        <v>3000</v>
      </c>
      <c r="O4078" s="12">
        <v>745.09009518157757</v>
      </c>
      <c r="P4078" s="12">
        <v>0.5</v>
      </c>
      <c r="Q4078" s="12">
        <v>0.60749446128475015</v>
      </c>
      <c r="R4078" s="12">
        <v>0.41591676685223139</v>
      </c>
      <c r="S4078" s="12">
        <v>0.85635346997325712</v>
      </c>
      <c r="T4078" s="12">
        <v>0.93658163850728082</v>
      </c>
      <c r="U4078" s="12">
        <v>0.4224669943568144</v>
      </c>
      <c r="V4078" s="12">
        <v>300.032917</v>
      </c>
      <c r="W4078" s="12">
        <v>-17.9328016397466</v>
      </c>
      <c r="X4078" s="12">
        <v>-77.765069010158271</v>
      </c>
      <c r="Y4078" s="12">
        <v>2254.909904818423</v>
      </c>
      <c r="Z4078" s="12">
        <v>4.0263587174231654</v>
      </c>
      <c r="AA4078" s="12" t="s">
        <v>2513</v>
      </c>
      <c r="AB4078" s="12"/>
    </row>
    <row r="4079" spans="1:28" x14ac:dyDescent="0.3">
      <c r="A4079" s="12" t="s">
        <v>6015</v>
      </c>
      <c r="B4079" s="12" t="s">
        <v>206</v>
      </c>
      <c r="C4079" s="12" t="s">
        <v>649</v>
      </c>
      <c r="D4079" s="12" t="s">
        <v>5990</v>
      </c>
      <c r="E4079" s="12" t="s">
        <v>2978</v>
      </c>
      <c r="F4079" s="12" t="s">
        <v>32</v>
      </c>
      <c r="G4079" s="12" t="s">
        <v>32</v>
      </c>
      <c r="H4079" s="12" t="b">
        <v>1</v>
      </c>
      <c r="I4079" s="12" t="b">
        <v>0</v>
      </c>
      <c r="J4079" s="12" t="b">
        <v>1</v>
      </c>
      <c r="K4079" s="12" t="b">
        <v>0</v>
      </c>
      <c r="L4079" s="12">
        <v>459.873221686048</v>
      </c>
      <c r="M4079" s="12">
        <v>300.032917</v>
      </c>
      <c r="N4079" s="12">
        <v>3000</v>
      </c>
      <c r="O4079" s="12">
        <v>1043.647808884989</v>
      </c>
      <c r="P4079" s="12">
        <v>0.5</v>
      </c>
      <c r="Q4079" s="12">
        <v>0.63536247046963146</v>
      </c>
      <c r="R4079" s="12">
        <v>0.73556183303801048</v>
      </c>
      <c r="S4079" s="12">
        <v>0.75798970910251728</v>
      </c>
      <c r="T4079" s="12">
        <v>0.66355194622125391</v>
      </c>
      <c r="U4079" s="12">
        <v>0.90117134562971601</v>
      </c>
      <c r="V4079" s="12">
        <v>300.032917</v>
      </c>
      <c r="W4079" s="12">
        <v>5.4164240102993304</v>
      </c>
      <c r="X4079" s="12">
        <v>62.159087661718502</v>
      </c>
      <c r="Y4079" s="12">
        <v>1956.3521911150101</v>
      </c>
      <c r="Z4079" s="12">
        <v>2.8745329357852381</v>
      </c>
      <c r="AA4079" s="12"/>
      <c r="AB4079" s="12"/>
    </row>
    <row r="4080" spans="1:28" x14ac:dyDescent="0.3">
      <c r="A4080" s="12" t="s">
        <v>6016</v>
      </c>
      <c r="B4080" s="12" t="s">
        <v>206</v>
      </c>
      <c r="C4080" s="12" t="s">
        <v>649</v>
      </c>
      <c r="D4080" s="12" t="s">
        <v>5990</v>
      </c>
      <c r="E4080" s="12" t="s">
        <v>2978</v>
      </c>
      <c r="F4080" s="12" t="s">
        <v>1863</v>
      </c>
      <c r="G4080" s="12" t="s">
        <v>832</v>
      </c>
      <c r="H4080" s="12" t="b">
        <v>0</v>
      </c>
      <c r="I4080" s="12" t="b">
        <v>0</v>
      </c>
      <c r="J4080" s="12" t="b">
        <v>0</v>
      </c>
      <c r="K4080" s="12" t="b">
        <v>0</v>
      </c>
      <c r="L4080" s="12">
        <v>383.94958706647299</v>
      </c>
      <c r="M4080" s="12">
        <v>300.032917</v>
      </c>
      <c r="N4080" s="12">
        <v>3000</v>
      </c>
      <c r="O4080" s="12">
        <v>1301.498025468956</v>
      </c>
      <c r="P4080" s="12">
        <v>0.5</v>
      </c>
      <c r="Q4080" s="12">
        <v>0.74966163982950451</v>
      </c>
      <c r="R4080" s="12">
        <v>0.50324466730272954</v>
      </c>
      <c r="S4080" s="12">
        <v>0.91282767050123303</v>
      </c>
      <c r="T4080" s="12">
        <v>0.88964837734276614</v>
      </c>
      <c r="U4080" s="12">
        <v>0.92373303348085078</v>
      </c>
      <c r="V4080" s="12">
        <v>300.032917</v>
      </c>
      <c r="W4080" s="12">
        <v>-20.135306209647229</v>
      </c>
      <c r="X4080" s="12">
        <v>-6.6833098460255389</v>
      </c>
      <c r="Y4080" s="12">
        <v>1698.501974531044</v>
      </c>
      <c r="Z4080" s="12">
        <v>2.3050361516445941</v>
      </c>
      <c r="AA4080" s="12" t="s">
        <v>2846</v>
      </c>
      <c r="AB4080" s="12"/>
    </row>
    <row r="4081" spans="1:28" x14ac:dyDescent="0.3">
      <c r="A4081" s="12" t="s">
        <v>6017</v>
      </c>
      <c r="B4081" s="12" t="s">
        <v>206</v>
      </c>
      <c r="C4081" s="12" t="s">
        <v>649</v>
      </c>
      <c r="D4081" s="12" t="s">
        <v>5990</v>
      </c>
      <c r="E4081" s="12" t="s">
        <v>2978</v>
      </c>
      <c r="F4081" s="12" t="s">
        <v>32</v>
      </c>
      <c r="G4081" s="12" t="s">
        <v>32</v>
      </c>
      <c r="H4081" s="12" t="b">
        <v>1</v>
      </c>
      <c r="I4081" s="12" t="b">
        <v>1</v>
      </c>
      <c r="J4081" s="12" t="b">
        <v>0</v>
      </c>
      <c r="K4081" s="12" t="b">
        <v>0</v>
      </c>
      <c r="L4081" s="12">
        <v>398.19842402241329</v>
      </c>
      <c r="M4081" s="12">
        <v>300.032917</v>
      </c>
      <c r="N4081" s="12">
        <v>3000</v>
      </c>
      <c r="O4081" s="12">
        <v>904.31504006295495</v>
      </c>
      <c r="P4081" s="12">
        <v>0.5</v>
      </c>
      <c r="Q4081" s="12">
        <v>0.83687048256229368</v>
      </c>
      <c r="R4081" s="12">
        <v>0.88871701823196703</v>
      </c>
      <c r="S4081" s="12">
        <v>0.72852310003110432</v>
      </c>
      <c r="T4081" s="12">
        <v>0.82773979935410025</v>
      </c>
      <c r="U4081" s="12">
        <v>0.67388852342929428</v>
      </c>
      <c r="V4081" s="12">
        <v>300.032917</v>
      </c>
      <c r="W4081" s="12">
        <v>5.4977342906516196</v>
      </c>
      <c r="X4081" s="12">
        <v>10.365583644688909</v>
      </c>
      <c r="Y4081" s="12">
        <v>2095.6849599370448</v>
      </c>
      <c r="Z4081" s="12">
        <v>3.3174279615997002</v>
      </c>
      <c r="AA4081" s="12"/>
      <c r="AB4081" s="12"/>
    </row>
    <row r="4082" spans="1:28" x14ac:dyDescent="0.3">
      <c r="A4082" s="12" t="s">
        <v>6018</v>
      </c>
      <c r="B4082" s="12" t="s">
        <v>206</v>
      </c>
      <c r="C4082" s="12" t="s">
        <v>649</v>
      </c>
      <c r="D4082" s="12" t="s">
        <v>5990</v>
      </c>
      <c r="E4082" s="12" t="s">
        <v>2978</v>
      </c>
      <c r="F4082" s="12" t="s">
        <v>1861</v>
      </c>
      <c r="G4082" s="12" t="s">
        <v>1861</v>
      </c>
      <c r="H4082" s="12" t="b">
        <v>1</v>
      </c>
      <c r="I4082" s="12" t="b">
        <v>0</v>
      </c>
      <c r="J4082" s="12" t="b">
        <v>1</v>
      </c>
      <c r="K4082" s="12" t="b">
        <v>0</v>
      </c>
      <c r="L4082" s="12">
        <v>477.49864940116822</v>
      </c>
      <c r="M4082" s="12">
        <v>300.032917</v>
      </c>
      <c r="N4082" s="12">
        <v>3000</v>
      </c>
      <c r="O4082" s="12">
        <v>1461.3572746269799</v>
      </c>
      <c r="P4082" s="12">
        <v>0.5</v>
      </c>
      <c r="Q4082" s="12">
        <v>0.77814280197753261</v>
      </c>
      <c r="R4082" s="12">
        <v>0.5976541409196332</v>
      </c>
      <c r="S4082" s="12">
        <v>0.62246258411016864</v>
      </c>
      <c r="T4082" s="12">
        <v>0.86564175264706233</v>
      </c>
      <c r="U4082" s="12">
        <v>0.79522242807094012</v>
      </c>
      <c r="V4082" s="12">
        <v>300.032917</v>
      </c>
      <c r="W4082" s="12">
        <v>5.1538439570531098</v>
      </c>
      <c r="X4082" s="12">
        <v>61.438083249243448</v>
      </c>
      <c r="Y4082" s="12">
        <v>1538.6427253730201</v>
      </c>
      <c r="Z4082" s="12">
        <v>2.0528860752178262</v>
      </c>
      <c r="AA4082" s="12" t="s">
        <v>1268</v>
      </c>
      <c r="AB4082" s="12"/>
    </row>
    <row r="4083" spans="1:28" x14ac:dyDescent="0.3">
      <c r="A4083" s="12" t="s">
        <v>6019</v>
      </c>
      <c r="B4083" s="12" t="s">
        <v>206</v>
      </c>
      <c r="C4083" s="12" t="s">
        <v>649</v>
      </c>
      <c r="D4083" s="12" t="s">
        <v>5990</v>
      </c>
      <c r="E4083" s="12" t="s">
        <v>2978</v>
      </c>
      <c r="F4083" s="12" t="s">
        <v>32</v>
      </c>
      <c r="G4083" s="12" t="s">
        <v>32</v>
      </c>
      <c r="H4083" s="12" t="b">
        <v>1</v>
      </c>
      <c r="I4083" s="12" t="b">
        <v>1</v>
      </c>
      <c r="J4083" s="12" t="b">
        <v>0</v>
      </c>
      <c r="K4083" s="12" t="b">
        <v>0</v>
      </c>
      <c r="L4083" s="12">
        <v>436.5928736533113</v>
      </c>
      <c r="M4083" s="12">
        <v>300.032917</v>
      </c>
      <c r="N4083" s="12">
        <v>3000</v>
      </c>
      <c r="O4083" s="12">
        <v>1812.0645220088829</v>
      </c>
      <c r="P4083" s="12">
        <v>0.5</v>
      </c>
      <c r="Q4083" s="12">
        <v>0.68100781109060182</v>
      </c>
      <c r="R4083" s="12">
        <v>0.48277511815698487</v>
      </c>
      <c r="S4083" s="12">
        <v>0.45091814769357019</v>
      </c>
      <c r="T4083" s="12">
        <v>0.91187287584785637</v>
      </c>
      <c r="U4083" s="12">
        <v>0.88074343529943322</v>
      </c>
      <c r="V4083" s="12">
        <v>300.032917</v>
      </c>
      <c r="W4083" s="12">
        <v>2.3448538307945399</v>
      </c>
      <c r="X4083" s="12">
        <v>8.8729076930594015</v>
      </c>
      <c r="Y4083" s="12">
        <v>1187.9354779911171</v>
      </c>
      <c r="Z4083" s="12">
        <v>1.6555701872437489</v>
      </c>
      <c r="AA4083" s="12"/>
      <c r="AB4083" s="12"/>
    </row>
    <row r="4084" spans="1:28" x14ac:dyDescent="0.3">
      <c r="A4084" s="12" t="s">
        <v>6020</v>
      </c>
      <c r="B4084" s="12" t="s">
        <v>206</v>
      </c>
      <c r="C4084" s="12" t="s">
        <v>657</v>
      </c>
      <c r="D4084" s="12" t="s">
        <v>6021</v>
      </c>
      <c r="E4084" s="12" t="s">
        <v>2978</v>
      </c>
      <c r="F4084" s="12" t="s">
        <v>832</v>
      </c>
      <c r="G4084" s="12" t="s">
        <v>832</v>
      </c>
      <c r="H4084" s="12" t="b">
        <v>0</v>
      </c>
      <c r="I4084" s="12" t="b">
        <v>0</v>
      </c>
      <c r="J4084" s="12" t="b">
        <v>0</v>
      </c>
      <c r="K4084" s="12" t="b">
        <v>0</v>
      </c>
      <c r="L4084" s="12">
        <v>623.15</v>
      </c>
      <c r="M4084" s="12">
        <v>299.0121287190874</v>
      </c>
      <c r="N4084" s="12">
        <v>3000</v>
      </c>
      <c r="O4084" s="12">
        <v>1572.724430308208</v>
      </c>
      <c r="P4084" s="12">
        <v>0.5</v>
      </c>
      <c r="Q4084" s="12">
        <v>0.85</v>
      </c>
      <c r="R4084" s="12">
        <v>0.75</v>
      </c>
      <c r="S4084" s="12">
        <v>0.85</v>
      </c>
      <c r="T4084" s="12">
        <v>0.75</v>
      </c>
      <c r="U4084" s="12">
        <v>0.8</v>
      </c>
      <c r="V4084" s="12">
        <v>299.0121287190874</v>
      </c>
      <c r="W4084" s="12"/>
      <c r="X4084" s="12"/>
      <c r="Y4084" s="12">
        <v>1427.275569691792</v>
      </c>
      <c r="Z4084" s="12">
        <v>1.9075178983594021</v>
      </c>
      <c r="AA4084" s="12"/>
      <c r="AB4084" s="12"/>
    </row>
    <row r="4085" spans="1:28" x14ac:dyDescent="0.3">
      <c r="A4085" s="12" t="s">
        <v>6022</v>
      </c>
      <c r="B4085" s="12" t="s">
        <v>206</v>
      </c>
      <c r="C4085" s="12" t="s">
        <v>657</v>
      </c>
      <c r="D4085" s="12" t="s">
        <v>6021</v>
      </c>
      <c r="E4085" s="12" t="s">
        <v>2978</v>
      </c>
      <c r="F4085" s="12" t="s">
        <v>832</v>
      </c>
      <c r="G4085" s="12" t="s">
        <v>832</v>
      </c>
      <c r="H4085" s="12" t="b">
        <v>0</v>
      </c>
      <c r="I4085" s="12" t="b">
        <v>0</v>
      </c>
      <c r="J4085" s="12" t="b">
        <v>0</v>
      </c>
      <c r="K4085" s="12" t="b">
        <v>0</v>
      </c>
      <c r="L4085" s="12">
        <v>623.15</v>
      </c>
      <c r="M4085" s="12">
        <v>278.66895332507983</v>
      </c>
      <c r="N4085" s="12">
        <v>3000</v>
      </c>
      <c r="O4085" s="12">
        <v>1827.147165757031</v>
      </c>
      <c r="P4085" s="12">
        <v>0.5</v>
      </c>
      <c r="Q4085" s="12">
        <v>0.85</v>
      </c>
      <c r="R4085" s="12">
        <v>0.75</v>
      </c>
      <c r="S4085" s="12">
        <v>0.85</v>
      </c>
      <c r="T4085" s="12">
        <v>0.75</v>
      </c>
      <c r="U4085" s="12">
        <v>0.8</v>
      </c>
      <c r="V4085" s="12">
        <v>278.66895332507983</v>
      </c>
      <c r="W4085" s="12"/>
      <c r="X4085" s="12"/>
      <c r="Y4085" s="12">
        <v>1172.852834242969</v>
      </c>
      <c r="Z4085" s="12">
        <v>1.6419038686229901</v>
      </c>
      <c r="AA4085" s="12"/>
      <c r="AB4085" s="12"/>
    </row>
    <row r="4086" spans="1:28" x14ac:dyDescent="0.3">
      <c r="A4086" s="12" t="s">
        <v>6023</v>
      </c>
      <c r="B4086" s="12" t="s">
        <v>206</v>
      </c>
      <c r="C4086" s="12" t="s">
        <v>657</v>
      </c>
      <c r="D4086" s="12" t="s">
        <v>6021</v>
      </c>
      <c r="E4086" s="12" t="s">
        <v>2978</v>
      </c>
      <c r="F4086" s="12" t="s">
        <v>832</v>
      </c>
      <c r="G4086" s="12" t="s">
        <v>832</v>
      </c>
      <c r="H4086" s="12" t="b">
        <v>0</v>
      </c>
      <c r="I4086" s="12" t="b">
        <v>0</v>
      </c>
      <c r="J4086" s="12" t="b">
        <v>0</v>
      </c>
      <c r="K4086" s="12" t="b">
        <v>0</v>
      </c>
      <c r="L4086" s="12">
        <v>623.15</v>
      </c>
      <c r="M4086" s="12">
        <v>302.47503068264609</v>
      </c>
      <c r="N4086" s="12">
        <v>3000</v>
      </c>
      <c r="O4086" s="12">
        <v>433.82457310145611</v>
      </c>
      <c r="P4086" s="12">
        <v>0.5</v>
      </c>
      <c r="Q4086" s="12">
        <v>0.85</v>
      </c>
      <c r="R4086" s="12">
        <v>0.75</v>
      </c>
      <c r="S4086" s="12">
        <v>0.85</v>
      </c>
      <c r="T4086" s="12">
        <v>0.75</v>
      </c>
      <c r="U4086" s="12">
        <v>0.8</v>
      </c>
      <c r="V4086" s="12">
        <v>302.47503068264609</v>
      </c>
      <c r="W4086" s="12"/>
      <c r="X4086" s="12"/>
      <c r="Y4086" s="12">
        <v>2566.1754268985442</v>
      </c>
      <c r="Z4086" s="12">
        <v>6.9152376006566314</v>
      </c>
      <c r="AA4086" s="12"/>
      <c r="AB4086" s="12"/>
    </row>
    <row r="4087" spans="1:28" x14ac:dyDescent="0.3">
      <c r="A4087" s="12" t="s">
        <v>6024</v>
      </c>
      <c r="B4087" s="12" t="s">
        <v>206</v>
      </c>
      <c r="C4087" s="12" t="s">
        <v>657</v>
      </c>
      <c r="D4087" s="12" t="s">
        <v>6021</v>
      </c>
      <c r="E4087" s="12" t="s">
        <v>2978</v>
      </c>
      <c r="F4087" s="12" t="s">
        <v>832</v>
      </c>
      <c r="G4087" s="12" t="s">
        <v>832</v>
      </c>
      <c r="H4087" s="12" t="b">
        <v>0</v>
      </c>
      <c r="I4087" s="12" t="b">
        <v>0</v>
      </c>
      <c r="J4087" s="12" t="b">
        <v>0</v>
      </c>
      <c r="K4087" s="12" t="b">
        <v>0</v>
      </c>
      <c r="L4087" s="12">
        <v>623.15</v>
      </c>
      <c r="M4087" s="12">
        <v>288.19717844876948</v>
      </c>
      <c r="N4087" s="12">
        <v>3000</v>
      </c>
      <c r="O4087" s="12">
        <v>1940.7031954267261</v>
      </c>
      <c r="P4087" s="12">
        <v>0.5</v>
      </c>
      <c r="Q4087" s="12">
        <v>0.85</v>
      </c>
      <c r="R4087" s="12">
        <v>0.75</v>
      </c>
      <c r="S4087" s="12">
        <v>0.85</v>
      </c>
      <c r="T4087" s="12">
        <v>0.75</v>
      </c>
      <c r="U4087" s="12">
        <v>0.8</v>
      </c>
      <c r="V4087" s="12">
        <v>288.19717844876948</v>
      </c>
      <c r="W4087" s="12"/>
      <c r="X4087" s="12"/>
      <c r="Y4087" s="12">
        <v>1059.2968045732739</v>
      </c>
      <c r="Z4087" s="12">
        <v>1.545831432168252</v>
      </c>
      <c r="AA4087" s="12"/>
      <c r="AB4087" s="12"/>
    </row>
    <row r="4088" spans="1:28" x14ac:dyDescent="0.3">
      <c r="A4088" s="12" t="s">
        <v>6025</v>
      </c>
      <c r="B4088" s="12" t="s">
        <v>206</v>
      </c>
      <c r="C4088" s="12" t="s">
        <v>657</v>
      </c>
      <c r="D4088" s="12" t="s">
        <v>6021</v>
      </c>
      <c r="E4088" s="12" t="s">
        <v>2978</v>
      </c>
      <c r="F4088" s="12" t="s">
        <v>832</v>
      </c>
      <c r="G4088" s="12" t="s">
        <v>832</v>
      </c>
      <c r="H4088" s="12" t="b">
        <v>0</v>
      </c>
      <c r="I4088" s="12" t="b">
        <v>0</v>
      </c>
      <c r="J4088" s="12" t="b">
        <v>0</v>
      </c>
      <c r="K4088" s="12" t="b">
        <v>0</v>
      </c>
      <c r="L4088" s="12">
        <v>623.15</v>
      </c>
      <c r="M4088" s="12">
        <v>285.98603819750332</v>
      </c>
      <c r="N4088" s="12">
        <v>3000</v>
      </c>
      <c r="O4088" s="12">
        <v>1264.300778110286</v>
      </c>
      <c r="P4088" s="12">
        <v>0.5</v>
      </c>
      <c r="Q4088" s="12">
        <v>0.85</v>
      </c>
      <c r="R4088" s="12">
        <v>0.75</v>
      </c>
      <c r="S4088" s="12">
        <v>0.85</v>
      </c>
      <c r="T4088" s="12">
        <v>0.75</v>
      </c>
      <c r="U4088" s="12">
        <v>0.8</v>
      </c>
      <c r="V4088" s="12">
        <v>285.98603819750332</v>
      </c>
      <c r="W4088" s="12"/>
      <c r="X4088" s="12"/>
      <c r="Y4088" s="12">
        <v>1735.699221889714</v>
      </c>
      <c r="Z4088" s="12">
        <v>2.372853083649932</v>
      </c>
      <c r="AA4088" s="12"/>
      <c r="AB4088" s="12"/>
    </row>
    <row r="4089" spans="1:28" x14ac:dyDescent="0.3">
      <c r="A4089" s="12" t="s">
        <v>6026</v>
      </c>
      <c r="B4089" s="12" t="s">
        <v>206</v>
      </c>
      <c r="C4089" s="12" t="s">
        <v>657</v>
      </c>
      <c r="D4089" s="12" t="s">
        <v>6021</v>
      </c>
      <c r="E4089" s="12" t="s">
        <v>2978</v>
      </c>
      <c r="F4089" s="12" t="s">
        <v>832</v>
      </c>
      <c r="G4089" s="12" t="s">
        <v>832</v>
      </c>
      <c r="H4089" s="12" t="b">
        <v>0</v>
      </c>
      <c r="I4089" s="12" t="b">
        <v>0</v>
      </c>
      <c r="J4089" s="12" t="b">
        <v>0</v>
      </c>
      <c r="K4089" s="12" t="b">
        <v>0</v>
      </c>
      <c r="L4089" s="12">
        <v>623.15</v>
      </c>
      <c r="M4089" s="12">
        <v>296.32947309980358</v>
      </c>
      <c r="N4089" s="12">
        <v>3000</v>
      </c>
      <c r="O4089" s="12">
        <v>317.02652133409651</v>
      </c>
      <c r="P4089" s="12">
        <v>0.5</v>
      </c>
      <c r="Q4089" s="12">
        <v>0.85</v>
      </c>
      <c r="R4089" s="12">
        <v>0.75</v>
      </c>
      <c r="S4089" s="12">
        <v>0.85</v>
      </c>
      <c r="T4089" s="12">
        <v>0.75</v>
      </c>
      <c r="U4089" s="12">
        <v>0.8</v>
      </c>
      <c r="V4089" s="12">
        <v>296.32947309980358</v>
      </c>
      <c r="W4089" s="12"/>
      <c r="X4089" s="12"/>
      <c r="Y4089" s="12">
        <v>2682.9734786659042</v>
      </c>
      <c r="Z4089" s="12">
        <v>9.4629306954368904</v>
      </c>
      <c r="AA4089" s="12"/>
      <c r="AB4089" s="12"/>
    </row>
    <row r="4090" spans="1:28" x14ac:dyDescent="0.3">
      <c r="A4090" s="12" t="s">
        <v>6027</v>
      </c>
      <c r="B4090" s="12" t="s">
        <v>206</v>
      </c>
      <c r="C4090" s="12" t="s">
        <v>657</v>
      </c>
      <c r="D4090" s="12" t="s">
        <v>6021</v>
      </c>
      <c r="E4090" s="12" t="s">
        <v>2978</v>
      </c>
      <c r="F4090" s="12" t="s">
        <v>832</v>
      </c>
      <c r="G4090" s="12" t="s">
        <v>832</v>
      </c>
      <c r="H4090" s="12" t="b">
        <v>0</v>
      </c>
      <c r="I4090" s="12" t="b">
        <v>0</v>
      </c>
      <c r="J4090" s="12" t="b">
        <v>0</v>
      </c>
      <c r="K4090" s="12" t="b">
        <v>0</v>
      </c>
      <c r="L4090" s="12">
        <v>623.15</v>
      </c>
      <c r="M4090" s="12">
        <v>303.44349828928898</v>
      </c>
      <c r="N4090" s="12">
        <v>3000</v>
      </c>
      <c r="O4090" s="12">
        <v>661.46770634181757</v>
      </c>
      <c r="P4090" s="12">
        <v>0.5</v>
      </c>
      <c r="Q4090" s="12">
        <v>0.85</v>
      </c>
      <c r="R4090" s="12">
        <v>0.75</v>
      </c>
      <c r="S4090" s="12">
        <v>0.85</v>
      </c>
      <c r="T4090" s="12">
        <v>0.75</v>
      </c>
      <c r="U4090" s="12">
        <v>0.8</v>
      </c>
      <c r="V4090" s="12">
        <v>303.44349828928898</v>
      </c>
      <c r="W4090" s="12"/>
      <c r="X4090" s="12"/>
      <c r="Y4090" s="12">
        <v>2338.532293658182</v>
      </c>
      <c r="Z4090" s="12">
        <v>4.5353688037035189</v>
      </c>
      <c r="AA4090" s="12"/>
      <c r="AB4090" s="12"/>
    </row>
    <row r="4091" spans="1:28" x14ac:dyDescent="0.3">
      <c r="A4091" s="12" t="s">
        <v>6028</v>
      </c>
      <c r="B4091" s="12" t="s">
        <v>206</v>
      </c>
      <c r="C4091" s="12" t="s">
        <v>657</v>
      </c>
      <c r="D4091" s="12" t="s">
        <v>6021</v>
      </c>
      <c r="E4091" s="12" t="s">
        <v>2978</v>
      </c>
      <c r="F4091" s="12" t="s">
        <v>832</v>
      </c>
      <c r="G4091" s="12" t="s">
        <v>832</v>
      </c>
      <c r="H4091" s="12" t="b">
        <v>0</v>
      </c>
      <c r="I4091" s="12" t="b">
        <v>0</v>
      </c>
      <c r="J4091" s="12" t="b">
        <v>0</v>
      </c>
      <c r="K4091" s="12" t="b">
        <v>0</v>
      </c>
      <c r="L4091" s="12">
        <v>623.15</v>
      </c>
      <c r="M4091" s="12">
        <v>280.94958211204943</v>
      </c>
      <c r="N4091" s="12">
        <v>3000</v>
      </c>
      <c r="O4091" s="12">
        <v>1054.389547786611</v>
      </c>
      <c r="P4091" s="12">
        <v>0.5</v>
      </c>
      <c r="Q4091" s="12">
        <v>0.85</v>
      </c>
      <c r="R4091" s="12">
        <v>0.75</v>
      </c>
      <c r="S4091" s="12">
        <v>0.85</v>
      </c>
      <c r="T4091" s="12">
        <v>0.75</v>
      </c>
      <c r="U4091" s="12">
        <v>0.8</v>
      </c>
      <c r="V4091" s="12">
        <v>280.94958211204943</v>
      </c>
      <c r="W4091" s="12"/>
      <c r="X4091" s="12"/>
      <c r="Y4091" s="12">
        <v>1945.610452213389</v>
      </c>
      <c r="Z4091" s="12">
        <v>2.8452482351495609</v>
      </c>
      <c r="AA4091" s="12"/>
      <c r="AB4091" s="12"/>
    </row>
    <row r="4092" spans="1:28" x14ac:dyDescent="0.3">
      <c r="A4092" s="12" t="s">
        <v>6029</v>
      </c>
      <c r="B4092" s="12" t="s">
        <v>206</v>
      </c>
      <c r="C4092" s="12" t="s">
        <v>657</v>
      </c>
      <c r="D4092" s="12" t="s">
        <v>6021</v>
      </c>
      <c r="E4092" s="12" t="s">
        <v>2978</v>
      </c>
      <c r="F4092" s="12" t="s">
        <v>832</v>
      </c>
      <c r="G4092" s="12" t="s">
        <v>832</v>
      </c>
      <c r="H4092" s="12" t="b">
        <v>0</v>
      </c>
      <c r="I4092" s="12" t="b">
        <v>0</v>
      </c>
      <c r="J4092" s="12" t="b">
        <v>0</v>
      </c>
      <c r="K4092" s="12" t="b">
        <v>0</v>
      </c>
      <c r="L4092" s="12">
        <v>623.15</v>
      </c>
      <c r="M4092" s="12">
        <v>285.6970446584283</v>
      </c>
      <c r="N4092" s="12">
        <v>3000</v>
      </c>
      <c r="O4092" s="12">
        <v>1433.576399765768</v>
      </c>
      <c r="P4092" s="12">
        <v>0.5</v>
      </c>
      <c r="Q4092" s="12">
        <v>0.85</v>
      </c>
      <c r="R4092" s="12">
        <v>0.75</v>
      </c>
      <c r="S4092" s="12">
        <v>0.85</v>
      </c>
      <c r="T4092" s="12">
        <v>0.75</v>
      </c>
      <c r="U4092" s="12">
        <v>0.8</v>
      </c>
      <c r="V4092" s="12">
        <v>285.6970446584283</v>
      </c>
      <c r="W4092" s="12"/>
      <c r="X4092" s="12"/>
      <c r="Y4092" s="12">
        <v>1566.423600234232</v>
      </c>
      <c r="Z4092" s="12">
        <v>2.0926683785322981</v>
      </c>
      <c r="AA4092" s="12"/>
      <c r="AB4092" s="12"/>
    </row>
    <row r="4093" spans="1:28" x14ac:dyDescent="0.3">
      <c r="A4093" s="12" t="s">
        <v>6030</v>
      </c>
      <c r="B4093" s="12" t="s">
        <v>206</v>
      </c>
      <c r="C4093" s="12" t="s">
        <v>657</v>
      </c>
      <c r="D4093" s="12" t="s">
        <v>6021</v>
      </c>
      <c r="E4093" s="12" t="s">
        <v>2978</v>
      </c>
      <c r="F4093" s="12" t="s">
        <v>832</v>
      </c>
      <c r="G4093" s="12" t="s">
        <v>832</v>
      </c>
      <c r="H4093" s="12" t="b">
        <v>0</v>
      </c>
      <c r="I4093" s="12" t="b">
        <v>0</v>
      </c>
      <c r="J4093" s="12" t="b">
        <v>0</v>
      </c>
      <c r="K4093" s="12" t="b">
        <v>0</v>
      </c>
      <c r="L4093" s="12">
        <v>623.15</v>
      </c>
      <c r="M4093" s="12">
        <v>299.91935981509619</v>
      </c>
      <c r="N4093" s="12">
        <v>3000</v>
      </c>
      <c r="O4093" s="12">
        <v>1713.420922915609</v>
      </c>
      <c r="P4093" s="12">
        <v>0.5</v>
      </c>
      <c r="Q4093" s="12">
        <v>0.85</v>
      </c>
      <c r="R4093" s="12">
        <v>0.75</v>
      </c>
      <c r="S4093" s="12">
        <v>0.85</v>
      </c>
      <c r="T4093" s="12">
        <v>0.75</v>
      </c>
      <c r="U4093" s="12">
        <v>0.8</v>
      </c>
      <c r="V4093" s="12">
        <v>299.91935981509619</v>
      </c>
      <c r="W4093" s="12"/>
      <c r="X4093" s="12"/>
      <c r="Y4093" s="12">
        <v>1286.579077084391</v>
      </c>
      <c r="Z4093" s="12">
        <v>1.750883253424447</v>
      </c>
      <c r="AA4093" s="12"/>
      <c r="AB4093" s="12"/>
    </row>
    <row r="4094" spans="1:28" x14ac:dyDescent="0.3">
      <c r="A4094" s="12" t="s">
        <v>6031</v>
      </c>
      <c r="B4094" s="12" t="s">
        <v>206</v>
      </c>
      <c r="C4094" s="12" t="s">
        <v>657</v>
      </c>
      <c r="D4094" s="12" t="s">
        <v>6021</v>
      </c>
      <c r="E4094" s="12" t="s">
        <v>2978</v>
      </c>
      <c r="F4094" s="12" t="s">
        <v>832</v>
      </c>
      <c r="G4094" s="12" t="s">
        <v>832</v>
      </c>
      <c r="H4094" s="12" t="b">
        <v>0</v>
      </c>
      <c r="I4094" s="12" t="b">
        <v>0</v>
      </c>
      <c r="J4094" s="12" t="b">
        <v>0</v>
      </c>
      <c r="K4094" s="12" t="b">
        <v>0</v>
      </c>
      <c r="L4094" s="12">
        <v>623.15</v>
      </c>
      <c r="M4094" s="12">
        <v>281.79047738185841</v>
      </c>
      <c r="N4094" s="12">
        <v>3000</v>
      </c>
      <c r="O4094" s="12">
        <v>1717.4740700424741</v>
      </c>
      <c r="P4094" s="12">
        <v>0.5</v>
      </c>
      <c r="Q4094" s="12">
        <v>0.85</v>
      </c>
      <c r="R4094" s="12">
        <v>0.75</v>
      </c>
      <c r="S4094" s="12">
        <v>0.85</v>
      </c>
      <c r="T4094" s="12">
        <v>0.75</v>
      </c>
      <c r="U4094" s="12">
        <v>0.8</v>
      </c>
      <c r="V4094" s="12">
        <v>281.79047738185841</v>
      </c>
      <c r="W4094" s="12"/>
      <c r="X4094" s="12"/>
      <c r="Y4094" s="12">
        <v>1282.5259299575259</v>
      </c>
      <c r="Z4094" s="12">
        <v>1.746751262408176</v>
      </c>
      <c r="AA4094" s="12"/>
      <c r="AB4094" s="12"/>
    </row>
    <row r="4095" spans="1:28" x14ac:dyDescent="0.3">
      <c r="A4095" s="12" t="s">
        <v>6032</v>
      </c>
      <c r="B4095" s="12" t="s">
        <v>206</v>
      </c>
      <c r="C4095" s="12" t="s">
        <v>657</v>
      </c>
      <c r="D4095" s="12" t="s">
        <v>6021</v>
      </c>
      <c r="E4095" s="12" t="s">
        <v>2978</v>
      </c>
      <c r="F4095" s="12" t="s">
        <v>832</v>
      </c>
      <c r="G4095" s="12" t="s">
        <v>832</v>
      </c>
      <c r="H4095" s="12" t="b">
        <v>0</v>
      </c>
      <c r="I4095" s="12" t="b">
        <v>0</v>
      </c>
      <c r="J4095" s="12" t="b">
        <v>0</v>
      </c>
      <c r="K4095" s="12" t="b">
        <v>0</v>
      </c>
      <c r="L4095" s="12">
        <v>623.15</v>
      </c>
      <c r="M4095" s="12">
        <v>298.42096223958282</v>
      </c>
      <c r="N4095" s="12">
        <v>3000</v>
      </c>
      <c r="O4095" s="12">
        <v>1852.805994094304</v>
      </c>
      <c r="P4095" s="12">
        <v>0.5</v>
      </c>
      <c r="Q4095" s="12">
        <v>0.85</v>
      </c>
      <c r="R4095" s="12">
        <v>0.75</v>
      </c>
      <c r="S4095" s="12">
        <v>0.85</v>
      </c>
      <c r="T4095" s="12">
        <v>0.75</v>
      </c>
      <c r="U4095" s="12">
        <v>0.8</v>
      </c>
      <c r="V4095" s="12">
        <v>298.42096223958282</v>
      </c>
      <c r="W4095" s="12"/>
      <c r="X4095" s="12"/>
      <c r="Y4095" s="12">
        <v>1147.194005905696</v>
      </c>
      <c r="Z4095" s="12">
        <v>1.6191657462045681</v>
      </c>
      <c r="AA4095" s="12"/>
      <c r="AB4095" s="12"/>
    </row>
    <row r="4096" spans="1:28" x14ac:dyDescent="0.3">
      <c r="A4096" s="12" t="s">
        <v>6033</v>
      </c>
      <c r="B4096" s="12" t="s">
        <v>206</v>
      </c>
      <c r="C4096" s="12" t="s">
        <v>657</v>
      </c>
      <c r="D4096" s="12" t="s">
        <v>6021</v>
      </c>
      <c r="E4096" s="12" t="s">
        <v>2978</v>
      </c>
      <c r="F4096" s="12" t="s">
        <v>832</v>
      </c>
      <c r="G4096" s="12" t="s">
        <v>832</v>
      </c>
      <c r="H4096" s="12" t="b">
        <v>0</v>
      </c>
      <c r="I4096" s="12" t="b">
        <v>0</v>
      </c>
      <c r="J4096" s="12" t="b">
        <v>0</v>
      </c>
      <c r="K4096" s="12" t="b">
        <v>0</v>
      </c>
      <c r="L4096" s="12">
        <v>623.15</v>
      </c>
      <c r="M4096" s="12">
        <v>279.52755080988447</v>
      </c>
      <c r="N4096" s="12">
        <v>3000</v>
      </c>
      <c r="O4096" s="12">
        <v>1208.48029957731</v>
      </c>
      <c r="P4096" s="12">
        <v>0.5</v>
      </c>
      <c r="Q4096" s="12">
        <v>0.85</v>
      </c>
      <c r="R4096" s="12">
        <v>0.75</v>
      </c>
      <c r="S4096" s="12">
        <v>0.85</v>
      </c>
      <c r="T4096" s="12">
        <v>0.75</v>
      </c>
      <c r="U4096" s="12">
        <v>0.8</v>
      </c>
      <c r="V4096" s="12">
        <v>279.52755080988447</v>
      </c>
      <c r="W4096" s="12"/>
      <c r="X4096" s="12"/>
      <c r="Y4096" s="12">
        <v>1791.51970042269</v>
      </c>
      <c r="Z4096" s="12">
        <v>2.4824566863434261</v>
      </c>
      <c r="AA4096" s="12"/>
      <c r="AB4096" s="12"/>
    </row>
    <row r="4097" spans="1:28" x14ac:dyDescent="0.3">
      <c r="A4097" s="12" t="s">
        <v>6034</v>
      </c>
      <c r="B4097" s="12" t="s">
        <v>206</v>
      </c>
      <c r="C4097" s="12" t="s">
        <v>657</v>
      </c>
      <c r="D4097" s="12" t="s">
        <v>6021</v>
      </c>
      <c r="E4097" s="12" t="s">
        <v>2978</v>
      </c>
      <c r="F4097" s="12" t="s">
        <v>832</v>
      </c>
      <c r="G4097" s="12" t="s">
        <v>832</v>
      </c>
      <c r="H4097" s="12" t="b">
        <v>0</v>
      </c>
      <c r="I4097" s="12" t="b">
        <v>0</v>
      </c>
      <c r="J4097" s="12" t="b">
        <v>0</v>
      </c>
      <c r="K4097" s="12" t="b">
        <v>0</v>
      </c>
      <c r="L4097" s="12">
        <v>623.15</v>
      </c>
      <c r="M4097" s="12">
        <v>300.8267118048708</v>
      </c>
      <c r="N4097" s="12">
        <v>3000</v>
      </c>
      <c r="O4097" s="12">
        <v>1624.1212479461351</v>
      </c>
      <c r="P4097" s="12">
        <v>0.5</v>
      </c>
      <c r="Q4097" s="12">
        <v>0.85</v>
      </c>
      <c r="R4097" s="12">
        <v>0.75</v>
      </c>
      <c r="S4097" s="12">
        <v>0.85</v>
      </c>
      <c r="T4097" s="12">
        <v>0.75</v>
      </c>
      <c r="U4097" s="12">
        <v>0.8</v>
      </c>
      <c r="V4097" s="12">
        <v>300.8267118048708</v>
      </c>
      <c r="W4097" s="12"/>
      <c r="X4097" s="12"/>
      <c r="Y4097" s="12">
        <v>1375.8787520538649</v>
      </c>
      <c r="Z4097" s="12">
        <v>1.84715273185041</v>
      </c>
      <c r="AA4097" s="12"/>
      <c r="AB4097" s="12"/>
    </row>
    <row r="4098" spans="1:28" x14ac:dyDescent="0.3">
      <c r="A4098" s="12" t="s">
        <v>6035</v>
      </c>
      <c r="B4098" s="12" t="s">
        <v>206</v>
      </c>
      <c r="C4098" s="12" t="s">
        <v>657</v>
      </c>
      <c r="D4098" s="12" t="s">
        <v>6021</v>
      </c>
      <c r="E4098" s="12" t="s">
        <v>2978</v>
      </c>
      <c r="F4098" s="12" t="s">
        <v>832</v>
      </c>
      <c r="G4098" s="12" t="s">
        <v>832</v>
      </c>
      <c r="H4098" s="12" t="b">
        <v>0</v>
      </c>
      <c r="I4098" s="12" t="b">
        <v>0</v>
      </c>
      <c r="J4098" s="12" t="b">
        <v>0</v>
      </c>
      <c r="K4098" s="12" t="b">
        <v>0</v>
      </c>
      <c r="L4098" s="12">
        <v>623.15</v>
      </c>
      <c r="M4098" s="12">
        <v>295.53215726737619</v>
      </c>
      <c r="N4098" s="12">
        <v>3000</v>
      </c>
      <c r="O4098" s="12">
        <v>1392.537862012769</v>
      </c>
      <c r="P4098" s="12">
        <v>0.5</v>
      </c>
      <c r="Q4098" s="12">
        <v>0.85</v>
      </c>
      <c r="R4098" s="12">
        <v>0.75</v>
      </c>
      <c r="S4098" s="12">
        <v>0.85</v>
      </c>
      <c r="T4098" s="12">
        <v>0.75</v>
      </c>
      <c r="U4098" s="12">
        <v>0.8</v>
      </c>
      <c r="V4098" s="12">
        <v>295.53215726737619</v>
      </c>
      <c r="W4098" s="12"/>
      <c r="X4098" s="12"/>
      <c r="Y4098" s="12">
        <v>1607.462137987231</v>
      </c>
      <c r="Z4098" s="12">
        <v>2.154339987326312</v>
      </c>
      <c r="AA4098" s="12"/>
      <c r="AB4098" s="12"/>
    </row>
    <row r="4099" spans="1:28" x14ac:dyDescent="0.3">
      <c r="A4099" s="12" t="s">
        <v>6036</v>
      </c>
      <c r="B4099" s="12" t="s">
        <v>206</v>
      </c>
      <c r="C4099" s="12" t="s">
        <v>657</v>
      </c>
      <c r="D4099" s="12" t="s">
        <v>6021</v>
      </c>
      <c r="E4099" s="12" t="s">
        <v>2978</v>
      </c>
      <c r="F4099" s="12" t="s">
        <v>832</v>
      </c>
      <c r="G4099" s="12" t="s">
        <v>832</v>
      </c>
      <c r="H4099" s="12" t="b">
        <v>0</v>
      </c>
      <c r="I4099" s="12" t="b">
        <v>0</v>
      </c>
      <c r="J4099" s="12" t="b">
        <v>0</v>
      </c>
      <c r="K4099" s="12" t="b">
        <v>0</v>
      </c>
      <c r="L4099" s="12">
        <v>623.15</v>
      </c>
      <c r="M4099" s="12">
        <v>289.96061265159119</v>
      </c>
      <c r="N4099" s="12">
        <v>3000</v>
      </c>
      <c r="O4099" s="12">
        <v>1121.7345402227211</v>
      </c>
      <c r="P4099" s="12">
        <v>0.5</v>
      </c>
      <c r="Q4099" s="12">
        <v>0.85</v>
      </c>
      <c r="R4099" s="12">
        <v>0.75</v>
      </c>
      <c r="S4099" s="12">
        <v>0.85</v>
      </c>
      <c r="T4099" s="12">
        <v>0.75</v>
      </c>
      <c r="U4099" s="12">
        <v>0.8</v>
      </c>
      <c r="V4099" s="12">
        <v>289.96061265159119</v>
      </c>
      <c r="W4099" s="12"/>
      <c r="X4099" s="12"/>
      <c r="Y4099" s="12">
        <v>1878.2654597772789</v>
      </c>
      <c r="Z4099" s="12">
        <v>2.6744295485492922</v>
      </c>
      <c r="AA4099" s="12"/>
      <c r="AB4099" s="12"/>
    </row>
    <row r="4100" spans="1:28" x14ac:dyDescent="0.3">
      <c r="A4100" s="12" t="s">
        <v>6037</v>
      </c>
      <c r="B4100" s="12" t="s">
        <v>206</v>
      </c>
      <c r="C4100" s="12" t="s">
        <v>657</v>
      </c>
      <c r="D4100" s="12" t="s">
        <v>6021</v>
      </c>
      <c r="E4100" s="12" t="s">
        <v>2978</v>
      </c>
      <c r="F4100" s="12" t="s">
        <v>832</v>
      </c>
      <c r="G4100" s="12" t="s">
        <v>832</v>
      </c>
      <c r="H4100" s="12" t="b">
        <v>0</v>
      </c>
      <c r="I4100" s="12" t="b">
        <v>0</v>
      </c>
      <c r="J4100" s="12" t="b">
        <v>0</v>
      </c>
      <c r="K4100" s="12" t="b">
        <v>0</v>
      </c>
      <c r="L4100" s="12">
        <v>623.15</v>
      </c>
      <c r="M4100" s="12">
        <v>294.74835666705098</v>
      </c>
      <c r="N4100" s="12">
        <v>3000</v>
      </c>
      <c r="O4100" s="12">
        <v>817.92991596577258</v>
      </c>
      <c r="P4100" s="12">
        <v>0.5</v>
      </c>
      <c r="Q4100" s="12">
        <v>0.85</v>
      </c>
      <c r="R4100" s="12">
        <v>0.75</v>
      </c>
      <c r="S4100" s="12">
        <v>0.85</v>
      </c>
      <c r="T4100" s="12">
        <v>0.75</v>
      </c>
      <c r="U4100" s="12">
        <v>0.8</v>
      </c>
      <c r="V4100" s="12">
        <v>294.74835666705098</v>
      </c>
      <c r="W4100" s="12"/>
      <c r="X4100" s="12"/>
      <c r="Y4100" s="12">
        <v>2182.070084034227</v>
      </c>
      <c r="Z4100" s="12">
        <v>3.667795909454838</v>
      </c>
      <c r="AA4100" s="12"/>
      <c r="AB4100" s="12"/>
    </row>
    <row r="4101" spans="1:28" x14ac:dyDescent="0.3">
      <c r="A4101" s="12" t="s">
        <v>6038</v>
      </c>
      <c r="B4101" s="12" t="s">
        <v>206</v>
      </c>
      <c r="C4101" s="12" t="s">
        <v>657</v>
      </c>
      <c r="D4101" s="12" t="s">
        <v>6021</v>
      </c>
      <c r="E4101" s="12" t="s">
        <v>2978</v>
      </c>
      <c r="F4101" s="12" t="s">
        <v>832</v>
      </c>
      <c r="G4101" s="12" t="s">
        <v>832</v>
      </c>
      <c r="H4101" s="12" t="b">
        <v>0</v>
      </c>
      <c r="I4101" s="12" t="b">
        <v>0</v>
      </c>
      <c r="J4101" s="12" t="b">
        <v>0</v>
      </c>
      <c r="K4101" s="12" t="b">
        <v>0</v>
      </c>
      <c r="L4101" s="12">
        <v>623.15</v>
      </c>
      <c r="M4101" s="12">
        <v>287.12663112355648</v>
      </c>
      <c r="N4101" s="12">
        <v>3000</v>
      </c>
      <c r="O4101" s="12">
        <v>581.41187666090241</v>
      </c>
      <c r="P4101" s="12">
        <v>0.5</v>
      </c>
      <c r="Q4101" s="12">
        <v>0.85</v>
      </c>
      <c r="R4101" s="12">
        <v>0.75</v>
      </c>
      <c r="S4101" s="12">
        <v>0.85</v>
      </c>
      <c r="T4101" s="12">
        <v>0.75</v>
      </c>
      <c r="U4101" s="12">
        <v>0.8</v>
      </c>
      <c r="V4101" s="12">
        <v>287.12663112355648</v>
      </c>
      <c r="W4101" s="12"/>
      <c r="X4101" s="12"/>
      <c r="Y4101" s="12">
        <v>2418.5881233390969</v>
      </c>
      <c r="Z4101" s="12">
        <v>5.1598533164290581</v>
      </c>
      <c r="AA4101" s="12"/>
      <c r="AB4101" s="12"/>
    </row>
    <row r="4102" spans="1:28" x14ac:dyDescent="0.3">
      <c r="A4102" s="12" t="s">
        <v>6039</v>
      </c>
      <c r="B4102" s="12" t="s">
        <v>206</v>
      </c>
      <c r="C4102" s="12" t="s">
        <v>657</v>
      </c>
      <c r="D4102" s="12" t="s">
        <v>6021</v>
      </c>
      <c r="E4102" s="12" t="s">
        <v>2978</v>
      </c>
      <c r="F4102" s="12" t="s">
        <v>832</v>
      </c>
      <c r="G4102" s="12" t="s">
        <v>832</v>
      </c>
      <c r="H4102" s="12" t="b">
        <v>0</v>
      </c>
      <c r="I4102" s="12" t="b">
        <v>0</v>
      </c>
      <c r="J4102" s="12" t="b">
        <v>0</v>
      </c>
      <c r="K4102" s="12" t="b">
        <v>0</v>
      </c>
      <c r="L4102" s="12">
        <v>623.15</v>
      </c>
      <c r="M4102" s="12">
        <v>284.82237969729618</v>
      </c>
      <c r="N4102" s="12">
        <v>3000</v>
      </c>
      <c r="O4102" s="12">
        <v>1352.135459859742</v>
      </c>
      <c r="P4102" s="12">
        <v>0.5</v>
      </c>
      <c r="Q4102" s="12">
        <v>0.85</v>
      </c>
      <c r="R4102" s="12">
        <v>0.75</v>
      </c>
      <c r="S4102" s="12">
        <v>0.85</v>
      </c>
      <c r="T4102" s="12">
        <v>0.75</v>
      </c>
      <c r="U4102" s="12">
        <v>0.8</v>
      </c>
      <c r="V4102" s="12">
        <v>284.82237969729618</v>
      </c>
      <c r="W4102" s="12"/>
      <c r="X4102" s="12"/>
      <c r="Y4102" s="12">
        <v>1647.864540140258</v>
      </c>
      <c r="Z4102" s="12">
        <v>2.218712613535919</v>
      </c>
      <c r="AA4102" s="12"/>
      <c r="AB4102" s="12"/>
    </row>
    <row r="4103" spans="1:28" x14ac:dyDescent="0.3">
      <c r="A4103" s="12" t="s">
        <v>6040</v>
      </c>
      <c r="B4103" s="12" t="s">
        <v>206</v>
      </c>
      <c r="C4103" s="12" t="s">
        <v>657</v>
      </c>
      <c r="D4103" s="12" t="s">
        <v>6021</v>
      </c>
      <c r="E4103" s="12" t="s">
        <v>2978</v>
      </c>
      <c r="F4103" s="12" t="s">
        <v>832</v>
      </c>
      <c r="G4103" s="12" t="s">
        <v>832</v>
      </c>
      <c r="H4103" s="12" t="b">
        <v>0</v>
      </c>
      <c r="I4103" s="12" t="b">
        <v>0</v>
      </c>
      <c r="J4103" s="12" t="b">
        <v>0</v>
      </c>
      <c r="K4103" s="12" t="b">
        <v>0</v>
      </c>
      <c r="L4103" s="12">
        <v>623.15</v>
      </c>
      <c r="M4103" s="12">
        <v>292.88078663022787</v>
      </c>
      <c r="N4103" s="12">
        <v>3000</v>
      </c>
      <c r="O4103" s="12">
        <v>609.23307998306336</v>
      </c>
      <c r="P4103" s="12">
        <v>0.5</v>
      </c>
      <c r="Q4103" s="12">
        <v>0.85</v>
      </c>
      <c r="R4103" s="12">
        <v>0.75</v>
      </c>
      <c r="S4103" s="12">
        <v>0.85</v>
      </c>
      <c r="T4103" s="12">
        <v>0.75</v>
      </c>
      <c r="U4103" s="12">
        <v>0.8</v>
      </c>
      <c r="V4103" s="12">
        <v>292.88078663022787</v>
      </c>
      <c r="W4103" s="12"/>
      <c r="X4103" s="12"/>
      <c r="Y4103" s="12">
        <v>2390.7669200169371</v>
      </c>
      <c r="Z4103" s="12">
        <v>4.9242237471468222</v>
      </c>
      <c r="AA4103" s="12"/>
      <c r="AB4103" s="12"/>
    </row>
    <row r="4104" spans="1:28" x14ac:dyDescent="0.3">
      <c r="A4104" s="12" t="s">
        <v>6041</v>
      </c>
      <c r="B4104" s="12" t="s">
        <v>206</v>
      </c>
      <c r="C4104" s="12" t="s">
        <v>657</v>
      </c>
      <c r="D4104" s="12" t="s">
        <v>6021</v>
      </c>
      <c r="E4104" s="12" t="s">
        <v>2978</v>
      </c>
      <c r="F4104" s="12" t="s">
        <v>832</v>
      </c>
      <c r="G4104" s="12" t="s">
        <v>832</v>
      </c>
      <c r="H4104" s="12" t="b">
        <v>0</v>
      </c>
      <c r="I4104" s="12" t="b">
        <v>0</v>
      </c>
      <c r="J4104" s="12" t="b">
        <v>0</v>
      </c>
      <c r="K4104" s="12" t="b">
        <v>0</v>
      </c>
      <c r="L4104" s="12">
        <v>623.15</v>
      </c>
      <c r="M4104" s="12">
        <v>283.56255014977262</v>
      </c>
      <c r="N4104" s="12">
        <v>3000</v>
      </c>
      <c r="O4104" s="12">
        <v>697.48676001964168</v>
      </c>
      <c r="P4104" s="12">
        <v>0.5</v>
      </c>
      <c r="Q4104" s="12">
        <v>0.85</v>
      </c>
      <c r="R4104" s="12">
        <v>0.75</v>
      </c>
      <c r="S4104" s="12">
        <v>0.85</v>
      </c>
      <c r="T4104" s="12">
        <v>0.75</v>
      </c>
      <c r="U4104" s="12">
        <v>0.8</v>
      </c>
      <c r="V4104" s="12">
        <v>283.56255014977262</v>
      </c>
      <c r="W4104" s="12"/>
      <c r="X4104" s="12"/>
      <c r="Y4104" s="12">
        <v>2302.5132399803579</v>
      </c>
      <c r="Z4104" s="12">
        <v>4.3011569135957766</v>
      </c>
      <c r="AA4104" s="12"/>
      <c r="AB4104" s="12"/>
    </row>
    <row r="4105" spans="1:28" x14ac:dyDescent="0.3">
      <c r="A4105" s="12" t="s">
        <v>6042</v>
      </c>
      <c r="B4105" s="12" t="s">
        <v>206</v>
      </c>
      <c r="C4105" s="12" t="s">
        <v>657</v>
      </c>
      <c r="D4105" s="12" t="s">
        <v>6021</v>
      </c>
      <c r="E4105" s="12" t="s">
        <v>2978</v>
      </c>
      <c r="F4105" s="12" t="s">
        <v>832</v>
      </c>
      <c r="G4105" s="12" t="s">
        <v>832</v>
      </c>
      <c r="H4105" s="12" t="b">
        <v>0</v>
      </c>
      <c r="I4105" s="12" t="b">
        <v>0</v>
      </c>
      <c r="J4105" s="12" t="b">
        <v>0</v>
      </c>
      <c r="K4105" s="12" t="b">
        <v>0</v>
      </c>
      <c r="L4105" s="12">
        <v>623.15</v>
      </c>
      <c r="M4105" s="12">
        <v>290.34347471473421</v>
      </c>
      <c r="N4105" s="12">
        <v>3000</v>
      </c>
      <c r="O4105" s="12">
        <v>517.96476594742478</v>
      </c>
      <c r="P4105" s="12">
        <v>0.5</v>
      </c>
      <c r="Q4105" s="12">
        <v>0.85</v>
      </c>
      <c r="R4105" s="12">
        <v>0.75</v>
      </c>
      <c r="S4105" s="12">
        <v>0.85</v>
      </c>
      <c r="T4105" s="12">
        <v>0.75</v>
      </c>
      <c r="U4105" s="12">
        <v>0.8</v>
      </c>
      <c r="V4105" s="12">
        <v>290.34347471473421</v>
      </c>
      <c r="W4105" s="12"/>
      <c r="X4105" s="12"/>
      <c r="Y4105" s="12">
        <v>2482.0352340525751</v>
      </c>
      <c r="Z4105" s="12">
        <v>5.7918997530895959</v>
      </c>
      <c r="AA4105" s="12"/>
      <c r="AB4105" s="12"/>
    </row>
    <row r="4106" spans="1:28" x14ac:dyDescent="0.3">
      <c r="A4106" s="12" t="s">
        <v>6043</v>
      </c>
      <c r="B4106" s="12" t="s">
        <v>206</v>
      </c>
      <c r="C4106" s="12" t="s">
        <v>657</v>
      </c>
      <c r="D4106" s="12" t="s">
        <v>6021</v>
      </c>
      <c r="E4106" s="12" t="s">
        <v>2978</v>
      </c>
      <c r="F4106" s="12" t="s">
        <v>832</v>
      </c>
      <c r="G4106" s="12" t="s">
        <v>832</v>
      </c>
      <c r="H4106" s="12" t="b">
        <v>0</v>
      </c>
      <c r="I4106" s="12" t="b">
        <v>0</v>
      </c>
      <c r="J4106" s="12" t="b">
        <v>0</v>
      </c>
      <c r="K4106" s="12" t="b">
        <v>0</v>
      </c>
      <c r="L4106" s="12">
        <v>623.15</v>
      </c>
      <c r="M4106" s="12">
        <v>297.56496720060869</v>
      </c>
      <c r="N4106" s="12">
        <v>3000</v>
      </c>
      <c r="O4106" s="12">
        <v>879.4684061067735</v>
      </c>
      <c r="P4106" s="12">
        <v>0.5</v>
      </c>
      <c r="Q4106" s="12">
        <v>0.85</v>
      </c>
      <c r="R4106" s="12">
        <v>0.75</v>
      </c>
      <c r="S4106" s="12">
        <v>0.85</v>
      </c>
      <c r="T4106" s="12">
        <v>0.75</v>
      </c>
      <c r="U4106" s="12">
        <v>0.8</v>
      </c>
      <c r="V4106" s="12">
        <v>297.56496720060869</v>
      </c>
      <c r="W4106" s="12"/>
      <c r="X4106" s="12"/>
      <c r="Y4106" s="12">
        <v>2120.5315938932258</v>
      </c>
      <c r="Z4106" s="12">
        <v>3.4111515310486089</v>
      </c>
      <c r="AA4106" s="12"/>
      <c r="AB4106" s="12"/>
    </row>
    <row r="4107" spans="1:28" x14ac:dyDescent="0.3">
      <c r="A4107" s="12" t="s">
        <v>6044</v>
      </c>
      <c r="B4107" s="12" t="s">
        <v>206</v>
      </c>
      <c r="C4107" s="12" t="s">
        <v>657</v>
      </c>
      <c r="D4107" s="12" t="s">
        <v>6021</v>
      </c>
      <c r="E4107" s="12" t="s">
        <v>2978</v>
      </c>
      <c r="F4107" s="12" t="s">
        <v>832</v>
      </c>
      <c r="G4107" s="12" t="s">
        <v>832</v>
      </c>
      <c r="H4107" s="12" t="b">
        <v>0</v>
      </c>
      <c r="I4107" s="12" t="b">
        <v>0</v>
      </c>
      <c r="J4107" s="12" t="b">
        <v>0</v>
      </c>
      <c r="K4107" s="12" t="b">
        <v>0</v>
      </c>
      <c r="L4107" s="12">
        <v>623.15</v>
      </c>
      <c r="M4107" s="12">
        <v>280.628099726345</v>
      </c>
      <c r="N4107" s="12">
        <v>3000</v>
      </c>
      <c r="O4107" s="12">
        <v>1159.515589126964</v>
      </c>
      <c r="P4107" s="12">
        <v>0.5</v>
      </c>
      <c r="Q4107" s="12">
        <v>0.85</v>
      </c>
      <c r="R4107" s="12">
        <v>0.75</v>
      </c>
      <c r="S4107" s="12">
        <v>0.85</v>
      </c>
      <c r="T4107" s="12">
        <v>0.75</v>
      </c>
      <c r="U4107" s="12">
        <v>0.8</v>
      </c>
      <c r="V4107" s="12">
        <v>280.628099726345</v>
      </c>
      <c r="W4107" s="12"/>
      <c r="X4107" s="12"/>
      <c r="Y4107" s="12">
        <v>1840.484410873036</v>
      </c>
      <c r="Z4107" s="12">
        <v>2.5872873363080839</v>
      </c>
      <c r="AA4107" s="12"/>
      <c r="AB4107" s="12"/>
    </row>
    <row r="4108" spans="1:28" x14ac:dyDescent="0.3">
      <c r="A4108" s="12" t="s">
        <v>6045</v>
      </c>
      <c r="B4108" s="12" t="s">
        <v>206</v>
      </c>
      <c r="C4108" s="12" t="s">
        <v>657</v>
      </c>
      <c r="D4108" s="12" t="s">
        <v>6021</v>
      </c>
      <c r="E4108" s="12" t="s">
        <v>2978</v>
      </c>
      <c r="F4108" s="12" t="s">
        <v>832</v>
      </c>
      <c r="G4108" s="12" t="s">
        <v>832</v>
      </c>
      <c r="H4108" s="12" t="b">
        <v>0</v>
      </c>
      <c r="I4108" s="12" t="b">
        <v>0</v>
      </c>
      <c r="J4108" s="12" t="b">
        <v>0</v>
      </c>
      <c r="K4108" s="12" t="b">
        <v>0</v>
      </c>
      <c r="L4108" s="12">
        <v>623.15</v>
      </c>
      <c r="M4108" s="12">
        <v>282.93258675835602</v>
      </c>
      <c r="N4108" s="12">
        <v>3000</v>
      </c>
      <c r="O4108" s="12">
        <v>786.85422529636026</v>
      </c>
      <c r="P4108" s="12">
        <v>0.5</v>
      </c>
      <c r="Q4108" s="12">
        <v>0.85</v>
      </c>
      <c r="R4108" s="12">
        <v>0.75</v>
      </c>
      <c r="S4108" s="12">
        <v>0.85</v>
      </c>
      <c r="T4108" s="12">
        <v>0.75</v>
      </c>
      <c r="U4108" s="12">
        <v>0.8</v>
      </c>
      <c r="V4108" s="12">
        <v>282.93258675835602</v>
      </c>
      <c r="W4108" s="12"/>
      <c r="X4108" s="12"/>
      <c r="Y4108" s="12">
        <v>2213.1457747036402</v>
      </c>
      <c r="Z4108" s="12">
        <v>3.812650302373457</v>
      </c>
      <c r="AA4108" s="12"/>
      <c r="AB4108" s="12"/>
    </row>
    <row r="4109" spans="1:28" x14ac:dyDescent="0.3">
      <c r="A4109" s="12" t="s">
        <v>6046</v>
      </c>
      <c r="B4109" s="12" t="s">
        <v>206</v>
      </c>
      <c r="C4109" s="12" t="s">
        <v>657</v>
      </c>
      <c r="D4109" s="12" t="s">
        <v>6021</v>
      </c>
      <c r="E4109" s="12" t="s">
        <v>2978</v>
      </c>
      <c r="F4109" s="12" t="s">
        <v>832</v>
      </c>
      <c r="G4109" s="12" t="s">
        <v>832</v>
      </c>
      <c r="H4109" s="12" t="b">
        <v>0</v>
      </c>
      <c r="I4109" s="12" t="b">
        <v>0</v>
      </c>
      <c r="J4109" s="12" t="b">
        <v>0</v>
      </c>
      <c r="K4109" s="12" t="b">
        <v>0</v>
      </c>
      <c r="L4109" s="12">
        <v>623.15</v>
      </c>
      <c r="M4109" s="12">
        <v>293.8549438985649</v>
      </c>
      <c r="N4109" s="12">
        <v>3000</v>
      </c>
      <c r="O4109" s="12">
        <v>998.03202148873038</v>
      </c>
      <c r="P4109" s="12">
        <v>0.5</v>
      </c>
      <c r="Q4109" s="12">
        <v>0.85</v>
      </c>
      <c r="R4109" s="12">
        <v>0.75</v>
      </c>
      <c r="S4109" s="12">
        <v>0.85</v>
      </c>
      <c r="T4109" s="12">
        <v>0.75</v>
      </c>
      <c r="U4109" s="12">
        <v>0.8</v>
      </c>
      <c r="V4109" s="12">
        <v>293.8549438985649</v>
      </c>
      <c r="W4109" s="12"/>
      <c r="X4109" s="12"/>
      <c r="Y4109" s="12">
        <v>2001.9679785112701</v>
      </c>
      <c r="Z4109" s="12">
        <v>3.0059155772627442</v>
      </c>
      <c r="AA4109" s="12"/>
      <c r="AB4109" s="12"/>
    </row>
    <row r="4110" spans="1:28" x14ac:dyDescent="0.3">
      <c r="A4110" s="12" t="s">
        <v>6047</v>
      </c>
      <c r="B4110" s="12" t="s">
        <v>206</v>
      </c>
      <c r="C4110" s="12" t="s">
        <v>657</v>
      </c>
      <c r="D4110" s="12" t="s">
        <v>6021</v>
      </c>
      <c r="E4110" s="12" t="s">
        <v>2978</v>
      </c>
      <c r="F4110" s="12" t="s">
        <v>832</v>
      </c>
      <c r="G4110" s="12" t="s">
        <v>832</v>
      </c>
      <c r="H4110" s="12" t="b">
        <v>0</v>
      </c>
      <c r="I4110" s="12" t="b">
        <v>0</v>
      </c>
      <c r="J4110" s="12" t="b">
        <v>0</v>
      </c>
      <c r="K4110" s="12" t="b">
        <v>0</v>
      </c>
      <c r="L4110" s="12">
        <v>623.15</v>
      </c>
      <c r="M4110" s="12">
        <v>291.68259329827612</v>
      </c>
      <c r="N4110" s="12">
        <v>3000</v>
      </c>
      <c r="O4110" s="12">
        <v>1523.574747288488</v>
      </c>
      <c r="P4110" s="12">
        <v>0.5</v>
      </c>
      <c r="Q4110" s="12">
        <v>0.85</v>
      </c>
      <c r="R4110" s="12">
        <v>0.75</v>
      </c>
      <c r="S4110" s="12">
        <v>0.85</v>
      </c>
      <c r="T4110" s="12">
        <v>0.75</v>
      </c>
      <c r="U4110" s="12">
        <v>0.8</v>
      </c>
      <c r="V4110" s="12">
        <v>291.68259329827612</v>
      </c>
      <c r="W4110" s="12"/>
      <c r="X4110" s="12"/>
      <c r="Y4110" s="12">
        <v>1476.425252711512</v>
      </c>
      <c r="Z4110" s="12">
        <v>1.9690533761727891</v>
      </c>
      <c r="AA4110" s="12"/>
      <c r="AB4110" s="12"/>
    </row>
    <row r="4111" spans="1:28" x14ac:dyDescent="0.3">
      <c r="A4111" s="12" t="s">
        <v>6048</v>
      </c>
      <c r="B4111" s="12" t="s">
        <v>206</v>
      </c>
      <c r="C4111" s="12" t="s">
        <v>657</v>
      </c>
      <c r="D4111" s="12" t="s">
        <v>6021</v>
      </c>
      <c r="E4111" s="12" t="s">
        <v>2978</v>
      </c>
      <c r="F4111" s="12" t="s">
        <v>832</v>
      </c>
      <c r="G4111" s="12" t="s">
        <v>832</v>
      </c>
      <c r="H4111" s="12" t="b">
        <v>0</v>
      </c>
      <c r="I4111" s="12" t="b">
        <v>0</v>
      </c>
      <c r="J4111" s="12" t="b">
        <v>0</v>
      </c>
      <c r="K4111" s="12" t="b">
        <v>0</v>
      </c>
      <c r="L4111" s="12">
        <v>623.15</v>
      </c>
      <c r="M4111" s="12">
        <v>301.21266039729551</v>
      </c>
      <c r="N4111" s="12">
        <v>3000</v>
      </c>
      <c r="O4111" s="12">
        <v>959.00400395929557</v>
      </c>
      <c r="P4111" s="12">
        <v>0.5</v>
      </c>
      <c r="Q4111" s="12">
        <v>0.85</v>
      </c>
      <c r="R4111" s="12">
        <v>0.75</v>
      </c>
      <c r="S4111" s="12">
        <v>0.85</v>
      </c>
      <c r="T4111" s="12">
        <v>0.75</v>
      </c>
      <c r="U4111" s="12">
        <v>0.8</v>
      </c>
      <c r="V4111" s="12">
        <v>301.21266039729551</v>
      </c>
      <c r="W4111" s="12"/>
      <c r="X4111" s="12"/>
      <c r="Y4111" s="12">
        <v>2040.9959960407041</v>
      </c>
      <c r="Z4111" s="12">
        <v>3.1282455418479498</v>
      </c>
      <c r="AA4111" s="12"/>
      <c r="AB4111" s="12"/>
    </row>
    <row r="4112" spans="1:28" x14ac:dyDescent="0.3">
      <c r="A4112" s="12" t="s">
        <v>6049</v>
      </c>
      <c r="B4112" s="12" t="s">
        <v>206</v>
      </c>
      <c r="C4112" s="12" t="s">
        <v>657</v>
      </c>
      <c r="D4112" s="12" t="s">
        <v>6021</v>
      </c>
      <c r="E4112" s="12" t="s">
        <v>2978</v>
      </c>
      <c r="F4112" s="12" t="s">
        <v>832</v>
      </c>
      <c r="G4112" s="12" t="s">
        <v>832</v>
      </c>
      <c r="H4112" s="12" t="b">
        <v>0</v>
      </c>
      <c r="I4112" s="12" t="b">
        <v>0</v>
      </c>
      <c r="J4112" s="12" t="b">
        <v>0</v>
      </c>
      <c r="K4112" s="12" t="b">
        <v>0</v>
      </c>
      <c r="L4112" s="12">
        <v>623.15</v>
      </c>
      <c r="M4112" s="12">
        <v>288.96270823206021</v>
      </c>
      <c r="N4112" s="12">
        <v>3000</v>
      </c>
      <c r="O4112" s="12">
        <v>1948.2919863689481</v>
      </c>
      <c r="P4112" s="12">
        <v>0.5</v>
      </c>
      <c r="Q4112" s="12">
        <v>0.85</v>
      </c>
      <c r="R4112" s="12">
        <v>0.75</v>
      </c>
      <c r="S4112" s="12">
        <v>0.85</v>
      </c>
      <c r="T4112" s="12">
        <v>0.75</v>
      </c>
      <c r="U4112" s="12">
        <v>0.8</v>
      </c>
      <c r="V4112" s="12">
        <v>288.96270823206021</v>
      </c>
      <c r="W4112" s="12"/>
      <c r="X4112" s="12"/>
      <c r="Y4112" s="12">
        <v>1051.7080136310519</v>
      </c>
      <c r="Z4112" s="12">
        <v>1.5398102650882071</v>
      </c>
      <c r="AA4112" s="12"/>
      <c r="AB4112" s="12"/>
    </row>
    <row r="4113" spans="1:28" x14ac:dyDescent="0.3">
      <c r="A4113" s="12" t="s">
        <v>6050</v>
      </c>
      <c r="B4113" s="12" t="s">
        <v>206</v>
      </c>
      <c r="C4113" s="12" t="s">
        <v>657</v>
      </c>
      <c r="D4113" s="12" t="s">
        <v>6021</v>
      </c>
      <c r="E4113" s="12" t="s">
        <v>2978</v>
      </c>
      <c r="F4113" s="12" t="s">
        <v>832</v>
      </c>
      <c r="G4113" s="12" t="s">
        <v>832</v>
      </c>
      <c r="H4113" s="12" t="b">
        <v>0</v>
      </c>
      <c r="I4113" s="12" t="b">
        <v>0</v>
      </c>
      <c r="J4113" s="12" t="b">
        <v>0</v>
      </c>
      <c r="K4113" s="12" t="b">
        <v>0</v>
      </c>
      <c r="L4113" s="12">
        <v>623.15</v>
      </c>
      <c r="M4113" s="12">
        <v>291.81388999216171</v>
      </c>
      <c r="N4113" s="12">
        <v>3000</v>
      </c>
      <c r="O4113" s="12">
        <v>376.84590511913939</v>
      </c>
      <c r="P4113" s="12">
        <v>0.5</v>
      </c>
      <c r="Q4113" s="12">
        <v>0.85</v>
      </c>
      <c r="R4113" s="12">
        <v>0.75</v>
      </c>
      <c r="S4113" s="12">
        <v>0.85</v>
      </c>
      <c r="T4113" s="12">
        <v>0.75</v>
      </c>
      <c r="U4113" s="12">
        <v>0.8</v>
      </c>
      <c r="V4113" s="12">
        <v>291.81388999216171</v>
      </c>
      <c r="W4113" s="12"/>
      <c r="X4113" s="12"/>
      <c r="Y4113" s="12">
        <v>2623.1540948808611</v>
      </c>
      <c r="Z4113" s="12">
        <v>7.9608135825478943</v>
      </c>
      <c r="AA4113" s="12"/>
      <c r="AB4113" s="12"/>
    </row>
    <row r="4114" spans="1:28" x14ac:dyDescent="0.3">
      <c r="A4114" s="12" t="s">
        <v>6051</v>
      </c>
      <c r="B4114" s="12" t="s">
        <v>206</v>
      </c>
      <c r="C4114" s="12" t="s">
        <v>660</v>
      </c>
      <c r="D4114" s="12" t="s">
        <v>738</v>
      </c>
      <c r="E4114" s="12" t="s">
        <v>2978</v>
      </c>
      <c r="F4114" s="12" t="s">
        <v>1863</v>
      </c>
      <c r="G4114" s="12" t="s">
        <v>832</v>
      </c>
      <c r="H4114" s="12" t="b">
        <v>0</v>
      </c>
      <c r="I4114" s="12" t="b">
        <v>0</v>
      </c>
      <c r="J4114" s="12" t="b">
        <v>0</v>
      </c>
      <c r="K4114" s="12" t="b">
        <v>0</v>
      </c>
      <c r="L4114" s="12">
        <v>384.24048843907792</v>
      </c>
      <c r="M4114" s="12">
        <v>292.29719579343629</v>
      </c>
      <c r="N4114" s="12">
        <v>3000</v>
      </c>
      <c r="O4114" s="12">
        <v>400</v>
      </c>
      <c r="P4114" s="12">
        <v>0.5</v>
      </c>
      <c r="Q4114" s="12">
        <v>0.85</v>
      </c>
      <c r="R4114" s="12">
        <v>0.75</v>
      </c>
      <c r="S4114" s="12">
        <v>0.85</v>
      </c>
      <c r="T4114" s="12">
        <v>0.75</v>
      </c>
      <c r="U4114" s="12">
        <v>0.8</v>
      </c>
      <c r="V4114" s="12">
        <v>292.29719579343629</v>
      </c>
      <c r="W4114" s="12">
        <v>-20.005746933040239</v>
      </c>
      <c r="X4114" s="12">
        <v>-16.977736115286682</v>
      </c>
      <c r="Y4114" s="12">
        <v>2600</v>
      </c>
      <c r="Z4114" s="12">
        <v>7.5</v>
      </c>
      <c r="AA4114" s="12" t="s">
        <v>2846</v>
      </c>
      <c r="AB4114" s="12"/>
    </row>
    <row r="4115" spans="1:28" x14ac:dyDescent="0.3">
      <c r="A4115" s="12" t="s">
        <v>6052</v>
      </c>
      <c r="B4115" s="12" t="s">
        <v>206</v>
      </c>
      <c r="C4115" s="12" t="s">
        <v>660</v>
      </c>
      <c r="D4115" s="12" t="s">
        <v>738</v>
      </c>
      <c r="E4115" s="12" t="s">
        <v>2978</v>
      </c>
      <c r="F4115" s="12" t="s">
        <v>1861</v>
      </c>
      <c r="G4115" s="12" t="s">
        <v>1861</v>
      </c>
      <c r="H4115" s="12" t="b">
        <v>1</v>
      </c>
      <c r="I4115" s="12" t="b">
        <v>0</v>
      </c>
      <c r="J4115" s="12" t="b">
        <v>1</v>
      </c>
      <c r="K4115" s="12" t="b">
        <v>0</v>
      </c>
      <c r="L4115" s="12">
        <v>466.00499544011342</v>
      </c>
      <c r="M4115" s="12">
        <v>290.64631593574251</v>
      </c>
      <c r="N4115" s="12">
        <v>3000</v>
      </c>
      <c r="O4115" s="12">
        <v>400</v>
      </c>
      <c r="P4115" s="12">
        <v>0.5</v>
      </c>
      <c r="Q4115" s="12">
        <v>0.85</v>
      </c>
      <c r="R4115" s="12">
        <v>0.75</v>
      </c>
      <c r="S4115" s="12">
        <v>0.85</v>
      </c>
      <c r="T4115" s="12">
        <v>0.75</v>
      </c>
      <c r="U4115" s="12">
        <v>0.8</v>
      </c>
      <c r="V4115" s="12">
        <v>290.64631593574251</v>
      </c>
      <c r="W4115" s="12">
        <v>13.406685976307291</v>
      </c>
      <c r="X4115" s="12">
        <v>189.019684969959</v>
      </c>
      <c r="Y4115" s="12">
        <v>2600</v>
      </c>
      <c r="Z4115" s="12">
        <v>7.5</v>
      </c>
      <c r="AA4115" s="12" t="s">
        <v>1268</v>
      </c>
      <c r="AB4115" s="12"/>
    </row>
    <row r="4116" spans="1:28" x14ac:dyDescent="0.3">
      <c r="A4116" s="12" t="s">
        <v>6053</v>
      </c>
      <c r="B4116" s="12" t="s">
        <v>206</v>
      </c>
      <c r="C4116" s="12" t="s">
        <v>660</v>
      </c>
      <c r="D4116" s="12" t="s">
        <v>738</v>
      </c>
      <c r="E4116" s="12" t="s">
        <v>2978</v>
      </c>
      <c r="F4116" s="12" t="s">
        <v>1861</v>
      </c>
      <c r="G4116" s="12" t="s">
        <v>1861</v>
      </c>
      <c r="H4116" s="12" t="b">
        <v>1</v>
      </c>
      <c r="I4116" s="12" t="b">
        <v>0</v>
      </c>
      <c r="J4116" s="12" t="b">
        <v>1</v>
      </c>
      <c r="K4116" s="12" t="b">
        <v>0</v>
      </c>
      <c r="L4116" s="12">
        <v>434.58565119996479</v>
      </c>
      <c r="M4116" s="12">
        <v>294.65091754602969</v>
      </c>
      <c r="N4116" s="12">
        <v>3000</v>
      </c>
      <c r="O4116" s="12">
        <v>400</v>
      </c>
      <c r="P4116" s="12">
        <v>0.5</v>
      </c>
      <c r="Q4116" s="12">
        <v>0.85</v>
      </c>
      <c r="R4116" s="12">
        <v>0.75</v>
      </c>
      <c r="S4116" s="12">
        <v>0.85</v>
      </c>
      <c r="T4116" s="12">
        <v>0.75</v>
      </c>
      <c r="U4116" s="12">
        <v>0.8</v>
      </c>
      <c r="V4116" s="12">
        <v>294.65091754602969</v>
      </c>
      <c r="W4116" s="12">
        <v>13.07854169430145</v>
      </c>
      <c r="X4116" s="12">
        <v>92.030910027235478</v>
      </c>
      <c r="Y4116" s="12">
        <v>2600</v>
      </c>
      <c r="Z4116" s="12">
        <v>7.5</v>
      </c>
      <c r="AA4116" s="12" t="s">
        <v>1268</v>
      </c>
      <c r="AB4116" s="12"/>
    </row>
    <row r="4117" spans="1:28" x14ac:dyDescent="0.3">
      <c r="A4117" s="12" t="s">
        <v>6054</v>
      </c>
      <c r="B4117" s="12" t="s">
        <v>206</v>
      </c>
      <c r="C4117" s="12" t="s">
        <v>660</v>
      </c>
      <c r="D4117" s="12" t="s">
        <v>738</v>
      </c>
      <c r="E4117" s="12" t="s">
        <v>2978</v>
      </c>
      <c r="F4117" s="12" t="s">
        <v>1861</v>
      </c>
      <c r="G4117" s="12" t="s">
        <v>1861</v>
      </c>
      <c r="H4117" s="12" t="b">
        <v>1</v>
      </c>
      <c r="I4117" s="12" t="b">
        <v>0</v>
      </c>
      <c r="J4117" s="12" t="b">
        <v>1</v>
      </c>
      <c r="K4117" s="12" t="b">
        <v>0</v>
      </c>
      <c r="L4117" s="12">
        <v>492.04899909017621</v>
      </c>
      <c r="M4117" s="12">
        <v>291.1177401389877</v>
      </c>
      <c r="N4117" s="12">
        <v>3000</v>
      </c>
      <c r="O4117" s="12">
        <v>400</v>
      </c>
      <c r="P4117" s="12">
        <v>0.5</v>
      </c>
      <c r="Q4117" s="12">
        <v>0.85</v>
      </c>
      <c r="R4117" s="12">
        <v>0.75</v>
      </c>
      <c r="S4117" s="12">
        <v>0.85</v>
      </c>
      <c r="T4117" s="12">
        <v>0.75</v>
      </c>
      <c r="U4117" s="12">
        <v>0.8</v>
      </c>
      <c r="V4117" s="12">
        <v>291.1177401389877</v>
      </c>
      <c r="W4117" s="12">
        <v>13.28901523399435</v>
      </c>
      <c r="X4117" s="12">
        <v>224.4643492817813</v>
      </c>
      <c r="Y4117" s="12">
        <v>2600</v>
      </c>
      <c r="Z4117" s="12">
        <v>7.5</v>
      </c>
      <c r="AA4117" s="12" t="s">
        <v>1268</v>
      </c>
      <c r="AB4117" s="12"/>
    </row>
    <row r="4118" spans="1:28" x14ac:dyDescent="0.3">
      <c r="A4118" s="12" t="s">
        <v>6055</v>
      </c>
      <c r="B4118" s="12" t="s">
        <v>206</v>
      </c>
      <c r="C4118" s="12" t="s">
        <v>660</v>
      </c>
      <c r="D4118" s="12" t="s">
        <v>738</v>
      </c>
      <c r="E4118" s="12" t="s">
        <v>2978</v>
      </c>
      <c r="F4118" s="12" t="s">
        <v>1861</v>
      </c>
      <c r="G4118" s="12" t="s">
        <v>1861</v>
      </c>
      <c r="H4118" s="12" t="b">
        <v>1</v>
      </c>
      <c r="I4118" s="12" t="b">
        <v>0</v>
      </c>
      <c r="J4118" s="12" t="b">
        <v>1</v>
      </c>
      <c r="K4118" s="12" t="b">
        <v>0</v>
      </c>
      <c r="L4118" s="12">
        <v>443.57547574760179</v>
      </c>
      <c r="M4118" s="12">
        <v>278.20579290335428</v>
      </c>
      <c r="N4118" s="12">
        <v>3000</v>
      </c>
      <c r="O4118" s="12">
        <v>400</v>
      </c>
      <c r="P4118" s="12">
        <v>0.5</v>
      </c>
      <c r="Q4118" s="12">
        <v>0.85</v>
      </c>
      <c r="R4118" s="12">
        <v>0.75</v>
      </c>
      <c r="S4118" s="12">
        <v>0.85</v>
      </c>
      <c r="T4118" s="12">
        <v>0.75</v>
      </c>
      <c r="U4118" s="12">
        <v>0.8</v>
      </c>
      <c r="V4118" s="12">
        <v>278.20579290335428</v>
      </c>
      <c r="W4118" s="12">
        <v>13.26250285739814</v>
      </c>
      <c r="X4118" s="12">
        <v>117.1221255015237</v>
      </c>
      <c r="Y4118" s="12">
        <v>2600</v>
      </c>
      <c r="Z4118" s="12">
        <v>7.5</v>
      </c>
      <c r="AA4118" s="12" t="s">
        <v>1268</v>
      </c>
      <c r="AB4118" s="12"/>
    </row>
    <row r="4119" spans="1:28" x14ac:dyDescent="0.3">
      <c r="A4119" s="12" t="s">
        <v>6056</v>
      </c>
      <c r="B4119" s="12" t="s">
        <v>206</v>
      </c>
      <c r="C4119" s="12" t="s">
        <v>660</v>
      </c>
      <c r="D4119" s="12" t="s">
        <v>738</v>
      </c>
      <c r="E4119" s="12" t="s">
        <v>2978</v>
      </c>
      <c r="F4119" s="12" t="s">
        <v>1861</v>
      </c>
      <c r="G4119" s="12" t="s">
        <v>1861</v>
      </c>
      <c r="H4119" s="12" t="b">
        <v>1</v>
      </c>
      <c r="I4119" s="12" t="b">
        <v>0</v>
      </c>
      <c r="J4119" s="12" t="b">
        <v>1</v>
      </c>
      <c r="K4119" s="12" t="b">
        <v>0</v>
      </c>
      <c r="L4119" s="12">
        <v>463.84533571915171</v>
      </c>
      <c r="M4119" s="12">
        <v>299.8576823408128</v>
      </c>
      <c r="N4119" s="12">
        <v>3000</v>
      </c>
      <c r="O4119" s="12">
        <v>400</v>
      </c>
      <c r="P4119" s="12">
        <v>0.5</v>
      </c>
      <c r="Q4119" s="12">
        <v>0.85</v>
      </c>
      <c r="R4119" s="12">
        <v>0.75</v>
      </c>
      <c r="S4119" s="12">
        <v>0.85</v>
      </c>
      <c r="T4119" s="12">
        <v>0.75</v>
      </c>
      <c r="U4119" s="12">
        <v>0.8</v>
      </c>
      <c r="V4119" s="12">
        <v>299.8576823408128</v>
      </c>
      <c r="W4119" s="12">
        <v>13.27028247771967</v>
      </c>
      <c r="X4119" s="12">
        <v>173.59579034218811</v>
      </c>
      <c r="Y4119" s="12">
        <v>2600</v>
      </c>
      <c r="Z4119" s="12">
        <v>7.5</v>
      </c>
      <c r="AA4119" s="12" t="s">
        <v>1268</v>
      </c>
      <c r="AB4119" s="12"/>
    </row>
    <row r="4120" spans="1:28" x14ac:dyDescent="0.3">
      <c r="A4120" s="12" t="s">
        <v>6057</v>
      </c>
      <c r="B4120" s="12" t="s">
        <v>206</v>
      </c>
      <c r="C4120" s="12" t="s">
        <v>660</v>
      </c>
      <c r="D4120" s="12" t="s">
        <v>738</v>
      </c>
      <c r="E4120" s="12" t="s">
        <v>2978</v>
      </c>
      <c r="F4120" s="12" t="s">
        <v>1861</v>
      </c>
      <c r="G4120" s="12" t="s">
        <v>1861</v>
      </c>
      <c r="H4120" s="12" t="b">
        <v>1</v>
      </c>
      <c r="I4120" s="12" t="b">
        <v>0</v>
      </c>
      <c r="J4120" s="12" t="b">
        <v>1</v>
      </c>
      <c r="K4120" s="12" t="b">
        <v>0</v>
      </c>
      <c r="L4120" s="12">
        <v>468.70475792241001</v>
      </c>
      <c r="M4120" s="12">
        <v>301.7535370295663</v>
      </c>
      <c r="N4120" s="12">
        <v>3000</v>
      </c>
      <c r="O4120" s="12">
        <v>400</v>
      </c>
      <c r="P4120" s="12">
        <v>0.5</v>
      </c>
      <c r="Q4120" s="12">
        <v>0.85</v>
      </c>
      <c r="R4120" s="12">
        <v>0.75</v>
      </c>
      <c r="S4120" s="12">
        <v>0.85</v>
      </c>
      <c r="T4120" s="12">
        <v>0.75</v>
      </c>
      <c r="U4120" s="12">
        <v>0.8</v>
      </c>
      <c r="V4120" s="12">
        <v>301.7535370295663</v>
      </c>
      <c r="W4120" s="12">
        <v>13.152735053950829</v>
      </c>
      <c r="X4120" s="12">
        <v>193.7915511018017</v>
      </c>
      <c r="Y4120" s="12">
        <v>2600</v>
      </c>
      <c r="Z4120" s="12">
        <v>7.5</v>
      </c>
      <c r="AA4120" s="12" t="s">
        <v>1268</v>
      </c>
      <c r="AB4120" s="12"/>
    </row>
    <row r="4121" spans="1:28" x14ac:dyDescent="0.3">
      <c r="A4121" s="12" t="s">
        <v>6058</v>
      </c>
      <c r="B4121" s="12" t="s">
        <v>206</v>
      </c>
      <c r="C4121" s="12" t="s">
        <v>660</v>
      </c>
      <c r="D4121" s="12" t="s">
        <v>738</v>
      </c>
      <c r="E4121" s="12" t="s">
        <v>2978</v>
      </c>
      <c r="F4121" s="12" t="s">
        <v>1861</v>
      </c>
      <c r="G4121" s="12" t="s">
        <v>1861</v>
      </c>
      <c r="H4121" s="12" t="b">
        <v>1</v>
      </c>
      <c r="I4121" s="12" t="b">
        <v>0</v>
      </c>
      <c r="J4121" s="12" t="b">
        <v>1</v>
      </c>
      <c r="K4121" s="12" t="b">
        <v>0</v>
      </c>
      <c r="L4121" s="12">
        <v>507.31641185725522</v>
      </c>
      <c r="M4121" s="12">
        <v>279.16398696138742</v>
      </c>
      <c r="N4121" s="12">
        <v>3000</v>
      </c>
      <c r="O4121" s="12">
        <v>400</v>
      </c>
      <c r="P4121" s="12">
        <v>0.5</v>
      </c>
      <c r="Q4121" s="12">
        <v>0.85</v>
      </c>
      <c r="R4121" s="12">
        <v>0.75</v>
      </c>
      <c r="S4121" s="12">
        <v>0.85</v>
      </c>
      <c r="T4121" s="12">
        <v>0.75</v>
      </c>
      <c r="U4121" s="12">
        <v>0.8</v>
      </c>
      <c r="V4121" s="12">
        <v>279.16398696138742</v>
      </c>
      <c r="W4121" s="12">
        <v>13.43933624376942</v>
      </c>
      <c r="X4121" s="12">
        <v>237.421485079945</v>
      </c>
      <c r="Y4121" s="12">
        <v>2600</v>
      </c>
      <c r="Z4121" s="12">
        <v>7.5</v>
      </c>
      <c r="AA4121" s="12" t="s">
        <v>1268</v>
      </c>
      <c r="AB4121" s="12"/>
    </row>
    <row r="4122" spans="1:28" x14ac:dyDescent="0.3">
      <c r="A4122" s="12" t="s">
        <v>6059</v>
      </c>
      <c r="B4122" s="12" t="s">
        <v>206</v>
      </c>
      <c r="C4122" s="12" t="s">
        <v>660</v>
      </c>
      <c r="D4122" s="12" t="s">
        <v>738</v>
      </c>
      <c r="E4122" s="12" t="s">
        <v>2978</v>
      </c>
      <c r="F4122" s="12" t="s">
        <v>1861</v>
      </c>
      <c r="G4122" s="12" t="s">
        <v>1861</v>
      </c>
      <c r="H4122" s="12" t="b">
        <v>1</v>
      </c>
      <c r="I4122" s="12" t="b">
        <v>0</v>
      </c>
      <c r="J4122" s="12" t="b">
        <v>1</v>
      </c>
      <c r="K4122" s="12" t="b">
        <v>0</v>
      </c>
      <c r="L4122" s="12">
        <v>454.35360018931851</v>
      </c>
      <c r="M4122" s="12">
        <v>303.38437697405101</v>
      </c>
      <c r="N4122" s="12">
        <v>3000</v>
      </c>
      <c r="O4122" s="12">
        <v>400</v>
      </c>
      <c r="P4122" s="12">
        <v>0.5</v>
      </c>
      <c r="Q4122" s="12">
        <v>0.85</v>
      </c>
      <c r="R4122" s="12">
        <v>0.75</v>
      </c>
      <c r="S4122" s="12">
        <v>0.85</v>
      </c>
      <c r="T4122" s="12">
        <v>0.75</v>
      </c>
      <c r="U4122" s="12">
        <v>0.8</v>
      </c>
      <c r="V4122" s="12">
        <v>303.38437697405101</v>
      </c>
      <c r="W4122" s="12">
        <v>13.262306947477819</v>
      </c>
      <c r="X4122" s="12">
        <v>137.9649777282832</v>
      </c>
      <c r="Y4122" s="12">
        <v>2600</v>
      </c>
      <c r="Z4122" s="12">
        <v>7.5</v>
      </c>
      <c r="AA4122" s="12" t="s">
        <v>1268</v>
      </c>
      <c r="AB4122" s="12"/>
    </row>
    <row r="4123" spans="1:28" x14ac:dyDescent="0.3">
      <c r="A4123" s="12" t="s">
        <v>6060</v>
      </c>
      <c r="B4123" s="12" t="s">
        <v>206</v>
      </c>
      <c r="C4123" s="12" t="s">
        <v>660</v>
      </c>
      <c r="D4123" s="12" t="s">
        <v>738</v>
      </c>
      <c r="E4123" s="12" t="s">
        <v>2978</v>
      </c>
      <c r="F4123" s="12" t="s">
        <v>1862</v>
      </c>
      <c r="G4123" s="12" t="s">
        <v>1862</v>
      </c>
      <c r="H4123" s="12" t="b">
        <v>1</v>
      </c>
      <c r="I4123" s="12" t="b">
        <v>0</v>
      </c>
      <c r="J4123" s="12" t="b">
        <v>0</v>
      </c>
      <c r="K4123" s="12" t="b">
        <v>0</v>
      </c>
      <c r="L4123" s="12">
        <v>386.85610185436178</v>
      </c>
      <c r="M4123" s="12">
        <v>294.11677804928422</v>
      </c>
      <c r="N4123" s="12">
        <v>3000</v>
      </c>
      <c r="O4123" s="12">
        <v>400</v>
      </c>
      <c r="P4123" s="12">
        <v>0.5</v>
      </c>
      <c r="Q4123" s="12">
        <v>0.85</v>
      </c>
      <c r="R4123" s="12">
        <v>0.75</v>
      </c>
      <c r="S4123" s="12">
        <v>0.85</v>
      </c>
      <c r="T4123" s="12">
        <v>0.75</v>
      </c>
      <c r="U4123" s="12">
        <v>0.8</v>
      </c>
      <c r="V4123" s="12">
        <v>294.11677804928422</v>
      </c>
      <c r="W4123" s="12">
        <v>-3.3099756008550298</v>
      </c>
      <c r="X4123" s="12">
        <v>-3.5371222147805641</v>
      </c>
      <c r="Y4123" s="12">
        <v>2600</v>
      </c>
      <c r="Z4123" s="12">
        <v>7.5</v>
      </c>
      <c r="AA4123" s="12" t="s">
        <v>1696</v>
      </c>
      <c r="AB4123" s="12"/>
    </row>
    <row r="4124" spans="1:28" x14ac:dyDescent="0.3">
      <c r="A4124" s="12" t="s">
        <v>6061</v>
      </c>
      <c r="B4124" s="12" t="s">
        <v>206</v>
      </c>
      <c r="C4124" s="12" t="s">
        <v>660</v>
      </c>
      <c r="D4124" s="12" t="s">
        <v>738</v>
      </c>
      <c r="E4124" s="12" t="s">
        <v>2978</v>
      </c>
      <c r="F4124" s="12" t="s">
        <v>32</v>
      </c>
      <c r="G4124" s="12" t="s">
        <v>32</v>
      </c>
      <c r="H4124" s="12" t="b">
        <v>1</v>
      </c>
      <c r="I4124" s="12" t="b">
        <v>1</v>
      </c>
      <c r="J4124" s="12" t="b">
        <v>0</v>
      </c>
      <c r="K4124" s="12" t="b">
        <v>0</v>
      </c>
      <c r="L4124" s="12">
        <v>406.88016922955171</v>
      </c>
      <c r="M4124" s="12">
        <v>284.31311198568721</v>
      </c>
      <c r="N4124" s="12">
        <v>3000</v>
      </c>
      <c r="O4124" s="12">
        <v>400</v>
      </c>
      <c r="P4124" s="12">
        <v>0.5</v>
      </c>
      <c r="Q4124" s="12">
        <v>0.85</v>
      </c>
      <c r="R4124" s="12">
        <v>0.75</v>
      </c>
      <c r="S4124" s="12">
        <v>0.85</v>
      </c>
      <c r="T4124" s="12">
        <v>0.75</v>
      </c>
      <c r="U4124" s="12">
        <v>0.8</v>
      </c>
      <c r="V4124" s="12">
        <v>284.31311198568721</v>
      </c>
      <c r="W4124" s="12">
        <v>10.23967267226254</v>
      </c>
      <c r="X4124" s="12">
        <v>38.21076539409637</v>
      </c>
      <c r="Y4124" s="12">
        <v>2600</v>
      </c>
      <c r="Z4124" s="12">
        <v>7.5</v>
      </c>
      <c r="AA4124" s="12"/>
      <c r="AB4124" s="12"/>
    </row>
    <row r="4125" spans="1:28" x14ac:dyDescent="0.3">
      <c r="A4125" s="12" t="s">
        <v>6062</v>
      </c>
      <c r="B4125" s="12" t="s">
        <v>206</v>
      </c>
      <c r="C4125" s="12" t="s">
        <v>660</v>
      </c>
      <c r="D4125" s="12" t="s">
        <v>738</v>
      </c>
      <c r="E4125" s="12" t="s">
        <v>2978</v>
      </c>
      <c r="F4125" s="12" t="s">
        <v>32</v>
      </c>
      <c r="G4125" s="12" t="s">
        <v>32</v>
      </c>
      <c r="H4125" s="12" t="b">
        <v>1</v>
      </c>
      <c r="I4125" s="12" t="b">
        <v>1</v>
      </c>
      <c r="J4125" s="12" t="b">
        <v>0</v>
      </c>
      <c r="K4125" s="12" t="b">
        <v>0</v>
      </c>
      <c r="L4125" s="12">
        <v>397.2277947321104</v>
      </c>
      <c r="M4125" s="12">
        <v>279.85745898754362</v>
      </c>
      <c r="N4125" s="12">
        <v>3000</v>
      </c>
      <c r="O4125" s="12">
        <v>400</v>
      </c>
      <c r="P4125" s="12">
        <v>0.5</v>
      </c>
      <c r="Q4125" s="12">
        <v>0.85</v>
      </c>
      <c r="R4125" s="12">
        <v>0.75</v>
      </c>
      <c r="S4125" s="12">
        <v>0.85</v>
      </c>
      <c r="T4125" s="12">
        <v>0.75</v>
      </c>
      <c r="U4125" s="12">
        <v>0.8</v>
      </c>
      <c r="V4125" s="12">
        <v>279.85745898754362</v>
      </c>
      <c r="W4125" s="12">
        <v>7.19719527885937</v>
      </c>
      <c r="X4125" s="12">
        <v>18.816063965574429</v>
      </c>
      <c r="Y4125" s="12">
        <v>2600</v>
      </c>
      <c r="Z4125" s="12">
        <v>7.5</v>
      </c>
      <c r="AA4125" s="12"/>
      <c r="AB4125" s="12"/>
    </row>
    <row r="4126" spans="1:28" x14ac:dyDescent="0.3">
      <c r="A4126" s="12" t="s">
        <v>6063</v>
      </c>
      <c r="B4126" s="12" t="s">
        <v>206</v>
      </c>
      <c r="C4126" s="12" t="s">
        <v>660</v>
      </c>
      <c r="D4126" s="12" t="s">
        <v>738</v>
      </c>
      <c r="E4126" s="12" t="s">
        <v>2978</v>
      </c>
      <c r="F4126" s="12" t="s">
        <v>32</v>
      </c>
      <c r="G4126" s="12" t="s">
        <v>32</v>
      </c>
      <c r="H4126" s="12" t="b">
        <v>1</v>
      </c>
      <c r="I4126" s="12" t="b">
        <v>1</v>
      </c>
      <c r="J4126" s="12" t="b">
        <v>0</v>
      </c>
      <c r="K4126" s="12" t="b">
        <v>0</v>
      </c>
      <c r="L4126" s="12">
        <v>399.36706913895227</v>
      </c>
      <c r="M4126" s="12">
        <v>285.7384376903907</v>
      </c>
      <c r="N4126" s="12">
        <v>3000</v>
      </c>
      <c r="O4126" s="12">
        <v>400</v>
      </c>
      <c r="P4126" s="12">
        <v>0.5</v>
      </c>
      <c r="Q4126" s="12">
        <v>0.85</v>
      </c>
      <c r="R4126" s="12">
        <v>0.75</v>
      </c>
      <c r="S4126" s="12">
        <v>0.85</v>
      </c>
      <c r="T4126" s="12">
        <v>0.75</v>
      </c>
      <c r="U4126" s="12">
        <v>0.8</v>
      </c>
      <c r="V4126" s="12">
        <v>285.7384376903907</v>
      </c>
      <c r="W4126" s="12">
        <v>8.3078068590560488</v>
      </c>
      <c r="X4126" s="12">
        <v>23.347376088504038</v>
      </c>
      <c r="Y4126" s="12">
        <v>2600</v>
      </c>
      <c r="Z4126" s="12">
        <v>7.5</v>
      </c>
      <c r="AA4126" s="12"/>
      <c r="AB4126" s="12"/>
    </row>
    <row r="4127" spans="1:28" x14ac:dyDescent="0.3">
      <c r="A4127" s="12" t="s">
        <v>6064</v>
      </c>
      <c r="B4127" s="12" t="s">
        <v>206</v>
      </c>
      <c r="C4127" s="12" t="s">
        <v>660</v>
      </c>
      <c r="D4127" s="12" t="s">
        <v>738</v>
      </c>
      <c r="E4127" s="12" t="s">
        <v>2978</v>
      </c>
      <c r="F4127" s="12" t="s">
        <v>1861</v>
      </c>
      <c r="G4127" s="12" t="s">
        <v>1861</v>
      </c>
      <c r="H4127" s="12" t="b">
        <v>1</v>
      </c>
      <c r="I4127" s="12" t="b">
        <v>0</v>
      </c>
      <c r="J4127" s="12" t="b">
        <v>1</v>
      </c>
      <c r="K4127" s="12" t="b">
        <v>0</v>
      </c>
      <c r="L4127" s="12">
        <v>431.10423996098251</v>
      </c>
      <c r="M4127" s="12">
        <v>283.81920327662891</v>
      </c>
      <c r="N4127" s="12">
        <v>3000</v>
      </c>
      <c r="O4127" s="12">
        <v>400</v>
      </c>
      <c r="P4127" s="12">
        <v>0.5</v>
      </c>
      <c r="Q4127" s="12">
        <v>0.85</v>
      </c>
      <c r="R4127" s="12">
        <v>0.75</v>
      </c>
      <c r="S4127" s="12">
        <v>0.85</v>
      </c>
      <c r="T4127" s="12">
        <v>0.75</v>
      </c>
      <c r="U4127" s="12">
        <v>0.8</v>
      </c>
      <c r="V4127" s="12">
        <v>283.81920327662891</v>
      </c>
      <c r="W4127" s="12">
        <v>12.83660446166277</v>
      </c>
      <c r="X4127" s="12">
        <v>86.702916052910638</v>
      </c>
      <c r="Y4127" s="12">
        <v>2600</v>
      </c>
      <c r="Z4127" s="12">
        <v>7.5</v>
      </c>
      <c r="AA4127" s="12" t="s">
        <v>1268</v>
      </c>
      <c r="AB4127" s="12"/>
    </row>
    <row r="4128" spans="1:28" x14ac:dyDescent="0.3">
      <c r="A4128" s="12" t="s">
        <v>6065</v>
      </c>
      <c r="B4128" s="12" t="s">
        <v>206</v>
      </c>
      <c r="C4128" s="12" t="s">
        <v>660</v>
      </c>
      <c r="D4128" s="12" t="s">
        <v>738</v>
      </c>
      <c r="E4128" s="12" t="s">
        <v>2978</v>
      </c>
      <c r="F4128" s="12" t="s">
        <v>832</v>
      </c>
      <c r="G4128" s="12" t="s">
        <v>832</v>
      </c>
      <c r="H4128" s="12" t="b">
        <v>0</v>
      </c>
      <c r="I4128" s="12" t="b">
        <v>0</v>
      </c>
      <c r="J4128" s="12" t="b">
        <v>0</v>
      </c>
      <c r="K4128" s="12" t="b">
        <v>0</v>
      </c>
      <c r="L4128" s="12">
        <v>497.69010346667568</v>
      </c>
      <c r="M4128" s="12">
        <v>288.7483487925129</v>
      </c>
      <c r="N4128" s="12">
        <v>3000</v>
      </c>
      <c r="O4128" s="12">
        <v>400</v>
      </c>
      <c r="P4128" s="12">
        <v>0.5</v>
      </c>
      <c r="Q4128" s="12">
        <v>0.85</v>
      </c>
      <c r="R4128" s="12">
        <v>0.75</v>
      </c>
      <c r="S4128" s="12">
        <v>0.85</v>
      </c>
      <c r="T4128" s="12">
        <v>0.75</v>
      </c>
      <c r="U4128" s="12">
        <v>0.8</v>
      </c>
      <c r="V4128" s="12">
        <v>288.7483487925129</v>
      </c>
      <c r="W4128" s="12"/>
      <c r="X4128" s="12"/>
      <c r="Y4128" s="12">
        <v>2600</v>
      </c>
      <c r="Z4128" s="12">
        <v>7.5</v>
      </c>
      <c r="AA4128" s="12"/>
      <c r="AB4128" s="12"/>
    </row>
    <row r="4129" spans="1:28" x14ac:dyDescent="0.3">
      <c r="A4129" s="12" t="s">
        <v>6066</v>
      </c>
      <c r="B4129" s="12" t="s">
        <v>206</v>
      </c>
      <c r="C4129" s="12" t="s">
        <v>660</v>
      </c>
      <c r="D4129" s="12" t="s">
        <v>738</v>
      </c>
      <c r="E4129" s="12" t="s">
        <v>2978</v>
      </c>
      <c r="F4129" s="12" t="s">
        <v>1861</v>
      </c>
      <c r="G4129" s="12" t="s">
        <v>1861</v>
      </c>
      <c r="H4129" s="12" t="b">
        <v>1</v>
      </c>
      <c r="I4129" s="12" t="b">
        <v>0</v>
      </c>
      <c r="J4129" s="12" t="b">
        <v>1</v>
      </c>
      <c r="K4129" s="12" t="b">
        <v>0</v>
      </c>
      <c r="L4129" s="12">
        <v>504.45949034389741</v>
      </c>
      <c r="M4129" s="12">
        <v>287.92724309313132</v>
      </c>
      <c r="N4129" s="12">
        <v>3000</v>
      </c>
      <c r="O4129" s="12">
        <v>400</v>
      </c>
      <c r="P4129" s="12">
        <v>0.5</v>
      </c>
      <c r="Q4129" s="12">
        <v>0.85</v>
      </c>
      <c r="R4129" s="12">
        <v>0.75</v>
      </c>
      <c r="S4129" s="12">
        <v>0.85</v>
      </c>
      <c r="T4129" s="12">
        <v>0.75</v>
      </c>
      <c r="U4129" s="12">
        <v>0.8</v>
      </c>
      <c r="V4129" s="12">
        <v>287.92724309313132</v>
      </c>
      <c r="W4129" s="12">
        <v>13.329322546847109</v>
      </c>
      <c r="X4129" s="12">
        <v>230.45232792691959</v>
      </c>
      <c r="Y4129" s="12">
        <v>2600</v>
      </c>
      <c r="Z4129" s="12">
        <v>7.5</v>
      </c>
      <c r="AA4129" s="12" t="s">
        <v>1268</v>
      </c>
      <c r="AB4129" s="12"/>
    </row>
    <row r="4130" spans="1:28" x14ac:dyDescent="0.3">
      <c r="A4130" s="12" t="s">
        <v>6067</v>
      </c>
      <c r="B4130" s="12" t="s">
        <v>206</v>
      </c>
      <c r="C4130" s="12" t="s">
        <v>660</v>
      </c>
      <c r="D4130" s="12" t="s">
        <v>738</v>
      </c>
      <c r="E4130" s="12" t="s">
        <v>2978</v>
      </c>
      <c r="F4130" s="12" t="s">
        <v>1861</v>
      </c>
      <c r="G4130" s="12" t="s">
        <v>1861</v>
      </c>
      <c r="H4130" s="12" t="b">
        <v>1</v>
      </c>
      <c r="I4130" s="12" t="b">
        <v>0</v>
      </c>
      <c r="J4130" s="12" t="b">
        <v>0</v>
      </c>
      <c r="K4130" s="12" t="b">
        <v>0</v>
      </c>
      <c r="L4130" s="12">
        <v>422.6088328668493</v>
      </c>
      <c r="M4130" s="12">
        <v>295.82927841938368</v>
      </c>
      <c r="N4130" s="12">
        <v>3000</v>
      </c>
      <c r="O4130" s="12">
        <v>400</v>
      </c>
      <c r="P4130" s="12">
        <v>0.5</v>
      </c>
      <c r="Q4130" s="12">
        <v>0.85</v>
      </c>
      <c r="R4130" s="12">
        <v>0.75</v>
      </c>
      <c r="S4130" s="12">
        <v>0.85</v>
      </c>
      <c r="T4130" s="12">
        <v>0.75</v>
      </c>
      <c r="U4130" s="12">
        <v>0.8</v>
      </c>
      <c r="V4130" s="12">
        <v>295.82927841938368</v>
      </c>
      <c r="W4130" s="12">
        <v>12.46435956477476</v>
      </c>
      <c r="X4130" s="12">
        <v>67.569848994143413</v>
      </c>
      <c r="Y4130" s="12">
        <v>2600</v>
      </c>
      <c r="Z4130" s="12">
        <v>7.5</v>
      </c>
      <c r="AA4130" s="12" t="s">
        <v>1268</v>
      </c>
      <c r="AB4130" s="12"/>
    </row>
    <row r="4131" spans="1:28" x14ac:dyDescent="0.3">
      <c r="A4131" s="12" t="s">
        <v>6068</v>
      </c>
      <c r="B4131" s="12" t="s">
        <v>206</v>
      </c>
      <c r="C4131" s="12" t="s">
        <v>660</v>
      </c>
      <c r="D4131" s="12" t="s">
        <v>738</v>
      </c>
      <c r="E4131" s="12" t="s">
        <v>2978</v>
      </c>
      <c r="F4131" s="12" t="s">
        <v>32</v>
      </c>
      <c r="G4131" s="12" t="s">
        <v>32</v>
      </c>
      <c r="H4131" s="12" t="b">
        <v>1</v>
      </c>
      <c r="I4131" s="12" t="b">
        <v>1</v>
      </c>
      <c r="J4131" s="12" t="b">
        <v>0</v>
      </c>
      <c r="K4131" s="12" t="b">
        <v>0</v>
      </c>
      <c r="L4131" s="12">
        <v>390.90048043346798</v>
      </c>
      <c r="M4131" s="12">
        <v>292.93565308043583</v>
      </c>
      <c r="N4131" s="12">
        <v>3000</v>
      </c>
      <c r="O4131" s="12">
        <v>400</v>
      </c>
      <c r="P4131" s="12">
        <v>0.5</v>
      </c>
      <c r="Q4131" s="12">
        <v>0.85</v>
      </c>
      <c r="R4131" s="12">
        <v>0.75</v>
      </c>
      <c r="S4131" s="12">
        <v>0.85</v>
      </c>
      <c r="T4131" s="12">
        <v>0.75</v>
      </c>
      <c r="U4131" s="12">
        <v>0.8</v>
      </c>
      <c r="V4131" s="12">
        <v>292.93565308043583</v>
      </c>
      <c r="W4131" s="12">
        <v>3.4588605245906701</v>
      </c>
      <c r="X4131" s="12">
        <v>5.6894970442784416</v>
      </c>
      <c r="Y4131" s="12">
        <v>2600</v>
      </c>
      <c r="Z4131" s="12">
        <v>7.5</v>
      </c>
      <c r="AA4131" s="12"/>
      <c r="AB4131" s="12"/>
    </row>
    <row r="4132" spans="1:28" x14ac:dyDescent="0.3">
      <c r="A4132" s="12" t="s">
        <v>6069</v>
      </c>
      <c r="B4132" s="12" t="s">
        <v>206</v>
      </c>
      <c r="C4132" s="12" t="s">
        <v>660</v>
      </c>
      <c r="D4132" s="12" t="s">
        <v>738</v>
      </c>
      <c r="E4132" s="12" t="s">
        <v>2978</v>
      </c>
      <c r="F4132" s="12" t="s">
        <v>1861</v>
      </c>
      <c r="G4132" s="12" t="s">
        <v>1861</v>
      </c>
      <c r="H4132" s="12" t="b">
        <v>1</v>
      </c>
      <c r="I4132" s="12" t="b">
        <v>0</v>
      </c>
      <c r="J4132" s="12" t="b">
        <v>1</v>
      </c>
      <c r="K4132" s="12" t="b">
        <v>0</v>
      </c>
      <c r="L4132" s="12">
        <v>486.4233726973992</v>
      </c>
      <c r="M4132" s="12">
        <v>296.54575667677631</v>
      </c>
      <c r="N4132" s="12">
        <v>3000</v>
      </c>
      <c r="O4132" s="12">
        <v>400</v>
      </c>
      <c r="P4132" s="12">
        <v>0.5</v>
      </c>
      <c r="Q4132" s="12">
        <v>0.85</v>
      </c>
      <c r="R4132" s="12">
        <v>0.75</v>
      </c>
      <c r="S4132" s="12">
        <v>0.85</v>
      </c>
      <c r="T4132" s="12">
        <v>0.75</v>
      </c>
      <c r="U4132" s="12">
        <v>0.8</v>
      </c>
      <c r="V4132" s="12">
        <v>296.54575667677631</v>
      </c>
      <c r="W4132" s="12">
        <v>13.193017194637269</v>
      </c>
      <c r="X4132" s="12">
        <v>218.51032093721889</v>
      </c>
      <c r="Y4132" s="12">
        <v>2600</v>
      </c>
      <c r="Z4132" s="12">
        <v>7.5</v>
      </c>
      <c r="AA4132" s="12" t="s">
        <v>1268</v>
      </c>
      <c r="AB4132" s="12"/>
    </row>
    <row r="4133" spans="1:28" x14ac:dyDescent="0.3">
      <c r="A4133" s="12" t="s">
        <v>6070</v>
      </c>
      <c r="B4133" s="12" t="s">
        <v>206</v>
      </c>
      <c r="C4133" s="12" t="s">
        <v>660</v>
      </c>
      <c r="D4133" s="12" t="s">
        <v>738</v>
      </c>
      <c r="E4133" s="12" t="s">
        <v>2978</v>
      </c>
      <c r="F4133" s="12" t="s">
        <v>1861</v>
      </c>
      <c r="G4133" s="12" t="s">
        <v>1861</v>
      </c>
      <c r="H4133" s="12" t="b">
        <v>1</v>
      </c>
      <c r="I4133" s="12" t="b">
        <v>0</v>
      </c>
      <c r="J4133" s="12" t="b">
        <v>1</v>
      </c>
      <c r="K4133" s="12" t="b">
        <v>0</v>
      </c>
      <c r="L4133" s="12">
        <v>476.29188694560878</v>
      </c>
      <c r="M4133" s="12">
        <v>289.413242244652</v>
      </c>
      <c r="N4133" s="12">
        <v>3000</v>
      </c>
      <c r="O4133" s="12">
        <v>400</v>
      </c>
      <c r="P4133" s="12">
        <v>0.5</v>
      </c>
      <c r="Q4133" s="12">
        <v>0.85</v>
      </c>
      <c r="R4133" s="12">
        <v>0.75</v>
      </c>
      <c r="S4133" s="12">
        <v>0.85</v>
      </c>
      <c r="T4133" s="12">
        <v>0.75</v>
      </c>
      <c r="U4133" s="12">
        <v>0.8</v>
      </c>
      <c r="V4133" s="12">
        <v>289.413242244652</v>
      </c>
      <c r="W4133" s="12">
        <v>13.3321228098022</v>
      </c>
      <c r="X4133" s="12">
        <v>221.0098941826659</v>
      </c>
      <c r="Y4133" s="12">
        <v>2600</v>
      </c>
      <c r="Z4133" s="12">
        <v>7.5</v>
      </c>
      <c r="AA4133" s="12" t="s">
        <v>1268</v>
      </c>
      <c r="AB4133" s="12"/>
    </row>
    <row r="4134" spans="1:28" x14ac:dyDescent="0.3">
      <c r="A4134" s="12" t="s">
        <v>6071</v>
      </c>
      <c r="B4134" s="12" t="s">
        <v>206</v>
      </c>
      <c r="C4134" s="12" t="s">
        <v>660</v>
      </c>
      <c r="D4134" s="12" t="s">
        <v>738</v>
      </c>
      <c r="E4134" s="12" t="s">
        <v>2978</v>
      </c>
      <c r="F4134" s="12" t="s">
        <v>1861</v>
      </c>
      <c r="G4134" s="12" t="s">
        <v>1861</v>
      </c>
      <c r="H4134" s="12" t="b">
        <v>1</v>
      </c>
      <c r="I4134" s="12" t="b">
        <v>0</v>
      </c>
      <c r="J4134" s="12" t="b">
        <v>0</v>
      </c>
      <c r="K4134" s="12" t="b">
        <v>0</v>
      </c>
      <c r="L4134" s="12">
        <v>421.85824980293057</v>
      </c>
      <c r="M4134" s="12">
        <v>300.31223535120063</v>
      </c>
      <c r="N4134" s="12">
        <v>3000</v>
      </c>
      <c r="O4134" s="12">
        <v>400</v>
      </c>
      <c r="P4134" s="12">
        <v>0.5</v>
      </c>
      <c r="Q4134" s="12">
        <v>0.85</v>
      </c>
      <c r="R4134" s="12">
        <v>0.75</v>
      </c>
      <c r="S4134" s="12">
        <v>0.85</v>
      </c>
      <c r="T4134" s="12">
        <v>0.75</v>
      </c>
      <c r="U4134" s="12">
        <v>0.8</v>
      </c>
      <c r="V4134" s="12">
        <v>300.31223535120063</v>
      </c>
      <c r="W4134" s="12">
        <v>12.40431647245126</v>
      </c>
      <c r="X4134" s="12">
        <v>65.097568785040295</v>
      </c>
      <c r="Y4134" s="12">
        <v>2600</v>
      </c>
      <c r="Z4134" s="12">
        <v>7.5</v>
      </c>
      <c r="AA4134" s="12" t="s">
        <v>1268</v>
      </c>
      <c r="AB4134" s="12"/>
    </row>
    <row r="4135" spans="1:28" x14ac:dyDescent="0.3">
      <c r="A4135" s="12" t="s">
        <v>6072</v>
      </c>
      <c r="B4135" s="12" t="s">
        <v>206</v>
      </c>
      <c r="C4135" s="12" t="s">
        <v>660</v>
      </c>
      <c r="D4135" s="12" t="s">
        <v>738</v>
      </c>
      <c r="E4135" s="12" t="s">
        <v>2978</v>
      </c>
      <c r="F4135" s="12" t="s">
        <v>1861</v>
      </c>
      <c r="G4135" s="12" t="s">
        <v>1861</v>
      </c>
      <c r="H4135" s="12" t="b">
        <v>1</v>
      </c>
      <c r="I4135" s="12" t="b">
        <v>0</v>
      </c>
      <c r="J4135" s="12" t="b">
        <v>1</v>
      </c>
      <c r="K4135" s="12" t="b">
        <v>0</v>
      </c>
      <c r="L4135" s="12">
        <v>447.34621662867301</v>
      </c>
      <c r="M4135" s="12">
        <v>298.75944015087879</v>
      </c>
      <c r="N4135" s="12">
        <v>3000</v>
      </c>
      <c r="O4135" s="12">
        <v>400</v>
      </c>
      <c r="P4135" s="12">
        <v>0.5</v>
      </c>
      <c r="Q4135" s="12">
        <v>0.85</v>
      </c>
      <c r="R4135" s="12">
        <v>0.75</v>
      </c>
      <c r="S4135" s="12">
        <v>0.85</v>
      </c>
      <c r="T4135" s="12">
        <v>0.75</v>
      </c>
      <c r="U4135" s="12">
        <v>0.8</v>
      </c>
      <c r="V4135" s="12">
        <v>298.75944015087879</v>
      </c>
      <c r="W4135" s="12">
        <v>13.32319720269607</v>
      </c>
      <c r="X4135" s="12">
        <v>120.66581407843709</v>
      </c>
      <c r="Y4135" s="12">
        <v>2600</v>
      </c>
      <c r="Z4135" s="12">
        <v>7.5</v>
      </c>
      <c r="AA4135" s="12" t="s">
        <v>1268</v>
      </c>
      <c r="AB4135" s="12"/>
    </row>
    <row r="4136" spans="1:28" x14ac:dyDescent="0.3">
      <c r="A4136" s="12" t="s">
        <v>6073</v>
      </c>
      <c r="B4136" s="12" t="s">
        <v>206</v>
      </c>
      <c r="C4136" s="12" t="s">
        <v>660</v>
      </c>
      <c r="D4136" s="12" t="s">
        <v>738</v>
      </c>
      <c r="E4136" s="12" t="s">
        <v>2978</v>
      </c>
      <c r="F4136" s="12" t="s">
        <v>1861</v>
      </c>
      <c r="G4136" s="12" t="s">
        <v>1861</v>
      </c>
      <c r="H4136" s="12" t="b">
        <v>1</v>
      </c>
      <c r="I4136" s="12" t="b">
        <v>0</v>
      </c>
      <c r="J4136" s="12" t="b">
        <v>1</v>
      </c>
      <c r="K4136" s="12" t="b">
        <v>0</v>
      </c>
      <c r="L4136" s="12">
        <v>438.19507347169508</v>
      </c>
      <c r="M4136" s="12">
        <v>286.85895713909599</v>
      </c>
      <c r="N4136" s="12">
        <v>3000</v>
      </c>
      <c r="O4136" s="12">
        <v>400</v>
      </c>
      <c r="P4136" s="12">
        <v>0.5</v>
      </c>
      <c r="Q4136" s="12">
        <v>0.85</v>
      </c>
      <c r="R4136" s="12">
        <v>0.75</v>
      </c>
      <c r="S4136" s="12">
        <v>0.85</v>
      </c>
      <c r="T4136" s="12">
        <v>0.75</v>
      </c>
      <c r="U4136" s="12">
        <v>0.8</v>
      </c>
      <c r="V4136" s="12">
        <v>286.85895713909599</v>
      </c>
      <c r="W4136" s="12">
        <v>13.18203517839293</v>
      </c>
      <c r="X4136" s="12">
        <v>102.0906671033113</v>
      </c>
      <c r="Y4136" s="12">
        <v>2600</v>
      </c>
      <c r="Z4136" s="12">
        <v>7.5</v>
      </c>
      <c r="AA4136" s="12" t="s">
        <v>1268</v>
      </c>
      <c r="AB4136" s="12"/>
    </row>
    <row r="4137" spans="1:28" x14ac:dyDescent="0.3">
      <c r="A4137" s="12" t="s">
        <v>6074</v>
      </c>
      <c r="B4137" s="12" t="s">
        <v>206</v>
      </c>
      <c r="C4137" s="12" t="s">
        <v>660</v>
      </c>
      <c r="D4137" s="12" t="s">
        <v>738</v>
      </c>
      <c r="E4137" s="12" t="s">
        <v>2978</v>
      </c>
      <c r="F4137" s="12" t="s">
        <v>1861</v>
      </c>
      <c r="G4137" s="12" t="s">
        <v>1861</v>
      </c>
      <c r="H4137" s="12" t="b">
        <v>1</v>
      </c>
      <c r="I4137" s="12" t="b">
        <v>0</v>
      </c>
      <c r="J4137" s="12" t="b">
        <v>1</v>
      </c>
      <c r="K4137" s="12" t="b">
        <v>0</v>
      </c>
      <c r="L4137" s="12">
        <v>482.4969425962064</v>
      </c>
      <c r="M4137" s="12">
        <v>296.79093917258541</v>
      </c>
      <c r="N4137" s="12">
        <v>3000</v>
      </c>
      <c r="O4137" s="12">
        <v>400</v>
      </c>
      <c r="P4137" s="12">
        <v>0.5</v>
      </c>
      <c r="Q4137" s="12">
        <v>0.85</v>
      </c>
      <c r="R4137" s="12">
        <v>0.75</v>
      </c>
      <c r="S4137" s="12">
        <v>0.85</v>
      </c>
      <c r="T4137" s="12">
        <v>0.75</v>
      </c>
      <c r="U4137" s="12">
        <v>0.8</v>
      </c>
      <c r="V4137" s="12">
        <v>296.79093917258541</v>
      </c>
      <c r="W4137" s="12">
        <v>13.19202892666781</v>
      </c>
      <c r="X4137" s="12">
        <v>217.15927510870179</v>
      </c>
      <c r="Y4137" s="12">
        <v>2600</v>
      </c>
      <c r="Z4137" s="12">
        <v>7.5</v>
      </c>
      <c r="AA4137" s="12" t="s">
        <v>1268</v>
      </c>
      <c r="AB4137" s="12"/>
    </row>
    <row r="4138" spans="1:28" x14ac:dyDescent="0.3">
      <c r="A4138" s="12" t="s">
        <v>6075</v>
      </c>
      <c r="B4138" s="12" t="s">
        <v>206</v>
      </c>
      <c r="C4138" s="12" t="s">
        <v>660</v>
      </c>
      <c r="D4138" s="12" t="s">
        <v>738</v>
      </c>
      <c r="E4138" s="12" t="s">
        <v>2978</v>
      </c>
      <c r="F4138" s="12" t="s">
        <v>1861</v>
      </c>
      <c r="G4138" s="12" t="s">
        <v>1861</v>
      </c>
      <c r="H4138" s="12" t="b">
        <v>1</v>
      </c>
      <c r="I4138" s="12" t="b">
        <v>0</v>
      </c>
      <c r="J4138" s="12" t="b">
        <v>1</v>
      </c>
      <c r="K4138" s="12" t="b">
        <v>0</v>
      </c>
      <c r="L4138" s="12">
        <v>455.15702489603802</v>
      </c>
      <c r="M4138" s="12">
        <v>297.72139746591051</v>
      </c>
      <c r="N4138" s="12">
        <v>3000</v>
      </c>
      <c r="O4138" s="12">
        <v>400</v>
      </c>
      <c r="P4138" s="12">
        <v>0.5</v>
      </c>
      <c r="Q4138" s="12">
        <v>0.85</v>
      </c>
      <c r="R4138" s="12">
        <v>0.75</v>
      </c>
      <c r="S4138" s="12">
        <v>0.85</v>
      </c>
      <c r="T4138" s="12">
        <v>0.75</v>
      </c>
      <c r="U4138" s="12">
        <v>0.8</v>
      </c>
      <c r="V4138" s="12">
        <v>297.72139746591051</v>
      </c>
      <c r="W4138" s="12">
        <v>13.373006350718351</v>
      </c>
      <c r="X4138" s="12">
        <v>143.706990574934</v>
      </c>
      <c r="Y4138" s="12">
        <v>2600</v>
      </c>
      <c r="Z4138" s="12">
        <v>7.5</v>
      </c>
      <c r="AA4138" s="12" t="s">
        <v>1268</v>
      </c>
      <c r="AB4138" s="12"/>
    </row>
    <row r="4139" spans="1:28" x14ac:dyDescent="0.3">
      <c r="A4139" s="12" t="s">
        <v>6076</v>
      </c>
      <c r="B4139" s="12" t="s">
        <v>206</v>
      </c>
      <c r="C4139" s="12" t="s">
        <v>660</v>
      </c>
      <c r="D4139" s="12" t="s">
        <v>738</v>
      </c>
      <c r="E4139" s="12" t="s">
        <v>2978</v>
      </c>
      <c r="F4139" s="12" t="s">
        <v>32</v>
      </c>
      <c r="G4139" s="12" t="s">
        <v>32</v>
      </c>
      <c r="H4139" s="12" t="b">
        <v>1</v>
      </c>
      <c r="I4139" s="12" t="b">
        <v>1</v>
      </c>
      <c r="J4139" s="12" t="b">
        <v>0</v>
      </c>
      <c r="K4139" s="12" t="b">
        <v>0</v>
      </c>
      <c r="L4139" s="12">
        <v>409.2543787655303</v>
      </c>
      <c r="M4139" s="12">
        <v>282.70538637802758</v>
      </c>
      <c r="N4139" s="12">
        <v>3000</v>
      </c>
      <c r="O4139" s="12">
        <v>400</v>
      </c>
      <c r="P4139" s="12">
        <v>0.5</v>
      </c>
      <c r="Q4139" s="12">
        <v>0.85</v>
      </c>
      <c r="R4139" s="12">
        <v>0.75</v>
      </c>
      <c r="S4139" s="12">
        <v>0.85</v>
      </c>
      <c r="T4139" s="12">
        <v>0.75</v>
      </c>
      <c r="U4139" s="12">
        <v>0.8</v>
      </c>
      <c r="V4139" s="12">
        <v>282.70538637802758</v>
      </c>
      <c r="W4139" s="12">
        <v>10.60548360254214</v>
      </c>
      <c r="X4139" s="12">
        <v>42.795943939123958</v>
      </c>
      <c r="Y4139" s="12">
        <v>2600</v>
      </c>
      <c r="Z4139" s="12">
        <v>7.5</v>
      </c>
      <c r="AA4139" s="12"/>
      <c r="AB4139" s="12"/>
    </row>
    <row r="4140" spans="1:28" x14ac:dyDescent="0.3">
      <c r="A4140" s="12" t="s">
        <v>6077</v>
      </c>
      <c r="B4140" s="12" t="s">
        <v>206</v>
      </c>
      <c r="C4140" s="12" t="s">
        <v>660</v>
      </c>
      <c r="D4140" s="12" t="s">
        <v>738</v>
      </c>
      <c r="E4140" s="12" t="s">
        <v>2978</v>
      </c>
      <c r="F4140" s="12" t="s">
        <v>1861</v>
      </c>
      <c r="G4140" s="12" t="s">
        <v>1861</v>
      </c>
      <c r="H4140" s="12" t="b">
        <v>1</v>
      </c>
      <c r="I4140" s="12" t="b">
        <v>0</v>
      </c>
      <c r="J4140" s="12" t="b">
        <v>1</v>
      </c>
      <c r="K4140" s="12" t="b">
        <v>0</v>
      </c>
      <c r="L4140" s="12">
        <v>519.84195531004866</v>
      </c>
      <c r="M4140" s="12">
        <v>286.24097905725449</v>
      </c>
      <c r="N4140" s="12">
        <v>3000</v>
      </c>
      <c r="O4140" s="12">
        <v>400</v>
      </c>
      <c r="P4140" s="12">
        <v>0.5</v>
      </c>
      <c r="Q4140" s="12">
        <v>0.85</v>
      </c>
      <c r="R4140" s="12">
        <v>0.75</v>
      </c>
      <c r="S4140" s="12">
        <v>0.85</v>
      </c>
      <c r="T4140" s="12">
        <v>0.75</v>
      </c>
      <c r="U4140" s="12">
        <v>0.8</v>
      </c>
      <c r="V4140" s="12">
        <v>286.24097905725449</v>
      </c>
      <c r="W4140" s="12">
        <v>13.34152029172605</v>
      </c>
      <c r="X4140" s="12">
        <v>236.0231186270212</v>
      </c>
      <c r="Y4140" s="12">
        <v>2600</v>
      </c>
      <c r="Z4140" s="12">
        <v>7.5</v>
      </c>
      <c r="AA4140" s="12" t="s">
        <v>1981</v>
      </c>
      <c r="AB4140" s="12"/>
    </row>
    <row r="4141" spans="1:28" x14ac:dyDescent="0.3">
      <c r="A4141" s="12" t="s">
        <v>6078</v>
      </c>
      <c r="B4141" s="12" t="s">
        <v>206</v>
      </c>
      <c r="C4141" s="12" t="s">
        <v>660</v>
      </c>
      <c r="D4141" s="12" t="s">
        <v>738</v>
      </c>
      <c r="E4141" s="12" t="s">
        <v>2978</v>
      </c>
      <c r="F4141" s="12" t="s">
        <v>1861</v>
      </c>
      <c r="G4141" s="12" t="s">
        <v>1861</v>
      </c>
      <c r="H4141" s="12" t="b">
        <v>1</v>
      </c>
      <c r="I4141" s="12" t="b">
        <v>0</v>
      </c>
      <c r="J4141" s="12" t="b">
        <v>1</v>
      </c>
      <c r="K4141" s="12" t="b">
        <v>0</v>
      </c>
      <c r="L4141" s="12">
        <v>511.79844042403352</v>
      </c>
      <c r="M4141" s="12">
        <v>280.80987072431662</v>
      </c>
      <c r="N4141" s="12">
        <v>3000</v>
      </c>
      <c r="O4141" s="12">
        <v>400</v>
      </c>
      <c r="P4141" s="12">
        <v>0.5</v>
      </c>
      <c r="Q4141" s="12">
        <v>0.85</v>
      </c>
      <c r="R4141" s="12">
        <v>0.75</v>
      </c>
      <c r="S4141" s="12">
        <v>0.85</v>
      </c>
      <c r="T4141" s="12">
        <v>0.75</v>
      </c>
      <c r="U4141" s="12">
        <v>0.8</v>
      </c>
      <c r="V4141" s="12">
        <v>280.80987072431662</v>
      </c>
      <c r="W4141" s="12">
        <v>13.418184901359041</v>
      </c>
      <c r="X4141" s="12">
        <v>237.6211777813655</v>
      </c>
      <c r="Y4141" s="12">
        <v>2600</v>
      </c>
      <c r="Z4141" s="12">
        <v>7.5</v>
      </c>
      <c r="AA4141" s="12" t="s">
        <v>1268</v>
      </c>
      <c r="AB4141" s="12"/>
    </row>
    <row r="4142" spans="1:28" x14ac:dyDescent="0.3">
      <c r="A4142" s="12" t="s">
        <v>6079</v>
      </c>
      <c r="B4142" s="12" t="s">
        <v>206</v>
      </c>
      <c r="C4142" s="12" t="s">
        <v>660</v>
      </c>
      <c r="D4142" s="12" t="s">
        <v>738</v>
      </c>
      <c r="E4142" s="12" t="s">
        <v>2978</v>
      </c>
      <c r="F4142" s="12" t="s">
        <v>1861</v>
      </c>
      <c r="G4142" s="12" t="s">
        <v>1861</v>
      </c>
      <c r="H4142" s="12" t="b">
        <v>1</v>
      </c>
      <c r="I4142" s="12" t="b">
        <v>0</v>
      </c>
      <c r="J4142" s="12" t="b">
        <v>1</v>
      </c>
      <c r="K4142" s="12" t="b">
        <v>0</v>
      </c>
      <c r="L4142" s="12">
        <v>491.77747658693067</v>
      </c>
      <c r="M4142" s="12">
        <v>282.06366562351701</v>
      </c>
      <c r="N4142" s="12">
        <v>3000</v>
      </c>
      <c r="O4142" s="12">
        <v>400</v>
      </c>
      <c r="P4142" s="12">
        <v>0.5</v>
      </c>
      <c r="Q4142" s="12">
        <v>0.85</v>
      </c>
      <c r="R4142" s="12">
        <v>0.75</v>
      </c>
      <c r="S4142" s="12">
        <v>0.85</v>
      </c>
      <c r="T4142" s="12">
        <v>0.75</v>
      </c>
      <c r="U4142" s="12">
        <v>0.8</v>
      </c>
      <c r="V4142" s="12">
        <v>282.06366562351701</v>
      </c>
      <c r="W4142" s="12">
        <v>13.418998281611399</v>
      </c>
      <c r="X4142" s="12">
        <v>230.89596561204181</v>
      </c>
      <c r="Y4142" s="12">
        <v>2600</v>
      </c>
      <c r="Z4142" s="12">
        <v>7.5</v>
      </c>
      <c r="AA4142" s="12" t="s">
        <v>1268</v>
      </c>
      <c r="AB4142" s="12"/>
    </row>
    <row r="4143" spans="1:28" x14ac:dyDescent="0.3">
      <c r="A4143" s="12" t="s">
        <v>6080</v>
      </c>
      <c r="B4143" s="12" t="s">
        <v>206</v>
      </c>
      <c r="C4143" s="12" t="s">
        <v>660</v>
      </c>
      <c r="D4143" s="12" t="s">
        <v>738</v>
      </c>
      <c r="E4143" s="12" t="s">
        <v>2978</v>
      </c>
      <c r="F4143" s="12" t="s">
        <v>1861</v>
      </c>
      <c r="G4143" s="12" t="s">
        <v>1861</v>
      </c>
      <c r="H4143" s="12" t="b">
        <v>1</v>
      </c>
      <c r="I4143" s="12" t="b">
        <v>0</v>
      </c>
      <c r="J4143" s="12" t="b">
        <v>0</v>
      </c>
      <c r="K4143" s="12" t="b">
        <v>0</v>
      </c>
      <c r="L4143" s="12">
        <v>417.07007118325549</v>
      </c>
      <c r="M4143" s="12">
        <v>302.03806312500222</v>
      </c>
      <c r="N4143" s="12">
        <v>3000</v>
      </c>
      <c r="O4143" s="12">
        <v>400</v>
      </c>
      <c r="P4143" s="12">
        <v>0.5</v>
      </c>
      <c r="Q4143" s="12">
        <v>0.85</v>
      </c>
      <c r="R4143" s="12">
        <v>0.75</v>
      </c>
      <c r="S4143" s="12">
        <v>0.85</v>
      </c>
      <c r="T4143" s="12">
        <v>0.75</v>
      </c>
      <c r="U4143" s="12">
        <v>0.8</v>
      </c>
      <c r="V4143" s="12">
        <v>302.03806312500222</v>
      </c>
      <c r="W4143" s="12">
        <v>12.00451351168333</v>
      </c>
      <c r="X4143" s="12">
        <v>55.79564865564673</v>
      </c>
      <c r="Y4143" s="12">
        <v>2600</v>
      </c>
      <c r="Z4143" s="12">
        <v>7.5</v>
      </c>
      <c r="AA4143" s="12" t="s">
        <v>1268</v>
      </c>
      <c r="AB4143" s="12"/>
    </row>
    <row r="4144" spans="1:28" x14ac:dyDescent="0.3">
      <c r="A4144" s="12" t="s">
        <v>6081</v>
      </c>
      <c r="B4144" s="12" t="s">
        <v>206</v>
      </c>
      <c r="C4144" s="12" t="s">
        <v>663</v>
      </c>
      <c r="D4144" s="12" t="s">
        <v>6082</v>
      </c>
      <c r="E4144" s="12" t="s">
        <v>2978</v>
      </c>
      <c r="F4144" s="12" t="s">
        <v>32</v>
      </c>
      <c r="G4144" s="12" t="s">
        <v>32</v>
      </c>
      <c r="H4144" s="12" t="b">
        <v>1</v>
      </c>
      <c r="I4144" s="12" t="b">
        <v>1</v>
      </c>
      <c r="J4144" s="12" t="b">
        <v>0</v>
      </c>
      <c r="K4144" s="12" t="b">
        <v>0</v>
      </c>
      <c r="L4144" s="12">
        <v>413.89383699508647</v>
      </c>
      <c r="M4144" s="12">
        <v>300.032917</v>
      </c>
      <c r="N4144" s="12">
        <v>3000</v>
      </c>
      <c r="O4144" s="12">
        <v>801.50933570239204</v>
      </c>
      <c r="P4144" s="12">
        <v>0.5</v>
      </c>
      <c r="Q4144" s="12">
        <v>0.85</v>
      </c>
      <c r="R4144" s="12">
        <v>0.75</v>
      </c>
      <c r="S4144" s="12">
        <v>0.85</v>
      </c>
      <c r="T4144" s="12">
        <v>0.75</v>
      </c>
      <c r="U4144" s="12">
        <v>0.8</v>
      </c>
      <c r="V4144" s="12">
        <v>300.032917</v>
      </c>
      <c r="W4144" s="12">
        <v>8.1377226826243003</v>
      </c>
      <c r="X4144" s="12">
        <v>35.060100924634703</v>
      </c>
      <c r="Y4144" s="12">
        <v>2198.490664297608</v>
      </c>
      <c r="Z4144" s="12">
        <v>3.7429383119673698</v>
      </c>
      <c r="AA4144" s="12"/>
      <c r="AB4144" s="12"/>
    </row>
    <row r="4145" spans="1:28" x14ac:dyDescent="0.3">
      <c r="A4145" s="12" t="s">
        <v>6083</v>
      </c>
      <c r="B4145" s="12" t="s">
        <v>206</v>
      </c>
      <c r="C4145" s="12" t="s">
        <v>663</v>
      </c>
      <c r="D4145" s="12" t="s">
        <v>6082</v>
      </c>
      <c r="E4145" s="12" t="s">
        <v>2978</v>
      </c>
      <c r="F4145" s="12" t="s">
        <v>1861</v>
      </c>
      <c r="G4145" s="12" t="s">
        <v>1861</v>
      </c>
      <c r="H4145" s="12" t="b">
        <v>1</v>
      </c>
      <c r="I4145" s="12" t="b">
        <v>0</v>
      </c>
      <c r="J4145" s="12" t="b">
        <v>1</v>
      </c>
      <c r="K4145" s="12" t="b">
        <v>0</v>
      </c>
      <c r="L4145" s="12">
        <v>497.44399854123287</v>
      </c>
      <c r="M4145" s="12">
        <v>300.032917</v>
      </c>
      <c r="N4145" s="12">
        <v>3000</v>
      </c>
      <c r="O4145" s="12">
        <v>1173.2279967909919</v>
      </c>
      <c r="P4145" s="12">
        <v>0.5</v>
      </c>
      <c r="Q4145" s="12">
        <v>0.85</v>
      </c>
      <c r="R4145" s="12">
        <v>0.75</v>
      </c>
      <c r="S4145" s="12">
        <v>0.85</v>
      </c>
      <c r="T4145" s="12">
        <v>0.75</v>
      </c>
      <c r="U4145" s="12">
        <v>0.8</v>
      </c>
      <c r="V4145" s="12">
        <v>300.032917</v>
      </c>
      <c r="W4145" s="12">
        <v>6.9843748593324104</v>
      </c>
      <c r="X4145" s="12">
        <v>116.87162672978501</v>
      </c>
      <c r="Y4145" s="12">
        <v>1826.7720032090081</v>
      </c>
      <c r="Z4145" s="12">
        <v>2.5570477419611422</v>
      </c>
      <c r="AA4145" s="12" t="s">
        <v>1268</v>
      </c>
      <c r="AB4145" s="12"/>
    </row>
    <row r="4146" spans="1:28" x14ac:dyDescent="0.3">
      <c r="A4146" s="12" t="s">
        <v>6084</v>
      </c>
      <c r="B4146" s="12" t="s">
        <v>206</v>
      </c>
      <c r="C4146" s="12" t="s">
        <v>663</v>
      </c>
      <c r="D4146" s="12" t="s">
        <v>6082</v>
      </c>
      <c r="E4146" s="12" t="s">
        <v>2978</v>
      </c>
      <c r="F4146" s="12" t="s">
        <v>1863</v>
      </c>
      <c r="G4146" s="12" t="s">
        <v>832</v>
      </c>
      <c r="H4146" s="12" t="b">
        <v>0</v>
      </c>
      <c r="I4146" s="12" t="b">
        <v>0</v>
      </c>
      <c r="J4146" s="12" t="b">
        <v>0</v>
      </c>
      <c r="K4146" s="12" t="b">
        <v>0</v>
      </c>
      <c r="L4146" s="12">
        <v>381.61984503591469</v>
      </c>
      <c r="M4146" s="12">
        <v>300.032917</v>
      </c>
      <c r="N4146" s="12">
        <v>3000</v>
      </c>
      <c r="O4146" s="12">
        <v>1920.010247429293</v>
      </c>
      <c r="P4146" s="12">
        <v>0.5</v>
      </c>
      <c r="Q4146" s="12">
        <v>0.85</v>
      </c>
      <c r="R4146" s="12">
        <v>0.75</v>
      </c>
      <c r="S4146" s="12">
        <v>0.85</v>
      </c>
      <c r="T4146" s="12">
        <v>0.75</v>
      </c>
      <c r="U4146" s="12">
        <v>0.8</v>
      </c>
      <c r="V4146" s="12">
        <v>300.032917</v>
      </c>
      <c r="W4146" s="12">
        <v>-9.4671713847064396</v>
      </c>
      <c r="X4146" s="12">
        <v>-6.5621669311214488</v>
      </c>
      <c r="Y4146" s="12">
        <v>1079.989752570707</v>
      </c>
      <c r="Z4146" s="12">
        <v>1.562491660665202</v>
      </c>
      <c r="AA4146" s="12" t="s">
        <v>2018</v>
      </c>
      <c r="AB4146" s="12"/>
    </row>
    <row r="4147" spans="1:28" x14ac:dyDescent="0.3">
      <c r="A4147" s="12" t="s">
        <v>6085</v>
      </c>
      <c r="B4147" s="12" t="s">
        <v>206</v>
      </c>
      <c r="C4147" s="12" t="s">
        <v>663</v>
      </c>
      <c r="D4147" s="12" t="s">
        <v>6082</v>
      </c>
      <c r="E4147" s="12" t="s">
        <v>2978</v>
      </c>
      <c r="F4147" s="12" t="s">
        <v>1861</v>
      </c>
      <c r="G4147" s="12" t="s">
        <v>1861</v>
      </c>
      <c r="H4147" s="12" t="b">
        <v>1</v>
      </c>
      <c r="I4147" s="12" t="b">
        <v>0</v>
      </c>
      <c r="J4147" s="12" t="b">
        <v>1</v>
      </c>
      <c r="K4147" s="12" t="b">
        <v>0</v>
      </c>
      <c r="L4147" s="12">
        <v>450.3494469470607</v>
      </c>
      <c r="M4147" s="12">
        <v>300.032917</v>
      </c>
      <c r="N4147" s="12">
        <v>3000</v>
      </c>
      <c r="O4147" s="12">
        <v>390.71492961695321</v>
      </c>
      <c r="P4147" s="12">
        <v>0.5</v>
      </c>
      <c r="Q4147" s="12">
        <v>0.85</v>
      </c>
      <c r="R4147" s="12">
        <v>0.75</v>
      </c>
      <c r="S4147" s="12">
        <v>0.85</v>
      </c>
      <c r="T4147" s="12">
        <v>0.75</v>
      </c>
      <c r="U4147" s="12">
        <v>0.8</v>
      </c>
      <c r="V4147" s="12">
        <v>300.032917</v>
      </c>
      <c r="W4147" s="12">
        <v>13.43290151030871</v>
      </c>
      <c r="X4147" s="12">
        <v>129.20782564630559</v>
      </c>
      <c r="Y4147" s="12">
        <v>2609.2850703830468</v>
      </c>
      <c r="Z4147" s="12">
        <v>7.6782323187422659</v>
      </c>
      <c r="AA4147" s="12" t="s">
        <v>1268</v>
      </c>
      <c r="AB4147" s="12"/>
    </row>
    <row r="4148" spans="1:28" x14ac:dyDescent="0.3">
      <c r="A4148" s="12" t="s">
        <v>6086</v>
      </c>
      <c r="B4148" s="12" t="s">
        <v>206</v>
      </c>
      <c r="C4148" s="12" t="s">
        <v>663</v>
      </c>
      <c r="D4148" s="12" t="s">
        <v>6082</v>
      </c>
      <c r="E4148" s="12" t="s">
        <v>2978</v>
      </c>
      <c r="F4148" s="12" t="s">
        <v>1861</v>
      </c>
      <c r="G4148" s="12" t="s">
        <v>1861</v>
      </c>
      <c r="H4148" s="12" t="b">
        <v>1</v>
      </c>
      <c r="I4148" s="12" t="b">
        <v>0</v>
      </c>
      <c r="J4148" s="12" t="b">
        <v>0</v>
      </c>
      <c r="K4148" s="12" t="b">
        <v>0</v>
      </c>
      <c r="L4148" s="12">
        <v>426.4233676950571</v>
      </c>
      <c r="M4148" s="12">
        <v>300.032917</v>
      </c>
      <c r="N4148" s="12">
        <v>3000</v>
      </c>
      <c r="O4148" s="12">
        <v>500.801256009008</v>
      </c>
      <c r="P4148" s="12">
        <v>0.5</v>
      </c>
      <c r="Q4148" s="12">
        <v>0.85</v>
      </c>
      <c r="R4148" s="12">
        <v>0.75</v>
      </c>
      <c r="S4148" s="12">
        <v>0.85</v>
      </c>
      <c r="T4148" s="12">
        <v>0.75</v>
      </c>
      <c r="U4148" s="12">
        <v>0.8</v>
      </c>
      <c r="V4148" s="12">
        <v>300.032917</v>
      </c>
      <c r="W4148" s="12">
        <v>11.66218561598461</v>
      </c>
      <c r="X4148" s="12">
        <v>67.918559367447969</v>
      </c>
      <c r="Y4148" s="12">
        <v>2499.1987439909922</v>
      </c>
      <c r="Z4148" s="12">
        <v>5.9904003115080817</v>
      </c>
      <c r="AA4148" s="12" t="s">
        <v>1268</v>
      </c>
      <c r="AB4148" s="12"/>
    </row>
    <row r="4149" spans="1:28" x14ac:dyDescent="0.3">
      <c r="A4149" s="12" t="s">
        <v>6087</v>
      </c>
      <c r="B4149" s="12" t="s">
        <v>206</v>
      </c>
      <c r="C4149" s="12" t="s">
        <v>663</v>
      </c>
      <c r="D4149" s="12" t="s">
        <v>6082</v>
      </c>
      <c r="E4149" s="12" t="s">
        <v>2978</v>
      </c>
      <c r="F4149" s="12" t="s">
        <v>1861</v>
      </c>
      <c r="G4149" s="12" t="s">
        <v>1861</v>
      </c>
      <c r="H4149" s="12" t="b">
        <v>1</v>
      </c>
      <c r="I4149" s="12" t="b">
        <v>0</v>
      </c>
      <c r="J4149" s="12" t="b">
        <v>0</v>
      </c>
      <c r="K4149" s="12" t="b">
        <v>0</v>
      </c>
      <c r="L4149" s="12">
        <v>396.94188334038222</v>
      </c>
      <c r="M4149" s="12">
        <v>300.032917</v>
      </c>
      <c r="N4149" s="12">
        <v>3000</v>
      </c>
      <c r="O4149" s="12">
        <v>333.58644668693711</v>
      </c>
      <c r="P4149" s="12">
        <v>0.5</v>
      </c>
      <c r="Q4149" s="12">
        <v>0.85</v>
      </c>
      <c r="R4149" s="12">
        <v>0.75</v>
      </c>
      <c r="S4149" s="12">
        <v>0.85</v>
      </c>
      <c r="T4149" s="12">
        <v>0.75</v>
      </c>
      <c r="U4149" s="12">
        <v>0.8</v>
      </c>
      <c r="V4149" s="12">
        <v>300.032917</v>
      </c>
      <c r="W4149" s="12">
        <v>8.0714196776469009</v>
      </c>
      <c r="X4149" s="12">
        <v>18.464833086396471</v>
      </c>
      <c r="Y4149" s="12">
        <v>2666.4135533130629</v>
      </c>
      <c r="Z4149" s="12">
        <v>8.9931711248911395</v>
      </c>
      <c r="AA4149" s="12" t="s">
        <v>1268</v>
      </c>
      <c r="AB4149" s="12"/>
    </row>
    <row r="4150" spans="1:28" x14ac:dyDescent="0.3">
      <c r="A4150" s="12" t="s">
        <v>6088</v>
      </c>
      <c r="B4150" s="12" t="s">
        <v>206</v>
      </c>
      <c r="C4150" s="12" t="s">
        <v>663</v>
      </c>
      <c r="D4150" s="12" t="s">
        <v>6082</v>
      </c>
      <c r="E4150" s="12" t="s">
        <v>2978</v>
      </c>
      <c r="F4150" s="12" t="s">
        <v>1861</v>
      </c>
      <c r="G4150" s="12" t="s">
        <v>1861</v>
      </c>
      <c r="H4150" s="12" t="b">
        <v>1</v>
      </c>
      <c r="I4150" s="12" t="b">
        <v>0</v>
      </c>
      <c r="J4150" s="12" t="b">
        <v>1</v>
      </c>
      <c r="K4150" s="12" t="b">
        <v>0</v>
      </c>
      <c r="L4150" s="12">
        <v>501.99302253014412</v>
      </c>
      <c r="M4150" s="12">
        <v>300.032917</v>
      </c>
      <c r="N4150" s="12">
        <v>3000</v>
      </c>
      <c r="O4150" s="12">
        <v>1421.3964324499971</v>
      </c>
      <c r="P4150" s="12">
        <v>0.5</v>
      </c>
      <c r="Q4150" s="12">
        <v>0.85</v>
      </c>
      <c r="R4150" s="12">
        <v>0.75</v>
      </c>
      <c r="S4150" s="12">
        <v>0.85</v>
      </c>
      <c r="T4150" s="12">
        <v>0.75</v>
      </c>
      <c r="U4150" s="12">
        <v>0.8</v>
      </c>
      <c r="V4150" s="12">
        <v>300.032917</v>
      </c>
      <c r="W4150" s="12">
        <v>5.69410810581312</v>
      </c>
      <c r="X4150" s="12">
        <v>95.815919096562638</v>
      </c>
      <c r="Y4150" s="12">
        <v>1578.6035675500029</v>
      </c>
      <c r="Z4150" s="12">
        <v>2.1106004852066751</v>
      </c>
      <c r="AA4150" s="12" t="s">
        <v>1268</v>
      </c>
      <c r="AB4150" s="12"/>
    </row>
    <row r="4151" spans="1:28" x14ac:dyDescent="0.3">
      <c r="A4151" s="12" t="s">
        <v>6089</v>
      </c>
      <c r="B4151" s="12" t="s">
        <v>206</v>
      </c>
      <c r="C4151" s="12" t="s">
        <v>663</v>
      </c>
      <c r="D4151" s="12" t="s">
        <v>6082</v>
      </c>
      <c r="E4151" s="12" t="s">
        <v>2978</v>
      </c>
      <c r="F4151" s="12" t="s">
        <v>1861</v>
      </c>
      <c r="G4151" s="12" t="s">
        <v>1861</v>
      </c>
      <c r="H4151" s="12" t="b">
        <v>1</v>
      </c>
      <c r="I4151" s="12" t="b">
        <v>0</v>
      </c>
      <c r="J4151" s="12" t="b">
        <v>1</v>
      </c>
      <c r="K4151" s="12" t="b">
        <v>0</v>
      </c>
      <c r="L4151" s="12">
        <v>479.14649203304731</v>
      </c>
      <c r="M4151" s="12">
        <v>300.032917</v>
      </c>
      <c r="N4151" s="12">
        <v>3000</v>
      </c>
      <c r="O4151" s="12">
        <v>1083.3317354138169</v>
      </c>
      <c r="P4151" s="12">
        <v>0.5</v>
      </c>
      <c r="Q4151" s="12">
        <v>0.85</v>
      </c>
      <c r="R4151" s="12">
        <v>0.75</v>
      </c>
      <c r="S4151" s="12">
        <v>0.85</v>
      </c>
      <c r="T4151" s="12">
        <v>0.75</v>
      </c>
      <c r="U4151" s="12">
        <v>0.8</v>
      </c>
      <c r="V4151" s="12">
        <v>300.032917</v>
      </c>
      <c r="W4151" s="12">
        <v>7.5245986327700294</v>
      </c>
      <c r="X4151" s="12">
        <v>122.7223151239271</v>
      </c>
      <c r="Y4151" s="12">
        <v>1916.6682645861831</v>
      </c>
      <c r="Z4151" s="12">
        <v>2.7692348538594631</v>
      </c>
      <c r="AA4151" s="12" t="s">
        <v>1268</v>
      </c>
      <c r="AB4151" s="12"/>
    </row>
    <row r="4152" spans="1:28" x14ac:dyDescent="0.3">
      <c r="A4152" s="12" t="s">
        <v>6090</v>
      </c>
      <c r="B4152" s="12" t="s">
        <v>206</v>
      </c>
      <c r="C4152" s="12" t="s">
        <v>663</v>
      </c>
      <c r="D4152" s="12" t="s">
        <v>6082</v>
      </c>
      <c r="E4152" s="12" t="s">
        <v>2978</v>
      </c>
      <c r="F4152" s="12" t="s">
        <v>1861</v>
      </c>
      <c r="G4152" s="12" t="s">
        <v>1861</v>
      </c>
      <c r="H4152" s="12" t="b">
        <v>1</v>
      </c>
      <c r="I4152" s="12" t="b">
        <v>0</v>
      </c>
      <c r="J4152" s="12" t="b">
        <v>1</v>
      </c>
      <c r="K4152" s="12" t="b">
        <v>0</v>
      </c>
      <c r="L4152" s="12">
        <v>506.60844066239213</v>
      </c>
      <c r="M4152" s="12">
        <v>300.032917</v>
      </c>
      <c r="N4152" s="12">
        <v>3000</v>
      </c>
      <c r="O4152" s="12">
        <v>934.29569138347904</v>
      </c>
      <c r="P4152" s="12">
        <v>0.5</v>
      </c>
      <c r="Q4152" s="12">
        <v>0.85</v>
      </c>
      <c r="R4152" s="12">
        <v>0.75</v>
      </c>
      <c r="S4152" s="12">
        <v>0.85</v>
      </c>
      <c r="T4152" s="12">
        <v>0.75</v>
      </c>
      <c r="U4152" s="12">
        <v>0.8</v>
      </c>
      <c r="V4152" s="12">
        <v>300.032917</v>
      </c>
      <c r="W4152" s="12">
        <v>8.4133803658948807</v>
      </c>
      <c r="X4152" s="12">
        <v>142.52714710075989</v>
      </c>
      <c r="Y4152" s="12">
        <v>2065.7043086165208</v>
      </c>
      <c r="Z4152" s="12">
        <v>3.2109748847901498</v>
      </c>
      <c r="AA4152" s="12" t="s">
        <v>1268</v>
      </c>
      <c r="AB4152" s="12"/>
    </row>
    <row r="4153" spans="1:28" x14ac:dyDescent="0.3">
      <c r="A4153" s="12" t="s">
        <v>6091</v>
      </c>
      <c r="B4153" s="12" t="s">
        <v>206</v>
      </c>
      <c r="C4153" s="12" t="s">
        <v>663</v>
      </c>
      <c r="D4153" s="12" t="s">
        <v>6082</v>
      </c>
      <c r="E4153" s="12" t="s">
        <v>2978</v>
      </c>
      <c r="F4153" s="12" t="s">
        <v>32</v>
      </c>
      <c r="G4153" s="12" t="s">
        <v>32</v>
      </c>
      <c r="H4153" s="12" t="b">
        <v>1</v>
      </c>
      <c r="I4153" s="12" t="b">
        <v>1</v>
      </c>
      <c r="J4153" s="12" t="b">
        <v>0</v>
      </c>
      <c r="K4153" s="12" t="b">
        <v>0</v>
      </c>
      <c r="L4153" s="12">
        <v>400.05289944673018</v>
      </c>
      <c r="M4153" s="12">
        <v>300.032917</v>
      </c>
      <c r="N4153" s="12">
        <v>3000</v>
      </c>
      <c r="O4153" s="12">
        <v>1659.698122145435</v>
      </c>
      <c r="P4153" s="12">
        <v>0.5</v>
      </c>
      <c r="Q4153" s="12">
        <v>0.85</v>
      </c>
      <c r="R4153" s="12">
        <v>0.75</v>
      </c>
      <c r="S4153" s="12">
        <v>0.85</v>
      </c>
      <c r="T4153" s="12">
        <v>0.75</v>
      </c>
      <c r="U4153" s="12">
        <v>0.8</v>
      </c>
      <c r="V4153" s="12">
        <v>300.032917</v>
      </c>
      <c r="W4153" s="12">
        <v>2.6618036169883199</v>
      </c>
      <c r="X4153" s="12">
        <v>7.1996850172014462</v>
      </c>
      <c r="Y4153" s="12">
        <v>1340.301877854565</v>
      </c>
      <c r="Z4153" s="12">
        <v>1.8075576274810761</v>
      </c>
      <c r="AA4153" s="12"/>
      <c r="AB4153" s="12"/>
    </row>
    <row r="4154" spans="1:28" x14ac:dyDescent="0.3">
      <c r="A4154" s="12" t="s">
        <v>6092</v>
      </c>
      <c r="B4154" s="12" t="s">
        <v>206</v>
      </c>
      <c r="C4154" s="12" t="s">
        <v>663</v>
      </c>
      <c r="D4154" s="12" t="s">
        <v>6082</v>
      </c>
      <c r="E4154" s="12" t="s">
        <v>2978</v>
      </c>
      <c r="F4154" s="12" t="s">
        <v>1861</v>
      </c>
      <c r="G4154" s="12" t="s">
        <v>1861</v>
      </c>
      <c r="H4154" s="12" t="b">
        <v>1</v>
      </c>
      <c r="I4154" s="12" t="b">
        <v>0</v>
      </c>
      <c r="J4154" s="12" t="b">
        <v>1</v>
      </c>
      <c r="K4154" s="12" t="b">
        <v>0</v>
      </c>
      <c r="L4154" s="12">
        <v>455.64702439793388</v>
      </c>
      <c r="M4154" s="12">
        <v>300.032917</v>
      </c>
      <c r="N4154" s="12">
        <v>3000</v>
      </c>
      <c r="O4154" s="12">
        <v>1435.9553578011969</v>
      </c>
      <c r="P4154" s="12">
        <v>0.5</v>
      </c>
      <c r="Q4154" s="12">
        <v>0.85</v>
      </c>
      <c r="R4154" s="12">
        <v>0.75</v>
      </c>
      <c r="S4154" s="12">
        <v>0.85</v>
      </c>
      <c r="T4154" s="12">
        <v>0.75</v>
      </c>
      <c r="U4154" s="12">
        <v>0.8</v>
      </c>
      <c r="V4154" s="12">
        <v>300.032917</v>
      </c>
      <c r="W4154" s="12">
        <v>5.7349576474519104</v>
      </c>
      <c r="X4154" s="12">
        <v>61.863710884167858</v>
      </c>
      <c r="Y4154" s="12">
        <v>1564.0446421988031</v>
      </c>
      <c r="Z4154" s="12">
        <v>2.0892014390988738</v>
      </c>
      <c r="AA4154" s="12" t="s">
        <v>1268</v>
      </c>
      <c r="AB4154" s="12"/>
    </row>
    <row r="4155" spans="1:28" x14ac:dyDescent="0.3">
      <c r="A4155" s="12" t="s">
        <v>6093</v>
      </c>
      <c r="B4155" s="12" t="s">
        <v>206</v>
      </c>
      <c r="C4155" s="12" t="s">
        <v>663</v>
      </c>
      <c r="D4155" s="12" t="s">
        <v>6082</v>
      </c>
      <c r="E4155" s="12" t="s">
        <v>2978</v>
      </c>
      <c r="F4155" s="12" t="s">
        <v>1861</v>
      </c>
      <c r="G4155" s="12" t="s">
        <v>1861</v>
      </c>
      <c r="H4155" s="12" t="b">
        <v>1</v>
      </c>
      <c r="I4155" s="12" t="b">
        <v>0</v>
      </c>
      <c r="J4155" s="12" t="b">
        <v>1</v>
      </c>
      <c r="K4155" s="12" t="b">
        <v>0</v>
      </c>
      <c r="L4155" s="12">
        <v>484.23868124896808</v>
      </c>
      <c r="M4155" s="12">
        <v>300.032917</v>
      </c>
      <c r="N4155" s="12">
        <v>3000</v>
      </c>
      <c r="O4155" s="12">
        <v>1099.966423481563</v>
      </c>
      <c r="P4155" s="12">
        <v>0.5</v>
      </c>
      <c r="Q4155" s="12">
        <v>0.85</v>
      </c>
      <c r="R4155" s="12">
        <v>0.75</v>
      </c>
      <c r="S4155" s="12">
        <v>0.85</v>
      </c>
      <c r="T4155" s="12">
        <v>0.75</v>
      </c>
      <c r="U4155" s="12">
        <v>0.8</v>
      </c>
      <c r="V4155" s="12">
        <v>300.032917</v>
      </c>
      <c r="W4155" s="12">
        <v>7.4197798495270808</v>
      </c>
      <c r="X4155" s="12">
        <v>121.90918253248</v>
      </c>
      <c r="Y4155" s="12">
        <v>1900.033576518437</v>
      </c>
      <c r="Z4155" s="12">
        <v>2.7273559773802361</v>
      </c>
      <c r="AA4155" s="12" t="s">
        <v>1268</v>
      </c>
      <c r="AB4155" s="12"/>
    </row>
    <row r="4156" spans="1:28" x14ac:dyDescent="0.3">
      <c r="A4156" s="12" t="s">
        <v>6094</v>
      </c>
      <c r="B4156" s="12" t="s">
        <v>206</v>
      </c>
      <c r="C4156" s="12" t="s">
        <v>663</v>
      </c>
      <c r="D4156" s="12" t="s">
        <v>6082</v>
      </c>
      <c r="E4156" s="12" t="s">
        <v>2978</v>
      </c>
      <c r="F4156" s="12" t="s">
        <v>1861</v>
      </c>
      <c r="G4156" s="12" t="s">
        <v>1861</v>
      </c>
      <c r="H4156" s="12" t="b">
        <v>1</v>
      </c>
      <c r="I4156" s="12" t="b">
        <v>0</v>
      </c>
      <c r="J4156" s="12" t="b">
        <v>1</v>
      </c>
      <c r="K4156" s="12" t="b">
        <v>0</v>
      </c>
      <c r="L4156" s="12">
        <v>488.91511609343729</v>
      </c>
      <c r="M4156" s="12">
        <v>300.032917</v>
      </c>
      <c r="N4156" s="12">
        <v>3000</v>
      </c>
      <c r="O4156" s="12">
        <v>1221.414050101934</v>
      </c>
      <c r="P4156" s="12">
        <v>0.5</v>
      </c>
      <c r="Q4156" s="12">
        <v>0.85</v>
      </c>
      <c r="R4156" s="12">
        <v>0.75</v>
      </c>
      <c r="S4156" s="12">
        <v>0.85</v>
      </c>
      <c r="T4156" s="12">
        <v>0.75</v>
      </c>
      <c r="U4156" s="12">
        <v>0.8</v>
      </c>
      <c r="V4156" s="12">
        <v>300.032917</v>
      </c>
      <c r="W4156" s="12">
        <v>6.7317012918092907</v>
      </c>
      <c r="X4156" s="12">
        <v>111.3196461994943</v>
      </c>
      <c r="Y4156" s="12">
        <v>1778.585949898066</v>
      </c>
      <c r="Z4156" s="12">
        <v>2.4561695517991078</v>
      </c>
      <c r="AA4156" s="12" t="s">
        <v>1268</v>
      </c>
      <c r="AB4156" s="12"/>
    </row>
    <row r="4157" spans="1:28" x14ac:dyDescent="0.3">
      <c r="A4157" s="12" t="s">
        <v>6095</v>
      </c>
      <c r="B4157" s="12" t="s">
        <v>206</v>
      </c>
      <c r="C4157" s="12" t="s">
        <v>663</v>
      </c>
      <c r="D4157" s="12" t="s">
        <v>6082</v>
      </c>
      <c r="E4157" s="12" t="s">
        <v>2978</v>
      </c>
      <c r="F4157" s="12" t="s">
        <v>1861</v>
      </c>
      <c r="G4157" s="12" t="s">
        <v>1861</v>
      </c>
      <c r="H4157" s="12" t="b">
        <v>1</v>
      </c>
      <c r="I4157" s="12" t="b">
        <v>0</v>
      </c>
      <c r="J4157" s="12" t="b">
        <v>1</v>
      </c>
      <c r="K4157" s="12" t="b">
        <v>0</v>
      </c>
      <c r="L4157" s="12">
        <v>459.98568761426083</v>
      </c>
      <c r="M4157" s="12">
        <v>300.032917</v>
      </c>
      <c r="N4157" s="12">
        <v>3000</v>
      </c>
      <c r="O4157" s="12">
        <v>1673.7257177285351</v>
      </c>
      <c r="P4157" s="12">
        <v>0.5</v>
      </c>
      <c r="Q4157" s="12">
        <v>0.85</v>
      </c>
      <c r="R4157" s="12">
        <v>0.75</v>
      </c>
      <c r="S4157" s="12">
        <v>0.85</v>
      </c>
      <c r="T4157" s="12">
        <v>0.75</v>
      </c>
      <c r="U4157" s="12">
        <v>0.8</v>
      </c>
      <c r="V4157" s="12">
        <v>300.032917</v>
      </c>
      <c r="W4157" s="12">
        <v>4.62857708774155</v>
      </c>
      <c r="X4157" s="12">
        <v>55.101691132272848</v>
      </c>
      <c r="Y4157" s="12">
        <v>1326.2742822714649</v>
      </c>
      <c r="Z4157" s="12">
        <v>1.7924083786388809</v>
      </c>
      <c r="AA4157" s="12" t="s">
        <v>1268</v>
      </c>
      <c r="AB4157" s="12"/>
    </row>
    <row r="4158" spans="1:28" x14ac:dyDescent="0.3">
      <c r="A4158" s="12" t="s">
        <v>6096</v>
      </c>
      <c r="B4158" s="12" t="s">
        <v>206</v>
      </c>
      <c r="C4158" s="12" t="s">
        <v>663</v>
      </c>
      <c r="D4158" s="12" t="s">
        <v>6082</v>
      </c>
      <c r="E4158" s="12" t="s">
        <v>2978</v>
      </c>
      <c r="F4158" s="12" t="s">
        <v>32</v>
      </c>
      <c r="G4158" s="12" t="s">
        <v>32</v>
      </c>
      <c r="H4158" s="12" t="b">
        <v>1</v>
      </c>
      <c r="I4158" s="12" t="b">
        <v>0</v>
      </c>
      <c r="J4158" s="12" t="b">
        <v>1</v>
      </c>
      <c r="K4158" s="12" t="b">
        <v>0</v>
      </c>
      <c r="L4158" s="12">
        <v>444.41836332428932</v>
      </c>
      <c r="M4158" s="12">
        <v>300.032917</v>
      </c>
      <c r="N4158" s="12">
        <v>3000</v>
      </c>
      <c r="O4158" s="12">
        <v>1269.881171969826</v>
      </c>
      <c r="P4158" s="12">
        <v>0.5</v>
      </c>
      <c r="Q4158" s="12">
        <v>0.85</v>
      </c>
      <c r="R4158" s="12">
        <v>0.75</v>
      </c>
      <c r="S4158" s="12">
        <v>0.85</v>
      </c>
      <c r="T4158" s="12">
        <v>0.75</v>
      </c>
      <c r="U4158" s="12">
        <v>0.8</v>
      </c>
      <c r="V4158" s="12">
        <v>300.032917</v>
      </c>
      <c r="W4158" s="12">
        <v>6.4484192528653699</v>
      </c>
      <c r="X4158" s="12">
        <v>54.631607258540562</v>
      </c>
      <c r="Y4158" s="12">
        <v>1730.118828030174</v>
      </c>
      <c r="Z4158" s="12">
        <v>2.362425765669423</v>
      </c>
      <c r="AA4158" s="12"/>
      <c r="AB4158" s="12"/>
    </row>
    <row r="4159" spans="1:28" x14ac:dyDescent="0.3">
      <c r="A4159" s="12" t="s">
        <v>6097</v>
      </c>
      <c r="B4159" s="12" t="s">
        <v>206</v>
      </c>
      <c r="C4159" s="12" t="s">
        <v>663</v>
      </c>
      <c r="D4159" s="12" t="s">
        <v>6082</v>
      </c>
      <c r="E4159" s="12" t="s">
        <v>2978</v>
      </c>
      <c r="F4159" s="12" t="s">
        <v>1861</v>
      </c>
      <c r="G4159" s="12" t="s">
        <v>1861</v>
      </c>
      <c r="H4159" s="12" t="b">
        <v>1</v>
      </c>
      <c r="I4159" s="12" t="b">
        <v>0</v>
      </c>
      <c r="J4159" s="12" t="b">
        <v>1</v>
      </c>
      <c r="K4159" s="12" t="b">
        <v>0</v>
      </c>
      <c r="L4159" s="12">
        <v>511.7636181699425</v>
      </c>
      <c r="M4159" s="12">
        <v>300.032917</v>
      </c>
      <c r="N4159" s="12">
        <v>3000</v>
      </c>
      <c r="O4159" s="12">
        <v>1541.7851087582919</v>
      </c>
      <c r="P4159" s="12">
        <v>0.5</v>
      </c>
      <c r="Q4159" s="12">
        <v>0.85</v>
      </c>
      <c r="R4159" s="12">
        <v>0.75</v>
      </c>
      <c r="S4159" s="12">
        <v>0.85</v>
      </c>
      <c r="T4159" s="12">
        <v>0.75</v>
      </c>
      <c r="U4159" s="12">
        <v>0.8</v>
      </c>
      <c r="V4159" s="12">
        <v>300.032917</v>
      </c>
      <c r="W4159" s="12">
        <v>5.1183434224010496</v>
      </c>
      <c r="X4159" s="12">
        <v>87.206760866550184</v>
      </c>
      <c r="Y4159" s="12">
        <v>1458.2148912417081</v>
      </c>
      <c r="Z4159" s="12">
        <v>1.9457964556527021</v>
      </c>
      <c r="AA4159" s="12" t="s">
        <v>1268</v>
      </c>
      <c r="AB4159" s="12"/>
    </row>
    <row r="4160" spans="1:28" x14ac:dyDescent="0.3">
      <c r="A4160" s="12" t="s">
        <v>6098</v>
      </c>
      <c r="B4160" s="12" t="s">
        <v>206</v>
      </c>
      <c r="C4160" s="12" t="s">
        <v>663</v>
      </c>
      <c r="D4160" s="12" t="s">
        <v>6082</v>
      </c>
      <c r="E4160" s="12" t="s">
        <v>2978</v>
      </c>
      <c r="F4160" s="12" t="s">
        <v>1861</v>
      </c>
      <c r="G4160" s="12" t="s">
        <v>1861</v>
      </c>
      <c r="H4160" s="12" t="b">
        <v>1</v>
      </c>
      <c r="I4160" s="12" t="b">
        <v>0</v>
      </c>
      <c r="J4160" s="12" t="b">
        <v>1</v>
      </c>
      <c r="K4160" s="12" t="b">
        <v>0</v>
      </c>
      <c r="L4160" s="12">
        <v>433.55682824271292</v>
      </c>
      <c r="M4160" s="12">
        <v>300.032917</v>
      </c>
      <c r="N4160" s="12">
        <v>3000</v>
      </c>
      <c r="O4160" s="12">
        <v>717.23524261074022</v>
      </c>
      <c r="P4160" s="12">
        <v>0.5</v>
      </c>
      <c r="Q4160" s="12">
        <v>0.85</v>
      </c>
      <c r="R4160" s="12">
        <v>0.75</v>
      </c>
      <c r="S4160" s="12">
        <v>0.85</v>
      </c>
      <c r="T4160" s="12">
        <v>0.75</v>
      </c>
      <c r="U4160" s="12">
        <v>0.8</v>
      </c>
      <c r="V4160" s="12">
        <v>300.032917</v>
      </c>
      <c r="W4160" s="12">
        <v>9.9886509558626102</v>
      </c>
      <c r="X4160" s="12">
        <v>67.720381871447827</v>
      </c>
      <c r="Y4160" s="12">
        <v>2282.76475738926</v>
      </c>
      <c r="Z4160" s="12">
        <v>4.1827280950110364</v>
      </c>
      <c r="AA4160" s="12" t="s">
        <v>1268</v>
      </c>
      <c r="AB4160" s="12"/>
    </row>
    <row r="4161" spans="1:28" x14ac:dyDescent="0.3">
      <c r="A4161" s="12" t="s">
        <v>6099</v>
      </c>
      <c r="B4161" s="12" t="s">
        <v>206</v>
      </c>
      <c r="C4161" s="12" t="s">
        <v>663</v>
      </c>
      <c r="D4161" s="12" t="s">
        <v>6082</v>
      </c>
      <c r="E4161" s="12" t="s">
        <v>2978</v>
      </c>
      <c r="F4161" s="12" t="s">
        <v>32</v>
      </c>
      <c r="G4161" s="12" t="s">
        <v>32</v>
      </c>
      <c r="H4161" s="12" t="b">
        <v>1</v>
      </c>
      <c r="I4161" s="12" t="b">
        <v>1</v>
      </c>
      <c r="J4161" s="12" t="b">
        <v>0</v>
      </c>
      <c r="K4161" s="12" t="b">
        <v>0</v>
      </c>
      <c r="L4161" s="12">
        <v>417.4299271364909</v>
      </c>
      <c r="M4161" s="12">
        <v>300.032917</v>
      </c>
      <c r="N4161" s="12">
        <v>3000</v>
      </c>
      <c r="O4161" s="12">
        <v>1020.616023891988</v>
      </c>
      <c r="P4161" s="12">
        <v>0.5</v>
      </c>
      <c r="Q4161" s="12">
        <v>0.85</v>
      </c>
      <c r="R4161" s="12">
        <v>0.75</v>
      </c>
      <c r="S4161" s="12">
        <v>0.85</v>
      </c>
      <c r="T4161" s="12">
        <v>0.75</v>
      </c>
      <c r="U4161" s="12">
        <v>0.8</v>
      </c>
      <c r="V4161" s="12">
        <v>300.032917</v>
      </c>
      <c r="W4161" s="12">
        <v>6.9330499458197004</v>
      </c>
      <c r="X4161" s="12">
        <v>32.686191576839761</v>
      </c>
      <c r="Y4161" s="12">
        <v>1979.3839761080119</v>
      </c>
      <c r="Z4161" s="12">
        <v>2.9394012339330962</v>
      </c>
      <c r="AA4161" s="12"/>
      <c r="AB4161" s="12"/>
    </row>
    <row r="4162" spans="1:28" x14ac:dyDescent="0.3">
      <c r="A4162" s="12" t="s">
        <v>6100</v>
      </c>
      <c r="B4162" s="12" t="s">
        <v>206</v>
      </c>
      <c r="C4162" s="12" t="s">
        <v>663</v>
      </c>
      <c r="D4162" s="12" t="s">
        <v>6082</v>
      </c>
      <c r="E4162" s="12" t="s">
        <v>2978</v>
      </c>
      <c r="F4162" s="12" t="s">
        <v>1862</v>
      </c>
      <c r="G4162" s="12" t="s">
        <v>1862</v>
      </c>
      <c r="H4162" s="12" t="b">
        <v>1</v>
      </c>
      <c r="I4162" s="12" t="b">
        <v>0</v>
      </c>
      <c r="J4162" s="12" t="b">
        <v>0</v>
      </c>
      <c r="K4162" s="12" t="b">
        <v>0</v>
      </c>
      <c r="L4162" s="12">
        <v>388.45229702035061</v>
      </c>
      <c r="M4162" s="12">
        <v>300.032917</v>
      </c>
      <c r="N4162" s="12">
        <v>3000</v>
      </c>
      <c r="O4162" s="12">
        <v>1582.8573541543219</v>
      </c>
      <c r="P4162" s="12">
        <v>0.5</v>
      </c>
      <c r="Q4162" s="12">
        <v>0.85</v>
      </c>
      <c r="R4162" s="12">
        <v>0.75</v>
      </c>
      <c r="S4162" s="12">
        <v>0.85</v>
      </c>
      <c r="T4162" s="12">
        <v>0.75</v>
      </c>
      <c r="U4162" s="12">
        <v>0.8</v>
      </c>
      <c r="V4162" s="12">
        <v>300.032917</v>
      </c>
      <c r="W4162" s="12">
        <v>-0.59111390747454995</v>
      </c>
      <c r="X4162" s="12">
        <v>-0.73276694804040621</v>
      </c>
      <c r="Y4162" s="12">
        <v>1417.1426458456781</v>
      </c>
      <c r="Z4162" s="12">
        <v>1.8953066061994059</v>
      </c>
      <c r="AA4162" s="12" t="s">
        <v>1696</v>
      </c>
      <c r="AB4162" s="12"/>
    </row>
    <row r="4163" spans="1:28" x14ac:dyDescent="0.3">
      <c r="A4163" s="12" t="s">
        <v>6101</v>
      </c>
      <c r="B4163" s="12" t="s">
        <v>206</v>
      </c>
      <c r="C4163" s="12" t="s">
        <v>663</v>
      </c>
      <c r="D4163" s="12" t="s">
        <v>6082</v>
      </c>
      <c r="E4163" s="12" t="s">
        <v>2978</v>
      </c>
      <c r="F4163" s="12" t="s">
        <v>1861</v>
      </c>
      <c r="G4163" s="12" t="s">
        <v>1861</v>
      </c>
      <c r="H4163" s="12" t="b">
        <v>1</v>
      </c>
      <c r="I4163" s="12" t="b">
        <v>0</v>
      </c>
      <c r="J4163" s="12" t="b">
        <v>1</v>
      </c>
      <c r="K4163" s="12" t="b">
        <v>0</v>
      </c>
      <c r="L4163" s="12">
        <v>516.04285391295889</v>
      </c>
      <c r="M4163" s="12">
        <v>300.032917</v>
      </c>
      <c r="N4163" s="12">
        <v>3000</v>
      </c>
      <c r="O4163" s="12">
        <v>1858.0403924617519</v>
      </c>
      <c r="P4163" s="12">
        <v>0.5</v>
      </c>
      <c r="Q4163" s="12">
        <v>0.85</v>
      </c>
      <c r="R4163" s="12">
        <v>0.75</v>
      </c>
      <c r="S4163" s="12">
        <v>0.85</v>
      </c>
      <c r="T4163" s="12">
        <v>0.75</v>
      </c>
      <c r="U4163" s="12">
        <v>0.8</v>
      </c>
      <c r="V4163" s="12">
        <v>300.032917</v>
      </c>
      <c r="W4163" s="12">
        <v>3.7731228469451401</v>
      </c>
      <c r="X4163" s="12">
        <v>64.571894720962973</v>
      </c>
      <c r="Y4163" s="12">
        <v>1141.9596075382481</v>
      </c>
      <c r="Z4163" s="12">
        <v>1.6146042961021121</v>
      </c>
      <c r="AA4163" s="12" t="s">
        <v>1268</v>
      </c>
      <c r="AB4163" s="12"/>
    </row>
    <row r="4164" spans="1:28" x14ac:dyDescent="0.3">
      <c r="A4164" s="12" t="s">
        <v>6102</v>
      </c>
      <c r="B4164" s="12" t="s">
        <v>206</v>
      </c>
      <c r="C4164" s="12" t="s">
        <v>663</v>
      </c>
      <c r="D4164" s="12" t="s">
        <v>6082</v>
      </c>
      <c r="E4164" s="12" t="s">
        <v>2978</v>
      </c>
      <c r="F4164" s="12" t="s">
        <v>1861</v>
      </c>
      <c r="G4164" s="12" t="s">
        <v>1861</v>
      </c>
      <c r="H4164" s="12" t="b">
        <v>1</v>
      </c>
      <c r="I4164" s="12" t="b">
        <v>0</v>
      </c>
      <c r="J4164" s="12" t="b">
        <v>1</v>
      </c>
      <c r="K4164" s="12" t="b">
        <v>0</v>
      </c>
      <c r="L4164" s="12">
        <v>465.97142101784323</v>
      </c>
      <c r="M4164" s="12">
        <v>300.032917</v>
      </c>
      <c r="N4164" s="12">
        <v>3000</v>
      </c>
      <c r="O4164" s="12">
        <v>1323.1349557925</v>
      </c>
      <c r="P4164" s="12">
        <v>0.5</v>
      </c>
      <c r="Q4164" s="12">
        <v>0.85</v>
      </c>
      <c r="R4164" s="12">
        <v>0.75</v>
      </c>
      <c r="S4164" s="12">
        <v>0.85</v>
      </c>
      <c r="T4164" s="12">
        <v>0.75</v>
      </c>
      <c r="U4164" s="12">
        <v>0.8</v>
      </c>
      <c r="V4164" s="12">
        <v>300.032917</v>
      </c>
      <c r="W4164" s="12">
        <v>6.3200111314746206</v>
      </c>
      <c r="X4164" s="12">
        <v>87.234387923661203</v>
      </c>
      <c r="Y4164" s="12">
        <v>1676.8650442075</v>
      </c>
      <c r="Z4164" s="12">
        <v>2.267342410436985</v>
      </c>
      <c r="AA4164" s="12" t="s">
        <v>1268</v>
      </c>
      <c r="AB4164" s="12"/>
    </row>
    <row r="4165" spans="1:28" x14ac:dyDescent="0.3">
      <c r="A4165" s="12" t="s">
        <v>6103</v>
      </c>
      <c r="B4165" s="12" t="s">
        <v>206</v>
      </c>
      <c r="C4165" s="12" t="s">
        <v>663</v>
      </c>
      <c r="D4165" s="12" t="s">
        <v>6082</v>
      </c>
      <c r="E4165" s="12" t="s">
        <v>2978</v>
      </c>
      <c r="F4165" s="12" t="s">
        <v>32</v>
      </c>
      <c r="G4165" s="12" t="s">
        <v>32</v>
      </c>
      <c r="H4165" s="12" t="b">
        <v>1</v>
      </c>
      <c r="I4165" s="12" t="b">
        <v>0</v>
      </c>
      <c r="J4165" s="12" t="b">
        <v>1</v>
      </c>
      <c r="K4165" s="12" t="b">
        <v>0</v>
      </c>
      <c r="L4165" s="12">
        <v>445.59618415139317</v>
      </c>
      <c r="M4165" s="12">
        <v>300.032917</v>
      </c>
      <c r="N4165" s="12">
        <v>3000</v>
      </c>
      <c r="O4165" s="12">
        <v>1751.0109408897119</v>
      </c>
      <c r="P4165" s="12">
        <v>0.5</v>
      </c>
      <c r="Q4165" s="12">
        <v>0.85</v>
      </c>
      <c r="R4165" s="12">
        <v>0.75</v>
      </c>
      <c r="S4165" s="12">
        <v>0.85</v>
      </c>
      <c r="T4165" s="12">
        <v>0.75</v>
      </c>
      <c r="U4165" s="12">
        <v>0.8</v>
      </c>
      <c r="V4165" s="12">
        <v>300.032917</v>
      </c>
      <c r="W4165" s="12">
        <v>4.1020614521581296</v>
      </c>
      <c r="X4165" s="12">
        <v>35.534114652150599</v>
      </c>
      <c r="Y4165" s="12">
        <v>1248.9890591102881</v>
      </c>
      <c r="Z4165" s="12">
        <v>1.7132959765949041</v>
      </c>
      <c r="AA4165" s="12"/>
      <c r="AB4165" s="12"/>
    </row>
    <row r="4166" spans="1:28" x14ac:dyDescent="0.3">
      <c r="A4166" s="12" t="s">
        <v>6104</v>
      </c>
      <c r="B4166" s="12" t="s">
        <v>206</v>
      </c>
      <c r="C4166" s="12" t="s">
        <v>663</v>
      </c>
      <c r="D4166" s="12" t="s">
        <v>6082</v>
      </c>
      <c r="E4166" s="12" t="s">
        <v>2978</v>
      </c>
      <c r="F4166" s="12" t="s">
        <v>1861</v>
      </c>
      <c r="G4166" s="12" t="s">
        <v>1861</v>
      </c>
      <c r="H4166" s="12" t="b">
        <v>1</v>
      </c>
      <c r="I4166" s="12" t="b">
        <v>0</v>
      </c>
      <c r="J4166" s="12" t="b">
        <v>1</v>
      </c>
      <c r="K4166" s="12" t="b">
        <v>0</v>
      </c>
      <c r="L4166" s="12">
        <v>495.90223817616521</v>
      </c>
      <c r="M4166" s="12">
        <v>300.032917</v>
      </c>
      <c r="N4166" s="12">
        <v>3000</v>
      </c>
      <c r="O4166" s="12">
        <v>919.70002826239022</v>
      </c>
      <c r="P4166" s="12">
        <v>0.5</v>
      </c>
      <c r="Q4166" s="12">
        <v>0.85</v>
      </c>
      <c r="R4166" s="12">
        <v>0.75</v>
      </c>
      <c r="S4166" s="12">
        <v>0.85</v>
      </c>
      <c r="T4166" s="12">
        <v>0.75</v>
      </c>
      <c r="U4166" s="12">
        <v>0.8</v>
      </c>
      <c r="V4166" s="12">
        <v>300.032917</v>
      </c>
      <c r="W4166" s="12">
        <v>8.5248698693542408</v>
      </c>
      <c r="X4166" s="12">
        <v>142.37387707284969</v>
      </c>
      <c r="Y4166" s="12">
        <v>2080.2999717376101</v>
      </c>
      <c r="Z4166" s="12">
        <v>3.261933138860468</v>
      </c>
      <c r="AA4166" s="12" t="s">
        <v>1268</v>
      </c>
      <c r="AB4166" s="12"/>
    </row>
    <row r="4167" spans="1:28" x14ac:dyDescent="0.3">
      <c r="A4167" s="12" t="s">
        <v>6105</v>
      </c>
      <c r="B4167" s="12" t="s">
        <v>206</v>
      </c>
      <c r="C4167" s="12" t="s">
        <v>663</v>
      </c>
      <c r="D4167" s="12" t="s">
        <v>6082</v>
      </c>
      <c r="E4167" s="12" t="s">
        <v>2978</v>
      </c>
      <c r="F4167" s="12" t="s">
        <v>1861</v>
      </c>
      <c r="G4167" s="12" t="s">
        <v>1861</v>
      </c>
      <c r="H4167" s="12" t="b">
        <v>1</v>
      </c>
      <c r="I4167" s="12" t="b">
        <v>0</v>
      </c>
      <c r="J4167" s="12" t="b">
        <v>0</v>
      </c>
      <c r="K4167" s="12" t="b">
        <v>0</v>
      </c>
      <c r="L4167" s="12">
        <v>412.38177984210722</v>
      </c>
      <c r="M4167" s="12">
        <v>300.032917</v>
      </c>
      <c r="N4167" s="12">
        <v>3000</v>
      </c>
      <c r="O4167" s="12">
        <v>437.59804910374208</v>
      </c>
      <c r="P4167" s="12">
        <v>0.5</v>
      </c>
      <c r="Q4167" s="12">
        <v>0.85</v>
      </c>
      <c r="R4167" s="12">
        <v>0.75</v>
      </c>
      <c r="S4167" s="12">
        <v>0.85</v>
      </c>
      <c r="T4167" s="12">
        <v>0.75</v>
      </c>
      <c r="U4167" s="12">
        <v>0.8</v>
      </c>
      <c r="V4167" s="12">
        <v>300.032917</v>
      </c>
      <c r="W4167" s="12">
        <v>11.160583764768489</v>
      </c>
      <c r="X4167" s="12">
        <v>46.201172534265609</v>
      </c>
      <c r="Y4167" s="12">
        <v>2562.4019508962579</v>
      </c>
      <c r="Z4167" s="12">
        <v>6.8556064318485683</v>
      </c>
      <c r="AA4167" s="12" t="s">
        <v>1268</v>
      </c>
      <c r="AB4167" s="12"/>
    </row>
    <row r="4168" spans="1:28" x14ac:dyDescent="0.3">
      <c r="A4168" s="12" t="s">
        <v>6106</v>
      </c>
      <c r="B4168" s="12" t="s">
        <v>206</v>
      </c>
      <c r="C4168" s="12" t="s">
        <v>663</v>
      </c>
      <c r="D4168" s="12" t="s">
        <v>6082</v>
      </c>
      <c r="E4168" s="12" t="s">
        <v>2978</v>
      </c>
      <c r="F4168" s="12" t="s">
        <v>1861</v>
      </c>
      <c r="G4168" s="12" t="s">
        <v>1861</v>
      </c>
      <c r="H4168" s="12" t="b">
        <v>1</v>
      </c>
      <c r="I4168" s="12" t="b">
        <v>0</v>
      </c>
      <c r="J4168" s="12" t="b">
        <v>1</v>
      </c>
      <c r="K4168" s="12" t="b">
        <v>0</v>
      </c>
      <c r="L4168" s="12">
        <v>436.61161806236743</v>
      </c>
      <c r="M4168" s="12">
        <v>300.032917</v>
      </c>
      <c r="N4168" s="12">
        <v>3000</v>
      </c>
      <c r="O4168" s="12">
        <v>826.58555037776807</v>
      </c>
      <c r="P4168" s="12">
        <v>0.5</v>
      </c>
      <c r="Q4168" s="12">
        <v>0.85</v>
      </c>
      <c r="R4168" s="12">
        <v>0.75</v>
      </c>
      <c r="S4168" s="12">
        <v>0.85</v>
      </c>
      <c r="T4168" s="12">
        <v>0.75</v>
      </c>
      <c r="U4168" s="12">
        <v>0.8</v>
      </c>
      <c r="V4168" s="12">
        <v>300.032917</v>
      </c>
      <c r="W4168" s="12">
        <v>9.2046735424239596</v>
      </c>
      <c r="X4168" s="12">
        <v>66.474504725726419</v>
      </c>
      <c r="Y4168" s="12">
        <v>2173.414449622232</v>
      </c>
      <c r="Z4168" s="12">
        <v>3.6293883901417501</v>
      </c>
      <c r="AA4168" s="12" t="s">
        <v>1268</v>
      </c>
      <c r="AB4168" s="12"/>
    </row>
    <row r="4169" spans="1:28" x14ac:dyDescent="0.3">
      <c r="A4169" s="12" t="s">
        <v>6107</v>
      </c>
      <c r="B4169" s="12" t="s">
        <v>206</v>
      </c>
      <c r="C4169" s="12" t="s">
        <v>663</v>
      </c>
      <c r="D4169" s="12" t="s">
        <v>6082</v>
      </c>
      <c r="E4169" s="12" t="s">
        <v>2978</v>
      </c>
      <c r="F4169" s="12" t="s">
        <v>1861</v>
      </c>
      <c r="G4169" s="12" t="s">
        <v>1861</v>
      </c>
      <c r="H4169" s="12" t="b">
        <v>1</v>
      </c>
      <c r="I4169" s="12" t="b">
        <v>0</v>
      </c>
      <c r="J4169" s="12" t="b">
        <v>1</v>
      </c>
      <c r="K4169" s="12" t="b">
        <v>0</v>
      </c>
      <c r="L4169" s="12">
        <v>474.9940984443096</v>
      </c>
      <c r="M4169" s="12">
        <v>300.032917</v>
      </c>
      <c r="N4169" s="12">
        <v>3000</v>
      </c>
      <c r="O4169" s="12">
        <v>1773.9561997578969</v>
      </c>
      <c r="P4169" s="12">
        <v>0.5</v>
      </c>
      <c r="Q4169" s="12">
        <v>0.85</v>
      </c>
      <c r="R4169" s="12">
        <v>0.75</v>
      </c>
      <c r="S4169" s="12">
        <v>0.85</v>
      </c>
      <c r="T4169" s="12">
        <v>0.75</v>
      </c>
      <c r="U4169" s="12">
        <v>0.8</v>
      </c>
      <c r="V4169" s="12">
        <v>300.032917</v>
      </c>
      <c r="W4169" s="12">
        <v>4.1527265788448302</v>
      </c>
      <c r="X4169" s="12">
        <v>67.189649995919126</v>
      </c>
      <c r="Y4169" s="12">
        <v>1226.0438002421031</v>
      </c>
      <c r="Z4169" s="12">
        <v>1.691135328149268</v>
      </c>
      <c r="AA4169" s="12" t="s">
        <v>1268</v>
      </c>
      <c r="AB4169" s="12"/>
    </row>
    <row r="4170" spans="1:28" x14ac:dyDescent="0.3">
      <c r="A4170" s="12" t="s">
        <v>6108</v>
      </c>
      <c r="B4170" s="12" t="s">
        <v>206</v>
      </c>
      <c r="C4170" s="12" t="s">
        <v>663</v>
      </c>
      <c r="D4170" s="12" t="s">
        <v>6082</v>
      </c>
      <c r="E4170" s="12" t="s">
        <v>2978</v>
      </c>
      <c r="F4170" s="12" t="s">
        <v>1862</v>
      </c>
      <c r="G4170" s="12" t="s">
        <v>1862</v>
      </c>
      <c r="H4170" s="12" t="b">
        <v>1</v>
      </c>
      <c r="I4170" s="12" t="b">
        <v>0</v>
      </c>
      <c r="J4170" s="12" t="b">
        <v>0</v>
      </c>
      <c r="K4170" s="12" t="b">
        <v>0</v>
      </c>
      <c r="L4170" s="12">
        <v>403.84900191681561</v>
      </c>
      <c r="M4170" s="12">
        <v>300.032917</v>
      </c>
      <c r="N4170" s="12">
        <v>3000</v>
      </c>
      <c r="O4170" s="12">
        <v>1956.2505281319859</v>
      </c>
      <c r="P4170" s="12">
        <v>0.5</v>
      </c>
      <c r="Q4170" s="12">
        <v>0.85</v>
      </c>
      <c r="R4170" s="12">
        <v>0.75</v>
      </c>
      <c r="S4170" s="12">
        <v>0.85</v>
      </c>
      <c r="T4170" s="12">
        <v>0.75</v>
      </c>
      <c r="U4170" s="12">
        <v>0.8</v>
      </c>
      <c r="V4170" s="12">
        <v>300.032917</v>
      </c>
      <c r="W4170" s="12">
        <v>2.1883669199576099</v>
      </c>
      <c r="X4170" s="12">
        <v>6.8843068194453494</v>
      </c>
      <c r="Y4170" s="12">
        <v>1043.7494718680141</v>
      </c>
      <c r="Z4170" s="12">
        <v>1.5335459118647159</v>
      </c>
      <c r="AA4170" s="12" t="s">
        <v>3220</v>
      </c>
      <c r="AB4170" s="12"/>
    </row>
    <row r="4171" spans="1:28" x14ac:dyDescent="0.3">
      <c r="A4171" s="12" t="s">
        <v>6109</v>
      </c>
      <c r="B4171" s="12" t="s">
        <v>206</v>
      </c>
      <c r="C4171" s="12" t="s">
        <v>663</v>
      </c>
      <c r="D4171" s="12" t="s">
        <v>6082</v>
      </c>
      <c r="E4171" s="12" t="s">
        <v>2978</v>
      </c>
      <c r="F4171" s="12" t="s">
        <v>32</v>
      </c>
      <c r="G4171" s="12" t="s">
        <v>32</v>
      </c>
      <c r="H4171" s="12" t="b">
        <v>1</v>
      </c>
      <c r="I4171" s="12" t="b">
        <v>1</v>
      </c>
      <c r="J4171" s="12" t="b">
        <v>0</v>
      </c>
      <c r="K4171" s="12" t="b">
        <v>0</v>
      </c>
      <c r="L4171" s="12">
        <v>392.02733934532</v>
      </c>
      <c r="M4171" s="12">
        <v>300.032917</v>
      </c>
      <c r="N4171" s="12">
        <v>3000</v>
      </c>
      <c r="O4171" s="12">
        <v>587.39377720689276</v>
      </c>
      <c r="P4171" s="12">
        <v>0.5</v>
      </c>
      <c r="Q4171" s="12">
        <v>0.85</v>
      </c>
      <c r="R4171" s="12">
        <v>0.75</v>
      </c>
      <c r="S4171" s="12">
        <v>0.85</v>
      </c>
      <c r="T4171" s="12">
        <v>0.75</v>
      </c>
      <c r="U4171" s="12">
        <v>0.8</v>
      </c>
      <c r="V4171" s="12">
        <v>300.032917</v>
      </c>
      <c r="W4171" s="12">
        <v>3.7907646421179901</v>
      </c>
      <c r="X4171" s="12">
        <v>6.5122795840326049</v>
      </c>
      <c r="Y4171" s="12">
        <v>2412.606222793107</v>
      </c>
      <c r="Z4171" s="12">
        <v>5.1073064040025322</v>
      </c>
      <c r="AA4171" s="12"/>
      <c r="AB4171" s="12"/>
    </row>
    <row r="4172" spans="1:28" x14ac:dyDescent="0.3">
      <c r="A4172" s="12" t="s">
        <v>6110</v>
      </c>
      <c r="B4172" s="12" t="s">
        <v>206</v>
      </c>
      <c r="C4172" s="12" t="s">
        <v>663</v>
      </c>
      <c r="D4172" s="12" t="s">
        <v>6082</v>
      </c>
      <c r="E4172" s="12" t="s">
        <v>2978</v>
      </c>
      <c r="F4172" s="12" t="s">
        <v>1861</v>
      </c>
      <c r="G4172" s="12" t="s">
        <v>1861</v>
      </c>
      <c r="H4172" s="12" t="b">
        <v>1</v>
      </c>
      <c r="I4172" s="12" t="b">
        <v>0</v>
      </c>
      <c r="J4172" s="12" t="b">
        <v>1</v>
      </c>
      <c r="K4172" s="12" t="b">
        <v>0</v>
      </c>
      <c r="L4172" s="12">
        <v>471.97301124330983</v>
      </c>
      <c r="M4172" s="12">
        <v>300.032917</v>
      </c>
      <c r="N4172" s="12">
        <v>3000</v>
      </c>
      <c r="O4172" s="12">
        <v>550.69506758378634</v>
      </c>
      <c r="P4172" s="12">
        <v>0.5</v>
      </c>
      <c r="Q4172" s="12">
        <v>0.85</v>
      </c>
      <c r="R4172" s="12">
        <v>0.75</v>
      </c>
      <c r="S4172" s="12">
        <v>0.85</v>
      </c>
      <c r="T4172" s="12">
        <v>0.75</v>
      </c>
      <c r="U4172" s="12">
        <v>0.8</v>
      </c>
      <c r="V4172" s="12">
        <v>300.032917</v>
      </c>
      <c r="W4172" s="12">
        <v>11.49408034578077</v>
      </c>
      <c r="X4172" s="12">
        <v>185.25263057926281</v>
      </c>
      <c r="Y4172" s="12">
        <v>2449.3049324162139</v>
      </c>
      <c r="Z4172" s="12">
        <v>5.4476609227003117</v>
      </c>
      <c r="AA4172" s="12" t="s">
        <v>1268</v>
      </c>
      <c r="AB4172" s="12"/>
    </row>
    <row r="4173" spans="1:28" x14ac:dyDescent="0.3">
      <c r="A4173" s="12" t="s">
        <v>6111</v>
      </c>
      <c r="B4173" s="12" t="s">
        <v>206</v>
      </c>
      <c r="C4173" s="12" t="s">
        <v>663</v>
      </c>
      <c r="D4173" s="12" t="s">
        <v>6082</v>
      </c>
      <c r="E4173" s="12" t="s">
        <v>2978</v>
      </c>
      <c r="F4173" s="12" t="s">
        <v>1861</v>
      </c>
      <c r="G4173" s="12" t="s">
        <v>1861</v>
      </c>
      <c r="H4173" s="12" t="b">
        <v>1</v>
      </c>
      <c r="I4173" s="12" t="b">
        <v>0</v>
      </c>
      <c r="J4173" s="12" t="b">
        <v>1</v>
      </c>
      <c r="K4173" s="12" t="b">
        <v>0</v>
      </c>
      <c r="L4173" s="12">
        <v>431.24022653987601</v>
      </c>
      <c r="M4173" s="12">
        <v>300.032917</v>
      </c>
      <c r="N4173" s="12">
        <v>3000</v>
      </c>
      <c r="O4173" s="12">
        <v>688.06351292759973</v>
      </c>
      <c r="P4173" s="12">
        <v>0.5</v>
      </c>
      <c r="Q4173" s="12">
        <v>0.85</v>
      </c>
      <c r="R4173" s="12">
        <v>0.75</v>
      </c>
      <c r="S4173" s="12">
        <v>0.85</v>
      </c>
      <c r="T4173" s="12">
        <v>0.75</v>
      </c>
      <c r="U4173" s="12">
        <v>0.8</v>
      </c>
      <c r="V4173" s="12">
        <v>300.032917</v>
      </c>
      <c r="W4173" s="12">
        <v>10.15434676208792</v>
      </c>
      <c r="X4173" s="12">
        <v>65.575148883990721</v>
      </c>
      <c r="Y4173" s="12">
        <v>2311.9364870723998</v>
      </c>
      <c r="Z4173" s="12">
        <v>4.3600626157830717</v>
      </c>
      <c r="AA4173" s="12" t="s">
        <v>1268</v>
      </c>
      <c r="AB4173" s="12"/>
    </row>
    <row r="4174" spans="1:28" x14ac:dyDescent="0.3">
      <c r="A4174" s="12" t="s">
        <v>6112</v>
      </c>
      <c r="B4174" s="12" t="s">
        <v>206</v>
      </c>
      <c r="C4174" s="12" t="s">
        <v>666</v>
      </c>
      <c r="D4174" s="12" t="s">
        <v>6113</v>
      </c>
      <c r="E4174" s="12" t="s">
        <v>4968</v>
      </c>
      <c r="F4174" s="12" t="s">
        <v>1861</v>
      </c>
      <c r="G4174" s="12" t="s">
        <v>1861</v>
      </c>
      <c r="H4174" s="12" t="b">
        <v>1</v>
      </c>
      <c r="I4174" s="12" t="b">
        <v>0</v>
      </c>
      <c r="J4174" s="12" t="b">
        <v>0</v>
      </c>
      <c r="K4174" s="12" t="b">
        <v>0</v>
      </c>
      <c r="L4174" s="12">
        <v>394.15</v>
      </c>
      <c r="M4174" s="12">
        <v>278.14999999999998</v>
      </c>
      <c r="N4174" s="12">
        <v>3300</v>
      </c>
      <c r="O4174" s="12">
        <v>550</v>
      </c>
      <c r="P4174" s="12">
        <v>0.82</v>
      </c>
      <c r="Q4174" s="12">
        <v>0.9</v>
      </c>
      <c r="R4174" s="12">
        <v>0.8</v>
      </c>
      <c r="S4174" s="12">
        <v>0.85</v>
      </c>
      <c r="T4174" s="12">
        <v>0.75</v>
      </c>
      <c r="U4174" s="12">
        <v>0.95</v>
      </c>
      <c r="V4174" s="12">
        <v>278.14999999999998</v>
      </c>
      <c r="W4174" s="12">
        <v>14.377204281446151</v>
      </c>
      <c r="X4174" s="12">
        <v>132.83801361563039</v>
      </c>
      <c r="Y4174" s="12">
        <v>2750</v>
      </c>
      <c r="Z4174" s="12">
        <v>6</v>
      </c>
      <c r="AA4174" s="12" t="s">
        <v>1268</v>
      </c>
      <c r="AB4174" s="12"/>
    </row>
    <row r="4175" spans="1:28" x14ac:dyDescent="0.3">
      <c r="A4175" s="12" t="s">
        <v>6114</v>
      </c>
      <c r="B4175" s="12" t="s">
        <v>206</v>
      </c>
      <c r="C4175" s="12" t="s">
        <v>666</v>
      </c>
      <c r="D4175" s="12" t="s">
        <v>6113</v>
      </c>
      <c r="E4175" s="12" t="s">
        <v>4968</v>
      </c>
      <c r="F4175" s="12" t="s">
        <v>1861</v>
      </c>
      <c r="G4175" s="12" t="s">
        <v>1861</v>
      </c>
      <c r="H4175" s="12" t="b">
        <v>1</v>
      </c>
      <c r="I4175" s="12" t="b">
        <v>0</v>
      </c>
      <c r="J4175" s="12" t="b">
        <v>0</v>
      </c>
      <c r="K4175" s="12" t="b">
        <v>0</v>
      </c>
      <c r="L4175" s="12">
        <v>394.15</v>
      </c>
      <c r="M4175" s="12">
        <v>278.14999999999998</v>
      </c>
      <c r="N4175" s="12">
        <v>3300</v>
      </c>
      <c r="O4175" s="12">
        <v>550</v>
      </c>
      <c r="P4175" s="12">
        <v>0.82</v>
      </c>
      <c r="Q4175" s="12">
        <v>0.9</v>
      </c>
      <c r="R4175" s="12">
        <v>0.8</v>
      </c>
      <c r="S4175" s="12">
        <v>0.85</v>
      </c>
      <c r="T4175" s="12">
        <v>0.75</v>
      </c>
      <c r="U4175" s="12">
        <v>0.95</v>
      </c>
      <c r="V4175" s="12">
        <v>283.14999999999998</v>
      </c>
      <c r="W4175" s="12">
        <v>14.377204281446151</v>
      </c>
      <c r="X4175" s="12">
        <v>132.83801361563039</v>
      </c>
      <c r="Y4175" s="12">
        <v>2750</v>
      </c>
      <c r="Z4175" s="12">
        <v>6</v>
      </c>
      <c r="AA4175" s="12" t="s">
        <v>1268</v>
      </c>
      <c r="AB4175" s="12"/>
    </row>
    <row r="4176" spans="1:28" x14ac:dyDescent="0.3">
      <c r="A4176" s="12" t="s">
        <v>6115</v>
      </c>
      <c r="B4176" s="12" t="s">
        <v>206</v>
      </c>
      <c r="C4176" s="12" t="s">
        <v>666</v>
      </c>
      <c r="D4176" s="12" t="s">
        <v>6113</v>
      </c>
      <c r="E4176" s="12" t="s">
        <v>4968</v>
      </c>
      <c r="F4176" s="12" t="s">
        <v>1861</v>
      </c>
      <c r="G4176" s="12" t="s">
        <v>1861</v>
      </c>
      <c r="H4176" s="12" t="b">
        <v>1</v>
      </c>
      <c r="I4176" s="12" t="b">
        <v>0</v>
      </c>
      <c r="J4176" s="12" t="b">
        <v>0</v>
      </c>
      <c r="K4176" s="12" t="b">
        <v>0</v>
      </c>
      <c r="L4176" s="12">
        <v>394.15</v>
      </c>
      <c r="M4176" s="12">
        <v>278.14999999999998</v>
      </c>
      <c r="N4176" s="12">
        <v>3300</v>
      </c>
      <c r="O4176" s="12">
        <v>500</v>
      </c>
      <c r="P4176" s="12">
        <v>0.82</v>
      </c>
      <c r="Q4176" s="12">
        <v>0.9</v>
      </c>
      <c r="R4176" s="12">
        <v>0.8</v>
      </c>
      <c r="S4176" s="12">
        <v>0.85</v>
      </c>
      <c r="T4176" s="12">
        <v>0.75</v>
      </c>
      <c r="U4176" s="12">
        <v>0.95</v>
      </c>
      <c r="V4176" s="12">
        <v>283.14999999999998</v>
      </c>
      <c r="W4176" s="12">
        <v>15.0409968815438</v>
      </c>
      <c r="X4176" s="12">
        <v>138.98269187454429</v>
      </c>
      <c r="Y4176" s="12">
        <v>2800</v>
      </c>
      <c r="Z4176" s="12">
        <v>6.6</v>
      </c>
      <c r="AA4176" s="12" t="s">
        <v>1268</v>
      </c>
      <c r="AB4176" s="12"/>
    </row>
    <row r="4177" spans="1:28" x14ac:dyDescent="0.3">
      <c r="A4177" s="12" t="s">
        <v>6116</v>
      </c>
      <c r="B4177" s="12" t="s">
        <v>206</v>
      </c>
      <c r="C4177" s="12" t="s">
        <v>666</v>
      </c>
      <c r="D4177" s="12" t="s">
        <v>6113</v>
      </c>
      <c r="E4177" s="12" t="s">
        <v>4968</v>
      </c>
      <c r="F4177" s="12" t="s">
        <v>1861</v>
      </c>
      <c r="G4177" s="12" t="s">
        <v>1861</v>
      </c>
      <c r="H4177" s="12" t="b">
        <v>1</v>
      </c>
      <c r="I4177" s="12" t="b">
        <v>0</v>
      </c>
      <c r="J4177" s="12" t="b">
        <v>0</v>
      </c>
      <c r="K4177" s="12" t="b">
        <v>0</v>
      </c>
      <c r="L4177" s="12">
        <v>394.15</v>
      </c>
      <c r="M4177" s="12">
        <v>278.14999999999998</v>
      </c>
      <c r="N4177" s="12">
        <v>3300</v>
      </c>
      <c r="O4177" s="12">
        <v>500</v>
      </c>
      <c r="P4177" s="12">
        <v>0.82</v>
      </c>
      <c r="Q4177" s="12">
        <v>0.9</v>
      </c>
      <c r="R4177" s="12">
        <v>0.8</v>
      </c>
      <c r="S4177" s="12">
        <v>0.85</v>
      </c>
      <c r="T4177" s="12">
        <v>0.75</v>
      </c>
      <c r="U4177" s="12">
        <v>0.95</v>
      </c>
      <c r="V4177" s="12">
        <v>278.14999999999998</v>
      </c>
      <c r="W4177" s="12">
        <v>15.0409968815438</v>
      </c>
      <c r="X4177" s="12">
        <v>138.98269187454429</v>
      </c>
      <c r="Y4177" s="12">
        <v>2800</v>
      </c>
      <c r="Z4177" s="12">
        <v>6.6</v>
      </c>
      <c r="AA4177" s="12" t="s">
        <v>1268</v>
      </c>
      <c r="AB4177" s="12"/>
    </row>
    <row r="4178" spans="1:28" x14ac:dyDescent="0.3">
      <c r="A4178" s="12" t="s">
        <v>6117</v>
      </c>
      <c r="B4178" s="12" t="s">
        <v>206</v>
      </c>
      <c r="C4178" s="12" t="s">
        <v>666</v>
      </c>
      <c r="D4178" s="12" t="s">
        <v>6113</v>
      </c>
      <c r="E4178" s="12" t="s">
        <v>4968</v>
      </c>
      <c r="F4178" s="12" t="s">
        <v>1861</v>
      </c>
      <c r="G4178" s="12" t="s">
        <v>1861</v>
      </c>
      <c r="H4178" s="12" t="b">
        <v>1</v>
      </c>
      <c r="I4178" s="12" t="b">
        <v>0</v>
      </c>
      <c r="J4178" s="12" t="b">
        <v>0</v>
      </c>
      <c r="K4178" s="12" t="b">
        <v>0</v>
      </c>
      <c r="L4178" s="12">
        <v>394.15</v>
      </c>
      <c r="M4178" s="12">
        <v>278.14999999999998</v>
      </c>
      <c r="N4178" s="12">
        <v>3300</v>
      </c>
      <c r="O4178" s="12">
        <v>650</v>
      </c>
      <c r="P4178" s="12">
        <v>0.82</v>
      </c>
      <c r="Q4178" s="12">
        <v>0.9</v>
      </c>
      <c r="R4178" s="12">
        <v>0.8</v>
      </c>
      <c r="S4178" s="12">
        <v>0.85</v>
      </c>
      <c r="T4178" s="12">
        <v>0.75</v>
      </c>
      <c r="U4178" s="12">
        <v>0.95</v>
      </c>
      <c r="V4178" s="12">
        <v>283.14999999999998</v>
      </c>
      <c r="W4178" s="12">
        <v>13.170444446252681</v>
      </c>
      <c r="X4178" s="12">
        <v>121.6520866887988</v>
      </c>
      <c r="Y4178" s="12">
        <v>2650</v>
      </c>
      <c r="Z4178" s="12">
        <v>5.0769230769230766</v>
      </c>
      <c r="AA4178" s="12" t="s">
        <v>1268</v>
      </c>
      <c r="AB4178" s="12"/>
    </row>
    <row r="4179" spans="1:28" x14ac:dyDescent="0.3">
      <c r="A4179" s="12" t="s">
        <v>6118</v>
      </c>
      <c r="B4179" s="12" t="s">
        <v>206</v>
      </c>
      <c r="C4179" s="12" t="s">
        <v>666</v>
      </c>
      <c r="D4179" s="12" t="s">
        <v>6113</v>
      </c>
      <c r="E4179" s="12" t="s">
        <v>4968</v>
      </c>
      <c r="F4179" s="12" t="s">
        <v>32</v>
      </c>
      <c r="G4179" s="12" t="s">
        <v>32</v>
      </c>
      <c r="H4179" s="12" t="b">
        <v>1</v>
      </c>
      <c r="I4179" s="12" t="b">
        <v>1</v>
      </c>
      <c r="J4179" s="12" t="b">
        <v>0</v>
      </c>
      <c r="K4179" s="12" t="b">
        <v>0</v>
      </c>
      <c r="L4179" s="12">
        <v>394.15</v>
      </c>
      <c r="M4179" s="12">
        <v>278.14999999999998</v>
      </c>
      <c r="N4179" s="12">
        <v>3300</v>
      </c>
      <c r="O4179" s="12">
        <v>650</v>
      </c>
      <c r="P4179" s="12">
        <v>0.82</v>
      </c>
      <c r="Q4179" s="12">
        <v>0.9</v>
      </c>
      <c r="R4179" s="12">
        <v>0.8</v>
      </c>
      <c r="S4179" s="12">
        <v>0.85</v>
      </c>
      <c r="T4179" s="12">
        <v>0.75</v>
      </c>
      <c r="U4179" s="12">
        <v>0.95</v>
      </c>
      <c r="V4179" s="12">
        <v>278.14999999999998</v>
      </c>
      <c r="W4179" s="12">
        <v>13.170444446252681</v>
      </c>
      <c r="X4179" s="12">
        <v>121.6520866887988</v>
      </c>
      <c r="Y4179" s="12">
        <v>2650</v>
      </c>
      <c r="Z4179" s="12">
        <v>5.0769230769230766</v>
      </c>
      <c r="AA4179" s="12"/>
      <c r="AB4179" s="12"/>
    </row>
    <row r="4180" spans="1:28" x14ac:dyDescent="0.3">
      <c r="A4180" s="12" t="s">
        <v>6119</v>
      </c>
      <c r="B4180" s="12" t="s">
        <v>206</v>
      </c>
      <c r="C4180" s="12" t="s">
        <v>666</v>
      </c>
      <c r="D4180" s="12" t="s">
        <v>6113</v>
      </c>
      <c r="E4180" s="12" t="s">
        <v>4968</v>
      </c>
      <c r="F4180" s="12" t="s">
        <v>1861</v>
      </c>
      <c r="G4180" s="12" t="s">
        <v>1861</v>
      </c>
      <c r="H4180" s="12" t="b">
        <v>1</v>
      </c>
      <c r="I4180" s="12" t="b">
        <v>0</v>
      </c>
      <c r="J4180" s="12" t="b">
        <v>0</v>
      </c>
      <c r="K4180" s="12" t="b">
        <v>0</v>
      </c>
      <c r="L4180" s="12">
        <v>394.15</v>
      </c>
      <c r="M4180" s="12">
        <v>278.14999999999998</v>
      </c>
      <c r="N4180" s="12">
        <v>3300</v>
      </c>
      <c r="O4180" s="12">
        <v>600</v>
      </c>
      <c r="P4180" s="12">
        <v>0.82</v>
      </c>
      <c r="Q4180" s="12">
        <v>0.9</v>
      </c>
      <c r="R4180" s="12">
        <v>0.8</v>
      </c>
      <c r="S4180" s="12">
        <v>0.85</v>
      </c>
      <c r="T4180" s="12">
        <v>0.75</v>
      </c>
      <c r="U4180" s="12">
        <v>0.95</v>
      </c>
      <c r="V4180" s="12">
        <v>283.14999999999998</v>
      </c>
      <c r="W4180" s="12">
        <v>13.75268677295411</v>
      </c>
      <c r="X4180" s="12">
        <v>127.0486533418041</v>
      </c>
      <c r="Y4180" s="12">
        <v>2700</v>
      </c>
      <c r="Z4180" s="12">
        <v>5.5</v>
      </c>
      <c r="AA4180" s="12" t="s">
        <v>1268</v>
      </c>
      <c r="AB4180" s="12"/>
    </row>
    <row r="4181" spans="1:28" x14ac:dyDescent="0.3">
      <c r="A4181" s="12" t="s">
        <v>6120</v>
      </c>
      <c r="B4181" s="12" t="s">
        <v>206</v>
      </c>
      <c r="C4181" s="12" t="s">
        <v>666</v>
      </c>
      <c r="D4181" s="12" t="s">
        <v>6113</v>
      </c>
      <c r="E4181" s="12" t="s">
        <v>4968</v>
      </c>
      <c r="F4181" s="12" t="s">
        <v>32</v>
      </c>
      <c r="G4181" s="12" t="s">
        <v>32</v>
      </c>
      <c r="H4181" s="12" t="b">
        <v>1</v>
      </c>
      <c r="I4181" s="12" t="b">
        <v>1</v>
      </c>
      <c r="J4181" s="12" t="b">
        <v>0</v>
      </c>
      <c r="K4181" s="12" t="b">
        <v>0</v>
      </c>
      <c r="L4181" s="12">
        <v>394.15</v>
      </c>
      <c r="M4181" s="12">
        <v>278.14999999999998</v>
      </c>
      <c r="N4181" s="12">
        <v>3300</v>
      </c>
      <c r="O4181" s="12">
        <v>600</v>
      </c>
      <c r="P4181" s="12">
        <v>0.82</v>
      </c>
      <c r="Q4181" s="12">
        <v>0.9</v>
      </c>
      <c r="R4181" s="12">
        <v>0.8</v>
      </c>
      <c r="S4181" s="12">
        <v>0.85</v>
      </c>
      <c r="T4181" s="12">
        <v>0.75</v>
      </c>
      <c r="U4181" s="12">
        <v>0.95</v>
      </c>
      <c r="V4181" s="12">
        <v>278.14999999999998</v>
      </c>
      <c r="W4181" s="12">
        <v>13.75268677295411</v>
      </c>
      <c r="X4181" s="12">
        <v>127.0486533418041</v>
      </c>
      <c r="Y4181" s="12">
        <v>2700</v>
      </c>
      <c r="Z4181" s="12">
        <v>5.5</v>
      </c>
      <c r="AA4181" s="12"/>
      <c r="AB4181" s="12"/>
    </row>
    <row r="4182" spans="1:28" x14ac:dyDescent="0.3">
      <c r="A4182" s="12" t="s">
        <v>6121</v>
      </c>
      <c r="B4182" s="12" t="s">
        <v>206</v>
      </c>
      <c r="C4182" s="12" t="s">
        <v>666</v>
      </c>
      <c r="D4182" s="12" t="s">
        <v>6113</v>
      </c>
      <c r="E4182" s="12" t="s">
        <v>4968</v>
      </c>
      <c r="F4182" s="12" t="s">
        <v>32</v>
      </c>
      <c r="G4182" s="12" t="s">
        <v>32</v>
      </c>
      <c r="H4182" s="12" t="b">
        <v>1</v>
      </c>
      <c r="I4182" s="12" t="b">
        <v>1</v>
      </c>
      <c r="J4182" s="12" t="b">
        <v>0</v>
      </c>
      <c r="K4182" s="12" t="b">
        <v>0</v>
      </c>
      <c r="L4182" s="12">
        <v>394.15</v>
      </c>
      <c r="M4182" s="12">
        <v>278.14999999999998</v>
      </c>
      <c r="N4182" s="12">
        <v>3300</v>
      </c>
      <c r="O4182" s="12">
        <v>690</v>
      </c>
      <c r="P4182" s="12">
        <v>0.82</v>
      </c>
      <c r="Q4182" s="12">
        <v>0.9</v>
      </c>
      <c r="R4182" s="12">
        <v>0.8</v>
      </c>
      <c r="S4182" s="12">
        <v>0.85</v>
      </c>
      <c r="T4182" s="12">
        <v>0.75</v>
      </c>
      <c r="U4182" s="12">
        <v>0.95</v>
      </c>
      <c r="V4182" s="12">
        <v>283.14999999999998</v>
      </c>
      <c r="W4182" s="12">
        <v>12.731864501081271</v>
      </c>
      <c r="X4182" s="12">
        <v>117.5882909120357</v>
      </c>
      <c r="Y4182" s="12">
        <v>2610</v>
      </c>
      <c r="Z4182" s="12">
        <v>4.7826086956521738</v>
      </c>
      <c r="AA4182" s="12"/>
      <c r="AB4182" s="12"/>
    </row>
    <row r="4183" spans="1:28" x14ac:dyDescent="0.3">
      <c r="A4183" s="12" t="s">
        <v>6122</v>
      </c>
      <c r="B4183" s="12" t="s">
        <v>206</v>
      </c>
      <c r="C4183" s="12" t="s">
        <v>666</v>
      </c>
      <c r="D4183" s="12" t="s">
        <v>6113</v>
      </c>
      <c r="E4183" s="12" t="s">
        <v>4968</v>
      </c>
      <c r="F4183" s="12" t="s">
        <v>32</v>
      </c>
      <c r="G4183" s="12" t="s">
        <v>32</v>
      </c>
      <c r="H4183" s="12" t="b">
        <v>1</v>
      </c>
      <c r="I4183" s="12" t="b">
        <v>1</v>
      </c>
      <c r="J4183" s="12" t="b">
        <v>0</v>
      </c>
      <c r="K4183" s="12" t="b">
        <v>0</v>
      </c>
      <c r="L4183" s="12">
        <v>394.15</v>
      </c>
      <c r="M4183" s="12">
        <v>278.14999999999998</v>
      </c>
      <c r="N4183" s="12">
        <v>3300</v>
      </c>
      <c r="O4183" s="12">
        <v>690</v>
      </c>
      <c r="P4183" s="12">
        <v>0.82</v>
      </c>
      <c r="Q4183" s="12">
        <v>0.9</v>
      </c>
      <c r="R4183" s="12">
        <v>0.8</v>
      </c>
      <c r="S4183" s="12">
        <v>0.85</v>
      </c>
      <c r="T4183" s="12">
        <v>0.75</v>
      </c>
      <c r="U4183" s="12">
        <v>0.95</v>
      </c>
      <c r="V4183" s="12">
        <v>278.14999999999998</v>
      </c>
      <c r="W4183" s="12">
        <v>12.731864501081271</v>
      </c>
      <c r="X4183" s="12">
        <v>117.5882909120357</v>
      </c>
      <c r="Y4183" s="12">
        <v>2610</v>
      </c>
      <c r="Z4183" s="12">
        <v>4.7826086956521738</v>
      </c>
      <c r="AA4183" s="12"/>
      <c r="AB4183" s="12"/>
    </row>
    <row r="4184" spans="1:28" x14ac:dyDescent="0.3">
      <c r="A4184" s="12" t="s">
        <v>6123</v>
      </c>
      <c r="B4184" s="12" t="s">
        <v>206</v>
      </c>
      <c r="C4184" s="12" t="s">
        <v>666</v>
      </c>
      <c r="D4184" s="12" t="s">
        <v>6113</v>
      </c>
      <c r="E4184" s="12" t="s">
        <v>4968</v>
      </c>
      <c r="F4184" s="12" t="s">
        <v>32</v>
      </c>
      <c r="G4184" s="12" t="s">
        <v>32</v>
      </c>
      <c r="H4184" s="12" t="b">
        <v>1</v>
      </c>
      <c r="I4184" s="12" t="b">
        <v>1</v>
      </c>
      <c r="J4184" s="12" t="b">
        <v>0</v>
      </c>
      <c r="K4184" s="12" t="b">
        <v>0</v>
      </c>
      <c r="L4184" s="12">
        <v>394.15</v>
      </c>
      <c r="M4184" s="12">
        <v>278.14999999999998</v>
      </c>
      <c r="N4184" s="12">
        <v>3300</v>
      </c>
      <c r="O4184" s="12">
        <v>700</v>
      </c>
      <c r="P4184" s="12">
        <v>0.82</v>
      </c>
      <c r="Q4184" s="12">
        <v>0.9</v>
      </c>
      <c r="R4184" s="12">
        <v>0.8</v>
      </c>
      <c r="S4184" s="12">
        <v>0.85</v>
      </c>
      <c r="T4184" s="12">
        <v>0.75</v>
      </c>
      <c r="U4184" s="12">
        <v>0.95</v>
      </c>
      <c r="V4184" s="12">
        <v>283.14999999999998</v>
      </c>
      <c r="W4184" s="12">
        <v>12.581314446066379</v>
      </c>
      <c r="X4184" s="12">
        <v>116.160036609947</v>
      </c>
      <c r="Y4184" s="12">
        <v>2600</v>
      </c>
      <c r="Z4184" s="12">
        <v>4.7142857142857144</v>
      </c>
      <c r="AA4184" s="12"/>
      <c r="AB4184" s="12"/>
    </row>
    <row r="4185" spans="1:28" x14ac:dyDescent="0.3">
      <c r="A4185" s="12" t="s">
        <v>6124</v>
      </c>
      <c r="B4185" s="12" t="s">
        <v>206</v>
      </c>
      <c r="C4185" s="12" t="s">
        <v>666</v>
      </c>
      <c r="D4185" s="12" t="s">
        <v>6113</v>
      </c>
      <c r="E4185" s="12" t="s">
        <v>4968</v>
      </c>
      <c r="F4185" s="12" t="s">
        <v>32</v>
      </c>
      <c r="G4185" s="12" t="s">
        <v>32</v>
      </c>
      <c r="H4185" s="12" t="b">
        <v>1</v>
      </c>
      <c r="I4185" s="12" t="b">
        <v>1</v>
      </c>
      <c r="J4185" s="12" t="b">
        <v>0</v>
      </c>
      <c r="K4185" s="12" t="b">
        <v>0</v>
      </c>
      <c r="L4185" s="12">
        <v>394.15</v>
      </c>
      <c r="M4185" s="12">
        <v>278.14999999999998</v>
      </c>
      <c r="N4185" s="12">
        <v>3300</v>
      </c>
      <c r="O4185" s="12">
        <v>700</v>
      </c>
      <c r="P4185" s="12">
        <v>0.82</v>
      </c>
      <c r="Q4185" s="12">
        <v>0.9</v>
      </c>
      <c r="R4185" s="12">
        <v>0.8</v>
      </c>
      <c r="S4185" s="12">
        <v>0.85</v>
      </c>
      <c r="T4185" s="12">
        <v>0.75</v>
      </c>
      <c r="U4185" s="12">
        <v>0.95</v>
      </c>
      <c r="V4185" s="12">
        <v>278.14999999999998</v>
      </c>
      <c r="W4185" s="12">
        <v>12.581314446066379</v>
      </c>
      <c r="X4185" s="12">
        <v>116.160036609947</v>
      </c>
      <c r="Y4185" s="12">
        <v>2600</v>
      </c>
      <c r="Z4185" s="12">
        <v>4.7142857142857144</v>
      </c>
      <c r="AA4185" s="12"/>
      <c r="AB4185" s="12"/>
    </row>
    <row r="4186" spans="1:28" x14ac:dyDescent="0.3">
      <c r="A4186" s="12" t="s">
        <v>6125</v>
      </c>
      <c r="B4186" s="12" t="s">
        <v>206</v>
      </c>
      <c r="C4186" s="12" t="s">
        <v>666</v>
      </c>
      <c r="D4186" s="12" t="s">
        <v>6113</v>
      </c>
      <c r="E4186" s="12" t="s">
        <v>4968</v>
      </c>
      <c r="F4186" s="12" t="s">
        <v>32</v>
      </c>
      <c r="G4186" s="12" t="s">
        <v>32</v>
      </c>
      <c r="H4186" s="12" t="b">
        <v>1</v>
      </c>
      <c r="I4186" s="12" t="b">
        <v>1</v>
      </c>
      <c r="J4186" s="12" t="b">
        <v>0</v>
      </c>
      <c r="K4186" s="12" t="b">
        <v>0</v>
      </c>
      <c r="L4186" s="12">
        <v>394.15</v>
      </c>
      <c r="M4186" s="12">
        <v>278.14999999999998</v>
      </c>
      <c r="N4186" s="12">
        <v>3300</v>
      </c>
      <c r="O4186" s="12">
        <v>750</v>
      </c>
      <c r="P4186" s="12">
        <v>0.82</v>
      </c>
      <c r="Q4186" s="12">
        <v>0.9</v>
      </c>
      <c r="R4186" s="12">
        <v>0.8</v>
      </c>
      <c r="S4186" s="12">
        <v>0.85</v>
      </c>
      <c r="T4186" s="12">
        <v>0.75</v>
      </c>
      <c r="U4186" s="12">
        <v>0.95</v>
      </c>
      <c r="V4186" s="12">
        <v>283.14999999999998</v>
      </c>
      <c r="W4186" s="12">
        <v>12.11344297884353</v>
      </c>
      <c r="X4186" s="12">
        <v>111.8598823594628</v>
      </c>
      <c r="Y4186" s="12">
        <v>2550</v>
      </c>
      <c r="Z4186" s="12">
        <v>4.4000000000000004</v>
      </c>
      <c r="AA4186" s="12"/>
      <c r="AB4186" s="12"/>
    </row>
    <row r="4187" spans="1:28" x14ac:dyDescent="0.3">
      <c r="A4187" s="12" t="s">
        <v>6126</v>
      </c>
      <c r="B4187" s="12" t="s">
        <v>206</v>
      </c>
      <c r="C4187" s="12" t="s">
        <v>666</v>
      </c>
      <c r="D4187" s="12" t="s">
        <v>6113</v>
      </c>
      <c r="E4187" s="12" t="s">
        <v>4968</v>
      </c>
      <c r="F4187" s="12" t="s">
        <v>32</v>
      </c>
      <c r="G4187" s="12" t="s">
        <v>32</v>
      </c>
      <c r="H4187" s="12" t="b">
        <v>1</v>
      </c>
      <c r="I4187" s="12" t="b">
        <v>1</v>
      </c>
      <c r="J4187" s="12" t="b">
        <v>0</v>
      </c>
      <c r="K4187" s="12" t="b">
        <v>0</v>
      </c>
      <c r="L4187" s="12">
        <v>394.15</v>
      </c>
      <c r="M4187" s="12">
        <v>278.14999999999998</v>
      </c>
      <c r="N4187" s="12">
        <v>3300</v>
      </c>
      <c r="O4187" s="12">
        <v>750</v>
      </c>
      <c r="P4187" s="12">
        <v>0.82</v>
      </c>
      <c r="Q4187" s="12">
        <v>0.9</v>
      </c>
      <c r="R4187" s="12">
        <v>0.8</v>
      </c>
      <c r="S4187" s="12">
        <v>0.85</v>
      </c>
      <c r="T4187" s="12">
        <v>0.75</v>
      </c>
      <c r="U4187" s="12">
        <v>0.95</v>
      </c>
      <c r="V4187" s="12">
        <v>278.14999999999998</v>
      </c>
      <c r="W4187" s="12">
        <v>12.11344297884353</v>
      </c>
      <c r="X4187" s="12">
        <v>111.8598823594628</v>
      </c>
      <c r="Y4187" s="12">
        <v>2550</v>
      </c>
      <c r="Z4187" s="12">
        <v>4.4000000000000004</v>
      </c>
      <c r="AA4187" s="12"/>
      <c r="AB4187" s="12"/>
    </row>
    <row r="4188" spans="1:28" x14ac:dyDescent="0.3">
      <c r="A4188" s="12" t="s">
        <v>6127</v>
      </c>
      <c r="B4188" s="12" t="s">
        <v>206</v>
      </c>
      <c r="C4188" s="12" t="s">
        <v>666</v>
      </c>
      <c r="D4188" s="12" t="s">
        <v>6113</v>
      </c>
      <c r="E4188" s="12" t="s">
        <v>4968</v>
      </c>
      <c r="F4188" s="12" t="s">
        <v>32</v>
      </c>
      <c r="G4188" s="12" t="s">
        <v>32</v>
      </c>
      <c r="H4188" s="12" t="b">
        <v>1</v>
      </c>
      <c r="I4188" s="12" t="b">
        <v>1</v>
      </c>
      <c r="J4188" s="12" t="b">
        <v>0</v>
      </c>
      <c r="K4188" s="12" t="b">
        <v>0</v>
      </c>
      <c r="L4188" s="12">
        <v>394.15</v>
      </c>
      <c r="M4188" s="12">
        <v>278.14999999999998</v>
      </c>
      <c r="N4188" s="12">
        <v>3300</v>
      </c>
      <c r="O4188" s="12">
        <v>800</v>
      </c>
      <c r="P4188" s="12">
        <v>0.82</v>
      </c>
      <c r="Q4188" s="12">
        <v>0.9</v>
      </c>
      <c r="R4188" s="12">
        <v>0.8</v>
      </c>
      <c r="S4188" s="12">
        <v>0.85</v>
      </c>
      <c r="T4188" s="12">
        <v>0.75</v>
      </c>
      <c r="U4188" s="12">
        <v>0.95</v>
      </c>
      <c r="V4188" s="12">
        <v>283.14999999999998</v>
      </c>
      <c r="W4188" s="12">
        <v>11.62985863251361</v>
      </c>
      <c r="X4188" s="12">
        <v>107.3818843882582</v>
      </c>
      <c r="Y4188" s="12">
        <v>2500</v>
      </c>
      <c r="Z4188" s="12">
        <v>4.125</v>
      </c>
      <c r="AA4188" s="12"/>
      <c r="AB4188" s="12"/>
    </row>
    <row r="4189" spans="1:28" x14ac:dyDescent="0.3">
      <c r="A4189" s="12" t="s">
        <v>6128</v>
      </c>
      <c r="B4189" s="12" t="s">
        <v>206</v>
      </c>
      <c r="C4189" s="12" t="s">
        <v>666</v>
      </c>
      <c r="D4189" s="12" t="s">
        <v>6113</v>
      </c>
      <c r="E4189" s="12" t="s">
        <v>4968</v>
      </c>
      <c r="F4189" s="12" t="s">
        <v>32</v>
      </c>
      <c r="G4189" s="12" t="s">
        <v>32</v>
      </c>
      <c r="H4189" s="12" t="b">
        <v>1</v>
      </c>
      <c r="I4189" s="12" t="b">
        <v>1</v>
      </c>
      <c r="J4189" s="12" t="b">
        <v>0</v>
      </c>
      <c r="K4189" s="12" t="b">
        <v>0</v>
      </c>
      <c r="L4189" s="12">
        <v>394.15</v>
      </c>
      <c r="M4189" s="12">
        <v>278.14999999999998</v>
      </c>
      <c r="N4189" s="12">
        <v>3300</v>
      </c>
      <c r="O4189" s="12">
        <v>800</v>
      </c>
      <c r="P4189" s="12">
        <v>0.82</v>
      </c>
      <c r="Q4189" s="12">
        <v>0.9</v>
      </c>
      <c r="R4189" s="12">
        <v>0.8</v>
      </c>
      <c r="S4189" s="12">
        <v>0.85</v>
      </c>
      <c r="T4189" s="12">
        <v>0.75</v>
      </c>
      <c r="U4189" s="12">
        <v>0.95</v>
      </c>
      <c r="V4189" s="12">
        <v>278.14999999999998</v>
      </c>
      <c r="W4189" s="12">
        <v>11.62985863251361</v>
      </c>
      <c r="X4189" s="12">
        <v>107.3818843882582</v>
      </c>
      <c r="Y4189" s="12">
        <v>2500</v>
      </c>
      <c r="Z4189" s="12">
        <v>4.125</v>
      </c>
      <c r="AA4189" s="12"/>
      <c r="AB4189" s="12"/>
    </row>
    <row r="4190" spans="1:28" x14ac:dyDescent="0.3">
      <c r="A4190" s="12" t="s">
        <v>6129</v>
      </c>
      <c r="B4190" s="12" t="s">
        <v>206</v>
      </c>
      <c r="C4190" s="12" t="s">
        <v>666</v>
      </c>
      <c r="D4190" s="12" t="s">
        <v>6113</v>
      </c>
      <c r="E4190" s="12" t="s">
        <v>4968</v>
      </c>
      <c r="F4190" s="12" t="s">
        <v>32</v>
      </c>
      <c r="G4190" s="12" t="s">
        <v>32</v>
      </c>
      <c r="H4190" s="12" t="b">
        <v>1</v>
      </c>
      <c r="I4190" s="12" t="b">
        <v>1</v>
      </c>
      <c r="J4190" s="12" t="b">
        <v>0</v>
      </c>
      <c r="K4190" s="12" t="b">
        <v>0</v>
      </c>
      <c r="L4190" s="12">
        <v>394.15</v>
      </c>
      <c r="M4190" s="12">
        <v>278.14999999999998</v>
      </c>
      <c r="N4190" s="12">
        <v>3300</v>
      </c>
      <c r="O4190" s="12">
        <v>850</v>
      </c>
      <c r="P4190" s="12">
        <v>0.82</v>
      </c>
      <c r="Q4190" s="12">
        <v>0.9</v>
      </c>
      <c r="R4190" s="12">
        <v>0.8</v>
      </c>
      <c r="S4190" s="12">
        <v>0.85</v>
      </c>
      <c r="T4190" s="12">
        <v>0.75</v>
      </c>
      <c r="U4190" s="12">
        <v>0.95</v>
      </c>
      <c r="V4190" s="12">
        <v>283.14999999999998</v>
      </c>
      <c r="W4190" s="12">
        <v>11.17164861327897</v>
      </c>
      <c r="X4190" s="12">
        <v>103.139987552983</v>
      </c>
      <c r="Y4190" s="12">
        <v>2450</v>
      </c>
      <c r="Z4190" s="12">
        <v>3.882352941176471</v>
      </c>
      <c r="AA4190" s="12"/>
      <c r="AB4190" s="12"/>
    </row>
    <row r="4191" spans="1:28" x14ac:dyDescent="0.3">
      <c r="A4191" s="12" t="s">
        <v>6130</v>
      </c>
      <c r="B4191" s="12" t="s">
        <v>206</v>
      </c>
      <c r="C4191" s="12" t="s">
        <v>666</v>
      </c>
      <c r="D4191" s="12" t="s">
        <v>6113</v>
      </c>
      <c r="E4191" s="12" t="s">
        <v>4968</v>
      </c>
      <c r="F4191" s="12" t="s">
        <v>32</v>
      </c>
      <c r="G4191" s="12" t="s">
        <v>32</v>
      </c>
      <c r="H4191" s="12" t="b">
        <v>1</v>
      </c>
      <c r="I4191" s="12" t="b">
        <v>1</v>
      </c>
      <c r="J4191" s="12" t="b">
        <v>0</v>
      </c>
      <c r="K4191" s="12" t="b">
        <v>0</v>
      </c>
      <c r="L4191" s="12">
        <v>394.15</v>
      </c>
      <c r="M4191" s="12">
        <v>278.14999999999998</v>
      </c>
      <c r="N4191" s="12">
        <v>3300</v>
      </c>
      <c r="O4191" s="12">
        <v>850</v>
      </c>
      <c r="P4191" s="12">
        <v>0.82</v>
      </c>
      <c r="Q4191" s="12">
        <v>0.9</v>
      </c>
      <c r="R4191" s="12">
        <v>0.8</v>
      </c>
      <c r="S4191" s="12">
        <v>0.85</v>
      </c>
      <c r="T4191" s="12">
        <v>0.75</v>
      </c>
      <c r="U4191" s="12">
        <v>0.95</v>
      </c>
      <c r="V4191" s="12">
        <v>278.14999999999998</v>
      </c>
      <c r="W4191" s="12">
        <v>11.17164861327897</v>
      </c>
      <c r="X4191" s="12">
        <v>103.139987552983</v>
      </c>
      <c r="Y4191" s="12">
        <v>2450</v>
      </c>
      <c r="Z4191" s="12">
        <v>3.882352941176471</v>
      </c>
      <c r="AA4191" s="12"/>
      <c r="AB4191" s="12"/>
    </row>
    <row r="4192" spans="1:28" x14ac:dyDescent="0.3">
      <c r="A4192" s="12" t="s">
        <v>6131</v>
      </c>
      <c r="B4192" s="12" t="s">
        <v>206</v>
      </c>
      <c r="C4192" s="12" t="s">
        <v>666</v>
      </c>
      <c r="D4192" s="12" t="s">
        <v>6113</v>
      </c>
      <c r="E4192" s="12" t="s">
        <v>4968</v>
      </c>
      <c r="F4192" s="12" t="s">
        <v>32</v>
      </c>
      <c r="G4192" s="12" t="s">
        <v>32</v>
      </c>
      <c r="H4192" s="12" t="b">
        <v>1</v>
      </c>
      <c r="I4192" s="12" t="b">
        <v>1</v>
      </c>
      <c r="J4192" s="12" t="b">
        <v>0</v>
      </c>
      <c r="K4192" s="12" t="b">
        <v>0</v>
      </c>
      <c r="L4192" s="12">
        <v>394.15</v>
      </c>
      <c r="M4192" s="12">
        <v>278.14999999999998</v>
      </c>
      <c r="N4192" s="12">
        <v>3300</v>
      </c>
      <c r="O4192" s="12">
        <v>900</v>
      </c>
      <c r="P4192" s="12">
        <v>0.82</v>
      </c>
      <c r="Q4192" s="12">
        <v>0.9</v>
      </c>
      <c r="R4192" s="12">
        <v>0.8</v>
      </c>
      <c r="S4192" s="12">
        <v>0.85</v>
      </c>
      <c r="T4192" s="12">
        <v>0.75</v>
      </c>
      <c r="U4192" s="12">
        <v>0.95</v>
      </c>
      <c r="V4192" s="12">
        <v>283.14999999999998</v>
      </c>
      <c r="W4192" s="12">
        <v>10.73610439817951</v>
      </c>
      <c r="X4192" s="12">
        <v>99.108930253546177</v>
      </c>
      <c r="Y4192" s="12">
        <v>2400</v>
      </c>
      <c r="Z4192" s="12">
        <v>3.666666666666667</v>
      </c>
      <c r="AA4192" s="12"/>
      <c r="AB4192" s="12"/>
    </row>
    <row r="4193" spans="1:28" x14ac:dyDescent="0.3">
      <c r="A4193" s="12" t="s">
        <v>6132</v>
      </c>
      <c r="B4193" s="12" t="s">
        <v>206</v>
      </c>
      <c r="C4193" s="12" t="s">
        <v>666</v>
      </c>
      <c r="D4193" s="12" t="s">
        <v>6113</v>
      </c>
      <c r="E4193" s="12" t="s">
        <v>4968</v>
      </c>
      <c r="F4193" s="12" t="s">
        <v>32</v>
      </c>
      <c r="G4193" s="12" t="s">
        <v>32</v>
      </c>
      <c r="H4193" s="12" t="b">
        <v>1</v>
      </c>
      <c r="I4193" s="12" t="b">
        <v>1</v>
      </c>
      <c r="J4193" s="12" t="b">
        <v>0</v>
      </c>
      <c r="K4193" s="12" t="b">
        <v>0</v>
      </c>
      <c r="L4193" s="12">
        <v>394.15</v>
      </c>
      <c r="M4193" s="12">
        <v>278.14999999999998</v>
      </c>
      <c r="N4193" s="12">
        <v>3300</v>
      </c>
      <c r="O4193" s="12">
        <v>900</v>
      </c>
      <c r="P4193" s="12">
        <v>0.82</v>
      </c>
      <c r="Q4193" s="12">
        <v>0.9</v>
      </c>
      <c r="R4193" s="12">
        <v>0.8</v>
      </c>
      <c r="S4193" s="12">
        <v>0.85</v>
      </c>
      <c r="T4193" s="12">
        <v>0.75</v>
      </c>
      <c r="U4193" s="12">
        <v>0.95</v>
      </c>
      <c r="V4193" s="12">
        <v>278.14999999999998</v>
      </c>
      <c r="W4193" s="12">
        <v>10.73610439817951</v>
      </c>
      <c r="X4193" s="12">
        <v>99.108930253546177</v>
      </c>
      <c r="Y4193" s="12">
        <v>2400</v>
      </c>
      <c r="Z4193" s="12">
        <v>3.666666666666667</v>
      </c>
      <c r="AA4193" s="12"/>
      <c r="AB4193" s="12"/>
    </row>
    <row r="4194" spans="1:28" x14ac:dyDescent="0.3">
      <c r="A4194" s="12" t="s">
        <v>6133</v>
      </c>
      <c r="B4194" s="12" t="s">
        <v>206</v>
      </c>
      <c r="C4194" s="12" t="s">
        <v>666</v>
      </c>
      <c r="D4194" s="12" t="s">
        <v>6113</v>
      </c>
      <c r="E4194" s="12" t="s">
        <v>4968</v>
      </c>
      <c r="F4194" s="12" t="s">
        <v>32</v>
      </c>
      <c r="G4194" s="12" t="s">
        <v>32</v>
      </c>
      <c r="H4194" s="12" t="b">
        <v>1</v>
      </c>
      <c r="I4194" s="12" t="b">
        <v>1</v>
      </c>
      <c r="J4194" s="12" t="b">
        <v>0</v>
      </c>
      <c r="K4194" s="12" t="b">
        <v>0</v>
      </c>
      <c r="L4194" s="12">
        <v>394.15</v>
      </c>
      <c r="M4194" s="12">
        <v>278.14999999999998</v>
      </c>
      <c r="N4194" s="12">
        <v>3300</v>
      </c>
      <c r="O4194" s="12">
        <v>950</v>
      </c>
      <c r="P4194" s="12">
        <v>0.82</v>
      </c>
      <c r="Q4194" s="12">
        <v>0.9</v>
      </c>
      <c r="R4194" s="12">
        <v>0.8</v>
      </c>
      <c r="S4194" s="12">
        <v>0.85</v>
      </c>
      <c r="T4194" s="12">
        <v>0.75</v>
      </c>
      <c r="U4194" s="12">
        <v>0.95</v>
      </c>
      <c r="V4194" s="12">
        <v>283.14999999999998</v>
      </c>
      <c r="W4194" s="12">
        <v>10.32094550926344</v>
      </c>
      <c r="X4194" s="12">
        <v>95.267447676826123</v>
      </c>
      <c r="Y4194" s="12">
        <v>2350</v>
      </c>
      <c r="Z4194" s="12">
        <v>3.4736842105263159</v>
      </c>
      <c r="AA4194" s="12"/>
      <c r="AB4194" s="12"/>
    </row>
    <row r="4195" spans="1:28" x14ac:dyDescent="0.3">
      <c r="A4195" s="12" t="s">
        <v>6134</v>
      </c>
      <c r="B4195" s="12" t="s">
        <v>206</v>
      </c>
      <c r="C4195" s="12" t="s">
        <v>666</v>
      </c>
      <c r="D4195" s="12" t="s">
        <v>6113</v>
      </c>
      <c r="E4195" s="12" t="s">
        <v>4968</v>
      </c>
      <c r="F4195" s="12" t="s">
        <v>32</v>
      </c>
      <c r="G4195" s="12" t="s">
        <v>32</v>
      </c>
      <c r="H4195" s="12" t="b">
        <v>1</v>
      </c>
      <c r="I4195" s="12" t="b">
        <v>1</v>
      </c>
      <c r="J4195" s="12" t="b">
        <v>0</v>
      </c>
      <c r="K4195" s="12" t="b">
        <v>0</v>
      </c>
      <c r="L4195" s="12">
        <v>394.15</v>
      </c>
      <c r="M4195" s="12">
        <v>278.14999999999998</v>
      </c>
      <c r="N4195" s="12">
        <v>3300</v>
      </c>
      <c r="O4195" s="12">
        <v>950</v>
      </c>
      <c r="P4195" s="12">
        <v>0.82</v>
      </c>
      <c r="Q4195" s="12">
        <v>0.9</v>
      </c>
      <c r="R4195" s="12">
        <v>0.8</v>
      </c>
      <c r="S4195" s="12">
        <v>0.85</v>
      </c>
      <c r="T4195" s="12">
        <v>0.75</v>
      </c>
      <c r="U4195" s="12">
        <v>0.95</v>
      </c>
      <c r="V4195" s="12">
        <v>278.14999999999998</v>
      </c>
      <c r="W4195" s="12">
        <v>10.32094550926344</v>
      </c>
      <c r="X4195" s="12">
        <v>95.267447676826123</v>
      </c>
      <c r="Y4195" s="12">
        <v>2350</v>
      </c>
      <c r="Z4195" s="12">
        <v>3.4736842105263159</v>
      </c>
      <c r="AA4195" s="12"/>
      <c r="AB4195" s="12"/>
    </row>
    <row r="4196" spans="1:28" x14ac:dyDescent="0.3">
      <c r="A4196" s="12" t="s">
        <v>6135</v>
      </c>
      <c r="B4196" s="12" t="s">
        <v>206</v>
      </c>
      <c r="C4196" s="12" t="s">
        <v>666</v>
      </c>
      <c r="D4196" s="12" t="s">
        <v>6113</v>
      </c>
      <c r="E4196" s="12" t="s">
        <v>4968</v>
      </c>
      <c r="F4196" s="12" t="s">
        <v>32</v>
      </c>
      <c r="G4196" s="12" t="s">
        <v>32</v>
      </c>
      <c r="H4196" s="12" t="b">
        <v>1</v>
      </c>
      <c r="I4196" s="12" t="b">
        <v>1</v>
      </c>
      <c r="J4196" s="12" t="b">
        <v>0</v>
      </c>
      <c r="K4196" s="12" t="b">
        <v>0</v>
      </c>
      <c r="L4196" s="12">
        <v>394.15</v>
      </c>
      <c r="M4196" s="12">
        <v>278.14999999999998</v>
      </c>
      <c r="N4196" s="12">
        <v>3300</v>
      </c>
      <c r="O4196" s="12">
        <v>1000</v>
      </c>
      <c r="P4196" s="12">
        <v>0.82</v>
      </c>
      <c r="Q4196" s="12">
        <v>0.9</v>
      </c>
      <c r="R4196" s="12">
        <v>0.8</v>
      </c>
      <c r="S4196" s="12">
        <v>0.85</v>
      </c>
      <c r="T4196" s="12">
        <v>0.75</v>
      </c>
      <c r="U4196" s="12">
        <v>0.95</v>
      </c>
      <c r="V4196" s="12">
        <v>283.14999999999998</v>
      </c>
      <c r="W4196" s="12">
        <v>9.9242331125012608</v>
      </c>
      <c r="X4196" s="12">
        <v>91.59746440326164</v>
      </c>
      <c r="Y4196" s="12">
        <v>2300</v>
      </c>
      <c r="Z4196" s="12">
        <v>3.3</v>
      </c>
      <c r="AA4196" s="12"/>
      <c r="AB4196" s="12"/>
    </row>
    <row r="4197" spans="1:28" x14ac:dyDescent="0.3">
      <c r="A4197" s="12" t="s">
        <v>6136</v>
      </c>
      <c r="B4197" s="12" t="s">
        <v>206</v>
      </c>
      <c r="C4197" s="12" t="s">
        <v>666</v>
      </c>
      <c r="D4197" s="12" t="s">
        <v>6113</v>
      </c>
      <c r="E4197" s="12" t="s">
        <v>4968</v>
      </c>
      <c r="F4197" s="12" t="s">
        <v>32</v>
      </c>
      <c r="G4197" s="12" t="s">
        <v>32</v>
      </c>
      <c r="H4197" s="12" t="b">
        <v>1</v>
      </c>
      <c r="I4197" s="12" t="b">
        <v>1</v>
      </c>
      <c r="J4197" s="12" t="b">
        <v>0</v>
      </c>
      <c r="K4197" s="12" t="b">
        <v>0</v>
      </c>
      <c r="L4197" s="12">
        <v>394.15</v>
      </c>
      <c r="M4197" s="12">
        <v>278.14999999999998</v>
      </c>
      <c r="N4197" s="12">
        <v>3300</v>
      </c>
      <c r="O4197" s="12">
        <v>1000</v>
      </c>
      <c r="P4197" s="12">
        <v>0.82</v>
      </c>
      <c r="Q4197" s="12">
        <v>0.9</v>
      </c>
      <c r="R4197" s="12">
        <v>0.8</v>
      </c>
      <c r="S4197" s="12">
        <v>0.85</v>
      </c>
      <c r="T4197" s="12">
        <v>0.75</v>
      </c>
      <c r="U4197" s="12">
        <v>0.95</v>
      </c>
      <c r="V4197" s="12">
        <v>278.14999999999998</v>
      </c>
      <c r="W4197" s="12">
        <v>9.9242331125012608</v>
      </c>
      <c r="X4197" s="12">
        <v>91.59746440326164</v>
      </c>
      <c r="Y4197" s="12">
        <v>2300</v>
      </c>
      <c r="Z4197" s="12">
        <v>3.3</v>
      </c>
      <c r="AA4197" s="12"/>
      <c r="AB4197" s="12"/>
    </row>
    <row r="4198" spans="1:28" x14ac:dyDescent="0.3">
      <c r="A4198" s="12" t="s">
        <v>6137</v>
      </c>
      <c r="B4198" s="12" t="s">
        <v>206</v>
      </c>
      <c r="C4198" s="12" t="s">
        <v>676</v>
      </c>
      <c r="D4198" s="12" t="s">
        <v>189</v>
      </c>
      <c r="E4198" s="12" t="s">
        <v>4968</v>
      </c>
      <c r="F4198" s="12" t="s">
        <v>32</v>
      </c>
      <c r="G4198" s="12" t="s">
        <v>32</v>
      </c>
      <c r="H4198" s="12" t="b">
        <v>1</v>
      </c>
      <c r="I4198" s="12" t="b">
        <v>1</v>
      </c>
      <c r="J4198" s="12" t="b">
        <v>0</v>
      </c>
      <c r="K4198" s="12" t="b">
        <v>0</v>
      </c>
      <c r="L4198" s="12">
        <v>394.15</v>
      </c>
      <c r="M4198" s="12">
        <v>278.14999999999998</v>
      </c>
      <c r="N4198" s="12">
        <v>3300</v>
      </c>
      <c r="O4198" s="12">
        <v>690</v>
      </c>
      <c r="P4198" s="12">
        <v>0.82</v>
      </c>
      <c r="Q4198" s="12">
        <v>0.9</v>
      </c>
      <c r="R4198" s="12">
        <v>0.8</v>
      </c>
      <c r="S4198" s="12">
        <v>0.85</v>
      </c>
      <c r="T4198" s="12">
        <v>0.75</v>
      </c>
      <c r="U4198" s="12">
        <v>0.95</v>
      </c>
      <c r="V4198" s="12">
        <v>283.14999999999998</v>
      </c>
      <c r="W4198" s="12">
        <v>12.729574184993171</v>
      </c>
      <c r="X4198" s="12">
        <v>117.5696691286374</v>
      </c>
      <c r="Y4198" s="12">
        <v>2610</v>
      </c>
      <c r="Z4198" s="12">
        <v>4.7826086956521738</v>
      </c>
      <c r="AA4198" s="12"/>
      <c r="AB4198" s="12"/>
    </row>
    <row r="4199" spans="1:28" x14ac:dyDescent="0.3">
      <c r="A4199" s="12" t="s">
        <v>6138</v>
      </c>
      <c r="B4199" s="12" t="s">
        <v>206</v>
      </c>
      <c r="C4199" s="12" t="s">
        <v>676</v>
      </c>
      <c r="D4199" s="12" t="s">
        <v>189</v>
      </c>
      <c r="E4199" s="12" t="s">
        <v>4968</v>
      </c>
      <c r="F4199" s="12" t="s">
        <v>32</v>
      </c>
      <c r="G4199" s="12" t="s">
        <v>32</v>
      </c>
      <c r="H4199" s="12" t="b">
        <v>1</v>
      </c>
      <c r="I4199" s="12" t="b">
        <v>1</v>
      </c>
      <c r="J4199" s="12" t="b">
        <v>0</v>
      </c>
      <c r="K4199" s="12" t="b">
        <v>0</v>
      </c>
      <c r="L4199" s="12">
        <v>415</v>
      </c>
      <c r="M4199" s="12">
        <v>300.032917</v>
      </c>
      <c r="N4199" s="12">
        <v>3000</v>
      </c>
      <c r="O4199" s="12">
        <v>400</v>
      </c>
      <c r="P4199" s="12">
        <v>0.5</v>
      </c>
      <c r="Q4199" s="12">
        <v>0.95</v>
      </c>
      <c r="R4199" s="12">
        <v>0.80499999999999994</v>
      </c>
      <c r="S4199" s="12">
        <v>0.95</v>
      </c>
      <c r="T4199" s="12">
        <v>0.95</v>
      </c>
      <c r="U4199" s="12">
        <v>0.95</v>
      </c>
      <c r="V4199" s="12">
        <v>300.032917</v>
      </c>
      <c r="W4199" s="12">
        <v>15.599935760583859</v>
      </c>
      <c r="X4199" s="12">
        <v>71.373183832043551</v>
      </c>
      <c r="Y4199" s="12">
        <v>2600</v>
      </c>
      <c r="Z4199" s="12">
        <v>7.5</v>
      </c>
      <c r="AA4199" s="12"/>
      <c r="AB4199" s="12"/>
    </row>
    <row r="4200" spans="1:28" x14ac:dyDescent="0.3">
      <c r="A4200" s="12" t="s">
        <v>6139</v>
      </c>
      <c r="B4200" s="12" t="s">
        <v>206</v>
      </c>
      <c r="C4200" s="12" t="s">
        <v>676</v>
      </c>
      <c r="D4200" s="12" t="s">
        <v>189</v>
      </c>
      <c r="E4200" s="12" t="s">
        <v>4968</v>
      </c>
      <c r="F4200" s="12" t="s">
        <v>32</v>
      </c>
      <c r="G4200" s="12" t="s">
        <v>32</v>
      </c>
      <c r="H4200" s="12" t="b">
        <v>1</v>
      </c>
      <c r="I4200" s="12" t="b">
        <v>1</v>
      </c>
      <c r="J4200" s="12" t="b">
        <v>0</v>
      </c>
      <c r="K4200" s="12" t="b">
        <v>0</v>
      </c>
      <c r="L4200" s="12">
        <v>403</v>
      </c>
      <c r="M4200" s="12">
        <v>300.032917</v>
      </c>
      <c r="N4200" s="12">
        <v>3000</v>
      </c>
      <c r="O4200" s="12">
        <v>563.63636363636374</v>
      </c>
      <c r="P4200" s="12">
        <v>0.5</v>
      </c>
      <c r="Q4200" s="12">
        <v>0.85</v>
      </c>
      <c r="R4200" s="12">
        <v>0.75</v>
      </c>
      <c r="S4200" s="12">
        <v>0.85</v>
      </c>
      <c r="T4200" s="12">
        <v>0.75</v>
      </c>
      <c r="U4200" s="12">
        <v>0.8</v>
      </c>
      <c r="V4200" s="12">
        <v>300.032917</v>
      </c>
      <c r="W4200" s="12">
        <v>8.4820358349664389</v>
      </c>
      <c r="X4200" s="12">
        <v>25.940264129447161</v>
      </c>
      <c r="Y4200" s="12">
        <v>2436.363636363636</v>
      </c>
      <c r="Z4200" s="12">
        <v>5.3225806451612891</v>
      </c>
      <c r="AA4200" s="12"/>
      <c r="AB4200" s="12"/>
    </row>
    <row r="4201" spans="1:28" x14ac:dyDescent="0.3">
      <c r="A4201" s="12" t="s">
        <v>6140</v>
      </c>
      <c r="B4201" s="12" t="s">
        <v>217</v>
      </c>
      <c r="C4201" s="12" t="s">
        <v>685</v>
      </c>
      <c r="D4201" s="12" t="s">
        <v>223</v>
      </c>
      <c r="E4201" s="12" t="s">
        <v>4968</v>
      </c>
      <c r="F4201" s="12" t="s">
        <v>32</v>
      </c>
      <c r="G4201" s="12" t="s">
        <v>32</v>
      </c>
      <c r="H4201" s="12" t="b">
        <v>1</v>
      </c>
      <c r="I4201" s="12" t="b">
        <v>0</v>
      </c>
      <c r="J4201" s="12" t="b">
        <v>0</v>
      </c>
      <c r="K4201" s="12" t="b">
        <v>0</v>
      </c>
      <c r="L4201" s="12">
        <v>394.15</v>
      </c>
      <c r="M4201" s="12">
        <v>278.14999999999998</v>
      </c>
      <c r="N4201" s="12">
        <v>3300</v>
      </c>
      <c r="O4201" s="12">
        <v>1400</v>
      </c>
      <c r="P4201" s="12">
        <v>0.82</v>
      </c>
      <c r="Q4201" s="12">
        <v>0.9</v>
      </c>
      <c r="R4201" s="12">
        <v>0.8</v>
      </c>
      <c r="S4201" s="12">
        <v>0.85</v>
      </c>
      <c r="T4201" s="12">
        <v>0.9</v>
      </c>
      <c r="U4201" s="12">
        <v>0.98</v>
      </c>
      <c r="V4201" s="12">
        <v>303.55</v>
      </c>
      <c r="W4201" s="12">
        <v>7.3186646811169407</v>
      </c>
      <c r="X4201" s="12">
        <v>67.052509575799291</v>
      </c>
      <c r="Y4201" s="12">
        <v>1900</v>
      </c>
      <c r="Z4201" s="12">
        <v>2.3571428571428572</v>
      </c>
      <c r="AA4201" s="12"/>
      <c r="AB4201" s="12"/>
    </row>
    <row r="4202" spans="1:28" x14ac:dyDescent="0.3">
      <c r="A4202" s="12" t="s">
        <v>6141</v>
      </c>
      <c r="B4202" s="12" t="s">
        <v>217</v>
      </c>
      <c r="C4202" s="12" t="s">
        <v>685</v>
      </c>
      <c r="D4202" s="12" t="s">
        <v>223</v>
      </c>
      <c r="E4202" s="12" t="s">
        <v>4968</v>
      </c>
      <c r="F4202" s="12" t="s">
        <v>32</v>
      </c>
      <c r="G4202" s="12" t="s">
        <v>32</v>
      </c>
      <c r="H4202" s="12" t="b">
        <v>1</v>
      </c>
      <c r="I4202" s="12" t="b">
        <v>0</v>
      </c>
      <c r="J4202" s="12" t="b">
        <v>0</v>
      </c>
      <c r="K4202" s="12" t="b">
        <v>0</v>
      </c>
      <c r="L4202" s="12">
        <v>394.15</v>
      </c>
      <c r="M4202" s="12">
        <v>278.14999999999998</v>
      </c>
      <c r="N4202" s="12">
        <v>3300</v>
      </c>
      <c r="O4202" s="12">
        <v>1300</v>
      </c>
      <c r="P4202" s="12">
        <v>0.82</v>
      </c>
      <c r="Q4202" s="12">
        <v>0.98</v>
      </c>
      <c r="R4202" s="12">
        <v>0.8</v>
      </c>
      <c r="S4202" s="12">
        <v>0.85</v>
      </c>
      <c r="T4202" s="12">
        <v>0.95</v>
      </c>
      <c r="U4202" s="12">
        <v>0.98</v>
      </c>
      <c r="V4202" s="12">
        <v>303.55</v>
      </c>
      <c r="W4202" s="12">
        <v>8.7486942496974809</v>
      </c>
      <c r="X4202" s="12">
        <v>79.504352232773158</v>
      </c>
      <c r="Y4202" s="12">
        <v>2000</v>
      </c>
      <c r="Z4202" s="12">
        <v>2.5384615384615379</v>
      </c>
      <c r="AA4202" s="12"/>
      <c r="AB4202" s="12"/>
    </row>
    <row r="4203" spans="1:28" x14ac:dyDescent="0.3">
      <c r="A4203" s="12" t="s">
        <v>6142</v>
      </c>
      <c r="B4203" s="12" t="s">
        <v>217</v>
      </c>
      <c r="C4203" s="12" t="s">
        <v>685</v>
      </c>
      <c r="D4203" s="12" t="s">
        <v>223</v>
      </c>
      <c r="E4203" s="12" t="s">
        <v>4968</v>
      </c>
      <c r="F4203" s="12" t="s">
        <v>32</v>
      </c>
      <c r="G4203" s="12" t="s">
        <v>32</v>
      </c>
      <c r="H4203" s="12" t="b">
        <v>1</v>
      </c>
      <c r="I4203" s="12" t="b">
        <v>0</v>
      </c>
      <c r="J4203" s="12" t="b">
        <v>0</v>
      </c>
      <c r="K4203" s="12" t="b">
        <v>0</v>
      </c>
      <c r="L4203" s="12">
        <v>394.15</v>
      </c>
      <c r="M4203" s="12">
        <v>278.14999999999998</v>
      </c>
      <c r="N4203" s="12">
        <v>3300</v>
      </c>
      <c r="O4203" s="12">
        <v>1300</v>
      </c>
      <c r="P4203" s="12">
        <v>0.82</v>
      </c>
      <c r="Q4203" s="12">
        <v>0.9</v>
      </c>
      <c r="R4203" s="12">
        <v>0.8</v>
      </c>
      <c r="S4203" s="12">
        <v>0.85</v>
      </c>
      <c r="T4203" s="12">
        <v>0.95</v>
      </c>
      <c r="U4203" s="12">
        <v>0.98</v>
      </c>
      <c r="V4203" s="12">
        <v>303.55</v>
      </c>
      <c r="W4203" s="12">
        <v>8.0035046190780399</v>
      </c>
      <c r="X4203" s="12">
        <v>72.726540080543941</v>
      </c>
      <c r="Y4203" s="12">
        <v>2000</v>
      </c>
      <c r="Z4203" s="12">
        <v>2.5384615384615379</v>
      </c>
      <c r="AA4203" s="12"/>
      <c r="AB4203" s="12"/>
    </row>
    <row r="4204" spans="1:28" x14ac:dyDescent="0.3">
      <c r="A4204" s="12" t="s">
        <v>6143</v>
      </c>
      <c r="B4204" s="12" t="s">
        <v>217</v>
      </c>
      <c r="C4204" s="12" t="s">
        <v>685</v>
      </c>
      <c r="D4204" s="12" t="s">
        <v>223</v>
      </c>
      <c r="E4204" s="12" t="s">
        <v>4968</v>
      </c>
      <c r="F4204" s="12" t="s">
        <v>32</v>
      </c>
      <c r="G4204" s="12" t="s">
        <v>32</v>
      </c>
      <c r="H4204" s="12" t="b">
        <v>1</v>
      </c>
      <c r="I4204" s="12" t="b">
        <v>0</v>
      </c>
      <c r="J4204" s="12" t="b">
        <v>0</v>
      </c>
      <c r="K4204" s="12" t="b">
        <v>0</v>
      </c>
      <c r="L4204" s="12">
        <v>394.15</v>
      </c>
      <c r="M4204" s="12">
        <v>278.14999999999998</v>
      </c>
      <c r="N4204" s="12">
        <v>3300</v>
      </c>
      <c r="O4204" s="12">
        <v>1100</v>
      </c>
      <c r="P4204" s="12">
        <v>0.82</v>
      </c>
      <c r="Q4204" s="12">
        <v>0.98</v>
      </c>
      <c r="R4204" s="12">
        <v>0.8</v>
      </c>
      <c r="S4204" s="12">
        <v>0.85</v>
      </c>
      <c r="T4204" s="12">
        <v>0.95</v>
      </c>
      <c r="U4204" s="12">
        <v>0.98</v>
      </c>
      <c r="V4204" s="12">
        <v>303.55</v>
      </c>
      <c r="W4204" s="12">
        <v>10.22842032668429</v>
      </c>
      <c r="X4204" s="12">
        <v>92.955177565414957</v>
      </c>
      <c r="Y4204" s="12">
        <v>2200</v>
      </c>
      <c r="Z4204" s="12">
        <v>3</v>
      </c>
      <c r="AA4204" s="12"/>
      <c r="AB4204" s="12"/>
    </row>
    <row r="4205" spans="1:28" x14ac:dyDescent="0.3">
      <c r="A4205" s="12" t="s">
        <v>6144</v>
      </c>
      <c r="B4205" s="12" t="s">
        <v>217</v>
      </c>
      <c r="C4205" s="12" t="s">
        <v>685</v>
      </c>
      <c r="D4205" s="12" t="s">
        <v>223</v>
      </c>
      <c r="E4205" s="12" t="s">
        <v>4968</v>
      </c>
      <c r="F4205" s="12" t="s">
        <v>32</v>
      </c>
      <c r="G4205" s="12" t="s">
        <v>32</v>
      </c>
      <c r="H4205" s="12" t="b">
        <v>1</v>
      </c>
      <c r="I4205" s="12" t="b">
        <v>0</v>
      </c>
      <c r="J4205" s="12" t="b">
        <v>0</v>
      </c>
      <c r="K4205" s="12" t="b">
        <v>0</v>
      </c>
      <c r="L4205" s="12">
        <v>394.15</v>
      </c>
      <c r="M4205" s="12">
        <v>278.14999999999998</v>
      </c>
      <c r="N4205" s="12">
        <v>3300</v>
      </c>
      <c r="O4205" s="12">
        <v>1200</v>
      </c>
      <c r="P4205" s="12">
        <v>0.82</v>
      </c>
      <c r="Q4205" s="12">
        <v>0.98</v>
      </c>
      <c r="R4205" s="12">
        <v>0.8</v>
      </c>
      <c r="S4205" s="12">
        <v>0.85</v>
      </c>
      <c r="T4205" s="12">
        <v>0.95</v>
      </c>
      <c r="U4205" s="12">
        <v>0.98</v>
      </c>
      <c r="V4205" s="12">
        <v>303.55</v>
      </c>
      <c r="W4205" s="12">
        <v>9.4616576265605801</v>
      </c>
      <c r="X4205" s="12">
        <v>85.984924120803782</v>
      </c>
      <c r="Y4205" s="12">
        <v>2100</v>
      </c>
      <c r="Z4205" s="12">
        <v>2.75</v>
      </c>
      <c r="AA4205" s="12"/>
      <c r="AB4205" s="12"/>
    </row>
    <row r="4206" spans="1:28" x14ac:dyDescent="0.3">
      <c r="A4206" s="12" t="s">
        <v>6145</v>
      </c>
      <c r="B4206" s="12" t="s">
        <v>217</v>
      </c>
      <c r="C4206" s="12" t="s">
        <v>685</v>
      </c>
      <c r="D4206" s="12" t="s">
        <v>223</v>
      </c>
      <c r="E4206" s="12" t="s">
        <v>4968</v>
      </c>
      <c r="F4206" s="12" t="s">
        <v>32</v>
      </c>
      <c r="G4206" s="12" t="s">
        <v>32</v>
      </c>
      <c r="H4206" s="12" t="b">
        <v>1</v>
      </c>
      <c r="I4206" s="12" t="b">
        <v>0</v>
      </c>
      <c r="J4206" s="12" t="b">
        <v>0</v>
      </c>
      <c r="K4206" s="12" t="b">
        <v>0</v>
      </c>
      <c r="L4206" s="12">
        <v>394.15</v>
      </c>
      <c r="M4206" s="12">
        <v>278.14999999999998</v>
      </c>
      <c r="N4206" s="12">
        <v>3300</v>
      </c>
      <c r="O4206" s="12">
        <v>1300</v>
      </c>
      <c r="P4206" s="12">
        <v>0.82</v>
      </c>
      <c r="Q4206" s="12">
        <v>0.95</v>
      </c>
      <c r="R4206" s="12">
        <v>0.8</v>
      </c>
      <c r="S4206" s="12">
        <v>0.85</v>
      </c>
      <c r="T4206" s="12">
        <v>0.95</v>
      </c>
      <c r="U4206" s="12">
        <v>0.98</v>
      </c>
      <c r="V4206" s="12">
        <v>303.55</v>
      </c>
      <c r="W4206" s="12">
        <v>8.469265210544739</v>
      </c>
      <c r="X4206" s="12">
        <v>76.96270018258771</v>
      </c>
      <c r="Y4206" s="12">
        <v>2000</v>
      </c>
      <c r="Z4206" s="12">
        <v>2.5384615384615379</v>
      </c>
      <c r="AA4206" s="12"/>
      <c r="AB4206" s="12"/>
    </row>
    <row r="4207" spans="1:28" x14ac:dyDescent="0.3">
      <c r="A4207" s="12" t="s">
        <v>6146</v>
      </c>
      <c r="B4207" s="12" t="s">
        <v>217</v>
      </c>
      <c r="C4207" s="12" t="s">
        <v>685</v>
      </c>
      <c r="D4207" s="12" t="s">
        <v>223</v>
      </c>
      <c r="E4207" s="12" t="s">
        <v>4968</v>
      </c>
      <c r="F4207" s="12" t="s">
        <v>32</v>
      </c>
      <c r="G4207" s="12" t="s">
        <v>32</v>
      </c>
      <c r="H4207" s="12" t="b">
        <v>1</v>
      </c>
      <c r="I4207" s="12" t="b">
        <v>0</v>
      </c>
      <c r="J4207" s="12" t="b">
        <v>0</v>
      </c>
      <c r="K4207" s="12" t="b">
        <v>0</v>
      </c>
      <c r="L4207" s="12">
        <v>394.15</v>
      </c>
      <c r="M4207" s="12">
        <v>278.14999999999998</v>
      </c>
      <c r="N4207" s="12">
        <v>3300</v>
      </c>
      <c r="O4207" s="12">
        <v>1500</v>
      </c>
      <c r="P4207" s="12">
        <v>0.82</v>
      </c>
      <c r="Q4207" s="12">
        <v>0.9</v>
      </c>
      <c r="R4207" s="12">
        <v>0.8</v>
      </c>
      <c r="S4207" s="12">
        <v>0.85</v>
      </c>
      <c r="T4207" s="12">
        <v>0.95</v>
      </c>
      <c r="U4207" s="12">
        <v>0.98</v>
      </c>
      <c r="V4207" s="12">
        <v>303.55</v>
      </c>
      <c r="W4207" s="12">
        <v>6.8196480901822492</v>
      </c>
      <c r="X4207" s="12">
        <v>61.968528995260193</v>
      </c>
      <c r="Y4207" s="12">
        <v>1800</v>
      </c>
      <c r="Z4207" s="12">
        <v>2.2000000000000002</v>
      </c>
      <c r="AA4207" s="12"/>
      <c r="AB4207" s="12"/>
    </row>
    <row r="4208" spans="1:28" x14ac:dyDescent="0.3">
      <c r="A4208" s="12" t="s">
        <v>6147</v>
      </c>
      <c r="B4208" s="12" t="s">
        <v>217</v>
      </c>
      <c r="C4208" s="12" t="s">
        <v>685</v>
      </c>
      <c r="D4208" s="12" t="s">
        <v>223</v>
      </c>
      <c r="E4208" s="12" t="s">
        <v>4968</v>
      </c>
      <c r="F4208" s="12" t="s">
        <v>32</v>
      </c>
      <c r="G4208" s="12" t="s">
        <v>32</v>
      </c>
      <c r="H4208" s="12" t="b">
        <v>1</v>
      </c>
      <c r="I4208" s="12" t="b">
        <v>0</v>
      </c>
      <c r="J4208" s="12" t="b">
        <v>0</v>
      </c>
      <c r="K4208" s="12" t="b">
        <v>0</v>
      </c>
      <c r="L4208" s="12">
        <v>394.15</v>
      </c>
      <c r="M4208" s="12">
        <v>278.14999999999998</v>
      </c>
      <c r="N4208" s="12">
        <v>3300</v>
      </c>
      <c r="O4208" s="12">
        <v>1200</v>
      </c>
      <c r="P4208" s="12">
        <v>0.82</v>
      </c>
      <c r="Q4208" s="12">
        <v>0.9</v>
      </c>
      <c r="R4208" s="12">
        <v>0.8</v>
      </c>
      <c r="S4208" s="12">
        <v>0.85</v>
      </c>
      <c r="T4208" s="12">
        <v>0.9</v>
      </c>
      <c r="U4208" s="12">
        <v>0.98</v>
      </c>
      <c r="V4208" s="12">
        <v>303.55</v>
      </c>
      <c r="W4208" s="12">
        <v>8.5698180587613493</v>
      </c>
      <c r="X4208" s="12">
        <v>78.516703611720061</v>
      </c>
      <c r="Y4208" s="12">
        <v>2100</v>
      </c>
      <c r="Z4208" s="12">
        <v>2.75</v>
      </c>
      <c r="AA4208" s="12"/>
      <c r="AB4208" s="12"/>
    </row>
    <row r="4209" spans="1:28" x14ac:dyDescent="0.3">
      <c r="A4209" s="12" t="s">
        <v>6148</v>
      </c>
      <c r="B4209" s="12" t="s">
        <v>217</v>
      </c>
      <c r="C4209" s="12" t="s">
        <v>685</v>
      </c>
      <c r="D4209" s="12" t="s">
        <v>223</v>
      </c>
      <c r="E4209" s="12" t="s">
        <v>4968</v>
      </c>
      <c r="F4209" s="12" t="s">
        <v>32</v>
      </c>
      <c r="G4209" s="12" t="s">
        <v>32</v>
      </c>
      <c r="H4209" s="12" t="b">
        <v>1</v>
      </c>
      <c r="I4209" s="12" t="b">
        <v>0</v>
      </c>
      <c r="J4209" s="12" t="b">
        <v>0</v>
      </c>
      <c r="K4209" s="12" t="b">
        <v>0</v>
      </c>
      <c r="L4209" s="12">
        <v>394.15</v>
      </c>
      <c r="M4209" s="12">
        <v>278.14999999999998</v>
      </c>
      <c r="N4209" s="12">
        <v>3300</v>
      </c>
      <c r="O4209" s="12">
        <v>1150</v>
      </c>
      <c r="P4209" s="12">
        <v>0.82</v>
      </c>
      <c r="Q4209" s="12">
        <v>0.9</v>
      </c>
      <c r="R4209" s="12">
        <v>0.8</v>
      </c>
      <c r="S4209" s="12">
        <v>0.85</v>
      </c>
      <c r="T4209" s="12">
        <v>0.95</v>
      </c>
      <c r="U4209" s="12">
        <v>0.98</v>
      </c>
      <c r="V4209" s="12">
        <v>303.55</v>
      </c>
      <c r="W4209" s="12">
        <v>9.0015127477921499</v>
      </c>
      <c r="X4209" s="12">
        <v>81.796740227599372</v>
      </c>
      <c r="Y4209" s="12">
        <v>2150</v>
      </c>
      <c r="Z4209" s="12">
        <v>2.8695652173913042</v>
      </c>
      <c r="AA4209" s="12"/>
      <c r="AB4209" s="12"/>
    </row>
    <row r="4210" spans="1:28" x14ac:dyDescent="0.3">
      <c r="A4210" s="12" t="s">
        <v>6149</v>
      </c>
      <c r="B4210" s="12" t="s">
        <v>217</v>
      </c>
      <c r="C4210" s="12" t="s">
        <v>685</v>
      </c>
      <c r="D4210" s="12" t="s">
        <v>223</v>
      </c>
      <c r="E4210" s="12" t="s">
        <v>4968</v>
      </c>
      <c r="F4210" s="12" t="s">
        <v>32</v>
      </c>
      <c r="G4210" s="12" t="s">
        <v>32</v>
      </c>
      <c r="H4210" s="12" t="b">
        <v>1</v>
      </c>
      <c r="I4210" s="12" t="b">
        <v>0</v>
      </c>
      <c r="J4210" s="12" t="b">
        <v>0</v>
      </c>
      <c r="K4210" s="12" t="b">
        <v>0</v>
      </c>
      <c r="L4210" s="12">
        <v>394.15</v>
      </c>
      <c r="M4210" s="12">
        <v>278.14999999999998</v>
      </c>
      <c r="N4210" s="12">
        <v>3300</v>
      </c>
      <c r="O4210" s="12">
        <v>1200</v>
      </c>
      <c r="P4210" s="12">
        <v>0.82</v>
      </c>
      <c r="Q4210" s="12">
        <v>0.9</v>
      </c>
      <c r="R4210" s="12">
        <v>0.8</v>
      </c>
      <c r="S4210" s="12">
        <v>0.85</v>
      </c>
      <c r="T4210" s="12">
        <v>0.95</v>
      </c>
      <c r="U4210" s="12">
        <v>0.98</v>
      </c>
      <c r="V4210" s="12">
        <v>303.55</v>
      </c>
      <c r="W4210" s="12">
        <v>8.6568086769108188</v>
      </c>
      <c r="X4210" s="12">
        <v>78.663843664603576</v>
      </c>
      <c r="Y4210" s="12">
        <v>2100</v>
      </c>
      <c r="Z4210" s="12">
        <v>2.75</v>
      </c>
      <c r="AA4210" s="12"/>
      <c r="AB4210" s="12"/>
    </row>
    <row r="4211" spans="1:28" x14ac:dyDescent="0.3">
      <c r="A4211" s="12" t="s">
        <v>6150</v>
      </c>
      <c r="B4211" s="12" t="s">
        <v>217</v>
      </c>
      <c r="C4211" s="12" t="s">
        <v>685</v>
      </c>
      <c r="D4211" s="12" t="s">
        <v>223</v>
      </c>
      <c r="E4211" s="12" t="s">
        <v>4968</v>
      </c>
      <c r="F4211" s="12" t="s">
        <v>32</v>
      </c>
      <c r="G4211" s="12" t="s">
        <v>32</v>
      </c>
      <c r="H4211" s="12" t="b">
        <v>1</v>
      </c>
      <c r="I4211" s="12" t="b">
        <v>0</v>
      </c>
      <c r="J4211" s="12" t="b">
        <v>0</v>
      </c>
      <c r="K4211" s="12" t="b">
        <v>0</v>
      </c>
      <c r="L4211" s="12">
        <v>394.15</v>
      </c>
      <c r="M4211" s="12">
        <v>278.14999999999998</v>
      </c>
      <c r="N4211" s="12">
        <v>3300</v>
      </c>
      <c r="O4211" s="12">
        <v>1250</v>
      </c>
      <c r="P4211" s="12">
        <v>0.82</v>
      </c>
      <c r="Q4211" s="12">
        <v>0.9</v>
      </c>
      <c r="R4211" s="12">
        <v>0.8</v>
      </c>
      <c r="S4211" s="12">
        <v>0.85</v>
      </c>
      <c r="T4211" s="12">
        <v>0.95</v>
      </c>
      <c r="U4211" s="12">
        <v>0.98</v>
      </c>
      <c r="V4211" s="12">
        <v>303.55</v>
      </c>
      <c r="W4211" s="12">
        <v>8.3244337906157408</v>
      </c>
      <c r="X4211" s="12">
        <v>75.643126588134251</v>
      </c>
      <c r="Y4211" s="12">
        <v>2050</v>
      </c>
      <c r="Z4211" s="12">
        <v>2.64</v>
      </c>
      <c r="AA4211" s="12"/>
      <c r="AB4211" s="12"/>
    </row>
    <row r="4212" spans="1:28" x14ac:dyDescent="0.3">
      <c r="A4212" s="12" t="s">
        <v>6151</v>
      </c>
      <c r="B4212" s="12" t="s">
        <v>217</v>
      </c>
      <c r="C4212" s="12" t="s">
        <v>685</v>
      </c>
      <c r="D4212" s="12" t="s">
        <v>223</v>
      </c>
      <c r="E4212" s="12" t="s">
        <v>4968</v>
      </c>
      <c r="F4212" s="12" t="s">
        <v>32</v>
      </c>
      <c r="G4212" s="12" t="s">
        <v>32</v>
      </c>
      <c r="H4212" s="12" t="b">
        <v>1</v>
      </c>
      <c r="I4212" s="12" t="b">
        <v>1</v>
      </c>
      <c r="J4212" s="12" t="b">
        <v>0</v>
      </c>
      <c r="K4212" s="12" t="b">
        <v>0</v>
      </c>
      <c r="L4212" s="12">
        <v>394.15</v>
      </c>
      <c r="M4212" s="12">
        <v>278.14999999999998</v>
      </c>
      <c r="N4212" s="12">
        <v>3300</v>
      </c>
      <c r="O4212" s="12">
        <v>1250</v>
      </c>
      <c r="P4212" s="12">
        <v>0.82</v>
      </c>
      <c r="Q4212" s="12">
        <v>0.9</v>
      </c>
      <c r="R4212" s="12">
        <v>0.8</v>
      </c>
      <c r="S4212" s="12">
        <v>0.85</v>
      </c>
      <c r="T4212" s="12">
        <v>0.95</v>
      </c>
      <c r="U4212" s="12">
        <v>0.95</v>
      </c>
      <c r="V4212" s="12">
        <v>303.55</v>
      </c>
      <c r="W4212" s="12">
        <v>8.4799070441782511</v>
      </c>
      <c r="X4212" s="12">
        <v>75.870561807645217</v>
      </c>
      <c r="Y4212" s="12">
        <v>2050</v>
      </c>
      <c r="Z4212" s="12">
        <v>2.64</v>
      </c>
      <c r="AA4212" s="12"/>
      <c r="AB4212" s="12"/>
    </row>
    <row r="4213" spans="1:28" x14ac:dyDescent="0.3">
      <c r="A4213" s="12" t="s">
        <v>6152</v>
      </c>
      <c r="B4213" s="12" t="s">
        <v>217</v>
      </c>
      <c r="C4213" s="12" t="s">
        <v>685</v>
      </c>
      <c r="D4213" s="12" t="s">
        <v>223</v>
      </c>
      <c r="E4213" s="12" t="s">
        <v>4968</v>
      </c>
      <c r="F4213" s="12" t="s">
        <v>32</v>
      </c>
      <c r="G4213" s="12" t="s">
        <v>32</v>
      </c>
      <c r="H4213" s="12" t="b">
        <v>1</v>
      </c>
      <c r="I4213" s="12" t="b">
        <v>1</v>
      </c>
      <c r="J4213" s="12" t="b">
        <v>0</v>
      </c>
      <c r="K4213" s="12" t="b">
        <v>0</v>
      </c>
      <c r="L4213" s="12">
        <v>394.15</v>
      </c>
      <c r="M4213" s="12">
        <v>278.14999999999998</v>
      </c>
      <c r="N4213" s="12">
        <v>3300</v>
      </c>
      <c r="O4213" s="12">
        <v>1200</v>
      </c>
      <c r="P4213" s="12">
        <v>0.82</v>
      </c>
      <c r="Q4213" s="12">
        <v>0.9</v>
      </c>
      <c r="R4213" s="12">
        <v>0.8</v>
      </c>
      <c r="S4213" s="12">
        <v>0.85</v>
      </c>
      <c r="T4213" s="12">
        <v>0.95</v>
      </c>
      <c r="U4213" s="12">
        <v>0.95</v>
      </c>
      <c r="V4213" s="12">
        <v>303.55</v>
      </c>
      <c r="W4213" s="12">
        <v>8.8179804878891606</v>
      </c>
      <c r="X4213" s="12">
        <v>78.900272399641196</v>
      </c>
      <c r="Y4213" s="12">
        <v>2100</v>
      </c>
      <c r="Z4213" s="12">
        <v>2.75</v>
      </c>
      <c r="AA4213" s="12"/>
      <c r="AB4213" s="12"/>
    </row>
    <row r="4214" spans="1:28" x14ac:dyDescent="0.3">
      <c r="A4214" s="12" t="s">
        <v>6153</v>
      </c>
      <c r="B4214" s="12" t="s">
        <v>217</v>
      </c>
      <c r="C4214" s="12" t="s">
        <v>685</v>
      </c>
      <c r="D4214" s="12" t="s">
        <v>223</v>
      </c>
      <c r="E4214" s="12" t="s">
        <v>4968</v>
      </c>
      <c r="F4214" s="12" t="s">
        <v>32</v>
      </c>
      <c r="G4214" s="12" t="s">
        <v>32</v>
      </c>
      <c r="H4214" s="12" t="b">
        <v>1</v>
      </c>
      <c r="I4214" s="12" t="b">
        <v>1</v>
      </c>
      <c r="J4214" s="12" t="b">
        <v>0</v>
      </c>
      <c r="K4214" s="12" t="b">
        <v>0</v>
      </c>
      <c r="L4214" s="12">
        <v>394.15</v>
      </c>
      <c r="M4214" s="12">
        <v>278.14999999999998</v>
      </c>
      <c r="N4214" s="12">
        <v>3300</v>
      </c>
      <c r="O4214" s="12">
        <v>1300</v>
      </c>
      <c r="P4214" s="12">
        <v>0.82</v>
      </c>
      <c r="Q4214" s="12">
        <v>0.9</v>
      </c>
      <c r="R4214" s="12">
        <v>0.8</v>
      </c>
      <c r="S4214" s="12">
        <v>0.85</v>
      </c>
      <c r="T4214" s="12">
        <v>0.95</v>
      </c>
      <c r="U4214" s="12">
        <v>0.95</v>
      </c>
      <c r="V4214" s="12">
        <v>303.55</v>
      </c>
      <c r="W4214" s="12">
        <v>8.15343623160134</v>
      </c>
      <c r="X4214" s="12">
        <v>72.945266772580467</v>
      </c>
      <c r="Y4214" s="12">
        <v>2000</v>
      </c>
      <c r="Z4214" s="12">
        <v>2.5384615384615379</v>
      </c>
      <c r="AA4214" s="12"/>
      <c r="AB4214" s="12"/>
    </row>
    <row r="4215" spans="1:28" x14ac:dyDescent="0.3">
      <c r="A4215" s="12" t="s">
        <v>6154</v>
      </c>
      <c r="B4215" s="12" t="s">
        <v>217</v>
      </c>
      <c r="C4215" s="12" t="s">
        <v>685</v>
      </c>
      <c r="D4215" s="12" t="s">
        <v>223</v>
      </c>
      <c r="E4215" s="12" t="s">
        <v>4968</v>
      </c>
      <c r="F4215" s="12" t="s">
        <v>32</v>
      </c>
      <c r="G4215" s="12" t="s">
        <v>32</v>
      </c>
      <c r="H4215" s="12" t="b">
        <v>1</v>
      </c>
      <c r="I4215" s="12" t="b">
        <v>1</v>
      </c>
      <c r="J4215" s="12" t="b">
        <v>0</v>
      </c>
      <c r="K4215" s="12" t="b">
        <v>0</v>
      </c>
      <c r="L4215" s="12">
        <v>394.15</v>
      </c>
      <c r="M4215" s="12">
        <v>278.14999999999998</v>
      </c>
      <c r="N4215" s="12">
        <v>3300</v>
      </c>
      <c r="O4215" s="12">
        <v>750</v>
      </c>
      <c r="P4215" s="12">
        <v>0.82</v>
      </c>
      <c r="Q4215" s="12">
        <v>0.9</v>
      </c>
      <c r="R4215" s="12">
        <v>0.8</v>
      </c>
      <c r="S4215" s="12">
        <v>0.85</v>
      </c>
      <c r="T4215" s="12">
        <v>0.95</v>
      </c>
      <c r="U4215" s="12">
        <v>0.95</v>
      </c>
      <c r="V4215" s="12">
        <v>283.14999999999998</v>
      </c>
      <c r="W4215" s="12">
        <v>12.580157352294989</v>
      </c>
      <c r="X4215" s="12">
        <v>112.6486986428784</v>
      </c>
      <c r="Y4215" s="12">
        <v>2550</v>
      </c>
      <c r="Z4215" s="12">
        <v>4.4000000000000004</v>
      </c>
      <c r="AA4215" s="12"/>
      <c r="AB4215" s="12"/>
    </row>
    <row r="4216" spans="1:28" x14ac:dyDescent="0.3">
      <c r="A4216" s="12" t="s">
        <v>6155</v>
      </c>
      <c r="B4216" s="12" t="s">
        <v>217</v>
      </c>
      <c r="C4216" s="12" t="s">
        <v>685</v>
      </c>
      <c r="D4216" s="12" t="s">
        <v>223</v>
      </c>
      <c r="E4216" s="12" t="s">
        <v>4968</v>
      </c>
      <c r="F4216" s="12" t="s">
        <v>32</v>
      </c>
      <c r="G4216" s="12" t="s">
        <v>32</v>
      </c>
      <c r="H4216" s="12" t="b">
        <v>1</v>
      </c>
      <c r="I4216" s="12" t="b">
        <v>1</v>
      </c>
      <c r="J4216" s="12" t="b">
        <v>0</v>
      </c>
      <c r="K4216" s="12" t="b">
        <v>0</v>
      </c>
      <c r="L4216" s="12">
        <v>394.15</v>
      </c>
      <c r="M4216" s="12">
        <v>278.14999999999998</v>
      </c>
      <c r="N4216" s="12">
        <v>3300</v>
      </c>
      <c r="O4216" s="12">
        <v>770</v>
      </c>
      <c r="P4216" s="12">
        <v>0.82</v>
      </c>
      <c r="Q4216" s="12">
        <v>0.9</v>
      </c>
      <c r="R4216" s="12">
        <v>0.8</v>
      </c>
      <c r="S4216" s="12">
        <v>0.85</v>
      </c>
      <c r="T4216" s="12">
        <v>0.95</v>
      </c>
      <c r="U4216" s="12">
        <v>0.95</v>
      </c>
      <c r="V4216" s="12">
        <v>283.14999999999998</v>
      </c>
      <c r="W4216" s="12">
        <v>12.375855367707221</v>
      </c>
      <c r="X4216" s="12">
        <v>110.8143951897724</v>
      </c>
      <c r="Y4216" s="12">
        <v>2530</v>
      </c>
      <c r="Z4216" s="12">
        <v>4.2857142857142856</v>
      </c>
      <c r="AA4216" s="12"/>
      <c r="AB4216" s="12"/>
    </row>
    <row r="4217" spans="1:28" x14ac:dyDescent="0.3">
      <c r="A4217" s="12" t="s">
        <v>6156</v>
      </c>
      <c r="B4217" s="12" t="s">
        <v>217</v>
      </c>
      <c r="C4217" s="12" t="s">
        <v>685</v>
      </c>
      <c r="D4217" s="12" t="s">
        <v>223</v>
      </c>
      <c r="E4217" s="12" t="s">
        <v>4968</v>
      </c>
      <c r="F4217" s="12" t="s">
        <v>32</v>
      </c>
      <c r="G4217" s="12" t="s">
        <v>32</v>
      </c>
      <c r="H4217" s="12" t="b">
        <v>1</v>
      </c>
      <c r="I4217" s="12" t="b">
        <v>1</v>
      </c>
      <c r="J4217" s="12" t="b">
        <v>0</v>
      </c>
      <c r="K4217" s="12" t="b">
        <v>0</v>
      </c>
      <c r="L4217" s="12">
        <v>394.15</v>
      </c>
      <c r="M4217" s="12">
        <v>278.14999999999998</v>
      </c>
      <c r="N4217" s="12">
        <v>3300</v>
      </c>
      <c r="O4217" s="12">
        <v>710</v>
      </c>
      <c r="P4217" s="12">
        <v>0.82</v>
      </c>
      <c r="Q4217" s="12">
        <v>0.9</v>
      </c>
      <c r="R4217" s="12">
        <v>0.8</v>
      </c>
      <c r="S4217" s="12">
        <v>0.85</v>
      </c>
      <c r="T4217" s="12">
        <v>0.95</v>
      </c>
      <c r="U4217" s="12">
        <v>0.95</v>
      </c>
      <c r="V4217" s="12">
        <v>283.14999999999998</v>
      </c>
      <c r="W4217" s="12">
        <v>13.003252544692289</v>
      </c>
      <c r="X4217" s="12">
        <v>116.4480294278987</v>
      </c>
      <c r="Y4217" s="12">
        <v>2590</v>
      </c>
      <c r="Z4217" s="12">
        <v>4.647887323943662</v>
      </c>
      <c r="AA4217" s="12"/>
      <c r="AB4217" s="12"/>
    </row>
    <row r="4218" spans="1:28" x14ac:dyDescent="0.3">
      <c r="A4218" s="12" t="s">
        <v>6157</v>
      </c>
      <c r="B4218" s="12" t="s">
        <v>217</v>
      </c>
      <c r="C4218" s="12" t="s">
        <v>685</v>
      </c>
      <c r="D4218" s="12" t="s">
        <v>223</v>
      </c>
      <c r="E4218" s="12" t="s">
        <v>4968</v>
      </c>
      <c r="F4218" s="12" t="s">
        <v>32</v>
      </c>
      <c r="G4218" s="12" t="s">
        <v>32</v>
      </c>
      <c r="H4218" s="12" t="b">
        <v>1</v>
      </c>
      <c r="I4218" s="12" t="b">
        <v>1</v>
      </c>
      <c r="J4218" s="12" t="b">
        <v>0</v>
      </c>
      <c r="K4218" s="12" t="b">
        <v>0</v>
      </c>
      <c r="L4218" s="12">
        <v>394.15</v>
      </c>
      <c r="M4218" s="12">
        <v>278.14999999999998</v>
      </c>
      <c r="N4218" s="12">
        <v>3300</v>
      </c>
      <c r="O4218" s="12">
        <v>790</v>
      </c>
      <c r="P4218" s="12">
        <v>0.82</v>
      </c>
      <c r="Q4218" s="12">
        <v>0.9</v>
      </c>
      <c r="R4218" s="12">
        <v>0.8</v>
      </c>
      <c r="S4218" s="12">
        <v>0.85</v>
      </c>
      <c r="T4218" s="12">
        <v>0.95</v>
      </c>
      <c r="U4218" s="12">
        <v>0.95</v>
      </c>
      <c r="V4218" s="12">
        <v>283.14999999999998</v>
      </c>
      <c r="W4218" s="12">
        <v>12.176074383139619</v>
      </c>
      <c r="X4218" s="12">
        <v>109.0208691274817</v>
      </c>
      <c r="Y4218" s="12">
        <v>2510</v>
      </c>
      <c r="Z4218" s="12">
        <v>4.1772151898734178</v>
      </c>
      <c r="AA4218" s="12"/>
      <c r="AB4218" s="12"/>
    </row>
    <row r="4219" spans="1:28" x14ac:dyDescent="0.3">
      <c r="A4219" s="12" t="s">
        <v>6158</v>
      </c>
      <c r="B4219" s="12" t="s">
        <v>217</v>
      </c>
      <c r="C4219" s="12" t="s">
        <v>685</v>
      </c>
      <c r="D4219" s="12" t="s">
        <v>223</v>
      </c>
      <c r="E4219" s="12" t="s">
        <v>4968</v>
      </c>
      <c r="F4219" s="12" t="s">
        <v>32</v>
      </c>
      <c r="G4219" s="12" t="s">
        <v>32</v>
      </c>
      <c r="H4219" s="12" t="b">
        <v>1</v>
      </c>
      <c r="I4219" s="12" t="b">
        <v>1</v>
      </c>
      <c r="J4219" s="12" t="b">
        <v>0</v>
      </c>
      <c r="K4219" s="12" t="b">
        <v>0</v>
      </c>
      <c r="L4219" s="12">
        <v>394.15</v>
      </c>
      <c r="M4219" s="12">
        <v>278.14999999999998</v>
      </c>
      <c r="N4219" s="12">
        <v>3300</v>
      </c>
      <c r="O4219" s="12">
        <v>670</v>
      </c>
      <c r="P4219" s="12">
        <v>0.82</v>
      </c>
      <c r="Q4219" s="12">
        <v>0.9</v>
      </c>
      <c r="R4219" s="12">
        <v>0.8</v>
      </c>
      <c r="S4219" s="12">
        <v>0.85</v>
      </c>
      <c r="T4219" s="12">
        <v>0.95</v>
      </c>
      <c r="U4219" s="12">
        <v>0.95</v>
      </c>
      <c r="V4219" s="12">
        <v>283.14999999999998</v>
      </c>
      <c r="W4219" s="12">
        <v>13.44741292225992</v>
      </c>
      <c r="X4219" s="12">
        <v>120.43742368566529</v>
      </c>
      <c r="Y4219" s="12">
        <v>2630</v>
      </c>
      <c r="Z4219" s="12">
        <v>4.9253731343283578</v>
      </c>
      <c r="AA4219" s="12"/>
      <c r="AB4219" s="12"/>
    </row>
    <row r="4220" spans="1:28" x14ac:dyDescent="0.3">
      <c r="A4220" s="12" t="s">
        <v>6159</v>
      </c>
      <c r="B4220" s="12" t="s">
        <v>217</v>
      </c>
      <c r="C4220" s="12" t="s">
        <v>685</v>
      </c>
      <c r="D4220" s="12" t="s">
        <v>223</v>
      </c>
      <c r="E4220" s="12" t="s">
        <v>4968</v>
      </c>
      <c r="F4220" s="12" t="s">
        <v>32</v>
      </c>
      <c r="G4220" s="12" t="s">
        <v>32</v>
      </c>
      <c r="H4220" s="12" t="b">
        <v>1</v>
      </c>
      <c r="I4220" s="12" t="b">
        <v>1</v>
      </c>
      <c r="J4220" s="12" t="b">
        <v>0</v>
      </c>
      <c r="K4220" s="12" t="b">
        <v>0</v>
      </c>
      <c r="L4220" s="12">
        <v>394.15</v>
      </c>
      <c r="M4220" s="12">
        <v>278.14999999999998</v>
      </c>
      <c r="N4220" s="12">
        <v>3300</v>
      </c>
      <c r="O4220" s="12">
        <v>730</v>
      </c>
      <c r="P4220" s="12">
        <v>0.82</v>
      </c>
      <c r="Q4220" s="12">
        <v>0.9</v>
      </c>
      <c r="R4220" s="12">
        <v>0.8</v>
      </c>
      <c r="S4220" s="12">
        <v>0.85</v>
      </c>
      <c r="T4220" s="12">
        <v>0.95</v>
      </c>
      <c r="U4220" s="12">
        <v>0.95</v>
      </c>
      <c r="V4220" s="12">
        <v>283.14999999999998</v>
      </c>
      <c r="W4220" s="12">
        <v>12.7892077847869</v>
      </c>
      <c r="X4220" s="12">
        <v>114.52583578092531</v>
      </c>
      <c r="Y4220" s="12">
        <v>2570</v>
      </c>
      <c r="Z4220" s="12">
        <v>4.5205479452054798</v>
      </c>
      <c r="AA4220" s="12"/>
      <c r="AB4220" s="12"/>
    </row>
    <row r="4221" spans="1:28" x14ac:dyDescent="0.3">
      <c r="A4221" s="12" t="s">
        <v>6160</v>
      </c>
      <c r="B4221" s="12" t="s">
        <v>217</v>
      </c>
      <c r="C4221" s="12" t="s">
        <v>685</v>
      </c>
      <c r="D4221" s="12" t="s">
        <v>223</v>
      </c>
      <c r="E4221" s="12" t="s">
        <v>4968</v>
      </c>
      <c r="F4221" s="12" t="s">
        <v>32</v>
      </c>
      <c r="G4221" s="12" t="s">
        <v>32</v>
      </c>
      <c r="H4221" s="12" t="b">
        <v>1</v>
      </c>
      <c r="I4221" s="12" t="b">
        <v>1</v>
      </c>
      <c r="J4221" s="12" t="b">
        <v>0</v>
      </c>
      <c r="K4221" s="12" t="b">
        <v>0</v>
      </c>
      <c r="L4221" s="12">
        <v>394.15</v>
      </c>
      <c r="M4221" s="12">
        <v>278.14999999999998</v>
      </c>
      <c r="N4221" s="12">
        <v>3300</v>
      </c>
      <c r="O4221" s="12">
        <v>690</v>
      </c>
      <c r="P4221" s="12">
        <v>0.82</v>
      </c>
      <c r="Q4221" s="12">
        <v>0.9</v>
      </c>
      <c r="R4221" s="12">
        <v>0.8</v>
      </c>
      <c r="S4221" s="12">
        <v>0.85</v>
      </c>
      <c r="T4221" s="12">
        <v>0.95</v>
      </c>
      <c r="U4221" s="12">
        <v>0.95</v>
      </c>
      <c r="V4221" s="12">
        <v>283.14999999999998</v>
      </c>
      <c r="W4221" s="12">
        <v>13.2225573486805</v>
      </c>
      <c r="X4221" s="12">
        <v>118.41768521932229</v>
      </c>
      <c r="Y4221" s="12">
        <v>2610</v>
      </c>
      <c r="Z4221" s="12">
        <v>4.7826086956521738</v>
      </c>
      <c r="AA4221" s="12"/>
      <c r="AB4221" s="12"/>
    </row>
    <row r="4222" spans="1:28" x14ac:dyDescent="0.3">
      <c r="A4222" s="12" t="s">
        <v>6161</v>
      </c>
      <c r="B4222" s="12" t="s">
        <v>217</v>
      </c>
      <c r="C4222" s="12" t="s">
        <v>685</v>
      </c>
      <c r="D4222" s="12" t="s">
        <v>223</v>
      </c>
      <c r="E4222" s="12" t="s">
        <v>4968</v>
      </c>
      <c r="F4222" s="12" t="s">
        <v>32</v>
      </c>
      <c r="G4222" s="12" t="s">
        <v>32</v>
      </c>
      <c r="H4222" s="12" t="b">
        <v>1</v>
      </c>
      <c r="I4222" s="12" t="b">
        <v>1</v>
      </c>
      <c r="J4222" s="12" t="b">
        <v>0</v>
      </c>
      <c r="K4222" s="12" t="b">
        <v>0</v>
      </c>
      <c r="L4222" s="12">
        <v>394.15</v>
      </c>
      <c r="M4222" s="12">
        <v>278.14999999999998</v>
      </c>
      <c r="N4222" s="12">
        <v>3300</v>
      </c>
      <c r="O4222" s="12">
        <v>870</v>
      </c>
      <c r="P4222" s="12">
        <v>0.82</v>
      </c>
      <c r="Q4222" s="12">
        <v>0.9</v>
      </c>
      <c r="R4222" s="12">
        <v>0.8</v>
      </c>
      <c r="S4222" s="12">
        <v>0.85</v>
      </c>
      <c r="T4222" s="12">
        <v>0.95</v>
      </c>
      <c r="U4222" s="12">
        <v>0.95</v>
      </c>
      <c r="V4222" s="12">
        <v>283.14999999999998</v>
      </c>
      <c r="W4222" s="12">
        <v>11.418160016675371</v>
      </c>
      <c r="X4222" s="12">
        <v>102.21837853194781</v>
      </c>
      <c r="Y4222" s="12">
        <v>2430</v>
      </c>
      <c r="Z4222" s="12">
        <v>3.7931034482758621</v>
      </c>
      <c r="AA4222" s="12"/>
      <c r="AB4222" s="12"/>
    </row>
    <row r="4223" spans="1:28" x14ac:dyDescent="0.3">
      <c r="A4223" s="12" t="s">
        <v>6162</v>
      </c>
      <c r="B4223" s="12" t="s">
        <v>217</v>
      </c>
      <c r="C4223" s="12" t="s">
        <v>685</v>
      </c>
      <c r="D4223" s="12" t="s">
        <v>223</v>
      </c>
      <c r="E4223" s="12" t="s">
        <v>4968</v>
      </c>
      <c r="F4223" s="12" t="s">
        <v>32</v>
      </c>
      <c r="G4223" s="12" t="s">
        <v>32</v>
      </c>
      <c r="H4223" s="12" t="b">
        <v>1</v>
      </c>
      <c r="I4223" s="12" t="b">
        <v>1</v>
      </c>
      <c r="J4223" s="12" t="b">
        <v>0</v>
      </c>
      <c r="K4223" s="12" t="b">
        <v>0</v>
      </c>
      <c r="L4223" s="12">
        <v>394.15</v>
      </c>
      <c r="M4223" s="12">
        <v>278.14999999999998</v>
      </c>
      <c r="N4223" s="12">
        <v>3300</v>
      </c>
      <c r="O4223" s="12">
        <v>890</v>
      </c>
      <c r="P4223" s="12">
        <v>0.82</v>
      </c>
      <c r="Q4223" s="12">
        <v>0.9</v>
      </c>
      <c r="R4223" s="12">
        <v>0.8</v>
      </c>
      <c r="S4223" s="12">
        <v>0.85</v>
      </c>
      <c r="T4223" s="12">
        <v>0.95</v>
      </c>
      <c r="U4223" s="12">
        <v>0.95</v>
      </c>
      <c r="V4223" s="12">
        <v>283.14999999999998</v>
      </c>
      <c r="W4223" s="12">
        <v>11.238101099872759</v>
      </c>
      <c r="X4223" s="12">
        <v>100.60268145815721</v>
      </c>
      <c r="Y4223" s="12">
        <v>2410</v>
      </c>
      <c r="Z4223" s="12">
        <v>3.707865168539326</v>
      </c>
      <c r="AA4223" s="12"/>
      <c r="AB4223" s="12"/>
    </row>
    <row r="4224" spans="1:28" x14ac:dyDescent="0.3">
      <c r="A4224" s="12" t="s">
        <v>6163</v>
      </c>
      <c r="B4224" s="12" t="s">
        <v>217</v>
      </c>
      <c r="C4224" s="12" t="s">
        <v>685</v>
      </c>
      <c r="D4224" s="12" t="s">
        <v>223</v>
      </c>
      <c r="E4224" s="12" t="s">
        <v>4968</v>
      </c>
      <c r="F4224" s="12" t="s">
        <v>32</v>
      </c>
      <c r="G4224" s="12" t="s">
        <v>32</v>
      </c>
      <c r="H4224" s="12" t="b">
        <v>1</v>
      </c>
      <c r="I4224" s="12" t="b">
        <v>1</v>
      </c>
      <c r="J4224" s="12" t="b">
        <v>0</v>
      </c>
      <c r="K4224" s="12" t="b">
        <v>0</v>
      </c>
      <c r="L4224" s="12">
        <v>394.15</v>
      </c>
      <c r="M4224" s="12">
        <v>278.14999999999998</v>
      </c>
      <c r="N4224" s="12">
        <v>3300</v>
      </c>
      <c r="O4224" s="12">
        <v>810</v>
      </c>
      <c r="P4224" s="12">
        <v>0.82</v>
      </c>
      <c r="Q4224" s="12">
        <v>0.9</v>
      </c>
      <c r="R4224" s="12">
        <v>0.8</v>
      </c>
      <c r="S4224" s="12">
        <v>0.85</v>
      </c>
      <c r="T4224" s="12">
        <v>0.95</v>
      </c>
      <c r="U4224" s="12">
        <v>0.95</v>
      </c>
      <c r="V4224" s="12">
        <v>283.14999999999998</v>
      </c>
      <c r="W4224" s="12">
        <v>11.98060350575779</v>
      </c>
      <c r="X4224" s="12">
        <v>107.26621406656901</v>
      </c>
      <c r="Y4224" s="12">
        <v>2490</v>
      </c>
      <c r="Z4224" s="12">
        <v>4.0740740740740744</v>
      </c>
      <c r="AA4224" s="12"/>
      <c r="AB4224" s="12"/>
    </row>
    <row r="4225" spans="1:28" x14ac:dyDescent="0.3">
      <c r="A4225" s="12" t="s">
        <v>6164</v>
      </c>
      <c r="B4225" s="12" t="s">
        <v>217</v>
      </c>
      <c r="C4225" s="12" t="s">
        <v>685</v>
      </c>
      <c r="D4225" s="12" t="s">
        <v>223</v>
      </c>
      <c r="E4225" s="12" t="s">
        <v>4968</v>
      </c>
      <c r="F4225" s="12" t="s">
        <v>32</v>
      </c>
      <c r="G4225" s="12" t="s">
        <v>32</v>
      </c>
      <c r="H4225" s="12" t="b">
        <v>1</v>
      </c>
      <c r="I4225" s="12" t="b">
        <v>1</v>
      </c>
      <c r="J4225" s="12" t="b">
        <v>0</v>
      </c>
      <c r="K4225" s="12" t="b">
        <v>0</v>
      </c>
      <c r="L4225" s="12">
        <v>394.15</v>
      </c>
      <c r="M4225" s="12">
        <v>278.14999999999998</v>
      </c>
      <c r="N4225" s="12">
        <v>3300</v>
      </c>
      <c r="O4225" s="12">
        <v>950</v>
      </c>
      <c r="P4225" s="12">
        <v>0.82</v>
      </c>
      <c r="Q4225" s="12">
        <v>0.9</v>
      </c>
      <c r="R4225" s="12">
        <v>0.8</v>
      </c>
      <c r="S4225" s="12">
        <v>0.85</v>
      </c>
      <c r="T4225" s="12">
        <v>0.95</v>
      </c>
      <c r="U4225" s="12">
        <v>0.95</v>
      </c>
      <c r="V4225" s="12">
        <v>283.14999999999998</v>
      </c>
      <c r="W4225" s="12">
        <v>10.718107772951861</v>
      </c>
      <c r="X4225" s="12">
        <v>95.937509662292541</v>
      </c>
      <c r="Y4225" s="12">
        <v>2350</v>
      </c>
      <c r="Z4225" s="12">
        <v>3.4736842105263159</v>
      </c>
      <c r="AA4225" s="12"/>
      <c r="AB4225" s="12"/>
    </row>
    <row r="4226" spans="1:28" x14ac:dyDescent="0.3">
      <c r="A4226" s="12" t="s">
        <v>6165</v>
      </c>
      <c r="B4226" s="12" t="s">
        <v>217</v>
      </c>
      <c r="C4226" s="12" t="s">
        <v>685</v>
      </c>
      <c r="D4226" s="12" t="s">
        <v>223</v>
      </c>
      <c r="E4226" s="12" t="s">
        <v>4968</v>
      </c>
      <c r="F4226" s="12" t="s">
        <v>32</v>
      </c>
      <c r="G4226" s="12" t="s">
        <v>32</v>
      </c>
      <c r="H4226" s="12" t="b">
        <v>1</v>
      </c>
      <c r="I4226" s="12" t="b">
        <v>1</v>
      </c>
      <c r="J4226" s="12" t="b">
        <v>0</v>
      </c>
      <c r="K4226" s="12" t="b">
        <v>0</v>
      </c>
      <c r="L4226" s="12">
        <v>394.15</v>
      </c>
      <c r="M4226" s="12">
        <v>278.14999999999998</v>
      </c>
      <c r="N4226" s="12">
        <v>3300</v>
      </c>
      <c r="O4226" s="12">
        <v>910</v>
      </c>
      <c r="P4226" s="12">
        <v>0.82</v>
      </c>
      <c r="Q4226" s="12">
        <v>0.9</v>
      </c>
      <c r="R4226" s="12">
        <v>0.8</v>
      </c>
      <c r="S4226" s="12">
        <v>0.85</v>
      </c>
      <c r="T4226" s="12">
        <v>0.95</v>
      </c>
      <c r="U4226" s="12">
        <v>0.95</v>
      </c>
      <c r="V4226" s="12">
        <v>283.14999999999998</v>
      </c>
      <c r="W4226" s="12">
        <v>11.06149731044027</v>
      </c>
      <c r="X4226" s="12">
        <v>99.018128503565507</v>
      </c>
      <c r="Y4226" s="12">
        <v>2390</v>
      </c>
      <c r="Z4226" s="12">
        <v>3.626373626373625</v>
      </c>
      <c r="AA4226" s="12"/>
      <c r="AB4226" s="12"/>
    </row>
    <row r="4227" spans="1:28" x14ac:dyDescent="0.3">
      <c r="A4227" s="12" t="s">
        <v>6166</v>
      </c>
      <c r="B4227" s="12" t="s">
        <v>217</v>
      </c>
      <c r="C4227" s="12" t="s">
        <v>685</v>
      </c>
      <c r="D4227" s="12" t="s">
        <v>223</v>
      </c>
      <c r="E4227" s="12" t="s">
        <v>4968</v>
      </c>
      <c r="F4227" s="12" t="s">
        <v>32</v>
      </c>
      <c r="G4227" s="12" t="s">
        <v>32</v>
      </c>
      <c r="H4227" s="12" t="b">
        <v>1</v>
      </c>
      <c r="I4227" s="12" t="b">
        <v>1</v>
      </c>
      <c r="J4227" s="12" t="b">
        <v>0</v>
      </c>
      <c r="K4227" s="12" t="b">
        <v>0</v>
      </c>
      <c r="L4227" s="12">
        <v>394.15</v>
      </c>
      <c r="M4227" s="12">
        <v>278.14999999999998</v>
      </c>
      <c r="N4227" s="12">
        <v>3300</v>
      </c>
      <c r="O4227" s="12">
        <v>830</v>
      </c>
      <c r="P4227" s="12">
        <v>0.82</v>
      </c>
      <c r="Q4227" s="12">
        <v>0.9</v>
      </c>
      <c r="R4227" s="12">
        <v>0.8</v>
      </c>
      <c r="S4227" s="12">
        <v>0.85</v>
      </c>
      <c r="T4227" s="12">
        <v>0.95</v>
      </c>
      <c r="U4227" s="12">
        <v>0.95</v>
      </c>
      <c r="V4227" s="12">
        <v>283.14999999999998</v>
      </c>
      <c r="W4227" s="12">
        <v>11.78924696995605</v>
      </c>
      <c r="X4227" s="12">
        <v>105.5486605043577</v>
      </c>
      <c r="Y4227" s="12">
        <v>2470</v>
      </c>
      <c r="Z4227" s="12">
        <v>3.9759036144578319</v>
      </c>
      <c r="AA4227" s="12"/>
      <c r="AB4227" s="12"/>
    </row>
    <row r="4228" spans="1:28" x14ac:dyDescent="0.3">
      <c r="A4228" s="12" t="s">
        <v>6167</v>
      </c>
      <c r="B4228" s="12" t="s">
        <v>217</v>
      </c>
      <c r="C4228" s="12" t="s">
        <v>685</v>
      </c>
      <c r="D4228" s="12" t="s">
        <v>223</v>
      </c>
      <c r="E4228" s="12" t="s">
        <v>4968</v>
      </c>
      <c r="F4228" s="12" t="s">
        <v>32</v>
      </c>
      <c r="G4228" s="12" t="s">
        <v>32</v>
      </c>
      <c r="H4228" s="12" t="b">
        <v>1</v>
      </c>
      <c r="I4228" s="12" t="b">
        <v>1</v>
      </c>
      <c r="J4228" s="12" t="b">
        <v>0</v>
      </c>
      <c r="K4228" s="12" t="b">
        <v>0</v>
      </c>
      <c r="L4228" s="12">
        <v>394.15</v>
      </c>
      <c r="M4228" s="12">
        <v>278.14999999999998</v>
      </c>
      <c r="N4228" s="12">
        <v>3300</v>
      </c>
      <c r="O4228" s="12">
        <v>850</v>
      </c>
      <c r="P4228" s="12">
        <v>0.82</v>
      </c>
      <c r="Q4228" s="12">
        <v>0.9</v>
      </c>
      <c r="R4228" s="12">
        <v>0.8</v>
      </c>
      <c r="S4228" s="12">
        <v>0.85</v>
      </c>
      <c r="T4228" s="12">
        <v>0.95</v>
      </c>
      <c r="U4228" s="12">
        <v>0.95</v>
      </c>
      <c r="V4228" s="12">
        <v>283.14999999999998</v>
      </c>
      <c r="W4228" s="12">
        <v>11.60182242740329</v>
      </c>
      <c r="X4228" s="12">
        <v>103.8665603611194</v>
      </c>
      <c r="Y4228" s="12">
        <v>2450</v>
      </c>
      <c r="Z4228" s="12">
        <v>3.882352941176471</v>
      </c>
      <c r="AA4228" s="12"/>
      <c r="AB4228" s="12"/>
    </row>
    <row r="4229" spans="1:28" x14ac:dyDescent="0.3">
      <c r="A4229" s="12" t="s">
        <v>6168</v>
      </c>
      <c r="B4229" s="12" t="s">
        <v>217</v>
      </c>
      <c r="C4229" s="12" t="s">
        <v>685</v>
      </c>
      <c r="D4229" s="12" t="s">
        <v>223</v>
      </c>
      <c r="E4229" s="12" t="s">
        <v>4968</v>
      </c>
      <c r="F4229" s="12" t="s">
        <v>32</v>
      </c>
      <c r="G4229" s="12" t="s">
        <v>32</v>
      </c>
      <c r="H4229" s="12" t="b">
        <v>1</v>
      </c>
      <c r="I4229" s="12" t="b">
        <v>1</v>
      </c>
      <c r="J4229" s="12" t="b">
        <v>0</v>
      </c>
      <c r="K4229" s="12" t="b">
        <v>0</v>
      </c>
      <c r="L4229" s="12">
        <v>394.15</v>
      </c>
      <c r="M4229" s="12">
        <v>278.14999999999998</v>
      </c>
      <c r="N4229" s="12">
        <v>3300</v>
      </c>
      <c r="O4229" s="12">
        <v>990</v>
      </c>
      <c r="P4229" s="12">
        <v>0.82</v>
      </c>
      <c r="Q4229" s="12">
        <v>0.9</v>
      </c>
      <c r="R4229" s="12">
        <v>0.8</v>
      </c>
      <c r="S4229" s="12">
        <v>0.85</v>
      </c>
      <c r="T4229" s="12">
        <v>0.95</v>
      </c>
      <c r="U4229" s="12">
        <v>0.95</v>
      </c>
      <c r="V4229" s="12">
        <v>283.14999999999998</v>
      </c>
      <c r="W4229" s="12">
        <v>10.386978909678829</v>
      </c>
      <c r="X4229" s="12">
        <v>92.967374801902977</v>
      </c>
      <c r="Y4229" s="12">
        <v>2310</v>
      </c>
      <c r="Z4229" s="12">
        <v>3.333333333333333</v>
      </c>
      <c r="AA4229" s="12"/>
      <c r="AB4229" s="12"/>
    </row>
    <row r="4230" spans="1:28" x14ac:dyDescent="0.3">
      <c r="A4230" s="12" t="s">
        <v>6169</v>
      </c>
      <c r="B4230" s="12" t="s">
        <v>217</v>
      </c>
      <c r="C4230" s="12" t="s">
        <v>685</v>
      </c>
      <c r="D4230" s="12" t="s">
        <v>223</v>
      </c>
      <c r="E4230" s="12" t="s">
        <v>4968</v>
      </c>
      <c r="F4230" s="12" t="s">
        <v>32</v>
      </c>
      <c r="G4230" s="12" t="s">
        <v>32</v>
      </c>
      <c r="H4230" s="12" t="b">
        <v>1</v>
      </c>
      <c r="I4230" s="12" t="b">
        <v>1</v>
      </c>
      <c r="J4230" s="12" t="b">
        <v>0</v>
      </c>
      <c r="K4230" s="12" t="b">
        <v>0</v>
      </c>
      <c r="L4230" s="12">
        <v>394.15</v>
      </c>
      <c r="M4230" s="12">
        <v>278.14999999999998</v>
      </c>
      <c r="N4230" s="12">
        <v>3300</v>
      </c>
      <c r="O4230" s="12">
        <v>970</v>
      </c>
      <c r="P4230" s="12">
        <v>0.82</v>
      </c>
      <c r="Q4230" s="12">
        <v>0.9</v>
      </c>
      <c r="R4230" s="12">
        <v>0.8</v>
      </c>
      <c r="S4230" s="12">
        <v>0.85</v>
      </c>
      <c r="T4230" s="12">
        <v>0.95</v>
      </c>
      <c r="U4230" s="12">
        <v>0.95</v>
      </c>
      <c r="V4230" s="12">
        <v>283.14999999999998</v>
      </c>
      <c r="W4230" s="12">
        <v>10.551069332232281</v>
      </c>
      <c r="X4230" s="12">
        <v>94.439160868056803</v>
      </c>
      <c r="Y4230" s="12">
        <v>2330</v>
      </c>
      <c r="Z4230" s="12">
        <v>3.402061855670103</v>
      </c>
      <c r="AA4230" s="12"/>
      <c r="AB4230" s="12"/>
    </row>
    <row r="4231" spans="1:28" x14ac:dyDescent="0.3">
      <c r="A4231" s="12" t="s">
        <v>6170</v>
      </c>
      <c r="B4231" s="12" t="s">
        <v>217</v>
      </c>
      <c r="C4231" s="12" t="s">
        <v>685</v>
      </c>
      <c r="D4231" s="12" t="s">
        <v>223</v>
      </c>
      <c r="E4231" s="12" t="s">
        <v>4968</v>
      </c>
      <c r="F4231" s="12" t="s">
        <v>32</v>
      </c>
      <c r="G4231" s="12" t="s">
        <v>32</v>
      </c>
      <c r="H4231" s="12" t="b">
        <v>1</v>
      </c>
      <c r="I4231" s="12" t="b">
        <v>1</v>
      </c>
      <c r="J4231" s="12" t="b">
        <v>0</v>
      </c>
      <c r="K4231" s="12" t="b">
        <v>0</v>
      </c>
      <c r="L4231" s="12">
        <v>394.15</v>
      </c>
      <c r="M4231" s="12">
        <v>278.14999999999998</v>
      </c>
      <c r="N4231" s="12">
        <v>3300</v>
      </c>
      <c r="O4231" s="12">
        <v>1030</v>
      </c>
      <c r="P4231" s="12">
        <v>0.82</v>
      </c>
      <c r="Q4231" s="12">
        <v>0.9</v>
      </c>
      <c r="R4231" s="12">
        <v>0.8</v>
      </c>
      <c r="S4231" s="12">
        <v>0.85</v>
      </c>
      <c r="T4231" s="12">
        <v>0.95</v>
      </c>
      <c r="U4231" s="12">
        <v>0.95</v>
      </c>
      <c r="V4231" s="12">
        <v>283.14999999999998</v>
      </c>
      <c r="W4231" s="12">
        <v>10.06721443964814</v>
      </c>
      <c r="X4231" s="12">
        <v>90.099627826438962</v>
      </c>
      <c r="Y4231" s="12">
        <v>2270</v>
      </c>
      <c r="Z4231" s="12">
        <v>3.203883495145631</v>
      </c>
      <c r="AA4231" s="12"/>
      <c r="AB4231" s="12"/>
    </row>
    <row r="4232" spans="1:28" x14ac:dyDescent="0.3">
      <c r="A4232" s="12" t="s">
        <v>6171</v>
      </c>
      <c r="B4232" s="12" t="s">
        <v>217</v>
      </c>
      <c r="C4232" s="12" t="s">
        <v>685</v>
      </c>
      <c r="D4232" s="12" t="s">
        <v>223</v>
      </c>
      <c r="E4232" s="12" t="s">
        <v>4968</v>
      </c>
      <c r="F4232" s="12" t="s">
        <v>32</v>
      </c>
      <c r="G4232" s="12" t="s">
        <v>32</v>
      </c>
      <c r="H4232" s="12" t="b">
        <v>1</v>
      </c>
      <c r="I4232" s="12" t="b">
        <v>1</v>
      </c>
      <c r="J4232" s="12" t="b">
        <v>0</v>
      </c>
      <c r="K4232" s="12" t="b">
        <v>0</v>
      </c>
      <c r="L4232" s="12">
        <v>394.15</v>
      </c>
      <c r="M4232" s="12">
        <v>278.14999999999998</v>
      </c>
      <c r="N4232" s="12">
        <v>3300</v>
      </c>
      <c r="O4232" s="12">
        <v>1010</v>
      </c>
      <c r="P4232" s="12">
        <v>0.82</v>
      </c>
      <c r="Q4232" s="12">
        <v>0.9</v>
      </c>
      <c r="R4232" s="12">
        <v>0.8</v>
      </c>
      <c r="S4232" s="12">
        <v>0.85</v>
      </c>
      <c r="T4232" s="12">
        <v>0.95</v>
      </c>
      <c r="U4232" s="12">
        <v>0.95</v>
      </c>
      <c r="V4232" s="12">
        <v>283.14999999999998</v>
      </c>
      <c r="W4232" s="12">
        <v>10.2257280642204</v>
      </c>
      <c r="X4232" s="12">
        <v>91.521171948935887</v>
      </c>
      <c r="Y4232" s="12">
        <v>2290</v>
      </c>
      <c r="Z4232" s="12">
        <v>3.2673267326732671</v>
      </c>
      <c r="AA4232" s="12"/>
      <c r="AB4232" s="12"/>
    </row>
    <row r="4233" spans="1:28" x14ac:dyDescent="0.3">
      <c r="A4233" s="12" t="s">
        <v>6172</v>
      </c>
      <c r="B4233" s="12" t="s">
        <v>217</v>
      </c>
      <c r="C4233" s="12" t="s">
        <v>685</v>
      </c>
      <c r="D4233" s="12" t="s">
        <v>223</v>
      </c>
      <c r="E4233" s="12" t="s">
        <v>4968</v>
      </c>
      <c r="F4233" s="12" t="s">
        <v>32</v>
      </c>
      <c r="G4233" s="12" t="s">
        <v>32</v>
      </c>
      <c r="H4233" s="12" t="b">
        <v>1</v>
      </c>
      <c r="I4233" s="12" t="b">
        <v>1</v>
      </c>
      <c r="J4233" s="12" t="b">
        <v>0</v>
      </c>
      <c r="K4233" s="12" t="b">
        <v>0</v>
      </c>
      <c r="L4233" s="12">
        <v>394.15</v>
      </c>
      <c r="M4233" s="12">
        <v>278.14999999999998</v>
      </c>
      <c r="N4233" s="12">
        <v>3300</v>
      </c>
      <c r="O4233" s="12">
        <v>930</v>
      </c>
      <c r="P4233" s="12">
        <v>0.82</v>
      </c>
      <c r="Q4233" s="12">
        <v>0.9</v>
      </c>
      <c r="R4233" s="12">
        <v>0.8</v>
      </c>
      <c r="S4233" s="12">
        <v>0.85</v>
      </c>
      <c r="T4233" s="12">
        <v>0.95</v>
      </c>
      <c r="U4233" s="12">
        <v>0.95</v>
      </c>
      <c r="V4233" s="12">
        <v>283.14999999999998</v>
      </c>
      <c r="W4233" s="12">
        <v>10.88820966514615</v>
      </c>
      <c r="X4233" s="12">
        <v>97.463463915349038</v>
      </c>
      <c r="Y4233" s="12">
        <v>2370</v>
      </c>
      <c r="Z4233" s="12">
        <v>3.5483870967741931</v>
      </c>
      <c r="AA4233" s="12"/>
      <c r="AB4233" s="12"/>
    </row>
    <row r="4234" spans="1:28" x14ac:dyDescent="0.3">
      <c r="A4234" s="12" t="s">
        <v>6173</v>
      </c>
      <c r="B4234" s="12" t="s">
        <v>217</v>
      </c>
      <c r="C4234" s="12" t="s">
        <v>685</v>
      </c>
      <c r="D4234" s="12" t="s">
        <v>223</v>
      </c>
      <c r="E4234" s="12" t="s">
        <v>4968</v>
      </c>
      <c r="F4234" s="12" t="s">
        <v>32</v>
      </c>
      <c r="G4234" s="12" t="s">
        <v>32</v>
      </c>
      <c r="H4234" s="12" t="b">
        <v>1</v>
      </c>
      <c r="I4234" s="12" t="b">
        <v>1</v>
      </c>
      <c r="J4234" s="12" t="b">
        <v>0</v>
      </c>
      <c r="K4234" s="12" t="b">
        <v>0</v>
      </c>
      <c r="L4234" s="12">
        <v>394.15</v>
      </c>
      <c r="M4234" s="12">
        <v>278.14999999999998</v>
      </c>
      <c r="N4234" s="12">
        <v>3300</v>
      </c>
      <c r="O4234" s="12">
        <v>1050</v>
      </c>
      <c r="P4234" s="12">
        <v>0.82</v>
      </c>
      <c r="Q4234" s="12">
        <v>0.9</v>
      </c>
      <c r="R4234" s="12">
        <v>0.8</v>
      </c>
      <c r="S4234" s="12">
        <v>0.85</v>
      </c>
      <c r="T4234" s="12">
        <v>0.95</v>
      </c>
      <c r="U4234" s="12">
        <v>0.95</v>
      </c>
      <c r="V4234" s="12">
        <v>283.14999999999998</v>
      </c>
      <c r="W4234" s="12">
        <v>9.9113413801056396</v>
      </c>
      <c r="X4234" s="12">
        <v>88.701869498083056</v>
      </c>
      <c r="Y4234" s="12">
        <v>2250</v>
      </c>
      <c r="Z4234" s="12">
        <v>3.1428571428571428</v>
      </c>
      <c r="AA4234" s="12"/>
      <c r="AB4234" s="12"/>
    </row>
    <row r="4235" spans="1:28" x14ac:dyDescent="0.3">
      <c r="A4235" s="12" t="s">
        <v>6174</v>
      </c>
      <c r="B4235" s="12" t="s">
        <v>217</v>
      </c>
      <c r="C4235" s="12" t="s">
        <v>685</v>
      </c>
      <c r="D4235" s="12" t="s">
        <v>223</v>
      </c>
      <c r="E4235" s="12" t="s">
        <v>4968</v>
      </c>
      <c r="F4235" s="12" t="s">
        <v>32</v>
      </c>
      <c r="G4235" s="12" t="s">
        <v>32</v>
      </c>
      <c r="H4235" s="12" t="b">
        <v>1</v>
      </c>
      <c r="I4235" s="12" t="b">
        <v>1</v>
      </c>
      <c r="J4235" s="12" t="b">
        <v>0</v>
      </c>
      <c r="K4235" s="12" t="b">
        <v>0</v>
      </c>
      <c r="L4235" s="12">
        <v>394.15</v>
      </c>
      <c r="M4235" s="12">
        <v>278.14999999999998</v>
      </c>
      <c r="N4235" s="12">
        <v>3300</v>
      </c>
      <c r="O4235" s="12">
        <v>1070</v>
      </c>
      <c r="P4235" s="12">
        <v>0.82</v>
      </c>
      <c r="Q4235" s="12">
        <v>0.9</v>
      </c>
      <c r="R4235" s="12">
        <v>0.8</v>
      </c>
      <c r="S4235" s="12">
        <v>0.85</v>
      </c>
      <c r="T4235" s="12">
        <v>0.95</v>
      </c>
      <c r="U4235" s="12">
        <v>0.95</v>
      </c>
      <c r="V4235" s="12">
        <v>283.14999999999998</v>
      </c>
      <c r="W4235" s="12">
        <v>9.7580175049684197</v>
      </c>
      <c r="X4235" s="12">
        <v>87.327071726946997</v>
      </c>
      <c r="Y4235" s="12">
        <v>2230</v>
      </c>
      <c r="Z4235" s="12">
        <v>3.08411214953271</v>
      </c>
      <c r="AA4235" s="12"/>
      <c r="AB4235" s="12"/>
    </row>
    <row r="4236" spans="1:28" x14ac:dyDescent="0.3">
      <c r="A4236" s="12" t="s">
        <v>6175</v>
      </c>
      <c r="B4236" s="12" t="s">
        <v>217</v>
      </c>
      <c r="C4236" s="12" t="s">
        <v>685</v>
      </c>
      <c r="D4236" s="12" t="s">
        <v>223</v>
      </c>
      <c r="E4236" s="12" t="s">
        <v>4968</v>
      </c>
      <c r="F4236" s="12" t="s">
        <v>32</v>
      </c>
      <c r="G4236" s="12" t="s">
        <v>32</v>
      </c>
      <c r="H4236" s="12" t="b">
        <v>1</v>
      </c>
      <c r="I4236" s="12" t="b">
        <v>1</v>
      </c>
      <c r="J4236" s="12" t="b">
        <v>0</v>
      </c>
      <c r="K4236" s="12" t="b">
        <v>0</v>
      </c>
      <c r="L4236" s="12">
        <v>394.15</v>
      </c>
      <c r="M4236" s="12">
        <v>278.14999999999998</v>
      </c>
      <c r="N4236" s="12">
        <v>3300</v>
      </c>
      <c r="O4236" s="12">
        <v>1090</v>
      </c>
      <c r="P4236" s="12">
        <v>0.82</v>
      </c>
      <c r="Q4236" s="12">
        <v>0.9</v>
      </c>
      <c r="R4236" s="12">
        <v>0.8</v>
      </c>
      <c r="S4236" s="12">
        <v>0.85</v>
      </c>
      <c r="T4236" s="12">
        <v>0.95</v>
      </c>
      <c r="U4236" s="12">
        <v>0.95</v>
      </c>
      <c r="V4236" s="12">
        <v>283.14999999999998</v>
      </c>
      <c r="W4236" s="12">
        <v>9.6071563230507593</v>
      </c>
      <c r="X4236" s="12">
        <v>85.974453484610933</v>
      </c>
      <c r="Y4236" s="12">
        <v>2210</v>
      </c>
      <c r="Z4236" s="12">
        <v>3.027522935779817</v>
      </c>
      <c r="AA4236" s="12"/>
      <c r="AB4236" s="12"/>
    </row>
    <row r="4237" spans="1:28" x14ac:dyDescent="0.3">
      <c r="A4237" s="12" t="s">
        <v>6176</v>
      </c>
      <c r="B4237" s="12" t="s">
        <v>217</v>
      </c>
      <c r="C4237" s="12" t="s">
        <v>685</v>
      </c>
      <c r="D4237" s="12" t="s">
        <v>223</v>
      </c>
      <c r="E4237" s="12" t="s">
        <v>4968</v>
      </c>
      <c r="F4237" s="12" t="s">
        <v>32</v>
      </c>
      <c r="G4237" s="12" t="s">
        <v>32</v>
      </c>
      <c r="H4237" s="12" t="b">
        <v>1</v>
      </c>
      <c r="I4237" s="12" t="b">
        <v>1</v>
      </c>
      <c r="J4237" s="12" t="b">
        <v>0</v>
      </c>
      <c r="K4237" s="12" t="b">
        <v>0</v>
      </c>
      <c r="L4237" s="12">
        <v>394.15</v>
      </c>
      <c r="M4237" s="12">
        <v>278.14999999999998</v>
      </c>
      <c r="N4237" s="12">
        <v>3300</v>
      </c>
      <c r="O4237" s="12">
        <v>1110</v>
      </c>
      <c r="P4237" s="12">
        <v>0.82</v>
      </c>
      <c r="Q4237" s="12">
        <v>0.9</v>
      </c>
      <c r="R4237" s="12">
        <v>0.8</v>
      </c>
      <c r="S4237" s="12">
        <v>0.85</v>
      </c>
      <c r="T4237" s="12">
        <v>0.95</v>
      </c>
      <c r="U4237" s="12">
        <v>0.95</v>
      </c>
      <c r="V4237" s="12">
        <v>283.14999999999998</v>
      </c>
      <c r="W4237" s="12">
        <v>9.4586758901541099</v>
      </c>
      <c r="X4237" s="12">
        <v>84.643274851932205</v>
      </c>
      <c r="Y4237" s="12">
        <v>2190</v>
      </c>
      <c r="Z4237" s="12">
        <v>2.9729729729729728</v>
      </c>
      <c r="AA4237" s="12"/>
      <c r="AB4237" s="12"/>
    </row>
    <row r="4238" spans="1:28" x14ac:dyDescent="0.3">
      <c r="A4238" s="12" t="s">
        <v>6177</v>
      </c>
      <c r="B4238" s="12" t="s">
        <v>217</v>
      </c>
      <c r="C4238" s="12" t="s">
        <v>685</v>
      </c>
      <c r="D4238" s="12" t="s">
        <v>223</v>
      </c>
      <c r="E4238" s="12" t="s">
        <v>4968</v>
      </c>
      <c r="F4238" s="12" t="s">
        <v>32</v>
      </c>
      <c r="G4238" s="12" t="s">
        <v>32</v>
      </c>
      <c r="H4238" s="12" t="b">
        <v>1</v>
      </c>
      <c r="I4238" s="12" t="b">
        <v>1</v>
      </c>
      <c r="J4238" s="12" t="b">
        <v>0</v>
      </c>
      <c r="K4238" s="12" t="b">
        <v>0</v>
      </c>
      <c r="L4238" s="12">
        <v>394.15</v>
      </c>
      <c r="M4238" s="12">
        <v>278.14999999999998</v>
      </c>
      <c r="N4238" s="12">
        <v>3300</v>
      </c>
      <c r="O4238" s="12">
        <v>1150</v>
      </c>
      <c r="P4238" s="12">
        <v>0.82</v>
      </c>
      <c r="Q4238" s="12">
        <v>0.9</v>
      </c>
      <c r="R4238" s="12">
        <v>0.8</v>
      </c>
      <c r="S4238" s="12">
        <v>0.85</v>
      </c>
      <c r="T4238" s="12">
        <v>0.95</v>
      </c>
      <c r="U4238" s="12">
        <v>0.95</v>
      </c>
      <c r="V4238" s="12">
        <v>283.14999999999998</v>
      </c>
      <c r="W4238" s="12">
        <v>9.1685502486306998</v>
      </c>
      <c r="X4238" s="12">
        <v>82.042464369508508</v>
      </c>
      <c r="Y4238" s="12">
        <v>2150</v>
      </c>
      <c r="Z4238" s="12">
        <v>2.8695652173913042</v>
      </c>
      <c r="AA4238" s="12"/>
      <c r="AB4238" s="12"/>
    </row>
    <row r="4239" spans="1:28" x14ac:dyDescent="0.3">
      <c r="A4239" s="12" t="s">
        <v>6178</v>
      </c>
      <c r="B4239" s="12" t="s">
        <v>217</v>
      </c>
      <c r="C4239" s="12" t="s">
        <v>685</v>
      </c>
      <c r="D4239" s="12" t="s">
        <v>223</v>
      </c>
      <c r="E4239" s="12" t="s">
        <v>4968</v>
      </c>
      <c r="F4239" s="12" t="s">
        <v>32</v>
      </c>
      <c r="G4239" s="12" t="s">
        <v>32</v>
      </c>
      <c r="H4239" s="12" t="b">
        <v>1</v>
      </c>
      <c r="I4239" s="12" t="b">
        <v>1</v>
      </c>
      <c r="J4239" s="12" t="b">
        <v>0</v>
      </c>
      <c r="K4239" s="12" t="b">
        <v>0</v>
      </c>
      <c r="L4239" s="12">
        <v>394.15</v>
      </c>
      <c r="M4239" s="12">
        <v>278.14999999999998</v>
      </c>
      <c r="N4239" s="12">
        <v>3300</v>
      </c>
      <c r="O4239" s="12">
        <v>1130</v>
      </c>
      <c r="P4239" s="12">
        <v>0.82</v>
      </c>
      <c r="Q4239" s="12">
        <v>0.9</v>
      </c>
      <c r="R4239" s="12">
        <v>0.8</v>
      </c>
      <c r="S4239" s="12">
        <v>0.85</v>
      </c>
      <c r="T4239" s="12">
        <v>0.95</v>
      </c>
      <c r="U4239" s="12">
        <v>0.95</v>
      </c>
      <c r="V4239" s="12">
        <v>283.14999999999998</v>
      </c>
      <c r="W4239" s="12">
        <v>9.3124984683445504</v>
      </c>
      <c r="X4239" s="12">
        <v>83.332833937891976</v>
      </c>
      <c r="Y4239" s="12">
        <v>2170</v>
      </c>
      <c r="Z4239" s="12">
        <v>2.9203539823008851</v>
      </c>
      <c r="AA4239" s="12"/>
      <c r="AB4239" s="12"/>
    </row>
    <row r="4240" spans="1:28" x14ac:dyDescent="0.3">
      <c r="A4240" s="12" t="s">
        <v>6179</v>
      </c>
      <c r="B4240" s="12" t="s">
        <v>217</v>
      </c>
      <c r="C4240" s="12" t="s">
        <v>685</v>
      </c>
      <c r="D4240" s="12" t="s">
        <v>223</v>
      </c>
      <c r="E4240" s="12" t="s">
        <v>4968</v>
      </c>
      <c r="F4240" s="12" t="s">
        <v>32</v>
      </c>
      <c r="G4240" s="12" t="s">
        <v>32</v>
      </c>
      <c r="H4240" s="12" t="b">
        <v>1</v>
      </c>
      <c r="I4240" s="12" t="b">
        <v>1</v>
      </c>
      <c r="J4240" s="12" t="b">
        <v>0</v>
      </c>
      <c r="K4240" s="12" t="b">
        <v>0</v>
      </c>
      <c r="L4240" s="12">
        <v>394.15</v>
      </c>
      <c r="M4240" s="12">
        <v>278.14999999999998</v>
      </c>
      <c r="N4240" s="12">
        <v>3300</v>
      </c>
      <c r="O4240" s="12">
        <v>1170</v>
      </c>
      <c r="P4240" s="12">
        <v>0.82</v>
      </c>
      <c r="Q4240" s="12">
        <v>0.9</v>
      </c>
      <c r="R4240" s="12">
        <v>0.8</v>
      </c>
      <c r="S4240" s="12">
        <v>0.85</v>
      </c>
      <c r="T4240" s="12">
        <v>0.95</v>
      </c>
      <c r="U4240" s="12">
        <v>0.95</v>
      </c>
      <c r="V4240" s="12">
        <v>283.14999999999998</v>
      </c>
      <c r="W4240" s="12">
        <v>9.0267610881132203</v>
      </c>
      <c r="X4240" s="12">
        <v>80.771532913633806</v>
      </c>
      <c r="Y4240" s="12">
        <v>2130</v>
      </c>
      <c r="Z4240" s="12">
        <v>2.8205128205128212</v>
      </c>
      <c r="AA4240" s="12"/>
      <c r="AB4240" s="12"/>
    </row>
    <row r="4241" spans="1:28" x14ac:dyDescent="0.3">
      <c r="A4241" s="12" t="s">
        <v>6180</v>
      </c>
      <c r="B4241" s="12" t="s">
        <v>217</v>
      </c>
      <c r="C4241" s="12" t="s">
        <v>685</v>
      </c>
      <c r="D4241" s="12" t="s">
        <v>223</v>
      </c>
      <c r="E4241" s="12" t="s">
        <v>4968</v>
      </c>
      <c r="F4241" s="12" t="s">
        <v>32</v>
      </c>
      <c r="G4241" s="12" t="s">
        <v>32</v>
      </c>
      <c r="H4241" s="12" t="b">
        <v>1</v>
      </c>
      <c r="I4241" s="12" t="b">
        <v>1</v>
      </c>
      <c r="J4241" s="12" t="b">
        <v>0</v>
      </c>
      <c r="K4241" s="12" t="b">
        <v>0</v>
      </c>
      <c r="L4241" s="12">
        <v>394.15</v>
      </c>
      <c r="M4241" s="12">
        <v>278.14999999999998</v>
      </c>
      <c r="N4241" s="12">
        <v>3300</v>
      </c>
      <c r="O4241" s="12">
        <v>1190</v>
      </c>
      <c r="P4241" s="12">
        <v>0.82</v>
      </c>
      <c r="Q4241" s="12">
        <v>0.9</v>
      </c>
      <c r="R4241" s="12">
        <v>0.8</v>
      </c>
      <c r="S4241" s="12">
        <v>0.85</v>
      </c>
      <c r="T4241" s="12">
        <v>0.95</v>
      </c>
      <c r="U4241" s="12">
        <v>0.95</v>
      </c>
      <c r="V4241" s="12">
        <v>283.14999999999998</v>
      </c>
      <c r="W4241" s="12">
        <v>8.8870642562395101</v>
      </c>
      <c r="X4241" s="12">
        <v>79.519437182151222</v>
      </c>
      <c r="Y4241" s="12">
        <v>2110</v>
      </c>
      <c r="Z4241" s="12">
        <v>2.7731092436974789</v>
      </c>
      <c r="AA4241" s="12"/>
      <c r="AB4241" s="12"/>
    </row>
    <row r="4242" spans="1:28" x14ac:dyDescent="0.3">
      <c r="A4242" s="12" t="s">
        <v>6181</v>
      </c>
      <c r="B4242" s="12" t="s">
        <v>217</v>
      </c>
      <c r="C4242" s="12" t="s">
        <v>685</v>
      </c>
      <c r="D4242" s="12" t="s">
        <v>223</v>
      </c>
      <c r="E4242" s="12" t="s">
        <v>4968</v>
      </c>
      <c r="F4242" s="12" t="s">
        <v>32</v>
      </c>
      <c r="G4242" s="12" t="s">
        <v>32</v>
      </c>
      <c r="H4242" s="12" t="b">
        <v>1</v>
      </c>
      <c r="I4242" s="12" t="b">
        <v>1</v>
      </c>
      <c r="J4242" s="12" t="b">
        <v>0</v>
      </c>
      <c r="K4242" s="12" t="b">
        <v>0</v>
      </c>
      <c r="L4242" s="12">
        <v>394.15</v>
      </c>
      <c r="M4242" s="12">
        <v>278.14999999999998</v>
      </c>
      <c r="N4242" s="12">
        <v>3300</v>
      </c>
      <c r="O4242" s="12">
        <v>680</v>
      </c>
      <c r="P4242" s="12">
        <v>0.82</v>
      </c>
      <c r="Q4242" s="12">
        <v>0.9</v>
      </c>
      <c r="R4242" s="12">
        <v>0.8</v>
      </c>
      <c r="S4242" s="12">
        <v>0.85</v>
      </c>
      <c r="T4242" s="12">
        <v>0.75</v>
      </c>
      <c r="U4242" s="12">
        <v>0.95</v>
      </c>
      <c r="V4242" s="12">
        <v>283.14999999999998</v>
      </c>
      <c r="W4242" s="12">
        <v>12.83941110397515</v>
      </c>
      <c r="X4242" s="12">
        <v>118.58470003833629</v>
      </c>
      <c r="Y4242" s="12">
        <v>2620</v>
      </c>
      <c r="Z4242" s="12">
        <v>4.8529411764705879</v>
      </c>
      <c r="AA4242" s="12"/>
      <c r="AB4242" s="12"/>
    </row>
    <row r="4243" spans="1:28" x14ac:dyDescent="0.3">
      <c r="A4243" s="12" t="s">
        <v>6182</v>
      </c>
      <c r="B4243" s="12" t="s">
        <v>217</v>
      </c>
      <c r="C4243" s="12" t="s">
        <v>685</v>
      </c>
      <c r="D4243" s="12" t="s">
        <v>223</v>
      </c>
      <c r="E4243" s="12" t="s">
        <v>4968</v>
      </c>
      <c r="F4243" s="12" t="s">
        <v>32</v>
      </c>
      <c r="G4243" s="12" t="s">
        <v>32</v>
      </c>
      <c r="H4243" s="12" t="b">
        <v>1</v>
      </c>
      <c r="I4243" s="12" t="b">
        <v>1</v>
      </c>
      <c r="J4243" s="12" t="b">
        <v>0</v>
      </c>
      <c r="K4243" s="12" t="b">
        <v>0</v>
      </c>
      <c r="L4243" s="12">
        <v>394.15</v>
      </c>
      <c r="M4243" s="12">
        <v>278.14999999999998</v>
      </c>
      <c r="N4243" s="12">
        <v>3300</v>
      </c>
      <c r="O4243" s="12">
        <v>680</v>
      </c>
      <c r="P4243" s="12">
        <v>0.82</v>
      </c>
      <c r="Q4243" s="12">
        <v>0.9</v>
      </c>
      <c r="R4243" s="12">
        <v>0.8</v>
      </c>
      <c r="S4243" s="12">
        <v>0.85</v>
      </c>
      <c r="T4243" s="12">
        <v>0.79</v>
      </c>
      <c r="U4243" s="12">
        <v>0.95</v>
      </c>
      <c r="V4243" s="12">
        <v>283.14999999999998</v>
      </c>
      <c r="W4243" s="12">
        <v>12.935989420650939</v>
      </c>
      <c r="X4243" s="12">
        <v>118.7519966150162</v>
      </c>
      <c r="Y4243" s="12">
        <v>2620</v>
      </c>
      <c r="Z4243" s="12">
        <v>4.8529411764705879</v>
      </c>
      <c r="AA4243" s="12"/>
      <c r="AB4243" s="12"/>
    </row>
    <row r="4244" spans="1:28" x14ac:dyDescent="0.3">
      <c r="A4244" s="12" t="s">
        <v>6183</v>
      </c>
      <c r="B4244" s="12" t="s">
        <v>217</v>
      </c>
      <c r="C4244" s="12" t="s">
        <v>685</v>
      </c>
      <c r="D4244" s="12" t="s">
        <v>223</v>
      </c>
      <c r="E4244" s="12" t="s">
        <v>4968</v>
      </c>
      <c r="F4244" s="12" t="s">
        <v>32</v>
      </c>
      <c r="G4244" s="12" t="s">
        <v>32</v>
      </c>
      <c r="H4244" s="12" t="b">
        <v>1</v>
      </c>
      <c r="I4244" s="12" t="b">
        <v>1</v>
      </c>
      <c r="J4244" s="12" t="b">
        <v>0</v>
      </c>
      <c r="K4244" s="12" t="b">
        <v>0</v>
      </c>
      <c r="L4244" s="12">
        <v>394.15</v>
      </c>
      <c r="M4244" s="12">
        <v>278.14999999999998</v>
      </c>
      <c r="N4244" s="12">
        <v>3300</v>
      </c>
      <c r="O4244" s="12">
        <v>680</v>
      </c>
      <c r="P4244" s="12">
        <v>0.82</v>
      </c>
      <c r="Q4244" s="12">
        <v>0.9</v>
      </c>
      <c r="R4244" s="12">
        <v>0.8</v>
      </c>
      <c r="S4244" s="12">
        <v>0.85</v>
      </c>
      <c r="T4244" s="12">
        <v>0.83</v>
      </c>
      <c r="U4244" s="12">
        <v>0.95</v>
      </c>
      <c r="V4244" s="12">
        <v>283.14999999999998</v>
      </c>
      <c r="W4244" s="12">
        <v>13.033743531730471</v>
      </c>
      <c r="X4244" s="12">
        <v>118.91928885167739</v>
      </c>
      <c r="Y4244" s="12">
        <v>2620</v>
      </c>
      <c r="Z4244" s="12">
        <v>4.8529411764705879</v>
      </c>
      <c r="AA4244" s="12"/>
      <c r="AB4244" s="12"/>
    </row>
    <row r="4245" spans="1:28" x14ac:dyDescent="0.3">
      <c r="A4245" s="12" t="s">
        <v>6184</v>
      </c>
      <c r="B4245" s="12" t="s">
        <v>217</v>
      </c>
      <c r="C4245" s="12" t="s">
        <v>685</v>
      </c>
      <c r="D4245" s="12" t="s">
        <v>223</v>
      </c>
      <c r="E4245" s="12" t="s">
        <v>4968</v>
      </c>
      <c r="F4245" s="12" t="s">
        <v>32</v>
      </c>
      <c r="G4245" s="12" t="s">
        <v>32</v>
      </c>
      <c r="H4245" s="12" t="b">
        <v>1</v>
      </c>
      <c r="I4245" s="12" t="b">
        <v>1</v>
      </c>
      <c r="J4245" s="12" t="b">
        <v>0</v>
      </c>
      <c r="K4245" s="12" t="b">
        <v>0</v>
      </c>
      <c r="L4245" s="12">
        <v>394.15</v>
      </c>
      <c r="M4245" s="12">
        <v>278.14999999999998</v>
      </c>
      <c r="N4245" s="12">
        <v>3300</v>
      </c>
      <c r="O4245" s="12">
        <v>680</v>
      </c>
      <c r="P4245" s="12">
        <v>0.82</v>
      </c>
      <c r="Q4245" s="12">
        <v>0.9</v>
      </c>
      <c r="R4245" s="12">
        <v>0.8</v>
      </c>
      <c r="S4245" s="12">
        <v>0.85</v>
      </c>
      <c r="T4245" s="12">
        <v>0.87</v>
      </c>
      <c r="U4245" s="12">
        <v>0.95</v>
      </c>
      <c r="V4245" s="12">
        <v>283.14999999999998</v>
      </c>
      <c r="W4245" s="12">
        <v>13.132694413463179</v>
      </c>
      <c r="X4245" s="12">
        <v>119.08657537350339</v>
      </c>
      <c r="Y4245" s="12">
        <v>2620</v>
      </c>
      <c r="Z4245" s="12">
        <v>4.8529411764705879</v>
      </c>
      <c r="AA4245" s="12"/>
      <c r="AB4245" s="12"/>
    </row>
    <row r="4246" spans="1:28" x14ac:dyDescent="0.3">
      <c r="A4246" s="12" t="s">
        <v>6185</v>
      </c>
      <c r="B4246" s="12" t="s">
        <v>217</v>
      </c>
      <c r="C4246" s="12" t="s">
        <v>685</v>
      </c>
      <c r="D4246" s="12" t="s">
        <v>223</v>
      </c>
      <c r="E4246" s="12" t="s">
        <v>4968</v>
      </c>
      <c r="F4246" s="12" t="s">
        <v>32</v>
      </c>
      <c r="G4246" s="12" t="s">
        <v>32</v>
      </c>
      <c r="H4246" s="12" t="b">
        <v>1</v>
      </c>
      <c r="I4246" s="12" t="b">
        <v>1</v>
      </c>
      <c r="J4246" s="12" t="b">
        <v>0</v>
      </c>
      <c r="K4246" s="12" t="b">
        <v>0</v>
      </c>
      <c r="L4246" s="12">
        <v>394.15</v>
      </c>
      <c r="M4246" s="12">
        <v>278.14999999999998</v>
      </c>
      <c r="N4246" s="12">
        <v>3300</v>
      </c>
      <c r="O4246" s="12">
        <v>720</v>
      </c>
      <c r="P4246" s="12">
        <v>0.82</v>
      </c>
      <c r="Q4246" s="12">
        <v>0.9</v>
      </c>
      <c r="R4246" s="12">
        <v>0.8</v>
      </c>
      <c r="S4246" s="12">
        <v>0.85</v>
      </c>
      <c r="T4246" s="12">
        <v>0.75</v>
      </c>
      <c r="U4246" s="12">
        <v>0.95</v>
      </c>
      <c r="V4246" s="12">
        <v>283.14999999999998</v>
      </c>
      <c r="W4246" s="12">
        <v>12.417099227228761</v>
      </c>
      <c r="X4246" s="12">
        <v>114.67237903130921</v>
      </c>
      <c r="Y4246" s="12">
        <v>2580</v>
      </c>
      <c r="Z4246" s="12">
        <v>4.583333333333333</v>
      </c>
      <c r="AA4246" s="12"/>
      <c r="AB4246" s="12"/>
    </row>
    <row r="4247" spans="1:28" x14ac:dyDescent="0.3">
      <c r="A4247" s="12" t="s">
        <v>6186</v>
      </c>
      <c r="B4247" s="12" t="s">
        <v>217</v>
      </c>
      <c r="C4247" s="12" t="s">
        <v>685</v>
      </c>
      <c r="D4247" s="12" t="s">
        <v>223</v>
      </c>
      <c r="E4247" s="12" t="s">
        <v>4968</v>
      </c>
      <c r="F4247" s="12" t="s">
        <v>32</v>
      </c>
      <c r="G4247" s="12" t="s">
        <v>32</v>
      </c>
      <c r="H4247" s="12" t="b">
        <v>1</v>
      </c>
      <c r="I4247" s="12" t="b">
        <v>1</v>
      </c>
      <c r="J4247" s="12" t="b">
        <v>0</v>
      </c>
      <c r="K4247" s="12" t="b">
        <v>0</v>
      </c>
      <c r="L4247" s="12">
        <v>394.15</v>
      </c>
      <c r="M4247" s="12">
        <v>278.14999999999998</v>
      </c>
      <c r="N4247" s="12">
        <v>3300</v>
      </c>
      <c r="O4247" s="12">
        <v>680</v>
      </c>
      <c r="P4247" s="12">
        <v>0.82</v>
      </c>
      <c r="Q4247" s="12">
        <v>0.9</v>
      </c>
      <c r="R4247" s="12">
        <v>0.8</v>
      </c>
      <c r="S4247" s="12">
        <v>0.85</v>
      </c>
      <c r="T4247" s="12">
        <v>0.91</v>
      </c>
      <c r="U4247" s="12">
        <v>0.95</v>
      </c>
      <c r="V4247" s="12">
        <v>283.14999999999998</v>
      </c>
      <c r="W4247" s="12">
        <v>13.232863287345721</v>
      </c>
      <c r="X4247" s="12">
        <v>119.2538525035736</v>
      </c>
      <c r="Y4247" s="12">
        <v>2620</v>
      </c>
      <c r="Z4247" s="12">
        <v>4.8529411764705879</v>
      </c>
      <c r="AA4247" s="12"/>
      <c r="AB4247" s="12"/>
    </row>
    <row r="4248" spans="1:28" x14ac:dyDescent="0.3">
      <c r="A4248" s="12" t="s">
        <v>6187</v>
      </c>
      <c r="B4248" s="12" t="s">
        <v>217</v>
      </c>
      <c r="C4248" s="12" t="s">
        <v>685</v>
      </c>
      <c r="D4248" s="12" t="s">
        <v>223</v>
      </c>
      <c r="E4248" s="12" t="s">
        <v>4968</v>
      </c>
      <c r="F4248" s="12" t="s">
        <v>32</v>
      </c>
      <c r="G4248" s="12" t="s">
        <v>32</v>
      </c>
      <c r="H4248" s="12" t="b">
        <v>1</v>
      </c>
      <c r="I4248" s="12" t="b">
        <v>1</v>
      </c>
      <c r="J4248" s="12" t="b">
        <v>0</v>
      </c>
      <c r="K4248" s="12" t="b">
        <v>0</v>
      </c>
      <c r="L4248" s="12">
        <v>394.15</v>
      </c>
      <c r="M4248" s="12">
        <v>278.14999999999998</v>
      </c>
      <c r="N4248" s="12">
        <v>3300</v>
      </c>
      <c r="O4248" s="12">
        <v>680</v>
      </c>
      <c r="P4248" s="12">
        <v>0.82</v>
      </c>
      <c r="Q4248" s="12">
        <v>0.9</v>
      </c>
      <c r="R4248" s="12">
        <v>0.8</v>
      </c>
      <c r="S4248" s="12">
        <v>0.85</v>
      </c>
      <c r="T4248" s="12">
        <v>0.95</v>
      </c>
      <c r="U4248" s="12">
        <v>0.95</v>
      </c>
      <c r="V4248" s="12">
        <v>283.14999999999998</v>
      </c>
      <c r="W4248" s="12">
        <v>13.334272609022269</v>
      </c>
      <c r="X4248" s="12">
        <v>119.4211230908827</v>
      </c>
      <c r="Y4248" s="12">
        <v>2620</v>
      </c>
      <c r="Z4248" s="12">
        <v>4.8529411764705879</v>
      </c>
      <c r="AA4248" s="12"/>
      <c r="AB4248" s="12"/>
    </row>
    <row r="4249" spans="1:28" x14ac:dyDescent="0.3">
      <c r="A4249" s="12" t="s">
        <v>6188</v>
      </c>
      <c r="B4249" s="12" t="s">
        <v>217</v>
      </c>
      <c r="C4249" s="12" t="s">
        <v>685</v>
      </c>
      <c r="D4249" s="12" t="s">
        <v>223</v>
      </c>
      <c r="E4249" s="12" t="s">
        <v>4968</v>
      </c>
      <c r="F4249" s="12" t="s">
        <v>32</v>
      </c>
      <c r="G4249" s="12" t="s">
        <v>32</v>
      </c>
      <c r="H4249" s="12" t="b">
        <v>1</v>
      </c>
      <c r="I4249" s="12" t="b">
        <v>1</v>
      </c>
      <c r="J4249" s="12" t="b">
        <v>0</v>
      </c>
      <c r="K4249" s="12" t="b">
        <v>0</v>
      </c>
      <c r="L4249" s="12">
        <v>394.15</v>
      </c>
      <c r="M4249" s="12">
        <v>278.14999999999998</v>
      </c>
      <c r="N4249" s="12">
        <v>3300</v>
      </c>
      <c r="O4249" s="12">
        <v>720</v>
      </c>
      <c r="P4249" s="12">
        <v>0.82</v>
      </c>
      <c r="Q4249" s="12">
        <v>0.9</v>
      </c>
      <c r="R4249" s="12">
        <v>0.8</v>
      </c>
      <c r="S4249" s="12">
        <v>0.85</v>
      </c>
      <c r="T4249" s="12">
        <v>0.79</v>
      </c>
      <c r="U4249" s="12">
        <v>0.95</v>
      </c>
      <c r="V4249" s="12">
        <v>283.14999999999998</v>
      </c>
      <c r="W4249" s="12">
        <v>12.510483909675781</v>
      </c>
      <c r="X4249" s="12">
        <v>114.8341533477041</v>
      </c>
      <c r="Y4249" s="12">
        <v>2580</v>
      </c>
      <c r="Z4249" s="12">
        <v>4.583333333333333</v>
      </c>
      <c r="AA4249" s="12"/>
      <c r="AB4249" s="12"/>
    </row>
    <row r="4250" spans="1:28" x14ac:dyDescent="0.3">
      <c r="A4250" s="12" t="s">
        <v>6189</v>
      </c>
      <c r="B4250" s="12" t="s">
        <v>217</v>
      </c>
      <c r="C4250" s="12" t="s">
        <v>685</v>
      </c>
      <c r="D4250" s="12" t="s">
        <v>223</v>
      </c>
      <c r="E4250" s="12" t="s">
        <v>4968</v>
      </c>
      <c r="F4250" s="12" t="s">
        <v>32</v>
      </c>
      <c r="G4250" s="12" t="s">
        <v>32</v>
      </c>
      <c r="H4250" s="12" t="b">
        <v>1</v>
      </c>
      <c r="I4250" s="12" t="b">
        <v>1</v>
      </c>
      <c r="J4250" s="12" t="b">
        <v>0</v>
      </c>
      <c r="K4250" s="12" t="b">
        <v>0</v>
      </c>
      <c r="L4250" s="12">
        <v>394.15</v>
      </c>
      <c r="M4250" s="12">
        <v>278.14999999999998</v>
      </c>
      <c r="N4250" s="12">
        <v>3300</v>
      </c>
      <c r="O4250" s="12">
        <v>720</v>
      </c>
      <c r="P4250" s="12">
        <v>0.82</v>
      </c>
      <c r="Q4250" s="12">
        <v>0.9</v>
      </c>
      <c r="R4250" s="12">
        <v>0.8</v>
      </c>
      <c r="S4250" s="12">
        <v>0.85</v>
      </c>
      <c r="T4250" s="12">
        <v>0.83</v>
      </c>
      <c r="U4250" s="12">
        <v>0.95</v>
      </c>
      <c r="V4250" s="12">
        <v>283.14999999999998</v>
      </c>
      <c r="W4250" s="12">
        <v>12.605004718308271</v>
      </c>
      <c r="X4250" s="12">
        <v>114.9959186952134</v>
      </c>
      <c r="Y4250" s="12">
        <v>2580</v>
      </c>
      <c r="Z4250" s="12">
        <v>4.583333333333333</v>
      </c>
      <c r="AA4250" s="12"/>
      <c r="AB4250" s="12"/>
    </row>
    <row r="4251" spans="1:28" x14ac:dyDescent="0.3">
      <c r="A4251" s="12" t="s">
        <v>6190</v>
      </c>
      <c r="B4251" s="12" t="s">
        <v>217</v>
      </c>
      <c r="C4251" s="12" t="s">
        <v>685</v>
      </c>
      <c r="D4251" s="12" t="s">
        <v>223</v>
      </c>
      <c r="E4251" s="12" t="s">
        <v>4968</v>
      </c>
      <c r="F4251" s="12" t="s">
        <v>32</v>
      </c>
      <c r="G4251" s="12" t="s">
        <v>32</v>
      </c>
      <c r="H4251" s="12" t="b">
        <v>1</v>
      </c>
      <c r="I4251" s="12" t="b">
        <v>1</v>
      </c>
      <c r="J4251" s="12" t="b">
        <v>0</v>
      </c>
      <c r="K4251" s="12" t="b">
        <v>0</v>
      </c>
      <c r="L4251" s="12">
        <v>394.15</v>
      </c>
      <c r="M4251" s="12">
        <v>278.14999999999998</v>
      </c>
      <c r="N4251" s="12">
        <v>3300</v>
      </c>
      <c r="O4251" s="12">
        <v>720</v>
      </c>
      <c r="P4251" s="12">
        <v>0.82</v>
      </c>
      <c r="Q4251" s="12">
        <v>0.9</v>
      </c>
      <c r="R4251" s="12">
        <v>0.8</v>
      </c>
      <c r="S4251" s="12">
        <v>0.85</v>
      </c>
      <c r="T4251" s="12">
        <v>0.87</v>
      </c>
      <c r="U4251" s="12">
        <v>0.95</v>
      </c>
      <c r="V4251" s="12">
        <v>283.14999999999998</v>
      </c>
      <c r="W4251" s="12">
        <v>12.70068222442066</v>
      </c>
      <c r="X4251" s="12">
        <v>115.15767654575551</v>
      </c>
      <c r="Y4251" s="12">
        <v>2580</v>
      </c>
      <c r="Z4251" s="12">
        <v>4.583333333333333</v>
      </c>
      <c r="AA4251" s="12"/>
      <c r="AB4251" s="12"/>
    </row>
    <row r="4252" spans="1:28" x14ac:dyDescent="0.3">
      <c r="A4252" s="12" t="s">
        <v>6191</v>
      </c>
      <c r="B4252" s="12" t="s">
        <v>217</v>
      </c>
      <c r="C4252" s="12" t="s">
        <v>685</v>
      </c>
      <c r="D4252" s="12" t="s">
        <v>223</v>
      </c>
      <c r="E4252" s="12" t="s">
        <v>4968</v>
      </c>
      <c r="F4252" s="12" t="s">
        <v>32</v>
      </c>
      <c r="G4252" s="12" t="s">
        <v>32</v>
      </c>
      <c r="H4252" s="12" t="b">
        <v>1</v>
      </c>
      <c r="I4252" s="12" t="b">
        <v>1</v>
      </c>
      <c r="J4252" s="12" t="b">
        <v>0</v>
      </c>
      <c r="K4252" s="12" t="b">
        <v>0</v>
      </c>
      <c r="L4252" s="12">
        <v>394.15</v>
      </c>
      <c r="M4252" s="12">
        <v>278.14999999999998</v>
      </c>
      <c r="N4252" s="12">
        <v>3300</v>
      </c>
      <c r="O4252" s="12">
        <v>760</v>
      </c>
      <c r="P4252" s="12">
        <v>0.82</v>
      </c>
      <c r="Q4252" s="12">
        <v>0.9</v>
      </c>
      <c r="R4252" s="12">
        <v>0.8</v>
      </c>
      <c r="S4252" s="12">
        <v>0.85</v>
      </c>
      <c r="T4252" s="12">
        <v>0.75</v>
      </c>
      <c r="U4252" s="12">
        <v>0.95</v>
      </c>
      <c r="V4252" s="12">
        <v>283.14999999999998</v>
      </c>
      <c r="W4252" s="12">
        <v>12.01454900587767</v>
      </c>
      <c r="X4252" s="12">
        <v>110.9440219728876</v>
      </c>
      <c r="Y4252" s="12">
        <v>2540</v>
      </c>
      <c r="Z4252" s="12">
        <v>4.3421052631578947</v>
      </c>
      <c r="AA4252" s="12"/>
      <c r="AB4252" s="12"/>
    </row>
    <row r="4253" spans="1:28" x14ac:dyDescent="0.3">
      <c r="A4253" s="12" t="s">
        <v>6192</v>
      </c>
      <c r="B4253" s="12" t="s">
        <v>217</v>
      </c>
      <c r="C4253" s="12" t="s">
        <v>685</v>
      </c>
      <c r="D4253" s="12" t="s">
        <v>223</v>
      </c>
      <c r="E4253" s="12" t="s">
        <v>4968</v>
      </c>
      <c r="F4253" s="12" t="s">
        <v>32</v>
      </c>
      <c r="G4253" s="12" t="s">
        <v>32</v>
      </c>
      <c r="H4253" s="12" t="b">
        <v>1</v>
      </c>
      <c r="I4253" s="12" t="b">
        <v>1</v>
      </c>
      <c r="J4253" s="12" t="b">
        <v>0</v>
      </c>
      <c r="K4253" s="12" t="b">
        <v>0</v>
      </c>
      <c r="L4253" s="12">
        <v>394.15</v>
      </c>
      <c r="M4253" s="12">
        <v>278.14999999999998</v>
      </c>
      <c r="N4253" s="12">
        <v>3300</v>
      </c>
      <c r="O4253" s="12">
        <v>720</v>
      </c>
      <c r="P4253" s="12">
        <v>0.82</v>
      </c>
      <c r="Q4253" s="12">
        <v>0.9</v>
      </c>
      <c r="R4253" s="12">
        <v>0.8</v>
      </c>
      <c r="S4253" s="12">
        <v>0.85</v>
      </c>
      <c r="T4253" s="12">
        <v>0.95</v>
      </c>
      <c r="U4253" s="12">
        <v>0.95</v>
      </c>
      <c r="V4253" s="12">
        <v>283.14999999999998</v>
      </c>
      <c r="W4253" s="12">
        <v>12.89558976779891</v>
      </c>
      <c r="X4253" s="12">
        <v>115.4811548580232</v>
      </c>
      <c r="Y4253" s="12">
        <v>2580</v>
      </c>
      <c r="Z4253" s="12">
        <v>4.583333333333333</v>
      </c>
      <c r="AA4253" s="12"/>
      <c r="AB4253" s="12"/>
    </row>
    <row r="4254" spans="1:28" x14ac:dyDescent="0.3">
      <c r="A4254" s="12" t="s">
        <v>6193</v>
      </c>
      <c r="B4254" s="12" t="s">
        <v>217</v>
      </c>
      <c r="C4254" s="12" t="s">
        <v>685</v>
      </c>
      <c r="D4254" s="12" t="s">
        <v>223</v>
      </c>
      <c r="E4254" s="12" t="s">
        <v>4968</v>
      </c>
      <c r="F4254" s="12" t="s">
        <v>32</v>
      </c>
      <c r="G4254" s="12" t="s">
        <v>32</v>
      </c>
      <c r="H4254" s="12" t="b">
        <v>1</v>
      </c>
      <c r="I4254" s="12" t="b">
        <v>1</v>
      </c>
      <c r="J4254" s="12" t="b">
        <v>0</v>
      </c>
      <c r="K4254" s="12" t="b">
        <v>0</v>
      </c>
      <c r="L4254" s="12">
        <v>394.15</v>
      </c>
      <c r="M4254" s="12">
        <v>278.14999999999998</v>
      </c>
      <c r="N4254" s="12">
        <v>3300</v>
      </c>
      <c r="O4254" s="12">
        <v>720</v>
      </c>
      <c r="P4254" s="12">
        <v>0.82</v>
      </c>
      <c r="Q4254" s="12">
        <v>0.9</v>
      </c>
      <c r="R4254" s="12">
        <v>0.8</v>
      </c>
      <c r="S4254" s="12">
        <v>0.85</v>
      </c>
      <c r="T4254" s="12">
        <v>0.91</v>
      </c>
      <c r="U4254" s="12">
        <v>0.95</v>
      </c>
      <c r="V4254" s="12">
        <v>283.14999999999998</v>
      </c>
      <c r="W4254" s="12">
        <v>12.79753675411507</v>
      </c>
      <c r="X4254" s="12">
        <v>115.31942171910519</v>
      </c>
      <c r="Y4254" s="12">
        <v>2580</v>
      </c>
      <c r="Z4254" s="12">
        <v>4.583333333333333</v>
      </c>
      <c r="AA4254" s="12"/>
      <c r="AB4254" s="12"/>
    </row>
    <row r="4255" spans="1:28" x14ac:dyDescent="0.3">
      <c r="A4255" s="12" t="s">
        <v>6194</v>
      </c>
      <c r="B4255" s="12" t="s">
        <v>217</v>
      </c>
      <c r="C4255" s="12" t="s">
        <v>685</v>
      </c>
      <c r="D4255" s="12" t="s">
        <v>223</v>
      </c>
      <c r="E4255" s="12" t="s">
        <v>4968</v>
      </c>
      <c r="F4255" s="12" t="s">
        <v>32</v>
      </c>
      <c r="G4255" s="12" t="s">
        <v>32</v>
      </c>
      <c r="H4255" s="12" t="b">
        <v>1</v>
      </c>
      <c r="I4255" s="12" t="b">
        <v>1</v>
      </c>
      <c r="J4255" s="12" t="b">
        <v>0</v>
      </c>
      <c r="K4255" s="12" t="b">
        <v>0</v>
      </c>
      <c r="L4255" s="12">
        <v>394.15</v>
      </c>
      <c r="M4255" s="12">
        <v>278.14999999999998</v>
      </c>
      <c r="N4255" s="12">
        <v>3300</v>
      </c>
      <c r="O4255" s="12">
        <v>760</v>
      </c>
      <c r="P4255" s="12">
        <v>0.82</v>
      </c>
      <c r="Q4255" s="12">
        <v>0.9</v>
      </c>
      <c r="R4255" s="12">
        <v>0.8</v>
      </c>
      <c r="S4255" s="12">
        <v>0.85</v>
      </c>
      <c r="T4255" s="12">
        <v>0.79</v>
      </c>
      <c r="U4255" s="12">
        <v>0.95</v>
      </c>
      <c r="V4255" s="12">
        <v>283.14999999999998</v>
      </c>
      <c r="W4255" s="12">
        <v>12.10488804272571</v>
      </c>
      <c r="X4255" s="12">
        <v>111.1005084852433</v>
      </c>
      <c r="Y4255" s="12">
        <v>2540</v>
      </c>
      <c r="Z4255" s="12">
        <v>4.3421052631578947</v>
      </c>
      <c r="AA4255" s="12"/>
      <c r="AB4255" s="12"/>
    </row>
    <row r="4256" spans="1:28" x14ac:dyDescent="0.3">
      <c r="A4256" s="12" t="s">
        <v>6195</v>
      </c>
      <c r="B4256" s="12" t="s">
        <v>217</v>
      </c>
      <c r="C4256" s="12" t="s">
        <v>685</v>
      </c>
      <c r="D4256" s="12" t="s">
        <v>223</v>
      </c>
      <c r="E4256" s="12" t="s">
        <v>4968</v>
      </c>
      <c r="F4256" s="12" t="s">
        <v>32</v>
      </c>
      <c r="G4256" s="12" t="s">
        <v>32</v>
      </c>
      <c r="H4256" s="12" t="b">
        <v>1</v>
      </c>
      <c r="I4256" s="12" t="b">
        <v>1</v>
      </c>
      <c r="J4256" s="12" t="b">
        <v>0</v>
      </c>
      <c r="K4256" s="12" t="b">
        <v>0</v>
      </c>
      <c r="L4256" s="12">
        <v>394.15</v>
      </c>
      <c r="M4256" s="12">
        <v>278.14999999999998</v>
      </c>
      <c r="N4256" s="12">
        <v>3300</v>
      </c>
      <c r="O4256" s="12">
        <v>760</v>
      </c>
      <c r="P4256" s="12">
        <v>0.82</v>
      </c>
      <c r="Q4256" s="12">
        <v>0.9</v>
      </c>
      <c r="R4256" s="12">
        <v>0.8</v>
      </c>
      <c r="S4256" s="12">
        <v>0.85</v>
      </c>
      <c r="T4256" s="12">
        <v>0.83</v>
      </c>
      <c r="U4256" s="12">
        <v>0.95</v>
      </c>
      <c r="V4256" s="12">
        <v>283.14999999999998</v>
      </c>
      <c r="W4256" s="12">
        <v>12.19632565300142</v>
      </c>
      <c r="X4256" s="12">
        <v>111.2569839830188</v>
      </c>
      <c r="Y4256" s="12">
        <v>2540</v>
      </c>
      <c r="Z4256" s="12">
        <v>4.3421052631578947</v>
      </c>
      <c r="AA4256" s="12"/>
      <c r="AB4256" s="12"/>
    </row>
    <row r="4257" spans="1:28" x14ac:dyDescent="0.3">
      <c r="A4257" s="12" t="s">
        <v>6196</v>
      </c>
      <c r="B4257" s="12" t="s">
        <v>217</v>
      </c>
      <c r="C4257" s="12" t="s">
        <v>685</v>
      </c>
      <c r="D4257" s="12" t="s">
        <v>223</v>
      </c>
      <c r="E4257" s="12" t="s">
        <v>4968</v>
      </c>
      <c r="F4257" s="12" t="s">
        <v>32</v>
      </c>
      <c r="G4257" s="12" t="s">
        <v>32</v>
      </c>
      <c r="H4257" s="12" t="b">
        <v>1</v>
      </c>
      <c r="I4257" s="12" t="b">
        <v>1</v>
      </c>
      <c r="J4257" s="12" t="b">
        <v>0</v>
      </c>
      <c r="K4257" s="12" t="b">
        <v>0</v>
      </c>
      <c r="L4257" s="12">
        <v>394.15</v>
      </c>
      <c r="M4257" s="12">
        <v>278.14999999999998</v>
      </c>
      <c r="N4257" s="12">
        <v>3300</v>
      </c>
      <c r="O4257" s="12">
        <v>760</v>
      </c>
      <c r="P4257" s="12">
        <v>0.82</v>
      </c>
      <c r="Q4257" s="12">
        <v>0.9</v>
      </c>
      <c r="R4257" s="12">
        <v>0.8</v>
      </c>
      <c r="S4257" s="12">
        <v>0.85</v>
      </c>
      <c r="T4257" s="12">
        <v>0.87</v>
      </c>
      <c r="U4257" s="12">
        <v>0.95</v>
      </c>
      <c r="V4257" s="12">
        <v>283.14999999999998</v>
      </c>
      <c r="W4257" s="12">
        <v>12.2888812124975</v>
      </c>
      <c r="X4257" s="12">
        <v>111.41344523915799</v>
      </c>
      <c r="Y4257" s="12">
        <v>2540</v>
      </c>
      <c r="Z4257" s="12">
        <v>4.3421052631578947</v>
      </c>
      <c r="AA4257" s="12"/>
      <c r="AB4257" s="12"/>
    </row>
    <row r="4258" spans="1:28" x14ac:dyDescent="0.3">
      <c r="A4258" s="12" t="s">
        <v>6197</v>
      </c>
      <c r="B4258" s="12" t="s">
        <v>217</v>
      </c>
      <c r="C4258" s="12" t="s">
        <v>685</v>
      </c>
      <c r="D4258" s="12" t="s">
        <v>223</v>
      </c>
      <c r="E4258" s="12" t="s">
        <v>4968</v>
      </c>
      <c r="F4258" s="12" t="s">
        <v>32</v>
      </c>
      <c r="G4258" s="12" t="s">
        <v>32</v>
      </c>
      <c r="H4258" s="12" t="b">
        <v>1</v>
      </c>
      <c r="I4258" s="12" t="b">
        <v>1</v>
      </c>
      <c r="J4258" s="12" t="b">
        <v>0</v>
      </c>
      <c r="K4258" s="12" t="b">
        <v>0</v>
      </c>
      <c r="L4258" s="12">
        <v>394.15</v>
      </c>
      <c r="M4258" s="12">
        <v>278.14999999999998</v>
      </c>
      <c r="N4258" s="12">
        <v>3300</v>
      </c>
      <c r="O4258" s="12">
        <v>760</v>
      </c>
      <c r="P4258" s="12">
        <v>0.82</v>
      </c>
      <c r="Q4258" s="12">
        <v>0.9</v>
      </c>
      <c r="R4258" s="12">
        <v>0.8</v>
      </c>
      <c r="S4258" s="12">
        <v>0.85</v>
      </c>
      <c r="T4258" s="12">
        <v>0.91</v>
      </c>
      <c r="U4258" s="12">
        <v>0.95</v>
      </c>
      <c r="V4258" s="12">
        <v>283.14999999999998</v>
      </c>
      <c r="W4258" s="12">
        <v>12.38257496058692</v>
      </c>
      <c r="X4258" s="12">
        <v>111.56989266220251</v>
      </c>
      <c r="Y4258" s="12">
        <v>2540</v>
      </c>
      <c r="Z4258" s="12">
        <v>4.3421052631578947</v>
      </c>
      <c r="AA4258" s="12"/>
      <c r="AB4258" s="12"/>
    </row>
    <row r="4259" spans="1:28" x14ac:dyDescent="0.3">
      <c r="A4259" s="12" t="s">
        <v>6198</v>
      </c>
      <c r="B4259" s="12" t="s">
        <v>217</v>
      </c>
      <c r="C4259" s="12" t="s">
        <v>685</v>
      </c>
      <c r="D4259" s="12" t="s">
        <v>223</v>
      </c>
      <c r="E4259" s="12" t="s">
        <v>4968</v>
      </c>
      <c r="F4259" s="12" t="s">
        <v>32</v>
      </c>
      <c r="G4259" s="12" t="s">
        <v>32</v>
      </c>
      <c r="H4259" s="12" t="b">
        <v>1</v>
      </c>
      <c r="I4259" s="12" t="b">
        <v>1</v>
      </c>
      <c r="J4259" s="12" t="b">
        <v>0</v>
      </c>
      <c r="K4259" s="12" t="b">
        <v>0</v>
      </c>
      <c r="L4259" s="12">
        <v>394.15</v>
      </c>
      <c r="M4259" s="12">
        <v>278.14999999999998</v>
      </c>
      <c r="N4259" s="12">
        <v>3300</v>
      </c>
      <c r="O4259" s="12">
        <v>800</v>
      </c>
      <c r="P4259" s="12">
        <v>0.82</v>
      </c>
      <c r="Q4259" s="12">
        <v>0.9</v>
      </c>
      <c r="R4259" s="12">
        <v>0.8</v>
      </c>
      <c r="S4259" s="12">
        <v>0.85</v>
      </c>
      <c r="T4259" s="12">
        <v>0.75</v>
      </c>
      <c r="U4259" s="12">
        <v>0.95</v>
      </c>
      <c r="V4259" s="12">
        <v>283.14999999999998</v>
      </c>
      <c r="W4259" s="12">
        <v>11.62985863251361</v>
      </c>
      <c r="X4259" s="12">
        <v>107.3818843882582</v>
      </c>
      <c r="Y4259" s="12">
        <v>2500</v>
      </c>
      <c r="Z4259" s="12">
        <v>4.125</v>
      </c>
      <c r="AA4259" s="12"/>
      <c r="AB4259" s="12"/>
    </row>
    <row r="4260" spans="1:28" x14ac:dyDescent="0.3">
      <c r="A4260" s="12" t="s">
        <v>6199</v>
      </c>
      <c r="B4260" s="12" t="s">
        <v>217</v>
      </c>
      <c r="C4260" s="12" t="s">
        <v>685</v>
      </c>
      <c r="D4260" s="12" t="s">
        <v>223</v>
      </c>
      <c r="E4260" s="12" t="s">
        <v>4968</v>
      </c>
      <c r="F4260" s="12" t="s">
        <v>32</v>
      </c>
      <c r="G4260" s="12" t="s">
        <v>32</v>
      </c>
      <c r="H4260" s="12" t="b">
        <v>1</v>
      </c>
      <c r="I4260" s="12" t="b">
        <v>1</v>
      </c>
      <c r="J4260" s="12" t="b">
        <v>0</v>
      </c>
      <c r="K4260" s="12" t="b">
        <v>0</v>
      </c>
      <c r="L4260" s="12">
        <v>394.15</v>
      </c>
      <c r="M4260" s="12">
        <v>278.14999999999998</v>
      </c>
      <c r="N4260" s="12">
        <v>3300</v>
      </c>
      <c r="O4260" s="12">
        <v>760</v>
      </c>
      <c r="P4260" s="12">
        <v>0.82</v>
      </c>
      <c r="Q4260" s="12">
        <v>0.9</v>
      </c>
      <c r="R4260" s="12">
        <v>0.8</v>
      </c>
      <c r="S4260" s="12">
        <v>0.85</v>
      </c>
      <c r="T4260" s="12">
        <v>0.95</v>
      </c>
      <c r="U4260" s="12">
        <v>0.95</v>
      </c>
      <c r="V4260" s="12">
        <v>283.14999999999998</v>
      </c>
      <c r="W4260" s="12">
        <v>12.477427425671429</v>
      </c>
      <c r="X4260" s="12">
        <v>111.72632490495531</v>
      </c>
      <c r="Y4260" s="12">
        <v>2540</v>
      </c>
      <c r="Z4260" s="12">
        <v>4.3421052631578947</v>
      </c>
      <c r="AA4260" s="12"/>
      <c r="AB4260" s="12"/>
    </row>
    <row r="4261" spans="1:28" x14ac:dyDescent="0.3">
      <c r="A4261" s="12" t="s">
        <v>6200</v>
      </c>
      <c r="B4261" s="12" t="s">
        <v>217</v>
      </c>
      <c r="C4261" s="12" t="s">
        <v>685</v>
      </c>
      <c r="D4261" s="12" t="s">
        <v>223</v>
      </c>
      <c r="E4261" s="12" t="s">
        <v>4968</v>
      </c>
      <c r="F4261" s="12" t="s">
        <v>32</v>
      </c>
      <c r="G4261" s="12" t="s">
        <v>32</v>
      </c>
      <c r="H4261" s="12" t="b">
        <v>1</v>
      </c>
      <c r="I4261" s="12" t="b">
        <v>1</v>
      </c>
      <c r="J4261" s="12" t="b">
        <v>0</v>
      </c>
      <c r="K4261" s="12" t="b">
        <v>0</v>
      </c>
      <c r="L4261" s="12">
        <v>394.15</v>
      </c>
      <c r="M4261" s="12">
        <v>278.14999999999998</v>
      </c>
      <c r="N4261" s="12">
        <v>3300</v>
      </c>
      <c r="O4261" s="12">
        <v>800</v>
      </c>
      <c r="P4261" s="12">
        <v>0.82</v>
      </c>
      <c r="Q4261" s="12">
        <v>0.9</v>
      </c>
      <c r="R4261" s="12">
        <v>0.8</v>
      </c>
      <c r="S4261" s="12">
        <v>0.85</v>
      </c>
      <c r="T4261" s="12">
        <v>0.79</v>
      </c>
      <c r="U4261" s="12">
        <v>0.95</v>
      </c>
      <c r="V4261" s="12">
        <v>283.14999999999998</v>
      </c>
      <c r="W4261" s="12">
        <v>11.717286096324949</v>
      </c>
      <c r="X4261" s="12">
        <v>107.5332984953278</v>
      </c>
      <c r="Y4261" s="12">
        <v>2500</v>
      </c>
      <c r="Z4261" s="12">
        <v>4.125</v>
      </c>
      <c r="AA4261" s="12"/>
      <c r="AB4261" s="12"/>
    </row>
    <row r="4262" spans="1:28" x14ac:dyDescent="0.3">
      <c r="A4262" s="12" t="s">
        <v>6201</v>
      </c>
      <c r="B4262" s="12" t="s">
        <v>217</v>
      </c>
      <c r="C4262" s="12" t="s">
        <v>685</v>
      </c>
      <c r="D4262" s="12" t="s">
        <v>223</v>
      </c>
      <c r="E4262" s="12" t="s">
        <v>4968</v>
      </c>
      <c r="F4262" s="12" t="s">
        <v>32</v>
      </c>
      <c r="G4262" s="12" t="s">
        <v>32</v>
      </c>
      <c r="H4262" s="12" t="b">
        <v>1</v>
      </c>
      <c r="I4262" s="12" t="b">
        <v>1</v>
      </c>
      <c r="J4262" s="12" t="b">
        <v>0</v>
      </c>
      <c r="K4262" s="12" t="b">
        <v>0</v>
      </c>
      <c r="L4262" s="12">
        <v>394.15</v>
      </c>
      <c r="M4262" s="12">
        <v>278.14999999999998</v>
      </c>
      <c r="N4262" s="12">
        <v>3300</v>
      </c>
      <c r="O4262" s="12">
        <v>800</v>
      </c>
      <c r="P4262" s="12">
        <v>0.82</v>
      </c>
      <c r="Q4262" s="12">
        <v>0.9</v>
      </c>
      <c r="R4262" s="12">
        <v>0.8</v>
      </c>
      <c r="S4262" s="12">
        <v>0.85</v>
      </c>
      <c r="T4262" s="12">
        <v>0.83</v>
      </c>
      <c r="U4262" s="12">
        <v>0.95</v>
      </c>
      <c r="V4262" s="12">
        <v>283.14999999999998</v>
      </c>
      <c r="W4262" s="12">
        <v>11.80577606340932</v>
      </c>
      <c r="X4262" s="12">
        <v>107.6846979162316</v>
      </c>
      <c r="Y4262" s="12">
        <v>2500</v>
      </c>
      <c r="Z4262" s="12">
        <v>4.125</v>
      </c>
      <c r="AA4262" s="12"/>
      <c r="AB4262" s="12"/>
    </row>
    <row r="4263" spans="1:28" x14ac:dyDescent="0.3">
      <c r="A4263" s="12" t="s">
        <v>6202</v>
      </c>
      <c r="B4263" s="12" t="s">
        <v>217</v>
      </c>
      <c r="C4263" s="12" t="s">
        <v>685</v>
      </c>
      <c r="D4263" s="12" t="s">
        <v>223</v>
      </c>
      <c r="E4263" s="12" t="s">
        <v>4968</v>
      </c>
      <c r="F4263" s="12" t="s">
        <v>32</v>
      </c>
      <c r="G4263" s="12" t="s">
        <v>32</v>
      </c>
      <c r="H4263" s="12" t="b">
        <v>1</v>
      </c>
      <c r="I4263" s="12" t="b">
        <v>1</v>
      </c>
      <c r="J4263" s="12" t="b">
        <v>0</v>
      </c>
      <c r="K4263" s="12" t="b">
        <v>0</v>
      </c>
      <c r="L4263" s="12">
        <v>394.15</v>
      </c>
      <c r="M4263" s="12">
        <v>278.14999999999998</v>
      </c>
      <c r="N4263" s="12">
        <v>3300</v>
      </c>
      <c r="O4263" s="12">
        <v>800</v>
      </c>
      <c r="P4263" s="12">
        <v>0.82</v>
      </c>
      <c r="Q4263" s="12">
        <v>0.9</v>
      </c>
      <c r="R4263" s="12">
        <v>0.8</v>
      </c>
      <c r="S4263" s="12">
        <v>0.85</v>
      </c>
      <c r="T4263" s="12">
        <v>0.87</v>
      </c>
      <c r="U4263" s="12">
        <v>0.95</v>
      </c>
      <c r="V4263" s="12">
        <v>283.14999999999998</v>
      </c>
      <c r="W4263" s="12">
        <v>11.895347485054319</v>
      </c>
      <c r="X4263" s="12">
        <v>107.8360814931695</v>
      </c>
      <c r="Y4263" s="12">
        <v>2500</v>
      </c>
      <c r="Z4263" s="12">
        <v>4.125</v>
      </c>
      <c r="AA4263" s="12"/>
      <c r="AB4263" s="12"/>
    </row>
    <row r="4264" spans="1:28" x14ac:dyDescent="0.3">
      <c r="A4264" s="12" t="s">
        <v>6203</v>
      </c>
      <c r="B4264" s="12" t="s">
        <v>217</v>
      </c>
      <c r="C4264" s="12" t="s">
        <v>685</v>
      </c>
      <c r="D4264" s="12" t="s">
        <v>223</v>
      </c>
      <c r="E4264" s="12" t="s">
        <v>4968</v>
      </c>
      <c r="F4264" s="12" t="s">
        <v>32</v>
      </c>
      <c r="G4264" s="12" t="s">
        <v>32</v>
      </c>
      <c r="H4264" s="12" t="b">
        <v>1</v>
      </c>
      <c r="I4264" s="12" t="b">
        <v>1</v>
      </c>
      <c r="J4264" s="12" t="b">
        <v>0</v>
      </c>
      <c r="K4264" s="12" t="b">
        <v>0</v>
      </c>
      <c r="L4264" s="12">
        <v>394.15</v>
      </c>
      <c r="M4264" s="12">
        <v>278.14999999999998</v>
      </c>
      <c r="N4264" s="12">
        <v>3300</v>
      </c>
      <c r="O4264" s="12">
        <v>800</v>
      </c>
      <c r="P4264" s="12">
        <v>0.82</v>
      </c>
      <c r="Q4264" s="12">
        <v>0.9</v>
      </c>
      <c r="R4264" s="12">
        <v>0.8</v>
      </c>
      <c r="S4264" s="12">
        <v>0.85</v>
      </c>
      <c r="T4264" s="12">
        <v>0.91</v>
      </c>
      <c r="U4264" s="12">
        <v>0.95</v>
      </c>
      <c r="V4264" s="12">
        <v>283.14999999999998</v>
      </c>
      <c r="W4264" s="12">
        <v>11.986019762911329</v>
      </c>
      <c r="X4264" s="12">
        <v>107.9874480606582</v>
      </c>
      <c r="Y4264" s="12">
        <v>2500</v>
      </c>
      <c r="Z4264" s="12">
        <v>4.125</v>
      </c>
      <c r="AA4264" s="12"/>
      <c r="AB4264" s="12"/>
    </row>
    <row r="4265" spans="1:28" x14ac:dyDescent="0.3">
      <c r="A4265" s="12" t="s">
        <v>6204</v>
      </c>
      <c r="B4265" s="12" t="s">
        <v>217</v>
      </c>
      <c r="C4265" s="12" t="s">
        <v>685</v>
      </c>
      <c r="D4265" s="12" t="s">
        <v>223</v>
      </c>
      <c r="E4265" s="12" t="s">
        <v>4968</v>
      </c>
      <c r="F4265" s="12" t="s">
        <v>32</v>
      </c>
      <c r="G4265" s="12" t="s">
        <v>32</v>
      </c>
      <c r="H4265" s="12" t="b">
        <v>1</v>
      </c>
      <c r="I4265" s="12" t="b">
        <v>1</v>
      </c>
      <c r="J4265" s="12" t="b">
        <v>0</v>
      </c>
      <c r="K4265" s="12" t="b">
        <v>0</v>
      </c>
      <c r="L4265" s="12">
        <v>394.15</v>
      </c>
      <c r="M4265" s="12">
        <v>278.14999999999998</v>
      </c>
      <c r="N4265" s="12">
        <v>3300</v>
      </c>
      <c r="O4265" s="12">
        <v>766.66666666670005</v>
      </c>
      <c r="P4265" s="12">
        <v>0.82</v>
      </c>
      <c r="Q4265" s="12">
        <v>0.9</v>
      </c>
      <c r="R4265" s="12">
        <v>0.8</v>
      </c>
      <c r="S4265" s="12">
        <v>0.85</v>
      </c>
      <c r="T4265" s="12">
        <v>0.75</v>
      </c>
      <c r="U4265" s="12">
        <v>0.95</v>
      </c>
      <c r="V4265" s="12">
        <v>283.14999999999998</v>
      </c>
      <c r="W4265" s="12">
        <v>11.94924077297977</v>
      </c>
      <c r="X4265" s="12">
        <v>110.3392287345492</v>
      </c>
      <c r="Y4265" s="12">
        <v>2533.3333333332998</v>
      </c>
      <c r="Z4265" s="12">
        <v>4.3043478260867687</v>
      </c>
      <c r="AA4265" s="12"/>
      <c r="AB4265" s="12"/>
    </row>
    <row r="4266" spans="1:28" x14ac:dyDescent="0.3">
      <c r="A4266" s="12" t="s">
        <v>6205</v>
      </c>
      <c r="B4266" s="12" t="s">
        <v>217</v>
      </c>
      <c r="C4266" s="12" t="s">
        <v>685</v>
      </c>
      <c r="D4266" s="12" t="s">
        <v>223</v>
      </c>
      <c r="E4266" s="12" t="s">
        <v>4968</v>
      </c>
      <c r="F4266" s="12" t="s">
        <v>32</v>
      </c>
      <c r="G4266" s="12" t="s">
        <v>32</v>
      </c>
      <c r="H4266" s="12" t="b">
        <v>1</v>
      </c>
      <c r="I4266" s="12" t="b">
        <v>1</v>
      </c>
      <c r="J4266" s="12" t="b">
        <v>0</v>
      </c>
      <c r="K4266" s="12" t="b">
        <v>0</v>
      </c>
      <c r="L4266" s="12">
        <v>394.15</v>
      </c>
      <c r="M4266" s="12">
        <v>278.14999999999998</v>
      </c>
      <c r="N4266" s="12">
        <v>3300</v>
      </c>
      <c r="O4266" s="12">
        <v>733.33333333329995</v>
      </c>
      <c r="P4266" s="12">
        <v>0.82</v>
      </c>
      <c r="Q4266" s="12">
        <v>0.9</v>
      </c>
      <c r="R4266" s="12">
        <v>0.8</v>
      </c>
      <c r="S4266" s="12">
        <v>0.85</v>
      </c>
      <c r="T4266" s="12">
        <v>0.75</v>
      </c>
      <c r="U4266" s="12">
        <v>0.95</v>
      </c>
      <c r="V4266" s="12">
        <v>283.14999999999998</v>
      </c>
      <c r="W4266" s="12">
        <v>12.2808202207297</v>
      </c>
      <c r="X4266" s="12">
        <v>113.4100873165474</v>
      </c>
      <c r="Y4266" s="12">
        <v>2566.6666666667002</v>
      </c>
      <c r="Z4266" s="12">
        <v>4.5000000000002052</v>
      </c>
      <c r="AA4266" s="12"/>
      <c r="AB4266" s="12"/>
    </row>
    <row r="4267" spans="1:28" x14ac:dyDescent="0.3">
      <c r="A4267" s="12" t="s">
        <v>6206</v>
      </c>
      <c r="B4267" s="12" t="s">
        <v>217</v>
      </c>
      <c r="C4267" s="12" t="s">
        <v>685</v>
      </c>
      <c r="D4267" s="12" t="s">
        <v>223</v>
      </c>
      <c r="E4267" s="12" t="s">
        <v>4968</v>
      </c>
      <c r="F4267" s="12" t="s">
        <v>32</v>
      </c>
      <c r="G4267" s="12" t="s">
        <v>32</v>
      </c>
      <c r="H4267" s="12" t="b">
        <v>1</v>
      </c>
      <c r="I4267" s="12" t="b">
        <v>1</v>
      </c>
      <c r="J4267" s="12" t="b">
        <v>0</v>
      </c>
      <c r="K4267" s="12" t="b">
        <v>0</v>
      </c>
      <c r="L4267" s="12">
        <v>394.15</v>
      </c>
      <c r="M4267" s="12">
        <v>278.14999999999998</v>
      </c>
      <c r="N4267" s="12">
        <v>3300</v>
      </c>
      <c r="O4267" s="12">
        <v>800</v>
      </c>
      <c r="P4267" s="12">
        <v>0.82</v>
      </c>
      <c r="Q4267" s="12">
        <v>0.9</v>
      </c>
      <c r="R4267" s="12">
        <v>0.8</v>
      </c>
      <c r="S4267" s="12">
        <v>0.85</v>
      </c>
      <c r="T4267" s="12">
        <v>0.75</v>
      </c>
      <c r="U4267" s="12">
        <v>0.95</v>
      </c>
      <c r="V4267" s="12">
        <v>283.14999999999998</v>
      </c>
      <c r="W4267" s="12">
        <v>11.62985863251361</v>
      </c>
      <c r="X4267" s="12">
        <v>107.3818843882582</v>
      </c>
      <c r="Y4267" s="12">
        <v>2500</v>
      </c>
      <c r="Z4267" s="12">
        <v>4.125</v>
      </c>
      <c r="AA4267" s="12"/>
      <c r="AB4267" s="12"/>
    </row>
    <row r="4268" spans="1:28" x14ac:dyDescent="0.3">
      <c r="A4268" s="12" t="s">
        <v>6207</v>
      </c>
      <c r="B4268" s="12" t="s">
        <v>217</v>
      </c>
      <c r="C4268" s="12" t="s">
        <v>685</v>
      </c>
      <c r="D4268" s="12" t="s">
        <v>223</v>
      </c>
      <c r="E4268" s="12" t="s">
        <v>4968</v>
      </c>
      <c r="F4268" s="12" t="s">
        <v>32</v>
      </c>
      <c r="G4268" s="12" t="s">
        <v>32</v>
      </c>
      <c r="H4268" s="12" t="b">
        <v>1</v>
      </c>
      <c r="I4268" s="12" t="b">
        <v>1</v>
      </c>
      <c r="J4268" s="12" t="b">
        <v>0</v>
      </c>
      <c r="K4268" s="12" t="b">
        <v>0</v>
      </c>
      <c r="L4268" s="12">
        <v>394.15</v>
      </c>
      <c r="M4268" s="12">
        <v>278.14999999999998</v>
      </c>
      <c r="N4268" s="12">
        <v>3300</v>
      </c>
      <c r="O4268" s="12">
        <v>800</v>
      </c>
      <c r="P4268" s="12">
        <v>0.82</v>
      </c>
      <c r="Q4268" s="12">
        <v>0.9</v>
      </c>
      <c r="R4268" s="12">
        <v>0.8</v>
      </c>
      <c r="S4268" s="12">
        <v>0.85</v>
      </c>
      <c r="T4268" s="12">
        <v>0.95</v>
      </c>
      <c r="U4268" s="12">
        <v>0.95</v>
      </c>
      <c r="V4268" s="12">
        <v>283.14999999999998</v>
      </c>
      <c r="W4268" s="12">
        <v>12.07781276223397</v>
      </c>
      <c r="X4268" s="12">
        <v>108.13879644451499</v>
      </c>
      <c r="Y4268" s="12">
        <v>2500</v>
      </c>
      <c r="Z4268" s="12">
        <v>4.125</v>
      </c>
      <c r="AA4268" s="12"/>
      <c r="AB4268" s="12"/>
    </row>
    <row r="4269" spans="1:28" x14ac:dyDescent="0.3">
      <c r="A4269" s="12" t="s">
        <v>6208</v>
      </c>
      <c r="B4269" s="12" t="s">
        <v>217</v>
      </c>
      <c r="C4269" s="12" t="s">
        <v>685</v>
      </c>
      <c r="D4269" s="12" t="s">
        <v>223</v>
      </c>
      <c r="E4269" s="12" t="s">
        <v>4968</v>
      </c>
      <c r="F4269" s="12" t="s">
        <v>32</v>
      </c>
      <c r="G4269" s="12" t="s">
        <v>32</v>
      </c>
      <c r="H4269" s="12" t="b">
        <v>1</v>
      </c>
      <c r="I4269" s="12" t="b">
        <v>1</v>
      </c>
      <c r="J4269" s="12" t="b">
        <v>0</v>
      </c>
      <c r="K4269" s="12" t="b">
        <v>0</v>
      </c>
      <c r="L4269" s="12">
        <v>394.15</v>
      </c>
      <c r="M4269" s="12">
        <v>278.14999999999998</v>
      </c>
      <c r="N4269" s="12">
        <v>3300</v>
      </c>
      <c r="O4269" s="12">
        <v>700</v>
      </c>
      <c r="P4269" s="12">
        <v>0.82</v>
      </c>
      <c r="Q4269" s="12">
        <v>0.9</v>
      </c>
      <c r="R4269" s="12">
        <v>0.8</v>
      </c>
      <c r="S4269" s="12">
        <v>0.85</v>
      </c>
      <c r="T4269" s="12">
        <v>0.75</v>
      </c>
      <c r="U4269" s="12">
        <v>0.95</v>
      </c>
      <c r="V4269" s="12">
        <v>283.14999999999998</v>
      </c>
      <c r="W4269" s="12">
        <v>12.581314446066379</v>
      </c>
      <c r="X4269" s="12">
        <v>116.160036609947</v>
      </c>
      <c r="Y4269" s="12">
        <v>2600</v>
      </c>
      <c r="Z4269" s="12">
        <v>4.7142857142857144</v>
      </c>
      <c r="AA4269" s="12"/>
      <c r="AB4269" s="12"/>
    </row>
    <row r="4270" spans="1:28" x14ac:dyDescent="0.3">
      <c r="A4270" s="12" t="s">
        <v>6209</v>
      </c>
      <c r="B4270" s="12" t="s">
        <v>217</v>
      </c>
      <c r="C4270" s="12" t="s">
        <v>685</v>
      </c>
      <c r="D4270" s="12" t="s">
        <v>223</v>
      </c>
      <c r="E4270" s="12" t="s">
        <v>4968</v>
      </c>
      <c r="F4270" s="12" t="s">
        <v>32</v>
      </c>
      <c r="G4270" s="12" t="s">
        <v>32</v>
      </c>
      <c r="H4270" s="12" t="b">
        <v>1</v>
      </c>
      <c r="I4270" s="12" t="b">
        <v>0</v>
      </c>
      <c r="J4270" s="12" t="b">
        <v>0</v>
      </c>
      <c r="K4270" s="12" t="b">
        <v>0</v>
      </c>
      <c r="L4270" s="12">
        <v>394.15</v>
      </c>
      <c r="M4270" s="12">
        <v>278.14999999999998</v>
      </c>
      <c r="N4270" s="12">
        <v>3300</v>
      </c>
      <c r="O4270" s="12">
        <v>690</v>
      </c>
      <c r="P4270" s="12">
        <v>0.82</v>
      </c>
      <c r="Q4270" s="12">
        <v>0.9</v>
      </c>
      <c r="R4270" s="12">
        <v>0.8</v>
      </c>
      <c r="S4270" s="12">
        <v>0.85</v>
      </c>
      <c r="T4270" s="12">
        <v>0.75</v>
      </c>
      <c r="U4270" s="12">
        <v>0.96</v>
      </c>
      <c r="V4270" s="12">
        <v>283.14999999999998</v>
      </c>
      <c r="W4270" s="12">
        <v>12.646173863898291</v>
      </c>
      <c r="X4270" s="12">
        <v>117.4507210281464</v>
      </c>
      <c r="Y4270" s="12">
        <v>2610</v>
      </c>
      <c r="Z4270" s="12">
        <v>4.7826086956521738</v>
      </c>
      <c r="AA4270" s="12"/>
      <c r="AB4270" s="12"/>
    </row>
    <row r="4271" spans="1:28" x14ac:dyDescent="0.3">
      <c r="A4271" s="12" t="s">
        <v>6210</v>
      </c>
      <c r="B4271" s="12" t="s">
        <v>217</v>
      </c>
      <c r="C4271" s="12" t="s">
        <v>685</v>
      </c>
      <c r="D4271" s="12" t="s">
        <v>223</v>
      </c>
      <c r="E4271" s="12" t="s">
        <v>4968</v>
      </c>
      <c r="F4271" s="12" t="s">
        <v>32</v>
      </c>
      <c r="G4271" s="12" t="s">
        <v>32</v>
      </c>
      <c r="H4271" s="12" t="b">
        <v>1</v>
      </c>
      <c r="I4271" s="12" t="b">
        <v>0</v>
      </c>
      <c r="J4271" s="12" t="b">
        <v>0</v>
      </c>
      <c r="K4271" s="12" t="b">
        <v>0</v>
      </c>
      <c r="L4271" s="12">
        <v>394.15</v>
      </c>
      <c r="M4271" s="12">
        <v>278.14999999999998</v>
      </c>
      <c r="N4271" s="12">
        <v>3300</v>
      </c>
      <c r="O4271" s="12">
        <v>690</v>
      </c>
      <c r="P4271" s="12">
        <v>0.82</v>
      </c>
      <c r="Q4271" s="12">
        <v>0.9</v>
      </c>
      <c r="R4271" s="12">
        <v>0.8</v>
      </c>
      <c r="S4271" s="12">
        <v>0.85</v>
      </c>
      <c r="T4271" s="12">
        <v>0.75</v>
      </c>
      <c r="U4271" s="12">
        <v>0.97499999999999998</v>
      </c>
      <c r="V4271" s="12">
        <v>283.14999999999998</v>
      </c>
      <c r="W4271" s="12">
        <v>12.520811348777841</v>
      </c>
      <c r="X4271" s="12">
        <v>117.2464753307021</v>
      </c>
      <c r="Y4271" s="12">
        <v>2610</v>
      </c>
      <c r="Z4271" s="12">
        <v>4.7826086956521738</v>
      </c>
      <c r="AA4271" s="12"/>
      <c r="AB4271" s="12"/>
    </row>
    <row r="4272" spans="1:28" x14ac:dyDescent="0.3">
      <c r="A4272" s="12" t="s">
        <v>6211</v>
      </c>
      <c r="B4272" s="12" t="s">
        <v>217</v>
      </c>
      <c r="C4272" s="12" t="s">
        <v>685</v>
      </c>
      <c r="D4272" s="12" t="s">
        <v>223</v>
      </c>
      <c r="E4272" s="12" t="s">
        <v>4968</v>
      </c>
      <c r="F4272" s="12" t="s">
        <v>32</v>
      </c>
      <c r="G4272" s="12" t="s">
        <v>32</v>
      </c>
      <c r="H4272" s="12" t="b">
        <v>1</v>
      </c>
      <c r="I4272" s="12" t="b">
        <v>0</v>
      </c>
      <c r="J4272" s="12" t="b">
        <v>0</v>
      </c>
      <c r="K4272" s="12" t="b">
        <v>0</v>
      </c>
      <c r="L4272" s="12">
        <v>394.15</v>
      </c>
      <c r="M4272" s="12">
        <v>278.14999999999998</v>
      </c>
      <c r="N4272" s="12">
        <v>3300</v>
      </c>
      <c r="O4272" s="12">
        <v>690</v>
      </c>
      <c r="P4272" s="12">
        <v>0.82</v>
      </c>
      <c r="Q4272" s="12">
        <v>0.9</v>
      </c>
      <c r="R4272" s="12">
        <v>0.8</v>
      </c>
      <c r="S4272" s="12">
        <v>0.85</v>
      </c>
      <c r="T4272" s="12">
        <v>0.75</v>
      </c>
      <c r="U4272" s="12">
        <v>0.99</v>
      </c>
      <c r="V4272" s="12">
        <v>283.14999999999998</v>
      </c>
      <c r="W4272" s="12">
        <v>12.399113263684811</v>
      </c>
      <c r="X4272" s="12">
        <v>117.0447384389814</v>
      </c>
      <c r="Y4272" s="12">
        <v>2610</v>
      </c>
      <c r="Z4272" s="12">
        <v>4.7826086956521738</v>
      </c>
      <c r="AA4272" s="12"/>
      <c r="AB4272" s="12"/>
    </row>
    <row r="4273" spans="1:28" x14ac:dyDescent="0.3">
      <c r="A4273" s="12" t="s">
        <v>6212</v>
      </c>
      <c r="B4273" s="12" t="s">
        <v>217</v>
      </c>
      <c r="C4273" s="12" t="s">
        <v>685</v>
      </c>
      <c r="D4273" s="12" t="s">
        <v>223</v>
      </c>
      <c r="E4273" s="12" t="s">
        <v>4968</v>
      </c>
      <c r="F4273" s="12" t="s">
        <v>32</v>
      </c>
      <c r="G4273" s="12" t="s">
        <v>32</v>
      </c>
      <c r="H4273" s="12" t="b">
        <v>1</v>
      </c>
      <c r="I4273" s="12" t="b">
        <v>1</v>
      </c>
      <c r="J4273" s="12" t="b">
        <v>0</v>
      </c>
      <c r="K4273" s="12" t="b">
        <v>0</v>
      </c>
      <c r="L4273" s="12">
        <v>394.15</v>
      </c>
      <c r="M4273" s="12">
        <v>278.14999999999998</v>
      </c>
      <c r="N4273" s="12">
        <v>3300</v>
      </c>
      <c r="O4273" s="12">
        <v>690</v>
      </c>
      <c r="P4273" s="12">
        <v>0.82</v>
      </c>
      <c r="Q4273" s="12">
        <v>0.9</v>
      </c>
      <c r="R4273" s="12">
        <v>0.8</v>
      </c>
      <c r="S4273" s="12">
        <v>0.85</v>
      </c>
      <c r="T4273" s="12">
        <v>0.75</v>
      </c>
      <c r="U4273" s="12">
        <v>0.95</v>
      </c>
      <c r="V4273" s="12">
        <v>283.14999999999998</v>
      </c>
      <c r="W4273" s="12">
        <v>12.731864501081271</v>
      </c>
      <c r="X4273" s="12">
        <v>117.5882909120357</v>
      </c>
      <c r="Y4273" s="12">
        <v>2610</v>
      </c>
      <c r="Z4273" s="12">
        <v>4.7826086956521738</v>
      </c>
      <c r="AA4273" s="12"/>
      <c r="AB4273" s="12"/>
    </row>
    <row r="4274" spans="1:28" x14ac:dyDescent="0.3">
      <c r="A4274" s="12" t="s">
        <v>6213</v>
      </c>
      <c r="B4274" s="12" t="s">
        <v>217</v>
      </c>
      <c r="C4274" s="12" t="s">
        <v>685</v>
      </c>
      <c r="D4274" s="12" t="s">
        <v>223</v>
      </c>
      <c r="E4274" s="12" t="s">
        <v>4968</v>
      </c>
      <c r="F4274" s="12" t="s">
        <v>32</v>
      </c>
      <c r="G4274" s="12" t="s">
        <v>32</v>
      </c>
      <c r="H4274" s="12" t="b">
        <v>1</v>
      </c>
      <c r="I4274" s="12" t="b">
        <v>1</v>
      </c>
      <c r="J4274" s="12" t="b">
        <v>0</v>
      </c>
      <c r="K4274" s="12" t="b">
        <v>0</v>
      </c>
      <c r="L4274" s="12">
        <v>394.15</v>
      </c>
      <c r="M4274" s="12">
        <v>278.14999999999998</v>
      </c>
      <c r="N4274" s="12">
        <v>3300</v>
      </c>
      <c r="O4274" s="12">
        <v>690</v>
      </c>
      <c r="P4274" s="12">
        <v>0.82</v>
      </c>
      <c r="Q4274" s="12">
        <v>0.9</v>
      </c>
      <c r="R4274" s="12">
        <v>0.8</v>
      </c>
      <c r="S4274" s="12">
        <v>0.85</v>
      </c>
      <c r="T4274" s="12">
        <v>0.78333333329999999</v>
      </c>
      <c r="U4274" s="12">
        <v>0.95</v>
      </c>
      <c r="V4274" s="12">
        <v>283.14999999999998</v>
      </c>
      <c r="W4274" s="12">
        <v>12.81158845568488</v>
      </c>
      <c r="X4274" s="12">
        <v>117.72653559242239</v>
      </c>
      <c r="Y4274" s="12">
        <v>2610</v>
      </c>
      <c r="Z4274" s="12">
        <v>4.7826086956521738</v>
      </c>
      <c r="AA4274" s="12"/>
      <c r="AB4274" s="12"/>
    </row>
    <row r="4275" spans="1:28" x14ac:dyDescent="0.3">
      <c r="A4275" s="12" t="s">
        <v>6214</v>
      </c>
      <c r="B4275" s="12" t="s">
        <v>217</v>
      </c>
      <c r="C4275" s="12" t="s">
        <v>685</v>
      </c>
      <c r="D4275" s="12" t="s">
        <v>223</v>
      </c>
      <c r="E4275" s="12" t="s">
        <v>4968</v>
      </c>
      <c r="F4275" s="12" t="s">
        <v>32</v>
      </c>
      <c r="G4275" s="12" t="s">
        <v>32</v>
      </c>
      <c r="H4275" s="12" t="b">
        <v>1</v>
      </c>
      <c r="I4275" s="12" t="b">
        <v>1</v>
      </c>
      <c r="J4275" s="12" t="b">
        <v>0</v>
      </c>
      <c r="K4275" s="12" t="b">
        <v>0</v>
      </c>
      <c r="L4275" s="12">
        <v>394.15</v>
      </c>
      <c r="M4275" s="12">
        <v>278.14999999999998</v>
      </c>
      <c r="N4275" s="12">
        <v>3300</v>
      </c>
      <c r="O4275" s="12">
        <v>690</v>
      </c>
      <c r="P4275" s="12">
        <v>0.82</v>
      </c>
      <c r="Q4275" s="12">
        <v>0.9</v>
      </c>
      <c r="R4275" s="12">
        <v>0.8</v>
      </c>
      <c r="S4275" s="12">
        <v>0.85</v>
      </c>
      <c r="T4275" s="12">
        <v>0.81666666669999999</v>
      </c>
      <c r="U4275" s="12">
        <v>0.95</v>
      </c>
      <c r="V4275" s="12">
        <v>283.14999999999998</v>
      </c>
      <c r="W4275" s="12">
        <v>12.89211947456586</v>
      </c>
      <c r="X4275" s="12">
        <v>117.8647763676699</v>
      </c>
      <c r="Y4275" s="12">
        <v>2610</v>
      </c>
      <c r="Z4275" s="12">
        <v>4.7826086956521738</v>
      </c>
      <c r="AA4275" s="12"/>
      <c r="AB4275" s="12"/>
    </row>
    <row r="4276" spans="1:28" x14ac:dyDescent="0.3">
      <c r="A4276" s="12" t="s">
        <v>6215</v>
      </c>
      <c r="B4276" s="12" t="s">
        <v>217</v>
      </c>
      <c r="C4276" s="12" t="s">
        <v>685</v>
      </c>
      <c r="D4276" s="12" t="s">
        <v>223</v>
      </c>
      <c r="E4276" s="12" t="s">
        <v>4968</v>
      </c>
      <c r="F4276" s="12" t="s">
        <v>32</v>
      </c>
      <c r="G4276" s="12" t="s">
        <v>32</v>
      </c>
      <c r="H4276" s="12" t="b">
        <v>1</v>
      </c>
      <c r="I4276" s="12" t="b">
        <v>1</v>
      </c>
      <c r="J4276" s="12" t="b">
        <v>0</v>
      </c>
      <c r="K4276" s="12" t="b">
        <v>0</v>
      </c>
      <c r="L4276" s="12">
        <v>394.15</v>
      </c>
      <c r="M4276" s="12">
        <v>278.14999999999998</v>
      </c>
      <c r="N4276" s="12">
        <v>3300</v>
      </c>
      <c r="O4276" s="12">
        <v>690</v>
      </c>
      <c r="P4276" s="12">
        <v>0.82</v>
      </c>
      <c r="Q4276" s="12">
        <v>0.9</v>
      </c>
      <c r="R4276" s="12">
        <v>0.8</v>
      </c>
      <c r="S4276" s="12">
        <v>0.85</v>
      </c>
      <c r="T4276" s="12">
        <v>0.85</v>
      </c>
      <c r="U4276" s="12">
        <v>0.95</v>
      </c>
      <c r="V4276" s="12">
        <v>283.14999999999998</v>
      </c>
      <c r="W4276" s="12">
        <v>12.97346954411339</v>
      </c>
      <c r="X4276" s="12">
        <v>118.00301255547041</v>
      </c>
      <c r="Y4276" s="12">
        <v>2610</v>
      </c>
      <c r="Z4276" s="12">
        <v>4.7826086956521738</v>
      </c>
      <c r="AA4276" s="12"/>
      <c r="AB4276" s="12"/>
    </row>
    <row r="4277" spans="1:28" x14ac:dyDescent="0.3">
      <c r="A4277" s="12" t="s">
        <v>6216</v>
      </c>
      <c r="B4277" s="12" t="s">
        <v>217</v>
      </c>
      <c r="C4277" s="12" t="s">
        <v>685</v>
      </c>
      <c r="D4277" s="12" t="s">
        <v>223</v>
      </c>
      <c r="E4277" s="12" t="s">
        <v>4968</v>
      </c>
      <c r="F4277" s="12" t="s">
        <v>32</v>
      </c>
      <c r="G4277" s="12" t="s">
        <v>32</v>
      </c>
      <c r="H4277" s="12" t="b">
        <v>1</v>
      </c>
      <c r="I4277" s="12" t="b">
        <v>1</v>
      </c>
      <c r="J4277" s="12" t="b">
        <v>0</v>
      </c>
      <c r="K4277" s="12" t="b">
        <v>0</v>
      </c>
      <c r="L4277" s="12">
        <v>394.15</v>
      </c>
      <c r="M4277" s="12">
        <v>278.14999999999998</v>
      </c>
      <c r="N4277" s="12">
        <v>3300</v>
      </c>
      <c r="O4277" s="12">
        <v>690</v>
      </c>
      <c r="P4277" s="12">
        <v>0.82</v>
      </c>
      <c r="Q4277" s="12">
        <v>0.9</v>
      </c>
      <c r="R4277" s="12">
        <v>0.8</v>
      </c>
      <c r="S4277" s="12">
        <v>0.85</v>
      </c>
      <c r="T4277" s="12">
        <v>0.88333333329999997</v>
      </c>
      <c r="U4277" s="12">
        <v>0.95</v>
      </c>
      <c r="V4277" s="12">
        <v>283.14999999999998</v>
      </c>
      <c r="W4277" s="12">
        <v>13.05565089610514</v>
      </c>
      <c r="X4277" s="12">
        <v>118.1412434796638</v>
      </c>
      <c r="Y4277" s="12">
        <v>2610</v>
      </c>
      <c r="Z4277" s="12">
        <v>4.7826086956521738</v>
      </c>
      <c r="AA4277" s="12"/>
      <c r="AB4277" s="12"/>
    </row>
    <row r="4278" spans="1:28" x14ac:dyDescent="0.3">
      <c r="A4278" s="12" t="s">
        <v>6217</v>
      </c>
      <c r="B4278" s="12" t="s">
        <v>217</v>
      </c>
      <c r="C4278" s="12" t="s">
        <v>685</v>
      </c>
      <c r="D4278" s="12" t="s">
        <v>223</v>
      </c>
      <c r="E4278" s="12" t="s">
        <v>4968</v>
      </c>
      <c r="F4278" s="12" t="s">
        <v>32</v>
      </c>
      <c r="G4278" s="12" t="s">
        <v>32</v>
      </c>
      <c r="H4278" s="12" t="b">
        <v>1</v>
      </c>
      <c r="I4278" s="12" t="b">
        <v>1</v>
      </c>
      <c r="J4278" s="12" t="b">
        <v>0</v>
      </c>
      <c r="K4278" s="12" t="b">
        <v>0</v>
      </c>
      <c r="L4278" s="12">
        <v>394.15</v>
      </c>
      <c r="M4278" s="12">
        <v>278.14999999999998</v>
      </c>
      <c r="N4278" s="12">
        <v>3300</v>
      </c>
      <c r="O4278" s="12">
        <v>690</v>
      </c>
      <c r="P4278" s="12">
        <v>0.82</v>
      </c>
      <c r="Q4278" s="12">
        <v>0.9</v>
      </c>
      <c r="R4278" s="12">
        <v>0.8</v>
      </c>
      <c r="S4278" s="12">
        <v>0.85</v>
      </c>
      <c r="T4278" s="12">
        <v>0.91666666669999997</v>
      </c>
      <c r="U4278" s="12">
        <v>0.95</v>
      </c>
      <c r="V4278" s="12">
        <v>283.14999999999998</v>
      </c>
      <c r="W4278" s="12">
        <v>13.13867598055648</v>
      </c>
      <c r="X4278" s="12">
        <v>118.2794684155773</v>
      </c>
      <c r="Y4278" s="12">
        <v>2610</v>
      </c>
      <c r="Z4278" s="12">
        <v>4.7826086956521738</v>
      </c>
      <c r="AA4278" s="12"/>
      <c r="AB4278" s="12"/>
    </row>
    <row r="4279" spans="1:28" x14ac:dyDescent="0.3">
      <c r="A4279" s="12" t="s">
        <v>6218</v>
      </c>
      <c r="B4279" s="12" t="s">
        <v>217</v>
      </c>
      <c r="C4279" s="12" t="s">
        <v>685</v>
      </c>
      <c r="D4279" s="12" t="s">
        <v>223</v>
      </c>
      <c r="E4279" s="12" t="s">
        <v>4968</v>
      </c>
      <c r="F4279" s="12" t="s">
        <v>32</v>
      </c>
      <c r="G4279" s="12" t="s">
        <v>32</v>
      </c>
      <c r="H4279" s="12" t="b">
        <v>1</v>
      </c>
      <c r="I4279" s="12" t="b">
        <v>1</v>
      </c>
      <c r="J4279" s="12" t="b">
        <v>0</v>
      </c>
      <c r="K4279" s="12" t="b">
        <v>0</v>
      </c>
      <c r="L4279" s="12">
        <v>394.15</v>
      </c>
      <c r="M4279" s="12">
        <v>278.14999999999998</v>
      </c>
      <c r="N4279" s="12">
        <v>3300</v>
      </c>
      <c r="O4279" s="12">
        <v>690</v>
      </c>
      <c r="P4279" s="12">
        <v>0.82</v>
      </c>
      <c r="Q4279" s="12">
        <v>0.85</v>
      </c>
      <c r="R4279" s="12">
        <v>0.8</v>
      </c>
      <c r="S4279" s="12">
        <v>0.85</v>
      </c>
      <c r="T4279" s="12">
        <v>0.75</v>
      </c>
      <c r="U4279" s="12">
        <v>0.95</v>
      </c>
      <c r="V4279" s="12">
        <v>283.14999999999998</v>
      </c>
      <c r="W4279" s="12">
        <v>11.99975518366201</v>
      </c>
      <c r="X4279" s="12">
        <v>110.8017650318812</v>
      </c>
      <c r="Y4279" s="12">
        <v>2610</v>
      </c>
      <c r="Z4279" s="12">
        <v>4.7826086956521738</v>
      </c>
      <c r="AA4279" s="12"/>
      <c r="AB4279" s="12"/>
    </row>
    <row r="4280" spans="1:28" x14ac:dyDescent="0.3">
      <c r="A4280" s="12" t="s">
        <v>6219</v>
      </c>
      <c r="B4280" s="12" t="s">
        <v>217</v>
      </c>
      <c r="C4280" s="12" t="s">
        <v>685</v>
      </c>
      <c r="D4280" s="12" t="s">
        <v>223</v>
      </c>
      <c r="E4280" s="12" t="s">
        <v>4968</v>
      </c>
      <c r="F4280" s="12" t="s">
        <v>32</v>
      </c>
      <c r="G4280" s="12" t="s">
        <v>32</v>
      </c>
      <c r="H4280" s="12" t="b">
        <v>1</v>
      </c>
      <c r="I4280" s="12" t="b">
        <v>1</v>
      </c>
      <c r="J4280" s="12" t="b">
        <v>0</v>
      </c>
      <c r="K4280" s="12" t="b">
        <v>0</v>
      </c>
      <c r="L4280" s="12">
        <v>394.15</v>
      </c>
      <c r="M4280" s="12">
        <v>278.14999999999998</v>
      </c>
      <c r="N4280" s="12">
        <v>3300</v>
      </c>
      <c r="O4280" s="12">
        <v>690</v>
      </c>
      <c r="P4280" s="12">
        <v>0.82</v>
      </c>
      <c r="Q4280" s="12">
        <v>0.86666666670000003</v>
      </c>
      <c r="R4280" s="12">
        <v>0.8</v>
      </c>
      <c r="S4280" s="12">
        <v>0.85</v>
      </c>
      <c r="T4280" s="12">
        <v>0.75</v>
      </c>
      <c r="U4280" s="12">
        <v>0.95</v>
      </c>
      <c r="V4280" s="12">
        <v>283.14999999999998</v>
      </c>
      <c r="W4280" s="12">
        <v>12.24383640365483</v>
      </c>
      <c r="X4280" s="12">
        <v>113.0640160296183</v>
      </c>
      <c r="Y4280" s="12">
        <v>2610</v>
      </c>
      <c r="Z4280" s="12">
        <v>4.7826086956521738</v>
      </c>
      <c r="AA4280" s="12"/>
      <c r="AB4280" s="12"/>
    </row>
    <row r="4281" spans="1:28" x14ac:dyDescent="0.3">
      <c r="A4281" s="12" t="s">
        <v>6220</v>
      </c>
      <c r="B4281" s="12" t="s">
        <v>217</v>
      </c>
      <c r="C4281" s="12" t="s">
        <v>685</v>
      </c>
      <c r="D4281" s="12" t="s">
        <v>223</v>
      </c>
      <c r="E4281" s="12" t="s">
        <v>4968</v>
      </c>
      <c r="F4281" s="12" t="s">
        <v>32</v>
      </c>
      <c r="G4281" s="12" t="s">
        <v>32</v>
      </c>
      <c r="H4281" s="12" t="b">
        <v>1</v>
      </c>
      <c r="I4281" s="12" t="b">
        <v>1</v>
      </c>
      <c r="J4281" s="12" t="b">
        <v>0</v>
      </c>
      <c r="K4281" s="12" t="b">
        <v>0</v>
      </c>
      <c r="L4281" s="12">
        <v>394.15</v>
      </c>
      <c r="M4281" s="12">
        <v>278.14999999999998</v>
      </c>
      <c r="N4281" s="12">
        <v>3300</v>
      </c>
      <c r="O4281" s="12">
        <v>690</v>
      </c>
      <c r="P4281" s="12">
        <v>0.82</v>
      </c>
      <c r="Q4281" s="12">
        <v>0.9</v>
      </c>
      <c r="R4281" s="12">
        <v>0.8</v>
      </c>
      <c r="S4281" s="12">
        <v>0.85</v>
      </c>
      <c r="T4281" s="12">
        <v>0.95</v>
      </c>
      <c r="U4281" s="12">
        <v>0.95</v>
      </c>
      <c r="V4281" s="12">
        <v>283.14999999999998</v>
      </c>
      <c r="W4281" s="12">
        <v>13.2225573486805</v>
      </c>
      <c r="X4281" s="12">
        <v>118.41768521932229</v>
      </c>
      <c r="Y4281" s="12">
        <v>2610</v>
      </c>
      <c r="Z4281" s="12">
        <v>4.7826086956521738</v>
      </c>
      <c r="AA4281" s="12"/>
      <c r="AB4281" s="12"/>
    </row>
    <row r="4282" spans="1:28" x14ac:dyDescent="0.3">
      <c r="A4282" s="12" t="s">
        <v>6221</v>
      </c>
      <c r="B4282" s="12" t="s">
        <v>217</v>
      </c>
      <c r="C4282" s="12" t="s">
        <v>685</v>
      </c>
      <c r="D4282" s="12" t="s">
        <v>223</v>
      </c>
      <c r="E4282" s="12" t="s">
        <v>4968</v>
      </c>
      <c r="F4282" s="12" t="s">
        <v>32</v>
      </c>
      <c r="G4282" s="12" t="s">
        <v>32</v>
      </c>
      <c r="H4282" s="12" t="b">
        <v>1</v>
      </c>
      <c r="I4282" s="12" t="b">
        <v>1</v>
      </c>
      <c r="J4282" s="12" t="b">
        <v>0</v>
      </c>
      <c r="K4282" s="12" t="b">
        <v>0</v>
      </c>
      <c r="L4282" s="12">
        <v>394.15</v>
      </c>
      <c r="M4282" s="12">
        <v>278.14999999999998</v>
      </c>
      <c r="N4282" s="12">
        <v>3300</v>
      </c>
      <c r="O4282" s="12">
        <v>690</v>
      </c>
      <c r="P4282" s="12">
        <v>0.82</v>
      </c>
      <c r="Q4282" s="12">
        <v>0.88333333329999997</v>
      </c>
      <c r="R4282" s="12">
        <v>0.8</v>
      </c>
      <c r="S4282" s="12">
        <v>0.85</v>
      </c>
      <c r="T4282" s="12">
        <v>0.75</v>
      </c>
      <c r="U4282" s="12">
        <v>0.95</v>
      </c>
      <c r="V4282" s="12">
        <v>283.14999999999998</v>
      </c>
      <c r="W4282" s="12">
        <v>12.48787283730606</v>
      </c>
      <c r="X4282" s="12">
        <v>115.3261913119388</v>
      </c>
      <c r="Y4282" s="12">
        <v>2610</v>
      </c>
      <c r="Z4282" s="12">
        <v>4.7826086956521738</v>
      </c>
      <c r="AA4282" s="12"/>
      <c r="AB4282" s="12"/>
    </row>
    <row r="4283" spans="1:28" x14ac:dyDescent="0.3">
      <c r="A4283" s="12" t="s">
        <v>6222</v>
      </c>
      <c r="B4283" s="12" t="s">
        <v>217</v>
      </c>
      <c r="C4283" s="12" t="s">
        <v>685</v>
      </c>
      <c r="D4283" s="12" t="s">
        <v>223</v>
      </c>
      <c r="E4283" s="12" t="s">
        <v>4968</v>
      </c>
      <c r="F4283" s="12" t="s">
        <v>32</v>
      </c>
      <c r="G4283" s="12" t="s">
        <v>32</v>
      </c>
      <c r="H4283" s="12" t="b">
        <v>1</v>
      </c>
      <c r="I4283" s="12" t="b">
        <v>1</v>
      </c>
      <c r="J4283" s="12" t="b">
        <v>0</v>
      </c>
      <c r="K4283" s="12" t="b">
        <v>0</v>
      </c>
      <c r="L4283" s="12">
        <v>394.15</v>
      </c>
      <c r="M4283" s="12">
        <v>278.14999999999998</v>
      </c>
      <c r="N4283" s="12">
        <v>3300</v>
      </c>
      <c r="O4283" s="12">
        <v>690</v>
      </c>
      <c r="P4283" s="12">
        <v>0.82</v>
      </c>
      <c r="Q4283" s="12">
        <v>0.9</v>
      </c>
      <c r="R4283" s="12">
        <v>0.8</v>
      </c>
      <c r="S4283" s="12">
        <v>0.85</v>
      </c>
      <c r="T4283" s="12">
        <v>0.75</v>
      </c>
      <c r="U4283" s="12">
        <v>0.95</v>
      </c>
      <c r="V4283" s="12">
        <v>283.14999999999998</v>
      </c>
      <c r="W4283" s="12">
        <v>12.731864501081271</v>
      </c>
      <c r="X4283" s="12">
        <v>117.5882909120357</v>
      </c>
      <c r="Y4283" s="12">
        <v>2610</v>
      </c>
      <c r="Z4283" s="12">
        <v>4.7826086956521738</v>
      </c>
      <c r="AA4283" s="12"/>
      <c r="AB4283" s="12"/>
    </row>
    <row r="4284" spans="1:28" x14ac:dyDescent="0.3">
      <c r="A4284" s="12" t="s">
        <v>6223</v>
      </c>
      <c r="B4284" s="12" t="s">
        <v>217</v>
      </c>
      <c r="C4284" s="12" t="s">
        <v>685</v>
      </c>
      <c r="D4284" s="12" t="s">
        <v>223</v>
      </c>
      <c r="E4284" s="12" t="s">
        <v>4968</v>
      </c>
      <c r="F4284" s="12" t="s">
        <v>32</v>
      </c>
      <c r="G4284" s="12" t="s">
        <v>32</v>
      </c>
      <c r="H4284" s="12" t="b">
        <v>1</v>
      </c>
      <c r="I4284" s="12" t="b">
        <v>1</v>
      </c>
      <c r="J4284" s="12" t="b">
        <v>0</v>
      </c>
      <c r="K4284" s="12" t="b">
        <v>0</v>
      </c>
      <c r="L4284" s="12">
        <v>394.15</v>
      </c>
      <c r="M4284" s="12">
        <v>278.14999999999998</v>
      </c>
      <c r="N4284" s="12">
        <v>3300</v>
      </c>
      <c r="O4284" s="12">
        <v>690</v>
      </c>
      <c r="P4284" s="12">
        <v>0.82</v>
      </c>
      <c r="Q4284" s="12">
        <v>0.91666666669999997</v>
      </c>
      <c r="R4284" s="12">
        <v>0.8</v>
      </c>
      <c r="S4284" s="12">
        <v>0.85</v>
      </c>
      <c r="T4284" s="12">
        <v>0.75</v>
      </c>
      <c r="U4284" s="12">
        <v>0.95</v>
      </c>
      <c r="V4284" s="12">
        <v>283.14999999999998</v>
      </c>
      <c r="W4284" s="12">
        <v>12.9758114070617</v>
      </c>
      <c r="X4284" s="12">
        <v>119.8503148224937</v>
      </c>
      <c r="Y4284" s="12">
        <v>2610</v>
      </c>
      <c r="Z4284" s="12">
        <v>4.7826086956521738</v>
      </c>
      <c r="AA4284" s="12"/>
      <c r="AB4284" s="12"/>
    </row>
    <row r="4285" spans="1:28" x14ac:dyDescent="0.3">
      <c r="A4285" s="12" t="s">
        <v>6224</v>
      </c>
      <c r="B4285" s="12" t="s">
        <v>217</v>
      </c>
      <c r="C4285" s="12" t="s">
        <v>685</v>
      </c>
      <c r="D4285" s="12" t="s">
        <v>223</v>
      </c>
      <c r="E4285" s="12" t="s">
        <v>4968</v>
      </c>
      <c r="F4285" s="12" t="s">
        <v>32</v>
      </c>
      <c r="G4285" s="12" t="s">
        <v>32</v>
      </c>
      <c r="H4285" s="12" t="b">
        <v>1</v>
      </c>
      <c r="I4285" s="12" t="b">
        <v>1</v>
      </c>
      <c r="J4285" s="12" t="b">
        <v>0</v>
      </c>
      <c r="K4285" s="12" t="b">
        <v>0</v>
      </c>
      <c r="L4285" s="12">
        <v>394.15</v>
      </c>
      <c r="M4285" s="12">
        <v>278.14999999999998</v>
      </c>
      <c r="N4285" s="12">
        <v>3300</v>
      </c>
      <c r="O4285" s="12">
        <v>690</v>
      </c>
      <c r="P4285" s="12">
        <v>0.82</v>
      </c>
      <c r="Q4285" s="12">
        <v>0.93333333330000001</v>
      </c>
      <c r="R4285" s="12">
        <v>0.8</v>
      </c>
      <c r="S4285" s="12">
        <v>0.85</v>
      </c>
      <c r="T4285" s="12">
        <v>0.75</v>
      </c>
      <c r="U4285" s="12">
        <v>0.95</v>
      </c>
      <c r="V4285" s="12">
        <v>283.14999999999998</v>
      </c>
      <c r="W4285" s="12">
        <v>13.21971356724838</v>
      </c>
      <c r="X4285" s="12">
        <v>122.1122630351976</v>
      </c>
      <c r="Y4285" s="12">
        <v>2610</v>
      </c>
      <c r="Z4285" s="12">
        <v>4.7826086956521738</v>
      </c>
      <c r="AA4285" s="12"/>
      <c r="AB4285" s="12"/>
    </row>
    <row r="4286" spans="1:28" x14ac:dyDescent="0.3">
      <c r="A4286" s="12" t="s">
        <v>6225</v>
      </c>
      <c r="B4286" s="12" t="s">
        <v>217</v>
      </c>
      <c r="C4286" s="12" t="s">
        <v>685</v>
      </c>
      <c r="D4286" s="12" t="s">
        <v>223</v>
      </c>
      <c r="E4286" s="12" t="s">
        <v>4968</v>
      </c>
      <c r="F4286" s="12" t="s">
        <v>32</v>
      </c>
      <c r="G4286" s="12" t="s">
        <v>32</v>
      </c>
      <c r="H4286" s="12" t="b">
        <v>1</v>
      </c>
      <c r="I4286" s="12" t="b">
        <v>1</v>
      </c>
      <c r="J4286" s="12" t="b">
        <v>0</v>
      </c>
      <c r="K4286" s="12" t="b">
        <v>0</v>
      </c>
      <c r="L4286" s="12">
        <v>394.15</v>
      </c>
      <c r="M4286" s="12">
        <v>278.14999999999998</v>
      </c>
      <c r="N4286" s="12">
        <v>3300</v>
      </c>
      <c r="O4286" s="12">
        <v>690</v>
      </c>
      <c r="P4286" s="12">
        <v>0.78</v>
      </c>
      <c r="Q4286" s="12">
        <v>0.9</v>
      </c>
      <c r="R4286" s="12">
        <v>0.8</v>
      </c>
      <c r="S4286" s="12">
        <v>0.85</v>
      </c>
      <c r="T4286" s="12">
        <v>0.75</v>
      </c>
      <c r="U4286" s="12">
        <v>0.95</v>
      </c>
      <c r="V4286" s="12">
        <v>283.14999999999998</v>
      </c>
      <c r="W4286" s="12">
        <v>12.324554936849561</v>
      </c>
      <c r="X4286" s="12">
        <v>103.3850050585167</v>
      </c>
      <c r="Y4286" s="12">
        <v>2610</v>
      </c>
      <c r="Z4286" s="12">
        <v>4.7826086956521738</v>
      </c>
      <c r="AA4286" s="12"/>
      <c r="AB4286" s="12"/>
    </row>
    <row r="4287" spans="1:28" x14ac:dyDescent="0.3">
      <c r="A4287" s="12" t="s">
        <v>6226</v>
      </c>
      <c r="B4287" s="12" t="s">
        <v>217</v>
      </c>
      <c r="C4287" s="12" t="s">
        <v>685</v>
      </c>
      <c r="D4287" s="12" t="s">
        <v>223</v>
      </c>
      <c r="E4287" s="12" t="s">
        <v>4968</v>
      </c>
      <c r="F4287" s="12" t="s">
        <v>32</v>
      </c>
      <c r="G4287" s="12" t="s">
        <v>32</v>
      </c>
      <c r="H4287" s="12" t="b">
        <v>1</v>
      </c>
      <c r="I4287" s="12" t="b">
        <v>1</v>
      </c>
      <c r="J4287" s="12" t="b">
        <v>0</v>
      </c>
      <c r="K4287" s="12" t="b">
        <v>0</v>
      </c>
      <c r="L4287" s="12">
        <v>394.15</v>
      </c>
      <c r="M4287" s="12">
        <v>278.14999999999998</v>
      </c>
      <c r="N4287" s="12">
        <v>3300</v>
      </c>
      <c r="O4287" s="12">
        <v>690</v>
      </c>
      <c r="P4287" s="12">
        <v>0.82</v>
      </c>
      <c r="Q4287" s="12">
        <v>0.95</v>
      </c>
      <c r="R4287" s="12">
        <v>0.8</v>
      </c>
      <c r="S4287" s="12">
        <v>0.85</v>
      </c>
      <c r="T4287" s="12">
        <v>0.75</v>
      </c>
      <c r="U4287" s="12">
        <v>0.95</v>
      </c>
      <c r="V4287" s="12">
        <v>283.14999999999998</v>
      </c>
      <c r="W4287" s="12">
        <v>13.463570998132139</v>
      </c>
      <c r="X4287" s="12">
        <v>124.37413558374141</v>
      </c>
      <c r="Y4287" s="12">
        <v>2610</v>
      </c>
      <c r="Z4287" s="12">
        <v>4.7826086956521738</v>
      </c>
      <c r="AA4287" s="12"/>
      <c r="AB4287" s="12"/>
    </row>
    <row r="4288" spans="1:28" x14ac:dyDescent="0.3">
      <c r="A4288" s="12" t="s">
        <v>6227</v>
      </c>
      <c r="B4288" s="12" t="s">
        <v>217</v>
      </c>
      <c r="C4288" s="12" t="s">
        <v>685</v>
      </c>
      <c r="D4288" s="12" t="s">
        <v>223</v>
      </c>
      <c r="E4288" s="12" t="s">
        <v>4968</v>
      </c>
      <c r="F4288" s="12" t="s">
        <v>32</v>
      </c>
      <c r="G4288" s="12" t="s">
        <v>32</v>
      </c>
      <c r="H4288" s="12" t="b">
        <v>1</v>
      </c>
      <c r="I4288" s="12" t="b">
        <v>1</v>
      </c>
      <c r="J4288" s="12" t="b">
        <v>0</v>
      </c>
      <c r="K4288" s="12" t="b">
        <v>0</v>
      </c>
      <c r="L4288" s="12">
        <v>394.15</v>
      </c>
      <c r="M4288" s="12">
        <v>278.14999999999998</v>
      </c>
      <c r="N4288" s="12">
        <v>3300</v>
      </c>
      <c r="O4288" s="12">
        <v>690</v>
      </c>
      <c r="P4288" s="12">
        <v>0.7933333333</v>
      </c>
      <c r="Q4288" s="12">
        <v>0.9</v>
      </c>
      <c r="R4288" s="12">
        <v>0.8</v>
      </c>
      <c r="S4288" s="12">
        <v>0.85</v>
      </c>
      <c r="T4288" s="12">
        <v>0.75</v>
      </c>
      <c r="U4288" s="12">
        <v>0.95</v>
      </c>
      <c r="V4288" s="12">
        <v>283.14999999999998</v>
      </c>
      <c r="W4288" s="12">
        <v>12.35504749371974</v>
      </c>
      <c r="X4288" s="12">
        <v>107.0831643659629</v>
      </c>
      <c r="Y4288" s="12">
        <v>2610</v>
      </c>
      <c r="Z4288" s="12">
        <v>4.7826086956521738</v>
      </c>
      <c r="AA4288" s="12"/>
      <c r="AB4288" s="12"/>
    </row>
    <row r="4289" spans="1:28" x14ac:dyDescent="0.3">
      <c r="A4289" s="12" t="s">
        <v>6228</v>
      </c>
      <c r="B4289" s="12" t="s">
        <v>217</v>
      </c>
      <c r="C4289" s="12" t="s">
        <v>685</v>
      </c>
      <c r="D4289" s="12" t="s">
        <v>223</v>
      </c>
      <c r="E4289" s="12" t="s">
        <v>4968</v>
      </c>
      <c r="F4289" s="12" t="s">
        <v>32</v>
      </c>
      <c r="G4289" s="12" t="s">
        <v>32</v>
      </c>
      <c r="H4289" s="12" t="b">
        <v>1</v>
      </c>
      <c r="I4289" s="12" t="b">
        <v>1</v>
      </c>
      <c r="J4289" s="12" t="b">
        <v>0</v>
      </c>
      <c r="K4289" s="12" t="b">
        <v>0</v>
      </c>
      <c r="L4289" s="12">
        <v>394.15</v>
      </c>
      <c r="M4289" s="12">
        <v>278.14999999999998</v>
      </c>
      <c r="N4289" s="12">
        <v>3300</v>
      </c>
      <c r="O4289" s="12">
        <v>690</v>
      </c>
      <c r="P4289" s="12">
        <v>0.80666666669999998</v>
      </c>
      <c r="Q4289" s="12">
        <v>0.9</v>
      </c>
      <c r="R4289" s="12">
        <v>0.8</v>
      </c>
      <c r="S4289" s="12">
        <v>0.85</v>
      </c>
      <c r="T4289" s="12">
        <v>0.75</v>
      </c>
      <c r="U4289" s="12">
        <v>0.95</v>
      </c>
      <c r="V4289" s="12">
        <v>283.14999999999998</v>
      </c>
      <c r="W4289" s="12">
        <v>12.604436561151729</v>
      </c>
      <c r="X4289" s="12">
        <v>112.8829669344662</v>
      </c>
      <c r="Y4289" s="12">
        <v>2610</v>
      </c>
      <c r="Z4289" s="12">
        <v>4.7826086956521738</v>
      </c>
      <c r="AA4289" s="12"/>
      <c r="AB4289" s="12"/>
    </row>
    <row r="4290" spans="1:28" x14ac:dyDescent="0.3">
      <c r="A4290" s="12" t="s">
        <v>6229</v>
      </c>
      <c r="B4290" s="12" t="s">
        <v>217</v>
      </c>
      <c r="C4290" s="12" t="s">
        <v>685</v>
      </c>
      <c r="D4290" s="12" t="s">
        <v>223</v>
      </c>
      <c r="E4290" s="12" t="s">
        <v>4968</v>
      </c>
      <c r="F4290" s="12" t="s">
        <v>32</v>
      </c>
      <c r="G4290" s="12" t="s">
        <v>32</v>
      </c>
      <c r="H4290" s="12" t="b">
        <v>1</v>
      </c>
      <c r="I4290" s="12" t="b">
        <v>1</v>
      </c>
      <c r="J4290" s="12" t="b">
        <v>0</v>
      </c>
      <c r="K4290" s="12" t="b">
        <v>0</v>
      </c>
      <c r="L4290" s="12">
        <v>394.15</v>
      </c>
      <c r="M4290" s="12">
        <v>278.14999999999998</v>
      </c>
      <c r="N4290" s="12">
        <v>3300</v>
      </c>
      <c r="O4290" s="12">
        <v>690</v>
      </c>
      <c r="P4290" s="12">
        <v>0.82</v>
      </c>
      <c r="Q4290" s="12">
        <v>0.9</v>
      </c>
      <c r="R4290" s="12">
        <v>0.8</v>
      </c>
      <c r="S4290" s="12">
        <v>0.85</v>
      </c>
      <c r="T4290" s="12">
        <v>0.75</v>
      </c>
      <c r="U4290" s="12">
        <v>0.95</v>
      </c>
      <c r="V4290" s="12">
        <v>283.14999999999998</v>
      </c>
      <c r="W4290" s="12">
        <v>12.731864501081271</v>
      </c>
      <c r="X4290" s="12">
        <v>117.5882909120357</v>
      </c>
      <c r="Y4290" s="12">
        <v>2610</v>
      </c>
      <c r="Z4290" s="12">
        <v>4.7826086956521738</v>
      </c>
      <c r="AA4290" s="12"/>
      <c r="AB4290" s="12"/>
    </row>
    <row r="4291" spans="1:28" x14ac:dyDescent="0.3">
      <c r="A4291" s="12" t="s">
        <v>6230</v>
      </c>
      <c r="B4291" s="12" t="s">
        <v>217</v>
      </c>
      <c r="C4291" s="12" t="s">
        <v>685</v>
      </c>
      <c r="D4291" s="12" t="s">
        <v>223</v>
      </c>
      <c r="E4291" s="12" t="s">
        <v>4968</v>
      </c>
      <c r="F4291" s="12" t="s">
        <v>32</v>
      </c>
      <c r="G4291" s="12" t="s">
        <v>32</v>
      </c>
      <c r="H4291" s="12" t="b">
        <v>1</v>
      </c>
      <c r="I4291" s="12" t="b">
        <v>1</v>
      </c>
      <c r="J4291" s="12" t="b">
        <v>0</v>
      </c>
      <c r="K4291" s="12" t="b">
        <v>0</v>
      </c>
      <c r="L4291" s="12">
        <v>394.15</v>
      </c>
      <c r="M4291" s="12">
        <v>278.14999999999998</v>
      </c>
      <c r="N4291" s="12">
        <v>3400</v>
      </c>
      <c r="O4291" s="12">
        <v>1200</v>
      </c>
      <c r="P4291" s="12">
        <v>0.82</v>
      </c>
      <c r="Q4291" s="12">
        <v>0.9</v>
      </c>
      <c r="R4291" s="12">
        <v>0.8</v>
      </c>
      <c r="S4291" s="12">
        <v>0.85</v>
      </c>
      <c r="T4291" s="12">
        <v>0.95</v>
      </c>
      <c r="U4291" s="12">
        <v>0.95</v>
      </c>
      <c r="V4291" s="12">
        <v>303.55</v>
      </c>
      <c r="W4291" s="12">
        <v>9.02789380588972</v>
      </c>
      <c r="X4291" s="12">
        <v>79.531681378363018</v>
      </c>
      <c r="Y4291" s="12">
        <v>2200</v>
      </c>
      <c r="Z4291" s="12">
        <v>2.833333333333333</v>
      </c>
      <c r="AA4291" s="12"/>
      <c r="AB4291" s="12"/>
    </row>
    <row r="4292" spans="1:28" x14ac:dyDescent="0.3">
      <c r="A4292" s="12" t="s">
        <v>6231</v>
      </c>
      <c r="B4292" s="12" t="s">
        <v>217</v>
      </c>
      <c r="C4292" s="12" t="s">
        <v>685</v>
      </c>
      <c r="D4292" s="12" t="s">
        <v>223</v>
      </c>
      <c r="E4292" s="12" t="s">
        <v>4968</v>
      </c>
      <c r="F4292" s="12" t="s">
        <v>32</v>
      </c>
      <c r="G4292" s="12" t="s">
        <v>32</v>
      </c>
      <c r="H4292" s="12" t="b">
        <v>1</v>
      </c>
      <c r="I4292" s="12" t="b">
        <v>1</v>
      </c>
      <c r="J4292" s="12" t="b">
        <v>0</v>
      </c>
      <c r="K4292" s="12" t="b">
        <v>0</v>
      </c>
      <c r="L4292" s="12">
        <v>394.15</v>
      </c>
      <c r="M4292" s="12">
        <v>278.14999999999998</v>
      </c>
      <c r="N4292" s="12">
        <v>3500</v>
      </c>
      <c r="O4292" s="12">
        <v>1200</v>
      </c>
      <c r="P4292" s="12">
        <v>0.82</v>
      </c>
      <c r="Q4292" s="12">
        <v>0.9</v>
      </c>
      <c r="R4292" s="12">
        <v>0.8</v>
      </c>
      <c r="S4292" s="12">
        <v>0.85</v>
      </c>
      <c r="T4292" s="12">
        <v>0.95</v>
      </c>
      <c r="U4292" s="12">
        <v>0.95</v>
      </c>
      <c r="V4292" s="12">
        <v>303.55</v>
      </c>
      <c r="W4292" s="12">
        <v>9.2273479836788272</v>
      </c>
      <c r="X4292" s="12">
        <v>80.017033239570367</v>
      </c>
      <c r="Y4292" s="12">
        <v>2300</v>
      </c>
      <c r="Z4292" s="12">
        <v>2.916666666666667</v>
      </c>
      <c r="AA4292" s="12"/>
      <c r="AB4292" s="12"/>
    </row>
    <row r="4293" spans="1:28" x14ac:dyDescent="0.3">
      <c r="A4293" s="12" t="s">
        <v>6232</v>
      </c>
      <c r="B4293" s="12" t="s">
        <v>217</v>
      </c>
      <c r="C4293" s="12" t="s">
        <v>685</v>
      </c>
      <c r="D4293" s="12" t="s">
        <v>223</v>
      </c>
      <c r="E4293" s="12" t="s">
        <v>4968</v>
      </c>
      <c r="F4293" s="12" t="s">
        <v>32</v>
      </c>
      <c r="G4293" s="12" t="s">
        <v>32</v>
      </c>
      <c r="H4293" s="12" t="b">
        <v>1</v>
      </c>
      <c r="I4293" s="12" t="b">
        <v>1</v>
      </c>
      <c r="J4293" s="12" t="b">
        <v>0</v>
      </c>
      <c r="K4293" s="12" t="b">
        <v>0</v>
      </c>
      <c r="L4293" s="12">
        <v>394.15</v>
      </c>
      <c r="M4293" s="12">
        <v>278.14999999999998</v>
      </c>
      <c r="N4293" s="12">
        <v>3300</v>
      </c>
      <c r="O4293" s="12">
        <v>1250</v>
      </c>
      <c r="P4293" s="12">
        <v>0.82</v>
      </c>
      <c r="Q4293" s="12">
        <v>0.9</v>
      </c>
      <c r="R4293" s="12">
        <v>0.8</v>
      </c>
      <c r="S4293" s="12">
        <v>0.85</v>
      </c>
      <c r="T4293" s="12">
        <v>0.95</v>
      </c>
      <c r="U4293" s="12">
        <v>0.95</v>
      </c>
      <c r="V4293" s="12">
        <v>303.55</v>
      </c>
      <c r="W4293" s="12">
        <v>8.4799070441782511</v>
      </c>
      <c r="X4293" s="12">
        <v>75.870561807645217</v>
      </c>
      <c r="Y4293" s="12">
        <v>2050</v>
      </c>
      <c r="Z4293" s="12">
        <v>2.64</v>
      </c>
      <c r="AA4293" s="12"/>
      <c r="AB4293" s="12"/>
    </row>
    <row r="4294" spans="1:28" x14ac:dyDescent="0.3">
      <c r="A4294" s="12" t="s">
        <v>6233</v>
      </c>
      <c r="B4294" s="12" t="s">
        <v>217</v>
      </c>
      <c r="C4294" s="12" t="s">
        <v>685</v>
      </c>
      <c r="D4294" s="12" t="s">
        <v>223</v>
      </c>
      <c r="E4294" s="12" t="s">
        <v>4968</v>
      </c>
      <c r="F4294" s="12" t="s">
        <v>32</v>
      </c>
      <c r="G4294" s="12" t="s">
        <v>32</v>
      </c>
      <c r="H4294" s="12" t="b">
        <v>1</v>
      </c>
      <c r="I4294" s="12" t="b">
        <v>1</v>
      </c>
      <c r="J4294" s="12" t="b">
        <v>0</v>
      </c>
      <c r="K4294" s="12" t="b">
        <v>0</v>
      </c>
      <c r="L4294" s="12">
        <v>394.15</v>
      </c>
      <c r="M4294" s="12">
        <v>278.14999999999998</v>
      </c>
      <c r="N4294" s="12">
        <v>3300</v>
      </c>
      <c r="O4294" s="12">
        <v>690</v>
      </c>
      <c r="P4294" s="12">
        <v>0.83333333330000003</v>
      </c>
      <c r="Q4294" s="12">
        <v>0.9</v>
      </c>
      <c r="R4294" s="12">
        <v>0.8</v>
      </c>
      <c r="S4294" s="12">
        <v>0.85</v>
      </c>
      <c r="T4294" s="12">
        <v>0.75</v>
      </c>
      <c r="U4294" s="12">
        <v>0.95</v>
      </c>
      <c r="V4294" s="12">
        <v>283.14999999999998</v>
      </c>
      <c r="W4294" s="12">
        <v>12.85148474045906</v>
      </c>
      <c r="X4294" s="12">
        <v>122.26041919270151</v>
      </c>
      <c r="Y4294" s="12">
        <v>2610</v>
      </c>
      <c r="Z4294" s="12">
        <v>4.7826086956521738</v>
      </c>
      <c r="AA4294" s="12"/>
      <c r="AB4294" s="12"/>
    </row>
    <row r="4295" spans="1:28" x14ac:dyDescent="0.3">
      <c r="A4295" s="12" t="s">
        <v>6234</v>
      </c>
      <c r="B4295" s="12" t="s">
        <v>217</v>
      </c>
      <c r="C4295" s="12" t="s">
        <v>685</v>
      </c>
      <c r="D4295" s="12" t="s">
        <v>223</v>
      </c>
      <c r="E4295" s="12" t="s">
        <v>4968</v>
      </c>
      <c r="F4295" s="12" t="s">
        <v>32</v>
      </c>
      <c r="G4295" s="12" t="s">
        <v>32</v>
      </c>
      <c r="H4295" s="12" t="b">
        <v>1</v>
      </c>
      <c r="I4295" s="12" t="b">
        <v>1</v>
      </c>
      <c r="J4295" s="12" t="b">
        <v>0</v>
      </c>
      <c r="K4295" s="12" t="b">
        <v>0</v>
      </c>
      <c r="L4295" s="12">
        <v>394.15</v>
      </c>
      <c r="M4295" s="12">
        <v>278.14999999999998</v>
      </c>
      <c r="N4295" s="12">
        <v>3300</v>
      </c>
      <c r="O4295" s="12">
        <v>1300</v>
      </c>
      <c r="P4295" s="12">
        <v>0.82</v>
      </c>
      <c r="Q4295" s="12">
        <v>0.9</v>
      </c>
      <c r="R4295" s="12">
        <v>0.8</v>
      </c>
      <c r="S4295" s="12">
        <v>0.85</v>
      </c>
      <c r="T4295" s="12">
        <v>0.95</v>
      </c>
      <c r="U4295" s="12">
        <v>0.95</v>
      </c>
      <c r="V4295" s="12">
        <v>303.55</v>
      </c>
      <c r="W4295" s="12">
        <v>8.15343623160134</v>
      </c>
      <c r="X4295" s="12">
        <v>72.945266772580467</v>
      </c>
      <c r="Y4295" s="12">
        <v>2000</v>
      </c>
      <c r="Z4295" s="12">
        <v>2.5384615384615379</v>
      </c>
      <c r="AA4295" s="12"/>
      <c r="AB4295" s="12"/>
    </row>
    <row r="4296" spans="1:28" x14ac:dyDescent="0.3">
      <c r="A4296" s="12" t="s">
        <v>6235</v>
      </c>
      <c r="B4296" s="12" t="s">
        <v>217</v>
      </c>
      <c r="C4296" s="12" t="s">
        <v>685</v>
      </c>
      <c r="D4296" s="12" t="s">
        <v>223</v>
      </c>
      <c r="E4296" s="12" t="s">
        <v>4968</v>
      </c>
      <c r="F4296" s="12" t="s">
        <v>32</v>
      </c>
      <c r="G4296" s="12" t="s">
        <v>32</v>
      </c>
      <c r="H4296" s="12" t="b">
        <v>1</v>
      </c>
      <c r="I4296" s="12" t="b">
        <v>1</v>
      </c>
      <c r="J4296" s="12" t="b">
        <v>0</v>
      </c>
      <c r="K4296" s="12" t="b">
        <v>0</v>
      </c>
      <c r="L4296" s="12">
        <v>394.15</v>
      </c>
      <c r="M4296" s="12">
        <v>278.14999999999998</v>
      </c>
      <c r="N4296" s="12">
        <v>3300</v>
      </c>
      <c r="O4296" s="12">
        <v>1200</v>
      </c>
      <c r="P4296" s="12">
        <v>0.78</v>
      </c>
      <c r="Q4296" s="12">
        <v>0.9</v>
      </c>
      <c r="R4296" s="12">
        <v>0.8</v>
      </c>
      <c r="S4296" s="12">
        <v>0.85</v>
      </c>
      <c r="T4296" s="12">
        <v>0.95</v>
      </c>
      <c r="U4296" s="12">
        <v>0.95</v>
      </c>
      <c r="V4296" s="12">
        <v>303.55</v>
      </c>
      <c r="W4296" s="12">
        <v>8.6438942543832908</v>
      </c>
      <c r="X4296" s="12">
        <v>69.447935853512348</v>
      </c>
      <c r="Y4296" s="12">
        <v>2100</v>
      </c>
      <c r="Z4296" s="12">
        <v>2.75</v>
      </c>
      <c r="AA4296" s="12"/>
      <c r="AB4296" s="12"/>
    </row>
    <row r="4297" spans="1:28" x14ac:dyDescent="0.3">
      <c r="A4297" s="12" t="s">
        <v>6236</v>
      </c>
      <c r="B4297" s="12" t="s">
        <v>217</v>
      </c>
      <c r="C4297" s="12" t="s">
        <v>685</v>
      </c>
      <c r="D4297" s="12" t="s">
        <v>223</v>
      </c>
      <c r="E4297" s="12" t="s">
        <v>4968</v>
      </c>
      <c r="F4297" s="12" t="s">
        <v>32</v>
      </c>
      <c r="G4297" s="12" t="s">
        <v>32</v>
      </c>
      <c r="H4297" s="12" t="b">
        <v>1</v>
      </c>
      <c r="I4297" s="12" t="b">
        <v>1</v>
      </c>
      <c r="J4297" s="12" t="b">
        <v>0</v>
      </c>
      <c r="K4297" s="12" t="b">
        <v>0</v>
      </c>
      <c r="L4297" s="12">
        <v>394.15</v>
      </c>
      <c r="M4297" s="12">
        <v>278.14999999999998</v>
      </c>
      <c r="N4297" s="12">
        <v>3300</v>
      </c>
      <c r="O4297" s="12">
        <v>1200</v>
      </c>
      <c r="P4297" s="12">
        <v>0.8</v>
      </c>
      <c r="Q4297" s="12">
        <v>0.9</v>
      </c>
      <c r="R4297" s="12">
        <v>0.8</v>
      </c>
      <c r="S4297" s="12">
        <v>0.85</v>
      </c>
      <c r="T4297" s="12">
        <v>0.95</v>
      </c>
      <c r="U4297" s="12">
        <v>0.95</v>
      </c>
      <c r="V4297" s="12">
        <v>303.55</v>
      </c>
      <c r="W4297" s="12">
        <v>8.7349770677142295</v>
      </c>
      <c r="X4297" s="12">
        <v>74.195313847507833</v>
      </c>
      <c r="Y4297" s="12">
        <v>2100</v>
      </c>
      <c r="Z4297" s="12">
        <v>2.75</v>
      </c>
      <c r="AA4297" s="12"/>
      <c r="AB4297" s="12"/>
    </row>
    <row r="4298" spans="1:28" x14ac:dyDescent="0.3">
      <c r="A4298" s="12" t="s">
        <v>6237</v>
      </c>
      <c r="B4298" s="12" t="s">
        <v>217</v>
      </c>
      <c r="C4298" s="12" t="s">
        <v>691</v>
      </c>
      <c r="D4298" s="12" t="s">
        <v>226</v>
      </c>
      <c r="E4298" s="12" t="s">
        <v>6238</v>
      </c>
      <c r="F4298" s="12" t="s">
        <v>32</v>
      </c>
      <c r="G4298" s="12" t="s">
        <v>32</v>
      </c>
      <c r="H4298" s="12" t="b">
        <v>1</v>
      </c>
      <c r="I4298" s="12" t="b">
        <v>1</v>
      </c>
      <c r="J4298" s="12" t="b">
        <v>0</v>
      </c>
      <c r="K4298" s="12" t="b">
        <v>0</v>
      </c>
      <c r="L4298" s="12">
        <v>380</v>
      </c>
      <c r="M4298" s="12">
        <v>278.14999999999998</v>
      </c>
      <c r="N4298" s="12">
        <v>3300</v>
      </c>
      <c r="O4298" s="12">
        <v>690</v>
      </c>
      <c r="P4298" s="12">
        <v>0.82</v>
      </c>
      <c r="Q4298" s="12">
        <v>0.9</v>
      </c>
      <c r="R4298" s="12">
        <v>0.8</v>
      </c>
      <c r="S4298" s="12">
        <v>0.85</v>
      </c>
      <c r="T4298" s="12">
        <v>0.75</v>
      </c>
      <c r="U4298" s="12">
        <v>0.95</v>
      </c>
      <c r="V4298" s="12">
        <v>283.14999999999998</v>
      </c>
      <c r="W4298" s="12">
        <v>12.20823127655215</v>
      </c>
      <c r="X4298" s="12">
        <v>94.678058603404537</v>
      </c>
      <c r="Y4298" s="12">
        <v>2610</v>
      </c>
      <c r="Z4298" s="12">
        <v>4.7826086956521738</v>
      </c>
      <c r="AA4298" s="12"/>
      <c r="AB4298" s="12" t="s">
        <v>274</v>
      </c>
    </row>
    <row r="4299" spans="1:28" x14ac:dyDescent="0.3">
      <c r="A4299" s="12" t="s">
        <v>6239</v>
      </c>
      <c r="B4299" s="12" t="s">
        <v>217</v>
      </c>
      <c r="C4299" s="12" t="s">
        <v>691</v>
      </c>
      <c r="D4299" s="12" t="s">
        <v>226</v>
      </c>
      <c r="E4299" s="12" t="s">
        <v>6238</v>
      </c>
      <c r="F4299" s="12" t="s">
        <v>32</v>
      </c>
      <c r="G4299" s="12" t="s">
        <v>32</v>
      </c>
      <c r="H4299" s="12" t="b">
        <v>1</v>
      </c>
      <c r="I4299" s="12" t="b">
        <v>1</v>
      </c>
      <c r="J4299" s="12" t="b">
        <v>0</v>
      </c>
      <c r="K4299" s="12" t="b">
        <v>0</v>
      </c>
      <c r="L4299" s="12">
        <v>383.57142857142861</v>
      </c>
      <c r="M4299" s="12">
        <v>278.14999999999998</v>
      </c>
      <c r="N4299" s="12">
        <v>3300</v>
      </c>
      <c r="O4299" s="12">
        <v>690</v>
      </c>
      <c r="P4299" s="12">
        <v>0.82</v>
      </c>
      <c r="Q4299" s="12">
        <v>0.9</v>
      </c>
      <c r="R4299" s="12">
        <v>0.8</v>
      </c>
      <c r="S4299" s="12">
        <v>0.85</v>
      </c>
      <c r="T4299" s="12">
        <v>0.75</v>
      </c>
      <c r="U4299" s="12">
        <v>0.95</v>
      </c>
      <c r="V4299" s="12">
        <v>283.14999999999998</v>
      </c>
      <c r="W4299" s="12">
        <v>12.35372325098048</v>
      </c>
      <c r="X4299" s="12">
        <v>100.66694527824519</v>
      </c>
      <c r="Y4299" s="12">
        <v>2610</v>
      </c>
      <c r="Z4299" s="12">
        <v>4.7826086956521738</v>
      </c>
      <c r="AA4299" s="12"/>
      <c r="AB4299" s="12" t="s">
        <v>274</v>
      </c>
    </row>
    <row r="4300" spans="1:28" x14ac:dyDescent="0.3">
      <c r="A4300" s="12" t="s">
        <v>6240</v>
      </c>
      <c r="B4300" s="12" t="s">
        <v>217</v>
      </c>
      <c r="C4300" s="12" t="s">
        <v>691</v>
      </c>
      <c r="D4300" s="12" t="s">
        <v>226</v>
      </c>
      <c r="E4300" s="12" t="s">
        <v>6238</v>
      </c>
      <c r="F4300" s="12" t="s">
        <v>32</v>
      </c>
      <c r="G4300" s="12" t="s">
        <v>32</v>
      </c>
      <c r="H4300" s="12" t="b">
        <v>1</v>
      </c>
      <c r="I4300" s="12" t="b">
        <v>1</v>
      </c>
      <c r="J4300" s="12" t="b">
        <v>0</v>
      </c>
      <c r="K4300" s="12" t="b">
        <v>0</v>
      </c>
      <c r="L4300" s="12">
        <v>387.14285714285722</v>
      </c>
      <c r="M4300" s="12">
        <v>278.14999999999998</v>
      </c>
      <c r="N4300" s="12">
        <v>3300</v>
      </c>
      <c r="O4300" s="12">
        <v>690</v>
      </c>
      <c r="P4300" s="12">
        <v>0.82</v>
      </c>
      <c r="Q4300" s="12">
        <v>0.9</v>
      </c>
      <c r="R4300" s="12">
        <v>0.8</v>
      </c>
      <c r="S4300" s="12">
        <v>0.85</v>
      </c>
      <c r="T4300" s="12">
        <v>0.75</v>
      </c>
      <c r="U4300" s="12">
        <v>0.95</v>
      </c>
      <c r="V4300" s="12">
        <v>283.14999999999998</v>
      </c>
      <c r="W4300" s="12">
        <v>12.488109644201019</v>
      </c>
      <c r="X4300" s="12">
        <v>106.44915021688141</v>
      </c>
      <c r="Y4300" s="12">
        <v>2610</v>
      </c>
      <c r="Z4300" s="12">
        <v>4.7826086956521738</v>
      </c>
      <c r="AA4300" s="12"/>
      <c r="AB4300" s="12" t="s">
        <v>274</v>
      </c>
    </row>
    <row r="4301" spans="1:28" x14ac:dyDescent="0.3">
      <c r="A4301" s="12" t="s">
        <v>6241</v>
      </c>
      <c r="B4301" s="12" t="s">
        <v>217</v>
      </c>
      <c r="C4301" s="12" t="s">
        <v>691</v>
      </c>
      <c r="D4301" s="12" t="s">
        <v>226</v>
      </c>
      <c r="E4301" s="12" t="s">
        <v>6238</v>
      </c>
      <c r="F4301" s="12" t="s">
        <v>32</v>
      </c>
      <c r="G4301" s="12" t="s">
        <v>32</v>
      </c>
      <c r="H4301" s="12" t="b">
        <v>1</v>
      </c>
      <c r="I4301" s="12" t="b">
        <v>1</v>
      </c>
      <c r="J4301" s="12" t="b">
        <v>0</v>
      </c>
      <c r="K4301" s="12" t="b">
        <v>0</v>
      </c>
      <c r="L4301" s="12">
        <v>394.28571428571428</v>
      </c>
      <c r="M4301" s="12">
        <v>278.14999999999998</v>
      </c>
      <c r="N4301" s="12">
        <v>3300</v>
      </c>
      <c r="O4301" s="12">
        <v>690</v>
      </c>
      <c r="P4301" s="12">
        <v>0.82</v>
      </c>
      <c r="Q4301" s="12">
        <v>0.9</v>
      </c>
      <c r="R4301" s="12">
        <v>0.8</v>
      </c>
      <c r="S4301" s="12">
        <v>0.85</v>
      </c>
      <c r="T4301" s="12">
        <v>0.75</v>
      </c>
      <c r="U4301" s="12">
        <v>0.95</v>
      </c>
      <c r="V4301" s="12">
        <v>283.14999999999998</v>
      </c>
      <c r="W4301" s="12">
        <v>12.73637660744955</v>
      </c>
      <c r="X4301" s="12">
        <v>117.80423567145409</v>
      </c>
      <c r="Y4301" s="12">
        <v>2610</v>
      </c>
      <c r="Z4301" s="12">
        <v>4.7826086956521738</v>
      </c>
      <c r="AA4301" s="12"/>
      <c r="AB4301" s="12" t="s">
        <v>274</v>
      </c>
    </row>
    <row r="4302" spans="1:28" x14ac:dyDescent="0.3">
      <c r="A4302" s="12" t="s">
        <v>6242</v>
      </c>
      <c r="B4302" s="12" t="s">
        <v>217</v>
      </c>
      <c r="C4302" s="12" t="s">
        <v>691</v>
      </c>
      <c r="D4302" s="12" t="s">
        <v>226</v>
      </c>
      <c r="E4302" s="12" t="s">
        <v>6238</v>
      </c>
      <c r="F4302" s="12" t="s">
        <v>32</v>
      </c>
      <c r="G4302" s="12" t="s">
        <v>32</v>
      </c>
      <c r="H4302" s="12" t="b">
        <v>1</v>
      </c>
      <c r="I4302" s="12" t="b">
        <v>1</v>
      </c>
      <c r="J4302" s="12" t="b">
        <v>0</v>
      </c>
      <c r="K4302" s="12" t="b">
        <v>0</v>
      </c>
      <c r="L4302" s="12">
        <v>390.71428571428572</v>
      </c>
      <c r="M4302" s="12">
        <v>278.14999999999998</v>
      </c>
      <c r="N4302" s="12">
        <v>3300</v>
      </c>
      <c r="O4302" s="12">
        <v>690</v>
      </c>
      <c r="P4302" s="12">
        <v>0.82</v>
      </c>
      <c r="Q4302" s="12">
        <v>0.9</v>
      </c>
      <c r="R4302" s="12">
        <v>0.8</v>
      </c>
      <c r="S4302" s="12">
        <v>0.85</v>
      </c>
      <c r="T4302" s="12">
        <v>0.75</v>
      </c>
      <c r="U4302" s="12">
        <v>0.95</v>
      </c>
      <c r="V4302" s="12">
        <v>283.14999999999998</v>
      </c>
      <c r="W4302" s="12">
        <v>12.615084204866079</v>
      </c>
      <c r="X4302" s="12">
        <v>112.1344587875421</v>
      </c>
      <c r="Y4302" s="12">
        <v>2610</v>
      </c>
      <c r="Z4302" s="12">
        <v>4.7826086956521738</v>
      </c>
      <c r="AA4302" s="12"/>
      <c r="AB4302" s="12" t="s">
        <v>274</v>
      </c>
    </row>
    <row r="4303" spans="1:28" x14ac:dyDescent="0.3">
      <c r="A4303" s="12" t="s">
        <v>6243</v>
      </c>
      <c r="B4303" s="12" t="s">
        <v>217</v>
      </c>
      <c r="C4303" s="12" t="s">
        <v>691</v>
      </c>
      <c r="D4303" s="12" t="s">
        <v>226</v>
      </c>
      <c r="E4303" s="12" t="s">
        <v>6238</v>
      </c>
      <c r="F4303" s="12" t="s">
        <v>32</v>
      </c>
      <c r="G4303" s="12" t="s">
        <v>32</v>
      </c>
      <c r="H4303" s="12" t="b">
        <v>1</v>
      </c>
      <c r="I4303" s="12" t="b">
        <v>1</v>
      </c>
      <c r="J4303" s="12" t="b">
        <v>0</v>
      </c>
      <c r="K4303" s="12" t="b">
        <v>0</v>
      </c>
      <c r="L4303" s="12">
        <v>397.85714285714278</v>
      </c>
      <c r="M4303" s="12">
        <v>278.14999999999998</v>
      </c>
      <c r="N4303" s="12">
        <v>3300</v>
      </c>
      <c r="O4303" s="12">
        <v>690</v>
      </c>
      <c r="P4303" s="12">
        <v>0.82</v>
      </c>
      <c r="Q4303" s="12">
        <v>0.9</v>
      </c>
      <c r="R4303" s="12">
        <v>0.8</v>
      </c>
      <c r="S4303" s="12">
        <v>0.85</v>
      </c>
      <c r="T4303" s="12">
        <v>0.75</v>
      </c>
      <c r="U4303" s="12">
        <v>0.95</v>
      </c>
      <c r="V4303" s="12">
        <v>283.14999999999998</v>
      </c>
      <c r="W4303" s="12">
        <v>12.85223774220491</v>
      </c>
      <c r="X4303" s="12">
        <v>123.51896371892821</v>
      </c>
      <c r="Y4303" s="12">
        <v>2610</v>
      </c>
      <c r="Z4303" s="12">
        <v>4.7826086956521738</v>
      </c>
      <c r="AA4303" s="12"/>
      <c r="AB4303" s="12" t="s">
        <v>274</v>
      </c>
    </row>
    <row r="4304" spans="1:28" x14ac:dyDescent="0.3">
      <c r="A4304" s="12" t="s">
        <v>6244</v>
      </c>
      <c r="B4304" s="12" t="s">
        <v>217</v>
      </c>
      <c r="C4304" s="12" t="s">
        <v>691</v>
      </c>
      <c r="D4304" s="12" t="s">
        <v>226</v>
      </c>
      <c r="E4304" s="12" t="s">
        <v>6238</v>
      </c>
      <c r="F4304" s="12" t="s">
        <v>32</v>
      </c>
      <c r="G4304" s="12" t="s">
        <v>32</v>
      </c>
      <c r="H4304" s="12" t="b">
        <v>1</v>
      </c>
      <c r="I4304" s="12" t="b">
        <v>1</v>
      </c>
      <c r="J4304" s="12" t="b">
        <v>0</v>
      </c>
      <c r="K4304" s="12" t="b">
        <v>0</v>
      </c>
      <c r="L4304" s="12">
        <v>401.42857142857139</v>
      </c>
      <c r="M4304" s="12">
        <v>278.14999999999998</v>
      </c>
      <c r="N4304" s="12">
        <v>3300</v>
      </c>
      <c r="O4304" s="12">
        <v>690</v>
      </c>
      <c r="P4304" s="12">
        <v>0.82</v>
      </c>
      <c r="Q4304" s="12">
        <v>0.9</v>
      </c>
      <c r="R4304" s="12">
        <v>0.8</v>
      </c>
      <c r="S4304" s="12">
        <v>0.85</v>
      </c>
      <c r="T4304" s="12">
        <v>0.75</v>
      </c>
      <c r="U4304" s="12">
        <v>0.95</v>
      </c>
      <c r="V4304" s="12">
        <v>283.14999999999998</v>
      </c>
      <c r="W4304" s="12">
        <v>12.961840990947699</v>
      </c>
      <c r="X4304" s="12">
        <v>129.3238517930356</v>
      </c>
      <c r="Y4304" s="12">
        <v>2610</v>
      </c>
      <c r="Z4304" s="12">
        <v>4.7826086956521738</v>
      </c>
      <c r="AA4304" s="12"/>
      <c r="AB4304" s="12" t="s">
        <v>274</v>
      </c>
    </row>
    <row r="4305" spans="1:28" x14ac:dyDescent="0.3">
      <c r="A4305" s="12" t="s">
        <v>6245</v>
      </c>
      <c r="B4305" s="12" t="s">
        <v>217</v>
      </c>
      <c r="C4305" s="12" t="s">
        <v>691</v>
      </c>
      <c r="D4305" s="12" t="s">
        <v>226</v>
      </c>
      <c r="E4305" s="12" t="s">
        <v>6238</v>
      </c>
      <c r="F4305" s="12" t="s">
        <v>1861</v>
      </c>
      <c r="G4305" s="12" t="s">
        <v>1861</v>
      </c>
      <c r="H4305" s="12" t="b">
        <v>1</v>
      </c>
      <c r="I4305" s="12" t="b">
        <v>0</v>
      </c>
      <c r="J4305" s="12" t="b">
        <v>0</v>
      </c>
      <c r="K4305" s="12" t="b">
        <v>0</v>
      </c>
      <c r="L4305" s="12">
        <v>405</v>
      </c>
      <c r="M4305" s="12">
        <v>278.14999999999998</v>
      </c>
      <c r="N4305" s="12">
        <v>3300</v>
      </c>
      <c r="O4305" s="12">
        <v>690</v>
      </c>
      <c r="P4305" s="12">
        <v>0.82</v>
      </c>
      <c r="Q4305" s="12">
        <v>0.9</v>
      </c>
      <c r="R4305" s="12">
        <v>0.8</v>
      </c>
      <c r="S4305" s="12">
        <v>0.85</v>
      </c>
      <c r="T4305" s="12">
        <v>0.75</v>
      </c>
      <c r="U4305" s="12">
        <v>0.95</v>
      </c>
      <c r="V4305" s="12">
        <v>283.14999999999998</v>
      </c>
      <c r="W4305" s="12">
        <v>13.06365776565851</v>
      </c>
      <c r="X4305" s="12">
        <v>135.25370318263791</v>
      </c>
      <c r="Y4305" s="12">
        <v>2610</v>
      </c>
      <c r="Z4305" s="12">
        <v>4.7826086956521738</v>
      </c>
      <c r="AA4305" s="12" t="s">
        <v>1268</v>
      </c>
      <c r="AB4305" s="12" t="s">
        <v>274</v>
      </c>
    </row>
    <row r="4306" spans="1:28" x14ac:dyDescent="0.3">
      <c r="A4306" s="12" t="s">
        <v>6246</v>
      </c>
      <c r="B4306" s="12" t="s">
        <v>217</v>
      </c>
      <c r="C4306" s="12" t="s">
        <v>691</v>
      </c>
      <c r="D4306" s="12" t="s">
        <v>226</v>
      </c>
      <c r="E4306" s="12" t="s">
        <v>6238</v>
      </c>
      <c r="F4306" s="12" t="s">
        <v>1861</v>
      </c>
      <c r="G4306" s="12" t="s">
        <v>1861</v>
      </c>
      <c r="H4306" s="12" t="b">
        <v>1</v>
      </c>
      <c r="I4306" s="12" t="b">
        <v>0</v>
      </c>
      <c r="J4306" s="12" t="b">
        <v>0</v>
      </c>
      <c r="K4306" s="12" t="b">
        <v>0</v>
      </c>
      <c r="L4306" s="12">
        <v>408.57142857142861</v>
      </c>
      <c r="M4306" s="12">
        <v>278.14999999999998</v>
      </c>
      <c r="N4306" s="12">
        <v>3300</v>
      </c>
      <c r="O4306" s="12">
        <v>690</v>
      </c>
      <c r="P4306" s="12">
        <v>0.82</v>
      </c>
      <c r="Q4306" s="12">
        <v>0.9</v>
      </c>
      <c r="R4306" s="12">
        <v>0.8</v>
      </c>
      <c r="S4306" s="12">
        <v>0.85</v>
      </c>
      <c r="T4306" s="12">
        <v>0.75</v>
      </c>
      <c r="U4306" s="12">
        <v>0.95</v>
      </c>
      <c r="V4306" s="12">
        <v>283.14999999999998</v>
      </c>
      <c r="W4306" s="12">
        <v>13.155806884554361</v>
      </c>
      <c r="X4306" s="12">
        <v>141.33737742411401</v>
      </c>
      <c r="Y4306" s="12">
        <v>2610</v>
      </c>
      <c r="Z4306" s="12">
        <v>4.7826086956521738</v>
      </c>
      <c r="AA4306" s="12" t="s">
        <v>1268</v>
      </c>
      <c r="AB4306" s="12" t="s">
        <v>274</v>
      </c>
    </row>
    <row r="4307" spans="1:28" x14ac:dyDescent="0.3">
      <c r="A4307" s="12" t="s">
        <v>6247</v>
      </c>
      <c r="B4307" s="12" t="s">
        <v>217</v>
      </c>
      <c r="C4307" s="12" t="s">
        <v>691</v>
      </c>
      <c r="D4307" s="12" t="s">
        <v>226</v>
      </c>
      <c r="E4307" s="12" t="s">
        <v>6238</v>
      </c>
      <c r="F4307" s="12" t="s">
        <v>1861</v>
      </c>
      <c r="G4307" s="12" t="s">
        <v>1861</v>
      </c>
      <c r="H4307" s="12" t="b">
        <v>1</v>
      </c>
      <c r="I4307" s="12" t="b">
        <v>0</v>
      </c>
      <c r="J4307" s="12" t="b">
        <v>0</v>
      </c>
      <c r="K4307" s="12" t="b">
        <v>0</v>
      </c>
      <c r="L4307" s="12">
        <v>412.14285714285722</v>
      </c>
      <c r="M4307" s="12">
        <v>278.14999999999998</v>
      </c>
      <c r="N4307" s="12">
        <v>3300</v>
      </c>
      <c r="O4307" s="12">
        <v>690</v>
      </c>
      <c r="P4307" s="12">
        <v>0.82</v>
      </c>
      <c r="Q4307" s="12">
        <v>0.9</v>
      </c>
      <c r="R4307" s="12">
        <v>0.8</v>
      </c>
      <c r="S4307" s="12">
        <v>0.85</v>
      </c>
      <c r="T4307" s="12">
        <v>0.75</v>
      </c>
      <c r="U4307" s="12">
        <v>0.95</v>
      </c>
      <c r="V4307" s="12">
        <v>283.14999999999998</v>
      </c>
      <c r="W4307" s="12">
        <v>13.236375423773151</v>
      </c>
      <c r="X4307" s="12">
        <v>147.6020675738194</v>
      </c>
      <c r="Y4307" s="12">
        <v>2610</v>
      </c>
      <c r="Z4307" s="12">
        <v>4.7826086956521738</v>
      </c>
      <c r="AA4307" s="12" t="s">
        <v>1268</v>
      </c>
      <c r="AB4307" s="12" t="s">
        <v>274</v>
      </c>
    </row>
    <row r="4308" spans="1:28" x14ac:dyDescent="0.3">
      <c r="A4308" s="12" t="s">
        <v>6248</v>
      </c>
      <c r="B4308" s="12" t="s">
        <v>217</v>
      </c>
      <c r="C4308" s="12" t="s">
        <v>691</v>
      </c>
      <c r="D4308" s="12" t="s">
        <v>226</v>
      </c>
      <c r="E4308" s="12" t="s">
        <v>6238</v>
      </c>
      <c r="F4308" s="12" t="s">
        <v>1861</v>
      </c>
      <c r="G4308" s="12" t="s">
        <v>1861</v>
      </c>
      <c r="H4308" s="12" t="b">
        <v>1</v>
      </c>
      <c r="I4308" s="12" t="b">
        <v>0</v>
      </c>
      <c r="J4308" s="12" t="b">
        <v>0</v>
      </c>
      <c r="K4308" s="12" t="b">
        <v>0</v>
      </c>
      <c r="L4308" s="12">
        <v>415.71428571428572</v>
      </c>
      <c r="M4308" s="12">
        <v>278.14999999999998</v>
      </c>
      <c r="N4308" s="12">
        <v>3300</v>
      </c>
      <c r="O4308" s="12">
        <v>690</v>
      </c>
      <c r="P4308" s="12">
        <v>0.82</v>
      </c>
      <c r="Q4308" s="12">
        <v>0.9</v>
      </c>
      <c r="R4308" s="12">
        <v>0.8</v>
      </c>
      <c r="S4308" s="12">
        <v>0.85</v>
      </c>
      <c r="T4308" s="12">
        <v>0.75</v>
      </c>
      <c r="U4308" s="12">
        <v>0.95</v>
      </c>
      <c r="V4308" s="12">
        <v>283.14999999999998</v>
      </c>
      <c r="W4308" s="12">
        <v>13.303695334315419</v>
      </c>
      <c r="X4308" s="12">
        <v>154.07738863236781</v>
      </c>
      <c r="Y4308" s="12">
        <v>2610</v>
      </c>
      <c r="Z4308" s="12">
        <v>4.7826086956521738</v>
      </c>
      <c r="AA4308" s="12" t="s">
        <v>1268</v>
      </c>
      <c r="AB4308" s="12" t="s">
        <v>274</v>
      </c>
    </row>
    <row r="4309" spans="1:28" x14ac:dyDescent="0.3">
      <c r="A4309" s="12" t="s">
        <v>6249</v>
      </c>
      <c r="B4309" s="12" t="s">
        <v>217</v>
      </c>
      <c r="C4309" s="12" t="s">
        <v>691</v>
      </c>
      <c r="D4309" s="12" t="s">
        <v>226</v>
      </c>
      <c r="E4309" s="12" t="s">
        <v>6238</v>
      </c>
      <c r="F4309" s="12" t="s">
        <v>1861</v>
      </c>
      <c r="G4309" s="12" t="s">
        <v>1861</v>
      </c>
      <c r="H4309" s="12" t="b">
        <v>1</v>
      </c>
      <c r="I4309" s="12" t="b">
        <v>0</v>
      </c>
      <c r="J4309" s="12" t="b">
        <v>0</v>
      </c>
      <c r="K4309" s="12" t="b">
        <v>0</v>
      </c>
      <c r="L4309" s="12">
        <v>422.85714285714289</v>
      </c>
      <c r="M4309" s="12">
        <v>278.14999999999998</v>
      </c>
      <c r="N4309" s="12">
        <v>3300</v>
      </c>
      <c r="O4309" s="12">
        <v>690</v>
      </c>
      <c r="P4309" s="12">
        <v>0.82</v>
      </c>
      <c r="Q4309" s="12">
        <v>0.9</v>
      </c>
      <c r="R4309" s="12">
        <v>0.8</v>
      </c>
      <c r="S4309" s="12">
        <v>0.85</v>
      </c>
      <c r="T4309" s="12">
        <v>0.75</v>
      </c>
      <c r="U4309" s="12">
        <v>0.95</v>
      </c>
      <c r="V4309" s="12">
        <v>283.14999999999998</v>
      </c>
      <c r="W4309" s="12">
        <v>13.39414678813139</v>
      </c>
      <c r="X4309" s="12">
        <v>167.81028328520131</v>
      </c>
      <c r="Y4309" s="12">
        <v>2610</v>
      </c>
      <c r="Z4309" s="12">
        <v>4.7826086956521738</v>
      </c>
      <c r="AA4309" s="12" t="s">
        <v>1268</v>
      </c>
      <c r="AB4309" s="12" t="s">
        <v>274</v>
      </c>
    </row>
    <row r="4310" spans="1:28" x14ac:dyDescent="0.3">
      <c r="A4310" s="12" t="s">
        <v>6250</v>
      </c>
      <c r="B4310" s="12" t="s">
        <v>217</v>
      </c>
      <c r="C4310" s="12" t="s">
        <v>691</v>
      </c>
      <c r="D4310" s="12" t="s">
        <v>226</v>
      </c>
      <c r="E4310" s="12" t="s">
        <v>6238</v>
      </c>
      <c r="F4310" s="12" t="s">
        <v>1861</v>
      </c>
      <c r="G4310" s="12" t="s">
        <v>1861</v>
      </c>
      <c r="H4310" s="12" t="b">
        <v>1</v>
      </c>
      <c r="I4310" s="12" t="b">
        <v>0</v>
      </c>
      <c r="J4310" s="12" t="b">
        <v>0</v>
      </c>
      <c r="K4310" s="12" t="b">
        <v>0</v>
      </c>
      <c r="L4310" s="12">
        <v>419.28571428571428</v>
      </c>
      <c r="M4310" s="12">
        <v>278.14999999999998</v>
      </c>
      <c r="N4310" s="12">
        <v>3300</v>
      </c>
      <c r="O4310" s="12">
        <v>690</v>
      </c>
      <c r="P4310" s="12">
        <v>0.82</v>
      </c>
      <c r="Q4310" s="12">
        <v>0.9</v>
      </c>
      <c r="R4310" s="12">
        <v>0.8</v>
      </c>
      <c r="S4310" s="12">
        <v>0.85</v>
      </c>
      <c r="T4310" s="12">
        <v>0.75</v>
      </c>
      <c r="U4310" s="12">
        <v>0.95</v>
      </c>
      <c r="V4310" s="12">
        <v>283.14999999999998</v>
      </c>
      <c r="W4310" s="12">
        <v>13.35653045690038</v>
      </c>
      <c r="X4310" s="12">
        <v>160.79884110089901</v>
      </c>
      <c r="Y4310" s="12">
        <v>2610</v>
      </c>
      <c r="Z4310" s="12">
        <v>4.7826086956521738</v>
      </c>
      <c r="AA4310" s="12" t="s">
        <v>1268</v>
      </c>
      <c r="AB4310" s="12" t="s">
        <v>274</v>
      </c>
    </row>
    <row r="4311" spans="1:28" x14ac:dyDescent="0.3">
      <c r="A4311" s="12" t="s">
        <v>6251</v>
      </c>
      <c r="B4311" s="12" t="s">
        <v>217</v>
      </c>
      <c r="C4311" s="12" t="s">
        <v>691</v>
      </c>
      <c r="D4311" s="12" t="s">
        <v>226</v>
      </c>
      <c r="E4311" s="12" t="s">
        <v>6238</v>
      </c>
      <c r="F4311" s="12" t="s">
        <v>1861</v>
      </c>
      <c r="G4311" s="12" t="s">
        <v>1861</v>
      </c>
      <c r="H4311" s="12" t="b">
        <v>1</v>
      </c>
      <c r="I4311" s="12" t="b">
        <v>0</v>
      </c>
      <c r="J4311" s="12" t="b">
        <v>0</v>
      </c>
      <c r="K4311" s="12" t="b">
        <v>0</v>
      </c>
      <c r="L4311" s="12">
        <v>426.42857142857139</v>
      </c>
      <c r="M4311" s="12">
        <v>278.14999999999998</v>
      </c>
      <c r="N4311" s="12">
        <v>3300</v>
      </c>
      <c r="O4311" s="12">
        <v>690</v>
      </c>
      <c r="P4311" s="12">
        <v>0.82</v>
      </c>
      <c r="Q4311" s="12">
        <v>0.9</v>
      </c>
      <c r="R4311" s="12">
        <v>0.8</v>
      </c>
      <c r="S4311" s="12">
        <v>0.85</v>
      </c>
      <c r="T4311" s="12">
        <v>0.75</v>
      </c>
      <c r="U4311" s="12">
        <v>0.95</v>
      </c>
      <c r="V4311" s="12">
        <v>283.14999999999998</v>
      </c>
      <c r="W4311" s="12">
        <v>13.416283544750121</v>
      </c>
      <c r="X4311" s="12">
        <v>175.1654839192862</v>
      </c>
      <c r="Y4311" s="12">
        <v>2610</v>
      </c>
      <c r="Z4311" s="12">
        <v>4.7826086956521738</v>
      </c>
      <c r="AA4311" s="12" t="s">
        <v>1268</v>
      </c>
      <c r="AB4311" s="12" t="s">
        <v>274</v>
      </c>
    </row>
    <row r="4312" spans="1:28" x14ac:dyDescent="0.3">
      <c r="A4312" s="12" t="s">
        <v>6252</v>
      </c>
      <c r="B4312" s="12" t="s">
        <v>217</v>
      </c>
      <c r="C4312" s="12" t="s">
        <v>691</v>
      </c>
      <c r="D4312" s="12" t="s">
        <v>226</v>
      </c>
      <c r="E4312" s="12" t="s">
        <v>6238</v>
      </c>
      <c r="F4312" s="12" t="s">
        <v>32</v>
      </c>
      <c r="G4312" s="12" t="s">
        <v>32</v>
      </c>
      <c r="H4312" s="12" t="b">
        <v>1</v>
      </c>
      <c r="I4312" s="12" t="b">
        <v>1</v>
      </c>
      <c r="J4312" s="12" t="b">
        <v>0</v>
      </c>
      <c r="K4312" s="12" t="b">
        <v>0</v>
      </c>
      <c r="L4312" s="12">
        <v>394.15</v>
      </c>
      <c r="M4312" s="12">
        <v>273.14999999999998</v>
      </c>
      <c r="N4312" s="12">
        <v>3300</v>
      </c>
      <c r="O4312" s="12">
        <v>690</v>
      </c>
      <c r="P4312" s="12">
        <v>0.82</v>
      </c>
      <c r="Q4312" s="12">
        <v>0.9</v>
      </c>
      <c r="R4312" s="12">
        <v>0.8</v>
      </c>
      <c r="S4312" s="12">
        <v>0.85</v>
      </c>
      <c r="T4312" s="12">
        <v>0.75</v>
      </c>
      <c r="U4312" s="12">
        <v>0.95</v>
      </c>
      <c r="V4312" s="12">
        <v>283.14999999999998</v>
      </c>
      <c r="W4312" s="12">
        <v>12.5093907482508</v>
      </c>
      <c r="X4312" s="12">
        <v>117.2276897314344</v>
      </c>
      <c r="Y4312" s="12">
        <v>2610</v>
      </c>
      <c r="Z4312" s="12">
        <v>4.7826086956521738</v>
      </c>
      <c r="AA4312" s="12"/>
      <c r="AB4312" s="12" t="s">
        <v>276</v>
      </c>
    </row>
    <row r="4313" spans="1:28" x14ac:dyDescent="0.3">
      <c r="A4313" s="12" t="s">
        <v>6253</v>
      </c>
      <c r="B4313" s="12" t="s">
        <v>217</v>
      </c>
      <c r="C4313" s="12" t="s">
        <v>691</v>
      </c>
      <c r="D4313" s="12" t="s">
        <v>226</v>
      </c>
      <c r="E4313" s="12" t="s">
        <v>6238</v>
      </c>
      <c r="F4313" s="12" t="s">
        <v>1861</v>
      </c>
      <c r="G4313" s="12" t="s">
        <v>1861</v>
      </c>
      <c r="H4313" s="12" t="b">
        <v>1</v>
      </c>
      <c r="I4313" s="12" t="b">
        <v>0</v>
      </c>
      <c r="J4313" s="12" t="b">
        <v>0</v>
      </c>
      <c r="K4313" s="12" t="b">
        <v>0</v>
      </c>
      <c r="L4313" s="12">
        <v>430</v>
      </c>
      <c r="M4313" s="12">
        <v>278.14999999999998</v>
      </c>
      <c r="N4313" s="12">
        <v>3300</v>
      </c>
      <c r="O4313" s="12">
        <v>690</v>
      </c>
      <c r="P4313" s="12">
        <v>0.82</v>
      </c>
      <c r="Q4313" s="12">
        <v>0.9</v>
      </c>
      <c r="R4313" s="12">
        <v>0.8</v>
      </c>
      <c r="S4313" s="12">
        <v>0.85</v>
      </c>
      <c r="T4313" s="12">
        <v>0.75</v>
      </c>
      <c r="U4313" s="12">
        <v>0.95</v>
      </c>
      <c r="V4313" s="12">
        <v>283.14999999999998</v>
      </c>
      <c r="W4313" s="12">
        <v>13.4230730280375</v>
      </c>
      <c r="X4313" s="12">
        <v>182.9292323161979</v>
      </c>
      <c r="Y4313" s="12">
        <v>2610</v>
      </c>
      <c r="Z4313" s="12">
        <v>4.7826086956521738</v>
      </c>
      <c r="AA4313" s="12" t="s">
        <v>1268</v>
      </c>
      <c r="AB4313" s="12" t="s">
        <v>274</v>
      </c>
    </row>
    <row r="4314" spans="1:28" x14ac:dyDescent="0.3">
      <c r="A4314" s="12" t="s">
        <v>6254</v>
      </c>
      <c r="B4314" s="12" t="s">
        <v>217</v>
      </c>
      <c r="C4314" s="12" t="s">
        <v>691</v>
      </c>
      <c r="D4314" s="12" t="s">
        <v>226</v>
      </c>
      <c r="E4314" s="12" t="s">
        <v>6238</v>
      </c>
      <c r="F4314" s="12" t="s">
        <v>32</v>
      </c>
      <c r="G4314" s="12" t="s">
        <v>32</v>
      </c>
      <c r="H4314" s="12" t="b">
        <v>1</v>
      </c>
      <c r="I4314" s="12" t="b">
        <v>1</v>
      </c>
      <c r="J4314" s="12" t="b">
        <v>0</v>
      </c>
      <c r="K4314" s="12" t="b">
        <v>0</v>
      </c>
      <c r="L4314" s="12">
        <v>394.15</v>
      </c>
      <c r="M4314" s="12">
        <v>274.57857142857142</v>
      </c>
      <c r="N4314" s="12">
        <v>3300</v>
      </c>
      <c r="O4314" s="12">
        <v>690</v>
      </c>
      <c r="P4314" s="12">
        <v>0.82</v>
      </c>
      <c r="Q4314" s="12">
        <v>0.9</v>
      </c>
      <c r="R4314" s="12">
        <v>0.8</v>
      </c>
      <c r="S4314" s="12">
        <v>0.85</v>
      </c>
      <c r="T4314" s="12">
        <v>0.75</v>
      </c>
      <c r="U4314" s="12">
        <v>0.95</v>
      </c>
      <c r="V4314" s="12">
        <v>283.14999999999998</v>
      </c>
      <c r="W4314" s="12">
        <v>12.57211345384629</v>
      </c>
      <c r="X4314" s="12">
        <v>117.3304914895599</v>
      </c>
      <c r="Y4314" s="12">
        <v>2610</v>
      </c>
      <c r="Z4314" s="12">
        <v>4.7826086956521738</v>
      </c>
      <c r="AA4314" s="12"/>
      <c r="AB4314" s="12" t="s">
        <v>276</v>
      </c>
    </row>
    <row r="4315" spans="1:28" x14ac:dyDescent="0.3">
      <c r="A4315" s="12" t="s">
        <v>6255</v>
      </c>
      <c r="B4315" s="12" t="s">
        <v>217</v>
      </c>
      <c r="C4315" s="12" t="s">
        <v>691</v>
      </c>
      <c r="D4315" s="12" t="s">
        <v>226</v>
      </c>
      <c r="E4315" s="12" t="s">
        <v>6238</v>
      </c>
      <c r="F4315" s="12" t="s">
        <v>32</v>
      </c>
      <c r="G4315" s="12" t="s">
        <v>32</v>
      </c>
      <c r="H4315" s="12" t="b">
        <v>1</v>
      </c>
      <c r="I4315" s="12" t="b">
        <v>1</v>
      </c>
      <c r="J4315" s="12" t="b">
        <v>0</v>
      </c>
      <c r="K4315" s="12" t="b">
        <v>0</v>
      </c>
      <c r="L4315" s="12">
        <v>394.15</v>
      </c>
      <c r="M4315" s="12">
        <v>277.43571428571431</v>
      </c>
      <c r="N4315" s="12">
        <v>3300</v>
      </c>
      <c r="O4315" s="12">
        <v>690</v>
      </c>
      <c r="P4315" s="12">
        <v>0.82</v>
      </c>
      <c r="Q4315" s="12">
        <v>0.9</v>
      </c>
      <c r="R4315" s="12">
        <v>0.8</v>
      </c>
      <c r="S4315" s="12">
        <v>0.85</v>
      </c>
      <c r="T4315" s="12">
        <v>0.75</v>
      </c>
      <c r="U4315" s="12">
        <v>0.95</v>
      </c>
      <c r="V4315" s="12">
        <v>283.14999999999998</v>
      </c>
      <c r="W4315" s="12">
        <v>12.699571982744381</v>
      </c>
      <c r="X4315" s="12">
        <v>117.5366393396027</v>
      </c>
      <c r="Y4315" s="12">
        <v>2610</v>
      </c>
      <c r="Z4315" s="12">
        <v>4.7826086956521738</v>
      </c>
      <c r="AA4315" s="12"/>
      <c r="AB4315" s="12" t="s">
        <v>276</v>
      </c>
    </row>
    <row r="4316" spans="1:28" x14ac:dyDescent="0.3">
      <c r="A4316" s="12" t="s">
        <v>6256</v>
      </c>
      <c r="B4316" s="12" t="s">
        <v>217</v>
      </c>
      <c r="C4316" s="12" t="s">
        <v>691</v>
      </c>
      <c r="D4316" s="12" t="s">
        <v>226</v>
      </c>
      <c r="E4316" s="12" t="s">
        <v>6238</v>
      </c>
      <c r="F4316" s="12" t="s">
        <v>32</v>
      </c>
      <c r="G4316" s="12" t="s">
        <v>32</v>
      </c>
      <c r="H4316" s="12" t="b">
        <v>1</v>
      </c>
      <c r="I4316" s="12" t="b">
        <v>1</v>
      </c>
      <c r="J4316" s="12" t="b">
        <v>0</v>
      </c>
      <c r="K4316" s="12" t="b">
        <v>0</v>
      </c>
      <c r="L4316" s="12">
        <v>394.15</v>
      </c>
      <c r="M4316" s="12">
        <v>278.8642857142857</v>
      </c>
      <c r="N4316" s="12">
        <v>3300</v>
      </c>
      <c r="O4316" s="12">
        <v>690</v>
      </c>
      <c r="P4316" s="12">
        <v>0.82</v>
      </c>
      <c r="Q4316" s="12">
        <v>0.9</v>
      </c>
      <c r="R4316" s="12">
        <v>0.8</v>
      </c>
      <c r="S4316" s="12">
        <v>0.85</v>
      </c>
      <c r="T4316" s="12">
        <v>0.75</v>
      </c>
      <c r="U4316" s="12">
        <v>0.95</v>
      </c>
      <c r="V4316" s="12">
        <v>283.14999999999998</v>
      </c>
      <c r="W4316" s="12">
        <v>12.76433110190319</v>
      </c>
      <c r="X4316" s="12">
        <v>117.6399882175908</v>
      </c>
      <c r="Y4316" s="12">
        <v>2610</v>
      </c>
      <c r="Z4316" s="12">
        <v>4.7826086956521738</v>
      </c>
      <c r="AA4316" s="12"/>
      <c r="AB4316" s="12" t="s">
        <v>276</v>
      </c>
    </row>
    <row r="4317" spans="1:28" x14ac:dyDescent="0.3">
      <c r="A4317" s="12" t="s">
        <v>6257</v>
      </c>
      <c r="B4317" s="12" t="s">
        <v>217</v>
      </c>
      <c r="C4317" s="12" t="s">
        <v>691</v>
      </c>
      <c r="D4317" s="12" t="s">
        <v>226</v>
      </c>
      <c r="E4317" s="12" t="s">
        <v>6238</v>
      </c>
      <c r="F4317" s="12" t="s">
        <v>32</v>
      </c>
      <c r="G4317" s="12" t="s">
        <v>32</v>
      </c>
      <c r="H4317" s="12" t="b">
        <v>1</v>
      </c>
      <c r="I4317" s="12" t="b">
        <v>1</v>
      </c>
      <c r="J4317" s="12" t="b">
        <v>0</v>
      </c>
      <c r="K4317" s="12" t="b">
        <v>0</v>
      </c>
      <c r="L4317" s="12">
        <v>394.15</v>
      </c>
      <c r="M4317" s="12">
        <v>276.00714285714281</v>
      </c>
      <c r="N4317" s="12">
        <v>3300</v>
      </c>
      <c r="O4317" s="12">
        <v>690</v>
      </c>
      <c r="P4317" s="12">
        <v>0.82</v>
      </c>
      <c r="Q4317" s="12">
        <v>0.9</v>
      </c>
      <c r="R4317" s="12">
        <v>0.8</v>
      </c>
      <c r="S4317" s="12">
        <v>0.85</v>
      </c>
      <c r="T4317" s="12">
        <v>0.75</v>
      </c>
      <c r="U4317" s="12">
        <v>0.95</v>
      </c>
      <c r="V4317" s="12">
        <v>283.14999999999998</v>
      </c>
      <c r="W4317" s="12">
        <v>12.63550342842294</v>
      </c>
      <c r="X4317" s="12">
        <v>117.4334751726706</v>
      </c>
      <c r="Y4317" s="12">
        <v>2610</v>
      </c>
      <c r="Z4317" s="12">
        <v>4.7826086956521738</v>
      </c>
      <c r="AA4317" s="12"/>
      <c r="AB4317" s="12" t="s">
        <v>276</v>
      </c>
    </row>
    <row r="4318" spans="1:28" x14ac:dyDescent="0.3">
      <c r="A4318" s="12" t="s">
        <v>6258</v>
      </c>
      <c r="B4318" s="12" t="s">
        <v>217</v>
      </c>
      <c r="C4318" s="12" t="s">
        <v>691</v>
      </c>
      <c r="D4318" s="12" t="s">
        <v>226</v>
      </c>
      <c r="E4318" s="12" t="s">
        <v>6238</v>
      </c>
      <c r="F4318" s="12" t="s">
        <v>32</v>
      </c>
      <c r="G4318" s="12" t="s">
        <v>32</v>
      </c>
      <c r="H4318" s="12" t="b">
        <v>1</v>
      </c>
      <c r="I4318" s="12" t="b">
        <v>1</v>
      </c>
      <c r="J4318" s="12" t="b">
        <v>0</v>
      </c>
      <c r="K4318" s="12" t="b">
        <v>0</v>
      </c>
      <c r="L4318" s="12">
        <v>394.15</v>
      </c>
      <c r="M4318" s="12">
        <v>280.29285714285709</v>
      </c>
      <c r="N4318" s="12">
        <v>3300</v>
      </c>
      <c r="O4318" s="12">
        <v>690</v>
      </c>
      <c r="P4318" s="12">
        <v>0.82</v>
      </c>
      <c r="Q4318" s="12">
        <v>0.9</v>
      </c>
      <c r="R4318" s="12">
        <v>0.8</v>
      </c>
      <c r="S4318" s="12">
        <v>0.85</v>
      </c>
      <c r="T4318" s="12">
        <v>0.75</v>
      </c>
      <c r="U4318" s="12">
        <v>0.95</v>
      </c>
      <c r="V4318" s="12">
        <v>283.14999999999998</v>
      </c>
      <c r="W4318" s="12">
        <v>12.829792607306389</v>
      </c>
      <c r="X4318" s="12">
        <v>117.74352022974431</v>
      </c>
      <c r="Y4318" s="12">
        <v>2610</v>
      </c>
      <c r="Z4318" s="12">
        <v>4.7826086956521738</v>
      </c>
      <c r="AA4318" s="12"/>
      <c r="AB4318" s="12" t="s">
        <v>276</v>
      </c>
    </row>
    <row r="4319" spans="1:28" x14ac:dyDescent="0.3">
      <c r="A4319" s="12" t="s">
        <v>6259</v>
      </c>
      <c r="B4319" s="12" t="s">
        <v>217</v>
      </c>
      <c r="C4319" s="12" t="s">
        <v>691</v>
      </c>
      <c r="D4319" s="12" t="s">
        <v>226</v>
      </c>
      <c r="E4319" s="12" t="s">
        <v>6238</v>
      </c>
      <c r="F4319" s="12" t="s">
        <v>32</v>
      </c>
      <c r="G4319" s="12" t="s">
        <v>32</v>
      </c>
      <c r="H4319" s="12" t="b">
        <v>1</v>
      </c>
      <c r="I4319" s="12" t="b">
        <v>1</v>
      </c>
      <c r="J4319" s="12" t="b">
        <v>0</v>
      </c>
      <c r="K4319" s="12" t="b">
        <v>0</v>
      </c>
      <c r="L4319" s="12">
        <v>394.15</v>
      </c>
      <c r="M4319" s="12">
        <v>281.72142857142848</v>
      </c>
      <c r="N4319" s="12">
        <v>3300</v>
      </c>
      <c r="O4319" s="12">
        <v>690</v>
      </c>
      <c r="P4319" s="12">
        <v>0.82</v>
      </c>
      <c r="Q4319" s="12">
        <v>0.9</v>
      </c>
      <c r="R4319" s="12">
        <v>0.8</v>
      </c>
      <c r="S4319" s="12">
        <v>0.85</v>
      </c>
      <c r="T4319" s="12">
        <v>0.75</v>
      </c>
      <c r="U4319" s="12">
        <v>0.95</v>
      </c>
      <c r="V4319" s="12">
        <v>283.14999999999998</v>
      </c>
      <c r="W4319" s="12">
        <v>12.895968816348651</v>
      </c>
      <c r="X4319" s="12">
        <v>117.84723580159201</v>
      </c>
      <c r="Y4319" s="12">
        <v>2610</v>
      </c>
      <c r="Z4319" s="12">
        <v>4.7826086956521738</v>
      </c>
      <c r="AA4319" s="12"/>
      <c r="AB4319" s="12" t="s">
        <v>276</v>
      </c>
    </row>
    <row r="4320" spans="1:28" x14ac:dyDescent="0.3">
      <c r="A4320" s="12" t="s">
        <v>6260</v>
      </c>
      <c r="B4320" s="12" t="s">
        <v>217</v>
      </c>
      <c r="C4320" s="12" t="s">
        <v>691</v>
      </c>
      <c r="D4320" s="12" t="s">
        <v>226</v>
      </c>
      <c r="E4320" s="12" t="s">
        <v>6238</v>
      </c>
      <c r="F4320" s="12" t="s">
        <v>32</v>
      </c>
      <c r="G4320" s="12" t="s">
        <v>32</v>
      </c>
      <c r="H4320" s="12" t="b">
        <v>1</v>
      </c>
      <c r="I4320" s="12" t="b">
        <v>1</v>
      </c>
      <c r="J4320" s="12" t="b">
        <v>0</v>
      </c>
      <c r="K4320" s="12" t="b">
        <v>0</v>
      </c>
      <c r="L4320" s="12">
        <v>394.15</v>
      </c>
      <c r="M4320" s="12">
        <v>283.14999999999998</v>
      </c>
      <c r="N4320" s="12">
        <v>3300</v>
      </c>
      <c r="O4320" s="12">
        <v>690</v>
      </c>
      <c r="P4320" s="12">
        <v>0.82</v>
      </c>
      <c r="Q4320" s="12">
        <v>0.9</v>
      </c>
      <c r="R4320" s="12">
        <v>0.8</v>
      </c>
      <c r="S4320" s="12">
        <v>0.85</v>
      </c>
      <c r="T4320" s="12">
        <v>0.75</v>
      </c>
      <c r="U4320" s="12">
        <v>0.95</v>
      </c>
      <c r="V4320" s="12">
        <v>283.14999999999998</v>
      </c>
      <c r="W4320" s="12">
        <v>12.96287238234715</v>
      </c>
      <c r="X4320" s="12">
        <v>117.9511353938987</v>
      </c>
      <c r="Y4320" s="12">
        <v>2610</v>
      </c>
      <c r="Z4320" s="12">
        <v>4.7826086956521738</v>
      </c>
      <c r="AA4320" s="12"/>
      <c r="AB4320" s="12" t="s">
        <v>276</v>
      </c>
    </row>
    <row r="4321" spans="1:28" x14ac:dyDescent="0.3">
      <c r="A4321" s="12" t="s">
        <v>6261</v>
      </c>
      <c r="B4321" s="12" t="s">
        <v>217</v>
      </c>
      <c r="C4321" s="12" t="s">
        <v>691</v>
      </c>
      <c r="D4321" s="12" t="s">
        <v>226</v>
      </c>
      <c r="E4321" s="12" t="s">
        <v>6238</v>
      </c>
      <c r="F4321" s="12" t="s">
        <v>1861</v>
      </c>
      <c r="G4321" s="12" t="s">
        <v>1861</v>
      </c>
      <c r="H4321" s="12" t="b">
        <v>1</v>
      </c>
      <c r="I4321" s="12" t="b">
        <v>0</v>
      </c>
      <c r="J4321" s="12" t="b">
        <v>0</v>
      </c>
      <c r="K4321" s="12" t="b">
        <v>0</v>
      </c>
      <c r="L4321" s="12">
        <v>394.15</v>
      </c>
      <c r="M4321" s="12">
        <v>284.57857142857142</v>
      </c>
      <c r="N4321" s="12">
        <v>3300</v>
      </c>
      <c r="O4321" s="12">
        <v>690</v>
      </c>
      <c r="P4321" s="12">
        <v>0.82</v>
      </c>
      <c r="Q4321" s="12">
        <v>0.9</v>
      </c>
      <c r="R4321" s="12">
        <v>0.8</v>
      </c>
      <c r="S4321" s="12">
        <v>0.85</v>
      </c>
      <c r="T4321" s="12">
        <v>0.75</v>
      </c>
      <c r="U4321" s="12">
        <v>0.95</v>
      </c>
      <c r="V4321" s="12">
        <v>283.14999999999998</v>
      </c>
      <c r="W4321" s="12">
        <v>13.030170485534081</v>
      </c>
      <c r="X4321" s="12">
        <v>118.05180849562819</v>
      </c>
      <c r="Y4321" s="12">
        <v>2610</v>
      </c>
      <c r="Z4321" s="12">
        <v>4.7826086956521738</v>
      </c>
      <c r="AA4321" s="12" t="s">
        <v>1268</v>
      </c>
      <c r="AB4321" s="12" t="s">
        <v>276</v>
      </c>
    </row>
    <row r="4322" spans="1:28" x14ac:dyDescent="0.3">
      <c r="A4322" s="12" t="s">
        <v>6262</v>
      </c>
      <c r="B4322" s="12" t="s">
        <v>217</v>
      </c>
      <c r="C4322" s="12" t="s">
        <v>691</v>
      </c>
      <c r="D4322" s="12" t="s">
        <v>226</v>
      </c>
      <c r="E4322" s="12" t="s">
        <v>6238</v>
      </c>
      <c r="F4322" s="12" t="s">
        <v>1861</v>
      </c>
      <c r="G4322" s="12" t="s">
        <v>1861</v>
      </c>
      <c r="H4322" s="12" t="b">
        <v>1</v>
      </c>
      <c r="I4322" s="12" t="b">
        <v>0</v>
      </c>
      <c r="J4322" s="12" t="b">
        <v>0</v>
      </c>
      <c r="K4322" s="12" t="b">
        <v>0</v>
      </c>
      <c r="L4322" s="12">
        <v>394.15</v>
      </c>
      <c r="M4322" s="12">
        <v>286.00714285714281</v>
      </c>
      <c r="N4322" s="12">
        <v>3300</v>
      </c>
      <c r="O4322" s="12">
        <v>690</v>
      </c>
      <c r="P4322" s="12">
        <v>0.82</v>
      </c>
      <c r="Q4322" s="12">
        <v>0.9</v>
      </c>
      <c r="R4322" s="12">
        <v>0.8</v>
      </c>
      <c r="S4322" s="12">
        <v>0.85</v>
      </c>
      <c r="T4322" s="12">
        <v>0.75</v>
      </c>
      <c r="U4322" s="12">
        <v>0.95</v>
      </c>
      <c r="V4322" s="12">
        <v>283.14999999999998</v>
      </c>
      <c r="W4322" s="12">
        <v>13.09510736092207</v>
      </c>
      <c r="X4322" s="12">
        <v>118.1220856650627</v>
      </c>
      <c r="Y4322" s="12">
        <v>2610</v>
      </c>
      <c r="Z4322" s="12">
        <v>4.7826086956521738</v>
      </c>
      <c r="AA4322" s="12" t="s">
        <v>1268</v>
      </c>
      <c r="AB4322" s="12" t="s">
        <v>276</v>
      </c>
    </row>
    <row r="4323" spans="1:28" x14ac:dyDescent="0.3">
      <c r="A4323" s="12" t="s">
        <v>6263</v>
      </c>
      <c r="B4323" s="12" t="s">
        <v>217</v>
      </c>
      <c r="C4323" s="12" t="s">
        <v>691</v>
      </c>
      <c r="D4323" s="12" t="s">
        <v>226</v>
      </c>
      <c r="E4323" s="12" t="s">
        <v>6238</v>
      </c>
      <c r="F4323" s="12" t="s">
        <v>1861</v>
      </c>
      <c r="G4323" s="12" t="s">
        <v>1861</v>
      </c>
      <c r="H4323" s="12" t="b">
        <v>1</v>
      </c>
      <c r="I4323" s="12" t="b">
        <v>0</v>
      </c>
      <c r="J4323" s="12" t="b">
        <v>0</v>
      </c>
      <c r="K4323" s="12" t="b">
        <v>0</v>
      </c>
      <c r="L4323" s="12">
        <v>394.15</v>
      </c>
      <c r="M4323" s="12">
        <v>287.43571428571431</v>
      </c>
      <c r="N4323" s="12">
        <v>3300</v>
      </c>
      <c r="O4323" s="12">
        <v>690</v>
      </c>
      <c r="P4323" s="12">
        <v>0.82</v>
      </c>
      <c r="Q4323" s="12">
        <v>0.9</v>
      </c>
      <c r="R4323" s="12">
        <v>0.8</v>
      </c>
      <c r="S4323" s="12">
        <v>0.85</v>
      </c>
      <c r="T4323" s="12">
        <v>0.75</v>
      </c>
      <c r="U4323" s="12">
        <v>0.95</v>
      </c>
      <c r="V4323" s="12">
        <v>283.14999999999998</v>
      </c>
      <c r="W4323" s="12">
        <v>13.15702847309799</v>
      </c>
      <c r="X4323" s="12">
        <v>118.155781060123</v>
      </c>
      <c r="Y4323" s="12">
        <v>2610</v>
      </c>
      <c r="Z4323" s="12">
        <v>4.7826086956521738</v>
      </c>
      <c r="AA4323" s="12" t="s">
        <v>1268</v>
      </c>
      <c r="AB4323" s="12" t="s">
        <v>276</v>
      </c>
    </row>
    <row r="4324" spans="1:28" x14ac:dyDescent="0.3">
      <c r="A4324" s="12" t="s">
        <v>6264</v>
      </c>
      <c r="B4324" s="12" t="s">
        <v>217</v>
      </c>
      <c r="C4324" s="12" t="s">
        <v>691</v>
      </c>
      <c r="D4324" s="12" t="s">
        <v>226</v>
      </c>
      <c r="E4324" s="12" t="s">
        <v>6238</v>
      </c>
      <c r="F4324" s="12" t="s">
        <v>1861</v>
      </c>
      <c r="G4324" s="12" t="s">
        <v>1861</v>
      </c>
      <c r="H4324" s="12" t="b">
        <v>1</v>
      </c>
      <c r="I4324" s="12" t="b">
        <v>0</v>
      </c>
      <c r="J4324" s="12" t="b">
        <v>0</v>
      </c>
      <c r="K4324" s="12" t="b">
        <v>0</v>
      </c>
      <c r="L4324" s="12">
        <v>394.15</v>
      </c>
      <c r="M4324" s="12">
        <v>288.8642857142857</v>
      </c>
      <c r="N4324" s="12">
        <v>3300</v>
      </c>
      <c r="O4324" s="12">
        <v>690</v>
      </c>
      <c r="P4324" s="12">
        <v>0.82</v>
      </c>
      <c r="Q4324" s="12">
        <v>0.9</v>
      </c>
      <c r="R4324" s="12">
        <v>0.8</v>
      </c>
      <c r="S4324" s="12">
        <v>0.85</v>
      </c>
      <c r="T4324" s="12">
        <v>0.75</v>
      </c>
      <c r="U4324" s="12">
        <v>0.95</v>
      </c>
      <c r="V4324" s="12">
        <v>283.14999999999998</v>
      </c>
      <c r="W4324" s="12">
        <v>13.215885882560549</v>
      </c>
      <c r="X4324" s="12">
        <v>118.1527277117529</v>
      </c>
      <c r="Y4324" s="12">
        <v>2610</v>
      </c>
      <c r="Z4324" s="12">
        <v>4.7826086956521738</v>
      </c>
      <c r="AA4324" s="12" t="s">
        <v>1268</v>
      </c>
      <c r="AB4324" s="12" t="s">
        <v>276</v>
      </c>
    </row>
    <row r="4325" spans="1:28" x14ac:dyDescent="0.3">
      <c r="A4325" s="12" t="s">
        <v>6265</v>
      </c>
      <c r="B4325" s="12" t="s">
        <v>217</v>
      </c>
      <c r="C4325" s="12" t="s">
        <v>691</v>
      </c>
      <c r="D4325" s="12" t="s">
        <v>226</v>
      </c>
      <c r="E4325" s="12" t="s">
        <v>6238</v>
      </c>
      <c r="F4325" s="12" t="s">
        <v>1861</v>
      </c>
      <c r="G4325" s="12" t="s">
        <v>1861</v>
      </c>
      <c r="H4325" s="12" t="b">
        <v>1</v>
      </c>
      <c r="I4325" s="12" t="b">
        <v>0</v>
      </c>
      <c r="J4325" s="12" t="b">
        <v>0</v>
      </c>
      <c r="K4325" s="12" t="b">
        <v>0</v>
      </c>
      <c r="L4325" s="12">
        <v>394.15</v>
      </c>
      <c r="M4325" s="12">
        <v>290.29285714285709</v>
      </c>
      <c r="N4325" s="12">
        <v>3300</v>
      </c>
      <c r="O4325" s="12">
        <v>690</v>
      </c>
      <c r="P4325" s="12">
        <v>0.82</v>
      </c>
      <c r="Q4325" s="12">
        <v>0.9</v>
      </c>
      <c r="R4325" s="12">
        <v>0.8</v>
      </c>
      <c r="S4325" s="12">
        <v>0.85</v>
      </c>
      <c r="T4325" s="12">
        <v>0.75</v>
      </c>
      <c r="U4325" s="12">
        <v>0.95</v>
      </c>
      <c r="V4325" s="12">
        <v>283.14999999999998</v>
      </c>
      <c r="W4325" s="12">
        <v>13.27161716519573</v>
      </c>
      <c r="X4325" s="12">
        <v>118.112631295772</v>
      </c>
      <c r="Y4325" s="12">
        <v>2610</v>
      </c>
      <c r="Z4325" s="12">
        <v>4.7826086956521738</v>
      </c>
      <c r="AA4325" s="12" t="s">
        <v>1268</v>
      </c>
      <c r="AB4325" s="12" t="s">
        <v>276</v>
      </c>
    </row>
    <row r="4326" spans="1:28" x14ac:dyDescent="0.3">
      <c r="A4326" s="12" t="s">
        <v>6266</v>
      </c>
      <c r="B4326" s="12" t="s">
        <v>217</v>
      </c>
      <c r="C4326" s="12" t="s">
        <v>691</v>
      </c>
      <c r="D4326" s="12" t="s">
        <v>226</v>
      </c>
      <c r="E4326" s="12" t="s">
        <v>6238</v>
      </c>
      <c r="F4326" s="12" t="s">
        <v>1861</v>
      </c>
      <c r="G4326" s="12" t="s">
        <v>1861</v>
      </c>
      <c r="H4326" s="12" t="b">
        <v>1</v>
      </c>
      <c r="I4326" s="12" t="b">
        <v>0</v>
      </c>
      <c r="J4326" s="12" t="b">
        <v>0</v>
      </c>
      <c r="K4326" s="12" t="b">
        <v>0</v>
      </c>
      <c r="L4326" s="12">
        <v>394.15</v>
      </c>
      <c r="M4326" s="12">
        <v>291.72142857142848</v>
      </c>
      <c r="N4326" s="12">
        <v>3300</v>
      </c>
      <c r="O4326" s="12">
        <v>690</v>
      </c>
      <c r="P4326" s="12">
        <v>0.82</v>
      </c>
      <c r="Q4326" s="12">
        <v>0.9</v>
      </c>
      <c r="R4326" s="12">
        <v>0.8</v>
      </c>
      <c r="S4326" s="12">
        <v>0.85</v>
      </c>
      <c r="T4326" s="12">
        <v>0.75</v>
      </c>
      <c r="U4326" s="12">
        <v>0.95</v>
      </c>
      <c r="V4326" s="12">
        <v>283.14999999999998</v>
      </c>
      <c r="W4326" s="12">
        <v>13.324161148915531</v>
      </c>
      <c r="X4326" s="12">
        <v>118.0352255613104</v>
      </c>
      <c r="Y4326" s="12">
        <v>2610</v>
      </c>
      <c r="Z4326" s="12">
        <v>4.7826086956521738</v>
      </c>
      <c r="AA4326" s="12" t="s">
        <v>1268</v>
      </c>
      <c r="AB4326" s="12" t="s">
        <v>276</v>
      </c>
    </row>
    <row r="4327" spans="1:28" x14ac:dyDescent="0.3">
      <c r="A4327" s="12" t="s">
        <v>6267</v>
      </c>
      <c r="B4327" s="12" t="s">
        <v>217</v>
      </c>
      <c r="C4327" s="12" t="s">
        <v>691</v>
      </c>
      <c r="D4327" s="12" t="s">
        <v>226</v>
      </c>
      <c r="E4327" s="12" t="s">
        <v>6238</v>
      </c>
      <c r="F4327" s="12" t="s">
        <v>1861</v>
      </c>
      <c r="G4327" s="12" t="s">
        <v>1861</v>
      </c>
      <c r="H4327" s="12" t="b">
        <v>1</v>
      </c>
      <c r="I4327" s="12" t="b">
        <v>0</v>
      </c>
      <c r="J4327" s="12" t="b">
        <v>0</v>
      </c>
      <c r="K4327" s="12" t="b">
        <v>0</v>
      </c>
      <c r="L4327" s="12">
        <v>394.15</v>
      </c>
      <c r="M4327" s="12">
        <v>293.14999999999998</v>
      </c>
      <c r="N4327" s="12">
        <v>3300</v>
      </c>
      <c r="O4327" s="12">
        <v>690</v>
      </c>
      <c r="P4327" s="12">
        <v>0.82</v>
      </c>
      <c r="Q4327" s="12">
        <v>0.9</v>
      </c>
      <c r="R4327" s="12">
        <v>0.8</v>
      </c>
      <c r="S4327" s="12">
        <v>0.85</v>
      </c>
      <c r="T4327" s="12">
        <v>0.75</v>
      </c>
      <c r="U4327" s="12">
        <v>0.95</v>
      </c>
      <c r="V4327" s="12">
        <v>283.14999999999998</v>
      </c>
      <c r="W4327" s="12">
        <v>13.649212066796199</v>
      </c>
      <c r="X4327" s="12">
        <v>115.44699178467999</v>
      </c>
      <c r="Y4327" s="12">
        <v>2610</v>
      </c>
      <c r="Z4327" s="12">
        <v>4.7826086956521738</v>
      </c>
      <c r="AA4327" s="12" t="s">
        <v>1268</v>
      </c>
      <c r="AB4327" s="12" t="s">
        <v>276</v>
      </c>
    </row>
    <row r="4328" spans="1:28" x14ac:dyDescent="0.3">
      <c r="A4328" s="12" t="s">
        <v>6268</v>
      </c>
      <c r="B4328" s="12" t="s">
        <v>217</v>
      </c>
      <c r="C4328" s="12" t="s">
        <v>691</v>
      </c>
      <c r="D4328" s="12" t="s">
        <v>226</v>
      </c>
      <c r="E4328" s="12" t="s">
        <v>6238</v>
      </c>
      <c r="F4328" s="12" t="s">
        <v>1861</v>
      </c>
      <c r="G4328" s="12" t="s">
        <v>1861</v>
      </c>
      <c r="H4328" s="12" t="b">
        <v>1</v>
      </c>
      <c r="I4328" s="12" t="b">
        <v>0</v>
      </c>
      <c r="J4328" s="12" t="b">
        <v>0</v>
      </c>
      <c r="K4328" s="12" t="b">
        <v>0</v>
      </c>
      <c r="L4328" s="12">
        <v>394.15</v>
      </c>
      <c r="M4328" s="12">
        <v>278.14999999999998</v>
      </c>
      <c r="N4328" s="12">
        <v>2500</v>
      </c>
      <c r="O4328" s="12">
        <v>690</v>
      </c>
      <c r="P4328" s="12">
        <v>0.82</v>
      </c>
      <c r="Q4328" s="12">
        <v>0.9</v>
      </c>
      <c r="R4328" s="12">
        <v>0.8</v>
      </c>
      <c r="S4328" s="12">
        <v>0.85</v>
      </c>
      <c r="T4328" s="12">
        <v>0.75</v>
      </c>
      <c r="U4328" s="12">
        <v>0.95</v>
      </c>
      <c r="V4328" s="12">
        <v>283.14999999999998</v>
      </c>
      <c r="W4328" s="12">
        <v>11.053305647164899</v>
      </c>
      <c r="X4328" s="12">
        <v>114.3445361195102</v>
      </c>
      <c r="Y4328" s="12">
        <v>1810</v>
      </c>
      <c r="Z4328" s="12">
        <v>3.623188405797102</v>
      </c>
      <c r="AA4328" s="12" t="s">
        <v>1268</v>
      </c>
      <c r="AB4328" s="12" t="s">
        <v>269</v>
      </c>
    </row>
    <row r="4329" spans="1:28" x14ac:dyDescent="0.3">
      <c r="A4329" s="12" t="s">
        <v>6269</v>
      </c>
      <c r="B4329" s="12" t="s">
        <v>217</v>
      </c>
      <c r="C4329" s="12" t="s">
        <v>691</v>
      </c>
      <c r="D4329" s="12" t="s">
        <v>226</v>
      </c>
      <c r="E4329" s="12" t="s">
        <v>6238</v>
      </c>
      <c r="F4329" s="12" t="s">
        <v>1861</v>
      </c>
      <c r="G4329" s="12" t="s">
        <v>1861</v>
      </c>
      <c r="H4329" s="12" t="b">
        <v>1</v>
      </c>
      <c r="I4329" s="12" t="b">
        <v>0</v>
      </c>
      <c r="J4329" s="12" t="b">
        <v>0</v>
      </c>
      <c r="K4329" s="12" t="b">
        <v>0</v>
      </c>
      <c r="L4329" s="12">
        <v>394.15</v>
      </c>
      <c r="M4329" s="12">
        <v>278.14999999999998</v>
      </c>
      <c r="N4329" s="12">
        <v>2607.1428571428569</v>
      </c>
      <c r="O4329" s="12">
        <v>690</v>
      </c>
      <c r="P4329" s="12">
        <v>0.82</v>
      </c>
      <c r="Q4329" s="12">
        <v>0.9</v>
      </c>
      <c r="R4329" s="12">
        <v>0.8</v>
      </c>
      <c r="S4329" s="12">
        <v>0.85</v>
      </c>
      <c r="T4329" s="12">
        <v>0.75</v>
      </c>
      <c r="U4329" s="12">
        <v>0.95</v>
      </c>
      <c r="V4329" s="12">
        <v>283.14999999999998</v>
      </c>
      <c r="W4329" s="12">
        <v>11.3330600317638</v>
      </c>
      <c r="X4329" s="12">
        <v>115.4240268308435</v>
      </c>
      <c r="Y4329" s="12">
        <v>1917.1428571428571</v>
      </c>
      <c r="Z4329" s="12">
        <v>3.7784679089026918</v>
      </c>
      <c r="AA4329" s="12" t="s">
        <v>1268</v>
      </c>
      <c r="AB4329" s="12" t="s">
        <v>269</v>
      </c>
    </row>
    <row r="4330" spans="1:28" x14ac:dyDescent="0.3">
      <c r="A4330" s="12" t="s">
        <v>6270</v>
      </c>
      <c r="B4330" s="12" t="s">
        <v>217</v>
      </c>
      <c r="C4330" s="12" t="s">
        <v>691</v>
      </c>
      <c r="D4330" s="12" t="s">
        <v>226</v>
      </c>
      <c r="E4330" s="12" t="s">
        <v>6238</v>
      </c>
      <c r="F4330" s="12" t="s">
        <v>1861</v>
      </c>
      <c r="G4330" s="12" t="s">
        <v>1861</v>
      </c>
      <c r="H4330" s="12" t="b">
        <v>1</v>
      </c>
      <c r="I4330" s="12" t="b">
        <v>0</v>
      </c>
      <c r="J4330" s="12" t="b">
        <v>0</v>
      </c>
      <c r="K4330" s="12" t="b">
        <v>0</v>
      </c>
      <c r="L4330" s="12">
        <v>394.15</v>
      </c>
      <c r="M4330" s="12">
        <v>278.14999999999998</v>
      </c>
      <c r="N4330" s="12">
        <v>2714.2857142857142</v>
      </c>
      <c r="O4330" s="12">
        <v>690</v>
      </c>
      <c r="P4330" s="12">
        <v>0.82</v>
      </c>
      <c r="Q4330" s="12">
        <v>0.9</v>
      </c>
      <c r="R4330" s="12">
        <v>0.8</v>
      </c>
      <c r="S4330" s="12">
        <v>0.85</v>
      </c>
      <c r="T4330" s="12">
        <v>0.75</v>
      </c>
      <c r="U4330" s="12">
        <v>0.95</v>
      </c>
      <c r="V4330" s="12">
        <v>283.14999999999998</v>
      </c>
      <c r="W4330" s="12">
        <v>11.59332997056927</v>
      </c>
      <c r="X4330" s="12">
        <v>116.2759884602476</v>
      </c>
      <c r="Y4330" s="12">
        <v>2024.285714285714</v>
      </c>
      <c r="Z4330" s="12">
        <v>3.933747412008282</v>
      </c>
      <c r="AA4330" s="12" t="s">
        <v>1268</v>
      </c>
      <c r="AB4330" s="12" t="s">
        <v>269</v>
      </c>
    </row>
    <row r="4331" spans="1:28" x14ac:dyDescent="0.3">
      <c r="A4331" s="12" t="s">
        <v>6271</v>
      </c>
      <c r="B4331" s="12" t="s">
        <v>217</v>
      </c>
      <c r="C4331" s="12" t="s">
        <v>691</v>
      </c>
      <c r="D4331" s="12" t="s">
        <v>226</v>
      </c>
      <c r="E4331" s="12" t="s">
        <v>6238</v>
      </c>
      <c r="F4331" s="12" t="s">
        <v>32</v>
      </c>
      <c r="G4331" s="12" t="s">
        <v>32</v>
      </c>
      <c r="H4331" s="12" t="b">
        <v>1</v>
      </c>
      <c r="I4331" s="12" t="b">
        <v>1</v>
      </c>
      <c r="J4331" s="12" t="b">
        <v>0</v>
      </c>
      <c r="K4331" s="12" t="b">
        <v>0</v>
      </c>
      <c r="L4331" s="12">
        <v>394.15</v>
      </c>
      <c r="M4331" s="12">
        <v>278.14999999999998</v>
      </c>
      <c r="N4331" s="12">
        <v>2821.428571428572</v>
      </c>
      <c r="O4331" s="12">
        <v>690</v>
      </c>
      <c r="P4331" s="12">
        <v>0.82</v>
      </c>
      <c r="Q4331" s="12">
        <v>0.9</v>
      </c>
      <c r="R4331" s="12">
        <v>0.8</v>
      </c>
      <c r="S4331" s="12">
        <v>0.85</v>
      </c>
      <c r="T4331" s="12">
        <v>0.75</v>
      </c>
      <c r="U4331" s="12">
        <v>0.95</v>
      </c>
      <c r="V4331" s="12">
        <v>283.14999999999998</v>
      </c>
      <c r="W4331" s="12">
        <v>11.83568349674035</v>
      </c>
      <c r="X4331" s="12">
        <v>116.9185964471383</v>
      </c>
      <c r="Y4331" s="12">
        <v>2131.428571428572</v>
      </c>
      <c r="Z4331" s="12">
        <v>4.0890269151138723</v>
      </c>
      <c r="AA4331" s="12"/>
      <c r="AB4331" s="12" t="s">
        <v>269</v>
      </c>
    </row>
    <row r="4332" spans="1:28" x14ac:dyDescent="0.3">
      <c r="A4332" s="12" t="s">
        <v>6272</v>
      </c>
      <c r="B4332" s="12" t="s">
        <v>217</v>
      </c>
      <c r="C4332" s="12" t="s">
        <v>691</v>
      </c>
      <c r="D4332" s="12" t="s">
        <v>226</v>
      </c>
      <c r="E4332" s="12" t="s">
        <v>6238</v>
      </c>
      <c r="F4332" s="12" t="s">
        <v>32</v>
      </c>
      <c r="G4332" s="12" t="s">
        <v>32</v>
      </c>
      <c r="H4332" s="12" t="b">
        <v>1</v>
      </c>
      <c r="I4332" s="12" t="b">
        <v>1</v>
      </c>
      <c r="J4332" s="12" t="b">
        <v>0</v>
      </c>
      <c r="K4332" s="12" t="b">
        <v>0</v>
      </c>
      <c r="L4332" s="12">
        <v>394.15</v>
      </c>
      <c r="M4332" s="12">
        <v>278.14999999999998</v>
      </c>
      <c r="N4332" s="12">
        <v>2928.571428571428</v>
      </c>
      <c r="O4332" s="12">
        <v>690</v>
      </c>
      <c r="P4332" s="12">
        <v>0.82</v>
      </c>
      <c r="Q4332" s="12">
        <v>0.9</v>
      </c>
      <c r="R4332" s="12">
        <v>0.8</v>
      </c>
      <c r="S4332" s="12">
        <v>0.85</v>
      </c>
      <c r="T4332" s="12">
        <v>0.75</v>
      </c>
      <c r="U4332" s="12">
        <v>0.95</v>
      </c>
      <c r="V4332" s="12">
        <v>283.14999999999998</v>
      </c>
      <c r="W4332" s="12">
        <v>12.06149842836869</v>
      </c>
      <c r="X4332" s="12">
        <v>117.3673179249962</v>
      </c>
      <c r="Y4332" s="12">
        <v>2238.571428571428</v>
      </c>
      <c r="Z4332" s="12">
        <v>4.2443064182194616</v>
      </c>
      <c r="AA4332" s="12"/>
      <c r="AB4332" s="12" t="s">
        <v>269</v>
      </c>
    </row>
    <row r="4333" spans="1:28" x14ac:dyDescent="0.3">
      <c r="A4333" s="12" t="s">
        <v>6273</v>
      </c>
      <c r="B4333" s="12" t="s">
        <v>217</v>
      </c>
      <c r="C4333" s="12" t="s">
        <v>691</v>
      </c>
      <c r="D4333" s="12" t="s">
        <v>226</v>
      </c>
      <c r="E4333" s="12" t="s">
        <v>6238</v>
      </c>
      <c r="F4333" s="12" t="s">
        <v>32</v>
      </c>
      <c r="G4333" s="12" t="s">
        <v>32</v>
      </c>
      <c r="H4333" s="12" t="b">
        <v>1</v>
      </c>
      <c r="I4333" s="12" t="b">
        <v>1</v>
      </c>
      <c r="J4333" s="12" t="b">
        <v>0</v>
      </c>
      <c r="K4333" s="12" t="b">
        <v>0</v>
      </c>
      <c r="L4333" s="12">
        <v>394.15</v>
      </c>
      <c r="M4333" s="12">
        <v>278.14999999999998</v>
      </c>
      <c r="N4333" s="12">
        <v>3035.7142857142858</v>
      </c>
      <c r="O4333" s="12">
        <v>690</v>
      </c>
      <c r="P4333" s="12">
        <v>0.82</v>
      </c>
      <c r="Q4333" s="12">
        <v>0.9</v>
      </c>
      <c r="R4333" s="12">
        <v>0.8</v>
      </c>
      <c r="S4333" s="12">
        <v>0.85</v>
      </c>
      <c r="T4333" s="12">
        <v>0.75</v>
      </c>
      <c r="U4333" s="12">
        <v>0.95</v>
      </c>
      <c r="V4333" s="12">
        <v>283.14999999999998</v>
      </c>
      <c r="W4333" s="12">
        <v>12.27197794772116</v>
      </c>
      <c r="X4333" s="12">
        <v>117.6352334089008</v>
      </c>
      <c r="Y4333" s="12">
        <v>2345.7142857142858</v>
      </c>
      <c r="Z4333" s="12">
        <v>4.3995859213250519</v>
      </c>
      <c r="AA4333" s="12"/>
      <c r="AB4333" s="12" t="s">
        <v>269</v>
      </c>
    </row>
    <row r="4334" spans="1:28" x14ac:dyDescent="0.3">
      <c r="A4334" s="12" t="s">
        <v>6274</v>
      </c>
      <c r="B4334" s="12" t="s">
        <v>217</v>
      </c>
      <c r="C4334" s="12" t="s">
        <v>691</v>
      </c>
      <c r="D4334" s="12" t="s">
        <v>226</v>
      </c>
      <c r="E4334" s="12" t="s">
        <v>6238</v>
      </c>
      <c r="F4334" s="12" t="s">
        <v>32</v>
      </c>
      <c r="G4334" s="12" t="s">
        <v>32</v>
      </c>
      <c r="H4334" s="12" t="b">
        <v>1</v>
      </c>
      <c r="I4334" s="12" t="b">
        <v>1</v>
      </c>
      <c r="J4334" s="12" t="b">
        <v>0</v>
      </c>
      <c r="K4334" s="12" t="b">
        <v>0</v>
      </c>
      <c r="L4334" s="12">
        <v>394.15</v>
      </c>
      <c r="M4334" s="12">
        <v>278.14999999999998</v>
      </c>
      <c r="N4334" s="12">
        <v>3142.8571428571431</v>
      </c>
      <c r="O4334" s="12">
        <v>690</v>
      </c>
      <c r="P4334" s="12">
        <v>0.82</v>
      </c>
      <c r="Q4334" s="12">
        <v>0.9</v>
      </c>
      <c r="R4334" s="12">
        <v>0.8</v>
      </c>
      <c r="S4334" s="12">
        <v>0.85</v>
      </c>
      <c r="T4334" s="12">
        <v>0.75</v>
      </c>
      <c r="U4334" s="12">
        <v>0.95</v>
      </c>
      <c r="V4334" s="12">
        <v>283.14999999999998</v>
      </c>
      <c r="W4334" s="12">
        <v>12.46816263017079</v>
      </c>
      <c r="X4334" s="12">
        <v>117.7332898591234</v>
      </c>
      <c r="Y4334" s="12">
        <v>2452.8571428571431</v>
      </c>
      <c r="Z4334" s="12">
        <v>4.5548654244306421</v>
      </c>
      <c r="AA4334" s="12"/>
      <c r="AB4334" s="12" t="s">
        <v>269</v>
      </c>
    </row>
    <row r="4335" spans="1:28" x14ac:dyDescent="0.3">
      <c r="A4335" s="12" t="s">
        <v>6275</v>
      </c>
      <c r="B4335" s="12" t="s">
        <v>217</v>
      </c>
      <c r="C4335" s="12" t="s">
        <v>691</v>
      </c>
      <c r="D4335" s="12" t="s">
        <v>226</v>
      </c>
      <c r="E4335" s="12" t="s">
        <v>6238</v>
      </c>
      <c r="F4335" s="12" t="s">
        <v>32</v>
      </c>
      <c r="G4335" s="12" t="s">
        <v>32</v>
      </c>
      <c r="H4335" s="12" t="b">
        <v>1</v>
      </c>
      <c r="I4335" s="12" t="b">
        <v>1</v>
      </c>
      <c r="J4335" s="12" t="b">
        <v>0</v>
      </c>
      <c r="K4335" s="12" t="b">
        <v>0</v>
      </c>
      <c r="L4335" s="12">
        <v>394.15</v>
      </c>
      <c r="M4335" s="12">
        <v>278.14999999999998</v>
      </c>
      <c r="N4335" s="12">
        <v>3250</v>
      </c>
      <c r="O4335" s="12">
        <v>690</v>
      </c>
      <c r="P4335" s="12">
        <v>0.82</v>
      </c>
      <c r="Q4335" s="12">
        <v>0.9</v>
      </c>
      <c r="R4335" s="12">
        <v>0.8</v>
      </c>
      <c r="S4335" s="12">
        <v>0.85</v>
      </c>
      <c r="T4335" s="12">
        <v>0.75</v>
      </c>
      <c r="U4335" s="12">
        <v>0.95</v>
      </c>
      <c r="V4335" s="12">
        <v>283.14999999999998</v>
      </c>
      <c r="W4335" s="12">
        <v>12.65094109088577</v>
      </c>
      <c r="X4335" s="12">
        <v>117.6705155799111</v>
      </c>
      <c r="Y4335" s="12">
        <v>2560</v>
      </c>
      <c r="Z4335" s="12">
        <v>4.7101449275362324</v>
      </c>
      <c r="AA4335" s="12"/>
      <c r="AB4335" s="12" t="s">
        <v>269</v>
      </c>
    </row>
    <row r="4336" spans="1:28" x14ac:dyDescent="0.3">
      <c r="A4336" s="12" t="s">
        <v>6276</v>
      </c>
      <c r="B4336" s="12" t="s">
        <v>217</v>
      </c>
      <c r="C4336" s="12" t="s">
        <v>691</v>
      </c>
      <c r="D4336" s="12" t="s">
        <v>226</v>
      </c>
      <c r="E4336" s="12" t="s">
        <v>6238</v>
      </c>
      <c r="F4336" s="12" t="s">
        <v>32</v>
      </c>
      <c r="G4336" s="12" t="s">
        <v>32</v>
      </c>
      <c r="H4336" s="12" t="b">
        <v>1</v>
      </c>
      <c r="I4336" s="12" t="b">
        <v>1</v>
      </c>
      <c r="J4336" s="12" t="b">
        <v>0</v>
      </c>
      <c r="K4336" s="12" t="b">
        <v>0</v>
      </c>
      <c r="L4336" s="12">
        <v>394.15</v>
      </c>
      <c r="M4336" s="12">
        <v>278.14999999999998</v>
      </c>
      <c r="N4336" s="12">
        <v>3357.1428571428569</v>
      </c>
      <c r="O4336" s="12">
        <v>690</v>
      </c>
      <c r="P4336" s="12">
        <v>0.82</v>
      </c>
      <c r="Q4336" s="12">
        <v>0.9</v>
      </c>
      <c r="R4336" s="12">
        <v>0.8</v>
      </c>
      <c r="S4336" s="12">
        <v>0.85</v>
      </c>
      <c r="T4336" s="12">
        <v>0.75</v>
      </c>
      <c r="U4336" s="12">
        <v>0.95</v>
      </c>
      <c r="V4336" s="12">
        <v>283.14999999999998</v>
      </c>
      <c r="W4336" s="12">
        <v>12.821058319728531</v>
      </c>
      <c r="X4336" s="12">
        <v>117.45419441315281</v>
      </c>
      <c r="Y4336" s="12">
        <v>2667.1428571428569</v>
      </c>
      <c r="Z4336" s="12">
        <v>4.8654244306418217</v>
      </c>
      <c r="AA4336" s="12"/>
      <c r="AB4336" s="12" t="s">
        <v>269</v>
      </c>
    </row>
    <row r="4337" spans="1:28" x14ac:dyDescent="0.3">
      <c r="A4337" s="12" t="s">
        <v>6277</v>
      </c>
      <c r="B4337" s="12" t="s">
        <v>217</v>
      </c>
      <c r="C4337" s="12" t="s">
        <v>691</v>
      </c>
      <c r="D4337" s="12" t="s">
        <v>226</v>
      </c>
      <c r="E4337" s="12" t="s">
        <v>6238</v>
      </c>
      <c r="F4337" s="12" t="s">
        <v>32</v>
      </c>
      <c r="G4337" s="12" t="s">
        <v>32</v>
      </c>
      <c r="H4337" s="12" t="b">
        <v>1</v>
      </c>
      <c r="I4337" s="12" t="b">
        <v>1</v>
      </c>
      <c r="J4337" s="12" t="b">
        <v>0</v>
      </c>
      <c r="K4337" s="12" t="b">
        <v>0</v>
      </c>
      <c r="L4337" s="12">
        <v>394.15</v>
      </c>
      <c r="M4337" s="12">
        <v>278.14999999999998</v>
      </c>
      <c r="N4337" s="12">
        <v>3892.8571428571431</v>
      </c>
      <c r="O4337" s="12">
        <v>690</v>
      </c>
      <c r="P4337" s="12">
        <v>0.82</v>
      </c>
      <c r="Q4337" s="12">
        <v>0.9</v>
      </c>
      <c r="R4337" s="12">
        <v>0.8</v>
      </c>
      <c r="S4337" s="12">
        <v>0.85</v>
      </c>
      <c r="T4337" s="12">
        <v>0.75</v>
      </c>
      <c r="U4337" s="12">
        <v>0.95</v>
      </c>
      <c r="V4337" s="12">
        <v>283.14999999999998</v>
      </c>
      <c r="W4337" s="12">
        <v>13.498787347132851</v>
      </c>
      <c r="X4337" s="12">
        <v>114.22139640681399</v>
      </c>
      <c r="Y4337" s="12">
        <v>3202.8571428571431</v>
      </c>
      <c r="Z4337" s="12">
        <v>5.6418219461697729</v>
      </c>
      <c r="AA4337" s="12"/>
      <c r="AB4337" s="12" t="s">
        <v>269</v>
      </c>
    </row>
    <row r="4338" spans="1:28" x14ac:dyDescent="0.3">
      <c r="A4338" s="12" t="s">
        <v>6278</v>
      </c>
      <c r="B4338" s="12" t="s">
        <v>217</v>
      </c>
      <c r="C4338" s="12" t="s">
        <v>691</v>
      </c>
      <c r="D4338" s="12" t="s">
        <v>226</v>
      </c>
      <c r="E4338" s="12" t="s">
        <v>6238</v>
      </c>
      <c r="F4338" s="12" t="s">
        <v>32</v>
      </c>
      <c r="G4338" s="12" t="s">
        <v>32</v>
      </c>
      <c r="H4338" s="12" t="b">
        <v>1</v>
      </c>
      <c r="I4338" s="12" t="b">
        <v>1</v>
      </c>
      <c r="J4338" s="12" t="b">
        <v>0</v>
      </c>
      <c r="K4338" s="12" t="b">
        <v>0</v>
      </c>
      <c r="L4338" s="12">
        <v>394.15</v>
      </c>
      <c r="M4338" s="12">
        <v>278.14999999999998</v>
      </c>
      <c r="N4338" s="12">
        <v>3785.7142857142858</v>
      </c>
      <c r="O4338" s="12">
        <v>690</v>
      </c>
      <c r="P4338" s="12">
        <v>0.82</v>
      </c>
      <c r="Q4338" s="12">
        <v>0.9</v>
      </c>
      <c r="R4338" s="12">
        <v>0.8</v>
      </c>
      <c r="S4338" s="12">
        <v>0.85</v>
      </c>
      <c r="T4338" s="12">
        <v>0.75</v>
      </c>
      <c r="U4338" s="12">
        <v>0.95</v>
      </c>
      <c r="V4338" s="12">
        <v>283.14999999999998</v>
      </c>
      <c r="W4338" s="12">
        <v>13.3852549291339</v>
      </c>
      <c r="X4338" s="12">
        <v>115.1467253428534</v>
      </c>
      <c r="Y4338" s="12">
        <v>3095.7142857142858</v>
      </c>
      <c r="Z4338" s="12">
        <v>5.4865424430641827</v>
      </c>
      <c r="AA4338" s="12"/>
      <c r="AB4338" s="12" t="s">
        <v>269</v>
      </c>
    </row>
    <row r="4339" spans="1:28" x14ac:dyDescent="0.3">
      <c r="A4339" s="12" t="s">
        <v>6279</v>
      </c>
      <c r="B4339" s="12" t="s">
        <v>217</v>
      </c>
      <c r="C4339" s="12" t="s">
        <v>691</v>
      </c>
      <c r="D4339" s="12" t="s">
        <v>226</v>
      </c>
      <c r="E4339" s="12" t="s">
        <v>6238</v>
      </c>
      <c r="F4339" s="12" t="s">
        <v>32</v>
      </c>
      <c r="G4339" s="12" t="s">
        <v>32</v>
      </c>
      <c r="H4339" s="12" t="b">
        <v>1</v>
      </c>
      <c r="I4339" s="12" t="b">
        <v>1</v>
      </c>
      <c r="J4339" s="12" t="b">
        <v>0</v>
      </c>
      <c r="K4339" s="12" t="b">
        <v>0</v>
      </c>
      <c r="L4339" s="12">
        <v>394.15</v>
      </c>
      <c r="M4339" s="12">
        <v>278.14999999999998</v>
      </c>
      <c r="N4339" s="12">
        <v>4000</v>
      </c>
      <c r="O4339" s="12">
        <v>690</v>
      </c>
      <c r="P4339" s="12">
        <v>0.82</v>
      </c>
      <c r="Q4339" s="12">
        <v>0.9</v>
      </c>
      <c r="R4339" s="12">
        <v>0.8</v>
      </c>
      <c r="S4339" s="12">
        <v>0.85</v>
      </c>
      <c r="T4339" s="12">
        <v>0.75</v>
      </c>
      <c r="U4339" s="12">
        <v>0.95</v>
      </c>
      <c r="V4339" s="12">
        <v>283.14999999999998</v>
      </c>
      <c r="W4339" s="12">
        <v>13.60155540212271</v>
      </c>
      <c r="X4339" s="12">
        <v>113.1576412195144</v>
      </c>
      <c r="Y4339" s="12">
        <v>3310</v>
      </c>
      <c r="Z4339" s="12">
        <v>5.7971014492753623</v>
      </c>
      <c r="AA4339" s="12"/>
      <c r="AB4339" s="12" t="s">
        <v>269</v>
      </c>
    </row>
    <row r="4340" spans="1:28" x14ac:dyDescent="0.3">
      <c r="A4340" s="12" t="s">
        <v>6280</v>
      </c>
      <c r="B4340" s="12" t="s">
        <v>217</v>
      </c>
      <c r="C4340" s="12" t="s">
        <v>691</v>
      </c>
      <c r="D4340" s="12" t="s">
        <v>226</v>
      </c>
      <c r="E4340" s="12" t="s">
        <v>6238</v>
      </c>
      <c r="F4340" s="12" t="s">
        <v>32</v>
      </c>
      <c r="G4340" s="12" t="s">
        <v>32</v>
      </c>
      <c r="H4340" s="12" t="b">
        <v>1</v>
      </c>
      <c r="I4340" s="12" t="b">
        <v>1</v>
      </c>
      <c r="J4340" s="12" t="b">
        <v>0</v>
      </c>
      <c r="K4340" s="12" t="b">
        <v>0</v>
      </c>
      <c r="L4340" s="12">
        <v>394.15</v>
      </c>
      <c r="M4340" s="12">
        <v>278.14999999999998</v>
      </c>
      <c r="N4340" s="12">
        <v>3464.2857142857142</v>
      </c>
      <c r="O4340" s="12">
        <v>690</v>
      </c>
      <c r="P4340" s="12">
        <v>0.82</v>
      </c>
      <c r="Q4340" s="12">
        <v>0.9</v>
      </c>
      <c r="R4340" s="12">
        <v>0.8</v>
      </c>
      <c r="S4340" s="12">
        <v>0.85</v>
      </c>
      <c r="T4340" s="12">
        <v>0.75</v>
      </c>
      <c r="U4340" s="12">
        <v>0.95</v>
      </c>
      <c r="V4340" s="12">
        <v>283.14999999999998</v>
      </c>
      <c r="W4340" s="12">
        <v>12.97912414602844</v>
      </c>
      <c r="X4340" s="12">
        <v>117.09002840364781</v>
      </c>
      <c r="Y4340" s="12">
        <v>2774.2857142857142</v>
      </c>
      <c r="Z4340" s="12">
        <v>5.020703933747412</v>
      </c>
      <c r="AA4340" s="12"/>
      <c r="AB4340" s="12" t="s">
        <v>269</v>
      </c>
    </row>
    <row r="4341" spans="1:28" x14ac:dyDescent="0.3">
      <c r="A4341" s="12" t="s">
        <v>6281</v>
      </c>
      <c r="B4341" s="12" t="s">
        <v>217</v>
      </c>
      <c r="C4341" s="12" t="s">
        <v>691</v>
      </c>
      <c r="D4341" s="12" t="s">
        <v>226</v>
      </c>
      <c r="E4341" s="12" t="s">
        <v>6238</v>
      </c>
      <c r="F4341" s="12" t="s">
        <v>32</v>
      </c>
      <c r="G4341" s="12" t="s">
        <v>32</v>
      </c>
      <c r="H4341" s="12" t="b">
        <v>1</v>
      </c>
      <c r="I4341" s="12" t="b">
        <v>1</v>
      </c>
      <c r="J4341" s="12" t="b">
        <v>0</v>
      </c>
      <c r="K4341" s="12" t="b">
        <v>0</v>
      </c>
      <c r="L4341" s="12">
        <v>394.15</v>
      </c>
      <c r="M4341" s="12">
        <v>278.14999999999998</v>
      </c>
      <c r="N4341" s="12">
        <v>3678.5714285714289</v>
      </c>
      <c r="O4341" s="12">
        <v>690</v>
      </c>
      <c r="P4341" s="12">
        <v>0.82</v>
      </c>
      <c r="Q4341" s="12">
        <v>0.9</v>
      </c>
      <c r="R4341" s="12">
        <v>0.8</v>
      </c>
      <c r="S4341" s="12">
        <v>0.85</v>
      </c>
      <c r="T4341" s="12">
        <v>0.75</v>
      </c>
      <c r="U4341" s="12">
        <v>0.95</v>
      </c>
      <c r="V4341" s="12">
        <v>283.14999999999998</v>
      </c>
      <c r="W4341" s="12">
        <v>13.14655072772617</v>
      </c>
      <c r="X4341" s="12">
        <v>114.84853954227771</v>
      </c>
      <c r="Y4341" s="12">
        <v>2988.5714285714289</v>
      </c>
      <c r="Z4341" s="12">
        <v>5.3312629399585916</v>
      </c>
      <c r="AA4341" s="12"/>
      <c r="AB4341" s="12" t="s">
        <v>269</v>
      </c>
    </row>
    <row r="4342" spans="1:28" x14ac:dyDescent="0.3">
      <c r="A4342" s="12" t="s">
        <v>6282</v>
      </c>
      <c r="B4342" s="12" t="s">
        <v>217</v>
      </c>
      <c r="C4342" s="12" t="s">
        <v>691</v>
      </c>
      <c r="D4342" s="12" t="s">
        <v>226</v>
      </c>
      <c r="E4342" s="12" t="s">
        <v>6238</v>
      </c>
      <c r="F4342" s="12" t="s">
        <v>32</v>
      </c>
      <c r="G4342" s="12" t="s">
        <v>32</v>
      </c>
      <c r="H4342" s="12" t="b">
        <v>1</v>
      </c>
      <c r="I4342" s="12" t="b">
        <v>1</v>
      </c>
      <c r="J4342" s="12" t="b">
        <v>0</v>
      </c>
      <c r="K4342" s="12" t="b">
        <v>0</v>
      </c>
      <c r="L4342" s="12">
        <v>394.15</v>
      </c>
      <c r="M4342" s="12">
        <v>278.14999999999998</v>
      </c>
      <c r="N4342" s="12">
        <v>3571.428571428572</v>
      </c>
      <c r="O4342" s="12">
        <v>690</v>
      </c>
      <c r="P4342" s="12">
        <v>0.82</v>
      </c>
      <c r="Q4342" s="12">
        <v>0.9</v>
      </c>
      <c r="R4342" s="12">
        <v>0.8</v>
      </c>
      <c r="S4342" s="12">
        <v>0.85</v>
      </c>
      <c r="T4342" s="12">
        <v>0.75</v>
      </c>
      <c r="U4342" s="12">
        <v>0.95</v>
      </c>
      <c r="V4342" s="12">
        <v>283.14999999999998</v>
      </c>
      <c r="W4342" s="12">
        <v>13.10002265725447</v>
      </c>
      <c r="X4342" s="12">
        <v>116.3353109112865</v>
      </c>
      <c r="Y4342" s="12">
        <v>2881.428571428572</v>
      </c>
      <c r="Z4342" s="12">
        <v>5.1759834368530031</v>
      </c>
      <c r="AA4342" s="12"/>
      <c r="AB4342" s="12" t="s">
        <v>269</v>
      </c>
    </row>
    <row r="4343" spans="1:28" x14ac:dyDescent="0.3">
      <c r="A4343" s="12" t="s">
        <v>6283</v>
      </c>
      <c r="B4343" s="12" t="s">
        <v>217</v>
      </c>
      <c r="C4343" s="12" t="s">
        <v>691</v>
      </c>
      <c r="D4343" s="12" t="s">
        <v>226</v>
      </c>
      <c r="E4343" s="12" t="s">
        <v>6238</v>
      </c>
      <c r="F4343" s="12" t="s">
        <v>1861</v>
      </c>
      <c r="G4343" s="12" t="s">
        <v>1861</v>
      </c>
      <c r="H4343" s="12" t="b">
        <v>1</v>
      </c>
      <c r="I4343" s="12" t="b">
        <v>0</v>
      </c>
      <c r="J4343" s="12" t="b">
        <v>0</v>
      </c>
      <c r="K4343" s="12" t="b">
        <v>0</v>
      </c>
      <c r="L4343" s="12">
        <v>394.15</v>
      </c>
      <c r="M4343" s="12">
        <v>278.14999999999998</v>
      </c>
      <c r="N4343" s="12">
        <v>3300</v>
      </c>
      <c r="O4343" s="12">
        <v>500</v>
      </c>
      <c r="P4343" s="12">
        <v>0.82</v>
      </c>
      <c r="Q4343" s="12">
        <v>0.9</v>
      </c>
      <c r="R4343" s="12">
        <v>0.8</v>
      </c>
      <c r="S4343" s="12">
        <v>0.85</v>
      </c>
      <c r="T4343" s="12">
        <v>0.75</v>
      </c>
      <c r="U4343" s="12">
        <v>0.95</v>
      </c>
      <c r="V4343" s="12">
        <v>283.14999999999998</v>
      </c>
      <c r="W4343" s="12">
        <v>15.0409968815438</v>
      </c>
      <c r="X4343" s="12">
        <v>138.98269187454429</v>
      </c>
      <c r="Y4343" s="12">
        <v>2800</v>
      </c>
      <c r="Z4343" s="12">
        <v>6.6</v>
      </c>
      <c r="AA4343" s="12" t="s">
        <v>1268</v>
      </c>
      <c r="AB4343" s="12" t="s">
        <v>271</v>
      </c>
    </row>
    <row r="4344" spans="1:28" x14ac:dyDescent="0.3">
      <c r="A4344" s="12" t="s">
        <v>6284</v>
      </c>
      <c r="B4344" s="12" t="s">
        <v>217</v>
      </c>
      <c r="C4344" s="12" t="s">
        <v>691</v>
      </c>
      <c r="D4344" s="12" t="s">
        <v>226</v>
      </c>
      <c r="E4344" s="12" t="s">
        <v>6238</v>
      </c>
      <c r="F4344" s="12" t="s">
        <v>1861</v>
      </c>
      <c r="G4344" s="12" t="s">
        <v>1861</v>
      </c>
      <c r="H4344" s="12" t="b">
        <v>1</v>
      </c>
      <c r="I4344" s="12" t="b">
        <v>0</v>
      </c>
      <c r="J4344" s="12" t="b">
        <v>0</v>
      </c>
      <c r="K4344" s="12" t="b">
        <v>0</v>
      </c>
      <c r="L4344" s="12">
        <v>394.15</v>
      </c>
      <c r="M4344" s="12">
        <v>278.14999999999998</v>
      </c>
      <c r="N4344" s="12">
        <v>3300</v>
      </c>
      <c r="O4344" s="12">
        <v>650</v>
      </c>
      <c r="P4344" s="12">
        <v>0.82</v>
      </c>
      <c r="Q4344" s="12">
        <v>0.9</v>
      </c>
      <c r="R4344" s="12">
        <v>0.8</v>
      </c>
      <c r="S4344" s="12">
        <v>0.85</v>
      </c>
      <c r="T4344" s="12">
        <v>0.75</v>
      </c>
      <c r="U4344" s="12">
        <v>0.95</v>
      </c>
      <c r="V4344" s="12">
        <v>283.14999999999998</v>
      </c>
      <c r="W4344" s="12">
        <v>13.170444446252681</v>
      </c>
      <c r="X4344" s="12">
        <v>121.6520866887988</v>
      </c>
      <c r="Y4344" s="12">
        <v>2650</v>
      </c>
      <c r="Z4344" s="12">
        <v>5.0769230769230766</v>
      </c>
      <c r="AA4344" s="12" t="s">
        <v>1268</v>
      </c>
      <c r="AB4344" s="12" t="s">
        <v>271</v>
      </c>
    </row>
    <row r="4345" spans="1:28" x14ac:dyDescent="0.3">
      <c r="A4345" s="12" t="s">
        <v>6285</v>
      </c>
      <c r="B4345" s="12" t="s">
        <v>217</v>
      </c>
      <c r="C4345" s="12" t="s">
        <v>691</v>
      </c>
      <c r="D4345" s="12" t="s">
        <v>226</v>
      </c>
      <c r="E4345" s="12" t="s">
        <v>6238</v>
      </c>
      <c r="F4345" s="12" t="s">
        <v>1861</v>
      </c>
      <c r="G4345" s="12" t="s">
        <v>1861</v>
      </c>
      <c r="H4345" s="12" t="b">
        <v>1</v>
      </c>
      <c r="I4345" s="12" t="b">
        <v>0</v>
      </c>
      <c r="J4345" s="12" t="b">
        <v>0</v>
      </c>
      <c r="K4345" s="12" t="b">
        <v>0</v>
      </c>
      <c r="L4345" s="12">
        <v>394.15</v>
      </c>
      <c r="M4345" s="12">
        <v>278.14999999999998</v>
      </c>
      <c r="N4345" s="12">
        <v>3300</v>
      </c>
      <c r="O4345" s="12">
        <v>550</v>
      </c>
      <c r="P4345" s="12">
        <v>0.82</v>
      </c>
      <c r="Q4345" s="12">
        <v>0.9</v>
      </c>
      <c r="R4345" s="12">
        <v>0.8</v>
      </c>
      <c r="S4345" s="12">
        <v>0.85</v>
      </c>
      <c r="T4345" s="12">
        <v>0.75</v>
      </c>
      <c r="U4345" s="12">
        <v>0.95</v>
      </c>
      <c r="V4345" s="12">
        <v>283.14999999999998</v>
      </c>
      <c r="W4345" s="12">
        <v>14.377204281446151</v>
      </c>
      <c r="X4345" s="12">
        <v>132.83801361563039</v>
      </c>
      <c r="Y4345" s="12">
        <v>2750</v>
      </c>
      <c r="Z4345" s="12">
        <v>6</v>
      </c>
      <c r="AA4345" s="12" t="s">
        <v>1268</v>
      </c>
      <c r="AB4345" s="12" t="s">
        <v>271</v>
      </c>
    </row>
    <row r="4346" spans="1:28" x14ac:dyDescent="0.3">
      <c r="A4346" s="12" t="s">
        <v>6286</v>
      </c>
      <c r="B4346" s="12" t="s">
        <v>217</v>
      </c>
      <c r="C4346" s="12" t="s">
        <v>691</v>
      </c>
      <c r="D4346" s="12" t="s">
        <v>226</v>
      </c>
      <c r="E4346" s="12" t="s">
        <v>6238</v>
      </c>
      <c r="F4346" s="12" t="s">
        <v>32</v>
      </c>
      <c r="G4346" s="12" t="s">
        <v>32</v>
      </c>
      <c r="H4346" s="12" t="b">
        <v>1</v>
      </c>
      <c r="I4346" s="12" t="b">
        <v>1</v>
      </c>
      <c r="J4346" s="12" t="b">
        <v>0</v>
      </c>
      <c r="K4346" s="12" t="b">
        <v>0</v>
      </c>
      <c r="L4346" s="12">
        <v>394.15</v>
      </c>
      <c r="M4346" s="12">
        <v>278.14999999999998</v>
      </c>
      <c r="N4346" s="12">
        <v>3300</v>
      </c>
      <c r="O4346" s="12">
        <v>750</v>
      </c>
      <c r="P4346" s="12">
        <v>0.82</v>
      </c>
      <c r="Q4346" s="12">
        <v>0.9</v>
      </c>
      <c r="R4346" s="12">
        <v>0.8</v>
      </c>
      <c r="S4346" s="12">
        <v>0.85</v>
      </c>
      <c r="T4346" s="12">
        <v>0.75</v>
      </c>
      <c r="U4346" s="12">
        <v>0.95</v>
      </c>
      <c r="V4346" s="12">
        <v>283.14999999999998</v>
      </c>
      <c r="W4346" s="12">
        <v>12.11344297884353</v>
      </c>
      <c r="X4346" s="12">
        <v>111.8598823594628</v>
      </c>
      <c r="Y4346" s="12">
        <v>2550</v>
      </c>
      <c r="Z4346" s="12">
        <v>4.4000000000000004</v>
      </c>
      <c r="AA4346" s="12"/>
      <c r="AB4346" s="12" t="s">
        <v>271</v>
      </c>
    </row>
    <row r="4347" spans="1:28" x14ac:dyDescent="0.3">
      <c r="A4347" s="12" t="s">
        <v>6287</v>
      </c>
      <c r="B4347" s="12" t="s">
        <v>217</v>
      </c>
      <c r="C4347" s="12" t="s">
        <v>691</v>
      </c>
      <c r="D4347" s="12" t="s">
        <v>226</v>
      </c>
      <c r="E4347" s="12" t="s">
        <v>6238</v>
      </c>
      <c r="F4347" s="12" t="s">
        <v>32</v>
      </c>
      <c r="G4347" s="12" t="s">
        <v>32</v>
      </c>
      <c r="H4347" s="12" t="b">
        <v>1</v>
      </c>
      <c r="I4347" s="12" t="b">
        <v>1</v>
      </c>
      <c r="J4347" s="12" t="b">
        <v>0</v>
      </c>
      <c r="K4347" s="12" t="b">
        <v>0</v>
      </c>
      <c r="L4347" s="12">
        <v>394.15</v>
      </c>
      <c r="M4347" s="12">
        <v>278.14999999999998</v>
      </c>
      <c r="N4347" s="12">
        <v>3300</v>
      </c>
      <c r="O4347" s="12">
        <v>800</v>
      </c>
      <c r="P4347" s="12">
        <v>0.82</v>
      </c>
      <c r="Q4347" s="12">
        <v>0.9</v>
      </c>
      <c r="R4347" s="12">
        <v>0.8</v>
      </c>
      <c r="S4347" s="12">
        <v>0.85</v>
      </c>
      <c r="T4347" s="12">
        <v>0.75</v>
      </c>
      <c r="U4347" s="12">
        <v>0.95</v>
      </c>
      <c r="V4347" s="12">
        <v>283.14999999999998</v>
      </c>
      <c r="W4347" s="12">
        <v>11.62985863251361</v>
      </c>
      <c r="X4347" s="12">
        <v>107.3818843882582</v>
      </c>
      <c r="Y4347" s="12">
        <v>2500</v>
      </c>
      <c r="Z4347" s="12">
        <v>4.125</v>
      </c>
      <c r="AA4347" s="12"/>
      <c r="AB4347" s="12" t="s">
        <v>271</v>
      </c>
    </row>
    <row r="4348" spans="1:28" x14ac:dyDescent="0.3">
      <c r="A4348" s="12" t="s">
        <v>6288</v>
      </c>
      <c r="B4348" s="12" t="s">
        <v>217</v>
      </c>
      <c r="C4348" s="12" t="s">
        <v>691</v>
      </c>
      <c r="D4348" s="12" t="s">
        <v>226</v>
      </c>
      <c r="E4348" s="12" t="s">
        <v>6238</v>
      </c>
      <c r="F4348" s="12" t="s">
        <v>1861</v>
      </c>
      <c r="G4348" s="12" t="s">
        <v>1861</v>
      </c>
      <c r="H4348" s="12" t="b">
        <v>1</v>
      </c>
      <c r="I4348" s="12" t="b">
        <v>0</v>
      </c>
      <c r="J4348" s="12" t="b">
        <v>0</v>
      </c>
      <c r="K4348" s="12" t="b">
        <v>0</v>
      </c>
      <c r="L4348" s="12">
        <v>394.15</v>
      </c>
      <c r="M4348" s="12">
        <v>278.14999999999998</v>
      </c>
      <c r="N4348" s="12">
        <v>3300</v>
      </c>
      <c r="O4348" s="12">
        <v>600</v>
      </c>
      <c r="P4348" s="12">
        <v>0.82</v>
      </c>
      <c r="Q4348" s="12">
        <v>0.9</v>
      </c>
      <c r="R4348" s="12">
        <v>0.8</v>
      </c>
      <c r="S4348" s="12">
        <v>0.85</v>
      </c>
      <c r="T4348" s="12">
        <v>0.75</v>
      </c>
      <c r="U4348" s="12">
        <v>0.95</v>
      </c>
      <c r="V4348" s="12">
        <v>283.14999999999998</v>
      </c>
      <c r="W4348" s="12">
        <v>13.75268677295411</v>
      </c>
      <c r="X4348" s="12">
        <v>127.0486533418041</v>
      </c>
      <c r="Y4348" s="12">
        <v>2700</v>
      </c>
      <c r="Z4348" s="12">
        <v>5.5</v>
      </c>
      <c r="AA4348" s="12" t="s">
        <v>1268</v>
      </c>
      <c r="AB4348" s="12" t="s">
        <v>271</v>
      </c>
    </row>
    <row r="4349" spans="1:28" x14ac:dyDescent="0.3">
      <c r="A4349" s="12" t="s">
        <v>6289</v>
      </c>
      <c r="B4349" s="12" t="s">
        <v>217</v>
      </c>
      <c r="C4349" s="12" t="s">
        <v>691</v>
      </c>
      <c r="D4349" s="12" t="s">
        <v>226</v>
      </c>
      <c r="E4349" s="12" t="s">
        <v>6238</v>
      </c>
      <c r="F4349" s="12" t="s">
        <v>32</v>
      </c>
      <c r="G4349" s="12" t="s">
        <v>32</v>
      </c>
      <c r="H4349" s="12" t="b">
        <v>1</v>
      </c>
      <c r="I4349" s="12" t="b">
        <v>1</v>
      </c>
      <c r="J4349" s="12" t="b">
        <v>0</v>
      </c>
      <c r="K4349" s="12" t="b">
        <v>0</v>
      </c>
      <c r="L4349" s="12">
        <v>394.15</v>
      </c>
      <c r="M4349" s="12">
        <v>278.14999999999998</v>
      </c>
      <c r="N4349" s="12">
        <v>3300</v>
      </c>
      <c r="O4349" s="12">
        <v>700</v>
      </c>
      <c r="P4349" s="12">
        <v>0.82</v>
      </c>
      <c r="Q4349" s="12">
        <v>0.9</v>
      </c>
      <c r="R4349" s="12">
        <v>0.8</v>
      </c>
      <c r="S4349" s="12">
        <v>0.85</v>
      </c>
      <c r="T4349" s="12">
        <v>0.75</v>
      </c>
      <c r="U4349" s="12">
        <v>0.95</v>
      </c>
      <c r="V4349" s="12">
        <v>283.14999999999998</v>
      </c>
      <c r="W4349" s="12">
        <v>12.581314446066379</v>
      </c>
      <c r="X4349" s="12">
        <v>116.160036609947</v>
      </c>
      <c r="Y4349" s="12">
        <v>2600</v>
      </c>
      <c r="Z4349" s="12">
        <v>4.7142857142857144</v>
      </c>
      <c r="AA4349" s="12"/>
      <c r="AB4349" s="12" t="s">
        <v>271</v>
      </c>
    </row>
    <row r="4350" spans="1:28" x14ac:dyDescent="0.3">
      <c r="A4350" s="12" t="s">
        <v>6290</v>
      </c>
      <c r="B4350" s="12" t="s">
        <v>217</v>
      </c>
      <c r="C4350" s="12" t="s">
        <v>691</v>
      </c>
      <c r="D4350" s="12" t="s">
        <v>226</v>
      </c>
      <c r="E4350" s="12" t="s">
        <v>6238</v>
      </c>
      <c r="F4350" s="12" t="s">
        <v>32</v>
      </c>
      <c r="G4350" s="12" t="s">
        <v>32</v>
      </c>
      <c r="H4350" s="12" t="b">
        <v>1</v>
      </c>
      <c r="I4350" s="12" t="b">
        <v>1</v>
      </c>
      <c r="J4350" s="12" t="b">
        <v>0</v>
      </c>
      <c r="K4350" s="12" t="b">
        <v>0</v>
      </c>
      <c r="L4350" s="12">
        <v>394.15</v>
      </c>
      <c r="M4350" s="12">
        <v>278.14999999999998</v>
      </c>
      <c r="N4350" s="12">
        <v>3300</v>
      </c>
      <c r="O4350" s="12">
        <v>850</v>
      </c>
      <c r="P4350" s="12">
        <v>0.82</v>
      </c>
      <c r="Q4350" s="12">
        <v>0.9</v>
      </c>
      <c r="R4350" s="12">
        <v>0.8</v>
      </c>
      <c r="S4350" s="12">
        <v>0.85</v>
      </c>
      <c r="T4350" s="12">
        <v>0.75</v>
      </c>
      <c r="U4350" s="12">
        <v>0.95</v>
      </c>
      <c r="V4350" s="12">
        <v>283.14999999999998</v>
      </c>
      <c r="W4350" s="12">
        <v>11.17164861327897</v>
      </c>
      <c r="X4350" s="12">
        <v>103.139987552983</v>
      </c>
      <c r="Y4350" s="12">
        <v>2450</v>
      </c>
      <c r="Z4350" s="12">
        <v>3.882352941176471</v>
      </c>
      <c r="AA4350" s="12"/>
      <c r="AB4350" s="12" t="s">
        <v>271</v>
      </c>
    </row>
    <row r="4351" spans="1:28" x14ac:dyDescent="0.3">
      <c r="A4351" s="12" t="s">
        <v>6291</v>
      </c>
      <c r="B4351" s="12" t="s">
        <v>217</v>
      </c>
      <c r="C4351" s="12" t="s">
        <v>691</v>
      </c>
      <c r="D4351" s="12" t="s">
        <v>226</v>
      </c>
      <c r="E4351" s="12" t="s">
        <v>6238</v>
      </c>
      <c r="F4351" s="12" t="s">
        <v>32</v>
      </c>
      <c r="G4351" s="12" t="s">
        <v>32</v>
      </c>
      <c r="H4351" s="12" t="b">
        <v>1</v>
      </c>
      <c r="I4351" s="12" t="b">
        <v>1</v>
      </c>
      <c r="J4351" s="12" t="b">
        <v>0</v>
      </c>
      <c r="K4351" s="12" t="b">
        <v>0</v>
      </c>
      <c r="L4351" s="12">
        <v>394.15</v>
      </c>
      <c r="M4351" s="12">
        <v>278.14999999999998</v>
      </c>
      <c r="N4351" s="12">
        <v>3300</v>
      </c>
      <c r="O4351" s="12">
        <v>900</v>
      </c>
      <c r="P4351" s="12">
        <v>0.82</v>
      </c>
      <c r="Q4351" s="12">
        <v>0.9</v>
      </c>
      <c r="R4351" s="12">
        <v>0.8</v>
      </c>
      <c r="S4351" s="12">
        <v>0.85</v>
      </c>
      <c r="T4351" s="12">
        <v>0.75</v>
      </c>
      <c r="U4351" s="12">
        <v>0.95</v>
      </c>
      <c r="V4351" s="12">
        <v>283.14999999999998</v>
      </c>
      <c r="W4351" s="12">
        <v>10.73610439817951</v>
      </c>
      <c r="X4351" s="12">
        <v>99.108930253546177</v>
      </c>
      <c r="Y4351" s="12">
        <v>2400</v>
      </c>
      <c r="Z4351" s="12">
        <v>3.666666666666667</v>
      </c>
      <c r="AA4351" s="12"/>
      <c r="AB4351" s="12" t="s">
        <v>271</v>
      </c>
    </row>
    <row r="4352" spans="1:28" x14ac:dyDescent="0.3">
      <c r="A4352" s="12" t="s">
        <v>6292</v>
      </c>
      <c r="B4352" s="12" t="s">
        <v>217</v>
      </c>
      <c r="C4352" s="12" t="s">
        <v>691</v>
      </c>
      <c r="D4352" s="12" t="s">
        <v>226</v>
      </c>
      <c r="E4352" s="12" t="s">
        <v>6238</v>
      </c>
      <c r="F4352" s="12" t="s">
        <v>32</v>
      </c>
      <c r="G4352" s="12" t="s">
        <v>32</v>
      </c>
      <c r="H4352" s="12" t="b">
        <v>1</v>
      </c>
      <c r="I4352" s="12" t="b">
        <v>1</v>
      </c>
      <c r="J4352" s="12" t="b">
        <v>0</v>
      </c>
      <c r="K4352" s="12" t="b">
        <v>0</v>
      </c>
      <c r="L4352" s="12">
        <v>394.15</v>
      </c>
      <c r="M4352" s="12">
        <v>278.14999999999998</v>
      </c>
      <c r="N4352" s="12">
        <v>3300</v>
      </c>
      <c r="O4352" s="12">
        <v>950</v>
      </c>
      <c r="P4352" s="12">
        <v>0.82</v>
      </c>
      <c r="Q4352" s="12">
        <v>0.9</v>
      </c>
      <c r="R4352" s="12">
        <v>0.8</v>
      </c>
      <c r="S4352" s="12">
        <v>0.85</v>
      </c>
      <c r="T4352" s="12">
        <v>0.75</v>
      </c>
      <c r="U4352" s="12">
        <v>0.95</v>
      </c>
      <c r="V4352" s="12">
        <v>283.14999999999998</v>
      </c>
      <c r="W4352" s="12">
        <v>10.32094550926344</v>
      </c>
      <c r="X4352" s="12">
        <v>95.267447676826123</v>
      </c>
      <c r="Y4352" s="12">
        <v>2350</v>
      </c>
      <c r="Z4352" s="12">
        <v>3.4736842105263159</v>
      </c>
      <c r="AA4352" s="12"/>
      <c r="AB4352" s="12" t="s">
        <v>271</v>
      </c>
    </row>
    <row r="4353" spans="1:28" x14ac:dyDescent="0.3">
      <c r="A4353" s="12" t="s">
        <v>6293</v>
      </c>
      <c r="B4353" s="12" t="s">
        <v>217</v>
      </c>
      <c r="C4353" s="12" t="s">
        <v>691</v>
      </c>
      <c r="D4353" s="12" t="s">
        <v>226</v>
      </c>
      <c r="E4353" s="12" t="s">
        <v>6238</v>
      </c>
      <c r="F4353" s="12" t="s">
        <v>32</v>
      </c>
      <c r="G4353" s="12" t="s">
        <v>32</v>
      </c>
      <c r="H4353" s="12" t="b">
        <v>1</v>
      </c>
      <c r="I4353" s="12" t="b">
        <v>1</v>
      </c>
      <c r="J4353" s="12" t="b">
        <v>0</v>
      </c>
      <c r="K4353" s="12" t="b">
        <v>0</v>
      </c>
      <c r="L4353" s="12">
        <v>394.15</v>
      </c>
      <c r="M4353" s="12">
        <v>278.14999999999998</v>
      </c>
      <c r="N4353" s="12">
        <v>3300</v>
      </c>
      <c r="O4353" s="12">
        <v>1000</v>
      </c>
      <c r="P4353" s="12">
        <v>0.82</v>
      </c>
      <c r="Q4353" s="12">
        <v>0.9</v>
      </c>
      <c r="R4353" s="12">
        <v>0.8</v>
      </c>
      <c r="S4353" s="12">
        <v>0.85</v>
      </c>
      <c r="T4353" s="12">
        <v>0.75</v>
      </c>
      <c r="U4353" s="12">
        <v>0.95</v>
      </c>
      <c r="V4353" s="12">
        <v>283.14999999999998</v>
      </c>
      <c r="W4353" s="12">
        <v>9.9242331125012608</v>
      </c>
      <c r="X4353" s="12">
        <v>91.59746440326164</v>
      </c>
      <c r="Y4353" s="12">
        <v>2300</v>
      </c>
      <c r="Z4353" s="12">
        <v>3.3</v>
      </c>
      <c r="AA4353" s="12"/>
      <c r="AB4353" s="12" t="s">
        <v>271</v>
      </c>
    </row>
    <row r="4354" spans="1:28" x14ac:dyDescent="0.3">
      <c r="A4354" s="12" t="s">
        <v>6294</v>
      </c>
      <c r="B4354" s="12" t="s">
        <v>217</v>
      </c>
      <c r="C4354" s="12" t="s">
        <v>691</v>
      </c>
      <c r="D4354" s="12" t="s">
        <v>226</v>
      </c>
      <c r="E4354" s="12" t="s">
        <v>6238</v>
      </c>
      <c r="F4354" s="12" t="s">
        <v>32</v>
      </c>
      <c r="G4354" s="12" t="s">
        <v>32</v>
      </c>
      <c r="H4354" s="12" t="b">
        <v>1</v>
      </c>
      <c r="I4354" s="12" t="b">
        <v>1</v>
      </c>
      <c r="J4354" s="12" t="b">
        <v>0</v>
      </c>
      <c r="K4354" s="12" t="b">
        <v>0</v>
      </c>
      <c r="L4354" s="12">
        <v>394.15</v>
      </c>
      <c r="M4354" s="12">
        <v>278.14999999999998</v>
      </c>
      <c r="N4354" s="12">
        <v>3300</v>
      </c>
      <c r="O4354" s="12">
        <v>1050</v>
      </c>
      <c r="P4354" s="12">
        <v>0.82</v>
      </c>
      <c r="Q4354" s="12">
        <v>0.9</v>
      </c>
      <c r="R4354" s="12">
        <v>0.8</v>
      </c>
      <c r="S4354" s="12">
        <v>0.85</v>
      </c>
      <c r="T4354" s="12">
        <v>0.75</v>
      </c>
      <c r="U4354" s="12">
        <v>0.95</v>
      </c>
      <c r="V4354" s="12">
        <v>283.14999999999998</v>
      </c>
      <c r="W4354" s="12">
        <v>9.5443037793294891</v>
      </c>
      <c r="X4354" s="12">
        <v>88.083475605773302</v>
      </c>
      <c r="Y4354" s="12">
        <v>2250</v>
      </c>
      <c r="Z4354" s="12">
        <v>3.1428571428571428</v>
      </c>
      <c r="AA4354" s="12"/>
      <c r="AB4354" s="12" t="s">
        <v>271</v>
      </c>
    </row>
    <row r="4355" spans="1:28" x14ac:dyDescent="0.3">
      <c r="A4355" s="12" t="s">
        <v>6295</v>
      </c>
      <c r="B4355" s="12" t="s">
        <v>217</v>
      </c>
      <c r="C4355" s="12" t="s">
        <v>691</v>
      </c>
      <c r="D4355" s="12" t="s">
        <v>226</v>
      </c>
      <c r="E4355" s="12" t="s">
        <v>6238</v>
      </c>
      <c r="F4355" s="12" t="s">
        <v>32</v>
      </c>
      <c r="G4355" s="12" t="s">
        <v>32</v>
      </c>
      <c r="H4355" s="12" t="b">
        <v>1</v>
      </c>
      <c r="I4355" s="12" t="b">
        <v>1</v>
      </c>
      <c r="J4355" s="12" t="b">
        <v>0</v>
      </c>
      <c r="K4355" s="12" t="b">
        <v>0</v>
      </c>
      <c r="L4355" s="12">
        <v>394.15</v>
      </c>
      <c r="M4355" s="12">
        <v>278.14999999999998</v>
      </c>
      <c r="N4355" s="12">
        <v>3300</v>
      </c>
      <c r="O4355" s="12">
        <v>1100</v>
      </c>
      <c r="P4355" s="12">
        <v>0.82</v>
      </c>
      <c r="Q4355" s="12">
        <v>0.9</v>
      </c>
      <c r="R4355" s="12">
        <v>0.8</v>
      </c>
      <c r="S4355" s="12">
        <v>0.85</v>
      </c>
      <c r="T4355" s="12">
        <v>0.75</v>
      </c>
      <c r="U4355" s="12">
        <v>0.95</v>
      </c>
      <c r="V4355" s="12">
        <v>283.14999999999998</v>
      </c>
      <c r="W4355" s="12">
        <v>9.1797192138850399</v>
      </c>
      <c r="X4355" s="12">
        <v>84.712077428929803</v>
      </c>
      <c r="Y4355" s="12">
        <v>2200</v>
      </c>
      <c r="Z4355" s="12">
        <v>3</v>
      </c>
      <c r="AA4355" s="12"/>
      <c r="AB4355" s="12" t="s">
        <v>271</v>
      </c>
    </row>
    <row r="4356" spans="1:28" x14ac:dyDescent="0.3">
      <c r="A4356" s="12" t="s">
        <v>6296</v>
      </c>
      <c r="B4356" s="12" t="s">
        <v>217</v>
      </c>
      <c r="C4356" s="12" t="s">
        <v>691</v>
      </c>
      <c r="D4356" s="12" t="s">
        <v>226</v>
      </c>
      <c r="E4356" s="12" t="s">
        <v>6238</v>
      </c>
      <c r="F4356" s="12" t="s">
        <v>832</v>
      </c>
      <c r="G4356" s="12" t="s">
        <v>832</v>
      </c>
      <c r="H4356" s="12" t="b">
        <v>0</v>
      </c>
      <c r="I4356" s="12" t="b">
        <v>0</v>
      </c>
      <c r="J4356" s="12" t="b">
        <v>0</v>
      </c>
      <c r="K4356" s="12" t="b">
        <v>0</v>
      </c>
      <c r="L4356" s="12">
        <v>394.15</v>
      </c>
      <c r="M4356" s="12">
        <v>278.14999999999998</v>
      </c>
      <c r="N4356" s="12">
        <v>3300</v>
      </c>
      <c r="O4356" s="12">
        <v>690</v>
      </c>
      <c r="P4356" s="12">
        <v>0.625</v>
      </c>
      <c r="Q4356" s="12">
        <v>0.9</v>
      </c>
      <c r="R4356" s="12">
        <v>0.8</v>
      </c>
      <c r="S4356" s="12">
        <v>0.85</v>
      </c>
      <c r="T4356" s="12">
        <v>0.75</v>
      </c>
      <c r="U4356" s="12">
        <v>0.95</v>
      </c>
      <c r="V4356" s="12">
        <v>283.14999999999998</v>
      </c>
      <c r="W4356" s="12"/>
      <c r="X4356" s="12"/>
      <c r="Y4356" s="12">
        <v>2610</v>
      </c>
      <c r="Z4356" s="12">
        <v>4.7826086956521738</v>
      </c>
      <c r="AA4356" s="12"/>
      <c r="AB4356" s="12" t="s">
        <v>272</v>
      </c>
    </row>
    <row r="4357" spans="1:28" x14ac:dyDescent="0.3">
      <c r="A4357" s="12" t="s">
        <v>6297</v>
      </c>
      <c r="B4357" s="12" t="s">
        <v>217</v>
      </c>
      <c r="C4357" s="12" t="s">
        <v>691</v>
      </c>
      <c r="D4357" s="12" t="s">
        <v>226</v>
      </c>
      <c r="E4357" s="12" t="s">
        <v>6238</v>
      </c>
      <c r="F4357" s="12" t="s">
        <v>32</v>
      </c>
      <c r="G4357" s="12" t="s">
        <v>32</v>
      </c>
      <c r="H4357" s="12" t="b">
        <v>1</v>
      </c>
      <c r="I4357" s="12" t="b">
        <v>1</v>
      </c>
      <c r="J4357" s="12" t="b">
        <v>0</v>
      </c>
      <c r="K4357" s="12" t="b">
        <v>0</v>
      </c>
      <c r="L4357" s="12">
        <v>394.15</v>
      </c>
      <c r="M4357" s="12">
        <v>278.14999999999998</v>
      </c>
      <c r="N4357" s="12">
        <v>3300</v>
      </c>
      <c r="O4357" s="12">
        <v>1150</v>
      </c>
      <c r="P4357" s="12">
        <v>0.82</v>
      </c>
      <c r="Q4357" s="12">
        <v>0.9</v>
      </c>
      <c r="R4357" s="12">
        <v>0.8</v>
      </c>
      <c r="S4357" s="12">
        <v>0.85</v>
      </c>
      <c r="T4357" s="12">
        <v>0.75</v>
      </c>
      <c r="U4357" s="12">
        <v>0.95</v>
      </c>
      <c r="V4357" s="12">
        <v>283.14999999999998</v>
      </c>
      <c r="W4357" s="12">
        <v>8.8292264519368189</v>
      </c>
      <c r="X4357" s="12">
        <v>81.471595301973963</v>
      </c>
      <c r="Y4357" s="12">
        <v>2150</v>
      </c>
      <c r="Z4357" s="12">
        <v>2.8695652173913042</v>
      </c>
      <c r="AA4357" s="12"/>
      <c r="AB4357" s="12" t="s">
        <v>271</v>
      </c>
    </row>
    <row r="4358" spans="1:28" x14ac:dyDescent="0.3">
      <c r="A4358" s="12" t="s">
        <v>6298</v>
      </c>
      <c r="B4358" s="12" t="s">
        <v>217</v>
      </c>
      <c r="C4358" s="12" t="s">
        <v>691</v>
      </c>
      <c r="D4358" s="12" t="s">
        <v>226</v>
      </c>
      <c r="E4358" s="12" t="s">
        <v>6238</v>
      </c>
      <c r="F4358" s="12" t="s">
        <v>32</v>
      </c>
      <c r="G4358" s="12" t="s">
        <v>32</v>
      </c>
      <c r="H4358" s="12" t="b">
        <v>1</v>
      </c>
      <c r="I4358" s="12" t="b">
        <v>1</v>
      </c>
      <c r="J4358" s="12" t="b">
        <v>0</v>
      </c>
      <c r="K4358" s="12" t="b">
        <v>0</v>
      </c>
      <c r="L4358" s="12">
        <v>394.15</v>
      </c>
      <c r="M4358" s="12">
        <v>278.14999999999998</v>
      </c>
      <c r="N4358" s="12">
        <v>3300</v>
      </c>
      <c r="O4358" s="12">
        <v>1200</v>
      </c>
      <c r="P4358" s="12">
        <v>0.82</v>
      </c>
      <c r="Q4358" s="12">
        <v>0.9</v>
      </c>
      <c r="R4358" s="12">
        <v>0.8</v>
      </c>
      <c r="S4358" s="12">
        <v>0.85</v>
      </c>
      <c r="T4358" s="12">
        <v>0.75</v>
      </c>
      <c r="U4358" s="12">
        <v>0.95</v>
      </c>
      <c r="V4358" s="12">
        <v>283.14999999999998</v>
      </c>
      <c r="W4358" s="12">
        <v>8.4917267042076094</v>
      </c>
      <c r="X4358" s="12">
        <v>78.351793006248684</v>
      </c>
      <c r="Y4358" s="12">
        <v>2100</v>
      </c>
      <c r="Z4358" s="12">
        <v>2.75</v>
      </c>
      <c r="AA4358" s="12"/>
      <c r="AB4358" s="12" t="s">
        <v>271</v>
      </c>
    </row>
    <row r="4359" spans="1:28" x14ac:dyDescent="0.3">
      <c r="A4359" s="12" t="s">
        <v>6299</v>
      </c>
      <c r="B4359" s="12" t="s">
        <v>217</v>
      </c>
      <c r="C4359" s="12" t="s">
        <v>691</v>
      </c>
      <c r="D4359" s="12" t="s">
        <v>226</v>
      </c>
      <c r="E4359" s="12" t="s">
        <v>6238</v>
      </c>
      <c r="F4359" s="12" t="s">
        <v>32</v>
      </c>
      <c r="G4359" s="12" t="s">
        <v>32</v>
      </c>
      <c r="H4359" s="12" t="b">
        <v>1</v>
      </c>
      <c r="I4359" s="12" t="b">
        <v>1</v>
      </c>
      <c r="J4359" s="12" t="b">
        <v>0</v>
      </c>
      <c r="K4359" s="12" t="b">
        <v>0</v>
      </c>
      <c r="L4359" s="12">
        <v>394.15</v>
      </c>
      <c r="M4359" s="12">
        <v>278.14999999999998</v>
      </c>
      <c r="N4359" s="12">
        <v>3300</v>
      </c>
      <c r="O4359" s="12">
        <v>690</v>
      </c>
      <c r="P4359" s="12">
        <v>0.6</v>
      </c>
      <c r="Q4359" s="12">
        <v>0.9</v>
      </c>
      <c r="R4359" s="12">
        <v>0.8</v>
      </c>
      <c r="S4359" s="12">
        <v>0.85</v>
      </c>
      <c r="T4359" s="12">
        <v>0.75</v>
      </c>
      <c r="U4359" s="12">
        <v>0.95</v>
      </c>
      <c r="V4359" s="12">
        <v>283.14999999999998</v>
      </c>
      <c r="W4359" s="12">
        <v>8.816445146584611</v>
      </c>
      <c r="X4359" s="12">
        <v>37.411928083433537</v>
      </c>
      <c r="Y4359" s="12">
        <v>2610</v>
      </c>
      <c r="Z4359" s="12">
        <v>4.7826086956521738</v>
      </c>
      <c r="AA4359" s="12"/>
      <c r="AB4359" s="12" t="s">
        <v>272</v>
      </c>
    </row>
    <row r="4360" spans="1:28" x14ac:dyDescent="0.3">
      <c r="A4360" s="12" t="s">
        <v>6300</v>
      </c>
      <c r="B4360" s="12" t="s">
        <v>217</v>
      </c>
      <c r="C4360" s="12" t="s">
        <v>691</v>
      </c>
      <c r="D4360" s="12" t="s">
        <v>226</v>
      </c>
      <c r="E4360" s="12" t="s">
        <v>6238</v>
      </c>
      <c r="F4360" s="12" t="s">
        <v>32</v>
      </c>
      <c r="G4360" s="12" t="s">
        <v>32</v>
      </c>
      <c r="H4360" s="12" t="b">
        <v>1</v>
      </c>
      <c r="I4360" s="12" t="b">
        <v>1</v>
      </c>
      <c r="J4360" s="12" t="b">
        <v>0</v>
      </c>
      <c r="K4360" s="12" t="b">
        <v>0</v>
      </c>
      <c r="L4360" s="12">
        <v>394.15</v>
      </c>
      <c r="M4360" s="12">
        <v>278.14999999999998</v>
      </c>
      <c r="N4360" s="12">
        <v>3300</v>
      </c>
      <c r="O4360" s="12">
        <v>690</v>
      </c>
      <c r="P4360" s="12">
        <v>0.65</v>
      </c>
      <c r="Q4360" s="12">
        <v>0.9</v>
      </c>
      <c r="R4360" s="12">
        <v>0.8</v>
      </c>
      <c r="S4360" s="12">
        <v>0.85</v>
      </c>
      <c r="T4360" s="12">
        <v>0.75</v>
      </c>
      <c r="U4360" s="12">
        <v>0.95</v>
      </c>
      <c r="V4360" s="12">
        <v>283.14999999999998</v>
      </c>
      <c r="W4360" s="12">
        <v>10.2518067712797</v>
      </c>
      <c r="X4360" s="12">
        <v>55.952149448042597</v>
      </c>
      <c r="Y4360" s="12">
        <v>2610</v>
      </c>
      <c r="Z4360" s="12">
        <v>4.7826086956521738</v>
      </c>
      <c r="AA4360" s="12"/>
      <c r="AB4360" s="12" t="s">
        <v>272</v>
      </c>
    </row>
    <row r="4361" spans="1:28" x14ac:dyDescent="0.3">
      <c r="A4361" s="12" t="s">
        <v>6301</v>
      </c>
      <c r="B4361" s="12" t="s">
        <v>217</v>
      </c>
      <c r="C4361" s="12" t="s">
        <v>691</v>
      </c>
      <c r="D4361" s="12" t="s">
        <v>226</v>
      </c>
      <c r="E4361" s="12" t="s">
        <v>6238</v>
      </c>
      <c r="F4361" s="12" t="s">
        <v>32</v>
      </c>
      <c r="G4361" s="12" t="s">
        <v>32</v>
      </c>
      <c r="H4361" s="12" t="b">
        <v>1</v>
      </c>
      <c r="I4361" s="12" t="b">
        <v>1</v>
      </c>
      <c r="J4361" s="12" t="b">
        <v>0</v>
      </c>
      <c r="K4361" s="12" t="b">
        <v>0</v>
      </c>
      <c r="L4361" s="12">
        <v>394.15</v>
      </c>
      <c r="M4361" s="12">
        <v>278.14999999999998</v>
      </c>
      <c r="N4361" s="12">
        <v>3300</v>
      </c>
      <c r="O4361" s="12">
        <v>690</v>
      </c>
      <c r="P4361" s="12">
        <v>0.67499999999999993</v>
      </c>
      <c r="Q4361" s="12">
        <v>0.9</v>
      </c>
      <c r="R4361" s="12">
        <v>0.8</v>
      </c>
      <c r="S4361" s="12">
        <v>0.85</v>
      </c>
      <c r="T4361" s="12">
        <v>0.75</v>
      </c>
      <c r="U4361" s="12">
        <v>0.95</v>
      </c>
      <c r="V4361" s="12">
        <v>283.14999999999998</v>
      </c>
      <c r="W4361" s="12">
        <v>10.781595749116279</v>
      </c>
      <c r="X4361" s="12">
        <v>65.177750134346383</v>
      </c>
      <c r="Y4361" s="12">
        <v>2610</v>
      </c>
      <c r="Z4361" s="12">
        <v>4.7826086956521738</v>
      </c>
      <c r="AA4361" s="12"/>
      <c r="AB4361" s="12" t="s">
        <v>272</v>
      </c>
    </row>
    <row r="4362" spans="1:28" x14ac:dyDescent="0.3">
      <c r="A4362" s="12" t="s">
        <v>6302</v>
      </c>
      <c r="B4362" s="12" t="s">
        <v>217</v>
      </c>
      <c r="C4362" s="12" t="s">
        <v>691</v>
      </c>
      <c r="D4362" s="12" t="s">
        <v>226</v>
      </c>
      <c r="E4362" s="12" t="s">
        <v>6238</v>
      </c>
      <c r="F4362" s="12" t="s">
        <v>32</v>
      </c>
      <c r="G4362" s="12" t="s">
        <v>32</v>
      </c>
      <c r="H4362" s="12" t="b">
        <v>1</v>
      </c>
      <c r="I4362" s="12" t="b">
        <v>1</v>
      </c>
      <c r="J4362" s="12" t="b">
        <v>0</v>
      </c>
      <c r="K4362" s="12" t="b">
        <v>0</v>
      </c>
      <c r="L4362" s="12">
        <v>394.15</v>
      </c>
      <c r="M4362" s="12">
        <v>278.14999999999998</v>
      </c>
      <c r="N4362" s="12">
        <v>3300</v>
      </c>
      <c r="O4362" s="12">
        <v>690</v>
      </c>
      <c r="P4362" s="12">
        <v>0.7</v>
      </c>
      <c r="Q4362" s="12">
        <v>0.9</v>
      </c>
      <c r="R4362" s="12">
        <v>0.8</v>
      </c>
      <c r="S4362" s="12">
        <v>0.85</v>
      </c>
      <c r="T4362" s="12">
        <v>0.75</v>
      </c>
      <c r="U4362" s="12">
        <v>0.95</v>
      </c>
      <c r="V4362" s="12">
        <v>283.14999999999998</v>
      </c>
      <c r="W4362" s="12">
        <v>11.23217741708438</v>
      </c>
      <c r="X4362" s="12">
        <v>74.363997178048749</v>
      </c>
      <c r="Y4362" s="12">
        <v>2610</v>
      </c>
      <c r="Z4362" s="12">
        <v>4.7826086956521738</v>
      </c>
      <c r="AA4362" s="12"/>
      <c r="AB4362" s="12" t="s">
        <v>272</v>
      </c>
    </row>
    <row r="4363" spans="1:28" x14ac:dyDescent="0.3">
      <c r="A4363" s="12" t="s">
        <v>6303</v>
      </c>
      <c r="B4363" s="12" t="s">
        <v>217</v>
      </c>
      <c r="C4363" s="12" t="s">
        <v>691</v>
      </c>
      <c r="D4363" s="12" t="s">
        <v>226</v>
      </c>
      <c r="E4363" s="12" t="s">
        <v>6238</v>
      </c>
      <c r="F4363" s="12" t="s">
        <v>32</v>
      </c>
      <c r="G4363" s="12" t="s">
        <v>32</v>
      </c>
      <c r="H4363" s="12" t="b">
        <v>1</v>
      </c>
      <c r="I4363" s="12" t="b">
        <v>1</v>
      </c>
      <c r="J4363" s="12" t="b">
        <v>0</v>
      </c>
      <c r="K4363" s="12" t="b">
        <v>0</v>
      </c>
      <c r="L4363" s="12">
        <v>394.15</v>
      </c>
      <c r="M4363" s="12">
        <v>278.14999999999998</v>
      </c>
      <c r="N4363" s="12">
        <v>3300</v>
      </c>
      <c r="O4363" s="12">
        <v>690</v>
      </c>
      <c r="P4363" s="12">
        <v>0.72499999999999998</v>
      </c>
      <c r="Q4363" s="12">
        <v>0.9</v>
      </c>
      <c r="R4363" s="12">
        <v>0.8</v>
      </c>
      <c r="S4363" s="12">
        <v>0.85</v>
      </c>
      <c r="T4363" s="12">
        <v>0.75</v>
      </c>
      <c r="U4363" s="12">
        <v>0.95</v>
      </c>
      <c r="V4363" s="12">
        <v>283.14999999999998</v>
      </c>
      <c r="W4363" s="12">
        <v>11.62246847395334</v>
      </c>
      <c r="X4363" s="12">
        <v>83.502213274733208</v>
      </c>
      <c r="Y4363" s="12">
        <v>2610</v>
      </c>
      <c r="Z4363" s="12">
        <v>4.7826086956521738</v>
      </c>
      <c r="AA4363" s="12"/>
      <c r="AB4363" s="12" t="s">
        <v>272</v>
      </c>
    </row>
    <row r="4364" spans="1:28" x14ac:dyDescent="0.3">
      <c r="A4364" s="12" t="s">
        <v>6304</v>
      </c>
      <c r="B4364" s="12" t="s">
        <v>217</v>
      </c>
      <c r="C4364" s="12" t="s">
        <v>691</v>
      </c>
      <c r="D4364" s="12" t="s">
        <v>226</v>
      </c>
      <c r="E4364" s="12" t="s">
        <v>6238</v>
      </c>
      <c r="F4364" s="12" t="s">
        <v>32</v>
      </c>
      <c r="G4364" s="12" t="s">
        <v>32</v>
      </c>
      <c r="H4364" s="12" t="b">
        <v>1</v>
      </c>
      <c r="I4364" s="12" t="b">
        <v>1</v>
      </c>
      <c r="J4364" s="12" t="b">
        <v>0</v>
      </c>
      <c r="K4364" s="12" t="b">
        <v>0</v>
      </c>
      <c r="L4364" s="12">
        <v>394.15</v>
      </c>
      <c r="M4364" s="12">
        <v>278.14999999999998</v>
      </c>
      <c r="N4364" s="12">
        <v>3300</v>
      </c>
      <c r="O4364" s="12">
        <v>690</v>
      </c>
      <c r="P4364" s="12">
        <v>0.75</v>
      </c>
      <c r="Q4364" s="12">
        <v>0.9</v>
      </c>
      <c r="R4364" s="12">
        <v>0.8</v>
      </c>
      <c r="S4364" s="12">
        <v>0.85</v>
      </c>
      <c r="T4364" s="12">
        <v>0.75</v>
      </c>
      <c r="U4364" s="12">
        <v>0.95</v>
      </c>
      <c r="V4364" s="12">
        <v>283.14999999999998</v>
      </c>
      <c r="W4364" s="12">
        <v>11.964959347863561</v>
      </c>
      <c r="X4364" s="12">
        <v>92.58232499337376</v>
      </c>
      <c r="Y4364" s="12">
        <v>2610</v>
      </c>
      <c r="Z4364" s="12">
        <v>4.7826086956521738</v>
      </c>
      <c r="AA4364" s="12"/>
      <c r="AB4364" s="12" t="s">
        <v>272</v>
      </c>
    </row>
    <row r="4365" spans="1:28" x14ac:dyDescent="0.3">
      <c r="A4365" s="12" t="s">
        <v>6305</v>
      </c>
      <c r="B4365" s="12" t="s">
        <v>217</v>
      </c>
      <c r="C4365" s="12" t="s">
        <v>691</v>
      </c>
      <c r="D4365" s="12" t="s">
        <v>226</v>
      </c>
      <c r="E4365" s="12" t="s">
        <v>6238</v>
      </c>
      <c r="F4365" s="12" t="s">
        <v>32</v>
      </c>
      <c r="G4365" s="12" t="s">
        <v>32</v>
      </c>
      <c r="H4365" s="12" t="b">
        <v>1</v>
      </c>
      <c r="I4365" s="12" t="b">
        <v>1</v>
      </c>
      <c r="J4365" s="12" t="b">
        <v>0</v>
      </c>
      <c r="K4365" s="12" t="b">
        <v>0</v>
      </c>
      <c r="L4365" s="12">
        <v>394.15</v>
      </c>
      <c r="M4365" s="12">
        <v>278.14999999999998</v>
      </c>
      <c r="N4365" s="12">
        <v>3300</v>
      </c>
      <c r="O4365" s="12">
        <v>690</v>
      </c>
      <c r="P4365" s="12">
        <v>0.77499999999999991</v>
      </c>
      <c r="Q4365" s="12">
        <v>0.9</v>
      </c>
      <c r="R4365" s="12">
        <v>0.8</v>
      </c>
      <c r="S4365" s="12">
        <v>0.85</v>
      </c>
      <c r="T4365" s="12">
        <v>0.75</v>
      </c>
      <c r="U4365" s="12">
        <v>0.95</v>
      </c>
      <c r="V4365" s="12">
        <v>283.14999999999998</v>
      </c>
      <c r="W4365" s="12">
        <v>12.26810253235902</v>
      </c>
      <c r="X4365" s="12">
        <v>101.5925366965901</v>
      </c>
      <c r="Y4365" s="12">
        <v>2610</v>
      </c>
      <c r="Z4365" s="12">
        <v>4.7826086956521738</v>
      </c>
      <c r="AA4365" s="12"/>
      <c r="AB4365" s="12" t="s">
        <v>272</v>
      </c>
    </row>
    <row r="4366" spans="1:28" x14ac:dyDescent="0.3">
      <c r="A4366" s="12" t="s">
        <v>6306</v>
      </c>
      <c r="B4366" s="12" t="s">
        <v>217</v>
      </c>
      <c r="C4366" s="12" t="s">
        <v>691</v>
      </c>
      <c r="D4366" s="12" t="s">
        <v>226</v>
      </c>
      <c r="E4366" s="12" t="s">
        <v>6238</v>
      </c>
      <c r="F4366" s="12" t="s">
        <v>1861</v>
      </c>
      <c r="G4366" s="12" t="s">
        <v>1861</v>
      </c>
      <c r="H4366" s="12" t="b">
        <v>1</v>
      </c>
      <c r="I4366" s="12" t="b">
        <v>0</v>
      </c>
      <c r="J4366" s="12" t="b">
        <v>0</v>
      </c>
      <c r="K4366" s="12" t="b">
        <v>0</v>
      </c>
      <c r="L4366" s="12">
        <v>394.15</v>
      </c>
      <c r="M4366" s="12">
        <v>278.14999999999998</v>
      </c>
      <c r="N4366" s="12">
        <v>3300</v>
      </c>
      <c r="O4366" s="12">
        <v>690</v>
      </c>
      <c r="P4366" s="12">
        <v>0.85</v>
      </c>
      <c r="Q4366" s="12">
        <v>0.9</v>
      </c>
      <c r="R4366" s="12">
        <v>0.8</v>
      </c>
      <c r="S4366" s="12">
        <v>0.85</v>
      </c>
      <c r="T4366" s="12">
        <v>0.75</v>
      </c>
      <c r="U4366" s="12">
        <v>0.95</v>
      </c>
      <c r="V4366" s="12">
        <v>283.14999999999998</v>
      </c>
      <c r="W4366" s="12">
        <v>12.990450631232671</v>
      </c>
      <c r="X4366" s="12">
        <v>128.04843190274059</v>
      </c>
      <c r="Y4366" s="12">
        <v>2610</v>
      </c>
      <c r="Z4366" s="12">
        <v>4.7826086956521738</v>
      </c>
      <c r="AA4366" s="12" t="s">
        <v>1268</v>
      </c>
      <c r="AB4366" s="12" t="s">
        <v>272</v>
      </c>
    </row>
    <row r="4367" spans="1:28" x14ac:dyDescent="0.3">
      <c r="A4367" s="12" t="s">
        <v>6307</v>
      </c>
      <c r="B4367" s="12" t="s">
        <v>217</v>
      </c>
      <c r="C4367" s="12" t="s">
        <v>691</v>
      </c>
      <c r="D4367" s="12" t="s">
        <v>226</v>
      </c>
      <c r="E4367" s="12" t="s">
        <v>6238</v>
      </c>
      <c r="F4367" s="12" t="s">
        <v>32</v>
      </c>
      <c r="G4367" s="12" t="s">
        <v>32</v>
      </c>
      <c r="H4367" s="12" t="b">
        <v>1</v>
      </c>
      <c r="I4367" s="12" t="b">
        <v>1</v>
      </c>
      <c r="J4367" s="12" t="b">
        <v>0</v>
      </c>
      <c r="K4367" s="12" t="b">
        <v>0</v>
      </c>
      <c r="L4367" s="12">
        <v>394.15</v>
      </c>
      <c r="M4367" s="12">
        <v>278.14999999999998</v>
      </c>
      <c r="N4367" s="12">
        <v>3300</v>
      </c>
      <c r="O4367" s="12">
        <v>690</v>
      </c>
      <c r="P4367" s="12">
        <v>0.82499999999999996</v>
      </c>
      <c r="Q4367" s="12">
        <v>0.9</v>
      </c>
      <c r="R4367" s="12">
        <v>0.8</v>
      </c>
      <c r="S4367" s="12">
        <v>0.85</v>
      </c>
      <c r="T4367" s="12">
        <v>0.75</v>
      </c>
      <c r="U4367" s="12">
        <v>0.95</v>
      </c>
      <c r="V4367" s="12">
        <v>283.14999999999998</v>
      </c>
      <c r="W4367" s="12">
        <v>12.77762004685831</v>
      </c>
      <c r="X4367" s="12">
        <v>119.3444114122819</v>
      </c>
      <c r="Y4367" s="12">
        <v>2610</v>
      </c>
      <c r="Z4367" s="12">
        <v>4.7826086956521738</v>
      </c>
      <c r="AA4367" s="12"/>
      <c r="AB4367" s="12" t="s">
        <v>272</v>
      </c>
    </row>
    <row r="4368" spans="1:28" x14ac:dyDescent="0.3">
      <c r="A4368" s="12" t="s">
        <v>6308</v>
      </c>
      <c r="B4368" s="12" t="s">
        <v>217</v>
      </c>
      <c r="C4368" s="12" t="s">
        <v>691</v>
      </c>
      <c r="D4368" s="12" t="s">
        <v>226</v>
      </c>
      <c r="E4368" s="12" t="s">
        <v>6238</v>
      </c>
      <c r="F4368" s="12" t="s">
        <v>1861</v>
      </c>
      <c r="G4368" s="12" t="s">
        <v>1861</v>
      </c>
      <c r="H4368" s="12" t="b">
        <v>1</v>
      </c>
      <c r="I4368" s="12" t="b">
        <v>0</v>
      </c>
      <c r="J4368" s="12" t="b">
        <v>0</v>
      </c>
      <c r="K4368" s="12" t="b">
        <v>0</v>
      </c>
      <c r="L4368" s="12">
        <v>394.15</v>
      </c>
      <c r="M4368" s="12">
        <v>278.14999999999998</v>
      </c>
      <c r="N4368" s="12">
        <v>3300</v>
      </c>
      <c r="O4368" s="12">
        <v>690</v>
      </c>
      <c r="P4368" s="12">
        <v>0.875</v>
      </c>
      <c r="Q4368" s="12">
        <v>0.9</v>
      </c>
      <c r="R4368" s="12">
        <v>0.8</v>
      </c>
      <c r="S4368" s="12">
        <v>0.85</v>
      </c>
      <c r="T4368" s="12">
        <v>0.75</v>
      </c>
      <c r="U4368" s="12">
        <v>0.95</v>
      </c>
      <c r="V4368" s="12">
        <v>283.14999999999998</v>
      </c>
      <c r="W4368" s="12">
        <v>13.17755558523389</v>
      </c>
      <c r="X4368" s="12">
        <v>136.60464889343581</v>
      </c>
      <c r="Y4368" s="12">
        <v>2610</v>
      </c>
      <c r="Z4368" s="12">
        <v>4.7826086956521738</v>
      </c>
      <c r="AA4368" s="12" t="s">
        <v>1268</v>
      </c>
      <c r="AB4368" s="12" t="s">
        <v>272</v>
      </c>
    </row>
    <row r="4369" spans="1:28" x14ac:dyDescent="0.3">
      <c r="A4369" s="12" t="s">
        <v>6309</v>
      </c>
      <c r="B4369" s="12" t="s">
        <v>217</v>
      </c>
      <c r="C4369" s="12" t="s">
        <v>691</v>
      </c>
      <c r="D4369" s="12" t="s">
        <v>226</v>
      </c>
      <c r="E4369" s="12" t="s">
        <v>6238</v>
      </c>
      <c r="F4369" s="12" t="s">
        <v>32</v>
      </c>
      <c r="G4369" s="12" t="s">
        <v>32</v>
      </c>
      <c r="H4369" s="12" t="b">
        <v>1</v>
      </c>
      <c r="I4369" s="12" t="b">
        <v>1</v>
      </c>
      <c r="J4369" s="12" t="b">
        <v>0</v>
      </c>
      <c r="K4369" s="12" t="b">
        <v>0</v>
      </c>
      <c r="L4369" s="12">
        <v>394.15</v>
      </c>
      <c r="M4369" s="12">
        <v>278.14999999999998</v>
      </c>
      <c r="N4369" s="12">
        <v>3300</v>
      </c>
      <c r="O4369" s="12">
        <v>690</v>
      </c>
      <c r="P4369" s="12">
        <v>0.79999999999999993</v>
      </c>
      <c r="Q4369" s="12">
        <v>0.9</v>
      </c>
      <c r="R4369" s="12">
        <v>0.8</v>
      </c>
      <c r="S4369" s="12">
        <v>0.85</v>
      </c>
      <c r="T4369" s="12">
        <v>0.75</v>
      </c>
      <c r="U4369" s="12">
        <v>0.95</v>
      </c>
      <c r="V4369" s="12">
        <v>283.14999999999998</v>
      </c>
      <c r="W4369" s="12">
        <v>12.50472537002479</v>
      </c>
      <c r="X4369" s="12">
        <v>110.20487498221959</v>
      </c>
      <c r="Y4369" s="12">
        <v>2610</v>
      </c>
      <c r="Z4369" s="12">
        <v>4.7826086956521738</v>
      </c>
      <c r="AA4369" s="12"/>
      <c r="AB4369" s="12" t="s">
        <v>272</v>
      </c>
    </row>
    <row r="4370" spans="1:28" x14ac:dyDescent="0.3">
      <c r="A4370" s="12" t="s">
        <v>6310</v>
      </c>
      <c r="B4370" s="12" t="s">
        <v>217</v>
      </c>
      <c r="C4370" s="12" t="s">
        <v>691</v>
      </c>
      <c r="D4370" s="12" t="s">
        <v>226</v>
      </c>
      <c r="E4370" s="12" t="s">
        <v>6238</v>
      </c>
      <c r="F4370" s="12" t="s">
        <v>1861</v>
      </c>
      <c r="G4370" s="12" t="s">
        <v>1861</v>
      </c>
      <c r="H4370" s="12" t="b">
        <v>1</v>
      </c>
      <c r="I4370" s="12" t="b">
        <v>0</v>
      </c>
      <c r="J4370" s="12" t="b">
        <v>0</v>
      </c>
      <c r="K4370" s="12" t="b">
        <v>0</v>
      </c>
      <c r="L4370" s="12">
        <v>394.15</v>
      </c>
      <c r="M4370" s="12">
        <v>278.14999999999998</v>
      </c>
      <c r="N4370" s="12">
        <v>3300</v>
      </c>
      <c r="O4370" s="12">
        <v>690</v>
      </c>
      <c r="P4370" s="12">
        <v>0.89999999999999991</v>
      </c>
      <c r="Q4370" s="12">
        <v>0.9</v>
      </c>
      <c r="R4370" s="12">
        <v>0.8</v>
      </c>
      <c r="S4370" s="12">
        <v>0.85</v>
      </c>
      <c r="T4370" s="12">
        <v>0.75</v>
      </c>
      <c r="U4370" s="12">
        <v>0.95</v>
      </c>
      <c r="V4370" s="12">
        <v>283.14999999999998</v>
      </c>
      <c r="W4370" s="12">
        <v>13.33919494068688</v>
      </c>
      <c r="X4370" s="12">
        <v>144.97861098595439</v>
      </c>
      <c r="Y4370" s="12">
        <v>2610</v>
      </c>
      <c r="Z4370" s="12">
        <v>4.7826086956521738</v>
      </c>
      <c r="AA4370" s="12" t="s">
        <v>1268</v>
      </c>
      <c r="AB4370" s="12" t="s">
        <v>272</v>
      </c>
    </row>
    <row r="4371" spans="1:28" x14ac:dyDescent="0.3">
      <c r="A4371" s="12" t="s">
        <v>6311</v>
      </c>
      <c r="B4371" s="12" t="s">
        <v>217</v>
      </c>
      <c r="C4371" s="12" t="s">
        <v>691</v>
      </c>
      <c r="D4371" s="12" t="s">
        <v>226</v>
      </c>
      <c r="E4371" s="12" t="s">
        <v>6238</v>
      </c>
      <c r="F4371" s="12" t="s">
        <v>32</v>
      </c>
      <c r="G4371" s="12" t="s">
        <v>32</v>
      </c>
      <c r="H4371" s="12" t="b">
        <v>1</v>
      </c>
      <c r="I4371" s="12" t="b">
        <v>1</v>
      </c>
      <c r="J4371" s="12" t="b">
        <v>0</v>
      </c>
      <c r="K4371" s="12" t="b">
        <v>0</v>
      </c>
      <c r="L4371" s="12">
        <v>394.15</v>
      </c>
      <c r="M4371" s="12">
        <v>278.14999999999998</v>
      </c>
      <c r="N4371" s="12">
        <v>3300</v>
      </c>
      <c r="O4371" s="12">
        <v>690</v>
      </c>
      <c r="P4371" s="12">
        <v>0.82</v>
      </c>
      <c r="Q4371" s="12">
        <v>0.76428571428571423</v>
      </c>
      <c r="R4371" s="12">
        <v>0.8</v>
      </c>
      <c r="S4371" s="12">
        <v>0.85</v>
      </c>
      <c r="T4371" s="12">
        <v>0.75</v>
      </c>
      <c r="U4371" s="12">
        <v>0.95</v>
      </c>
      <c r="V4371" s="12">
        <v>283.14999999999998</v>
      </c>
      <c r="W4371" s="12">
        <v>10.74377241335414</v>
      </c>
      <c r="X4371" s="12">
        <v>99.166135351774486</v>
      </c>
      <c r="Y4371" s="12">
        <v>2610</v>
      </c>
      <c r="Z4371" s="12">
        <v>4.7826086956521738</v>
      </c>
      <c r="AA4371" s="12"/>
      <c r="AB4371" s="12" t="s">
        <v>1875</v>
      </c>
    </row>
    <row r="4372" spans="1:28" x14ac:dyDescent="0.3">
      <c r="A4372" s="12" t="s">
        <v>6312</v>
      </c>
      <c r="B4372" s="12" t="s">
        <v>217</v>
      </c>
      <c r="C4372" s="12" t="s">
        <v>691</v>
      </c>
      <c r="D4372" s="12" t="s">
        <v>226</v>
      </c>
      <c r="E4372" s="12" t="s">
        <v>6238</v>
      </c>
      <c r="F4372" s="12" t="s">
        <v>32</v>
      </c>
      <c r="G4372" s="12" t="s">
        <v>32</v>
      </c>
      <c r="H4372" s="12" t="b">
        <v>1</v>
      </c>
      <c r="I4372" s="12" t="b">
        <v>1</v>
      </c>
      <c r="J4372" s="12" t="b">
        <v>0</v>
      </c>
      <c r="K4372" s="12" t="b">
        <v>0</v>
      </c>
      <c r="L4372" s="12">
        <v>394.15</v>
      </c>
      <c r="M4372" s="12">
        <v>278.14999999999998</v>
      </c>
      <c r="N4372" s="12">
        <v>3300</v>
      </c>
      <c r="O4372" s="12">
        <v>690</v>
      </c>
      <c r="P4372" s="12">
        <v>0.82</v>
      </c>
      <c r="Q4372" s="12">
        <v>0.77857142857142858</v>
      </c>
      <c r="R4372" s="12">
        <v>0.8</v>
      </c>
      <c r="S4372" s="12">
        <v>0.85</v>
      </c>
      <c r="T4372" s="12">
        <v>0.75</v>
      </c>
      <c r="U4372" s="12">
        <v>0.95</v>
      </c>
      <c r="V4372" s="12">
        <v>283.14999999999998</v>
      </c>
      <c r="W4372" s="12">
        <v>10.95318523603804</v>
      </c>
      <c r="X4372" s="12">
        <v>101.10554605434599</v>
      </c>
      <c r="Y4372" s="12">
        <v>2610</v>
      </c>
      <c r="Z4372" s="12">
        <v>4.7826086956521738</v>
      </c>
      <c r="AA4372" s="12"/>
      <c r="AB4372" s="12" t="s">
        <v>1875</v>
      </c>
    </row>
    <row r="4373" spans="1:28" x14ac:dyDescent="0.3">
      <c r="A4373" s="12" t="s">
        <v>6313</v>
      </c>
      <c r="B4373" s="12" t="s">
        <v>217</v>
      </c>
      <c r="C4373" s="12" t="s">
        <v>691</v>
      </c>
      <c r="D4373" s="12" t="s">
        <v>226</v>
      </c>
      <c r="E4373" s="12" t="s">
        <v>6238</v>
      </c>
      <c r="F4373" s="12" t="s">
        <v>32</v>
      </c>
      <c r="G4373" s="12" t="s">
        <v>32</v>
      </c>
      <c r="H4373" s="12" t="b">
        <v>1</v>
      </c>
      <c r="I4373" s="12" t="b">
        <v>1</v>
      </c>
      <c r="J4373" s="12" t="b">
        <v>0</v>
      </c>
      <c r="K4373" s="12" t="b">
        <v>0</v>
      </c>
      <c r="L4373" s="12">
        <v>394.15</v>
      </c>
      <c r="M4373" s="12">
        <v>278.14999999999998</v>
      </c>
      <c r="N4373" s="12">
        <v>3300</v>
      </c>
      <c r="O4373" s="12">
        <v>690</v>
      </c>
      <c r="P4373" s="12">
        <v>0.82</v>
      </c>
      <c r="Q4373" s="12">
        <v>0.75</v>
      </c>
      <c r="R4373" s="12">
        <v>0.8</v>
      </c>
      <c r="S4373" s="12">
        <v>0.85</v>
      </c>
      <c r="T4373" s="12">
        <v>0.75</v>
      </c>
      <c r="U4373" s="12">
        <v>0.95</v>
      </c>
      <c r="V4373" s="12">
        <v>283.14999999999998</v>
      </c>
      <c r="W4373" s="12">
        <v>10.5343266263611</v>
      </c>
      <c r="X4373" s="12">
        <v>97.226669004755962</v>
      </c>
      <c r="Y4373" s="12">
        <v>2610</v>
      </c>
      <c r="Z4373" s="12">
        <v>4.7826086956521738</v>
      </c>
      <c r="AA4373" s="12"/>
      <c r="AB4373" s="12" t="s">
        <v>1875</v>
      </c>
    </row>
    <row r="4374" spans="1:28" x14ac:dyDescent="0.3">
      <c r="A4374" s="12" t="s">
        <v>6314</v>
      </c>
      <c r="B4374" s="12" t="s">
        <v>217</v>
      </c>
      <c r="C4374" s="12" t="s">
        <v>691</v>
      </c>
      <c r="D4374" s="12" t="s">
        <v>226</v>
      </c>
      <c r="E4374" s="12" t="s">
        <v>6238</v>
      </c>
      <c r="F4374" s="12" t="s">
        <v>1861</v>
      </c>
      <c r="G4374" s="12" t="s">
        <v>1861</v>
      </c>
      <c r="H4374" s="12" t="b">
        <v>1</v>
      </c>
      <c r="I4374" s="12" t="b">
        <v>0</v>
      </c>
      <c r="J4374" s="12" t="b">
        <v>0</v>
      </c>
      <c r="K4374" s="12" t="b">
        <v>0</v>
      </c>
      <c r="L4374" s="12">
        <v>394.15</v>
      </c>
      <c r="M4374" s="12">
        <v>278.14999999999998</v>
      </c>
      <c r="N4374" s="12">
        <v>3300</v>
      </c>
      <c r="O4374" s="12">
        <v>690</v>
      </c>
      <c r="P4374" s="12">
        <v>0.95</v>
      </c>
      <c r="Q4374" s="12">
        <v>0.9</v>
      </c>
      <c r="R4374" s="12">
        <v>0.8</v>
      </c>
      <c r="S4374" s="12">
        <v>0.85</v>
      </c>
      <c r="T4374" s="12">
        <v>0.75</v>
      </c>
      <c r="U4374" s="12">
        <v>0.95</v>
      </c>
      <c r="V4374" s="12">
        <v>283.14999999999998</v>
      </c>
      <c r="W4374" s="12">
        <v>13.34349037425598</v>
      </c>
      <c r="X4374" s="12">
        <v>157.83822099914241</v>
      </c>
      <c r="Y4374" s="12">
        <v>2610</v>
      </c>
      <c r="Z4374" s="12">
        <v>4.7826086956521738</v>
      </c>
      <c r="AA4374" s="12" t="s">
        <v>1268</v>
      </c>
      <c r="AB4374" s="12" t="s">
        <v>272</v>
      </c>
    </row>
    <row r="4375" spans="1:28" x14ac:dyDescent="0.3">
      <c r="A4375" s="12" t="s">
        <v>6315</v>
      </c>
      <c r="B4375" s="12" t="s">
        <v>217</v>
      </c>
      <c r="C4375" s="12" t="s">
        <v>691</v>
      </c>
      <c r="D4375" s="12" t="s">
        <v>226</v>
      </c>
      <c r="E4375" s="12" t="s">
        <v>6238</v>
      </c>
      <c r="F4375" s="12" t="s">
        <v>32</v>
      </c>
      <c r="G4375" s="12" t="s">
        <v>32</v>
      </c>
      <c r="H4375" s="12" t="b">
        <v>1</v>
      </c>
      <c r="I4375" s="12" t="b">
        <v>1</v>
      </c>
      <c r="J4375" s="12" t="b">
        <v>0</v>
      </c>
      <c r="K4375" s="12" t="b">
        <v>0</v>
      </c>
      <c r="L4375" s="12">
        <v>394.15</v>
      </c>
      <c r="M4375" s="12">
        <v>278.14999999999998</v>
      </c>
      <c r="N4375" s="12">
        <v>3300</v>
      </c>
      <c r="O4375" s="12">
        <v>690</v>
      </c>
      <c r="P4375" s="12">
        <v>0.82</v>
      </c>
      <c r="Q4375" s="12">
        <v>0.80714285714285716</v>
      </c>
      <c r="R4375" s="12">
        <v>0.8</v>
      </c>
      <c r="S4375" s="12">
        <v>0.85</v>
      </c>
      <c r="T4375" s="12">
        <v>0.75</v>
      </c>
      <c r="U4375" s="12">
        <v>0.95</v>
      </c>
      <c r="V4375" s="12">
        <v>283.14999999999998</v>
      </c>
      <c r="W4375" s="12">
        <v>11.371912022639041</v>
      </c>
      <c r="X4375" s="12">
        <v>104.98420054116551</v>
      </c>
      <c r="Y4375" s="12">
        <v>2610</v>
      </c>
      <c r="Z4375" s="12">
        <v>4.7826086956521738</v>
      </c>
      <c r="AA4375" s="12"/>
      <c r="AB4375" s="12" t="s">
        <v>1875</v>
      </c>
    </row>
    <row r="4376" spans="1:28" x14ac:dyDescent="0.3">
      <c r="A4376" s="12" t="s">
        <v>6316</v>
      </c>
      <c r="B4376" s="12" t="s">
        <v>217</v>
      </c>
      <c r="C4376" s="12" t="s">
        <v>691</v>
      </c>
      <c r="D4376" s="12" t="s">
        <v>226</v>
      </c>
      <c r="E4376" s="12" t="s">
        <v>6238</v>
      </c>
      <c r="F4376" s="12" t="s">
        <v>1861</v>
      </c>
      <c r="G4376" s="12" t="s">
        <v>1861</v>
      </c>
      <c r="H4376" s="12" t="b">
        <v>1</v>
      </c>
      <c r="I4376" s="12" t="b">
        <v>0</v>
      </c>
      <c r="J4376" s="12" t="b">
        <v>0</v>
      </c>
      <c r="K4376" s="12" t="b">
        <v>0</v>
      </c>
      <c r="L4376" s="12">
        <v>394.15</v>
      </c>
      <c r="M4376" s="12">
        <v>278.14999999999998</v>
      </c>
      <c r="N4376" s="12">
        <v>3300</v>
      </c>
      <c r="O4376" s="12">
        <v>690</v>
      </c>
      <c r="P4376" s="12">
        <v>0.92500000000000004</v>
      </c>
      <c r="Q4376" s="12">
        <v>0.9</v>
      </c>
      <c r="R4376" s="12">
        <v>0.8</v>
      </c>
      <c r="S4376" s="12">
        <v>0.85</v>
      </c>
      <c r="T4376" s="12">
        <v>0.75</v>
      </c>
      <c r="U4376" s="12">
        <v>0.95</v>
      </c>
      <c r="V4376" s="12">
        <v>283.14999999999998</v>
      </c>
      <c r="W4376" s="12">
        <v>13.236368723963031</v>
      </c>
      <c r="X4376" s="12">
        <v>150.1179657158267</v>
      </c>
      <c r="Y4376" s="12">
        <v>2610</v>
      </c>
      <c r="Z4376" s="12">
        <v>4.7826086956521738</v>
      </c>
      <c r="AA4376" s="12" t="s">
        <v>1268</v>
      </c>
      <c r="AB4376" s="12" t="s">
        <v>272</v>
      </c>
    </row>
    <row r="4377" spans="1:28" x14ac:dyDescent="0.3">
      <c r="A4377" s="12" t="s">
        <v>6317</v>
      </c>
      <c r="B4377" s="12" t="s">
        <v>217</v>
      </c>
      <c r="C4377" s="12" t="s">
        <v>691</v>
      </c>
      <c r="D4377" s="12" t="s">
        <v>226</v>
      </c>
      <c r="E4377" s="12" t="s">
        <v>6238</v>
      </c>
      <c r="F4377" s="12" t="s">
        <v>32</v>
      </c>
      <c r="G4377" s="12" t="s">
        <v>32</v>
      </c>
      <c r="H4377" s="12" t="b">
        <v>1</v>
      </c>
      <c r="I4377" s="12" t="b">
        <v>1</v>
      </c>
      <c r="J4377" s="12" t="b">
        <v>0</v>
      </c>
      <c r="K4377" s="12" t="b">
        <v>0</v>
      </c>
      <c r="L4377" s="12">
        <v>394.15</v>
      </c>
      <c r="M4377" s="12">
        <v>278.14999999999998</v>
      </c>
      <c r="N4377" s="12">
        <v>3300</v>
      </c>
      <c r="O4377" s="12">
        <v>690</v>
      </c>
      <c r="P4377" s="12">
        <v>0.82</v>
      </c>
      <c r="Q4377" s="12">
        <v>0.79285714285714282</v>
      </c>
      <c r="R4377" s="12">
        <v>0.8</v>
      </c>
      <c r="S4377" s="12">
        <v>0.85</v>
      </c>
      <c r="T4377" s="12">
        <v>0.75</v>
      </c>
      <c r="U4377" s="12">
        <v>0.95</v>
      </c>
      <c r="V4377" s="12">
        <v>283.14999999999998</v>
      </c>
      <c r="W4377" s="12">
        <v>11.16256510295724</v>
      </c>
      <c r="X4377" s="12">
        <v>103.0449011162641</v>
      </c>
      <c r="Y4377" s="12">
        <v>2610</v>
      </c>
      <c r="Z4377" s="12">
        <v>4.7826086956521738</v>
      </c>
      <c r="AA4377" s="12"/>
      <c r="AB4377" s="12" t="s">
        <v>1875</v>
      </c>
    </row>
    <row r="4378" spans="1:28" x14ac:dyDescent="0.3">
      <c r="A4378" s="12" t="s">
        <v>6318</v>
      </c>
      <c r="B4378" s="12" t="s">
        <v>217</v>
      </c>
      <c r="C4378" s="12" t="s">
        <v>691</v>
      </c>
      <c r="D4378" s="12" t="s">
        <v>226</v>
      </c>
      <c r="E4378" s="12" t="s">
        <v>6238</v>
      </c>
      <c r="F4378" s="12" t="s">
        <v>32</v>
      </c>
      <c r="G4378" s="12" t="s">
        <v>32</v>
      </c>
      <c r="H4378" s="12" t="b">
        <v>1</v>
      </c>
      <c r="I4378" s="12" t="b">
        <v>1</v>
      </c>
      <c r="J4378" s="12" t="b">
        <v>0</v>
      </c>
      <c r="K4378" s="12" t="b">
        <v>0</v>
      </c>
      <c r="L4378" s="12">
        <v>394.15</v>
      </c>
      <c r="M4378" s="12">
        <v>278.14999999999998</v>
      </c>
      <c r="N4378" s="12">
        <v>3300</v>
      </c>
      <c r="O4378" s="12">
        <v>690</v>
      </c>
      <c r="P4378" s="12">
        <v>0.82</v>
      </c>
      <c r="Q4378" s="12">
        <v>0.8214285714285714</v>
      </c>
      <c r="R4378" s="12">
        <v>0.8</v>
      </c>
      <c r="S4378" s="12">
        <v>0.85</v>
      </c>
      <c r="T4378" s="12">
        <v>0.75</v>
      </c>
      <c r="U4378" s="12">
        <v>0.95</v>
      </c>
      <c r="V4378" s="12">
        <v>283.14999999999998</v>
      </c>
      <c r="W4378" s="12">
        <v>11.581226003636271</v>
      </c>
      <c r="X4378" s="12">
        <v>106.92344433296</v>
      </c>
      <c r="Y4378" s="12">
        <v>2610</v>
      </c>
      <c r="Z4378" s="12">
        <v>4.7826086956521738</v>
      </c>
      <c r="AA4378" s="12"/>
      <c r="AB4378" s="12" t="s">
        <v>1875</v>
      </c>
    </row>
    <row r="4379" spans="1:28" x14ac:dyDescent="0.3">
      <c r="A4379" s="12" t="s">
        <v>6319</v>
      </c>
      <c r="B4379" s="12" t="s">
        <v>217</v>
      </c>
      <c r="C4379" s="12" t="s">
        <v>691</v>
      </c>
      <c r="D4379" s="12" t="s">
        <v>226</v>
      </c>
      <c r="E4379" s="12" t="s">
        <v>6238</v>
      </c>
      <c r="F4379" s="12" t="s">
        <v>32</v>
      </c>
      <c r="G4379" s="12" t="s">
        <v>32</v>
      </c>
      <c r="H4379" s="12" t="b">
        <v>1</v>
      </c>
      <c r="I4379" s="12" t="b">
        <v>1</v>
      </c>
      <c r="J4379" s="12" t="b">
        <v>0</v>
      </c>
      <c r="K4379" s="12" t="b">
        <v>0</v>
      </c>
      <c r="L4379" s="12">
        <v>394.15</v>
      </c>
      <c r="M4379" s="12">
        <v>278.14999999999998</v>
      </c>
      <c r="N4379" s="12">
        <v>3300</v>
      </c>
      <c r="O4379" s="12">
        <v>690</v>
      </c>
      <c r="P4379" s="12">
        <v>0.82</v>
      </c>
      <c r="Q4379" s="12">
        <v>0.83571428571428563</v>
      </c>
      <c r="R4379" s="12">
        <v>0.8</v>
      </c>
      <c r="S4379" s="12">
        <v>0.85</v>
      </c>
      <c r="T4379" s="12">
        <v>0.75</v>
      </c>
      <c r="U4379" s="12">
        <v>0.95</v>
      </c>
      <c r="V4379" s="12">
        <v>283.14999999999998</v>
      </c>
      <c r="W4379" s="12">
        <v>11.79050705445947</v>
      </c>
      <c r="X4379" s="12">
        <v>108.8626324952112</v>
      </c>
      <c r="Y4379" s="12">
        <v>2610</v>
      </c>
      <c r="Z4379" s="12">
        <v>4.7826086956521738</v>
      </c>
      <c r="AA4379" s="12"/>
      <c r="AB4379" s="12" t="s">
        <v>1875</v>
      </c>
    </row>
    <row r="4380" spans="1:28" x14ac:dyDescent="0.3">
      <c r="A4380" s="12" t="s">
        <v>6320</v>
      </c>
      <c r="B4380" s="12" t="s">
        <v>217</v>
      </c>
      <c r="C4380" s="12" t="s">
        <v>691</v>
      </c>
      <c r="D4380" s="12" t="s">
        <v>226</v>
      </c>
      <c r="E4380" s="12" t="s">
        <v>6238</v>
      </c>
      <c r="F4380" s="12" t="s">
        <v>32</v>
      </c>
      <c r="G4380" s="12" t="s">
        <v>32</v>
      </c>
      <c r="H4380" s="12" t="b">
        <v>1</v>
      </c>
      <c r="I4380" s="12" t="b">
        <v>1</v>
      </c>
      <c r="J4380" s="12" t="b">
        <v>0</v>
      </c>
      <c r="K4380" s="12" t="b">
        <v>0</v>
      </c>
      <c r="L4380" s="12">
        <v>394.15</v>
      </c>
      <c r="M4380" s="12">
        <v>278.14999999999998</v>
      </c>
      <c r="N4380" s="12">
        <v>3300</v>
      </c>
      <c r="O4380" s="12">
        <v>690</v>
      </c>
      <c r="P4380" s="12">
        <v>0.82</v>
      </c>
      <c r="Q4380" s="12">
        <v>0.85</v>
      </c>
      <c r="R4380" s="12">
        <v>0.8</v>
      </c>
      <c r="S4380" s="12">
        <v>0.85</v>
      </c>
      <c r="T4380" s="12">
        <v>0.75</v>
      </c>
      <c r="U4380" s="12">
        <v>0.95</v>
      </c>
      <c r="V4380" s="12">
        <v>283.14999999999998</v>
      </c>
      <c r="W4380" s="12">
        <v>11.99975518366201</v>
      </c>
      <c r="X4380" s="12">
        <v>110.8017650318812</v>
      </c>
      <c r="Y4380" s="12">
        <v>2610</v>
      </c>
      <c r="Z4380" s="12">
        <v>4.7826086956521738</v>
      </c>
      <c r="AA4380" s="12"/>
      <c r="AB4380" s="12" t="s">
        <v>1875</v>
      </c>
    </row>
    <row r="4381" spans="1:28" x14ac:dyDescent="0.3">
      <c r="A4381" s="12" t="s">
        <v>6321</v>
      </c>
      <c r="B4381" s="12" t="s">
        <v>217</v>
      </c>
      <c r="C4381" s="12" t="s">
        <v>691</v>
      </c>
      <c r="D4381" s="12" t="s">
        <v>226</v>
      </c>
      <c r="E4381" s="12" t="s">
        <v>6238</v>
      </c>
      <c r="F4381" s="12" t="s">
        <v>32</v>
      </c>
      <c r="G4381" s="12" t="s">
        <v>32</v>
      </c>
      <c r="H4381" s="12" t="b">
        <v>1</v>
      </c>
      <c r="I4381" s="12" t="b">
        <v>1</v>
      </c>
      <c r="J4381" s="12" t="b">
        <v>0</v>
      </c>
      <c r="K4381" s="12" t="b">
        <v>0</v>
      </c>
      <c r="L4381" s="12">
        <v>394.15</v>
      </c>
      <c r="M4381" s="12">
        <v>278.14999999999998</v>
      </c>
      <c r="N4381" s="12">
        <v>3300</v>
      </c>
      <c r="O4381" s="12">
        <v>690</v>
      </c>
      <c r="P4381" s="12">
        <v>0.82</v>
      </c>
      <c r="Q4381" s="12">
        <v>0.86428571428571421</v>
      </c>
      <c r="R4381" s="12">
        <v>0.8</v>
      </c>
      <c r="S4381" s="12">
        <v>0.85</v>
      </c>
      <c r="T4381" s="12">
        <v>0.75</v>
      </c>
      <c r="U4381" s="12">
        <v>0.95</v>
      </c>
      <c r="V4381" s="12">
        <v>283.14999999999998</v>
      </c>
      <c r="W4381" s="12">
        <v>12.20897039978898</v>
      </c>
      <c r="X4381" s="12">
        <v>112.74084194689711</v>
      </c>
      <c r="Y4381" s="12">
        <v>2610</v>
      </c>
      <c r="Z4381" s="12">
        <v>4.7826086956521738</v>
      </c>
      <c r="AA4381" s="12"/>
      <c r="AB4381" s="12" t="s">
        <v>1875</v>
      </c>
    </row>
    <row r="4382" spans="1:28" x14ac:dyDescent="0.3">
      <c r="A4382" s="12" t="s">
        <v>6322</v>
      </c>
      <c r="B4382" s="12" t="s">
        <v>217</v>
      </c>
      <c r="C4382" s="12" t="s">
        <v>691</v>
      </c>
      <c r="D4382" s="12" t="s">
        <v>226</v>
      </c>
      <c r="E4382" s="12" t="s">
        <v>6238</v>
      </c>
      <c r="F4382" s="12" t="s">
        <v>32</v>
      </c>
      <c r="G4382" s="12" t="s">
        <v>32</v>
      </c>
      <c r="H4382" s="12" t="b">
        <v>1</v>
      </c>
      <c r="I4382" s="12" t="b">
        <v>1</v>
      </c>
      <c r="J4382" s="12" t="b">
        <v>0</v>
      </c>
      <c r="K4382" s="12" t="b">
        <v>0</v>
      </c>
      <c r="L4382" s="12">
        <v>394.15</v>
      </c>
      <c r="M4382" s="12">
        <v>278.14999999999998</v>
      </c>
      <c r="N4382" s="12">
        <v>3300</v>
      </c>
      <c r="O4382" s="12">
        <v>690</v>
      </c>
      <c r="P4382" s="12">
        <v>0.82</v>
      </c>
      <c r="Q4382" s="12">
        <v>0.87857142857142856</v>
      </c>
      <c r="R4382" s="12">
        <v>0.8</v>
      </c>
      <c r="S4382" s="12">
        <v>0.85</v>
      </c>
      <c r="T4382" s="12">
        <v>0.75</v>
      </c>
      <c r="U4382" s="12">
        <v>0.95</v>
      </c>
      <c r="V4382" s="12">
        <v>283.14999999999998</v>
      </c>
      <c r="W4382" s="12">
        <v>12.418152711289171</v>
      </c>
      <c r="X4382" s="12">
        <v>114.6798632433202</v>
      </c>
      <c r="Y4382" s="12">
        <v>2610</v>
      </c>
      <c r="Z4382" s="12">
        <v>4.7826086956521738</v>
      </c>
      <c r="AA4382" s="12"/>
      <c r="AB4382" s="12" t="s">
        <v>1875</v>
      </c>
    </row>
    <row r="4383" spans="1:28" x14ac:dyDescent="0.3">
      <c r="A4383" s="12" t="s">
        <v>6323</v>
      </c>
      <c r="B4383" s="12" t="s">
        <v>217</v>
      </c>
      <c r="C4383" s="12" t="s">
        <v>691</v>
      </c>
      <c r="D4383" s="12" t="s">
        <v>226</v>
      </c>
      <c r="E4383" s="12" t="s">
        <v>6238</v>
      </c>
      <c r="F4383" s="12" t="s">
        <v>32</v>
      </c>
      <c r="G4383" s="12" t="s">
        <v>32</v>
      </c>
      <c r="H4383" s="12" t="b">
        <v>1</v>
      </c>
      <c r="I4383" s="12" t="b">
        <v>1</v>
      </c>
      <c r="J4383" s="12" t="b">
        <v>0</v>
      </c>
      <c r="K4383" s="12" t="b">
        <v>0</v>
      </c>
      <c r="L4383" s="12">
        <v>394.15</v>
      </c>
      <c r="M4383" s="12">
        <v>278.14999999999998</v>
      </c>
      <c r="N4383" s="12">
        <v>3300</v>
      </c>
      <c r="O4383" s="12">
        <v>690</v>
      </c>
      <c r="P4383" s="12">
        <v>0.82</v>
      </c>
      <c r="Q4383" s="12">
        <v>0.89285714285714279</v>
      </c>
      <c r="R4383" s="12">
        <v>0.8</v>
      </c>
      <c r="S4383" s="12">
        <v>0.85</v>
      </c>
      <c r="T4383" s="12">
        <v>0.75</v>
      </c>
      <c r="U4383" s="12">
        <v>0.95</v>
      </c>
      <c r="V4383" s="12">
        <v>283.14999999999998</v>
      </c>
      <c r="W4383" s="12">
        <v>12.627302126732401</v>
      </c>
      <c r="X4383" s="12">
        <v>116.6188289253562</v>
      </c>
      <c r="Y4383" s="12">
        <v>2610</v>
      </c>
      <c r="Z4383" s="12">
        <v>4.7826086956521738</v>
      </c>
      <c r="AA4383" s="12"/>
      <c r="AB4383" s="12" t="s">
        <v>1875</v>
      </c>
    </row>
    <row r="4384" spans="1:28" x14ac:dyDescent="0.3">
      <c r="A4384" s="12" t="s">
        <v>6324</v>
      </c>
      <c r="B4384" s="12" t="s">
        <v>217</v>
      </c>
      <c r="C4384" s="12" t="s">
        <v>691</v>
      </c>
      <c r="D4384" s="12" t="s">
        <v>226</v>
      </c>
      <c r="E4384" s="12" t="s">
        <v>6238</v>
      </c>
      <c r="F4384" s="12" t="s">
        <v>32</v>
      </c>
      <c r="G4384" s="12" t="s">
        <v>32</v>
      </c>
      <c r="H4384" s="12" t="b">
        <v>1</v>
      </c>
      <c r="I4384" s="12" t="b">
        <v>1</v>
      </c>
      <c r="J4384" s="12" t="b">
        <v>0</v>
      </c>
      <c r="K4384" s="12" t="b">
        <v>0</v>
      </c>
      <c r="L4384" s="12">
        <v>394.15</v>
      </c>
      <c r="M4384" s="12">
        <v>278.14999999999998</v>
      </c>
      <c r="N4384" s="12">
        <v>3300</v>
      </c>
      <c r="O4384" s="12">
        <v>690</v>
      </c>
      <c r="P4384" s="12">
        <v>0.82</v>
      </c>
      <c r="Q4384" s="12">
        <v>0.90714285714285725</v>
      </c>
      <c r="R4384" s="12">
        <v>0.8</v>
      </c>
      <c r="S4384" s="12">
        <v>0.85</v>
      </c>
      <c r="T4384" s="12">
        <v>0.75</v>
      </c>
      <c r="U4384" s="12">
        <v>0.95</v>
      </c>
      <c r="V4384" s="12">
        <v>283.14999999999998</v>
      </c>
      <c r="W4384" s="12">
        <v>12.83641865463925</v>
      </c>
      <c r="X4384" s="12">
        <v>118.5577389967976</v>
      </c>
      <c r="Y4384" s="12">
        <v>2610</v>
      </c>
      <c r="Z4384" s="12">
        <v>4.7826086956521738</v>
      </c>
      <c r="AA4384" s="12"/>
      <c r="AB4384" s="12" t="s">
        <v>1875</v>
      </c>
    </row>
    <row r="4385" spans="1:28" x14ac:dyDescent="0.3">
      <c r="A4385" s="12" t="s">
        <v>6325</v>
      </c>
      <c r="B4385" s="12" t="s">
        <v>217</v>
      </c>
      <c r="C4385" s="12" t="s">
        <v>691</v>
      </c>
      <c r="D4385" s="12" t="s">
        <v>226</v>
      </c>
      <c r="E4385" s="12" t="s">
        <v>6238</v>
      </c>
      <c r="F4385" s="12" t="s">
        <v>32</v>
      </c>
      <c r="G4385" s="12" t="s">
        <v>32</v>
      </c>
      <c r="H4385" s="12" t="b">
        <v>1</v>
      </c>
      <c r="I4385" s="12" t="b">
        <v>1</v>
      </c>
      <c r="J4385" s="12" t="b">
        <v>0</v>
      </c>
      <c r="K4385" s="12" t="b">
        <v>0</v>
      </c>
      <c r="L4385" s="12">
        <v>394.15</v>
      </c>
      <c r="M4385" s="12">
        <v>278.14999999999998</v>
      </c>
      <c r="N4385" s="12">
        <v>3300</v>
      </c>
      <c r="O4385" s="12">
        <v>690</v>
      </c>
      <c r="P4385" s="12">
        <v>0.82</v>
      </c>
      <c r="Q4385" s="12">
        <v>0.92142857142857137</v>
      </c>
      <c r="R4385" s="12">
        <v>0.8</v>
      </c>
      <c r="S4385" s="12">
        <v>0.85</v>
      </c>
      <c r="T4385" s="12">
        <v>0.75</v>
      </c>
      <c r="U4385" s="12">
        <v>0.95</v>
      </c>
      <c r="V4385" s="12">
        <v>283.14999999999998</v>
      </c>
      <c r="W4385" s="12">
        <v>13.04550230345121</v>
      </c>
      <c r="X4385" s="12">
        <v>120.4965934607104</v>
      </c>
      <c r="Y4385" s="12">
        <v>2610</v>
      </c>
      <c r="Z4385" s="12">
        <v>4.7826086956521738</v>
      </c>
      <c r="AA4385" s="12"/>
      <c r="AB4385" s="12" t="s">
        <v>1875</v>
      </c>
    </row>
    <row r="4386" spans="1:28" x14ac:dyDescent="0.3">
      <c r="A4386" s="12" t="s">
        <v>6326</v>
      </c>
      <c r="B4386" s="12" t="s">
        <v>217</v>
      </c>
      <c r="C4386" s="12" t="s">
        <v>691</v>
      </c>
      <c r="D4386" s="12" t="s">
        <v>226</v>
      </c>
      <c r="E4386" s="12" t="s">
        <v>6238</v>
      </c>
      <c r="F4386" s="12" t="s">
        <v>32</v>
      </c>
      <c r="G4386" s="12" t="s">
        <v>32</v>
      </c>
      <c r="H4386" s="12" t="b">
        <v>1</v>
      </c>
      <c r="I4386" s="12" t="b">
        <v>1</v>
      </c>
      <c r="J4386" s="12" t="b">
        <v>0</v>
      </c>
      <c r="K4386" s="12" t="b">
        <v>0</v>
      </c>
      <c r="L4386" s="12">
        <v>394.15</v>
      </c>
      <c r="M4386" s="12">
        <v>278.14999999999998</v>
      </c>
      <c r="N4386" s="12">
        <v>3300</v>
      </c>
      <c r="O4386" s="12">
        <v>690</v>
      </c>
      <c r="P4386" s="12">
        <v>0.82</v>
      </c>
      <c r="Q4386" s="12">
        <v>0.93571428571428561</v>
      </c>
      <c r="R4386" s="12">
        <v>0.8</v>
      </c>
      <c r="S4386" s="12">
        <v>0.85</v>
      </c>
      <c r="T4386" s="12">
        <v>0.75</v>
      </c>
      <c r="U4386" s="12">
        <v>0.95</v>
      </c>
      <c r="V4386" s="12">
        <v>283.14999999999998</v>
      </c>
      <c r="W4386" s="12">
        <v>13.254553081809769</v>
      </c>
      <c r="X4386" s="12">
        <v>122.4353923220542</v>
      </c>
      <c r="Y4386" s="12">
        <v>2610</v>
      </c>
      <c r="Z4386" s="12">
        <v>4.7826086956521738</v>
      </c>
      <c r="AA4386" s="12"/>
      <c r="AB4386" s="12" t="s">
        <v>1875</v>
      </c>
    </row>
    <row r="4387" spans="1:28" x14ac:dyDescent="0.3">
      <c r="A4387" s="12" t="s">
        <v>6327</v>
      </c>
      <c r="B4387" s="12" t="s">
        <v>217</v>
      </c>
      <c r="C4387" s="12" t="s">
        <v>691</v>
      </c>
      <c r="D4387" s="12" t="s">
        <v>226</v>
      </c>
      <c r="E4387" s="12" t="s">
        <v>6238</v>
      </c>
      <c r="F4387" s="12" t="s">
        <v>32</v>
      </c>
      <c r="G4387" s="12" t="s">
        <v>32</v>
      </c>
      <c r="H4387" s="12" t="b">
        <v>1</v>
      </c>
      <c r="I4387" s="12" t="b">
        <v>1</v>
      </c>
      <c r="J4387" s="12" t="b">
        <v>0</v>
      </c>
      <c r="K4387" s="12" t="b">
        <v>0</v>
      </c>
      <c r="L4387" s="12">
        <v>394.15</v>
      </c>
      <c r="M4387" s="12">
        <v>278.14999999999998</v>
      </c>
      <c r="N4387" s="12">
        <v>3300</v>
      </c>
      <c r="O4387" s="12">
        <v>690</v>
      </c>
      <c r="P4387" s="12">
        <v>0.82</v>
      </c>
      <c r="Q4387" s="12">
        <v>0.95</v>
      </c>
      <c r="R4387" s="12">
        <v>0.8</v>
      </c>
      <c r="S4387" s="12">
        <v>0.85</v>
      </c>
      <c r="T4387" s="12">
        <v>0.75</v>
      </c>
      <c r="U4387" s="12">
        <v>0.95</v>
      </c>
      <c r="V4387" s="12">
        <v>283.14999999999998</v>
      </c>
      <c r="W4387" s="12">
        <v>13.463570998132139</v>
      </c>
      <c r="X4387" s="12">
        <v>124.37413558374141</v>
      </c>
      <c r="Y4387" s="12">
        <v>2610</v>
      </c>
      <c r="Z4387" s="12">
        <v>4.7826086956521738</v>
      </c>
      <c r="AA4387" s="12"/>
      <c r="AB4387" s="12" t="s">
        <v>1875</v>
      </c>
    </row>
    <row r="4388" spans="1:28" x14ac:dyDescent="0.3">
      <c r="A4388" s="12" t="s">
        <v>6328</v>
      </c>
      <c r="B4388" s="12" t="s">
        <v>217</v>
      </c>
      <c r="C4388" s="12" t="s">
        <v>691</v>
      </c>
      <c r="D4388" s="12" t="s">
        <v>226</v>
      </c>
      <c r="E4388" s="12" t="s">
        <v>6238</v>
      </c>
      <c r="F4388" s="12" t="s">
        <v>32</v>
      </c>
      <c r="G4388" s="12" t="s">
        <v>32</v>
      </c>
      <c r="H4388" s="12" t="b">
        <v>1</v>
      </c>
      <c r="I4388" s="12" t="b">
        <v>1</v>
      </c>
      <c r="J4388" s="12" t="b">
        <v>0</v>
      </c>
      <c r="K4388" s="12" t="b">
        <v>0</v>
      </c>
      <c r="L4388" s="12">
        <v>394.15</v>
      </c>
      <c r="M4388" s="12">
        <v>278.14999999999998</v>
      </c>
      <c r="N4388" s="12">
        <v>3300</v>
      </c>
      <c r="O4388" s="12">
        <v>690</v>
      </c>
      <c r="P4388" s="12">
        <v>0.82</v>
      </c>
      <c r="Q4388" s="12">
        <v>0.9</v>
      </c>
      <c r="R4388" s="12">
        <v>0.6</v>
      </c>
      <c r="S4388" s="12">
        <v>0.85</v>
      </c>
      <c r="T4388" s="12">
        <v>0.75</v>
      </c>
      <c r="U4388" s="12">
        <v>0.95</v>
      </c>
      <c r="V4388" s="12">
        <v>283.14999999999998</v>
      </c>
      <c r="W4388" s="12">
        <v>12.57955171117227</v>
      </c>
      <c r="X4388" s="12">
        <v>116.0620709702313</v>
      </c>
      <c r="Y4388" s="12">
        <v>2610</v>
      </c>
      <c r="Z4388" s="12">
        <v>4.7826086956521738</v>
      </c>
      <c r="AA4388" s="12"/>
      <c r="AB4388" s="12" t="s">
        <v>1876</v>
      </c>
    </row>
    <row r="4389" spans="1:28" x14ac:dyDescent="0.3">
      <c r="A4389" s="12" t="s">
        <v>6329</v>
      </c>
      <c r="B4389" s="12" t="s">
        <v>217</v>
      </c>
      <c r="C4389" s="12" t="s">
        <v>691</v>
      </c>
      <c r="D4389" s="12" t="s">
        <v>226</v>
      </c>
      <c r="E4389" s="12" t="s">
        <v>6238</v>
      </c>
      <c r="F4389" s="12" t="s">
        <v>32</v>
      </c>
      <c r="G4389" s="12" t="s">
        <v>32</v>
      </c>
      <c r="H4389" s="12" t="b">
        <v>1</v>
      </c>
      <c r="I4389" s="12" t="b">
        <v>1</v>
      </c>
      <c r="J4389" s="12" t="b">
        <v>0</v>
      </c>
      <c r="K4389" s="12" t="b">
        <v>0</v>
      </c>
      <c r="L4389" s="12">
        <v>394.15</v>
      </c>
      <c r="M4389" s="12">
        <v>278.14999999999998</v>
      </c>
      <c r="N4389" s="12">
        <v>3300</v>
      </c>
      <c r="O4389" s="12">
        <v>690</v>
      </c>
      <c r="P4389" s="12">
        <v>0.82</v>
      </c>
      <c r="Q4389" s="12">
        <v>0.9</v>
      </c>
      <c r="R4389" s="12">
        <v>0.62142857142857144</v>
      </c>
      <c r="S4389" s="12">
        <v>0.85</v>
      </c>
      <c r="T4389" s="12">
        <v>0.75</v>
      </c>
      <c r="U4389" s="12">
        <v>0.95</v>
      </c>
      <c r="V4389" s="12">
        <v>283.14999999999998</v>
      </c>
      <c r="W4389" s="12">
        <v>12.60057899281016</v>
      </c>
      <c r="X4389" s="12">
        <v>116.2725857120826</v>
      </c>
      <c r="Y4389" s="12">
        <v>2610</v>
      </c>
      <c r="Z4389" s="12">
        <v>4.7826086956521738</v>
      </c>
      <c r="AA4389" s="12"/>
      <c r="AB4389" s="12" t="s">
        <v>1876</v>
      </c>
    </row>
    <row r="4390" spans="1:28" x14ac:dyDescent="0.3">
      <c r="A4390" s="12" t="s">
        <v>6330</v>
      </c>
      <c r="B4390" s="12" t="s">
        <v>217</v>
      </c>
      <c r="C4390" s="12" t="s">
        <v>691</v>
      </c>
      <c r="D4390" s="12" t="s">
        <v>226</v>
      </c>
      <c r="E4390" s="12" t="s">
        <v>6238</v>
      </c>
      <c r="F4390" s="12" t="s">
        <v>32</v>
      </c>
      <c r="G4390" s="12" t="s">
        <v>32</v>
      </c>
      <c r="H4390" s="12" t="b">
        <v>1</v>
      </c>
      <c r="I4390" s="12" t="b">
        <v>1</v>
      </c>
      <c r="J4390" s="12" t="b">
        <v>0</v>
      </c>
      <c r="K4390" s="12" t="b">
        <v>0</v>
      </c>
      <c r="L4390" s="12">
        <v>394.15</v>
      </c>
      <c r="M4390" s="12">
        <v>278.14999999999998</v>
      </c>
      <c r="N4390" s="12">
        <v>3300</v>
      </c>
      <c r="O4390" s="12">
        <v>690</v>
      </c>
      <c r="P4390" s="12">
        <v>0.82</v>
      </c>
      <c r="Q4390" s="12">
        <v>0.9</v>
      </c>
      <c r="R4390" s="12">
        <v>0.64285714285714279</v>
      </c>
      <c r="S4390" s="12">
        <v>0.85</v>
      </c>
      <c r="T4390" s="12">
        <v>0.75</v>
      </c>
      <c r="U4390" s="12">
        <v>0.95</v>
      </c>
      <c r="V4390" s="12">
        <v>283.14999999999998</v>
      </c>
      <c r="W4390" s="12">
        <v>12.62019907503039</v>
      </c>
      <c r="X4390" s="12">
        <v>116.4690656623502</v>
      </c>
      <c r="Y4390" s="12">
        <v>2610</v>
      </c>
      <c r="Z4390" s="12">
        <v>4.7826086956521738</v>
      </c>
      <c r="AA4390" s="12"/>
      <c r="AB4390" s="12" t="s">
        <v>1876</v>
      </c>
    </row>
    <row r="4391" spans="1:28" x14ac:dyDescent="0.3">
      <c r="A4391" s="12" t="s">
        <v>6331</v>
      </c>
      <c r="B4391" s="12" t="s">
        <v>217</v>
      </c>
      <c r="C4391" s="12" t="s">
        <v>691</v>
      </c>
      <c r="D4391" s="12" t="s">
        <v>226</v>
      </c>
      <c r="E4391" s="12" t="s">
        <v>6238</v>
      </c>
      <c r="F4391" s="12" t="s">
        <v>32</v>
      </c>
      <c r="G4391" s="12" t="s">
        <v>32</v>
      </c>
      <c r="H4391" s="12" t="b">
        <v>1</v>
      </c>
      <c r="I4391" s="12" t="b">
        <v>1</v>
      </c>
      <c r="J4391" s="12" t="b">
        <v>0</v>
      </c>
      <c r="K4391" s="12" t="b">
        <v>0</v>
      </c>
      <c r="L4391" s="12">
        <v>394.15</v>
      </c>
      <c r="M4391" s="12">
        <v>278.14999999999998</v>
      </c>
      <c r="N4391" s="12">
        <v>3300</v>
      </c>
      <c r="O4391" s="12">
        <v>690</v>
      </c>
      <c r="P4391" s="12">
        <v>0.82</v>
      </c>
      <c r="Q4391" s="12">
        <v>0.9</v>
      </c>
      <c r="R4391" s="12">
        <v>0.66428571428571426</v>
      </c>
      <c r="S4391" s="12">
        <v>0.85</v>
      </c>
      <c r="T4391" s="12">
        <v>0.75</v>
      </c>
      <c r="U4391" s="12">
        <v>0.95</v>
      </c>
      <c r="V4391" s="12">
        <v>283.14999999999998</v>
      </c>
      <c r="W4391" s="12">
        <v>12.638548644484491</v>
      </c>
      <c r="X4391" s="12">
        <v>116.652869071685</v>
      </c>
      <c r="Y4391" s="12">
        <v>2610</v>
      </c>
      <c r="Z4391" s="12">
        <v>4.7826086956521738</v>
      </c>
      <c r="AA4391" s="12"/>
      <c r="AB4391" s="12" t="s">
        <v>1876</v>
      </c>
    </row>
    <row r="4392" spans="1:28" x14ac:dyDescent="0.3">
      <c r="A4392" s="12" t="s">
        <v>6332</v>
      </c>
      <c r="B4392" s="12" t="s">
        <v>217</v>
      </c>
      <c r="C4392" s="12" t="s">
        <v>691</v>
      </c>
      <c r="D4392" s="12" t="s">
        <v>226</v>
      </c>
      <c r="E4392" s="12" t="s">
        <v>6238</v>
      </c>
      <c r="F4392" s="12" t="s">
        <v>32</v>
      </c>
      <c r="G4392" s="12" t="s">
        <v>32</v>
      </c>
      <c r="H4392" s="12" t="b">
        <v>1</v>
      </c>
      <c r="I4392" s="12" t="b">
        <v>1</v>
      </c>
      <c r="J4392" s="12" t="b">
        <v>0</v>
      </c>
      <c r="K4392" s="12" t="b">
        <v>0</v>
      </c>
      <c r="L4392" s="12">
        <v>394.15</v>
      </c>
      <c r="M4392" s="12">
        <v>278.14999999999998</v>
      </c>
      <c r="N4392" s="12">
        <v>3300</v>
      </c>
      <c r="O4392" s="12">
        <v>690</v>
      </c>
      <c r="P4392" s="12">
        <v>0.82</v>
      </c>
      <c r="Q4392" s="12">
        <v>0.9</v>
      </c>
      <c r="R4392" s="12">
        <v>0.68571428571428572</v>
      </c>
      <c r="S4392" s="12">
        <v>0.85</v>
      </c>
      <c r="T4392" s="12">
        <v>0.75</v>
      </c>
      <c r="U4392" s="12">
        <v>0.95</v>
      </c>
      <c r="V4392" s="12">
        <v>283.14999999999998</v>
      </c>
      <c r="W4392" s="12">
        <v>12.65574724035371</v>
      </c>
      <c r="X4392" s="12">
        <v>116.8251844029101</v>
      </c>
      <c r="Y4392" s="12">
        <v>2610</v>
      </c>
      <c r="Z4392" s="12">
        <v>4.7826086956521738</v>
      </c>
      <c r="AA4392" s="12"/>
      <c r="AB4392" s="12" t="s">
        <v>1876</v>
      </c>
    </row>
    <row r="4393" spans="1:28" x14ac:dyDescent="0.3">
      <c r="A4393" s="12" t="s">
        <v>6333</v>
      </c>
      <c r="B4393" s="12" t="s">
        <v>217</v>
      </c>
      <c r="C4393" s="12" t="s">
        <v>691</v>
      </c>
      <c r="D4393" s="12" t="s">
        <v>226</v>
      </c>
      <c r="E4393" s="12" t="s">
        <v>6238</v>
      </c>
      <c r="F4393" s="12" t="s">
        <v>32</v>
      </c>
      <c r="G4393" s="12" t="s">
        <v>32</v>
      </c>
      <c r="H4393" s="12" t="b">
        <v>1</v>
      </c>
      <c r="I4393" s="12" t="b">
        <v>1</v>
      </c>
      <c r="J4393" s="12" t="b">
        <v>0</v>
      </c>
      <c r="K4393" s="12" t="b">
        <v>0</v>
      </c>
      <c r="L4393" s="12">
        <v>394.15</v>
      </c>
      <c r="M4393" s="12">
        <v>278.14999999999998</v>
      </c>
      <c r="N4393" s="12">
        <v>3300</v>
      </c>
      <c r="O4393" s="12">
        <v>690</v>
      </c>
      <c r="P4393" s="12">
        <v>0.82</v>
      </c>
      <c r="Q4393" s="12">
        <v>0.9</v>
      </c>
      <c r="R4393" s="12">
        <v>0.70714285714285718</v>
      </c>
      <c r="S4393" s="12">
        <v>0.85</v>
      </c>
      <c r="T4393" s="12">
        <v>0.75</v>
      </c>
      <c r="U4393" s="12">
        <v>0.95</v>
      </c>
      <c r="V4393" s="12">
        <v>283.14999999999998</v>
      </c>
      <c r="W4393" s="12">
        <v>12.671899861750409</v>
      </c>
      <c r="X4393" s="12">
        <v>116.9870560593656</v>
      </c>
      <c r="Y4393" s="12">
        <v>2610</v>
      </c>
      <c r="Z4393" s="12">
        <v>4.7826086956521738</v>
      </c>
      <c r="AA4393" s="12"/>
      <c r="AB4393" s="12" t="s">
        <v>1876</v>
      </c>
    </row>
    <row r="4394" spans="1:28" x14ac:dyDescent="0.3">
      <c r="A4394" s="12" t="s">
        <v>6334</v>
      </c>
      <c r="B4394" s="12" t="s">
        <v>217</v>
      </c>
      <c r="C4394" s="12" t="s">
        <v>691</v>
      </c>
      <c r="D4394" s="12" t="s">
        <v>226</v>
      </c>
      <c r="E4394" s="12" t="s">
        <v>6238</v>
      </c>
      <c r="F4394" s="12" t="s">
        <v>32</v>
      </c>
      <c r="G4394" s="12" t="s">
        <v>32</v>
      </c>
      <c r="H4394" s="12" t="b">
        <v>1</v>
      </c>
      <c r="I4394" s="12" t="b">
        <v>1</v>
      </c>
      <c r="J4394" s="12" t="b">
        <v>0</v>
      </c>
      <c r="K4394" s="12" t="b">
        <v>0</v>
      </c>
      <c r="L4394" s="12">
        <v>394.15</v>
      </c>
      <c r="M4394" s="12">
        <v>278.14999999999998</v>
      </c>
      <c r="N4394" s="12">
        <v>3300</v>
      </c>
      <c r="O4394" s="12">
        <v>690</v>
      </c>
      <c r="P4394" s="12">
        <v>0.82</v>
      </c>
      <c r="Q4394" s="12">
        <v>0.9</v>
      </c>
      <c r="R4394" s="12">
        <v>0.72857142857142854</v>
      </c>
      <c r="S4394" s="12">
        <v>0.85</v>
      </c>
      <c r="T4394" s="12">
        <v>0.75</v>
      </c>
      <c r="U4394" s="12">
        <v>0.95</v>
      </c>
      <c r="V4394" s="12">
        <v>283.14999999999998</v>
      </c>
      <c r="W4394" s="12">
        <v>12.687099113013071</v>
      </c>
      <c r="X4394" s="12">
        <v>117.1394055689241</v>
      </c>
      <c r="Y4394" s="12">
        <v>2610</v>
      </c>
      <c r="Z4394" s="12">
        <v>4.7826086956521738</v>
      </c>
      <c r="AA4394" s="12"/>
      <c r="AB4394" s="12" t="s">
        <v>1876</v>
      </c>
    </row>
    <row r="4395" spans="1:28" x14ac:dyDescent="0.3">
      <c r="A4395" s="12" t="s">
        <v>6335</v>
      </c>
      <c r="B4395" s="12" t="s">
        <v>217</v>
      </c>
      <c r="C4395" s="12" t="s">
        <v>691</v>
      </c>
      <c r="D4395" s="12" t="s">
        <v>226</v>
      </c>
      <c r="E4395" s="12" t="s">
        <v>6238</v>
      </c>
      <c r="F4395" s="12" t="s">
        <v>32</v>
      </c>
      <c r="G4395" s="12" t="s">
        <v>32</v>
      </c>
      <c r="H4395" s="12" t="b">
        <v>1</v>
      </c>
      <c r="I4395" s="12" t="b">
        <v>1</v>
      </c>
      <c r="J4395" s="12" t="b">
        <v>0</v>
      </c>
      <c r="K4395" s="12" t="b">
        <v>0</v>
      </c>
      <c r="L4395" s="12">
        <v>394.15</v>
      </c>
      <c r="M4395" s="12">
        <v>278.14999999999998</v>
      </c>
      <c r="N4395" s="12">
        <v>3300</v>
      </c>
      <c r="O4395" s="12">
        <v>690</v>
      </c>
      <c r="P4395" s="12">
        <v>0.82</v>
      </c>
      <c r="Q4395" s="12">
        <v>0.9</v>
      </c>
      <c r="R4395" s="12">
        <v>0.75</v>
      </c>
      <c r="S4395" s="12">
        <v>0.85</v>
      </c>
      <c r="T4395" s="12">
        <v>0.75</v>
      </c>
      <c r="U4395" s="12">
        <v>0.95</v>
      </c>
      <c r="V4395" s="12">
        <v>283.14999999999998</v>
      </c>
      <c r="W4395" s="12">
        <v>12.7014269803761</v>
      </c>
      <c r="X4395" s="12">
        <v>117.2830491395838</v>
      </c>
      <c r="Y4395" s="12">
        <v>2610</v>
      </c>
      <c r="Z4395" s="12">
        <v>4.7826086956521738</v>
      </c>
      <c r="AA4395" s="12"/>
      <c r="AB4395" s="12" t="s">
        <v>1876</v>
      </c>
    </row>
    <row r="4396" spans="1:28" x14ac:dyDescent="0.3">
      <c r="A4396" s="12" t="s">
        <v>6336</v>
      </c>
      <c r="B4396" s="12" t="s">
        <v>217</v>
      </c>
      <c r="C4396" s="12" t="s">
        <v>691</v>
      </c>
      <c r="D4396" s="12" t="s">
        <v>226</v>
      </c>
      <c r="E4396" s="12" t="s">
        <v>6238</v>
      </c>
      <c r="F4396" s="12" t="s">
        <v>32</v>
      </c>
      <c r="G4396" s="12" t="s">
        <v>32</v>
      </c>
      <c r="H4396" s="12" t="b">
        <v>1</v>
      </c>
      <c r="I4396" s="12" t="b">
        <v>1</v>
      </c>
      <c r="J4396" s="12" t="b">
        <v>0</v>
      </c>
      <c r="K4396" s="12" t="b">
        <v>0</v>
      </c>
      <c r="L4396" s="12">
        <v>394.15</v>
      </c>
      <c r="M4396" s="12">
        <v>278.14999999999998</v>
      </c>
      <c r="N4396" s="12">
        <v>3300</v>
      </c>
      <c r="O4396" s="12">
        <v>690</v>
      </c>
      <c r="P4396" s="12">
        <v>0.82</v>
      </c>
      <c r="Q4396" s="12">
        <v>0.9</v>
      </c>
      <c r="R4396" s="12">
        <v>0.77142857142857146</v>
      </c>
      <c r="S4396" s="12">
        <v>0.85</v>
      </c>
      <c r="T4396" s="12">
        <v>0.75</v>
      </c>
      <c r="U4396" s="12">
        <v>0.95</v>
      </c>
      <c r="V4396" s="12">
        <v>283.14999999999998</v>
      </c>
      <c r="W4396" s="12">
        <v>12.714956311289949</v>
      </c>
      <c r="X4396" s="12">
        <v>117.41871228641681</v>
      </c>
      <c r="Y4396" s="12">
        <v>2610</v>
      </c>
      <c r="Z4396" s="12">
        <v>4.7826086956521738</v>
      </c>
      <c r="AA4396" s="12"/>
      <c r="AB4396" s="12" t="s">
        <v>1876</v>
      </c>
    </row>
    <row r="4397" spans="1:28" x14ac:dyDescent="0.3">
      <c r="A4397" s="12" t="s">
        <v>6337</v>
      </c>
      <c r="B4397" s="12" t="s">
        <v>217</v>
      </c>
      <c r="C4397" s="12" t="s">
        <v>691</v>
      </c>
      <c r="D4397" s="12" t="s">
        <v>226</v>
      </c>
      <c r="E4397" s="12" t="s">
        <v>6238</v>
      </c>
      <c r="F4397" s="12" t="s">
        <v>32</v>
      </c>
      <c r="G4397" s="12" t="s">
        <v>32</v>
      </c>
      <c r="H4397" s="12" t="b">
        <v>1</v>
      </c>
      <c r="I4397" s="12" t="b">
        <v>1</v>
      </c>
      <c r="J4397" s="12" t="b">
        <v>0</v>
      </c>
      <c r="K4397" s="12" t="b">
        <v>0</v>
      </c>
      <c r="L4397" s="12">
        <v>394.15</v>
      </c>
      <c r="M4397" s="12">
        <v>278.14999999999998</v>
      </c>
      <c r="N4397" s="12">
        <v>3300</v>
      </c>
      <c r="O4397" s="12">
        <v>690</v>
      </c>
      <c r="P4397" s="12">
        <v>0.82</v>
      </c>
      <c r="Q4397" s="12">
        <v>0.9</v>
      </c>
      <c r="R4397" s="12">
        <v>0.79285714285714293</v>
      </c>
      <c r="S4397" s="12">
        <v>0.85</v>
      </c>
      <c r="T4397" s="12">
        <v>0.75</v>
      </c>
      <c r="U4397" s="12">
        <v>0.95</v>
      </c>
      <c r="V4397" s="12">
        <v>283.14999999999998</v>
      </c>
      <c r="W4397" s="12">
        <v>12.72775205333601</v>
      </c>
      <c r="X4397" s="12">
        <v>117.54704208861109</v>
      </c>
      <c r="Y4397" s="12">
        <v>2610</v>
      </c>
      <c r="Z4397" s="12">
        <v>4.7826086956521738</v>
      </c>
      <c r="AA4397" s="12"/>
      <c r="AB4397" s="12" t="s">
        <v>1876</v>
      </c>
    </row>
    <row r="4398" spans="1:28" x14ac:dyDescent="0.3">
      <c r="A4398" s="12" t="s">
        <v>6338</v>
      </c>
      <c r="B4398" s="12" t="s">
        <v>217</v>
      </c>
      <c r="C4398" s="12" t="s">
        <v>691</v>
      </c>
      <c r="D4398" s="12" t="s">
        <v>226</v>
      </c>
      <c r="E4398" s="12" t="s">
        <v>6238</v>
      </c>
      <c r="F4398" s="12" t="s">
        <v>32</v>
      </c>
      <c r="G4398" s="12" t="s">
        <v>32</v>
      </c>
      <c r="H4398" s="12" t="b">
        <v>1</v>
      </c>
      <c r="I4398" s="12" t="b">
        <v>1</v>
      </c>
      <c r="J4398" s="12" t="b">
        <v>0</v>
      </c>
      <c r="K4398" s="12" t="b">
        <v>0</v>
      </c>
      <c r="L4398" s="12">
        <v>394.15</v>
      </c>
      <c r="M4398" s="12">
        <v>278.14999999999998</v>
      </c>
      <c r="N4398" s="12">
        <v>3300</v>
      </c>
      <c r="O4398" s="12">
        <v>690</v>
      </c>
      <c r="P4398" s="12">
        <v>0.82</v>
      </c>
      <c r="Q4398" s="12">
        <v>0.9</v>
      </c>
      <c r="R4398" s="12">
        <v>0.81428571428571428</v>
      </c>
      <c r="S4398" s="12">
        <v>0.85</v>
      </c>
      <c r="T4398" s="12">
        <v>0.75</v>
      </c>
      <c r="U4398" s="12">
        <v>0.95</v>
      </c>
      <c r="V4398" s="12">
        <v>283.14999999999998</v>
      </c>
      <c r="W4398" s="12">
        <v>12.73987229682464</v>
      </c>
      <c r="X4398" s="12">
        <v>117.6686175101852</v>
      </c>
      <c r="Y4398" s="12">
        <v>2610</v>
      </c>
      <c r="Z4398" s="12">
        <v>4.7826086956521738</v>
      </c>
      <c r="AA4398" s="12"/>
      <c r="AB4398" s="12" t="s">
        <v>1876</v>
      </c>
    </row>
    <row r="4399" spans="1:28" x14ac:dyDescent="0.3">
      <c r="A4399" s="12" t="s">
        <v>6339</v>
      </c>
      <c r="B4399" s="12" t="s">
        <v>217</v>
      </c>
      <c r="C4399" s="12" t="s">
        <v>691</v>
      </c>
      <c r="D4399" s="12" t="s">
        <v>226</v>
      </c>
      <c r="E4399" s="12" t="s">
        <v>6238</v>
      </c>
      <c r="F4399" s="12" t="s">
        <v>32</v>
      </c>
      <c r="G4399" s="12" t="s">
        <v>32</v>
      </c>
      <c r="H4399" s="12" t="b">
        <v>1</v>
      </c>
      <c r="I4399" s="12" t="b">
        <v>1</v>
      </c>
      <c r="J4399" s="12" t="b">
        <v>0</v>
      </c>
      <c r="K4399" s="12" t="b">
        <v>0</v>
      </c>
      <c r="L4399" s="12">
        <v>394.15</v>
      </c>
      <c r="M4399" s="12">
        <v>278.14999999999998</v>
      </c>
      <c r="N4399" s="12">
        <v>3300</v>
      </c>
      <c r="O4399" s="12">
        <v>690</v>
      </c>
      <c r="P4399" s="12">
        <v>0.82</v>
      </c>
      <c r="Q4399" s="12">
        <v>0.9</v>
      </c>
      <c r="R4399" s="12">
        <v>0.85714285714285721</v>
      </c>
      <c r="S4399" s="12">
        <v>0.85</v>
      </c>
      <c r="T4399" s="12">
        <v>0.75</v>
      </c>
      <c r="U4399" s="12">
        <v>0.95</v>
      </c>
      <c r="V4399" s="12">
        <v>283.14999999999998</v>
      </c>
      <c r="W4399" s="12">
        <v>12.76228952045992</v>
      </c>
      <c r="X4399" s="12">
        <v>117.8935315764344</v>
      </c>
      <c r="Y4399" s="12">
        <v>2610</v>
      </c>
      <c r="Z4399" s="12">
        <v>4.7826086956521738</v>
      </c>
      <c r="AA4399" s="12"/>
      <c r="AB4399" s="12" t="s">
        <v>1876</v>
      </c>
    </row>
    <row r="4400" spans="1:28" x14ac:dyDescent="0.3">
      <c r="A4400" s="12" t="s">
        <v>6340</v>
      </c>
      <c r="B4400" s="12" t="s">
        <v>217</v>
      </c>
      <c r="C4400" s="12" t="s">
        <v>691</v>
      </c>
      <c r="D4400" s="12" t="s">
        <v>226</v>
      </c>
      <c r="E4400" s="12" t="s">
        <v>6238</v>
      </c>
      <c r="F4400" s="12" t="s">
        <v>32</v>
      </c>
      <c r="G4400" s="12" t="s">
        <v>32</v>
      </c>
      <c r="H4400" s="12" t="b">
        <v>1</v>
      </c>
      <c r="I4400" s="12" t="b">
        <v>1</v>
      </c>
      <c r="J4400" s="12" t="b">
        <v>0</v>
      </c>
      <c r="K4400" s="12" t="b">
        <v>0</v>
      </c>
      <c r="L4400" s="12">
        <v>394.15</v>
      </c>
      <c r="M4400" s="12">
        <v>278.14999999999998</v>
      </c>
      <c r="N4400" s="12">
        <v>3300</v>
      </c>
      <c r="O4400" s="12">
        <v>690</v>
      </c>
      <c r="P4400" s="12">
        <v>0.82</v>
      </c>
      <c r="Q4400" s="12">
        <v>0.9</v>
      </c>
      <c r="R4400" s="12">
        <v>0.83571428571428574</v>
      </c>
      <c r="S4400" s="12">
        <v>0.85</v>
      </c>
      <c r="T4400" s="12">
        <v>0.75</v>
      </c>
      <c r="U4400" s="12">
        <v>0.95</v>
      </c>
      <c r="V4400" s="12">
        <v>283.14999999999998</v>
      </c>
      <c r="W4400" s="12">
        <v>12.75136915643556</v>
      </c>
      <c r="X4400" s="12">
        <v>117.78395813205989</v>
      </c>
      <c r="Y4400" s="12">
        <v>2610</v>
      </c>
      <c r="Z4400" s="12">
        <v>4.7826086956521738</v>
      </c>
      <c r="AA4400" s="12"/>
      <c r="AB4400" s="12" t="s">
        <v>1876</v>
      </c>
    </row>
    <row r="4401" spans="1:28" x14ac:dyDescent="0.3">
      <c r="A4401" s="12" t="s">
        <v>6341</v>
      </c>
      <c r="B4401" s="12" t="s">
        <v>217</v>
      </c>
      <c r="C4401" s="12" t="s">
        <v>691</v>
      </c>
      <c r="D4401" s="12" t="s">
        <v>226</v>
      </c>
      <c r="E4401" s="12" t="s">
        <v>6238</v>
      </c>
      <c r="F4401" s="12" t="s">
        <v>32</v>
      </c>
      <c r="G4401" s="12" t="s">
        <v>32</v>
      </c>
      <c r="H4401" s="12" t="b">
        <v>1</v>
      </c>
      <c r="I4401" s="12" t="b">
        <v>1</v>
      </c>
      <c r="J4401" s="12" t="b">
        <v>0</v>
      </c>
      <c r="K4401" s="12" t="b">
        <v>0</v>
      </c>
      <c r="L4401" s="12">
        <v>394.15</v>
      </c>
      <c r="M4401" s="12">
        <v>278.14999999999998</v>
      </c>
      <c r="N4401" s="12">
        <v>3300</v>
      </c>
      <c r="O4401" s="12">
        <v>690</v>
      </c>
      <c r="P4401" s="12">
        <v>0.82</v>
      </c>
      <c r="Q4401" s="12">
        <v>0.9</v>
      </c>
      <c r="R4401" s="12">
        <v>0.87857142857142856</v>
      </c>
      <c r="S4401" s="12">
        <v>0.85</v>
      </c>
      <c r="T4401" s="12">
        <v>0.75</v>
      </c>
      <c r="U4401" s="12">
        <v>0.95</v>
      </c>
      <c r="V4401" s="12">
        <v>283.14999999999998</v>
      </c>
      <c r="W4401" s="12">
        <v>12.772675689807659</v>
      </c>
      <c r="X4401" s="12">
        <v>117.99775984200311</v>
      </c>
      <c r="Y4401" s="12">
        <v>2610</v>
      </c>
      <c r="Z4401" s="12">
        <v>4.7826086956521738</v>
      </c>
      <c r="AA4401" s="12"/>
      <c r="AB4401" s="12" t="s">
        <v>1876</v>
      </c>
    </row>
    <row r="4402" spans="1:28" x14ac:dyDescent="0.3">
      <c r="A4402" s="12" t="s">
        <v>6342</v>
      </c>
      <c r="B4402" s="12" t="s">
        <v>217</v>
      </c>
      <c r="C4402" s="12" t="s">
        <v>691</v>
      </c>
      <c r="D4402" s="12" t="s">
        <v>226</v>
      </c>
      <c r="E4402" s="12" t="s">
        <v>6238</v>
      </c>
      <c r="F4402" s="12" t="s">
        <v>32</v>
      </c>
      <c r="G4402" s="12" t="s">
        <v>32</v>
      </c>
      <c r="H4402" s="12" t="b">
        <v>1</v>
      </c>
      <c r="I4402" s="12" t="b">
        <v>1</v>
      </c>
      <c r="J4402" s="12" t="b">
        <v>0</v>
      </c>
      <c r="K4402" s="12" t="b">
        <v>0</v>
      </c>
      <c r="L4402" s="12">
        <v>394.15</v>
      </c>
      <c r="M4402" s="12">
        <v>278.14999999999998</v>
      </c>
      <c r="N4402" s="12">
        <v>3300</v>
      </c>
      <c r="O4402" s="12">
        <v>690</v>
      </c>
      <c r="P4402" s="12">
        <v>0.82</v>
      </c>
      <c r="Q4402" s="12">
        <v>0.9</v>
      </c>
      <c r="R4402" s="12">
        <v>0.9</v>
      </c>
      <c r="S4402" s="12">
        <v>0.85</v>
      </c>
      <c r="T4402" s="12">
        <v>0.75</v>
      </c>
      <c r="U4402" s="12">
        <v>0.95</v>
      </c>
      <c r="V4402" s="12">
        <v>283.14999999999998</v>
      </c>
      <c r="W4402" s="12">
        <v>12.78256592574377</v>
      </c>
      <c r="X4402" s="12">
        <v>118.09702473658881</v>
      </c>
      <c r="Y4402" s="12">
        <v>2610</v>
      </c>
      <c r="Z4402" s="12">
        <v>4.7826086956521738</v>
      </c>
      <c r="AA4402" s="12"/>
      <c r="AB4402" s="12" t="s">
        <v>1876</v>
      </c>
    </row>
    <row r="4403" spans="1:28" x14ac:dyDescent="0.3">
      <c r="A4403" s="12" t="s">
        <v>6343</v>
      </c>
      <c r="B4403" s="12" t="s">
        <v>217</v>
      </c>
      <c r="C4403" s="12" t="s">
        <v>691</v>
      </c>
      <c r="D4403" s="12" t="s">
        <v>226</v>
      </c>
      <c r="E4403" s="12" t="s">
        <v>6238</v>
      </c>
      <c r="F4403" s="12" t="s">
        <v>32</v>
      </c>
      <c r="G4403" s="12" t="s">
        <v>32</v>
      </c>
      <c r="H4403" s="12" t="b">
        <v>1</v>
      </c>
      <c r="I4403" s="12" t="b">
        <v>1</v>
      </c>
      <c r="J4403" s="12" t="b">
        <v>0</v>
      </c>
      <c r="K4403" s="12" t="b">
        <v>0</v>
      </c>
      <c r="L4403" s="12">
        <v>394.15</v>
      </c>
      <c r="M4403" s="12">
        <v>278.14999999999998</v>
      </c>
      <c r="N4403" s="12">
        <v>3300</v>
      </c>
      <c r="O4403" s="12">
        <v>690</v>
      </c>
      <c r="P4403" s="12">
        <v>0.82</v>
      </c>
      <c r="Q4403" s="12">
        <v>0.9</v>
      </c>
      <c r="R4403" s="12">
        <v>0.8</v>
      </c>
      <c r="S4403" s="12">
        <v>0.6</v>
      </c>
      <c r="T4403" s="12">
        <v>0.75</v>
      </c>
      <c r="U4403" s="12">
        <v>0.95</v>
      </c>
      <c r="V4403" s="12">
        <v>283.14999999999998</v>
      </c>
      <c r="W4403" s="12">
        <v>11.6337945350606</v>
      </c>
      <c r="X4403" s="12">
        <v>74.27626682308852</v>
      </c>
      <c r="Y4403" s="12">
        <v>2610</v>
      </c>
      <c r="Z4403" s="12">
        <v>4.7826086956521738</v>
      </c>
      <c r="AA4403" s="12"/>
      <c r="AB4403" s="12" t="s">
        <v>1877</v>
      </c>
    </row>
    <row r="4404" spans="1:28" x14ac:dyDescent="0.3">
      <c r="A4404" s="12" t="s">
        <v>6344</v>
      </c>
      <c r="B4404" s="12" t="s">
        <v>217</v>
      </c>
      <c r="C4404" s="12" t="s">
        <v>691</v>
      </c>
      <c r="D4404" s="12" t="s">
        <v>226</v>
      </c>
      <c r="E4404" s="12" t="s">
        <v>6238</v>
      </c>
      <c r="F4404" s="12" t="s">
        <v>32</v>
      </c>
      <c r="G4404" s="12" t="s">
        <v>32</v>
      </c>
      <c r="H4404" s="12" t="b">
        <v>1</v>
      </c>
      <c r="I4404" s="12" t="b">
        <v>1</v>
      </c>
      <c r="J4404" s="12" t="b">
        <v>0</v>
      </c>
      <c r="K4404" s="12" t="b">
        <v>0</v>
      </c>
      <c r="L4404" s="12">
        <v>394.15</v>
      </c>
      <c r="M4404" s="12">
        <v>278.14999999999998</v>
      </c>
      <c r="N4404" s="12">
        <v>3300</v>
      </c>
      <c r="O4404" s="12">
        <v>690</v>
      </c>
      <c r="P4404" s="12">
        <v>0.82</v>
      </c>
      <c r="Q4404" s="12">
        <v>0.9</v>
      </c>
      <c r="R4404" s="12">
        <v>0.8</v>
      </c>
      <c r="S4404" s="12">
        <v>0.625</v>
      </c>
      <c r="T4404" s="12">
        <v>0.75</v>
      </c>
      <c r="U4404" s="12">
        <v>0.95</v>
      </c>
      <c r="V4404" s="12">
        <v>283.14999999999998</v>
      </c>
      <c r="W4404" s="12">
        <v>11.76548406888493</v>
      </c>
      <c r="X4404" s="12">
        <v>78.4646875814758</v>
      </c>
      <c r="Y4404" s="12">
        <v>2610</v>
      </c>
      <c r="Z4404" s="12">
        <v>4.7826086956521738</v>
      </c>
      <c r="AA4404" s="12"/>
      <c r="AB4404" s="12" t="s">
        <v>1877</v>
      </c>
    </row>
    <row r="4405" spans="1:28" x14ac:dyDescent="0.3">
      <c r="A4405" s="12" t="s">
        <v>6345</v>
      </c>
      <c r="B4405" s="12" t="s">
        <v>217</v>
      </c>
      <c r="C4405" s="12" t="s">
        <v>691</v>
      </c>
      <c r="D4405" s="12" t="s">
        <v>226</v>
      </c>
      <c r="E4405" s="12" t="s">
        <v>6238</v>
      </c>
      <c r="F4405" s="12" t="s">
        <v>32</v>
      </c>
      <c r="G4405" s="12" t="s">
        <v>32</v>
      </c>
      <c r="H4405" s="12" t="b">
        <v>1</v>
      </c>
      <c r="I4405" s="12" t="b">
        <v>1</v>
      </c>
      <c r="J4405" s="12" t="b">
        <v>0</v>
      </c>
      <c r="K4405" s="12" t="b">
        <v>0</v>
      </c>
      <c r="L4405" s="12">
        <v>394.15</v>
      </c>
      <c r="M4405" s="12">
        <v>278.14999999999998</v>
      </c>
      <c r="N4405" s="12">
        <v>3300</v>
      </c>
      <c r="O4405" s="12">
        <v>690</v>
      </c>
      <c r="P4405" s="12">
        <v>0.82</v>
      </c>
      <c r="Q4405" s="12">
        <v>0.9</v>
      </c>
      <c r="R4405" s="12">
        <v>0.8</v>
      </c>
      <c r="S4405" s="12">
        <v>0.65</v>
      </c>
      <c r="T4405" s="12">
        <v>0.75</v>
      </c>
      <c r="U4405" s="12">
        <v>0.95</v>
      </c>
      <c r="V4405" s="12">
        <v>283.14999999999998</v>
      </c>
      <c r="W4405" s="12">
        <v>11.88957761422312</v>
      </c>
      <c r="X4405" s="12">
        <v>82.680426772013135</v>
      </c>
      <c r="Y4405" s="12">
        <v>2610</v>
      </c>
      <c r="Z4405" s="12">
        <v>4.7826086956521738</v>
      </c>
      <c r="AA4405" s="12"/>
      <c r="AB4405" s="12" t="s">
        <v>1877</v>
      </c>
    </row>
    <row r="4406" spans="1:28" x14ac:dyDescent="0.3">
      <c r="A4406" s="12" t="s">
        <v>6346</v>
      </c>
      <c r="B4406" s="12" t="s">
        <v>217</v>
      </c>
      <c r="C4406" s="12" t="s">
        <v>691</v>
      </c>
      <c r="D4406" s="12" t="s">
        <v>226</v>
      </c>
      <c r="E4406" s="12" t="s">
        <v>6238</v>
      </c>
      <c r="F4406" s="12" t="s">
        <v>32</v>
      </c>
      <c r="G4406" s="12" t="s">
        <v>32</v>
      </c>
      <c r="H4406" s="12" t="b">
        <v>1</v>
      </c>
      <c r="I4406" s="12" t="b">
        <v>1</v>
      </c>
      <c r="J4406" s="12" t="b">
        <v>0</v>
      </c>
      <c r="K4406" s="12" t="b">
        <v>0</v>
      </c>
      <c r="L4406" s="12">
        <v>394.15</v>
      </c>
      <c r="M4406" s="12">
        <v>278.14999999999998</v>
      </c>
      <c r="N4406" s="12">
        <v>3300</v>
      </c>
      <c r="O4406" s="12">
        <v>690</v>
      </c>
      <c r="P4406" s="12">
        <v>0.82</v>
      </c>
      <c r="Q4406" s="12">
        <v>0.9</v>
      </c>
      <c r="R4406" s="12">
        <v>0.8</v>
      </c>
      <c r="S4406" s="12">
        <v>0.7</v>
      </c>
      <c r="T4406" s="12">
        <v>0.75</v>
      </c>
      <c r="U4406" s="12">
        <v>0.95</v>
      </c>
      <c r="V4406" s="12">
        <v>283.14999999999998</v>
      </c>
      <c r="W4406" s="12">
        <v>12.12013477638188</v>
      </c>
      <c r="X4406" s="12">
        <v>91.199610682946556</v>
      </c>
      <c r="Y4406" s="12">
        <v>2610</v>
      </c>
      <c r="Z4406" s="12">
        <v>4.7826086956521738</v>
      </c>
      <c r="AA4406" s="12"/>
      <c r="AB4406" s="12" t="s">
        <v>1877</v>
      </c>
    </row>
    <row r="4407" spans="1:28" x14ac:dyDescent="0.3">
      <c r="A4407" s="12" t="s">
        <v>6347</v>
      </c>
      <c r="B4407" s="12" t="s">
        <v>217</v>
      </c>
      <c r="C4407" s="12" t="s">
        <v>691</v>
      </c>
      <c r="D4407" s="12" t="s">
        <v>226</v>
      </c>
      <c r="E4407" s="12" t="s">
        <v>6238</v>
      </c>
      <c r="F4407" s="12" t="s">
        <v>32</v>
      </c>
      <c r="G4407" s="12" t="s">
        <v>32</v>
      </c>
      <c r="H4407" s="12" t="b">
        <v>1</v>
      </c>
      <c r="I4407" s="12" t="b">
        <v>1</v>
      </c>
      <c r="J4407" s="12" t="b">
        <v>0</v>
      </c>
      <c r="K4407" s="12" t="b">
        <v>0</v>
      </c>
      <c r="L4407" s="12">
        <v>394.15</v>
      </c>
      <c r="M4407" s="12">
        <v>278.14999999999998</v>
      </c>
      <c r="N4407" s="12">
        <v>3300</v>
      </c>
      <c r="O4407" s="12">
        <v>690</v>
      </c>
      <c r="P4407" s="12">
        <v>0.82</v>
      </c>
      <c r="Q4407" s="12">
        <v>0.9</v>
      </c>
      <c r="R4407" s="12">
        <v>0.8</v>
      </c>
      <c r="S4407" s="12">
        <v>0.67499999999999993</v>
      </c>
      <c r="T4407" s="12">
        <v>0.75</v>
      </c>
      <c r="U4407" s="12">
        <v>0.95</v>
      </c>
      <c r="V4407" s="12">
        <v>283.14999999999998</v>
      </c>
      <c r="W4407" s="12">
        <v>12.00740343945165</v>
      </c>
      <c r="X4407" s="12">
        <v>86.92479729218384</v>
      </c>
      <c r="Y4407" s="12">
        <v>2610</v>
      </c>
      <c r="Z4407" s="12">
        <v>4.7826086956521738</v>
      </c>
      <c r="AA4407" s="12"/>
      <c r="AB4407" s="12" t="s">
        <v>1877</v>
      </c>
    </row>
    <row r="4408" spans="1:28" x14ac:dyDescent="0.3">
      <c r="A4408" s="12" t="s">
        <v>6348</v>
      </c>
      <c r="B4408" s="12" t="s">
        <v>217</v>
      </c>
      <c r="C4408" s="12" t="s">
        <v>691</v>
      </c>
      <c r="D4408" s="12" t="s">
        <v>226</v>
      </c>
      <c r="E4408" s="12" t="s">
        <v>6238</v>
      </c>
      <c r="F4408" s="12" t="s">
        <v>32</v>
      </c>
      <c r="G4408" s="12" t="s">
        <v>32</v>
      </c>
      <c r="H4408" s="12" t="b">
        <v>1</v>
      </c>
      <c r="I4408" s="12" t="b">
        <v>1</v>
      </c>
      <c r="J4408" s="12" t="b">
        <v>0</v>
      </c>
      <c r="K4408" s="12" t="b">
        <v>0</v>
      </c>
      <c r="L4408" s="12">
        <v>394.15</v>
      </c>
      <c r="M4408" s="12">
        <v>278.14999999999998</v>
      </c>
      <c r="N4408" s="12">
        <v>3300</v>
      </c>
      <c r="O4408" s="12">
        <v>690</v>
      </c>
      <c r="P4408" s="12">
        <v>0.82</v>
      </c>
      <c r="Q4408" s="12">
        <v>0.9</v>
      </c>
      <c r="R4408" s="12">
        <v>0.8</v>
      </c>
      <c r="S4408" s="12">
        <v>0.72499999999999998</v>
      </c>
      <c r="T4408" s="12">
        <v>0.75</v>
      </c>
      <c r="U4408" s="12">
        <v>0.95</v>
      </c>
      <c r="V4408" s="12">
        <v>283.14999999999998</v>
      </c>
      <c r="W4408" s="12">
        <v>12.22880800024798</v>
      </c>
      <c r="X4408" s="12">
        <v>95.507140401516594</v>
      </c>
      <c r="Y4408" s="12">
        <v>2610</v>
      </c>
      <c r="Z4408" s="12">
        <v>4.7826086956521738</v>
      </c>
      <c r="AA4408" s="12"/>
      <c r="AB4408" s="12" t="s">
        <v>1877</v>
      </c>
    </row>
    <row r="4409" spans="1:28" x14ac:dyDescent="0.3">
      <c r="A4409" s="12" t="s">
        <v>6349</v>
      </c>
      <c r="B4409" s="12" t="s">
        <v>217</v>
      </c>
      <c r="C4409" s="12" t="s">
        <v>691</v>
      </c>
      <c r="D4409" s="12" t="s">
        <v>226</v>
      </c>
      <c r="E4409" s="12" t="s">
        <v>6238</v>
      </c>
      <c r="F4409" s="12" t="s">
        <v>32</v>
      </c>
      <c r="G4409" s="12" t="s">
        <v>32</v>
      </c>
      <c r="H4409" s="12" t="b">
        <v>1</v>
      </c>
      <c r="I4409" s="12" t="b">
        <v>1</v>
      </c>
      <c r="J4409" s="12" t="b">
        <v>0</v>
      </c>
      <c r="K4409" s="12" t="b">
        <v>0</v>
      </c>
      <c r="L4409" s="12">
        <v>394.15</v>
      </c>
      <c r="M4409" s="12">
        <v>278.14999999999998</v>
      </c>
      <c r="N4409" s="12">
        <v>3300</v>
      </c>
      <c r="O4409" s="12">
        <v>690</v>
      </c>
      <c r="P4409" s="12">
        <v>0.82</v>
      </c>
      <c r="Q4409" s="12">
        <v>0.9</v>
      </c>
      <c r="R4409" s="12">
        <v>0.8</v>
      </c>
      <c r="S4409" s="12">
        <v>0.75</v>
      </c>
      <c r="T4409" s="12">
        <v>0.75</v>
      </c>
      <c r="U4409" s="12">
        <v>0.95</v>
      </c>
      <c r="V4409" s="12">
        <v>283.14999999999998</v>
      </c>
      <c r="W4409" s="12">
        <v>12.334275039545201</v>
      </c>
      <c r="X4409" s="12">
        <v>99.849765875155242</v>
      </c>
      <c r="Y4409" s="12">
        <v>2610</v>
      </c>
      <c r="Z4409" s="12">
        <v>4.7826086956521738</v>
      </c>
      <c r="AA4409" s="12"/>
      <c r="AB4409" s="12" t="s">
        <v>1877</v>
      </c>
    </row>
    <row r="4410" spans="1:28" x14ac:dyDescent="0.3">
      <c r="A4410" s="12" t="s">
        <v>6350</v>
      </c>
      <c r="B4410" s="12" t="s">
        <v>217</v>
      </c>
      <c r="C4410" s="12" t="s">
        <v>691</v>
      </c>
      <c r="D4410" s="12" t="s">
        <v>226</v>
      </c>
      <c r="E4410" s="12" t="s">
        <v>6238</v>
      </c>
      <c r="F4410" s="12" t="s">
        <v>32</v>
      </c>
      <c r="G4410" s="12" t="s">
        <v>32</v>
      </c>
      <c r="H4410" s="12" t="b">
        <v>1</v>
      </c>
      <c r="I4410" s="12" t="b">
        <v>1</v>
      </c>
      <c r="J4410" s="12" t="b">
        <v>0</v>
      </c>
      <c r="K4410" s="12" t="b">
        <v>0</v>
      </c>
      <c r="L4410" s="12">
        <v>394.15</v>
      </c>
      <c r="M4410" s="12">
        <v>278.14999999999998</v>
      </c>
      <c r="N4410" s="12">
        <v>3300</v>
      </c>
      <c r="O4410" s="12">
        <v>690</v>
      </c>
      <c r="P4410" s="12">
        <v>0.82</v>
      </c>
      <c r="Q4410" s="12">
        <v>0.9</v>
      </c>
      <c r="R4410" s="12">
        <v>0.8</v>
      </c>
      <c r="S4410" s="12">
        <v>0.77499999999999991</v>
      </c>
      <c r="T4410" s="12">
        <v>0.75</v>
      </c>
      <c r="U4410" s="12">
        <v>0.95</v>
      </c>
      <c r="V4410" s="12">
        <v>283.14999999999998</v>
      </c>
      <c r="W4410" s="12">
        <v>12.43716394587433</v>
      </c>
      <c r="X4410" s="12">
        <v>104.22947144638739</v>
      </c>
      <c r="Y4410" s="12">
        <v>2610</v>
      </c>
      <c r="Z4410" s="12">
        <v>4.7826086956521738</v>
      </c>
      <c r="AA4410" s="12"/>
      <c r="AB4410" s="12" t="s">
        <v>1877</v>
      </c>
    </row>
    <row r="4411" spans="1:28" x14ac:dyDescent="0.3">
      <c r="A4411" s="12" t="s">
        <v>6351</v>
      </c>
      <c r="B4411" s="12" t="s">
        <v>217</v>
      </c>
      <c r="C4411" s="12" t="s">
        <v>691</v>
      </c>
      <c r="D4411" s="12" t="s">
        <v>226</v>
      </c>
      <c r="E4411" s="12" t="s">
        <v>6238</v>
      </c>
      <c r="F4411" s="12" t="s">
        <v>32</v>
      </c>
      <c r="G4411" s="12" t="s">
        <v>32</v>
      </c>
      <c r="H4411" s="12" t="b">
        <v>1</v>
      </c>
      <c r="I4411" s="12" t="b">
        <v>1</v>
      </c>
      <c r="J4411" s="12" t="b">
        <v>0</v>
      </c>
      <c r="K4411" s="12" t="b">
        <v>0</v>
      </c>
      <c r="L4411" s="12">
        <v>394.15</v>
      </c>
      <c r="M4411" s="12">
        <v>278.14999999999998</v>
      </c>
      <c r="N4411" s="12">
        <v>3300</v>
      </c>
      <c r="O4411" s="12">
        <v>690</v>
      </c>
      <c r="P4411" s="12">
        <v>0.82</v>
      </c>
      <c r="Q4411" s="12">
        <v>0.9</v>
      </c>
      <c r="R4411" s="12">
        <v>0.8</v>
      </c>
      <c r="S4411" s="12">
        <v>0.79999999999999993</v>
      </c>
      <c r="T4411" s="12">
        <v>0.75</v>
      </c>
      <c r="U4411" s="12">
        <v>0.95</v>
      </c>
      <c r="V4411" s="12">
        <v>283.14999999999998</v>
      </c>
      <c r="W4411" s="12">
        <v>12.41935628578808</v>
      </c>
      <c r="X4411" s="12">
        <v>107.5431211181876</v>
      </c>
      <c r="Y4411" s="12">
        <v>2610</v>
      </c>
      <c r="Z4411" s="12">
        <v>4.7826086956521738</v>
      </c>
      <c r="AA4411" s="12"/>
      <c r="AB4411" s="12" t="s">
        <v>1877</v>
      </c>
    </row>
    <row r="4412" spans="1:28" x14ac:dyDescent="0.3">
      <c r="A4412" s="12" t="s">
        <v>6352</v>
      </c>
      <c r="B4412" s="12" t="s">
        <v>217</v>
      </c>
      <c r="C4412" s="12" t="s">
        <v>691</v>
      </c>
      <c r="D4412" s="12" t="s">
        <v>226</v>
      </c>
      <c r="E4412" s="12" t="s">
        <v>6238</v>
      </c>
      <c r="F4412" s="12" t="s">
        <v>32</v>
      </c>
      <c r="G4412" s="12" t="s">
        <v>32</v>
      </c>
      <c r="H4412" s="12" t="b">
        <v>1</v>
      </c>
      <c r="I4412" s="12" t="b">
        <v>1</v>
      </c>
      <c r="J4412" s="12" t="b">
        <v>0</v>
      </c>
      <c r="K4412" s="12" t="b">
        <v>0</v>
      </c>
      <c r="L4412" s="12">
        <v>394.15</v>
      </c>
      <c r="M4412" s="12">
        <v>278.14999999999998</v>
      </c>
      <c r="N4412" s="12">
        <v>3300</v>
      </c>
      <c r="O4412" s="12">
        <v>690</v>
      </c>
      <c r="P4412" s="12">
        <v>0.82</v>
      </c>
      <c r="Q4412" s="12">
        <v>0.9</v>
      </c>
      <c r="R4412" s="12">
        <v>0.8</v>
      </c>
      <c r="S4412" s="12">
        <v>0.82499999999999996</v>
      </c>
      <c r="T4412" s="12">
        <v>0.75</v>
      </c>
      <c r="U4412" s="12">
        <v>0.95</v>
      </c>
      <c r="V4412" s="12">
        <v>283.14999999999998</v>
      </c>
      <c r="W4412" s="12">
        <v>12.636164007161151</v>
      </c>
      <c r="X4412" s="12">
        <v>113.10130333210159</v>
      </c>
      <c r="Y4412" s="12">
        <v>2610</v>
      </c>
      <c r="Z4412" s="12">
        <v>4.7826086956521738</v>
      </c>
      <c r="AA4412" s="12"/>
      <c r="AB4412" s="12" t="s">
        <v>1877</v>
      </c>
    </row>
    <row r="4413" spans="1:28" x14ac:dyDescent="0.3">
      <c r="A4413" s="12" t="s">
        <v>6353</v>
      </c>
      <c r="B4413" s="12" t="s">
        <v>217</v>
      </c>
      <c r="C4413" s="12" t="s">
        <v>691</v>
      </c>
      <c r="D4413" s="12" t="s">
        <v>226</v>
      </c>
      <c r="E4413" s="12" t="s">
        <v>6238</v>
      </c>
      <c r="F4413" s="12" t="s">
        <v>32</v>
      </c>
      <c r="G4413" s="12" t="s">
        <v>32</v>
      </c>
      <c r="H4413" s="12" t="b">
        <v>1</v>
      </c>
      <c r="I4413" s="12" t="b">
        <v>1</v>
      </c>
      <c r="J4413" s="12" t="b">
        <v>0</v>
      </c>
      <c r="K4413" s="12" t="b">
        <v>0</v>
      </c>
      <c r="L4413" s="12">
        <v>394.15</v>
      </c>
      <c r="M4413" s="12">
        <v>278.14999999999998</v>
      </c>
      <c r="N4413" s="12">
        <v>3300</v>
      </c>
      <c r="O4413" s="12">
        <v>690</v>
      </c>
      <c r="P4413" s="12">
        <v>0.82</v>
      </c>
      <c r="Q4413" s="12">
        <v>0.9</v>
      </c>
      <c r="R4413" s="12">
        <v>0.8</v>
      </c>
      <c r="S4413" s="12">
        <v>0.85</v>
      </c>
      <c r="T4413" s="12">
        <v>0.75</v>
      </c>
      <c r="U4413" s="12">
        <v>0.95</v>
      </c>
      <c r="V4413" s="12">
        <v>283.14999999999998</v>
      </c>
      <c r="W4413" s="12">
        <v>12.731864501081271</v>
      </c>
      <c r="X4413" s="12">
        <v>117.5882909120357</v>
      </c>
      <c r="Y4413" s="12">
        <v>2610</v>
      </c>
      <c r="Z4413" s="12">
        <v>4.7826086956521738</v>
      </c>
      <c r="AA4413" s="12"/>
      <c r="AB4413" s="12" t="s">
        <v>1877</v>
      </c>
    </row>
    <row r="4414" spans="1:28" x14ac:dyDescent="0.3">
      <c r="A4414" s="12" t="s">
        <v>6354</v>
      </c>
      <c r="B4414" s="12" t="s">
        <v>217</v>
      </c>
      <c r="C4414" s="12" t="s">
        <v>691</v>
      </c>
      <c r="D4414" s="12" t="s">
        <v>226</v>
      </c>
      <c r="E4414" s="12" t="s">
        <v>6238</v>
      </c>
      <c r="F4414" s="12" t="s">
        <v>32</v>
      </c>
      <c r="G4414" s="12" t="s">
        <v>32</v>
      </c>
      <c r="H4414" s="12" t="b">
        <v>1</v>
      </c>
      <c r="I4414" s="12" t="b">
        <v>1</v>
      </c>
      <c r="J4414" s="12" t="b">
        <v>0</v>
      </c>
      <c r="K4414" s="12" t="b">
        <v>0</v>
      </c>
      <c r="L4414" s="12">
        <v>394.15</v>
      </c>
      <c r="M4414" s="12">
        <v>278.14999999999998</v>
      </c>
      <c r="N4414" s="12">
        <v>3300</v>
      </c>
      <c r="O4414" s="12">
        <v>690</v>
      </c>
      <c r="P4414" s="12">
        <v>0.82</v>
      </c>
      <c r="Q4414" s="12">
        <v>0.9</v>
      </c>
      <c r="R4414" s="12">
        <v>0.8</v>
      </c>
      <c r="S4414" s="12">
        <v>0.875</v>
      </c>
      <c r="T4414" s="12">
        <v>0.75</v>
      </c>
      <c r="U4414" s="12">
        <v>0.95</v>
      </c>
      <c r="V4414" s="12">
        <v>283.14999999999998</v>
      </c>
      <c r="W4414" s="12">
        <v>12.82416714500029</v>
      </c>
      <c r="X4414" s="12">
        <v>122.1011785351356</v>
      </c>
      <c r="Y4414" s="12">
        <v>2610</v>
      </c>
      <c r="Z4414" s="12">
        <v>4.7826086956521738</v>
      </c>
      <c r="AA4414" s="12"/>
      <c r="AB4414" s="12" t="s">
        <v>1877</v>
      </c>
    </row>
    <row r="4415" spans="1:28" x14ac:dyDescent="0.3">
      <c r="A4415" s="12" t="s">
        <v>6355</v>
      </c>
      <c r="B4415" s="12" t="s">
        <v>217</v>
      </c>
      <c r="C4415" s="12" t="s">
        <v>691</v>
      </c>
      <c r="D4415" s="12" t="s">
        <v>226</v>
      </c>
      <c r="E4415" s="12" t="s">
        <v>6238</v>
      </c>
      <c r="F4415" s="12" t="s">
        <v>32</v>
      </c>
      <c r="G4415" s="12" t="s">
        <v>32</v>
      </c>
      <c r="H4415" s="12" t="b">
        <v>1</v>
      </c>
      <c r="I4415" s="12" t="b">
        <v>1</v>
      </c>
      <c r="J4415" s="12" t="b">
        <v>0</v>
      </c>
      <c r="K4415" s="12" t="b">
        <v>0</v>
      </c>
      <c r="L4415" s="12">
        <v>394.15</v>
      </c>
      <c r="M4415" s="12">
        <v>278.14999999999998</v>
      </c>
      <c r="N4415" s="12">
        <v>3300</v>
      </c>
      <c r="O4415" s="12">
        <v>690</v>
      </c>
      <c r="P4415" s="12">
        <v>0.82</v>
      </c>
      <c r="Q4415" s="12">
        <v>0.9</v>
      </c>
      <c r="R4415" s="12">
        <v>0.8</v>
      </c>
      <c r="S4415" s="12">
        <v>0.89999999999999991</v>
      </c>
      <c r="T4415" s="12">
        <v>0.75</v>
      </c>
      <c r="U4415" s="12">
        <v>0.95</v>
      </c>
      <c r="V4415" s="12">
        <v>283.14999999999998</v>
      </c>
      <c r="W4415" s="12">
        <v>12.912111447957219</v>
      </c>
      <c r="X4415" s="12">
        <v>126.630745784219</v>
      </c>
      <c r="Y4415" s="12">
        <v>2610</v>
      </c>
      <c r="Z4415" s="12">
        <v>4.7826086956521738</v>
      </c>
      <c r="AA4415" s="12"/>
      <c r="AB4415" s="12" t="s">
        <v>1877</v>
      </c>
    </row>
    <row r="4416" spans="1:28" x14ac:dyDescent="0.3">
      <c r="A4416" s="12" t="s">
        <v>6356</v>
      </c>
      <c r="B4416" s="12" t="s">
        <v>217</v>
      </c>
      <c r="C4416" s="12" t="s">
        <v>691</v>
      </c>
      <c r="D4416" s="12" t="s">
        <v>226</v>
      </c>
      <c r="E4416" s="12" t="s">
        <v>6238</v>
      </c>
      <c r="F4416" s="12" t="s">
        <v>32</v>
      </c>
      <c r="G4416" s="12" t="s">
        <v>32</v>
      </c>
      <c r="H4416" s="12" t="b">
        <v>1</v>
      </c>
      <c r="I4416" s="12" t="b">
        <v>1</v>
      </c>
      <c r="J4416" s="12" t="b">
        <v>0</v>
      </c>
      <c r="K4416" s="12" t="b">
        <v>0</v>
      </c>
      <c r="L4416" s="12">
        <v>394.15</v>
      </c>
      <c r="M4416" s="12">
        <v>278.14999999999998</v>
      </c>
      <c r="N4416" s="12">
        <v>3300</v>
      </c>
      <c r="O4416" s="12">
        <v>690</v>
      </c>
      <c r="P4416" s="12">
        <v>0.82</v>
      </c>
      <c r="Q4416" s="12">
        <v>0.9</v>
      </c>
      <c r="R4416" s="12">
        <v>0.8</v>
      </c>
      <c r="S4416" s="12">
        <v>0.92500000000000004</v>
      </c>
      <c r="T4416" s="12">
        <v>0.75</v>
      </c>
      <c r="U4416" s="12">
        <v>0.95</v>
      </c>
      <c r="V4416" s="12">
        <v>283.14999999999998</v>
      </c>
      <c r="W4416" s="12">
        <v>12.99465453845197</v>
      </c>
      <c r="X4416" s="12">
        <v>131.1664348233837</v>
      </c>
      <c r="Y4416" s="12">
        <v>2610</v>
      </c>
      <c r="Z4416" s="12">
        <v>4.7826086956521738</v>
      </c>
      <c r="AA4416" s="12"/>
      <c r="AB4416" s="12" t="s">
        <v>1877</v>
      </c>
    </row>
    <row r="4417" spans="1:28" x14ac:dyDescent="0.3">
      <c r="A4417" s="12" t="s">
        <v>6357</v>
      </c>
      <c r="B4417" s="12" t="s">
        <v>217</v>
      </c>
      <c r="C4417" s="12" t="s">
        <v>691</v>
      </c>
      <c r="D4417" s="12" t="s">
        <v>226</v>
      </c>
      <c r="E4417" s="12" t="s">
        <v>6238</v>
      </c>
      <c r="F4417" s="12" t="s">
        <v>1861</v>
      </c>
      <c r="G4417" s="12" t="s">
        <v>1861</v>
      </c>
      <c r="H4417" s="12" t="b">
        <v>1</v>
      </c>
      <c r="I4417" s="12" t="b">
        <v>0</v>
      </c>
      <c r="J4417" s="12" t="b">
        <v>0</v>
      </c>
      <c r="K4417" s="12" t="b">
        <v>0</v>
      </c>
      <c r="L4417" s="12">
        <v>394.15</v>
      </c>
      <c r="M4417" s="12">
        <v>278.14999999999998</v>
      </c>
      <c r="N4417" s="12">
        <v>3300</v>
      </c>
      <c r="O4417" s="12">
        <v>690</v>
      </c>
      <c r="P4417" s="12">
        <v>0.82</v>
      </c>
      <c r="Q4417" s="12">
        <v>0.9</v>
      </c>
      <c r="R4417" s="12">
        <v>0.8</v>
      </c>
      <c r="S4417" s="12">
        <v>0.95</v>
      </c>
      <c r="T4417" s="12">
        <v>0.75</v>
      </c>
      <c r="U4417" s="12">
        <v>0.95</v>
      </c>
      <c r="V4417" s="12">
        <v>283.14999999999998</v>
      </c>
      <c r="W4417" s="12">
        <v>13.070820967461369</v>
      </c>
      <c r="X4417" s="12">
        <v>135.69758387082669</v>
      </c>
      <c r="Y4417" s="12">
        <v>2610</v>
      </c>
      <c r="Z4417" s="12">
        <v>4.7826086956521738</v>
      </c>
      <c r="AA4417" s="12" t="s">
        <v>1268</v>
      </c>
      <c r="AB4417" s="12" t="s">
        <v>1877</v>
      </c>
    </row>
    <row r="4418" spans="1:28" x14ac:dyDescent="0.3">
      <c r="A4418" s="12" t="s">
        <v>6358</v>
      </c>
      <c r="B4418" s="12" t="s">
        <v>217</v>
      </c>
      <c r="C4418" s="12" t="s">
        <v>691</v>
      </c>
      <c r="D4418" s="12" t="s">
        <v>226</v>
      </c>
      <c r="E4418" s="12" t="s">
        <v>6238</v>
      </c>
      <c r="F4418" s="12" t="s">
        <v>32</v>
      </c>
      <c r="G4418" s="12" t="s">
        <v>32</v>
      </c>
      <c r="H4418" s="12" t="b">
        <v>1</v>
      </c>
      <c r="I4418" s="12" t="b">
        <v>1</v>
      </c>
      <c r="J4418" s="12" t="b">
        <v>0</v>
      </c>
      <c r="K4418" s="12" t="b">
        <v>0</v>
      </c>
      <c r="L4418" s="12">
        <v>394.15</v>
      </c>
      <c r="M4418" s="12">
        <v>278.14999999999998</v>
      </c>
      <c r="N4418" s="12">
        <v>3300</v>
      </c>
      <c r="O4418" s="12">
        <v>690</v>
      </c>
      <c r="P4418" s="12">
        <v>0.82</v>
      </c>
      <c r="Q4418" s="12">
        <v>0.9</v>
      </c>
      <c r="R4418" s="12">
        <v>0.8</v>
      </c>
      <c r="S4418" s="12">
        <v>0.85</v>
      </c>
      <c r="T4418" s="12">
        <v>0.4</v>
      </c>
      <c r="U4418" s="12">
        <v>0.95</v>
      </c>
      <c r="V4418" s="12">
        <v>283.14999999999998</v>
      </c>
      <c r="W4418" s="12">
        <v>11.94067165369184</v>
      </c>
      <c r="X4418" s="12">
        <v>116.1366797191823</v>
      </c>
      <c r="Y4418" s="12">
        <v>2610</v>
      </c>
      <c r="Z4418" s="12">
        <v>4.7826086956521738</v>
      </c>
      <c r="AA4418" s="12"/>
      <c r="AB4418" s="12" t="s">
        <v>1878</v>
      </c>
    </row>
    <row r="4419" spans="1:28" x14ac:dyDescent="0.3">
      <c r="A4419" s="12" t="s">
        <v>6359</v>
      </c>
      <c r="B4419" s="12" t="s">
        <v>217</v>
      </c>
      <c r="C4419" s="12" t="s">
        <v>691</v>
      </c>
      <c r="D4419" s="12" t="s">
        <v>226</v>
      </c>
      <c r="E4419" s="12" t="s">
        <v>6238</v>
      </c>
      <c r="F4419" s="12" t="s">
        <v>32</v>
      </c>
      <c r="G4419" s="12" t="s">
        <v>32</v>
      </c>
      <c r="H4419" s="12" t="b">
        <v>1</v>
      </c>
      <c r="I4419" s="12" t="b">
        <v>1</v>
      </c>
      <c r="J4419" s="12" t="b">
        <v>0</v>
      </c>
      <c r="K4419" s="12" t="b">
        <v>0</v>
      </c>
      <c r="L4419" s="12">
        <v>394.15</v>
      </c>
      <c r="M4419" s="12">
        <v>278.14999999999998</v>
      </c>
      <c r="N4419" s="12">
        <v>3300</v>
      </c>
      <c r="O4419" s="12">
        <v>690</v>
      </c>
      <c r="P4419" s="12">
        <v>0.82</v>
      </c>
      <c r="Q4419" s="12">
        <v>0.9</v>
      </c>
      <c r="R4419" s="12">
        <v>0.8</v>
      </c>
      <c r="S4419" s="12">
        <v>0.85</v>
      </c>
      <c r="T4419" s="12">
        <v>0.43928571428571428</v>
      </c>
      <c r="U4419" s="12">
        <v>0.95</v>
      </c>
      <c r="V4419" s="12">
        <v>283.14999999999998</v>
      </c>
      <c r="W4419" s="12">
        <v>12.025499498000521</v>
      </c>
      <c r="X4419" s="12">
        <v>116.29959983331339</v>
      </c>
      <c r="Y4419" s="12">
        <v>2610</v>
      </c>
      <c r="Z4419" s="12">
        <v>4.7826086956521738</v>
      </c>
      <c r="AA4419" s="12"/>
      <c r="AB4419" s="12" t="s">
        <v>1878</v>
      </c>
    </row>
    <row r="4420" spans="1:28" x14ac:dyDescent="0.3">
      <c r="A4420" s="12" t="s">
        <v>6360</v>
      </c>
      <c r="B4420" s="12" t="s">
        <v>217</v>
      </c>
      <c r="C4420" s="12" t="s">
        <v>691</v>
      </c>
      <c r="D4420" s="12" t="s">
        <v>226</v>
      </c>
      <c r="E4420" s="12" t="s">
        <v>6238</v>
      </c>
      <c r="F4420" s="12" t="s">
        <v>32</v>
      </c>
      <c r="G4420" s="12" t="s">
        <v>32</v>
      </c>
      <c r="H4420" s="12" t="b">
        <v>1</v>
      </c>
      <c r="I4420" s="12" t="b">
        <v>1</v>
      </c>
      <c r="J4420" s="12" t="b">
        <v>0</v>
      </c>
      <c r="K4420" s="12" t="b">
        <v>0</v>
      </c>
      <c r="L4420" s="12">
        <v>394.15</v>
      </c>
      <c r="M4420" s="12">
        <v>278.14999999999998</v>
      </c>
      <c r="N4420" s="12">
        <v>3300</v>
      </c>
      <c r="O4420" s="12">
        <v>690</v>
      </c>
      <c r="P4420" s="12">
        <v>0.82</v>
      </c>
      <c r="Q4420" s="12">
        <v>0.9</v>
      </c>
      <c r="R4420" s="12">
        <v>0.8</v>
      </c>
      <c r="S4420" s="12">
        <v>0.85</v>
      </c>
      <c r="T4420" s="12">
        <v>0.47857142857142859</v>
      </c>
      <c r="U4420" s="12">
        <v>0.95</v>
      </c>
      <c r="V4420" s="12">
        <v>283.14999999999998</v>
      </c>
      <c r="W4420" s="12">
        <v>12.11129931177198</v>
      </c>
      <c r="X4420" s="12">
        <v>116.4625340202753</v>
      </c>
      <c r="Y4420" s="12">
        <v>2610</v>
      </c>
      <c r="Z4420" s="12">
        <v>4.7826086956521738</v>
      </c>
      <c r="AA4420" s="12"/>
      <c r="AB4420" s="12" t="s">
        <v>1878</v>
      </c>
    </row>
    <row r="4421" spans="1:28" x14ac:dyDescent="0.3">
      <c r="A4421" s="12" t="s">
        <v>6361</v>
      </c>
      <c r="B4421" s="12" t="s">
        <v>217</v>
      </c>
      <c r="C4421" s="12" t="s">
        <v>691</v>
      </c>
      <c r="D4421" s="12" t="s">
        <v>226</v>
      </c>
      <c r="E4421" s="12" t="s">
        <v>6238</v>
      </c>
      <c r="F4421" s="12" t="s">
        <v>32</v>
      </c>
      <c r="G4421" s="12" t="s">
        <v>32</v>
      </c>
      <c r="H4421" s="12" t="b">
        <v>1</v>
      </c>
      <c r="I4421" s="12" t="b">
        <v>1</v>
      </c>
      <c r="J4421" s="12" t="b">
        <v>0</v>
      </c>
      <c r="K4421" s="12" t="b">
        <v>0</v>
      </c>
      <c r="L4421" s="12">
        <v>394.15</v>
      </c>
      <c r="M4421" s="12">
        <v>278.14999999999998</v>
      </c>
      <c r="N4421" s="12">
        <v>3300</v>
      </c>
      <c r="O4421" s="12">
        <v>690</v>
      </c>
      <c r="P4421" s="12">
        <v>0.82</v>
      </c>
      <c r="Q4421" s="12">
        <v>0.9</v>
      </c>
      <c r="R4421" s="12">
        <v>0.8</v>
      </c>
      <c r="S4421" s="12">
        <v>0.85</v>
      </c>
      <c r="T4421" s="12">
        <v>0.51785714285714279</v>
      </c>
      <c r="U4421" s="12">
        <v>0.95</v>
      </c>
      <c r="V4421" s="12">
        <v>283.14999999999998</v>
      </c>
      <c r="W4421" s="12">
        <v>12.19808225860011</v>
      </c>
      <c r="X4421" s="12">
        <v>116.62547197728991</v>
      </c>
      <c r="Y4421" s="12">
        <v>2610</v>
      </c>
      <c r="Z4421" s="12">
        <v>4.7826086956521738</v>
      </c>
      <c r="AA4421" s="12"/>
      <c r="AB4421" s="12" t="s">
        <v>1878</v>
      </c>
    </row>
    <row r="4422" spans="1:28" x14ac:dyDescent="0.3">
      <c r="A4422" s="12" t="s">
        <v>6362</v>
      </c>
      <c r="B4422" s="12" t="s">
        <v>217</v>
      </c>
      <c r="C4422" s="12" t="s">
        <v>691</v>
      </c>
      <c r="D4422" s="12" t="s">
        <v>226</v>
      </c>
      <c r="E4422" s="12" t="s">
        <v>6238</v>
      </c>
      <c r="F4422" s="12" t="s">
        <v>32</v>
      </c>
      <c r="G4422" s="12" t="s">
        <v>32</v>
      </c>
      <c r="H4422" s="12" t="b">
        <v>1</v>
      </c>
      <c r="I4422" s="12" t="b">
        <v>1</v>
      </c>
      <c r="J4422" s="12" t="b">
        <v>0</v>
      </c>
      <c r="K4422" s="12" t="b">
        <v>0</v>
      </c>
      <c r="L4422" s="12">
        <v>394.15</v>
      </c>
      <c r="M4422" s="12">
        <v>278.14999999999998</v>
      </c>
      <c r="N4422" s="12">
        <v>3300</v>
      </c>
      <c r="O4422" s="12">
        <v>690</v>
      </c>
      <c r="P4422" s="12">
        <v>0.82</v>
      </c>
      <c r="Q4422" s="12">
        <v>0.9</v>
      </c>
      <c r="R4422" s="12">
        <v>0.8</v>
      </c>
      <c r="S4422" s="12">
        <v>0.85</v>
      </c>
      <c r="T4422" s="12">
        <v>0.55714285714285716</v>
      </c>
      <c r="U4422" s="12">
        <v>0.95</v>
      </c>
      <c r="V4422" s="12">
        <v>283.14999999999998</v>
      </c>
      <c r="W4422" s="12">
        <v>12.28586383273484</v>
      </c>
      <c r="X4422" s="12">
        <v>116.78841081363321</v>
      </c>
      <c r="Y4422" s="12">
        <v>2610</v>
      </c>
      <c r="Z4422" s="12">
        <v>4.7826086956521738</v>
      </c>
      <c r="AA4422" s="12"/>
      <c r="AB4422" s="12" t="s">
        <v>1878</v>
      </c>
    </row>
    <row r="4423" spans="1:28" x14ac:dyDescent="0.3">
      <c r="A4423" s="12" t="s">
        <v>6363</v>
      </c>
      <c r="B4423" s="12" t="s">
        <v>217</v>
      </c>
      <c r="C4423" s="12" t="s">
        <v>691</v>
      </c>
      <c r="D4423" s="12" t="s">
        <v>226</v>
      </c>
      <c r="E4423" s="12" t="s">
        <v>6238</v>
      </c>
      <c r="F4423" s="12" t="s">
        <v>32</v>
      </c>
      <c r="G4423" s="12" t="s">
        <v>32</v>
      </c>
      <c r="H4423" s="12" t="b">
        <v>1</v>
      </c>
      <c r="I4423" s="12" t="b">
        <v>1</v>
      </c>
      <c r="J4423" s="12" t="b">
        <v>0</v>
      </c>
      <c r="K4423" s="12" t="b">
        <v>0</v>
      </c>
      <c r="L4423" s="12">
        <v>394.15</v>
      </c>
      <c r="M4423" s="12">
        <v>278.14999999999998</v>
      </c>
      <c r="N4423" s="12">
        <v>3300</v>
      </c>
      <c r="O4423" s="12">
        <v>690</v>
      </c>
      <c r="P4423" s="12">
        <v>0.82</v>
      </c>
      <c r="Q4423" s="12">
        <v>0.9</v>
      </c>
      <c r="R4423" s="12">
        <v>0.8</v>
      </c>
      <c r="S4423" s="12">
        <v>0.85</v>
      </c>
      <c r="T4423" s="12">
        <v>0.59642857142857142</v>
      </c>
      <c r="U4423" s="12">
        <v>0.95</v>
      </c>
      <c r="V4423" s="12">
        <v>283.14999999999998</v>
      </c>
      <c r="W4423" s="12">
        <v>12.37466184195206</v>
      </c>
      <c r="X4423" s="12">
        <v>116.9513511512224</v>
      </c>
      <c r="Y4423" s="12">
        <v>2610</v>
      </c>
      <c r="Z4423" s="12">
        <v>4.7826086956521738</v>
      </c>
      <c r="AA4423" s="12"/>
      <c r="AB4423" s="12" t="s">
        <v>1878</v>
      </c>
    </row>
    <row r="4424" spans="1:28" x14ac:dyDescent="0.3">
      <c r="A4424" s="12" t="s">
        <v>6364</v>
      </c>
      <c r="B4424" s="12" t="s">
        <v>217</v>
      </c>
      <c r="C4424" s="12" t="s">
        <v>691</v>
      </c>
      <c r="D4424" s="12" t="s">
        <v>226</v>
      </c>
      <c r="E4424" s="12" t="s">
        <v>6238</v>
      </c>
      <c r="F4424" s="12" t="s">
        <v>32</v>
      </c>
      <c r="G4424" s="12" t="s">
        <v>32</v>
      </c>
      <c r="H4424" s="12" t="b">
        <v>1</v>
      </c>
      <c r="I4424" s="12" t="b">
        <v>1</v>
      </c>
      <c r="J4424" s="12" t="b">
        <v>0</v>
      </c>
      <c r="K4424" s="12" t="b">
        <v>0</v>
      </c>
      <c r="L4424" s="12">
        <v>394.15</v>
      </c>
      <c r="M4424" s="12">
        <v>278.14999999999998</v>
      </c>
      <c r="N4424" s="12">
        <v>3300</v>
      </c>
      <c r="O4424" s="12">
        <v>690</v>
      </c>
      <c r="P4424" s="12">
        <v>0.82</v>
      </c>
      <c r="Q4424" s="12">
        <v>0.9</v>
      </c>
      <c r="R4424" s="12">
        <v>0.8</v>
      </c>
      <c r="S4424" s="12">
        <v>0.85</v>
      </c>
      <c r="T4424" s="12">
        <v>0.63571428571428568</v>
      </c>
      <c r="U4424" s="12">
        <v>0.95</v>
      </c>
      <c r="V4424" s="12">
        <v>283.14999999999998</v>
      </c>
      <c r="W4424" s="12">
        <v>12.4644934573175</v>
      </c>
      <c r="X4424" s="12">
        <v>117.1142917534649</v>
      </c>
      <c r="Y4424" s="12">
        <v>2610</v>
      </c>
      <c r="Z4424" s="12">
        <v>4.7826086956521738</v>
      </c>
      <c r="AA4424" s="12"/>
      <c r="AB4424" s="12" t="s">
        <v>1878</v>
      </c>
    </row>
    <row r="4425" spans="1:28" x14ac:dyDescent="0.3">
      <c r="A4425" s="12" t="s">
        <v>6365</v>
      </c>
      <c r="B4425" s="12" t="s">
        <v>217</v>
      </c>
      <c r="C4425" s="12" t="s">
        <v>691</v>
      </c>
      <c r="D4425" s="12" t="s">
        <v>226</v>
      </c>
      <c r="E4425" s="12" t="s">
        <v>6238</v>
      </c>
      <c r="F4425" s="12" t="s">
        <v>32</v>
      </c>
      <c r="G4425" s="12" t="s">
        <v>32</v>
      </c>
      <c r="H4425" s="12" t="b">
        <v>1</v>
      </c>
      <c r="I4425" s="12" t="b">
        <v>1</v>
      </c>
      <c r="J4425" s="12" t="b">
        <v>0</v>
      </c>
      <c r="K4425" s="12" t="b">
        <v>0</v>
      </c>
      <c r="L4425" s="12">
        <v>394.15</v>
      </c>
      <c r="M4425" s="12">
        <v>278.14999999999998</v>
      </c>
      <c r="N4425" s="12">
        <v>3300</v>
      </c>
      <c r="O4425" s="12">
        <v>690</v>
      </c>
      <c r="P4425" s="12">
        <v>0.82</v>
      </c>
      <c r="Q4425" s="12">
        <v>0.9</v>
      </c>
      <c r="R4425" s="12">
        <v>0.8</v>
      </c>
      <c r="S4425" s="12">
        <v>0.85</v>
      </c>
      <c r="T4425" s="12">
        <v>0.67500000000000004</v>
      </c>
      <c r="U4425" s="12">
        <v>0.95</v>
      </c>
      <c r="V4425" s="12">
        <v>283.14999999999998</v>
      </c>
      <c r="W4425" s="12">
        <v>12.55537636362463</v>
      </c>
      <c r="X4425" s="12">
        <v>117.2772320624355</v>
      </c>
      <c r="Y4425" s="12">
        <v>2610</v>
      </c>
      <c r="Z4425" s="12">
        <v>4.7826086956521738</v>
      </c>
      <c r="AA4425" s="12"/>
      <c r="AB4425" s="12" t="s">
        <v>1878</v>
      </c>
    </row>
    <row r="4426" spans="1:28" x14ac:dyDescent="0.3">
      <c r="A4426" s="12" t="s">
        <v>6366</v>
      </c>
      <c r="B4426" s="12" t="s">
        <v>217</v>
      </c>
      <c r="C4426" s="12" t="s">
        <v>691</v>
      </c>
      <c r="D4426" s="12" t="s">
        <v>226</v>
      </c>
      <c r="E4426" s="12" t="s">
        <v>6238</v>
      </c>
      <c r="F4426" s="12" t="s">
        <v>32</v>
      </c>
      <c r="G4426" s="12" t="s">
        <v>32</v>
      </c>
      <c r="H4426" s="12" t="b">
        <v>1</v>
      </c>
      <c r="I4426" s="12" t="b">
        <v>1</v>
      </c>
      <c r="J4426" s="12" t="b">
        <v>0</v>
      </c>
      <c r="K4426" s="12" t="b">
        <v>0</v>
      </c>
      <c r="L4426" s="12">
        <v>394.15</v>
      </c>
      <c r="M4426" s="12">
        <v>278.14999999999998</v>
      </c>
      <c r="N4426" s="12">
        <v>3300</v>
      </c>
      <c r="O4426" s="12">
        <v>690</v>
      </c>
      <c r="P4426" s="12">
        <v>0.82</v>
      </c>
      <c r="Q4426" s="12">
        <v>0.9</v>
      </c>
      <c r="R4426" s="12">
        <v>0.8</v>
      </c>
      <c r="S4426" s="12">
        <v>0.85</v>
      </c>
      <c r="T4426" s="12">
        <v>0.71428571428571419</v>
      </c>
      <c r="U4426" s="12">
        <v>0.95</v>
      </c>
      <c r="V4426" s="12">
        <v>283.14999999999998</v>
      </c>
      <c r="W4426" s="12">
        <v>12.647328287936849</v>
      </c>
      <c r="X4426" s="12">
        <v>117.4401681606785</v>
      </c>
      <c r="Y4426" s="12">
        <v>2610</v>
      </c>
      <c r="Z4426" s="12">
        <v>4.7826086956521738</v>
      </c>
      <c r="AA4426" s="12"/>
      <c r="AB4426" s="12" t="s">
        <v>1878</v>
      </c>
    </row>
    <row r="4427" spans="1:28" x14ac:dyDescent="0.3">
      <c r="A4427" s="12" t="s">
        <v>6367</v>
      </c>
      <c r="B4427" s="12" t="s">
        <v>217</v>
      </c>
      <c r="C4427" s="12" t="s">
        <v>691</v>
      </c>
      <c r="D4427" s="12" t="s">
        <v>226</v>
      </c>
      <c r="E4427" s="12" t="s">
        <v>6238</v>
      </c>
      <c r="F4427" s="12" t="s">
        <v>32</v>
      </c>
      <c r="G4427" s="12" t="s">
        <v>32</v>
      </c>
      <c r="H4427" s="12" t="b">
        <v>1</v>
      </c>
      <c r="I4427" s="12" t="b">
        <v>1</v>
      </c>
      <c r="J4427" s="12" t="b">
        <v>0</v>
      </c>
      <c r="K4427" s="12" t="b">
        <v>0</v>
      </c>
      <c r="L4427" s="12">
        <v>394.15</v>
      </c>
      <c r="M4427" s="12">
        <v>278.14999999999998</v>
      </c>
      <c r="N4427" s="12">
        <v>3300</v>
      </c>
      <c r="O4427" s="12">
        <v>690</v>
      </c>
      <c r="P4427" s="12">
        <v>0.82</v>
      </c>
      <c r="Q4427" s="12">
        <v>0.9</v>
      </c>
      <c r="R4427" s="12">
        <v>0.8</v>
      </c>
      <c r="S4427" s="12">
        <v>0.85</v>
      </c>
      <c r="T4427" s="12">
        <v>0.75357142857142856</v>
      </c>
      <c r="U4427" s="12">
        <v>0.95</v>
      </c>
      <c r="V4427" s="12">
        <v>283.14999999999998</v>
      </c>
      <c r="W4427" s="12">
        <v>12.740368104238931</v>
      </c>
      <c r="X4427" s="12">
        <v>117.60310300396451</v>
      </c>
      <c r="Y4427" s="12">
        <v>2610</v>
      </c>
      <c r="Z4427" s="12">
        <v>4.7826086956521738</v>
      </c>
      <c r="AA4427" s="12"/>
      <c r="AB4427" s="12" t="s">
        <v>1878</v>
      </c>
    </row>
    <row r="4428" spans="1:28" x14ac:dyDescent="0.3">
      <c r="A4428" s="12" t="s">
        <v>6368</v>
      </c>
      <c r="B4428" s="12" t="s">
        <v>217</v>
      </c>
      <c r="C4428" s="12" t="s">
        <v>691</v>
      </c>
      <c r="D4428" s="12" t="s">
        <v>226</v>
      </c>
      <c r="E4428" s="12" t="s">
        <v>6238</v>
      </c>
      <c r="F4428" s="12" t="s">
        <v>32</v>
      </c>
      <c r="G4428" s="12" t="s">
        <v>32</v>
      </c>
      <c r="H4428" s="12" t="b">
        <v>1</v>
      </c>
      <c r="I4428" s="12" t="b">
        <v>1</v>
      </c>
      <c r="J4428" s="12" t="b">
        <v>0</v>
      </c>
      <c r="K4428" s="12" t="b">
        <v>0</v>
      </c>
      <c r="L4428" s="12">
        <v>394.15</v>
      </c>
      <c r="M4428" s="12">
        <v>278.14999999999998</v>
      </c>
      <c r="N4428" s="12">
        <v>3300</v>
      </c>
      <c r="O4428" s="12">
        <v>690</v>
      </c>
      <c r="P4428" s="12">
        <v>0.82</v>
      </c>
      <c r="Q4428" s="12">
        <v>0.9</v>
      </c>
      <c r="R4428" s="12">
        <v>0.8</v>
      </c>
      <c r="S4428" s="12">
        <v>0.85</v>
      </c>
      <c r="T4428" s="12">
        <v>0.79285714285714282</v>
      </c>
      <c r="U4428" s="12">
        <v>0.95</v>
      </c>
      <c r="V4428" s="12">
        <v>283.14999999999998</v>
      </c>
      <c r="W4428" s="12">
        <v>12.834514454028641</v>
      </c>
      <c r="X4428" s="12">
        <v>117.76603340065439</v>
      </c>
      <c r="Y4428" s="12">
        <v>2610</v>
      </c>
      <c r="Z4428" s="12">
        <v>4.7826086956521738</v>
      </c>
      <c r="AA4428" s="12"/>
      <c r="AB4428" s="12" t="s">
        <v>1878</v>
      </c>
    </row>
    <row r="4429" spans="1:28" x14ac:dyDescent="0.3">
      <c r="A4429" s="12" t="s">
        <v>6369</v>
      </c>
      <c r="B4429" s="12" t="s">
        <v>217</v>
      </c>
      <c r="C4429" s="12" t="s">
        <v>691</v>
      </c>
      <c r="D4429" s="12" t="s">
        <v>226</v>
      </c>
      <c r="E4429" s="12" t="s">
        <v>6238</v>
      </c>
      <c r="F4429" s="12" t="s">
        <v>32</v>
      </c>
      <c r="G4429" s="12" t="s">
        <v>32</v>
      </c>
      <c r="H4429" s="12" t="b">
        <v>1</v>
      </c>
      <c r="I4429" s="12" t="b">
        <v>1</v>
      </c>
      <c r="J4429" s="12" t="b">
        <v>0</v>
      </c>
      <c r="K4429" s="12" t="b">
        <v>0</v>
      </c>
      <c r="L4429" s="12">
        <v>394.15</v>
      </c>
      <c r="M4429" s="12">
        <v>278.14999999999998</v>
      </c>
      <c r="N4429" s="12">
        <v>3300</v>
      </c>
      <c r="O4429" s="12">
        <v>690</v>
      </c>
      <c r="P4429" s="12">
        <v>0.82</v>
      </c>
      <c r="Q4429" s="12">
        <v>0.9</v>
      </c>
      <c r="R4429" s="12">
        <v>0.8</v>
      </c>
      <c r="S4429" s="12">
        <v>0.85</v>
      </c>
      <c r="T4429" s="12">
        <v>0.83214285714285707</v>
      </c>
      <c r="U4429" s="12">
        <v>0.95</v>
      </c>
      <c r="V4429" s="12">
        <v>283.14999999999998</v>
      </c>
      <c r="W4429" s="12">
        <v>12.92978655225828</v>
      </c>
      <c r="X4429" s="12">
        <v>117.9289580635061</v>
      </c>
      <c r="Y4429" s="12">
        <v>2610</v>
      </c>
      <c r="Z4429" s="12">
        <v>4.7826086956521738</v>
      </c>
      <c r="AA4429" s="12"/>
      <c r="AB4429" s="12" t="s">
        <v>1878</v>
      </c>
    </row>
    <row r="4430" spans="1:28" x14ac:dyDescent="0.3">
      <c r="A4430" s="12" t="s">
        <v>6370</v>
      </c>
      <c r="B4430" s="12" t="s">
        <v>217</v>
      </c>
      <c r="C4430" s="12" t="s">
        <v>691</v>
      </c>
      <c r="D4430" s="12" t="s">
        <v>226</v>
      </c>
      <c r="E4430" s="12" t="s">
        <v>6238</v>
      </c>
      <c r="F4430" s="12" t="s">
        <v>32</v>
      </c>
      <c r="G4430" s="12" t="s">
        <v>32</v>
      </c>
      <c r="H4430" s="12" t="b">
        <v>1</v>
      </c>
      <c r="I4430" s="12" t="b">
        <v>1</v>
      </c>
      <c r="J4430" s="12" t="b">
        <v>0</v>
      </c>
      <c r="K4430" s="12" t="b">
        <v>0</v>
      </c>
      <c r="L4430" s="12">
        <v>394.15</v>
      </c>
      <c r="M4430" s="12">
        <v>278.14999999999998</v>
      </c>
      <c r="N4430" s="12">
        <v>3300</v>
      </c>
      <c r="O4430" s="12">
        <v>690</v>
      </c>
      <c r="P4430" s="12">
        <v>0.82</v>
      </c>
      <c r="Q4430" s="12">
        <v>0.9</v>
      </c>
      <c r="R4430" s="12">
        <v>0.8</v>
      </c>
      <c r="S4430" s="12">
        <v>0.85</v>
      </c>
      <c r="T4430" s="12">
        <v>0.87142857142857133</v>
      </c>
      <c r="U4430" s="12">
        <v>0.95</v>
      </c>
      <c r="V4430" s="12">
        <v>283.14999999999998</v>
      </c>
      <c r="W4430" s="12">
        <v>13.02620420805367</v>
      </c>
      <c r="X4430" s="12">
        <v>118.0918759422341</v>
      </c>
      <c r="Y4430" s="12">
        <v>2610</v>
      </c>
      <c r="Z4430" s="12">
        <v>4.7826086956521738</v>
      </c>
      <c r="AA4430" s="12"/>
      <c r="AB4430" s="12" t="s">
        <v>1878</v>
      </c>
    </row>
    <row r="4431" spans="1:28" x14ac:dyDescent="0.3">
      <c r="A4431" s="12" t="s">
        <v>6371</v>
      </c>
      <c r="B4431" s="12" t="s">
        <v>217</v>
      </c>
      <c r="C4431" s="12" t="s">
        <v>691</v>
      </c>
      <c r="D4431" s="12" t="s">
        <v>226</v>
      </c>
      <c r="E4431" s="12" t="s">
        <v>6238</v>
      </c>
      <c r="F4431" s="12" t="s">
        <v>32</v>
      </c>
      <c r="G4431" s="12" t="s">
        <v>32</v>
      </c>
      <c r="H4431" s="12" t="b">
        <v>1</v>
      </c>
      <c r="I4431" s="12" t="b">
        <v>1</v>
      </c>
      <c r="J4431" s="12" t="b">
        <v>0</v>
      </c>
      <c r="K4431" s="12" t="b">
        <v>0</v>
      </c>
      <c r="L4431" s="12">
        <v>394.15</v>
      </c>
      <c r="M4431" s="12">
        <v>278.14999999999998</v>
      </c>
      <c r="N4431" s="12">
        <v>3300</v>
      </c>
      <c r="O4431" s="12">
        <v>690</v>
      </c>
      <c r="P4431" s="12">
        <v>0.82</v>
      </c>
      <c r="Q4431" s="12">
        <v>0.9</v>
      </c>
      <c r="R4431" s="12">
        <v>0.8</v>
      </c>
      <c r="S4431" s="12">
        <v>0.85</v>
      </c>
      <c r="T4431" s="12">
        <v>0.91071428571428559</v>
      </c>
      <c r="U4431" s="12">
        <v>0.95</v>
      </c>
      <c r="V4431" s="12">
        <v>283.14999999999998</v>
      </c>
      <c r="W4431" s="12">
        <v>13.12378762959341</v>
      </c>
      <c r="X4431" s="12">
        <v>118.25478586307889</v>
      </c>
      <c r="Y4431" s="12">
        <v>2610</v>
      </c>
      <c r="Z4431" s="12">
        <v>4.7826086956521738</v>
      </c>
      <c r="AA4431" s="12"/>
      <c r="AB4431" s="12" t="s">
        <v>1878</v>
      </c>
    </row>
    <row r="4432" spans="1:28" x14ac:dyDescent="0.3">
      <c r="A4432" s="12" t="s">
        <v>6372</v>
      </c>
      <c r="B4432" s="12" t="s">
        <v>217</v>
      </c>
      <c r="C4432" s="12" t="s">
        <v>691</v>
      </c>
      <c r="D4432" s="12" t="s">
        <v>226</v>
      </c>
      <c r="E4432" s="12" t="s">
        <v>6238</v>
      </c>
      <c r="F4432" s="12" t="s">
        <v>832</v>
      </c>
      <c r="G4432" s="12" t="s">
        <v>832</v>
      </c>
      <c r="H4432" s="12" t="b">
        <v>0</v>
      </c>
      <c r="I4432" s="12" t="b">
        <v>0</v>
      </c>
      <c r="J4432" s="12" t="b">
        <v>0</v>
      </c>
      <c r="K4432" s="12" t="b">
        <v>0</v>
      </c>
      <c r="L4432" s="12">
        <v>394.15</v>
      </c>
      <c r="M4432" s="12">
        <v>278.14999999999998</v>
      </c>
      <c r="N4432" s="12">
        <v>3300</v>
      </c>
      <c r="O4432" s="12">
        <v>690</v>
      </c>
      <c r="P4432" s="12">
        <v>0.82</v>
      </c>
      <c r="Q4432" s="12">
        <v>0.9</v>
      </c>
      <c r="R4432" s="12">
        <v>0.8</v>
      </c>
      <c r="S4432" s="12">
        <v>0.85</v>
      </c>
      <c r="T4432" s="12">
        <v>0.75</v>
      </c>
      <c r="U4432" s="12">
        <v>0.75357142857142856</v>
      </c>
      <c r="V4432" s="12">
        <v>283.14999999999998</v>
      </c>
      <c r="W4432" s="12"/>
      <c r="X4432" s="12"/>
      <c r="Y4432" s="12">
        <v>2610</v>
      </c>
      <c r="Z4432" s="12">
        <v>4.7826086956521738</v>
      </c>
      <c r="AA4432" s="12"/>
      <c r="AB4432" s="12" t="s">
        <v>1879</v>
      </c>
    </row>
    <row r="4433" spans="1:28" x14ac:dyDescent="0.3">
      <c r="A4433" s="12" t="s">
        <v>6373</v>
      </c>
      <c r="B4433" s="12" t="s">
        <v>217</v>
      </c>
      <c r="C4433" s="12" t="s">
        <v>691</v>
      </c>
      <c r="D4433" s="12" t="s">
        <v>226</v>
      </c>
      <c r="E4433" s="12" t="s">
        <v>6238</v>
      </c>
      <c r="F4433" s="12" t="s">
        <v>32</v>
      </c>
      <c r="G4433" s="12" t="s">
        <v>32</v>
      </c>
      <c r="H4433" s="12" t="b">
        <v>1</v>
      </c>
      <c r="I4433" s="12" t="b">
        <v>1</v>
      </c>
      <c r="J4433" s="12" t="b">
        <v>0</v>
      </c>
      <c r="K4433" s="12" t="b">
        <v>0</v>
      </c>
      <c r="L4433" s="12">
        <v>394.15</v>
      </c>
      <c r="M4433" s="12">
        <v>278.14999999999998</v>
      </c>
      <c r="N4433" s="12">
        <v>3300</v>
      </c>
      <c r="O4433" s="12">
        <v>690</v>
      </c>
      <c r="P4433" s="12">
        <v>0.82</v>
      </c>
      <c r="Q4433" s="12">
        <v>0.9</v>
      </c>
      <c r="R4433" s="12">
        <v>0.8</v>
      </c>
      <c r="S4433" s="12">
        <v>0.85</v>
      </c>
      <c r="T4433" s="12">
        <v>0.95</v>
      </c>
      <c r="U4433" s="12">
        <v>0.95</v>
      </c>
      <c r="V4433" s="12">
        <v>283.14999999999998</v>
      </c>
      <c r="W4433" s="12">
        <v>13.2225573486805</v>
      </c>
      <c r="X4433" s="12">
        <v>118.41768521932229</v>
      </c>
      <c r="Y4433" s="12">
        <v>2610</v>
      </c>
      <c r="Z4433" s="12">
        <v>4.7826086956521738</v>
      </c>
      <c r="AA4433" s="12"/>
      <c r="AB4433" s="12" t="s">
        <v>1878</v>
      </c>
    </row>
    <row r="4434" spans="1:28" x14ac:dyDescent="0.3">
      <c r="A4434" s="12" t="s">
        <v>6374</v>
      </c>
      <c r="B4434" s="12" t="s">
        <v>217</v>
      </c>
      <c r="C4434" s="12" t="s">
        <v>691</v>
      </c>
      <c r="D4434" s="12" t="s">
        <v>226</v>
      </c>
      <c r="E4434" s="12" t="s">
        <v>6238</v>
      </c>
      <c r="F4434" s="12" t="s">
        <v>1861</v>
      </c>
      <c r="G4434" s="12" t="s">
        <v>1861</v>
      </c>
      <c r="H4434" s="12" t="b">
        <v>1</v>
      </c>
      <c r="I4434" s="12" t="b">
        <v>0</v>
      </c>
      <c r="J4434" s="12" t="b">
        <v>0</v>
      </c>
      <c r="K4434" s="12" t="b">
        <v>0</v>
      </c>
      <c r="L4434" s="12">
        <v>394.15</v>
      </c>
      <c r="M4434" s="12">
        <v>278.14999999999998</v>
      </c>
      <c r="N4434" s="12">
        <v>3300</v>
      </c>
      <c r="O4434" s="12">
        <v>690</v>
      </c>
      <c r="P4434" s="12">
        <v>0.82</v>
      </c>
      <c r="Q4434" s="12">
        <v>0.9</v>
      </c>
      <c r="R4434" s="12">
        <v>0.8</v>
      </c>
      <c r="S4434" s="12">
        <v>0.85</v>
      </c>
      <c r="T4434" s="12">
        <v>0.75</v>
      </c>
      <c r="U4434" s="12">
        <v>0.73571428571428565</v>
      </c>
      <c r="V4434" s="12">
        <v>283.14999999999998</v>
      </c>
      <c r="W4434" s="12">
        <v>13.55485652015634</v>
      </c>
      <c r="X4434" s="12">
        <v>107.19814809382351</v>
      </c>
      <c r="Y4434" s="12">
        <v>2610</v>
      </c>
      <c r="Z4434" s="12">
        <v>4.7826086956521738</v>
      </c>
      <c r="AA4434" s="12" t="s">
        <v>1268</v>
      </c>
      <c r="AB4434" s="12" t="s">
        <v>1879</v>
      </c>
    </row>
    <row r="4435" spans="1:28" x14ac:dyDescent="0.3">
      <c r="A4435" s="12" t="s">
        <v>6375</v>
      </c>
      <c r="B4435" s="12" t="s">
        <v>217</v>
      </c>
      <c r="C4435" s="12" t="s">
        <v>691</v>
      </c>
      <c r="D4435" s="12" t="s">
        <v>226</v>
      </c>
      <c r="E4435" s="12" t="s">
        <v>6238</v>
      </c>
      <c r="F4435" s="12" t="s">
        <v>1861</v>
      </c>
      <c r="G4435" s="12" t="s">
        <v>1861</v>
      </c>
      <c r="H4435" s="12" t="b">
        <v>1</v>
      </c>
      <c r="I4435" s="12" t="b">
        <v>0</v>
      </c>
      <c r="J4435" s="12" t="b">
        <v>0</v>
      </c>
      <c r="K4435" s="12" t="b">
        <v>0</v>
      </c>
      <c r="L4435" s="12">
        <v>394.15</v>
      </c>
      <c r="M4435" s="12">
        <v>278.14999999999998</v>
      </c>
      <c r="N4435" s="12">
        <v>3300</v>
      </c>
      <c r="O4435" s="12">
        <v>690</v>
      </c>
      <c r="P4435" s="12">
        <v>0.82</v>
      </c>
      <c r="Q4435" s="12">
        <v>0.9</v>
      </c>
      <c r="R4435" s="12">
        <v>0.8</v>
      </c>
      <c r="S4435" s="12">
        <v>0.85</v>
      </c>
      <c r="T4435" s="12">
        <v>0.75</v>
      </c>
      <c r="U4435" s="12">
        <v>0.7</v>
      </c>
      <c r="V4435" s="12">
        <v>283.14999999999998</v>
      </c>
      <c r="W4435" s="12">
        <v>13.27270931580798</v>
      </c>
      <c r="X4435" s="12">
        <v>101.2565386201739</v>
      </c>
      <c r="Y4435" s="12">
        <v>2610</v>
      </c>
      <c r="Z4435" s="12">
        <v>4.7826086956521738</v>
      </c>
      <c r="AA4435" s="12" t="s">
        <v>1268</v>
      </c>
      <c r="AB4435" s="12" t="s">
        <v>1879</v>
      </c>
    </row>
    <row r="4436" spans="1:28" x14ac:dyDescent="0.3">
      <c r="A4436" s="12" t="s">
        <v>6376</v>
      </c>
      <c r="B4436" s="12" t="s">
        <v>217</v>
      </c>
      <c r="C4436" s="12" t="s">
        <v>691</v>
      </c>
      <c r="D4436" s="12" t="s">
        <v>226</v>
      </c>
      <c r="E4436" s="12" t="s">
        <v>6238</v>
      </c>
      <c r="F4436" s="12" t="s">
        <v>1861</v>
      </c>
      <c r="G4436" s="12" t="s">
        <v>1861</v>
      </c>
      <c r="H4436" s="12" t="b">
        <v>1</v>
      </c>
      <c r="I4436" s="12" t="b">
        <v>0</v>
      </c>
      <c r="J4436" s="12" t="b">
        <v>0</v>
      </c>
      <c r="K4436" s="12" t="b">
        <v>0</v>
      </c>
      <c r="L4436" s="12">
        <v>394.15</v>
      </c>
      <c r="M4436" s="12">
        <v>278.14999999999998</v>
      </c>
      <c r="N4436" s="12">
        <v>3300</v>
      </c>
      <c r="O4436" s="12">
        <v>690</v>
      </c>
      <c r="P4436" s="12">
        <v>0.82</v>
      </c>
      <c r="Q4436" s="12">
        <v>0.9</v>
      </c>
      <c r="R4436" s="12">
        <v>0.8</v>
      </c>
      <c r="S4436" s="12">
        <v>0.85</v>
      </c>
      <c r="T4436" s="12">
        <v>0.75</v>
      </c>
      <c r="U4436" s="12">
        <v>0.78928571428571426</v>
      </c>
      <c r="V4436" s="12">
        <v>283.14999999999998</v>
      </c>
      <c r="W4436" s="12">
        <v>13.68561535292171</v>
      </c>
      <c r="X4436" s="12">
        <v>113.4744273495411</v>
      </c>
      <c r="Y4436" s="12">
        <v>2610</v>
      </c>
      <c r="Z4436" s="12">
        <v>4.7826086956521738</v>
      </c>
      <c r="AA4436" s="12" t="s">
        <v>1268</v>
      </c>
      <c r="AB4436" s="12" t="s">
        <v>1879</v>
      </c>
    </row>
    <row r="4437" spans="1:28" x14ac:dyDescent="0.3">
      <c r="A4437" s="12" t="s">
        <v>6377</v>
      </c>
      <c r="B4437" s="12" t="s">
        <v>217</v>
      </c>
      <c r="C4437" s="12" t="s">
        <v>691</v>
      </c>
      <c r="D4437" s="12" t="s">
        <v>226</v>
      </c>
      <c r="E4437" s="12" t="s">
        <v>6238</v>
      </c>
      <c r="F4437" s="12" t="s">
        <v>1861</v>
      </c>
      <c r="G4437" s="12" t="s">
        <v>1861</v>
      </c>
      <c r="H4437" s="12" t="b">
        <v>1</v>
      </c>
      <c r="I4437" s="12" t="b">
        <v>0</v>
      </c>
      <c r="J4437" s="12" t="b">
        <v>0</v>
      </c>
      <c r="K4437" s="12" t="b">
        <v>0</v>
      </c>
      <c r="L4437" s="12">
        <v>394.15</v>
      </c>
      <c r="M4437" s="12">
        <v>278.14999999999998</v>
      </c>
      <c r="N4437" s="12">
        <v>3300</v>
      </c>
      <c r="O4437" s="12">
        <v>690</v>
      </c>
      <c r="P4437" s="12">
        <v>0.82</v>
      </c>
      <c r="Q4437" s="12">
        <v>0.9</v>
      </c>
      <c r="R4437" s="12">
        <v>0.8</v>
      </c>
      <c r="S4437" s="12">
        <v>0.85</v>
      </c>
      <c r="T4437" s="12">
        <v>0.75</v>
      </c>
      <c r="U4437" s="12">
        <v>0.77142857142857135</v>
      </c>
      <c r="V4437" s="12">
        <v>283.14999999999998</v>
      </c>
      <c r="W4437" s="12">
        <v>13.67598418117441</v>
      </c>
      <c r="X4437" s="12">
        <v>111.7099934619436</v>
      </c>
      <c r="Y4437" s="12">
        <v>2610</v>
      </c>
      <c r="Z4437" s="12">
        <v>4.7826086956521738</v>
      </c>
      <c r="AA4437" s="12" t="s">
        <v>1268</v>
      </c>
      <c r="AB4437" s="12" t="s">
        <v>1879</v>
      </c>
    </row>
    <row r="4438" spans="1:28" x14ac:dyDescent="0.3">
      <c r="A4438" s="12" t="s">
        <v>6378</v>
      </c>
      <c r="B4438" s="12" t="s">
        <v>217</v>
      </c>
      <c r="C4438" s="12" t="s">
        <v>691</v>
      </c>
      <c r="D4438" s="12" t="s">
        <v>226</v>
      </c>
      <c r="E4438" s="12" t="s">
        <v>6238</v>
      </c>
      <c r="F4438" s="12" t="s">
        <v>1861</v>
      </c>
      <c r="G4438" s="12" t="s">
        <v>1861</v>
      </c>
      <c r="H4438" s="12" t="b">
        <v>1</v>
      </c>
      <c r="I4438" s="12" t="b">
        <v>0</v>
      </c>
      <c r="J4438" s="12" t="b">
        <v>0</v>
      </c>
      <c r="K4438" s="12" t="b">
        <v>0</v>
      </c>
      <c r="L4438" s="12">
        <v>394.15</v>
      </c>
      <c r="M4438" s="12">
        <v>278.14999999999998</v>
      </c>
      <c r="N4438" s="12">
        <v>3300</v>
      </c>
      <c r="O4438" s="12">
        <v>690</v>
      </c>
      <c r="P4438" s="12">
        <v>0.82</v>
      </c>
      <c r="Q4438" s="12">
        <v>0.9</v>
      </c>
      <c r="R4438" s="12">
        <v>0.8</v>
      </c>
      <c r="S4438" s="12">
        <v>0.85</v>
      </c>
      <c r="T4438" s="12">
        <v>0.75</v>
      </c>
      <c r="U4438" s="12">
        <v>0.71785714285714286</v>
      </c>
      <c r="V4438" s="12">
        <v>283.14999999999998</v>
      </c>
      <c r="W4438" s="12">
        <v>13.43604548696222</v>
      </c>
      <c r="X4438" s="12">
        <v>104.4154083721469</v>
      </c>
      <c r="Y4438" s="12">
        <v>2610</v>
      </c>
      <c r="Z4438" s="12">
        <v>4.7826086956521738</v>
      </c>
      <c r="AA4438" s="12" t="s">
        <v>1268</v>
      </c>
      <c r="AB4438" s="12" t="s">
        <v>1879</v>
      </c>
    </row>
    <row r="4439" spans="1:28" x14ac:dyDescent="0.3">
      <c r="A4439" s="12" t="s">
        <v>6379</v>
      </c>
      <c r="B4439" s="12" t="s">
        <v>217</v>
      </c>
      <c r="C4439" s="12" t="s">
        <v>691</v>
      </c>
      <c r="D4439" s="12" t="s">
        <v>226</v>
      </c>
      <c r="E4439" s="12" t="s">
        <v>6238</v>
      </c>
      <c r="F4439" s="12" t="s">
        <v>1861</v>
      </c>
      <c r="G4439" s="12" t="s">
        <v>1861</v>
      </c>
      <c r="H4439" s="12" t="b">
        <v>1</v>
      </c>
      <c r="I4439" s="12" t="b">
        <v>0</v>
      </c>
      <c r="J4439" s="12" t="b">
        <v>0</v>
      </c>
      <c r="K4439" s="12" t="b">
        <v>0</v>
      </c>
      <c r="L4439" s="12">
        <v>394.15</v>
      </c>
      <c r="M4439" s="12">
        <v>278.14999999999998</v>
      </c>
      <c r="N4439" s="12">
        <v>3300</v>
      </c>
      <c r="O4439" s="12">
        <v>690</v>
      </c>
      <c r="P4439" s="12">
        <v>0.82</v>
      </c>
      <c r="Q4439" s="12">
        <v>0.9</v>
      </c>
      <c r="R4439" s="12">
        <v>0.8</v>
      </c>
      <c r="S4439" s="12">
        <v>0.85</v>
      </c>
      <c r="T4439" s="12">
        <v>0.75</v>
      </c>
      <c r="U4439" s="12">
        <v>0.80714285714285705</v>
      </c>
      <c r="V4439" s="12">
        <v>283.14999999999998</v>
      </c>
      <c r="W4439" s="12">
        <v>13.665458883243311</v>
      </c>
      <c r="X4439" s="12">
        <v>114.93324189535331</v>
      </c>
      <c r="Y4439" s="12">
        <v>2610</v>
      </c>
      <c r="Z4439" s="12">
        <v>4.7826086956521738</v>
      </c>
      <c r="AA4439" s="12" t="s">
        <v>1268</v>
      </c>
      <c r="AB4439" s="12" t="s">
        <v>1879</v>
      </c>
    </row>
    <row r="4440" spans="1:28" x14ac:dyDescent="0.3">
      <c r="A4440" s="12" t="s">
        <v>6380</v>
      </c>
      <c r="B4440" s="12" t="s">
        <v>217</v>
      </c>
      <c r="C4440" s="12" t="s">
        <v>691</v>
      </c>
      <c r="D4440" s="12" t="s">
        <v>226</v>
      </c>
      <c r="E4440" s="12" t="s">
        <v>6238</v>
      </c>
      <c r="F4440" s="12" t="s">
        <v>1861</v>
      </c>
      <c r="G4440" s="12" t="s">
        <v>1861</v>
      </c>
      <c r="H4440" s="12" t="b">
        <v>1</v>
      </c>
      <c r="I4440" s="12" t="b">
        <v>0</v>
      </c>
      <c r="J4440" s="12" t="b">
        <v>0</v>
      </c>
      <c r="K4440" s="12" t="b">
        <v>0</v>
      </c>
      <c r="L4440" s="12">
        <v>394.15</v>
      </c>
      <c r="M4440" s="12">
        <v>278.14999999999998</v>
      </c>
      <c r="N4440" s="12">
        <v>3300</v>
      </c>
      <c r="O4440" s="12">
        <v>690</v>
      </c>
      <c r="P4440" s="12">
        <v>0.82</v>
      </c>
      <c r="Q4440" s="12">
        <v>0.9</v>
      </c>
      <c r="R4440" s="12">
        <v>0.8</v>
      </c>
      <c r="S4440" s="12">
        <v>0.85</v>
      </c>
      <c r="T4440" s="12">
        <v>0.75</v>
      </c>
      <c r="U4440" s="12">
        <v>0.82499999999999996</v>
      </c>
      <c r="V4440" s="12">
        <v>283.14999999999998</v>
      </c>
      <c r="W4440" s="12">
        <v>13.618229150517189</v>
      </c>
      <c r="X4440" s="12">
        <v>116.101986482687</v>
      </c>
      <c r="Y4440" s="12">
        <v>2610</v>
      </c>
      <c r="Z4440" s="12">
        <v>4.7826086956521738</v>
      </c>
      <c r="AA4440" s="12" t="s">
        <v>1268</v>
      </c>
      <c r="AB4440" s="12" t="s">
        <v>1879</v>
      </c>
    </row>
    <row r="4441" spans="1:28" x14ac:dyDescent="0.3">
      <c r="A4441" s="12" t="s">
        <v>6381</v>
      </c>
      <c r="B4441" s="12" t="s">
        <v>217</v>
      </c>
      <c r="C4441" s="12" t="s">
        <v>691</v>
      </c>
      <c r="D4441" s="12" t="s">
        <v>226</v>
      </c>
      <c r="E4441" s="12" t="s">
        <v>6238</v>
      </c>
      <c r="F4441" s="12" t="s">
        <v>1861</v>
      </c>
      <c r="G4441" s="12" t="s">
        <v>1861</v>
      </c>
      <c r="H4441" s="12" t="b">
        <v>1</v>
      </c>
      <c r="I4441" s="12" t="b">
        <v>0</v>
      </c>
      <c r="J4441" s="12" t="b">
        <v>0</v>
      </c>
      <c r="K4441" s="12" t="b">
        <v>0</v>
      </c>
      <c r="L4441" s="12">
        <v>394.15</v>
      </c>
      <c r="M4441" s="12">
        <v>278.14999999999998</v>
      </c>
      <c r="N4441" s="12">
        <v>3300</v>
      </c>
      <c r="O4441" s="12">
        <v>690</v>
      </c>
      <c r="P4441" s="12">
        <v>0.82</v>
      </c>
      <c r="Q4441" s="12">
        <v>0.9</v>
      </c>
      <c r="R4441" s="12">
        <v>0.8</v>
      </c>
      <c r="S4441" s="12">
        <v>0.85</v>
      </c>
      <c r="T4441" s="12">
        <v>0.75</v>
      </c>
      <c r="U4441" s="12">
        <v>0.87857142857142856</v>
      </c>
      <c r="V4441" s="12">
        <v>283.14999999999998</v>
      </c>
      <c r="W4441" s="12">
        <v>13.33681054343614</v>
      </c>
      <c r="X4441" s="12">
        <v>118.0099625880554</v>
      </c>
      <c r="Y4441" s="12">
        <v>2610</v>
      </c>
      <c r="Z4441" s="12">
        <v>4.7826086956521738</v>
      </c>
      <c r="AA4441" s="12" t="s">
        <v>1268</v>
      </c>
      <c r="AB4441" s="12" t="s">
        <v>1879</v>
      </c>
    </row>
    <row r="4442" spans="1:28" x14ac:dyDescent="0.3">
      <c r="A4442" s="12" t="s">
        <v>6382</v>
      </c>
      <c r="B4442" s="12" t="s">
        <v>217</v>
      </c>
      <c r="C4442" s="12" t="s">
        <v>691</v>
      </c>
      <c r="D4442" s="12" t="s">
        <v>226</v>
      </c>
      <c r="E4442" s="12" t="s">
        <v>6238</v>
      </c>
      <c r="F4442" s="12" t="s">
        <v>1861</v>
      </c>
      <c r="G4442" s="12" t="s">
        <v>1861</v>
      </c>
      <c r="H4442" s="12" t="b">
        <v>1</v>
      </c>
      <c r="I4442" s="12" t="b">
        <v>0</v>
      </c>
      <c r="J4442" s="12" t="b">
        <v>0</v>
      </c>
      <c r="K4442" s="12" t="b">
        <v>0</v>
      </c>
      <c r="L4442" s="12">
        <v>394.15</v>
      </c>
      <c r="M4442" s="12">
        <v>278.14999999999998</v>
      </c>
      <c r="N4442" s="12">
        <v>3300</v>
      </c>
      <c r="O4442" s="12">
        <v>690</v>
      </c>
      <c r="P4442" s="12">
        <v>0.82</v>
      </c>
      <c r="Q4442" s="12">
        <v>0.9</v>
      </c>
      <c r="R4442" s="12">
        <v>0.8</v>
      </c>
      <c r="S4442" s="12">
        <v>0.85</v>
      </c>
      <c r="T4442" s="12">
        <v>0.75</v>
      </c>
      <c r="U4442" s="12">
        <v>0.84285714285714275</v>
      </c>
      <c r="V4442" s="12">
        <v>283.14999999999998</v>
      </c>
      <c r="W4442" s="12">
        <v>13.546322051427349</v>
      </c>
      <c r="X4442" s="12">
        <v>116.9952827766313</v>
      </c>
      <c r="Y4442" s="12">
        <v>2610</v>
      </c>
      <c r="Z4442" s="12">
        <v>4.7826086956521738</v>
      </c>
      <c r="AA4442" s="12" t="s">
        <v>1268</v>
      </c>
      <c r="AB4442" s="12" t="s">
        <v>1879</v>
      </c>
    </row>
    <row r="4443" spans="1:28" x14ac:dyDescent="0.3">
      <c r="A4443" s="12" t="s">
        <v>6383</v>
      </c>
      <c r="B4443" s="12" t="s">
        <v>217</v>
      </c>
      <c r="C4443" s="12" t="s">
        <v>691</v>
      </c>
      <c r="D4443" s="12" t="s">
        <v>226</v>
      </c>
      <c r="E4443" s="12" t="s">
        <v>6238</v>
      </c>
      <c r="F4443" s="12" t="s">
        <v>1861</v>
      </c>
      <c r="G4443" s="12" t="s">
        <v>1861</v>
      </c>
      <c r="H4443" s="12" t="b">
        <v>1</v>
      </c>
      <c r="I4443" s="12" t="b">
        <v>0</v>
      </c>
      <c r="J4443" s="12" t="b">
        <v>0</v>
      </c>
      <c r="K4443" s="12" t="b">
        <v>0</v>
      </c>
      <c r="L4443" s="12">
        <v>394.15</v>
      </c>
      <c r="M4443" s="12">
        <v>278.14999999999998</v>
      </c>
      <c r="N4443" s="12">
        <v>3300</v>
      </c>
      <c r="O4443" s="12">
        <v>690</v>
      </c>
      <c r="P4443" s="12">
        <v>0.82</v>
      </c>
      <c r="Q4443" s="12">
        <v>0.9</v>
      </c>
      <c r="R4443" s="12">
        <v>0.8</v>
      </c>
      <c r="S4443" s="12">
        <v>0.85</v>
      </c>
      <c r="T4443" s="12">
        <v>0.75</v>
      </c>
      <c r="U4443" s="12">
        <v>0.86071428571428565</v>
      </c>
      <c r="V4443" s="12">
        <v>283.14999999999998</v>
      </c>
      <c r="W4443" s="12">
        <v>13.45187778776944</v>
      </c>
      <c r="X4443" s="12">
        <v>117.6269218125091</v>
      </c>
      <c r="Y4443" s="12">
        <v>2610</v>
      </c>
      <c r="Z4443" s="12">
        <v>4.7826086956521738</v>
      </c>
      <c r="AA4443" s="12" t="s">
        <v>1268</v>
      </c>
      <c r="AB4443" s="12" t="s">
        <v>1879</v>
      </c>
    </row>
    <row r="4444" spans="1:28" x14ac:dyDescent="0.3">
      <c r="A4444" s="12" t="s">
        <v>6384</v>
      </c>
      <c r="B4444" s="12" t="s">
        <v>217</v>
      </c>
      <c r="C4444" s="12" t="s">
        <v>691</v>
      </c>
      <c r="D4444" s="12" t="s">
        <v>226</v>
      </c>
      <c r="E4444" s="12" t="s">
        <v>6238</v>
      </c>
      <c r="F4444" s="12" t="s">
        <v>1861</v>
      </c>
      <c r="G4444" s="12" t="s">
        <v>1861</v>
      </c>
      <c r="H4444" s="12" t="b">
        <v>1</v>
      </c>
      <c r="I4444" s="12" t="b">
        <v>0</v>
      </c>
      <c r="J4444" s="12" t="b">
        <v>0</v>
      </c>
      <c r="K4444" s="12" t="b">
        <v>0</v>
      </c>
      <c r="L4444" s="12">
        <v>394.15</v>
      </c>
      <c r="M4444" s="12">
        <v>278.14999999999998</v>
      </c>
      <c r="N4444" s="12">
        <v>3300</v>
      </c>
      <c r="O4444" s="12">
        <v>690</v>
      </c>
      <c r="P4444" s="12">
        <v>0.82</v>
      </c>
      <c r="Q4444" s="12">
        <v>0.9</v>
      </c>
      <c r="R4444" s="12">
        <v>0.8</v>
      </c>
      <c r="S4444" s="12">
        <v>0.85</v>
      </c>
      <c r="T4444" s="12">
        <v>0.75</v>
      </c>
      <c r="U4444" s="12">
        <v>0.89642857142857135</v>
      </c>
      <c r="V4444" s="12">
        <v>283.14999999999998</v>
      </c>
      <c r="W4444" s="12">
        <v>13.202845014878161</v>
      </c>
      <c r="X4444" s="12">
        <v>118.1566475888708</v>
      </c>
      <c r="Y4444" s="12">
        <v>2610</v>
      </c>
      <c r="Z4444" s="12">
        <v>4.7826086956521738</v>
      </c>
      <c r="AA4444" s="12" t="s">
        <v>1268</v>
      </c>
      <c r="AB4444" s="12" t="s">
        <v>1879</v>
      </c>
    </row>
    <row r="4445" spans="1:28" x14ac:dyDescent="0.3">
      <c r="A4445" s="12" t="s">
        <v>6385</v>
      </c>
      <c r="B4445" s="12" t="s">
        <v>217</v>
      </c>
      <c r="C4445" s="12" t="s">
        <v>691</v>
      </c>
      <c r="D4445" s="12" t="s">
        <v>226</v>
      </c>
      <c r="E4445" s="12" t="s">
        <v>6238</v>
      </c>
      <c r="F4445" s="12" t="s">
        <v>1861</v>
      </c>
      <c r="G4445" s="12" t="s">
        <v>1861</v>
      </c>
      <c r="H4445" s="12" t="b">
        <v>1</v>
      </c>
      <c r="I4445" s="12" t="b">
        <v>0</v>
      </c>
      <c r="J4445" s="12" t="b">
        <v>0</v>
      </c>
      <c r="K4445" s="12" t="b">
        <v>0</v>
      </c>
      <c r="L4445" s="12">
        <v>394.15</v>
      </c>
      <c r="M4445" s="12">
        <v>278.14999999999998</v>
      </c>
      <c r="N4445" s="12">
        <v>3300</v>
      </c>
      <c r="O4445" s="12">
        <v>690</v>
      </c>
      <c r="P4445" s="12">
        <v>0.82</v>
      </c>
      <c r="Q4445" s="12">
        <v>0.9</v>
      </c>
      <c r="R4445" s="12">
        <v>0.8</v>
      </c>
      <c r="S4445" s="12">
        <v>0.85</v>
      </c>
      <c r="T4445" s="12">
        <v>0.75</v>
      </c>
      <c r="U4445" s="12">
        <v>0.91428571428571437</v>
      </c>
      <c r="V4445" s="12">
        <v>283.14999999999998</v>
      </c>
      <c r="W4445" s="12">
        <v>13.05151877785543</v>
      </c>
      <c r="X4445" s="12">
        <v>118.0785320309238</v>
      </c>
      <c r="Y4445" s="12">
        <v>2610</v>
      </c>
      <c r="Z4445" s="12">
        <v>4.7826086956521738</v>
      </c>
      <c r="AA4445" s="12" t="s">
        <v>1268</v>
      </c>
      <c r="AB4445" s="12" t="s">
        <v>1879</v>
      </c>
    </row>
    <row r="4446" spans="1:28" x14ac:dyDescent="0.3">
      <c r="A4446" s="12" t="s">
        <v>6386</v>
      </c>
      <c r="B4446" s="12" t="s">
        <v>217</v>
      </c>
      <c r="C4446" s="12" t="s">
        <v>691</v>
      </c>
      <c r="D4446" s="12" t="s">
        <v>226</v>
      </c>
      <c r="E4446" s="12" t="s">
        <v>6238</v>
      </c>
      <c r="F4446" s="12" t="s">
        <v>1861</v>
      </c>
      <c r="G4446" s="12" t="s">
        <v>1861</v>
      </c>
      <c r="H4446" s="12" t="b">
        <v>1</v>
      </c>
      <c r="I4446" s="12" t="b">
        <v>0</v>
      </c>
      <c r="J4446" s="12" t="b">
        <v>0</v>
      </c>
      <c r="K4446" s="12" t="b">
        <v>0</v>
      </c>
      <c r="L4446" s="12">
        <v>394.15</v>
      </c>
      <c r="M4446" s="12">
        <v>278.14999999999998</v>
      </c>
      <c r="N4446" s="12">
        <v>3300</v>
      </c>
      <c r="O4446" s="12">
        <v>690</v>
      </c>
      <c r="P4446" s="12">
        <v>0.82</v>
      </c>
      <c r="Q4446" s="12">
        <v>0.9</v>
      </c>
      <c r="R4446" s="12">
        <v>0.8</v>
      </c>
      <c r="S4446" s="12">
        <v>0.85</v>
      </c>
      <c r="T4446" s="12">
        <v>0.75</v>
      </c>
      <c r="U4446" s="12">
        <v>0.93214285714285705</v>
      </c>
      <c r="V4446" s="12">
        <v>283.14999999999998</v>
      </c>
      <c r="W4446" s="12">
        <v>12.889274527680261</v>
      </c>
      <c r="X4446" s="12">
        <v>117.8367870762241</v>
      </c>
      <c r="Y4446" s="12">
        <v>2610</v>
      </c>
      <c r="Z4446" s="12">
        <v>4.7826086956521738</v>
      </c>
      <c r="AA4446" s="12" t="s">
        <v>1268</v>
      </c>
      <c r="AB4446" s="12" t="s">
        <v>1879</v>
      </c>
    </row>
    <row r="4447" spans="1:28" x14ac:dyDescent="0.3">
      <c r="A4447" s="12" t="s">
        <v>6387</v>
      </c>
      <c r="B4447" s="12" t="s">
        <v>217</v>
      </c>
      <c r="C4447" s="12" t="s">
        <v>691</v>
      </c>
      <c r="D4447" s="12" t="s">
        <v>226</v>
      </c>
      <c r="E4447" s="12" t="s">
        <v>6238</v>
      </c>
      <c r="F4447" s="12" t="s">
        <v>32</v>
      </c>
      <c r="G4447" s="12" t="s">
        <v>32</v>
      </c>
      <c r="H4447" s="12" t="b">
        <v>1</v>
      </c>
      <c r="I4447" s="12" t="b">
        <v>1</v>
      </c>
      <c r="J4447" s="12" t="b">
        <v>0</v>
      </c>
      <c r="K4447" s="12" t="b">
        <v>0</v>
      </c>
      <c r="L4447" s="12">
        <v>394.15</v>
      </c>
      <c r="M4447" s="12">
        <v>278.14999999999998</v>
      </c>
      <c r="N4447" s="12">
        <v>3300</v>
      </c>
      <c r="O4447" s="12">
        <v>690</v>
      </c>
      <c r="P4447" s="12">
        <v>0.82</v>
      </c>
      <c r="Q4447" s="12">
        <v>0.9</v>
      </c>
      <c r="R4447" s="12">
        <v>0.8</v>
      </c>
      <c r="S4447" s="12">
        <v>0.85</v>
      </c>
      <c r="T4447" s="12">
        <v>0.75</v>
      </c>
      <c r="U4447" s="12">
        <v>0.95</v>
      </c>
      <c r="V4447" s="12">
        <v>283.14999999999998</v>
      </c>
      <c r="W4447" s="12">
        <v>12.731864501081271</v>
      </c>
      <c r="X4447" s="12">
        <v>117.5882909120357</v>
      </c>
      <c r="Y4447" s="12">
        <v>2610</v>
      </c>
      <c r="Z4447" s="12">
        <v>4.7826086956521738</v>
      </c>
      <c r="AA4447" s="12"/>
      <c r="AB4447" s="12" t="s">
        <v>1879</v>
      </c>
    </row>
    <row r="4448" spans="1:28" x14ac:dyDescent="0.3">
      <c r="A4448" s="12" t="s">
        <v>6388</v>
      </c>
      <c r="B4448" s="12" t="s">
        <v>217</v>
      </c>
      <c r="C4448" s="12" t="s">
        <v>700</v>
      </c>
      <c r="D4448" s="12" t="s">
        <v>235</v>
      </c>
      <c r="E4448" s="12" t="s">
        <v>1886</v>
      </c>
      <c r="F4448" s="12" t="s">
        <v>32</v>
      </c>
      <c r="G4448" s="12" t="s">
        <v>32</v>
      </c>
      <c r="H4448" s="12" t="b">
        <v>1</v>
      </c>
      <c r="I4448" s="12" t="b">
        <v>1</v>
      </c>
      <c r="J4448" s="12" t="b">
        <v>0</v>
      </c>
      <c r="K4448" s="12" t="b">
        <v>0</v>
      </c>
      <c r="L4448" s="12">
        <v>394.15</v>
      </c>
      <c r="M4448" s="12">
        <v>278.14999999999998</v>
      </c>
      <c r="N4448" s="12">
        <v>3300</v>
      </c>
      <c r="O4448" s="12">
        <v>800</v>
      </c>
      <c r="P4448" s="12">
        <v>0.7</v>
      </c>
      <c r="Q4448" s="12">
        <v>0.9</v>
      </c>
      <c r="R4448" s="12">
        <v>0.8</v>
      </c>
      <c r="S4448" s="12">
        <v>0.85</v>
      </c>
      <c r="T4448" s="12">
        <v>0.75</v>
      </c>
      <c r="U4448" s="12">
        <v>0.95</v>
      </c>
      <c r="V4448" s="12">
        <v>283.14999999999998</v>
      </c>
      <c r="W4448" s="12">
        <v>10.24650136995742</v>
      </c>
      <c r="X4448" s="12">
        <v>67.826729946003852</v>
      </c>
      <c r="Y4448" s="12">
        <v>2500</v>
      </c>
      <c r="Z4448" s="12">
        <v>4.125</v>
      </c>
      <c r="AA4448" s="12"/>
      <c r="AB4448" s="12"/>
    </row>
    <row r="4449" spans="1:28" x14ac:dyDescent="0.3">
      <c r="A4449" s="12" t="s">
        <v>6389</v>
      </c>
      <c r="B4449" s="12" t="s">
        <v>217</v>
      </c>
      <c r="C4449" s="12" t="s">
        <v>700</v>
      </c>
      <c r="D4449" s="12" t="s">
        <v>235</v>
      </c>
      <c r="E4449" s="12" t="s">
        <v>1886</v>
      </c>
      <c r="F4449" s="12" t="s">
        <v>32</v>
      </c>
      <c r="G4449" s="12" t="s">
        <v>32</v>
      </c>
      <c r="H4449" s="12" t="b">
        <v>1</v>
      </c>
      <c r="I4449" s="12" t="b">
        <v>1</v>
      </c>
      <c r="J4449" s="12" t="b">
        <v>0</v>
      </c>
      <c r="K4449" s="12" t="b">
        <v>0</v>
      </c>
      <c r="L4449" s="12">
        <v>394.15</v>
      </c>
      <c r="M4449" s="12">
        <v>278.14999999999998</v>
      </c>
      <c r="N4449" s="12">
        <v>3300</v>
      </c>
      <c r="O4449" s="12">
        <v>700</v>
      </c>
      <c r="P4449" s="12">
        <v>0.7</v>
      </c>
      <c r="Q4449" s="12">
        <v>0.9</v>
      </c>
      <c r="R4449" s="12">
        <v>0.8</v>
      </c>
      <c r="S4449" s="12">
        <v>0.85</v>
      </c>
      <c r="T4449" s="12">
        <v>0.75</v>
      </c>
      <c r="U4449" s="12">
        <v>0.95</v>
      </c>
      <c r="V4449" s="12">
        <v>283.14999999999998</v>
      </c>
      <c r="W4449" s="12">
        <v>11.137145186894831</v>
      </c>
      <c r="X4449" s="12">
        <v>73.733595172264344</v>
      </c>
      <c r="Y4449" s="12">
        <v>2600</v>
      </c>
      <c r="Z4449" s="12">
        <v>4.7142857142857144</v>
      </c>
      <c r="AA4449" s="12"/>
      <c r="AB4449" s="12"/>
    </row>
    <row r="4450" spans="1:28" x14ac:dyDescent="0.3">
      <c r="A4450" s="12" t="s">
        <v>6390</v>
      </c>
      <c r="B4450" s="12" t="s">
        <v>217</v>
      </c>
      <c r="C4450" s="12" t="s">
        <v>700</v>
      </c>
      <c r="D4450" s="12" t="s">
        <v>235</v>
      </c>
      <c r="E4450" s="12" t="s">
        <v>1886</v>
      </c>
      <c r="F4450" s="12" t="s">
        <v>32</v>
      </c>
      <c r="G4450" s="12" t="s">
        <v>32</v>
      </c>
      <c r="H4450" s="12" t="b">
        <v>1</v>
      </c>
      <c r="I4450" s="12" t="b">
        <v>1</v>
      </c>
      <c r="J4450" s="12" t="b">
        <v>0</v>
      </c>
      <c r="K4450" s="12" t="b">
        <v>0</v>
      </c>
      <c r="L4450" s="12">
        <v>394.15</v>
      </c>
      <c r="M4450" s="12">
        <v>278.14999999999998</v>
      </c>
      <c r="N4450" s="12">
        <v>3300</v>
      </c>
      <c r="O4450" s="12">
        <v>600</v>
      </c>
      <c r="P4450" s="12">
        <v>0.7</v>
      </c>
      <c r="Q4450" s="12">
        <v>0.9</v>
      </c>
      <c r="R4450" s="12">
        <v>0.8</v>
      </c>
      <c r="S4450" s="12">
        <v>0.85</v>
      </c>
      <c r="T4450" s="12">
        <v>0.75</v>
      </c>
      <c r="U4450" s="12">
        <v>0.95</v>
      </c>
      <c r="V4450" s="12">
        <v>283.14999999999998</v>
      </c>
      <c r="W4450" s="12">
        <v>12.14573638574525</v>
      </c>
      <c r="X4450" s="12">
        <v>80.42551043491936</v>
      </c>
      <c r="Y4450" s="12">
        <v>2700</v>
      </c>
      <c r="Z4450" s="12">
        <v>5.5</v>
      </c>
      <c r="AA4450" s="12"/>
      <c r="AB4450" s="12"/>
    </row>
    <row r="4451" spans="1:28" x14ac:dyDescent="0.3">
      <c r="A4451" s="12" t="s">
        <v>6391</v>
      </c>
      <c r="B4451" s="12" t="s">
        <v>217</v>
      </c>
      <c r="C4451" s="12" t="s">
        <v>700</v>
      </c>
      <c r="D4451" s="12" t="s">
        <v>235</v>
      </c>
      <c r="E4451" s="12" t="s">
        <v>1886</v>
      </c>
      <c r="F4451" s="12" t="s">
        <v>32</v>
      </c>
      <c r="G4451" s="12" t="s">
        <v>32</v>
      </c>
      <c r="H4451" s="12" t="b">
        <v>1</v>
      </c>
      <c r="I4451" s="12" t="b">
        <v>1</v>
      </c>
      <c r="J4451" s="12" t="b">
        <v>0</v>
      </c>
      <c r="K4451" s="12" t="b">
        <v>0</v>
      </c>
      <c r="L4451" s="12">
        <v>394.15</v>
      </c>
      <c r="M4451" s="12">
        <v>278.14999999999998</v>
      </c>
      <c r="N4451" s="12">
        <v>3300</v>
      </c>
      <c r="O4451" s="12">
        <v>900</v>
      </c>
      <c r="P4451" s="12">
        <v>0.7</v>
      </c>
      <c r="Q4451" s="12">
        <v>0.9</v>
      </c>
      <c r="R4451" s="12">
        <v>0.8</v>
      </c>
      <c r="S4451" s="12">
        <v>0.85</v>
      </c>
      <c r="T4451" s="12">
        <v>0.75</v>
      </c>
      <c r="U4451" s="12">
        <v>0.95</v>
      </c>
      <c r="V4451" s="12">
        <v>283.14999999999998</v>
      </c>
      <c r="W4451" s="12">
        <v>9.4479263452675006</v>
      </c>
      <c r="X4451" s="12">
        <v>62.532391708908712</v>
      </c>
      <c r="Y4451" s="12">
        <v>2400</v>
      </c>
      <c r="Z4451" s="12">
        <v>3.666666666666667</v>
      </c>
      <c r="AA4451" s="12"/>
      <c r="AB4451" s="12"/>
    </row>
    <row r="4452" spans="1:28" x14ac:dyDescent="0.3">
      <c r="A4452" s="12" t="s">
        <v>6392</v>
      </c>
      <c r="B4452" s="12" t="s">
        <v>217</v>
      </c>
      <c r="C4452" s="12" t="s">
        <v>700</v>
      </c>
      <c r="D4452" s="12" t="s">
        <v>235</v>
      </c>
      <c r="E4452" s="12" t="s">
        <v>1886</v>
      </c>
      <c r="F4452" s="12" t="s">
        <v>32</v>
      </c>
      <c r="G4452" s="12" t="s">
        <v>32</v>
      </c>
      <c r="H4452" s="12" t="b">
        <v>1</v>
      </c>
      <c r="I4452" s="12" t="b">
        <v>1</v>
      </c>
      <c r="J4452" s="12" t="b">
        <v>0</v>
      </c>
      <c r="K4452" s="12" t="b">
        <v>0</v>
      </c>
      <c r="L4452" s="12">
        <v>394.15</v>
      </c>
      <c r="M4452" s="12">
        <v>278.14999999999998</v>
      </c>
      <c r="N4452" s="12">
        <v>3300</v>
      </c>
      <c r="O4452" s="12">
        <v>1000</v>
      </c>
      <c r="P4452" s="12">
        <v>0.7</v>
      </c>
      <c r="Q4452" s="12">
        <v>0.9</v>
      </c>
      <c r="R4452" s="12">
        <v>0.8</v>
      </c>
      <c r="S4452" s="12">
        <v>0.85</v>
      </c>
      <c r="T4452" s="12">
        <v>0.75</v>
      </c>
      <c r="U4452" s="12">
        <v>0.95</v>
      </c>
      <c r="V4452" s="12">
        <v>283.14999999999998</v>
      </c>
      <c r="W4452" s="12">
        <v>8.7234667646244191</v>
      </c>
      <c r="X4452" s="12">
        <v>57.730932565102222</v>
      </c>
      <c r="Y4452" s="12">
        <v>2300</v>
      </c>
      <c r="Z4452" s="12">
        <v>3.3</v>
      </c>
      <c r="AA4452" s="12"/>
      <c r="AB4452" s="12"/>
    </row>
    <row r="4453" spans="1:28" x14ac:dyDescent="0.3">
      <c r="A4453" s="12" t="s">
        <v>6393</v>
      </c>
      <c r="B4453" s="12" t="s">
        <v>217</v>
      </c>
      <c r="C4453" s="12" t="s">
        <v>700</v>
      </c>
      <c r="D4453" s="12" t="s">
        <v>235</v>
      </c>
      <c r="E4453" s="12" t="s">
        <v>1886</v>
      </c>
      <c r="F4453" s="12" t="s">
        <v>32</v>
      </c>
      <c r="G4453" s="12" t="s">
        <v>32</v>
      </c>
      <c r="H4453" s="12" t="b">
        <v>1</v>
      </c>
      <c r="I4453" s="12" t="b">
        <v>1</v>
      </c>
      <c r="J4453" s="12" t="b">
        <v>0</v>
      </c>
      <c r="K4453" s="12" t="b">
        <v>0</v>
      </c>
      <c r="L4453" s="12">
        <v>394.15</v>
      </c>
      <c r="M4453" s="12">
        <v>278.14999999999998</v>
      </c>
      <c r="N4453" s="12">
        <v>3300</v>
      </c>
      <c r="O4453" s="12">
        <v>500</v>
      </c>
      <c r="P4453" s="12">
        <v>0.7</v>
      </c>
      <c r="Q4453" s="12">
        <v>0.9</v>
      </c>
      <c r="R4453" s="12">
        <v>0.8</v>
      </c>
      <c r="S4453" s="12">
        <v>0.85</v>
      </c>
      <c r="T4453" s="12">
        <v>0.75</v>
      </c>
      <c r="U4453" s="12">
        <v>0.95</v>
      </c>
      <c r="V4453" s="12">
        <v>283.14999999999998</v>
      </c>
      <c r="W4453" s="12">
        <v>13.311746209560001</v>
      </c>
      <c r="X4453" s="12">
        <v>88.165714311450884</v>
      </c>
      <c r="Y4453" s="12">
        <v>2800</v>
      </c>
      <c r="Z4453" s="12">
        <v>6.6</v>
      </c>
      <c r="AA4453" s="12"/>
      <c r="AB4453" s="12"/>
    </row>
    <row r="4454" spans="1:28" x14ac:dyDescent="0.3">
      <c r="A4454" s="12" t="s">
        <v>6394</v>
      </c>
      <c r="B4454" s="12" t="s">
        <v>217</v>
      </c>
      <c r="C4454" s="12" t="s">
        <v>700</v>
      </c>
      <c r="D4454" s="12" t="s">
        <v>235</v>
      </c>
      <c r="E4454" s="12" t="s">
        <v>1886</v>
      </c>
      <c r="F4454" s="12" t="s">
        <v>32</v>
      </c>
      <c r="G4454" s="12" t="s">
        <v>32</v>
      </c>
      <c r="H4454" s="12" t="b">
        <v>1</v>
      </c>
      <c r="I4454" s="12" t="b">
        <v>1</v>
      </c>
      <c r="J4454" s="12" t="b">
        <v>0</v>
      </c>
      <c r="K4454" s="12" t="b">
        <v>0</v>
      </c>
      <c r="L4454" s="12">
        <v>394.15</v>
      </c>
      <c r="M4454" s="12">
        <v>278.14999999999998</v>
      </c>
      <c r="N4454" s="12">
        <v>3300</v>
      </c>
      <c r="O4454" s="12">
        <v>1100</v>
      </c>
      <c r="P4454" s="12">
        <v>0.7</v>
      </c>
      <c r="Q4454" s="12">
        <v>0.9</v>
      </c>
      <c r="R4454" s="12">
        <v>0.8</v>
      </c>
      <c r="S4454" s="12">
        <v>0.85</v>
      </c>
      <c r="T4454" s="12">
        <v>0.75</v>
      </c>
      <c r="U4454" s="12">
        <v>0.95</v>
      </c>
      <c r="V4454" s="12">
        <v>283.14999999999998</v>
      </c>
      <c r="W4454" s="12">
        <v>8.0601125827145594</v>
      </c>
      <c r="X4454" s="12">
        <v>53.335675875650317</v>
      </c>
      <c r="Y4454" s="12">
        <v>2200</v>
      </c>
      <c r="Z4454" s="12">
        <v>3</v>
      </c>
      <c r="AA4454" s="12"/>
      <c r="AB4454" s="12"/>
    </row>
    <row r="4455" spans="1:28" x14ac:dyDescent="0.3">
      <c r="A4455" s="12" t="s">
        <v>6395</v>
      </c>
      <c r="B4455" s="12" t="s">
        <v>217</v>
      </c>
      <c r="C4455" s="12" t="s">
        <v>700</v>
      </c>
      <c r="D4455" s="12" t="s">
        <v>235</v>
      </c>
      <c r="E4455" s="12" t="s">
        <v>1886</v>
      </c>
      <c r="F4455" s="12" t="s">
        <v>32</v>
      </c>
      <c r="G4455" s="12" t="s">
        <v>32</v>
      </c>
      <c r="H4455" s="12" t="b">
        <v>1</v>
      </c>
      <c r="I4455" s="12" t="b">
        <v>1</v>
      </c>
      <c r="J4455" s="12" t="b">
        <v>0</v>
      </c>
      <c r="K4455" s="12" t="b">
        <v>0</v>
      </c>
      <c r="L4455" s="12">
        <v>394.15</v>
      </c>
      <c r="M4455" s="12">
        <v>278.14999999999998</v>
      </c>
      <c r="N4455" s="12">
        <v>3300</v>
      </c>
      <c r="O4455" s="12">
        <v>1200</v>
      </c>
      <c r="P4455" s="12">
        <v>0.7</v>
      </c>
      <c r="Q4455" s="12">
        <v>0.9</v>
      </c>
      <c r="R4455" s="12">
        <v>0.8</v>
      </c>
      <c r="S4455" s="12">
        <v>0.85</v>
      </c>
      <c r="T4455" s="12">
        <v>0.75</v>
      </c>
      <c r="U4455" s="12">
        <v>0.95</v>
      </c>
      <c r="V4455" s="12">
        <v>283.14999999999998</v>
      </c>
      <c r="W4455" s="12">
        <v>7.4481054195298286</v>
      </c>
      <c r="X4455" s="12">
        <v>49.28162774830448</v>
      </c>
      <c r="Y4455" s="12">
        <v>2100</v>
      </c>
      <c r="Z4455" s="12">
        <v>2.75</v>
      </c>
      <c r="AA4455" s="12"/>
      <c r="AB4455" s="12"/>
    </row>
    <row r="4456" spans="1:28" x14ac:dyDescent="0.3">
      <c r="A4456" s="12" t="s">
        <v>6396</v>
      </c>
      <c r="B4456" s="12" t="s">
        <v>217</v>
      </c>
      <c r="C4456" s="12" t="s">
        <v>700</v>
      </c>
      <c r="D4456" s="12" t="s">
        <v>235</v>
      </c>
      <c r="E4456" s="12" t="s">
        <v>1886</v>
      </c>
      <c r="F4456" s="12" t="s">
        <v>32</v>
      </c>
      <c r="G4456" s="12" t="s">
        <v>32</v>
      </c>
      <c r="H4456" s="12" t="b">
        <v>1</v>
      </c>
      <c r="I4456" s="12" t="b">
        <v>1</v>
      </c>
      <c r="J4456" s="12" t="b">
        <v>0</v>
      </c>
      <c r="K4456" s="12" t="b">
        <v>0</v>
      </c>
      <c r="L4456" s="12">
        <v>394.15</v>
      </c>
      <c r="M4456" s="12">
        <v>278.14999999999998</v>
      </c>
      <c r="N4456" s="12">
        <v>3300</v>
      </c>
      <c r="O4456" s="12">
        <v>700</v>
      </c>
      <c r="P4456" s="12">
        <v>0.73</v>
      </c>
      <c r="Q4456" s="12">
        <v>0.9</v>
      </c>
      <c r="R4456" s="12">
        <v>0.8</v>
      </c>
      <c r="S4456" s="12">
        <v>0.85</v>
      </c>
      <c r="T4456" s="12">
        <v>0.75</v>
      </c>
      <c r="U4456" s="12">
        <v>0.95</v>
      </c>
      <c r="V4456" s="12">
        <v>283.14999999999998</v>
      </c>
      <c r="W4456" s="12">
        <v>11.595995787375159</v>
      </c>
      <c r="X4456" s="12">
        <v>84.603127540701635</v>
      </c>
      <c r="Y4456" s="12">
        <v>2600</v>
      </c>
      <c r="Z4456" s="12">
        <v>4.7142857142857144</v>
      </c>
      <c r="AA4456" s="12"/>
      <c r="AB4456" s="12"/>
    </row>
    <row r="4457" spans="1:28" x14ac:dyDescent="0.3">
      <c r="A4457" s="12" t="s">
        <v>6397</v>
      </c>
      <c r="B4457" s="12" t="s">
        <v>217</v>
      </c>
      <c r="C4457" s="12" t="s">
        <v>700</v>
      </c>
      <c r="D4457" s="12" t="s">
        <v>235</v>
      </c>
      <c r="E4457" s="12" t="s">
        <v>1886</v>
      </c>
      <c r="F4457" s="12" t="s">
        <v>32</v>
      </c>
      <c r="G4457" s="12" t="s">
        <v>32</v>
      </c>
      <c r="H4457" s="12" t="b">
        <v>1</v>
      </c>
      <c r="I4457" s="12" t="b">
        <v>1</v>
      </c>
      <c r="J4457" s="12" t="b">
        <v>0</v>
      </c>
      <c r="K4457" s="12" t="b">
        <v>0</v>
      </c>
      <c r="L4457" s="12">
        <v>394.15</v>
      </c>
      <c r="M4457" s="12">
        <v>278.14999999999998</v>
      </c>
      <c r="N4457" s="12">
        <v>3300</v>
      </c>
      <c r="O4457" s="12">
        <v>800</v>
      </c>
      <c r="P4457" s="12">
        <v>0.73</v>
      </c>
      <c r="Q4457" s="12">
        <v>0.9</v>
      </c>
      <c r="R4457" s="12">
        <v>0.8</v>
      </c>
      <c r="S4457" s="12">
        <v>0.85</v>
      </c>
      <c r="T4457" s="12">
        <v>0.75</v>
      </c>
      <c r="U4457" s="12">
        <v>0.95</v>
      </c>
      <c r="V4457" s="12">
        <v>283.14999999999998</v>
      </c>
      <c r="W4457" s="12">
        <v>10.67286526250645</v>
      </c>
      <c r="X4457" s="12">
        <v>77.854434575696743</v>
      </c>
      <c r="Y4457" s="12">
        <v>2500</v>
      </c>
      <c r="Z4457" s="12">
        <v>4.125</v>
      </c>
      <c r="AA4457" s="12"/>
      <c r="AB4457" s="12"/>
    </row>
    <row r="4458" spans="1:28" x14ac:dyDescent="0.3">
      <c r="A4458" s="12" t="s">
        <v>6398</v>
      </c>
      <c r="B4458" s="12" t="s">
        <v>217</v>
      </c>
      <c r="C4458" s="12" t="s">
        <v>700</v>
      </c>
      <c r="D4458" s="12" t="s">
        <v>235</v>
      </c>
      <c r="E4458" s="12" t="s">
        <v>1886</v>
      </c>
      <c r="F4458" s="12" t="s">
        <v>1861</v>
      </c>
      <c r="G4458" s="12" t="s">
        <v>1861</v>
      </c>
      <c r="H4458" s="12" t="b">
        <v>1</v>
      </c>
      <c r="I4458" s="12" t="b">
        <v>0</v>
      </c>
      <c r="J4458" s="12" t="b">
        <v>0</v>
      </c>
      <c r="K4458" s="12" t="b">
        <v>0</v>
      </c>
      <c r="L4458" s="12">
        <v>394.15</v>
      </c>
      <c r="M4458" s="12">
        <v>278.14999999999998</v>
      </c>
      <c r="N4458" s="12">
        <v>3300</v>
      </c>
      <c r="O4458" s="12">
        <v>500</v>
      </c>
      <c r="P4458" s="12">
        <v>0.73</v>
      </c>
      <c r="Q4458" s="12">
        <v>0.9</v>
      </c>
      <c r="R4458" s="12">
        <v>0.8</v>
      </c>
      <c r="S4458" s="12">
        <v>0.85</v>
      </c>
      <c r="T4458" s="12">
        <v>0.75</v>
      </c>
      <c r="U4458" s="12">
        <v>0.95</v>
      </c>
      <c r="V4458" s="12">
        <v>283.14999999999998</v>
      </c>
      <c r="W4458" s="12">
        <v>13.848759446492039</v>
      </c>
      <c r="X4458" s="12">
        <v>101.0849308077137</v>
      </c>
      <c r="Y4458" s="12">
        <v>2800</v>
      </c>
      <c r="Z4458" s="12">
        <v>6.6</v>
      </c>
      <c r="AA4458" s="12" t="s">
        <v>1268</v>
      </c>
      <c r="AB4458" s="12"/>
    </row>
    <row r="4459" spans="1:28" x14ac:dyDescent="0.3">
      <c r="A4459" s="12" t="s">
        <v>6399</v>
      </c>
      <c r="B4459" s="12" t="s">
        <v>217</v>
      </c>
      <c r="C4459" s="12" t="s">
        <v>700</v>
      </c>
      <c r="D4459" s="12" t="s">
        <v>235</v>
      </c>
      <c r="E4459" s="12" t="s">
        <v>1886</v>
      </c>
      <c r="F4459" s="12" t="s">
        <v>32</v>
      </c>
      <c r="G4459" s="12" t="s">
        <v>32</v>
      </c>
      <c r="H4459" s="12" t="b">
        <v>1</v>
      </c>
      <c r="I4459" s="12" t="b">
        <v>1</v>
      </c>
      <c r="J4459" s="12" t="b">
        <v>0</v>
      </c>
      <c r="K4459" s="12" t="b">
        <v>0</v>
      </c>
      <c r="L4459" s="12">
        <v>394.15</v>
      </c>
      <c r="M4459" s="12">
        <v>278.14999999999998</v>
      </c>
      <c r="N4459" s="12">
        <v>3300</v>
      </c>
      <c r="O4459" s="12">
        <v>900</v>
      </c>
      <c r="P4459" s="12">
        <v>0.73</v>
      </c>
      <c r="Q4459" s="12">
        <v>0.9</v>
      </c>
      <c r="R4459" s="12">
        <v>0.8</v>
      </c>
      <c r="S4459" s="12">
        <v>0.85</v>
      </c>
      <c r="T4459" s="12">
        <v>0.75</v>
      </c>
      <c r="U4459" s="12">
        <v>0.95</v>
      </c>
      <c r="V4459" s="12">
        <v>283.14999999999998</v>
      </c>
      <c r="W4459" s="12">
        <v>9.8447864650903192</v>
      </c>
      <c r="X4459" s="12">
        <v>71.803088938232662</v>
      </c>
      <c r="Y4459" s="12">
        <v>2400</v>
      </c>
      <c r="Z4459" s="12">
        <v>3.666666666666667</v>
      </c>
      <c r="AA4459" s="12"/>
      <c r="AB4459" s="12"/>
    </row>
    <row r="4460" spans="1:28" x14ac:dyDescent="0.3">
      <c r="A4460" s="12" t="s">
        <v>6400</v>
      </c>
      <c r="B4460" s="12" t="s">
        <v>217</v>
      </c>
      <c r="C4460" s="12" t="s">
        <v>700</v>
      </c>
      <c r="D4460" s="12" t="s">
        <v>235</v>
      </c>
      <c r="E4460" s="12" t="s">
        <v>1886</v>
      </c>
      <c r="F4460" s="12" t="s">
        <v>32</v>
      </c>
      <c r="G4460" s="12" t="s">
        <v>32</v>
      </c>
      <c r="H4460" s="12" t="b">
        <v>1</v>
      </c>
      <c r="I4460" s="12" t="b">
        <v>1</v>
      </c>
      <c r="J4460" s="12" t="b">
        <v>0</v>
      </c>
      <c r="K4460" s="12" t="b">
        <v>0</v>
      </c>
      <c r="L4460" s="12">
        <v>394.15</v>
      </c>
      <c r="M4460" s="12">
        <v>278.14999999999998</v>
      </c>
      <c r="N4460" s="12">
        <v>3300</v>
      </c>
      <c r="O4460" s="12">
        <v>600</v>
      </c>
      <c r="P4460" s="12">
        <v>0.73</v>
      </c>
      <c r="Q4460" s="12">
        <v>0.9</v>
      </c>
      <c r="R4460" s="12">
        <v>0.8</v>
      </c>
      <c r="S4460" s="12">
        <v>0.85</v>
      </c>
      <c r="T4460" s="12">
        <v>0.75</v>
      </c>
      <c r="U4460" s="12">
        <v>0.95</v>
      </c>
      <c r="V4460" s="12">
        <v>283.14999999999998</v>
      </c>
      <c r="W4460" s="12">
        <v>12.64098328957887</v>
      </c>
      <c r="X4460" s="12">
        <v>92.246263505170674</v>
      </c>
      <c r="Y4460" s="12">
        <v>2700</v>
      </c>
      <c r="Z4460" s="12">
        <v>5.5</v>
      </c>
      <c r="AA4460" s="12"/>
      <c r="AB4460" s="12"/>
    </row>
    <row r="4461" spans="1:28" x14ac:dyDescent="0.3">
      <c r="A4461" s="12" t="s">
        <v>6401</v>
      </c>
      <c r="B4461" s="12" t="s">
        <v>217</v>
      </c>
      <c r="C4461" s="12" t="s">
        <v>700</v>
      </c>
      <c r="D4461" s="12" t="s">
        <v>235</v>
      </c>
      <c r="E4461" s="12" t="s">
        <v>1886</v>
      </c>
      <c r="F4461" s="12" t="s">
        <v>32</v>
      </c>
      <c r="G4461" s="12" t="s">
        <v>32</v>
      </c>
      <c r="H4461" s="12" t="b">
        <v>1</v>
      </c>
      <c r="I4461" s="12" t="b">
        <v>1</v>
      </c>
      <c r="J4461" s="12" t="b">
        <v>0</v>
      </c>
      <c r="K4461" s="12" t="b">
        <v>0</v>
      </c>
      <c r="L4461" s="12">
        <v>394.15</v>
      </c>
      <c r="M4461" s="12">
        <v>278.14999999999998</v>
      </c>
      <c r="N4461" s="12">
        <v>3300</v>
      </c>
      <c r="O4461" s="12">
        <v>1000</v>
      </c>
      <c r="P4461" s="12">
        <v>0.73</v>
      </c>
      <c r="Q4461" s="12">
        <v>0.9</v>
      </c>
      <c r="R4461" s="12">
        <v>0.8</v>
      </c>
      <c r="S4461" s="12">
        <v>0.85</v>
      </c>
      <c r="T4461" s="12">
        <v>0.75</v>
      </c>
      <c r="U4461" s="12">
        <v>0.95</v>
      </c>
      <c r="V4461" s="12">
        <v>283.14999999999998</v>
      </c>
      <c r="W4461" s="12">
        <v>9.0931873510329009</v>
      </c>
      <c r="X4461" s="12">
        <v>66.312582715725782</v>
      </c>
      <c r="Y4461" s="12">
        <v>2300</v>
      </c>
      <c r="Z4461" s="12">
        <v>3.3</v>
      </c>
      <c r="AA4461" s="12"/>
      <c r="AB4461" s="12"/>
    </row>
    <row r="4462" spans="1:28" x14ac:dyDescent="0.3">
      <c r="A4462" s="12" t="s">
        <v>6402</v>
      </c>
      <c r="B4462" s="12" t="s">
        <v>217</v>
      </c>
      <c r="C4462" s="12" t="s">
        <v>700</v>
      </c>
      <c r="D4462" s="12" t="s">
        <v>235</v>
      </c>
      <c r="E4462" s="12" t="s">
        <v>1886</v>
      </c>
      <c r="F4462" s="12" t="s">
        <v>32</v>
      </c>
      <c r="G4462" s="12" t="s">
        <v>32</v>
      </c>
      <c r="H4462" s="12" t="b">
        <v>1</v>
      </c>
      <c r="I4462" s="12" t="b">
        <v>1</v>
      </c>
      <c r="J4462" s="12" t="b">
        <v>0</v>
      </c>
      <c r="K4462" s="12" t="b">
        <v>0</v>
      </c>
      <c r="L4462" s="12">
        <v>394.15</v>
      </c>
      <c r="M4462" s="12">
        <v>278.14999999999998</v>
      </c>
      <c r="N4462" s="12">
        <v>3300</v>
      </c>
      <c r="O4462" s="12">
        <v>1100</v>
      </c>
      <c r="P4462" s="12">
        <v>0.73</v>
      </c>
      <c r="Q4462" s="12">
        <v>0.9</v>
      </c>
      <c r="R4462" s="12">
        <v>0.8</v>
      </c>
      <c r="S4462" s="12">
        <v>0.85</v>
      </c>
      <c r="T4462" s="12">
        <v>0.75</v>
      </c>
      <c r="U4462" s="12">
        <v>0.95</v>
      </c>
      <c r="V4462" s="12">
        <v>283.14999999999998</v>
      </c>
      <c r="W4462" s="12">
        <v>8.4046261489943994</v>
      </c>
      <c r="X4462" s="12">
        <v>61.284149852727943</v>
      </c>
      <c r="Y4462" s="12">
        <v>2200</v>
      </c>
      <c r="Z4462" s="12">
        <v>3</v>
      </c>
      <c r="AA4462" s="12"/>
      <c r="AB4462" s="12"/>
    </row>
    <row r="4463" spans="1:28" x14ac:dyDescent="0.3">
      <c r="A4463" s="12" t="s">
        <v>6403</v>
      </c>
      <c r="B4463" s="12" t="s">
        <v>217</v>
      </c>
      <c r="C4463" s="12" t="s">
        <v>700</v>
      </c>
      <c r="D4463" s="12" t="s">
        <v>235</v>
      </c>
      <c r="E4463" s="12" t="s">
        <v>1886</v>
      </c>
      <c r="F4463" s="12" t="s">
        <v>32</v>
      </c>
      <c r="G4463" s="12" t="s">
        <v>32</v>
      </c>
      <c r="H4463" s="12" t="b">
        <v>1</v>
      </c>
      <c r="I4463" s="12" t="b">
        <v>1</v>
      </c>
      <c r="J4463" s="12" t="b">
        <v>0</v>
      </c>
      <c r="K4463" s="12" t="b">
        <v>0</v>
      </c>
      <c r="L4463" s="12">
        <v>394.15</v>
      </c>
      <c r="M4463" s="12">
        <v>278.14999999999998</v>
      </c>
      <c r="N4463" s="12">
        <v>3300</v>
      </c>
      <c r="O4463" s="12">
        <v>1200</v>
      </c>
      <c r="P4463" s="12">
        <v>0.73</v>
      </c>
      <c r="Q4463" s="12">
        <v>0.9</v>
      </c>
      <c r="R4463" s="12">
        <v>0.8</v>
      </c>
      <c r="S4463" s="12">
        <v>0.85</v>
      </c>
      <c r="T4463" s="12">
        <v>0.75</v>
      </c>
      <c r="U4463" s="12">
        <v>0.95</v>
      </c>
      <c r="V4463" s="12">
        <v>283.14999999999998</v>
      </c>
      <c r="W4463" s="12">
        <v>7.7690304566481503</v>
      </c>
      <c r="X4463" s="12">
        <v>56.643804948933592</v>
      </c>
      <c r="Y4463" s="12">
        <v>2100</v>
      </c>
      <c r="Z4463" s="12">
        <v>2.75</v>
      </c>
      <c r="AA4463" s="12"/>
      <c r="AB4463" s="12"/>
    </row>
    <row r="4464" spans="1:28" x14ac:dyDescent="0.3">
      <c r="A4464" s="12" t="s">
        <v>6404</v>
      </c>
      <c r="B4464" s="12" t="s">
        <v>217</v>
      </c>
      <c r="C4464" s="12" t="s">
        <v>700</v>
      </c>
      <c r="D4464" s="12" t="s">
        <v>235</v>
      </c>
      <c r="E4464" s="12" t="s">
        <v>1886</v>
      </c>
      <c r="F4464" s="12" t="s">
        <v>32</v>
      </c>
      <c r="G4464" s="12" t="s">
        <v>32</v>
      </c>
      <c r="H4464" s="12" t="b">
        <v>1</v>
      </c>
      <c r="I4464" s="12" t="b">
        <v>1</v>
      </c>
      <c r="J4464" s="12" t="b">
        <v>0</v>
      </c>
      <c r="K4464" s="12" t="b">
        <v>0</v>
      </c>
      <c r="L4464" s="12">
        <v>394.15</v>
      </c>
      <c r="M4464" s="12">
        <v>278.14999999999998</v>
      </c>
      <c r="N4464" s="12">
        <v>3300</v>
      </c>
      <c r="O4464" s="12">
        <v>800</v>
      </c>
      <c r="P4464" s="12">
        <v>0.76</v>
      </c>
      <c r="Q4464" s="12">
        <v>0.9</v>
      </c>
      <c r="R4464" s="12">
        <v>0.8</v>
      </c>
      <c r="S4464" s="12">
        <v>0.85</v>
      </c>
      <c r="T4464" s="12">
        <v>0.75</v>
      </c>
      <c r="U4464" s="12">
        <v>0.95</v>
      </c>
      <c r="V4464" s="12">
        <v>283.14999999999998</v>
      </c>
      <c r="W4464" s="12">
        <v>11.03825727291369</v>
      </c>
      <c r="X4464" s="12">
        <v>87.803916157005986</v>
      </c>
      <c r="Y4464" s="12">
        <v>2500</v>
      </c>
      <c r="Z4464" s="12">
        <v>4.125</v>
      </c>
      <c r="AA4464" s="12"/>
      <c r="AB4464" s="12"/>
    </row>
    <row r="4465" spans="1:28" x14ac:dyDescent="0.3">
      <c r="A4465" s="12" t="s">
        <v>6405</v>
      </c>
      <c r="B4465" s="12" t="s">
        <v>217</v>
      </c>
      <c r="C4465" s="12" t="s">
        <v>700</v>
      </c>
      <c r="D4465" s="12" t="s">
        <v>235</v>
      </c>
      <c r="E4465" s="12" t="s">
        <v>1886</v>
      </c>
      <c r="F4465" s="12" t="s">
        <v>32</v>
      </c>
      <c r="G4465" s="12" t="s">
        <v>32</v>
      </c>
      <c r="H4465" s="12" t="b">
        <v>1</v>
      </c>
      <c r="I4465" s="12" t="b">
        <v>1</v>
      </c>
      <c r="J4465" s="12" t="b">
        <v>0</v>
      </c>
      <c r="K4465" s="12" t="b">
        <v>0</v>
      </c>
      <c r="L4465" s="12">
        <v>394.15</v>
      </c>
      <c r="M4465" s="12">
        <v>278.14999999999998</v>
      </c>
      <c r="N4465" s="12">
        <v>3300</v>
      </c>
      <c r="O4465" s="12">
        <v>700</v>
      </c>
      <c r="P4465" s="12">
        <v>0.76</v>
      </c>
      <c r="Q4465" s="12">
        <v>0.9</v>
      </c>
      <c r="R4465" s="12">
        <v>0.8</v>
      </c>
      <c r="S4465" s="12">
        <v>0.85</v>
      </c>
      <c r="T4465" s="12">
        <v>0.75</v>
      </c>
      <c r="U4465" s="12">
        <v>0.95</v>
      </c>
      <c r="V4465" s="12">
        <v>283.14999999999998</v>
      </c>
      <c r="W4465" s="12">
        <v>11.989141621461259</v>
      </c>
      <c r="X4465" s="12">
        <v>95.386529360520441</v>
      </c>
      <c r="Y4465" s="12">
        <v>2600</v>
      </c>
      <c r="Z4465" s="12">
        <v>4.7142857142857144</v>
      </c>
      <c r="AA4465" s="12"/>
      <c r="AB4465" s="12"/>
    </row>
    <row r="4466" spans="1:28" x14ac:dyDescent="0.3">
      <c r="A4466" s="12" t="s">
        <v>6406</v>
      </c>
      <c r="B4466" s="12" t="s">
        <v>217</v>
      </c>
      <c r="C4466" s="12" t="s">
        <v>700</v>
      </c>
      <c r="D4466" s="12" t="s">
        <v>235</v>
      </c>
      <c r="E4466" s="12" t="s">
        <v>1886</v>
      </c>
      <c r="F4466" s="12" t="s">
        <v>1861</v>
      </c>
      <c r="G4466" s="12" t="s">
        <v>1861</v>
      </c>
      <c r="H4466" s="12" t="b">
        <v>1</v>
      </c>
      <c r="I4466" s="12" t="b">
        <v>0</v>
      </c>
      <c r="J4466" s="12" t="b">
        <v>0</v>
      </c>
      <c r="K4466" s="12" t="b">
        <v>0</v>
      </c>
      <c r="L4466" s="12">
        <v>394.15</v>
      </c>
      <c r="M4466" s="12">
        <v>278.14999999999998</v>
      </c>
      <c r="N4466" s="12">
        <v>3300</v>
      </c>
      <c r="O4466" s="12">
        <v>500</v>
      </c>
      <c r="P4466" s="12">
        <v>0.76</v>
      </c>
      <c r="Q4466" s="12">
        <v>0.9</v>
      </c>
      <c r="R4466" s="12">
        <v>0.8</v>
      </c>
      <c r="S4466" s="12">
        <v>0.85</v>
      </c>
      <c r="T4466" s="12">
        <v>0.75</v>
      </c>
      <c r="U4466" s="12">
        <v>0.95</v>
      </c>
      <c r="V4466" s="12">
        <v>283.14999999999998</v>
      </c>
      <c r="W4466" s="12">
        <v>14.30902419242798</v>
      </c>
      <c r="X4466" s="12">
        <v>113.9015651262568</v>
      </c>
      <c r="Y4466" s="12">
        <v>2800</v>
      </c>
      <c r="Z4466" s="12">
        <v>6.6</v>
      </c>
      <c r="AA4466" s="12" t="s">
        <v>1268</v>
      </c>
      <c r="AB4466" s="12"/>
    </row>
    <row r="4467" spans="1:28" x14ac:dyDescent="0.3">
      <c r="A4467" s="12" t="s">
        <v>6407</v>
      </c>
      <c r="B4467" s="12" t="s">
        <v>217</v>
      </c>
      <c r="C4467" s="12" t="s">
        <v>700</v>
      </c>
      <c r="D4467" s="12" t="s">
        <v>235</v>
      </c>
      <c r="E4467" s="12" t="s">
        <v>1886</v>
      </c>
      <c r="F4467" s="12" t="s">
        <v>32</v>
      </c>
      <c r="G4467" s="12" t="s">
        <v>32</v>
      </c>
      <c r="H4467" s="12" t="b">
        <v>1</v>
      </c>
      <c r="I4467" s="12" t="b">
        <v>1</v>
      </c>
      <c r="J4467" s="12" t="b">
        <v>0</v>
      </c>
      <c r="K4467" s="12" t="b">
        <v>0</v>
      </c>
      <c r="L4467" s="12">
        <v>394.15</v>
      </c>
      <c r="M4467" s="12">
        <v>278.14999999999998</v>
      </c>
      <c r="N4467" s="12">
        <v>3300</v>
      </c>
      <c r="O4467" s="12">
        <v>600</v>
      </c>
      <c r="P4467" s="12">
        <v>0.76</v>
      </c>
      <c r="Q4467" s="12">
        <v>0.9</v>
      </c>
      <c r="R4467" s="12">
        <v>0.8</v>
      </c>
      <c r="S4467" s="12">
        <v>0.85</v>
      </c>
      <c r="T4467" s="12">
        <v>0.75</v>
      </c>
      <c r="U4467" s="12">
        <v>0.95</v>
      </c>
      <c r="V4467" s="12">
        <v>283.14999999999998</v>
      </c>
      <c r="W4467" s="12">
        <v>13.065310820362249</v>
      </c>
      <c r="X4467" s="12">
        <v>103.9726543618569</v>
      </c>
      <c r="Y4467" s="12">
        <v>2700</v>
      </c>
      <c r="Z4467" s="12">
        <v>5.5</v>
      </c>
      <c r="AA4467" s="12"/>
      <c r="AB4467" s="12"/>
    </row>
    <row r="4468" spans="1:28" x14ac:dyDescent="0.3">
      <c r="A4468" s="12" t="s">
        <v>6408</v>
      </c>
      <c r="B4468" s="12" t="s">
        <v>217</v>
      </c>
      <c r="C4468" s="12" t="s">
        <v>700</v>
      </c>
      <c r="D4468" s="12" t="s">
        <v>235</v>
      </c>
      <c r="E4468" s="12" t="s">
        <v>1886</v>
      </c>
      <c r="F4468" s="12" t="s">
        <v>32</v>
      </c>
      <c r="G4468" s="12" t="s">
        <v>32</v>
      </c>
      <c r="H4468" s="12" t="b">
        <v>1</v>
      </c>
      <c r="I4468" s="12" t="b">
        <v>1</v>
      </c>
      <c r="J4468" s="12" t="b">
        <v>0</v>
      </c>
      <c r="K4468" s="12" t="b">
        <v>0</v>
      </c>
      <c r="L4468" s="12">
        <v>394.15</v>
      </c>
      <c r="M4468" s="12">
        <v>278.14999999999998</v>
      </c>
      <c r="N4468" s="12">
        <v>3300</v>
      </c>
      <c r="O4468" s="12">
        <v>900</v>
      </c>
      <c r="P4468" s="12">
        <v>0.76</v>
      </c>
      <c r="Q4468" s="12">
        <v>0.9</v>
      </c>
      <c r="R4468" s="12">
        <v>0.8</v>
      </c>
      <c r="S4468" s="12">
        <v>0.85</v>
      </c>
      <c r="T4468" s="12">
        <v>0.75</v>
      </c>
      <c r="U4468" s="12">
        <v>0.95</v>
      </c>
      <c r="V4468" s="12">
        <v>283.14999999999998</v>
      </c>
      <c r="W4468" s="12">
        <v>10.185010070068399</v>
      </c>
      <c r="X4468" s="12">
        <v>81.002947140053138</v>
      </c>
      <c r="Y4468" s="12">
        <v>2400</v>
      </c>
      <c r="Z4468" s="12">
        <v>3.666666666666667</v>
      </c>
      <c r="AA4468" s="12"/>
      <c r="AB4468" s="12"/>
    </row>
    <row r="4469" spans="1:28" x14ac:dyDescent="0.3">
      <c r="A4469" s="12" t="s">
        <v>6409</v>
      </c>
      <c r="B4469" s="12" t="s">
        <v>217</v>
      </c>
      <c r="C4469" s="12" t="s">
        <v>700</v>
      </c>
      <c r="D4469" s="12" t="s">
        <v>235</v>
      </c>
      <c r="E4469" s="12" t="s">
        <v>1886</v>
      </c>
      <c r="F4469" s="12" t="s">
        <v>32</v>
      </c>
      <c r="G4469" s="12" t="s">
        <v>32</v>
      </c>
      <c r="H4469" s="12" t="b">
        <v>1</v>
      </c>
      <c r="I4469" s="12" t="b">
        <v>1</v>
      </c>
      <c r="J4469" s="12" t="b">
        <v>0</v>
      </c>
      <c r="K4469" s="12" t="b">
        <v>0</v>
      </c>
      <c r="L4469" s="12">
        <v>394.15</v>
      </c>
      <c r="M4469" s="12">
        <v>278.14999999999998</v>
      </c>
      <c r="N4469" s="12">
        <v>3300</v>
      </c>
      <c r="O4469" s="12">
        <v>1000</v>
      </c>
      <c r="P4469" s="12">
        <v>0.76</v>
      </c>
      <c r="Q4469" s="12">
        <v>0.9</v>
      </c>
      <c r="R4469" s="12">
        <v>0.8</v>
      </c>
      <c r="S4469" s="12">
        <v>0.85</v>
      </c>
      <c r="T4469" s="12">
        <v>0.75</v>
      </c>
      <c r="U4469" s="12">
        <v>0.95</v>
      </c>
      <c r="V4469" s="12">
        <v>283.14999999999998</v>
      </c>
      <c r="W4469" s="12">
        <v>9.4102705306472103</v>
      </c>
      <c r="X4469" s="12">
        <v>74.830172456271086</v>
      </c>
      <c r="Y4469" s="12">
        <v>2300</v>
      </c>
      <c r="Z4469" s="12">
        <v>3.3</v>
      </c>
      <c r="AA4469" s="12"/>
      <c r="AB4469" s="12"/>
    </row>
    <row r="4470" spans="1:28" x14ac:dyDescent="0.3">
      <c r="A4470" s="12" t="s">
        <v>6410</v>
      </c>
      <c r="B4470" s="12" t="s">
        <v>217</v>
      </c>
      <c r="C4470" s="12" t="s">
        <v>700</v>
      </c>
      <c r="D4470" s="12" t="s">
        <v>235</v>
      </c>
      <c r="E4470" s="12" t="s">
        <v>1886</v>
      </c>
      <c r="F4470" s="12" t="s">
        <v>32</v>
      </c>
      <c r="G4470" s="12" t="s">
        <v>32</v>
      </c>
      <c r="H4470" s="12" t="b">
        <v>1</v>
      </c>
      <c r="I4470" s="12" t="b">
        <v>1</v>
      </c>
      <c r="J4470" s="12" t="b">
        <v>0</v>
      </c>
      <c r="K4470" s="12" t="b">
        <v>0</v>
      </c>
      <c r="L4470" s="12">
        <v>394.15</v>
      </c>
      <c r="M4470" s="12">
        <v>278.14999999999998</v>
      </c>
      <c r="N4470" s="12">
        <v>3300</v>
      </c>
      <c r="O4470" s="12">
        <v>1100</v>
      </c>
      <c r="P4470" s="12">
        <v>0.76</v>
      </c>
      <c r="Q4470" s="12">
        <v>0.9</v>
      </c>
      <c r="R4470" s="12">
        <v>0.8</v>
      </c>
      <c r="S4470" s="12">
        <v>0.85</v>
      </c>
      <c r="T4470" s="12">
        <v>0.75</v>
      </c>
      <c r="U4470" s="12">
        <v>0.95</v>
      </c>
      <c r="V4470" s="12">
        <v>283.14999999999998</v>
      </c>
      <c r="W4470" s="12">
        <v>8.7002123120398398</v>
      </c>
      <c r="X4470" s="12">
        <v>69.174722322927977</v>
      </c>
      <c r="Y4470" s="12">
        <v>2200</v>
      </c>
      <c r="Z4470" s="12">
        <v>3</v>
      </c>
      <c r="AA4470" s="12"/>
      <c r="AB4470" s="12"/>
    </row>
    <row r="4471" spans="1:28" x14ac:dyDescent="0.3">
      <c r="A4471" s="12" t="s">
        <v>6411</v>
      </c>
      <c r="B4471" s="12" t="s">
        <v>217</v>
      </c>
      <c r="C4471" s="12" t="s">
        <v>700</v>
      </c>
      <c r="D4471" s="12" t="s">
        <v>235</v>
      </c>
      <c r="E4471" s="12" t="s">
        <v>1886</v>
      </c>
      <c r="F4471" s="12" t="s">
        <v>32</v>
      </c>
      <c r="G4471" s="12" t="s">
        <v>32</v>
      </c>
      <c r="H4471" s="12" t="b">
        <v>1</v>
      </c>
      <c r="I4471" s="12" t="b">
        <v>1</v>
      </c>
      <c r="J4471" s="12" t="b">
        <v>0</v>
      </c>
      <c r="K4471" s="12" t="b">
        <v>0</v>
      </c>
      <c r="L4471" s="12">
        <v>394.15</v>
      </c>
      <c r="M4471" s="12">
        <v>278.14999999999998</v>
      </c>
      <c r="N4471" s="12">
        <v>3300</v>
      </c>
      <c r="O4471" s="12">
        <v>1200</v>
      </c>
      <c r="P4471" s="12">
        <v>0.76</v>
      </c>
      <c r="Q4471" s="12">
        <v>0.9</v>
      </c>
      <c r="R4471" s="12">
        <v>0.8</v>
      </c>
      <c r="S4471" s="12">
        <v>0.85</v>
      </c>
      <c r="T4471" s="12">
        <v>0.75</v>
      </c>
      <c r="U4471" s="12">
        <v>0.95</v>
      </c>
      <c r="V4471" s="12">
        <v>283.14999999999998</v>
      </c>
      <c r="W4471" s="12">
        <v>8.0444879476507989</v>
      </c>
      <c r="X4471" s="12">
        <v>63.953651308544153</v>
      </c>
      <c r="Y4471" s="12">
        <v>2100</v>
      </c>
      <c r="Z4471" s="12">
        <v>2.75</v>
      </c>
      <c r="AA4471" s="12"/>
      <c r="AB4471" s="12"/>
    </row>
    <row r="4472" spans="1:28" x14ac:dyDescent="0.3">
      <c r="A4472" s="12" t="s">
        <v>6412</v>
      </c>
      <c r="B4472" s="12" t="s">
        <v>217</v>
      </c>
      <c r="C4472" s="12" t="s">
        <v>700</v>
      </c>
      <c r="D4472" s="12" t="s">
        <v>235</v>
      </c>
      <c r="E4472" s="12" t="s">
        <v>1886</v>
      </c>
      <c r="F4472" s="12" t="s">
        <v>32</v>
      </c>
      <c r="G4472" s="12" t="s">
        <v>32</v>
      </c>
      <c r="H4472" s="12" t="b">
        <v>1</v>
      </c>
      <c r="I4472" s="12" t="b">
        <v>1</v>
      </c>
      <c r="J4472" s="12" t="b">
        <v>0</v>
      </c>
      <c r="K4472" s="12" t="b">
        <v>0</v>
      </c>
      <c r="L4472" s="12">
        <v>394.15</v>
      </c>
      <c r="M4472" s="12">
        <v>278.14999999999998</v>
      </c>
      <c r="N4472" s="12">
        <v>3300</v>
      </c>
      <c r="O4472" s="12">
        <v>700</v>
      </c>
      <c r="P4472" s="12">
        <v>0.79</v>
      </c>
      <c r="Q4472" s="12">
        <v>0.9</v>
      </c>
      <c r="R4472" s="12">
        <v>0.8</v>
      </c>
      <c r="S4472" s="12">
        <v>0.85</v>
      </c>
      <c r="T4472" s="12">
        <v>0.75</v>
      </c>
      <c r="U4472" s="12">
        <v>0.95</v>
      </c>
      <c r="V4472" s="12">
        <v>283.14999999999998</v>
      </c>
      <c r="W4472" s="12">
        <v>12.3296143934064</v>
      </c>
      <c r="X4472" s="12">
        <v>106.0624220261746</v>
      </c>
      <c r="Y4472" s="12">
        <v>2600</v>
      </c>
      <c r="Z4472" s="12">
        <v>4.7142857142857144</v>
      </c>
      <c r="AA4472" s="12"/>
      <c r="AB4472" s="12"/>
    </row>
    <row r="4473" spans="1:28" x14ac:dyDescent="0.3">
      <c r="A4473" s="12" t="s">
        <v>6413</v>
      </c>
      <c r="B4473" s="12" t="s">
        <v>217</v>
      </c>
      <c r="C4473" s="12" t="s">
        <v>700</v>
      </c>
      <c r="D4473" s="12" t="s">
        <v>235</v>
      </c>
      <c r="E4473" s="12" t="s">
        <v>1886</v>
      </c>
      <c r="F4473" s="12" t="s">
        <v>1861</v>
      </c>
      <c r="G4473" s="12" t="s">
        <v>1861</v>
      </c>
      <c r="H4473" s="12" t="b">
        <v>1</v>
      </c>
      <c r="I4473" s="12" t="b">
        <v>0</v>
      </c>
      <c r="J4473" s="12" t="b">
        <v>0</v>
      </c>
      <c r="K4473" s="12" t="b">
        <v>0</v>
      </c>
      <c r="L4473" s="12">
        <v>394.15</v>
      </c>
      <c r="M4473" s="12">
        <v>278.14999999999998</v>
      </c>
      <c r="N4473" s="12">
        <v>3300</v>
      </c>
      <c r="O4473" s="12">
        <v>600</v>
      </c>
      <c r="P4473" s="12">
        <v>0.79</v>
      </c>
      <c r="Q4473" s="12">
        <v>0.9</v>
      </c>
      <c r="R4473" s="12">
        <v>0.8</v>
      </c>
      <c r="S4473" s="12">
        <v>0.85</v>
      </c>
      <c r="T4473" s="12">
        <v>0.75</v>
      </c>
      <c r="U4473" s="12">
        <v>0.95</v>
      </c>
      <c r="V4473" s="12">
        <v>283.14999999999998</v>
      </c>
      <c r="W4473" s="12">
        <v>13.432871139707251</v>
      </c>
      <c r="X4473" s="12">
        <v>115.5824865081121</v>
      </c>
      <c r="Y4473" s="12">
        <v>2700</v>
      </c>
      <c r="Z4473" s="12">
        <v>5.5</v>
      </c>
      <c r="AA4473" s="12" t="s">
        <v>1268</v>
      </c>
      <c r="AB4473" s="12"/>
    </row>
    <row r="4474" spans="1:28" x14ac:dyDescent="0.3">
      <c r="A4474" s="12" t="s">
        <v>6414</v>
      </c>
      <c r="B4474" s="12" t="s">
        <v>217</v>
      </c>
      <c r="C4474" s="12" t="s">
        <v>700</v>
      </c>
      <c r="D4474" s="12" t="s">
        <v>235</v>
      </c>
      <c r="E4474" s="12" t="s">
        <v>1886</v>
      </c>
      <c r="F4474" s="12" t="s">
        <v>32</v>
      </c>
      <c r="G4474" s="12" t="s">
        <v>32</v>
      </c>
      <c r="H4474" s="12" t="b">
        <v>1</v>
      </c>
      <c r="I4474" s="12" t="b">
        <v>1</v>
      </c>
      <c r="J4474" s="12" t="b">
        <v>0</v>
      </c>
      <c r="K4474" s="12" t="b">
        <v>0</v>
      </c>
      <c r="L4474" s="12">
        <v>394.15</v>
      </c>
      <c r="M4474" s="12">
        <v>278.14999999999998</v>
      </c>
      <c r="N4474" s="12">
        <v>3300</v>
      </c>
      <c r="O4474" s="12">
        <v>800</v>
      </c>
      <c r="P4474" s="12">
        <v>0.79</v>
      </c>
      <c r="Q4474" s="12">
        <v>0.9</v>
      </c>
      <c r="R4474" s="12">
        <v>0.8</v>
      </c>
      <c r="S4474" s="12">
        <v>0.85</v>
      </c>
      <c r="T4474" s="12">
        <v>0.75</v>
      </c>
      <c r="U4474" s="12">
        <v>0.95</v>
      </c>
      <c r="V4474" s="12">
        <v>283.14999999999998</v>
      </c>
      <c r="W4474" s="12">
        <v>11.35473201240467</v>
      </c>
      <c r="X4474" s="12">
        <v>97.654888751878943</v>
      </c>
      <c r="Y4474" s="12">
        <v>2500</v>
      </c>
      <c r="Z4474" s="12">
        <v>4.125</v>
      </c>
      <c r="AA4474" s="12"/>
      <c r="AB4474" s="12"/>
    </row>
    <row r="4475" spans="1:28" x14ac:dyDescent="0.3">
      <c r="A4475" s="12" t="s">
        <v>6415</v>
      </c>
      <c r="B4475" s="12" t="s">
        <v>217</v>
      </c>
      <c r="C4475" s="12" t="s">
        <v>700</v>
      </c>
      <c r="D4475" s="12" t="s">
        <v>235</v>
      </c>
      <c r="E4475" s="12" t="s">
        <v>1886</v>
      </c>
      <c r="F4475" s="12" t="s">
        <v>1861</v>
      </c>
      <c r="G4475" s="12" t="s">
        <v>1861</v>
      </c>
      <c r="H4475" s="12" t="b">
        <v>1</v>
      </c>
      <c r="I4475" s="12" t="b">
        <v>0</v>
      </c>
      <c r="J4475" s="12" t="b">
        <v>0</v>
      </c>
      <c r="K4475" s="12" t="b">
        <v>0</v>
      </c>
      <c r="L4475" s="12">
        <v>394.15</v>
      </c>
      <c r="M4475" s="12">
        <v>278.14999999999998</v>
      </c>
      <c r="N4475" s="12">
        <v>3300</v>
      </c>
      <c r="O4475" s="12">
        <v>500</v>
      </c>
      <c r="P4475" s="12">
        <v>0.79</v>
      </c>
      <c r="Q4475" s="12">
        <v>0.9</v>
      </c>
      <c r="R4475" s="12">
        <v>0.8</v>
      </c>
      <c r="S4475" s="12">
        <v>0.85</v>
      </c>
      <c r="T4475" s="12">
        <v>0.75</v>
      </c>
      <c r="U4475" s="12">
        <v>0.95</v>
      </c>
      <c r="V4475" s="12">
        <v>283.14999999999998</v>
      </c>
      <c r="W4475" s="12">
        <v>14.703997160886709</v>
      </c>
      <c r="X4475" s="12">
        <v>126.5552754520173</v>
      </c>
      <c r="Y4475" s="12">
        <v>2800</v>
      </c>
      <c r="Z4475" s="12">
        <v>6.6</v>
      </c>
      <c r="AA4475" s="12" t="s">
        <v>1268</v>
      </c>
      <c r="AB4475" s="12"/>
    </row>
    <row r="4476" spans="1:28" x14ac:dyDescent="0.3">
      <c r="A4476" s="12" t="s">
        <v>6416</v>
      </c>
      <c r="B4476" s="12" t="s">
        <v>217</v>
      </c>
      <c r="C4476" s="12" t="s">
        <v>700</v>
      </c>
      <c r="D4476" s="12" t="s">
        <v>235</v>
      </c>
      <c r="E4476" s="12" t="s">
        <v>1886</v>
      </c>
      <c r="F4476" s="12" t="s">
        <v>32</v>
      </c>
      <c r="G4476" s="12" t="s">
        <v>32</v>
      </c>
      <c r="H4476" s="12" t="b">
        <v>1</v>
      </c>
      <c r="I4476" s="12" t="b">
        <v>1</v>
      </c>
      <c r="J4476" s="12" t="b">
        <v>0</v>
      </c>
      <c r="K4476" s="12" t="b">
        <v>0</v>
      </c>
      <c r="L4476" s="12">
        <v>394.15</v>
      </c>
      <c r="M4476" s="12">
        <v>278.14999999999998</v>
      </c>
      <c r="N4476" s="12">
        <v>3300</v>
      </c>
      <c r="O4476" s="12">
        <v>900</v>
      </c>
      <c r="P4476" s="12">
        <v>0.79</v>
      </c>
      <c r="Q4476" s="12">
        <v>0.9</v>
      </c>
      <c r="R4476" s="12">
        <v>0.8</v>
      </c>
      <c r="S4476" s="12">
        <v>0.85</v>
      </c>
      <c r="T4476" s="12">
        <v>0.75</v>
      </c>
      <c r="U4476" s="12">
        <v>0.95</v>
      </c>
      <c r="V4476" s="12">
        <v>283.14999999999998</v>
      </c>
      <c r="W4476" s="12">
        <v>10.479786177232279</v>
      </c>
      <c r="X4476" s="12">
        <v>90.112944171374195</v>
      </c>
      <c r="Y4476" s="12">
        <v>2400</v>
      </c>
      <c r="Z4476" s="12">
        <v>3.666666666666667</v>
      </c>
      <c r="AA4476" s="12"/>
      <c r="AB4476" s="12"/>
    </row>
    <row r="4477" spans="1:28" x14ac:dyDescent="0.3">
      <c r="A4477" s="12" t="s">
        <v>6417</v>
      </c>
      <c r="B4477" s="12" t="s">
        <v>217</v>
      </c>
      <c r="C4477" s="12" t="s">
        <v>700</v>
      </c>
      <c r="D4477" s="12" t="s">
        <v>235</v>
      </c>
      <c r="E4477" s="12" t="s">
        <v>1886</v>
      </c>
      <c r="F4477" s="12" t="s">
        <v>32</v>
      </c>
      <c r="G4477" s="12" t="s">
        <v>32</v>
      </c>
      <c r="H4477" s="12" t="b">
        <v>1</v>
      </c>
      <c r="I4477" s="12" t="b">
        <v>1</v>
      </c>
      <c r="J4477" s="12" t="b">
        <v>0</v>
      </c>
      <c r="K4477" s="12" t="b">
        <v>0</v>
      </c>
      <c r="L4477" s="12">
        <v>394.15</v>
      </c>
      <c r="M4477" s="12">
        <v>278.14999999999998</v>
      </c>
      <c r="N4477" s="12">
        <v>3300</v>
      </c>
      <c r="O4477" s="12">
        <v>1000</v>
      </c>
      <c r="P4477" s="12">
        <v>0.79</v>
      </c>
      <c r="Q4477" s="12">
        <v>0.9</v>
      </c>
      <c r="R4477" s="12">
        <v>0.8</v>
      </c>
      <c r="S4477" s="12">
        <v>0.85</v>
      </c>
      <c r="T4477" s="12">
        <v>0.75</v>
      </c>
      <c r="U4477" s="12">
        <v>0.95</v>
      </c>
      <c r="V4477" s="12">
        <v>283.14999999999998</v>
      </c>
      <c r="W4477" s="12">
        <v>9.6851253396266301</v>
      </c>
      <c r="X4477" s="12">
        <v>83.266014891401227</v>
      </c>
      <c r="Y4477" s="12">
        <v>2300</v>
      </c>
      <c r="Z4477" s="12">
        <v>3.3</v>
      </c>
      <c r="AA4477" s="12"/>
      <c r="AB4477" s="12"/>
    </row>
    <row r="4478" spans="1:28" x14ac:dyDescent="0.3">
      <c r="A4478" s="12" t="s">
        <v>6418</v>
      </c>
      <c r="B4478" s="12" t="s">
        <v>217</v>
      </c>
      <c r="C4478" s="12" t="s">
        <v>700</v>
      </c>
      <c r="D4478" s="12" t="s">
        <v>235</v>
      </c>
      <c r="E4478" s="12" t="s">
        <v>1886</v>
      </c>
      <c r="F4478" s="12" t="s">
        <v>32</v>
      </c>
      <c r="G4478" s="12" t="s">
        <v>32</v>
      </c>
      <c r="H4478" s="12" t="b">
        <v>1</v>
      </c>
      <c r="I4478" s="12" t="b">
        <v>1</v>
      </c>
      <c r="J4478" s="12" t="b">
        <v>0</v>
      </c>
      <c r="K4478" s="12" t="b">
        <v>0</v>
      </c>
      <c r="L4478" s="12">
        <v>394.15</v>
      </c>
      <c r="M4478" s="12">
        <v>278.14999999999998</v>
      </c>
      <c r="N4478" s="12">
        <v>3300</v>
      </c>
      <c r="O4478" s="12">
        <v>1100</v>
      </c>
      <c r="P4478" s="12">
        <v>0.79</v>
      </c>
      <c r="Q4478" s="12">
        <v>0.9</v>
      </c>
      <c r="R4478" s="12">
        <v>0.8</v>
      </c>
      <c r="S4478" s="12">
        <v>0.85</v>
      </c>
      <c r="T4478" s="12">
        <v>0.75</v>
      </c>
      <c r="U4478" s="12">
        <v>0.95</v>
      </c>
      <c r="V4478" s="12">
        <v>283.14999999999998</v>
      </c>
      <c r="W4478" s="12">
        <v>8.9565676337872002</v>
      </c>
      <c r="X4478" s="12">
        <v>76.991051379412923</v>
      </c>
      <c r="Y4478" s="12">
        <v>2200</v>
      </c>
      <c r="Z4478" s="12">
        <v>3</v>
      </c>
      <c r="AA4478" s="12"/>
      <c r="AB4478" s="12"/>
    </row>
    <row r="4479" spans="1:28" x14ac:dyDescent="0.3">
      <c r="A4479" s="12" t="s">
        <v>6419</v>
      </c>
      <c r="B4479" s="12" t="s">
        <v>217</v>
      </c>
      <c r="C4479" s="12" t="s">
        <v>700</v>
      </c>
      <c r="D4479" s="12" t="s">
        <v>235</v>
      </c>
      <c r="E4479" s="12" t="s">
        <v>1886</v>
      </c>
      <c r="F4479" s="12" t="s">
        <v>32</v>
      </c>
      <c r="G4479" s="12" t="s">
        <v>32</v>
      </c>
      <c r="H4479" s="12" t="b">
        <v>1</v>
      </c>
      <c r="I4479" s="12" t="b">
        <v>1</v>
      </c>
      <c r="J4479" s="12" t="b">
        <v>0</v>
      </c>
      <c r="K4479" s="12" t="b">
        <v>0</v>
      </c>
      <c r="L4479" s="12">
        <v>394.15</v>
      </c>
      <c r="M4479" s="12">
        <v>278.14999999999998</v>
      </c>
      <c r="N4479" s="12">
        <v>3300</v>
      </c>
      <c r="O4479" s="12">
        <v>1200</v>
      </c>
      <c r="P4479" s="12">
        <v>0.79</v>
      </c>
      <c r="Q4479" s="12">
        <v>0.9</v>
      </c>
      <c r="R4479" s="12">
        <v>0.8</v>
      </c>
      <c r="S4479" s="12">
        <v>0.85</v>
      </c>
      <c r="T4479" s="12">
        <v>0.75</v>
      </c>
      <c r="U4479" s="12">
        <v>0.95</v>
      </c>
      <c r="V4479" s="12">
        <v>283.14999999999998</v>
      </c>
      <c r="W4479" s="12">
        <v>8.2835153760529998</v>
      </c>
      <c r="X4479" s="12">
        <v>71.196135499116679</v>
      </c>
      <c r="Y4479" s="12">
        <v>2100</v>
      </c>
      <c r="Z4479" s="12">
        <v>2.75</v>
      </c>
      <c r="AA4479" s="12"/>
      <c r="AB4479" s="12"/>
    </row>
    <row r="4480" spans="1:28" x14ac:dyDescent="0.3">
      <c r="A4480" s="12" t="s">
        <v>6420</v>
      </c>
      <c r="B4480" s="12" t="s">
        <v>217</v>
      </c>
      <c r="C4480" s="12" t="s">
        <v>700</v>
      </c>
      <c r="D4480" s="12" t="s">
        <v>235</v>
      </c>
      <c r="E4480" s="12" t="s">
        <v>1886</v>
      </c>
      <c r="F4480" s="12" t="s">
        <v>32</v>
      </c>
      <c r="G4480" s="12" t="s">
        <v>32</v>
      </c>
      <c r="H4480" s="12" t="b">
        <v>1</v>
      </c>
      <c r="I4480" s="12" t="b">
        <v>1</v>
      </c>
      <c r="J4480" s="12" t="b">
        <v>0</v>
      </c>
      <c r="K4480" s="12" t="b">
        <v>0</v>
      </c>
      <c r="L4480" s="12">
        <v>394.15</v>
      </c>
      <c r="M4480" s="12">
        <v>278.14999999999998</v>
      </c>
      <c r="N4480" s="12">
        <v>3300</v>
      </c>
      <c r="O4480" s="12">
        <v>800</v>
      </c>
      <c r="P4480" s="12">
        <v>0.82</v>
      </c>
      <c r="Q4480" s="12">
        <v>0.9</v>
      </c>
      <c r="R4480" s="12">
        <v>0.8</v>
      </c>
      <c r="S4480" s="12">
        <v>0.85</v>
      </c>
      <c r="T4480" s="12">
        <v>0.75</v>
      </c>
      <c r="U4480" s="12">
        <v>0.95</v>
      </c>
      <c r="V4480" s="12">
        <v>283.14999999999998</v>
      </c>
      <c r="W4480" s="12">
        <v>11.62985863251361</v>
      </c>
      <c r="X4480" s="12">
        <v>107.3818843882582</v>
      </c>
      <c r="Y4480" s="12">
        <v>2500</v>
      </c>
      <c r="Z4480" s="12">
        <v>4.125</v>
      </c>
      <c r="AA4480" s="12"/>
      <c r="AB4480" s="12"/>
    </row>
    <row r="4481" spans="1:28" x14ac:dyDescent="0.3">
      <c r="A4481" s="12" t="s">
        <v>6421</v>
      </c>
      <c r="B4481" s="12" t="s">
        <v>217</v>
      </c>
      <c r="C4481" s="12" t="s">
        <v>700</v>
      </c>
      <c r="D4481" s="12" t="s">
        <v>235</v>
      </c>
      <c r="E4481" s="12" t="s">
        <v>1886</v>
      </c>
      <c r="F4481" s="12" t="s">
        <v>1861</v>
      </c>
      <c r="G4481" s="12" t="s">
        <v>1861</v>
      </c>
      <c r="H4481" s="12" t="b">
        <v>1</v>
      </c>
      <c r="I4481" s="12" t="b">
        <v>0</v>
      </c>
      <c r="J4481" s="12" t="b">
        <v>0</v>
      </c>
      <c r="K4481" s="12" t="b">
        <v>0</v>
      </c>
      <c r="L4481" s="12">
        <v>394.15</v>
      </c>
      <c r="M4481" s="12">
        <v>278.14999999999998</v>
      </c>
      <c r="N4481" s="12">
        <v>3300</v>
      </c>
      <c r="O4481" s="12">
        <v>500</v>
      </c>
      <c r="P4481" s="12">
        <v>0.82</v>
      </c>
      <c r="Q4481" s="12">
        <v>0.9</v>
      </c>
      <c r="R4481" s="12">
        <v>0.8</v>
      </c>
      <c r="S4481" s="12">
        <v>0.85</v>
      </c>
      <c r="T4481" s="12">
        <v>0.75</v>
      </c>
      <c r="U4481" s="12">
        <v>0.95</v>
      </c>
      <c r="V4481" s="12">
        <v>283.14999999999998</v>
      </c>
      <c r="W4481" s="12">
        <v>15.0409968815438</v>
      </c>
      <c r="X4481" s="12">
        <v>138.98269187454429</v>
      </c>
      <c r="Y4481" s="12">
        <v>2800</v>
      </c>
      <c r="Z4481" s="12">
        <v>6.6</v>
      </c>
      <c r="AA4481" s="12" t="s">
        <v>1268</v>
      </c>
      <c r="AB4481" s="12"/>
    </row>
    <row r="4482" spans="1:28" x14ac:dyDescent="0.3">
      <c r="A4482" s="12" t="s">
        <v>6422</v>
      </c>
      <c r="B4482" s="12" t="s">
        <v>217</v>
      </c>
      <c r="C4482" s="12" t="s">
        <v>700</v>
      </c>
      <c r="D4482" s="12" t="s">
        <v>235</v>
      </c>
      <c r="E4482" s="12" t="s">
        <v>1886</v>
      </c>
      <c r="F4482" s="12" t="s">
        <v>32</v>
      </c>
      <c r="G4482" s="12" t="s">
        <v>32</v>
      </c>
      <c r="H4482" s="12" t="b">
        <v>1</v>
      </c>
      <c r="I4482" s="12" t="b">
        <v>1</v>
      </c>
      <c r="J4482" s="12" t="b">
        <v>0</v>
      </c>
      <c r="K4482" s="12" t="b">
        <v>0</v>
      </c>
      <c r="L4482" s="12">
        <v>394.15</v>
      </c>
      <c r="M4482" s="12">
        <v>278.14999999999998</v>
      </c>
      <c r="N4482" s="12">
        <v>3300</v>
      </c>
      <c r="O4482" s="12">
        <v>900</v>
      </c>
      <c r="P4482" s="12">
        <v>0.82</v>
      </c>
      <c r="Q4482" s="12">
        <v>0.9</v>
      </c>
      <c r="R4482" s="12">
        <v>0.8</v>
      </c>
      <c r="S4482" s="12">
        <v>0.85</v>
      </c>
      <c r="T4482" s="12">
        <v>0.75</v>
      </c>
      <c r="U4482" s="12">
        <v>0.95</v>
      </c>
      <c r="V4482" s="12">
        <v>283.14999999999998</v>
      </c>
      <c r="W4482" s="12">
        <v>10.73610439817951</v>
      </c>
      <c r="X4482" s="12">
        <v>99.108930253546177</v>
      </c>
      <c r="Y4482" s="12">
        <v>2400</v>
      </c>
      <c r="Z4482" s="12">
        <v>3.666666666666667</v>
      </c>
      <c r="AA4482" s="12"/>
      <c r="AB4482" s="12"/>
    </row>
    <row r="4483" spans="1:28" x14ac:dyDescent="0.3">
      <c r="A4483" s="12" t="s">
        <v>6423</v>
      </c>
      <c r="B4483" s="12" t="s">
        <v>217</v>
      </c>
      <c r="C4483" s="12" t="s">
        <v>700</v>
      </c>
      <c r="D4483" s="12" t="s">
        <v>235</v>
      </c>
      <c r="E4483" s="12" t="s">
        <v>1886</v>
      </c>
      <c r="F4483" s="12" t="s">
        <v>1861</v>
      </c>
      <c r="G4483" s="12" t="s">
        <v>1861</v>
      </c>
      <c r="H4483" s="12" t="b">
        <v>1</v>
      </c>
      <c r="I4483" s="12" t="b">
        <v>0</v>
      </c>
      <c r="J4483" s="12" t="b">
        <v>0</v>
      </c>
      <c r="K4483" s="12" t="b">
        <v>0</v>
      </c>
      <c r="L4483" s="12">
        <v>394.15</v>
      </c>
      <c r="M4483" s="12">
        <v>278.14999999999998</v>
      </c>
      <c r="N4483" s="12">
        <v>3300</v>
      </c>
      <c r="O4483" s="12">
        <v>600</v>
      </c>
      <c r="P4483" s="12">
        <v>0.82</v>
      </c>
      <c r="Q4483" s="12">
        <v>0.9</v>
      </c>
      <c r="R4483" s="12">
        <v>0.8</v>
      </c>
      <c r="S4483" s="12">
        <v>0.85</v>
      </c>
      <c r="T4483" s="12">
        <v>0.75</v>
      </c>
      <c r="U4483" s="12">
        <v>0.95</v>
      </c>
      <c r="V4483" s="12">
        <v>283.14999999999998</v>
      </c>
      <c r="W4483" s="12">
        <v>13.75268677295411</v>
      </c>
      <c r="X4483" s="12">
        <v>127.0486533418041</v>
      </c>
      <c r="Y4483" s="12">
        <v>2700</v>
      </c>
      <c r="Z4483" s="12">
        <v>5.5</v>
      </c>
      <c r="AA4483" s="12" t="s">
        <v>1268</v>
      </c>
      <c r="AB4483" s="12"/>
    </row>
    <row r="4484" spans="1:28" x14ac:dyDescent="0.3">
      <c r="A4484" s="12" t="s">
        <v>6424</v>
      </c>
      <c r="B4484" s="12" t="s">
        <v>217</v>
      </c>
      <c r="C4484" s="12" t="s">
        <v>700</v>
      </c>
      <c r="D4484" s="12" t="s">
        <v>235</v>
      </c>
      <c r="E4484" s="12" t="s">
        <v>1886</v>
      </c>
      <c r="F4484" s="12" t="s">
        <v>32</v>
      </c>
      <c r="G4484" s="12" t="s">
        <v>32</v>
      </c>
      <c r="H4484" s="12" t="b">
        <v>1</v>
      </c>
      <c r="I4484" s="12" t="b">
        <v>1</v>
      </c>
      <c r="J4484" s="12" t="b">
        <v>0</v>
      </c>
      <c r="K4484" s="12" t="b">
        <v>0</v>
      </c>
      <c r="L4484" s="12">
        <v>394.15</v>
      </c>
      <c r="M4484" s="12">
        <v>278.14999999999998</v>
      </c>
      <c r="N4484" s="12">
        <v>3300</v>
      </c>
      <c r="O4484" s="12">
        <v>700</v>
      </c>
      <c r="P4484" s="12">
        <v>0.82</v>
      </c>
      <c r="Q4484" s="12">
        <v>0.9</v>
      </c>
      <c r="R4484" s="12">
        <v>0.8</v>
      </c>
      <c r="S4484" s="12">
        <v>0.85</v>
      </c>
      <c r="T4484" s="12">
        <v>0.75</v>
      </c>
      <c r="U4484" s="12">
        <v>0.95</v>
      </c>
      <c r="V4484" s="12">
        <v>283.14999999999998</v>
      </c>
      <c r="W4484" s="12">
        <v>12.581314446066379</v>
      </c>
      <c r="X4484" s="12">
        <v>116.160036609947</v>
      </c>
      <c r="Y4484" s="12">
        <v>2600</v>
      </c>
      <c r="Z4484" s="12">
        <v>4.7142857142857144</v>
      </c>
      <c r="AA4484" s="12"/>
      <c r="AB4484" s="12"/>
    </row>
    <row r="4485" spans="1:28" x14ac:dyDescent="0.3">
      <c r="A4485" s="12" t="s">
        <v>6425</v>
      </c>
      <c r="B4485" s="12" t="s">
        <v>217</v>
      </c>
      <c r="C4485" s="12" t="s">
        <v>700</v>
      </c>
      <c r="D4485" s="12" t="s">
        <v>235</v>
      </c>
      <c r="E4485" s="12" t="s">
        <v>1886</v>
      </c>
      <c r="F4485" s="12" t="s">
        <v>32</v>
      </c>
      <c r="G4485" s="12" t="s">
        <v>32</v>
      </c>
      <c r="H4485" s="12" t="b">
        <v>1</v>
      </c>
      <c r="I4485" s="12" t="b">
        <v>1</v>
      </c>
      <c r="J4485" s="12" t="b">
        <v>0</v>
      </c>
      <c r="K4485" s="12" t="b">
        <v>0</v>
      </c>
      <c r="L4485" s="12">
        <v>394.15</v>
      </c>
      <c r="M4485" s="12">
        <v>278.14999999999998</v>
      </c>
      <c r="N4485" s="12">
        <v>3300</v>
      </c>
      <c r="O4485" s="12">
        <v>1000</v>
      </c>
      <c r="P4485" s="12">
        <v>0.82</v>
      </c>
      <c r="Q4485" s="12">
        <v>0.9</v>
      </c>
      <c r="R4485" s="12">
        <v>0.8</v>
      </c>
      <c r="S4485" s="12">
        <v>0.85</v>
      </c>
      <c r="T4485" s="12">
        <v>0.75</v>
      </c>
      <c r="U4485" s="12">
        <v>0.95</v>
      </c>
      <c r="V4485" s="12">
        <v>283.14999999999998</v>
      </c>
      <c r="W4485" s="12">
        <v>9.9242331125012608</v>
      </c>
      <c r="X4485" s="12">
        <v>91.59746440326164</v>
      </c>
      <c r="Y4485" s="12">
        <v>2300</v>
      </c>
      <c r="Z4485" s="12">
        <v>3.3</v>
      </c>
      <c r="AA4485" s="12"/>
      <c r="AB4485" s="12"/>
    </row>
    <row r="4486" spans="1:28" x14ac:dyDescent="0.3">
      <c r="A4486" s="12" t="s">
        <v>6426</v>
      </c>
      <c r="B4486" s="12" t="s">
        <v>217</v>
      </c>
      <c r="C4486" s="12" t="s">
        <v>700</v>
      </c>
      <c r="D4486" s="12" t="s">
        <v>235</v>
      </c>
      <c r="E4486" s="12" t="s">
        <v>1886</v>
      </c>
      <c r="F4486" s="12" t="s">
        <v>32</v>
      </c>
      <c r="G4486" s="12" t="s">
        <v>32</v>
      </c>
      <c r="H4486" s="12" t="b">
        <v>1</v>
      </c>
      <c r="I4486" s="12" t="b">
        <v>1</v>
      </c>
      <c r="J4486" s="12" t="b">
        <v>0</v>
      </c>
      <c r="K4486" s="12" t="b">
        <v>0</v>
      </c>
      <c r="L4486" s="12">
        <v>394.15</v>
      </c>
      <c r="M4486" s="12">
        <v>278.14999999999998</v>
      </c>
      <c r="N4486" s="12">
        <v>3300</v>
      </c>
      <c r="O4486" s="12">
        <v>1100</v>
      </c>
      <c r="P4486" s="12">
        <v>0.82</v>
      </c>
      <c r="Q4486" s="12">
        <v>0.9</v>
      </c>
      <c r="R4486" s="12">
        <v>0.8</v>
      </c>
      <c r="S4486" s="12">
        <v>0.85</v>
      </c>
      <c r="T4486" s="12">
        <v>0.75</v>
      </c>
      <c r="U4486" s="12">
        <v>0.95</v>
      </c>
      <c r="V4486" s="12">
        <v>283.14999999999998</v>
      </c>
      <c r="W4486" s="12">
        <v>9.1797192138850399</v>
      </c>
      <c r="X4486" s="12">
        <v>84.712077428929803</v>
      </c>
      <c r="Y4486" s="12">
        <v>2200</v>
      </c>
      <c r="Z4486" s="12">
        <v>3</v>
      </c>
      <c r="AA4486" s="12"/>
      <c r="AB4486" s="12"/>
    </row>
    <row r="4487" spans="1:28" x14ac:dyDescent="0.3">
      <c r="A4487" s="12" t="s">
        <v>6427</v>
      </c>
      <c r="B4487" s="12" t="s">
        <v>217</v>
      </c>
      <c r="C4487" s="12" t="s">
        <v>700</v>
      </c>
      <c r="D4487" s="12" t="s">
        <v>235</v>
      </c>
      <c r="E4487" s="12" t="s">
        <v>1886</v>
      </c>
      <c r="F4487" s="12" t="s">
        <v>32</v>
      </c>
      <c r="G4487" s="12" t="s">
        <v>32</v>
      </c>
      <c r="H4487" s="12" t="b">
        <v>1</v>
      </c>
      <c r="I4487" s="12" t="b">
        <v>1</v>
      </c>
      <c r="J4487" s="12" t="b">
        <v>0</v>
      </c>
      <c r="K4487" s="12" t="b">
        <v>0</v>
      </c>
      <c r="L4487" s="12">
        <v>394.15</v>
      </c>
      <c r="M4487" s="12">
        <v>278.14999999999998</v>
      </c>
      <c r="N4487" s="12">
        <v>3300</v>
      </c>
      <c r="O4487" s="12">
        <v>1200</v>
      </c>
      <c r="P4487" s="12">
        <v>0.82</v>
      </c>
      <c r="Q4487" s="12">
        <v>0.9</v>
      </c>
      <c r="R4487" s="12">
        <v>0.8</v>
      </c>
      <c r="S4487" s="12">
        <v>0.85</v>
      </c>
      <c r="T4487" s="12">
        <v>0.75</v>
      </c>
      <c r="U4487" s="12">
        <v>0.95</v>
      </c>
      <c r="V4487" s="12">
        <v>283.14999999999998</v>
      </c>
      <c r="W4487" s="12">
        <v>8.4917267042076094</v>
      </c>
      <c r="X4487" s="12">
        <v>78.351793006248684</v>
      </c>
      <c r="Y4487" s="12">
        <v>2100</v>
      </c>
      <c r="Z4487" s="12">
        <v>2.75</v>
      </c>
      <c r="AA4487" s="12"/>
      <c r="AB4487" s="12"/>
    </row>
    <row r="4488" spans="1:28" x14ac:dyDescent="0.3">
      <c r="A4488" s="12" t="s">
        <v>6428</v>
      </c>
      <c r="B4488" s="12" t="s">
        <v>217</v>
      </c>
      <c r="C4488" s="12" t="s">
        <v>700</v>
      </c>
      <c r="D4488" s="12" t="s">
        <v>235</v>
      </c>
      <c r="E4488" s="12" t="s">
        <v>1886</v>
      </c>
      <c r="F4488" s="12" t="s">
        <v>1861</v>
      </c>
      <c r="G4488" s="12" t="s">
        <v>1861</v>
      </c>
      <c r="H4488" s="12" t="b">
        <v>1</v>
      </c>
      <c r="I4488" s="12" t="b">
        <v>0</v>
      </c>
      <c r="J4488" s="12" t="b">
        <v>0</v>
      </c>
      <c r="K4488" s="12" t="b">
        <v>0</v>
      </c>
      <c r="L4488" s="12">
        <v>394.15</v>
      </c>
      <c r="M4488" s="12">
        <v>278.14999999999998</v>
      </c>
      <c r="N4488" s="12">
        <v>3300</v>
      </c>
      <c r="O4488" s="12">
        <v>500</v>
      </c>
      <c r="P4488" s="12">
        <v>0.85</v>
      </c>
      <c r="Q4488" s="12">
        <v>0.9</v>
      </c>
      <c r="R4488" s="12">
        <v>0.8</v>
      </c>
      <c r="S4488" s="12">
        <v>0.85</v>
      </c>
      <c r="T4488" s="12">
        <v>0.75</v>
      </c>
      <c r="U4488" s="12">
        <v>0.95</v>
      </c>
      <c r="V4488" s="12">
        <v>283.14999999999998</v>
      </c>
      <c r="W4488" s="12">
        <v>15.32923776681198</v>
      </c>
      <c r="X4488" s="12">
        <v>151.16664163801261</v>
      </c>
      <c r="Y4488" s="12">
        <v>2800</v>
      </c>
      <c r="Z4488" s="12">
        <v>6.6</v>
      </c>
      <c r="AA4488" s="12" t="s">
        <v>1268</v>
      </c>
      <c r="AB4488" s="12"/>
    </row>
    <row r="4489" spans="1:28" x14ac:dyDescent="0.3">
      <c r="A4489" s="12" t="s">
        <v>6429</v>
      </c>
      <c r="B4489" s="12" t="s">
        <v>217</v>
      </c>
      <c r="C4489" s="12" t="s">
        <v>700</v>
      </c>
      <c r="D4489" s="12" t="s">
        <v>235</v>
      </c>
      <c r="E4489" s="12" t="s">
        <v>1886</v>
      </c>
      <c r="F4489" s="12" t="s">
        <v>1861</v>
      </c>
      <c r="G4489" s="12" t="s">
        <v>1861</v>
      </c>
      <c r="H4489" s="12" t="b">
        <v>1</v>
      </c>
      <c r="I4489" s="12" t="b">
        <v>0</v>
      </c>
      <c r="J4489" s="12" t="b">
        <v>0</v>
      </c>
      <c r="K4489" s="12" t="b">
        <v>0</v>
      </c>
      <c r="L4489" s="12">
        <v>394.15</v>
      </c>
      <c r="M4489" s="12">
        <v>278.14999999999998</v>
      </c>
      <c r="N4489" s="12">
        <v>3300</v>
      </c>
      <c r="O4489" s="12">
        <v>700</v>
      </c>
      <c r="P4489" s="12">
        <v>0.85</v>
      </c>
      <c r="Q4489" s="12">
        <v>0.9</v>
      </c>
      <c r="R4489" s="12">
        <v>0.8</v>
      </c>
      <c r="S4489" s="12">
        <v>0.85</v>
      </c>
      <c r="T4489" s="12">
        <v>0.75</v>
      </c>
      <c r="U4489" s="12">
        <v>0.95</v>
      </c>
      <c r="V4489" s="12">
        <v>283.14999999999998</v>
      </c>
      <c r="W4489" s="12">
        <v>12.88227196399284</v>
      </c>
      <c r="X4489" s="12">
        <v>126.9785077128962</v>
      </c>
      <c r="Y4489" s="12">
        <v>2600</v>
      </c>
      <c r="Z4489" s="12">
        <v>4.7142857142857144</v>
      </c>
      <c r="AA4489" s="12" t="s">
        <v>1268</v>
      </c>
      <c r="AB4489" s="12"/>
    </row>
    <row r="4490" spans="1:28" x14ac:dyDescent="0.3">
      <c r="A4490" s="12" t="s">
        <v>6430</v>
      </c>
      <c r="B4490" s="12" t="s">
        <v>217</v>
      </c>
      <c r="C4490" s="12" t="s">
        <v>700</v>
      </c>
      <c r="D4490" s="12" t="s">
        <v>235</v>
      </c>
      <c r="E4490" s="12" t="s">
        <v>1886</v>
      </c>
      <c r="F4490" s="12" t="s">
        <v>32</v>
      </c>
      <c r="G4490" s="12" t="s">
        <v>32</v>
      </c>
      <c r="H4490" s="12" t="b">
        <v>1</v>
      </c>
      <c r="I4490" s="12" t="b">
        <v>1</v>
      </c>
      <c r="J4490" s="12" t="b">
        <v>0</v>
      </c>
      <c r="K4490" s="12" t="b">
        <v>0</v>
      </c>
      <c r="L4490" s="12">
        <v>394.15</v>
      </c>
      <c r="M4490" s="12">
        <v>278.14999999999998</v>
      </c>
      <c r="N4490" s="12">
        <v>3300</v>
      </c>
      <c r="O4490" s="12">
        <v>900</v>
      </c>
      <c r="P4490" s="12">
        <v>0.85</v>
      </c>
      <c r="Q4490" s="12">
        <v>0.9</v>
      </c>
      <c r="R4490" s="12">
        <v>0.8</v>
      </c>
      <c r="S4490" s="12">
        <v>0.85</v>
      </c>
      <c r="T4490" s="12">
        <v>0.75</v>
      </c>
      <c r="U4490" s="12">
        <v>0.95</v>
      </c>
      <c r="V4490" s="12">
        <v>283.14999999999998</v>
      </c>
      <c r="W4490" s="12">
        <v>10.958065465370449</v>
      </c>
      <c r="X4490" s="12">
        <v>107.959216095541</v>
      </c>
      <c r="Y4490" s="12">
        <v>2400</v>
      </c>
      <c r="Z4490" s="12">
        <v>3.666666666666667</v>
      </c>
      <c r="AA4490" s="12"/>
      <c r="AB4490" s="12"/>
    </row>
    <row r="4491" spans="1:28" x14ac:dyDescent="0.3">
      <c r="A4491" s="12" t="s">
        <v>6431</v>
      </c>
      <c r="B4491" s="12" t="s">
        <v>217</v>
      </c>
      <c r="C4491" s="12" t="s">
        <v>700</v>
      </c>
      <c r="D4491" s="12" t="s">
        <v>235</v>
      </c>
      <c r="E4491" s="12" t="s">
        <v>1886</v>
      </c>
      <c r="F4491" s="12" t="s">
        <v>1861</v>
      </c>
      <c r="G4491" s="12" t="s">
        <v>1861</v>
      </c>
      <c r="H4491" s="12" t="b">
        <v>1</v>
      </c>
      <c r="I4491" s="12" t="b">
        <v>0</v>
      </c>
      <c r="J4491" s="12" t="b">
        <v>0</v>
      </c>
      <c r="K4491" s="12" t="b">
        <v>0</v>
      </c>
      <c r="L4491" s="12">
        <v>394.15</v>
      </c>
      <c r="M4491" s="12">
        <v>278.14999999999998</v>
      </c>
      <c r="N4491" s="12">
        <v>3300</v>
      </c>
      <c r="O4491" s="12">
        <v>600</v>
      </c>
      <c r="P4491" s="12">
        <v>0.85</v>
      </c>
      <c r="Q4491" s="12">
        <v>0.9</v>
      </c>
      <c r="R4491" s="12">
        <v>0.8</v>
      </c>
      <c r="S4491" s="12">
        <v>0.85</v>
      </c>
      <c r="T4491" s="12">
        <v>0.75</v>
      </c>
      <c r="U4491" s="12">
        <v>0.95</v>
      </c>
      <c r="V4491" s="12">
        <v>283.14999999999998</v>
      </c>
      <c r="W4491" s="12">
        <v>14.03021233993964</v>
      </c>
      <c r="X4491" s="12">
        <v>138.33557235024099</v>
      </c>
      <c r="Y4491" s="12">
        <v>2700</v>
      </c>
      <c r="Z4491" s="12">
        <v>5.5</v>
      </c>
      <c r="AA4491" s="12" t="s">
        <v>1268</v>
      </c>
      <c r="AB4491" s="12"/>
    </row>
    <row r="4492" spans="1:28" x14ac:dyDescent="0.3">
      <c r="A4492" s="12" t="s">
        <v>6432</v>
      </c>
      <c r="B4492" s="12" t="s">
        <v>217</v>
      </c>
      <c r="C4492" s="12" t="s">
        <v>700</v>
      </c>
      <c r="D4492" s="12" t="s">
        <v>235</v>
      </c>
      <c r="E4492" s="12" t="s">
        <v>1886</v>
      </c>
      <c r="F4492" s="12" t="s">
        <v>32</v>
      </c>
      <c r="G4492" s="12" t="s">
        <v>32</v>
      </c>
      <c r="H4492" s="12" t="b">
        <v>1</v>
      </c>
      <c r="I4492" s="12" t="b">
        <v>1</v>
      </c>
      <c r="J4492" s="12" t="b">
        <v>0</v>
      </c>
      <c r="K4492" s="12" t="b">
        <v>0</v>
      </c>
      <c r="L4492" s="12">
        <v>394.15</v>
      </c>
      <c r="M4492" s="12">
        <v>278.14999999999998</v>
      </c>
      <c r="N4492" s="12">
        <v>3300</v>
      </c>
      <c r="O4492" s="12">
        <v>800</v>
      </c>
      <c r="P4492" s="12">
        <v>0.85</v>
      </c>
      <c r="Q4492" s="12">
        <v>0.9</v>
      </c>
      <c r="R4492" s="12">
        <v>0.8</v>
      </c>
      <c r="S4492" s="12">
        <v>0.85</v>
      </c>
      <c r="T4492" s="12">
        <v>0.75</v>
      </c>
      <c r="U4492" s="12">
        <v>0.95</v>
      </c>
      <c r="V4492" s="12">
        <v>283.14999999999998</v>
      </c>
      <c r="W4492" s="12">
        <v>11.86815158453672</v>
      </c>
      <c r="X4492" s="12">
        <v>116.9519607280282</v>
      </c>
      <c r="Y4492" s="12">
        <v>2500</v>
      </c>
      <c r="Z4492" s="12">
        <v>4.125</v>
      </c>
      <c r="AA4492" s="12"/>
      <c r="AB4492" s="12"/>
    </row>
    <row r="4493" spans="1:28" x14ac:dyDescent="0.3">
      <c r="A4493" s="12" t="s">
        <v>6433</v>
      </c>
      <c r="B4493" s="12" t="s">
        <v>217</v>
      </c>
      <c r="C4493" s="12" t="s">
        <v>700</v>
      </c>
      <c r="D4493" s="12" t="s">
        <v>235</v>
      </c>
      <c r="E4493" s="12" t="s">
        <v>1886</v>
      </c>
      <c r="F4493" s="12" t="s">
        <v>32</v>
      </c>
      <c r="G4493" s="12" t="s">
        <v>32</v>
      </c>
      <c r="H4493" s="12" t="b">
        <v>1</v>
      </c>
      <c r="I4493" s="12" t="b">
        <v>1</v>
      </c>
      <c r="J4493" s="12" t="b">
        <v>0</v>
      </c>
      <c r="K4493" s="12" t="b">
        <v>0</v>
      </c>
      <c r="L4493" s="12">
        <v>394.15</v>
      </c>
      <c r="M4493" s="12">
        <v>278.14999999999998</v>
      </c>
      <c r="N4493" s="12">
        <v>3300</v>
      </c>
      <c r="O4493" s="12">
        <v>1000</v>
      </c>
      <c r="P4493" s="12">
        <v>0.85</v>
      </c>
      <c r="Q4493" s="12">
        <v>0.9</v>
      </c>
      <c r="R4493" s="12">
        <v>0.8</v>
      </c>
      <c r="S4493" s="12">
        <v>0.85</v>
      </c>
      <c r="T4493" s="12">
        <v>0.75</v>
      </c>
      <c r="U4493" s="12">
        <v>0.95</v>
      </c>
      <c r="V4493" s="12">
        <v>283.14999999999998</v>
      </c>
      <c r="W4493" s="12">
        <v>10.13135013936391</v>
      </c>
      <c r="X4493" s="12">
        <v>99.794446796739024</v>
      </c>
      <c r="Y4493" s="12">
        <v>2300</v>
      </c>
      <c r="Z4493" s="12">
        <v>3.3</v>
      </c>
      <c r="AA4493" s="12"/>
      <c r="AB4493" s="12"/>
    </row>
    <row r="4494" spans="1:28" x14ac:dyDescent="0.3">
      <c r="A4494" s="12" t="s">
        <v>6434</v>
      </c>
      <c r="B4494" s="12" t="s">
        <v>217</v>
      </c>
      <c r="C4494" s="12" t="s">
        <v>700</v>
      </c>
      <c r="D4494" s="12" t="s">
        <v>235</v>
      </c>
      <c r="E4494" s="12" t="s">
        <v>1886</v>
      </c>
      <c r="F4494" s="12" t="s">
        <v>32</v>
      </c>
      <c r="G4494" s="12" t="s">
        <v>32</v>
      </c>
      <c r="H4494" s="12" t="b">
        <v>1</v>
      </c>
      <c r="I4494" s="12" t="b">
        <v>1</v>
      </c>
      <c r="J4494" s="12" t="b">
        <v>0</v>
      </c>
      <c r="K4494" s="12" t="b">
        <v>0</v>
      </c>
      <c r="L4494" s="12">
        <v>394.15</v>
      </c>
      <c r="M4494" s="12">
        <v>278.14999999999998</v>
      </c>
      <c r="N4494" s="12">
        <v>3300</v>
      </c>
      <c r="O4494" s="12">
        <v>1100</v>
      </c>
      <c r="P4494" s="12">
        <v>0.85</v>
      </c>
      <c r="Q4494" s="12">
        <v>0.9</v>
      </c>
      <c r="R4494" s="12">
        <v>0.8</v>
      </c>
      <c r="S4494" s="12">
        <v>0.85</v>
      </c>
      <c r="T4494" s="12">
        <v>0.75</v>
      </c>
      <c r="U4494" s="12">
        <v>0.95</v>
      </c>
      <c r="V4494" s="12">
        <v>283.14999999999998</v>
      </c>
      <c r="W4494" s="12">
        <v>9.3731321071451301</v>
      </c>
      <c r="X4494" s="12">
        <v>92.309565205620544</v>
      </c>
      <c r="Y4494" s="12">
        <v>2200</v>
      </c>
      <c r="Z4494" s="12">
        <v>3</v>
      </c>
      <c r="AA4494" s="12"/>
      <c r="AB4494" s="12"/>
    </row>
    <row r="4495" spans="1:28" x14ac:dyDescent="0.3">
      <c r="A4495" s="12" t="s">
        <v>6435</v>
      </c>
      <c r="B4495" s="12" t="s">
        <v>217</v>
      </c>
      <c r="C4495" s="12" t="s">
        <v>700</v>
      </c>
      <c r="D4495" s="12" t="s">
        <v>235</v>
      </c>
      <c r="E4495" s="12" t="s">
        <v>1886</v>
      </c>
      <c r="F4495" s="12" t="s">
        <v>32</v>
      </c>
      <c r="G4495" s="12" t="s">
        <v>32</v>
      </c>
      <c r="H4495" s="12" t="b">
        <v>1</v>
      </c>
      <c r="I4495" s="12" t="b">
        <v>1</v>
      </c>
      <c r="J4495" s="12" t="b">
        <v>0</v>
      </c>
      <c r="K4495" s="12" t="b">
        <v>0</v>
      </c>
      <c r="L4495" s="12">
        <v>394.15</v>
      </c>
      <c r="M4495" s="12">
        <v>278.14999999999998</v>
      </c>
      <c r="N4495" s="12">
        <v>3300</v>
      </c>
      <c r="O4495" s="12">
        <v>1200</v>
      </c>
      <c r="P4495" s="12">
        <v>0.85</v>
      </c>
      <c r="Q4495" s="12">
        <v>0.9</v>
      </c>
      <c r="R4495" s="12">
        <v>0.8</v>
      </c>
      <c r="S4495" s="12">
        <v>0.85</v>
      </c>
      <c r="T4495" s="12">
        <v>0.75</v>
      </c>
      <c r="U4495" s="12">
        <v>0.95</v>
      </c>
      <c r="V4495" s="12">
        <v>283.14999999999998</v>
      </c>
      <c r="W4495" s="12">
        <v>8.6723354078139998</v>
      </c>
      <c r="X4495" s="12">
        <v>85.394338245798963</v>
      </c>
      <c r="Y4495" s="12">
        <v>2100</v>
      </c>
      <c r="Z4495" s="12">
        <v>2.75</v>
      </c>
      <c r="AA4495" s="12"/>
      <c r="AB4495" s="12"/>
    </row>
    <row r="4496" spans="1:28" x14ac:dyDescent="0.3">
      <c r="A4496" s="12" t="s">
        <v>6436</v>
      </c>
      <c r="B4496" s="12" t="s">
        <v>217</v>
      </c>
      <c r="C4496" s="12" t="s">
        <v>700</v>
      </c>
      <c r="D4496" s="12" t="s">
        <v>235</v>
      </c>
      <c r="E4496" s="12" t="s">
        <v>1886</v>
      </c>
      <c r="F4496" s="12" t="s">
        <v>1861</v>
      </c>
      <c r="G4496" s="12" t="s">
        <v>1861</v>
      </c>
      <c r="H4496" s="12" t="b">
        <v>1</v>
      </c>
      <c r="I4496" s="12" t="b">
        <v>0</v>
      </c>
      <c r="J4496" s="12" t="b">
        <v>0</v>
      </c>
      <c r="K4496" s="12" t="b">
        <v>0</v>
      </c>
      <c r="L4496" s="12">
        <v>394.15</v>
      </c>
      <c r="M4496" s="12">
        <v>278.14999999999998</v>
      </c>
      <c r="N4496" s="12">
        <v>3300</v>
      </c>
      <c r="O4496" s="12">
        <v>600</v>
      </c>
      <c r="P4496" s="12">
        <v>0.88</v>
      </c>
      <c r="Q4496" s="12">
        <v>0.9</v>
      </c>
      <c r="R4496" s="12">
        <v>0.8</v>
      </c>
      <c r="S4496" s="12">
        <v>0.85</v>
      </c>
      <c r="T4496" s="12">
        <v>0.75</v>
      </c>
      <c r="U4496" s="12">
        <v>0.95</v>
      </c>
      <c r="V4496" s="12">
        <v>283.14999999999998</v>
      </c>
      <c r="W4496" s="12">
        <v>14.265229860083309</v>
      </c>
      <c r="X4496" s="12">
        <v>149.36096097398129</v>
      </c>
      <c r="Y4496" s="12">
        <v>2700</v>
      </c>
      <c r="Z4496" s="12">
        <v>5.5</v>
      </c>
      <c r="AA4496" s="12" t="s">
        <v>1268</v>
      </c>
      <c r="AB4496" s="12"/>
    </row>
    <row r="4497" spans="1:28" x14ac:dyDescent="0.3">
      <c r="A4497" s="12" t="s">
        <v>6437</v>
      </c>
      <c r="B4497" s="12" t="s">
        <v>217</v>
      </c>
      <c r="C4497" s="12" t="s">
        <v>700</v>
      </c>
      <c r="D4497" s="12" t="s">
        <v>235</v>
      </c>
      <c r="E4497" s="12" t="s">
        <v>1886</v>
      </c>
      <c r="F4497" s="12" t="s">
        <v>1861</v>
      </c>
      <c r="G4497" s="12" t="s">
        <v>1861</v>
      </c>
      <c r="H4497" s="12" t="b">
        <v>1</v>
      </c>
      <c r="I4497" s="12" t="b">
        <v>0</v>
      </c>
      <c r="J4497" s="12" t="b">
        <v>0</v>
      </c>
      <c r="K4497" s="12" t="b">
        <v>0</v>
      </c>
      <c r="L4497" s="12">
        <v>394.15</v>
      </c>
      <c r="M4497" s="12">
        <v>278.14999999999998</v>
      </c>
      <c r="N4497" s="12">
        <v>3300</v>
      </c>
      <c r="O4497" s="12">
        <v>700</v>
      </c>
      <c r="P4497" s="12">
        <v>0.88</v>
      </c>
      <c r="Q4497" s="12">
        <v>0.9</v>
      </c>
      <c r="R4497" s="12">
        <v>0.8</v>
      </c>
      <c r="S4497" s="12">
        <v>0.85</v>
      </c>
      <c r="T4497" s="12">
        <v>0.75</v>
      </c>
      <c r="U4497" s="12">
        <v>0.95</v>
      </c>
      <c r="V4497" s="12">
        <v>283.14999999999998</v>
      </c>
      <c r="W4497" s="12">
        <v>13.10200731858416</v>
      </c>
      <c r="X4497" s="12">
        <v>137.1404695660498</v>
      </c>
      <c r="Y4497" s="12">
        <v>2600</v>
      </c>
      <c r="Z4497" s="12">
        <v>4.7142857142857144</v>
      </c>
      <c r="AA4497" s="12" t="s">
        <v>1268</v>
      </c>
      <c r="AB4497" s="12"/>
    </row>
    <row r="4498" spans="1:28" x14ac:dyDescent="0.3">
      <c r="A4498" s="12" t="s">
        <v>6438</v>
      </c>
      <c r="B4498" s="12" t="s">
        <v>217</v>
      </c>
      <c r="C4498" s="12" t="s">
        <v>700</v>
      </c>
      <c r="D4498" s="12" t="s">
        <v>235</v>
      </c>
      <c r="E4498" s="12" t="s">
        <v>1886</v>
      </c>
      <c r="F4498" s="12" t="s">
        <v>1861</v>
      </c>
      <c r="G4498" s="12" t="s">
        <v>1861</v>
      </c>
      <c r="H4498" s="12" t="b">
        <v>1</v>
      </c>
      <c r="I4498" s="12" t="b">
        <v>0</v>
      </c>
      <c r="J4498" s="12" t="b">
        <v>0</v>
      </c>
      <c r="K4498" s="12" t="b">
        <v>0</v>
      </c>
      <c r="L4498" s="12">
        <v>394.15</v>
      </c>
      <c r="M4498" s="12">
        <v>278.14999999999998</v>
      </c>
      <c r="N4498" s="12">
        <v>3300</v>
      </c>
      <c r="O4498" s="12">
        <v>500</v>
      </c>
      <c r="P4498" s="12">
        <v>0.88</v>
      </c>
      <c r="Q4498" s="12">
        <v>0.9</v>
      </c>
      <c r="R4498" s="12">
        <v>0.8</v>
      </c>
      <c r="S4498" s="12">
        <v>0.85</v>
      </c>
      <c r="T4498" s="12">
        <v>0.75</v>
      </c>
      <c r="U4498" s="12">
        <v>0.95</v>
      </c>
      <c r="V4498" s="12">
        <v>283.14999999999998</v>
      </c>
      <c r="W4498" s="12">
        <v>15.574035027206961</v>
      </c>
      <c r="X4498" s="12">
        <v>163.07529835755159</v>
      </c>
      <c r="Y4498" s="12">
        <v>2800</v>
      </c>
      <c r="Z4498" s="12">
        <v>6.6</v>
      </c>
      <c r="AA4498" s="12" t="s">
        <v>1268</v>
      </c>
      <c r="AB4498" s="12"/>
    </row>
    <row r="4499" spans="1:28" x14ac:dyDescent="0.3">
      <c r="A4499" s="12" t="s">
        <v>6439</v>
      </c>
      <c r="B4499" s="12" t="s">
        <v>217</v>
      </c>
      <c r="C4499" s="12" t="s">
        <v>700</v>
      </c>
      <c r="D4499" s="12" t="s">
        <v>235</v>
      </c>
      <c r="E4499" s="12" t="s">
        <v>1886</v>
      </c>
      <c r="F4499" s="12" t="s">
        <v>32</v>
      </c>
      <c r="G4499" s="12" t="s">
        <v>32</v>
      </c>
      <c r="H4499" s="12" t="b">
        <v>1</v>
      </c>
      <c r="I4499" s="12" t="b">
        <v>1</v>
      </c>
      <c r="J4499" s="12" t="b">
        <v>0</v>
      </c>
      <c r="K4499" s="12" t="b">
        <v>0</v>
      </c>
      <c r="L4499" s="12">
        <v>394.15</v>
      </c>
      <c r="M4499" s="12">
        <v>278.14999999999998</v>
      </c>
      <c r="N4499" s="12">
        <v>3300</v>
      </c>
      <c r="O4499" s="12">
        <v>800</v>
      </c>
      <c r="P4499" s="12">
        <v>0.88</v>
      </c>
      <c r="Q4499" s="12">
        <v>0.9</v>
      </c>
      <c r="R4499" s="12">
        <v>0.8</v>
      </c>
      <c r="S4499" s="12">
        <v>0.85</v>
      </c>
      <c r="T4499" s="12">
        <v>0.75</v>
      </c>
      <c r="U4499" s="12">
        <v>0.95</v>
      </c>
      <c r="V4499" s="12">
        <v>283.14999999999998</v>
      </c>
      <c r="W4499" s="12">
        <v>12.07173880328612</v>
      </c>
      <c r="X4499" s="12">
        <v>126.3208858957376</v>
      </c>
      <c r="Y4499" s="12">
        <v>2500</v>
      </c>
      <c r="Z4499" s="12">
        <v>4.125</v>
      </c>
      <c r="AA4499" s="12"/>
      <c r="AB4499" s="12"/>
    </row>
    <row r="4500" spans="1:28" x14ac:dyDescent="0.3">
      <c r="A4500" s="12" t="s">
        <v>6440</v>
      </c>
      <c r="B4500" s="12" t="s">
        <v>217</v>
      </c>
      <c r="C4500" s="12" t="s">
        <v>700</v>
      </c>
      <c r="D4500" s="12" t="s">
        <v>235</v>
      </c>
      <c r="E4500" s="12" t="s">
        <v>1886</v>
      </c>
      <c r="F4500" s="12" t="s">
        <v>32</v>
      </c>
      <c r="G4500" s="12" t="s">
        <v>32</v>
      </c>
      <c r="H4500" s="12" t="b">
        <v>1</v>
      </c>
      <c r="I4500" s="12" t="b">
        <v>1</v>
      </c>
      <c r="J4500" s="12" t="b">
        <v>0</v>
      </c>
      <c r="K4500" s="12" t="b">
        <v>0</v>
      </c>
      <c r="L4500" s="12">
        <v>394.15</v>
      </c>
      <c r="M4500" s="12">
        <v>278.14999999999998</v>
      </c>
      <c r="N4500" s="12">
        <v>3300</v>
      </c>
      <c r="O4500" s="12">
        <v>900</v>
      </c>
      <c r="P4500" s="12">
        <v>0.88</v>
      </c>
      <c r="Q4500" s="12">
        <v>0.9</v>
      </c>
      <c r="R4500" s="12">
        <v>0.8</v>
      </c>
      <c r="S4500" s="12">
        <v>0.85</v>
      </c>
      <c r="T4500" s="12">
        <v>0.75</v>
      </c>
      <c r="U4500" s="12">
        <v>0.95</v>
      </c>
      <c r="V4500" s="12">
        <v>283.14999999999998</v>
      </c>
      <c r="W4500" s="12">
        <v>11.14746596445409</v>
      </c>
      <c r="X4500" s="12">
        <v>116.6204998417806</v>
      </c>
      <c r="Y4500" s="12">
        <v>2400</v>
      </c>
      <c r="Z4500" s="12">
        <v>3.666666666666667</v>
      </c>
      <c r="AA4500" s="12"/>
      <c r="AB4500" s="12"/>
    </row>
    <row r="4501" spans="1:28" x14ac:dyDescent="0.3">
      <c r="A4501" s="12" t="s">
        <v>6441</v>
      </c>
      <c r="B4501" s="12" t="s">
        <v>217</v>
      </c>
      <c r="C4501" s="12" t="s">
        <v>700</v>
      </c>
      <c r="D4501" s="12" t="s">
        <v>235</v>
      </c>
      <c r="E4501" s="12" t="s">
        <v>1886</v>
      </c>
      <c r="F4501" s="12" t="s">
        <v>32</v>
      </c>
      <c r="G4501" s="12" t="s">
        <v>32</v>
      </c>
      <c r="H4501" s="12" t="b">
        <v>1</v>
      </c>
      <c r="I4501" s="12" t="b">
        <v>1</v>
      </c>
      <c r="J4501" s="12" t="b">
        <v>0</v>
      </c>
      <c r="K4501" s="12" t="b">
        <v>0</v>
      </c>
      <c r="L4501" s="12">
        <v>394.15</v>
      </c>
      <c r="M4501" s="12">
        <v>278.14999999999998</v>
      </c>
      <c r="N4501" s="12">
        <v>3300</v>
      </c>
      <c r="O4501" s="12">
        <v>1000</v>
      </c>
      <c r="P4501" s="12">
        <v>0.88</v>
      </c>
      <c r="Q4501" s="12">
        <v>0.9</v>
      </c>
      <c r="R4501" s="12">
        <v>0.8</v>
      </c>
      <c r="S4501" s="12">
        <v>0.85</v>
      </c>
      <c r="T4501" s="12">
        <v>0.75</v>
      </c>
      <c r="U4501" s="12">
        <v>0.95</v>
      </c>
      <c r="V4501" s="12">
        <v>283.14999999999998</v>
      </c>
      <c r="W4501" s="12">
        <v>10.30801786612701</v>
      </c>
      <c r="X4501" s="12">
        <v>107.8152052213274</v>
      </c>
      <c r="Y4501" s="12">
        <v>2300</v>
      </c>
      <c r="Z4501" s="12">
        <v>3.3</v>
      </c>
      <c r="AA4501" s="12"/>
      <c r="AB4501" s="12"/>
    </row>
    <row r="4502" spans="1:28" x14ac:dyDescent="0.3">
      <c r="A4502" s="12" t="s">
        <v>6442</v>
      </c>
      <c r="B4502" s="12" t="s">
        <v>217</v>
      </c>
      <c r="C4502" s="12" t="s">
        <v>700</v>
      </c>
      <c r="D4502" s="12" t="s">
        <v>235</v>
      </c>
      <c r="E4502" s="12" t="s">
        <v>1886</v>
      </c>
      <c r="F4502" s="12" t="s">
        <v>32</v>
      </c>
      <c r="G4502" s="12" t="s">
        <v>32</v>
      </c>
      <c r="H4502" s="12" t="b">
        <v>1</v>
      </c>
      <c r="I4502" s="12" t="b">
        <v>1</v>
      </c>
      <c r="J4502" s="12" t="b">
        <v>0</v>
      </c>
      <c r="K4502" s="12" t="b">
        <v>0</v>
      </c>
      <c r="L4502" s="12">
        <v>394.15</v>
      </c>
      <c r="M4502" s="12">
        <v>278.14999999999998</v>
      </c>
      <c r="N4502" s="12">
        <v>3300</v>
      </c>
      <c r="O4502" s="12">
        <v>1100</v>
      </c>
      <c r="P4502" s="12">
        <v>0.88</v>
      </c>
      <c r="Q4502" s="12">
        <v>0.9</v>
      </c>
      <c r="R4502" s="12">
        <v>0.8</v>
      </c>
      <c r="S4502" s="12">
        <v>0.85</v>
      </c>
      <c r="T4502" s="12">
        <v>0.75</v>
      </c>
      <c r="U4502" s="12">
        <v>0.95</v>
      </c>
      <c r="V4502" s="12">
        <v>283.14999999999998</v>
      </c>
      <c r="W4502" s="12">
        <v>9.5381572290133203</v>
      </c>
      <c r="X4502" s="12">
        <v>99.743785847699399</v>
      </c>
      <c r="Y4502" s="12">
        <v>2200</v>
      </c>
      <c r="Z4502" s="12">
        <v>3</v>
      </c>
      <c r="AA4502" s="12"/>
      <c r="AB4502" s="12"/>
    </row>
    <row r="4503" spans="1:28" x14ac:dyDescent="0.3">
      <c r="A4503" s="12" t="s">
        <v>6443</v>
      </c>
      <c r="B4503" s="12" t="s">
        <v>217</v>
      </c>
      <c r="C4503" s="12" t="s">
        <v>700</v>
      </c>
      <c r="D4503" s="12" t="s">
        <v>235</v>
      </c>
      <c r="E4503" s="12" t="s">
        <v>1886</v>
      </c>
      <c r="F4503" s="12" t="s">
        <v>1861</v>
      </c>
      <c r="G4503" s="12" t="s">
        <v>1861</v>
      </c>
      <c r="H4503" s="12" t="b">
        <v>1</v>
      </c>
      <c r="I4503" s="12" t="b">
        <v>0</v>
      </c>
      <c r="J4503" s="12" t="b">
        <v>0</v>
      </c>
      <c r="K4503" s="12" t="b">
        <v>0</v>
      </c>
      <c r="L4503" s="12">
        <v>394.15</v>
      </c>
      <c r="M4503" s="12">
        <v>278.14999999999998</v>
      </c>
      <c r="N4503" s="12">
        <v>3300</v>
      </c>
      <c r="O4503" s="12">
        <v>500</v>
      </c>
      <c r="P4503" s="12">
        <v>0.91</v>
      </c>
      <c r="Q4503" s="12">
        <v>0.9</v>
      </c>
      <c r="R4503" s="12">
        <v>0.8</v>
      </c>
      <c r="S4503" s="12">
        <v>0.85</v>
      </c>
      <c r="T4503" s="12">
        <v>0.75</v>
      </c>
      <c r="U4503" s="12">
        <v>0.95</v>
      </c>
      <c r="V4503" s="12">
        <v>283.14999999999998</v>
      </c>
      <c r="W4503" s="12">
        <v>15.75466659898578</v>
      </c>
      <c r="X4503" s="12">
        <v>174.68712355966861</v>
      </c>
      <c r="Y4503" s="12">
        <v>2800</v>
      </c>
      <c r="Z4503" s="12">
        <v>6.6</v>
      </c>
      <c r="AA4503" s="12" t="s">
        <v>1268</v>
      </c>
      <c r="AB4503" s="12"/>
    </row>
    <row r="4504" spans="1:28" x14ac:dyDescent="0.3">
      <c r="A4504" s="12" t="s">
        <v>6444</v>
      </c>
      <c r="B4504" s="12" t="s">
        <v>217</v>
      </c>
      <c r="C4504" s="12" t="s">
        <v>700</v>
      </c>
      <c r="D4504" s="12" t="s">
        <v>235</v>
      </c>
      <c r="E4504" s="12" t="s">
        <v>1886</v>
      </c>
      <c r="F4504" s="12" t="s">
        <v>1861</v>
      </c>
      <c r="G4504" s="12" t="s">
        <v>1861</v>
      </c>
      <c r="H4504" s="12" t="b">
        <v>1</v>
      </c>
      <c r="I4504" s="12" t="b">
        <v>0</v>
      </c>
      <c r="J4504" s="12" t="b">
        <v>0</v>
      </c>
      <c r="K4504" s="12" t="b">
        <v>0</v>
      </c>
      <c r="L4504" s="12">
        <v>394.15</v>
      </c>
      <c r="M4504" s="12">
        <v>278.14999999999998</v>
      </c>
      <c r="N4504" s="12">
        <v>3300</v>
      </c>
      <c r="O4504" s="12">
        <v>600</v>
      </c>
      <c r="P4504" s="12">
        <v>0.91</v>
      </c>
      <c r="Q4504" s="12">
        <v>0.9</v>
      </c>
      <c r="R4504" s="12">
        <v>0.8</v>
      </c>
      <c r="S4504" s="12">
        <v>0.85</v>
      </c>
      <c r="T4504" s="12">
        <v>0.75</v>
      </c>
      <c r="U4504" s="12">
        <v>0.95</v>
      </c>
      <c r="V4504" s="12">
        <v>283.14999999999998</v>
      </c>
      <c r="W4504" s="12">
        <v>14.45823476427384</v>
      </c>
      <c r="X4504" s="12">
        <v>160.0548463852235</v>
      </c>
      <c r="Y4504" s="12">
        <v>2700</v>
      </c>
      <c r="Z4504" s="12">
        <v>5.5</v>
      </c>
      <c r="AA4504" s="12" t="s">
        <v>1268</v>
      </c>
      <c r="AB4504" s="12"/>
    </row>
    <row r="4505" spans="1:28" x14ac:dyDescent="0.3">
      <c r="A4505" s="12" t="s">
        <v>6445</v>
      </c>
      <c r="B4505" s="12" t="s">
        <v>217</v>
      </c>
      <c r="C4505" s="12" t="s">
        <v>700</v>
      </c>
      <c r="D4505" s="12" t="s">
        <v>235</v>
      </c>
      <c r="E4505" s="12" t="s">
        <v>1886</v>
      </c>
      <c r="F4505" s="12" t="s">
        <v>1861</v>
      </c>
      <c r="G4505" s="12" t="s">
        <v>1861</v>
      </c>
      <c r="H4505" s="12" t="b">
        <v>1</v>
      </c>
      <c r="I4505" s="12" t="b">
        <v>0</v>
      </c>
      <c r="J4505" s="12" t="b">
        <v>0</v>
      </c>
      <c r="K4505" s="12" t="b">
        <v>0</v>
      </c>
      <c r="L4505" s="12">
        <v>394.15</v>
      </c>
      <c r="M4505" s="12">
        <v>278.14999999999998</v>
      </c>
      <c r="N4505" s="12">
        <v>3300</v>
      </c>
      <c r="O4505" s="12">
        <v>700</v>
      </c>
      <c r="P4505" s="12">
        <v>0.91</v>
      </c>
      <c r="Q4505" s="12">
        <v>0.9</v>
      </c>
      <c r="R4505" s="12">
        <v>0.8</v>
      </c>
      <c r="S4505" s="12">
        <v>0.85</v>
      </c>
      <c r="T4505" s="12">
        <v>0.75</v>
      </c>
      <c r="U4505" s="12">
        <v>0.95</v>
      </c>
      <c r="V4505" s="12">
        <v>283.14999999999998</v>
      </c>
      <c r="W4505" s="12">
        <v>13.28503491604952</v>
      </c>
      <c r="X4505" s="12">
        <v>147.02831106630339</v>
      </c>
      <c r="Y4505" s="12">
        <v>2600</v>
      </c>
      <c r="Z4505" s="12">
        <v>4.7142857142857144</v>
      </c>
      <c r="AA4505" s="12" t="s">
        <v>1268</v>
      </c>
      <c r="AB4505" s="12"/>
    </row>
    <row r="4506" spans="1:28" x14ac:dyDescent="0.3">
      <c r="A4506" s="12" t="s">
        <v>6446</v>
      </c>
      <c r="B4506" s="12" t="s">
        <v>217</v>
      </c>
      <c r="C4506" s="12" t="s">
        <v>700</v>
      </c>
      <c r="D4506" s="12" t="s">
        <v>235</v>
      </c>
      <c r="E4506" s="12" t="s">
        <v>1886</v>
      </c>
      <c r="F4506" s="12" t="s">
        <v>32</v>
      </c>
      <c r="G4506" s="12" t="s">
        <v>32</v>
      </c>
      <c r="H4506" s="12" t="b">
        <v>1</v>
      </c>
      <c r="I4506" s="12" t="b">
        <v>1</v>
      </c>
      <c r="J4506" s="12" t="b">
        <v>0</v>
      </c>
      <c r="K4506" s="12" t="b">
        <v>0</v>
      </c>
      <c r="L4506" s="12">
        <v>394.15</v>
      </c>
      <c r="M4506" s="12">
        <v>278.14999999999998</v>
      </c>
      <c r="N4506" s="12">
        <v>3300</v>
      </c>
      <c r="O4506" s="12">
        <v>1200</v>
      </c>
      <c r="P4506" s="12">
        <v>0.88</v>
      </c>
      <c r="Q4506" s="12">
        <v>0.9</v>
      </c>
      <c r="R4506" s="12">
        <v>0.8</v>
      </c>
      <c r="S4506" s="12">
        <v>0.85</v>
      </c>
      <c r="T4506" s="12">
        <v>0.75</v>
      </c>
      <c r="U4506" s="12">
        <v>0.95</v>
      </c>
      <c r="V4506" s="12">
        <v>283.14999999999998</v>
      </c>
      <c r="W4506" s="12">
        <v>8.8265503360677595</v>
      </c>
      <c r="X4506" s="12">
        <v>92.286378842453317</v>
      </c>
      <c r="Y4506" s="12">
        <v>2100</v>
      </c>
      <c r="Z4506" s="12">
        <v>2.75</v>
      </c>
      <c r="AA4506" s="12"/>
      <c r="AB4506" s="12"/>
    </row>
    <row r="4507" spans="1:28" x14ac:dyDescent="0.3">
      <c r="A4507" s="12" t="s">
        <v>6447</v>
      </c>
      <c r="B4507" s="12" t="s">
        <v>217</v>
      </c>
      <c r="C4507" s="12" t="s">
        <v>700</v>
      </c>
      <c r="D4507" s="12" t="s">
        <v>235</v>
      </c>
      <c r="E4507" s="12" t="s">
        <v>1886</v>
      </c>
      <c r="F4507" s="12" t="s">
        <v>32</v>
      </c>
      <c r="G4507" s="12" t="s">
        <v>32</v>
      </c>
      <c r="H4507" s="12" t="b">
        <v>1</v>
      </c>
      <c r="I4507" s="12" t="b">
        <v>1</v>
      </c>
      <c r="J4507" s="12" t="b">
        <v>0</v>
      </c>
      <c r="K4507" s="12" t="b">
        <v>0</v>
      </c>
      <c r="L4507" s="12">
        <v>394.15</v>
      </c>
      <c r="M4507" s="12">
        <v>278.14999999999998</v>
      </c>
      <c r="N4507" s="12">
        <v>3300</v>
      </c>
      <c r="O4507" s="12">
        <v>900</v>
      </c>
      <c r="P4507" s="12">
        <v>0.91</v>
      </c>
      <c r="Q4507" s="12">
        <v>0.9</v>
      </c>
      <c r="R4507" s="12">
        <v>0.8</v>
      </c>
      <c r="S4507" s="12">
        <v>0.85</v>
      </c>
      <c r="T4507" s="12">
        <v>0.75</v>
      </c>
      <c r="U4507" s="12">
        <v>0.95</v>
      </c>
      <c r="V4507" s="12">
        <v>283.14999999999998</v>
      </c>
      <c r="W4507" s="12">
        <v>11.303789927614741</v>
      </c>
      <c r="X4507" s="12">
        <v>125.0305435972308</v>
      </c>
      <c r="Y4507" s="12">
        <v>2400</v>
      </c>
      <c r="Z4507" s="12">
        <v>3.666666666666667</v>
      </c>
      <c r="AA4507" s="12"/>
      <c r="AB4507" s="12"/>
    </row>
    <row r="4508" spans="1:28" x14ac:dyDescent="0.3">
      <c r="A4508" s="12" t="s">
        <v>6448</v>
      </c>
      <c r="B4508" s="12" t="s">
        <v>217</v>
      </c>
      <c r="C4508" s="12" t="s">
        <v>700</v>
      </c>
      <c r="D4508" s="12" t="s">
        <v>235</v>
      </c>
      <c r="E4508" s="12" t="s">
        <v>1886</v>
      </c>
      <c r="F4508" s="12" t="s">
        <v>32</v>
      </c>
      <c r="G4508" s="12" t="s">
        <v>32</v>
      </c>
      <c r="H4508" s="12" t="b">
        <v>1</v>
      </c>
      <c r="I4508" s="12" t="b">
        <v>1</v>
      </c>
      <c r="J4508" s="12" t="b">
        <v>0</v>
      </c>
      <c r="K4508" s="12" t="b">
        <v>0</v>
      </c>
      <c r="L4508" s="12">
        <v>394.15</v>
      </c>
      <c r="M4508" s="12">
        <v>278.14999999999998</v>
      </c>
      <c r="N4508" s="12">
        <v>3300</v>
      </c>
      <c r="O4508" s="12">
        <v>800</v>
      </c>
      <c r="P4508" s="12">
        <v>0.91</v>
      </c>
      <c r="Q4508" s="12">
        <v>0.9</v>
      </c>
      <c r="R4508" s="12">
        <v>0.8</v>
      </c>
      <c r="S4508" s="12">
        <v>0.85</v>
      </c>
      <c r="T4508" s="12">
        <v>0.75</v>
      </c>
      <c r="U4508" s="12">
        <v>0.95</v>
      </c>
      <c r="V4508" s="12">
        <v>283.14999999999998</v>
      </c>
      <c r="W4508" s="12">
        <v>12.240417928812199</v>
      </c>
      <c r="X4508" s="12">
        <v>135.42625442934661</v>
      </c>
      <c r="Y4508" s="12">
        <v>2500</v>
      </c>
      <c r="Z4508" s="12">
        <v>4.125</v>
      </c>
      <c r="AA4508" s="12"/>
      <c r="AB4508" s="12"/>
    </row>
    <row r="4509" spans="1:28" x14ac:dyDescent="0.3">
      <c r="A4509" s="12" t="s">
        <v>6449</v>
      </c>
      <c r="B4509" s="12" t="s">
        <v>217</v>
      </c>
      <c r="C4509" s="12" t="s">
        <v>700</v>
      </c>
      <c r="D4509" s="12" t="s">
        <v>235</v>
      </c>
      <c r="E4509" s="12" t="s">
        <v>1886</v>
      </c>
      <c r="F4509" s="12" t="s">
        <v>32</v>
      </c>
      <c r="G4509" s="12" t="s">
        <v>32</v>
      </c>
      <c r="H4509" s="12" t="b">
        <v>1</v>
      </c>
      <c r="I4509" s="12" t="b">
        <v>1</v>
      </c>
      <c r="J4509" s="12" t="b">
        <v>0</v>
      </c>
      <c r="K4509" s="12" t="b">
        <v>0</v>
      </c>
      <c r="L4509" s="12">
        <v>394.15</v>
      </c>
      <c r="M4509" s="12">
        <v>278.14999999999998</v>
      </c>
      <c r="N4509" s="12">
        <v>3300</v>
      </c>
      <c r="O4509" s="12">
        <v>1000</v>
      </c>
      <c r="P4509" s="12">
        <v>0.91</v>
      </c>
      <c r="Q4509" s="12">
        <v>0.9</v>
      </c>
      <c r="R4509" s="12">
        <v>0.8</v>
      </c>
      <c r="S4509" s="12">
        <v>0.85</v>
      </c>
      <c r="T4509" s="12">
        <v>0.75</v>
      </c>
      <c r="U4509" s="12">
        <v>0.95</v>
      </c>
      <c r="V4509" s="12">
        <v>283.14999999999998</v>
      </c>
      <c r="W4509" s="12">
        <v>10.453488806577329</v>
      </c>
      <c r="X4509" s="12">
        <v>115.598542500837</v>
      </c>
      <c r="Y4509" s="12">
        <v>2300</v>
      </c>
      <c r="Z4509" s="12">
        <v>3.3</v>
      </c>
      <c r="AA4509" s="12"/>
      <c r="AB4509" s="12"/>
    </row>
    <row r="4510" spans="1:28" x14ac:dyDescent="0.3">
      <c r="A4510" s="12" t="s">
        <v>6450</v>
      </c>
      <c r="B4510" s="12" t="s">
        <v>217</v>
      </c>
      <c r="C4510" s="12" t="s">
        <v>700</v>
      </c>
      <c r="D4510" s="12" t="s">
        <v>235</v>
      </c>
      <c r="E4510" s="12" t="s">
        <v>1886</v>
      </c>
      <c r="F4510" s="12" t="s">
        <v>32</v>
      </c>
      <c r="G4510" s="12" t="s">
        <v>32</v>
      </c>
      <c r="H4510" s="12" t="b">
        <v>1</v>
      </c>
      <c r="I4510" s="12" t="b">
        <v>1</v>
      </c>
      <c r="J4510" s="12" t="b">
        <v>0</v>
      </c>
      <c r="K4510" s="12" t="b">
        <v>0</v>
      </c>
      <c r="L4510" s="12">
        <v>394.15</v>
      </c>
      <c r="M4510" s="12">
        <v>278.14999999999998</v>
      </c>
      <c r="N4510" s="12">
        <v>3300</v>
      </c>
      <c r="O4510" s="12">
        <v>1100</v>
      </c>
      <c r="P4510" s="12">
        <v>0.91</v>
      </c>
      <c r="Q4510" s="12">
        <v>0.9</v>
      </c>
      <c r="R4510" s="12">
        <v>0.8</v>
      </c>
      <c r="S4510" s="12">
        <v>0.85</v>
      </c>
      <c r="T4510" s="12">
        <v>0.75</v>
      </c>
      <c r="U4510" s="12">
        <v>0.95</v>
      </c>
      <c r="V4510" s="12">
        <v>283.14999999999998</v>
      </c>
      <c r="W4510" s="12">
        <v>9.6738992151348597</v>
      </c>
      <c r="X4510" s="12">
        <v>106.95544104316269</v>
      </c>
      <c r="Y4510" s="12">
        <v>2200</v>
      </c>
      <c r="Z4510" s="12">
        <v>3</v>
      </c>
      <c r="AA4510" s="12"/>
      <c r="AB4510" s="12"/>
    </row>
    <row r="4511" spans="1:28" x14ac:dyDescent="0.3">
      <c r="A4511" s="12" t="s">
        <v>6451</v>
      </c>
      <c r="B4511" s="12" t="s">
        <v>217</v>
      </c>
      <c r="C4511" s="12" t="s">
        <v>700</v>
      </c>
      <c r="D4511" s="12" t="s">
        <v>235</v>
      </c>
      <c r="E4511" s="12" t="s">
        <v>1886</v>
      </c>
      <c r="F4511" s="12" t="s">
        <v>32</v>
      </c>
      <c r="G4511" s="12" t="s">
        <v>32</v>
      </c>
      <c r="H4511" s="12" t="b">
        <v>1</v>
      </c>
      <c r="I4511" s="12" t="b">
        <v>1</v>
      </c>
      <c r="J4511" s="12" t="b">
        <v>0</v>
      </c>
      <c r="K4511" s="12" t="b">
        <v>0</v>
      </c>
      <c r="L4511" s="12">
        <v>394.15</v>
      </c>
      <c r="M4511" s="12">
        <v>278.14999999999998</v>
      </c>
      <c r="N4511" s="12">
        <v>3300</v>
      </c>
      <c r="O4511" s="12">
        <v>1200</v>
      </c>
      <c r="P4511" s="12">
        <v>0.91</v>
      </c>
      <c r="Q4511" s="12">
        <v>0.9</v>
      </c>
      <c r="R4511" s="12">
        <v>0.8</v>
      </c>
      <c r="S4511" s="12">
        <v>0.85</v>
      </c>
      <c r="T4511" s="12">
        <v>0.75</v>
      </c>
      <c r="U4511" s="12">
        <v>0.95</v>
      </c>
      <c r="V4511" s="12">
        <v>283.14999999999998</v>
      </c>
      <c r="W4511" s="12">
        <v>8.8779631680655413</v>
      </c>
      <c r="X4511" s="12">
        <v>98.134642246904136</v>
      </c>
      <c r="Y4511" s="12">
        <v>2100</v>
      </c>
      <c r="Z4511" s="12">
        <v>2.75</v>
      </c>
      <c r="AA4511" s="12"/>
      <c r="AB4511" s="12"/>
    </row>
    <row r="4512" spans="1:28" x14ac:dyDescent="0.3">
      <c r="A4512" s="12" t="s">
        <v>6452</v>
      </c>
      <c r="B4512" s="12" t="s">
        <v>229</v>
      </c>
      <c r="C4512" s="12" t="s">
        <v>702</v>
      </c>
      <c r="D4512" s="12" t="s">
        <v>6453</v>
      </c>
      <c r="E4512" s="12" t="s">
        <v>6238</v>
      </c>
      <c r="F4512" s="12" t="s">
        <v>832</v>
      </c>
      <c r="G4512" s="12" t="s">
        <v>832</v>
      </c>
      <c r="H4512" s="12" t="b">
        <v>0</v>
      </c>
      <c r="I4512" s="12" t="b">
        <v>0</v>
      </c>
      <c r="J4512" s="12" t="b">
        <v>0</v>
      </c>
      <c r="K4512" s="12" t="b">
        <v>0</v>
      </c>
      <c r="L4512" s="12">
        <v>394.15</v>
      </c>
      <c r="M4512" s="12">
        <v>278.14999999999998</v>
      </c>
      <c r="N4512" s="12">
        <v>3300</v>
      </c>
      <c r="O4512" s="12">
        <v>690</v>
      </c>
      <c r="P4512" s="12">
        <v>0.3</v>
      </c>
      <c r="Q4512" s="12">
        <v>0.9</v>
      </c>
      <c r="R4512" s="12">
        <v>0.8</v>
      </c>
      <c r="S4512" s="12">
        <v>0.85</v>
      </c>
      <c r="T4512" s="12">
        <v>0.75</v>
      </c>
      <c r="U4512" s="12">
        <v>0.95</v>
      </c>
      <c r="V4512" s="12">
        <v>283.14999999999998</v>
      </c>
      <c r="W4512" s="12"/>
      <c r="X4512" s="12"/>
      <c r="Y4512" s="12">
        <v>2610</v>
      </c>
      <c r="Z4512" s="12">
        <v>4.7826086956521738</v>
      </c>
      <c r="AA4512" s="12"/>
      <c r="AB4512" s="12" t="s">
        <v>272</v>
      </c>
    </row>
    <row r="4513" spans="1:28" x14ac:dyDescent="0.3">
      <c r="A4513" s="12" t="s">
        <v>6454</v>
      </c>
      <c r="B4513" s="12" t="s">
        <v>229</v>
      </c>
      <c r="C4513" s="12" t="s">
        <v>702</v>
      </c>
      <c r="D4513" s="12" t="s">
        <v>6453</v>
      </c>
      <c r="E4513" s="12" t="s">
        <v>6238</v>
      </c>
      <c r="F4513" s="12" t="s">
        <v>832</v>
      </c>
      <c r="G4513" s="12" t="s">
        <v>832</v>
      </c>
      <c r="H4513" s="12" t="b">
        <v>0</v>
      </c>
      <c r="I4513" s="12" t="b">
        <v>0</v>
      </c>
      <c r="J4513" s="12" t="b">
        <v>0</v>
      </c>
      <c r="K4513" s="12" t="b">
        <v>0</v>
      </c>
      <c r="L4513" s="12">
        <v>394.15</v>
      </c>
      <c r="M4513" s="12">
        <v>278.14999999999998</v>
      </c>
      <c r="N4513" s="12">
        <v>3300</v>
      </c>
      <c r="O4513" s="12">
        <v>690</v>
      </c>
      <c r="P4513" s="12">
        <v>0.35</v>
      </c>
      <c r="Q4513" s="12">
        <v>0.9</v>
      </c>
      <c r="R4513" s="12">
        <v>0.8</v>
      </c>
      <c r="S4513" s="12">
        <v>0.85</v>
      </c>
      <c r="T4513" s="12">
        <v>0.75</v>
      </c>
      <c r="U4513" s="12">
        <v>0.95</v>
      </c>
      <c r="V4513" s="12">
        <v>283.14999999999998</v>
      </c>
      <c r="W4513" s="12"/>
      <c r="X4513" s="12"/>
      <c r="Y4513" s="12">
        <v>2610</v>
      </c>
      <c r="Z4513" s="12">
        <v>4.7826086956521738</v>
      </c>
      <c r="AA4513" s="12"/>
      <c r="AB4513" s="12" t="s">
        <v>272</v>
      </c>
    </row>
    <row r="4514" spans="1:28" x14ac:dyDescent="0.3">
      <c r="A4514" s="12" t="s">
        <v>6455</v>
      </c>
      <c r="B4514" s="12" t="s">
        <v>229</v>
      </c>
      <c r="C4514" s="12" t="s">
        <v>702</v>
      </c>
      <c r="D4514" s="12" t="s">
        <v>6453</v>
      </c>
      <c r="E4514" s="12" t="s">
        <v>6238</v>
      </c>
      <c r="F4514" s="12" t="s">
        <v>832</v>
      </c>
      <c r="G4514" s="12" t="s">
        <v>832</v>
      </c>
      <c r="H4514" s="12" t="b">
        <v>0</v>
      </c>
      <c r="I4514" s="12" t="b">
        <v>0</v>
      </c>
      <c r="J4514" s="12" t="b">
        <v>0</v>
      </c>
      <c r="K4514" s="12" t="b">
        <v>0</v>
      </c>
      <c r="L4514" s="12">
        <v>394.15</v>
      </c>
      <c r="M4514" s="12">
        <v>278.14999999999998</v>
      </c>
      <c r="N4514" s="12">
        <v>3300</v>
      </c>
      <c r="O4514" s="12">
        <v>690</v>
      </c>
      <c r="P4514" s="12">
        <v>0.32500000000000001</v>
      </c>
      <c r="Q4514" s="12">
        <v>0.9</v>
      </c>
      <c r="R4514" s="12">
        <v>0.8</v>
      </c>
      <c r="S4514" s="12">
        <v>0.85</v>
      </c>
      <c r="T4514" s="12">
        <v>0.75</v>
      </c>
      <c r="U4514" s="12">
        <v>0.95</v>
      </c>
      <c r="V4514" s="12">
        <v>283.14999999999998</v>
      </c>
      <c r="W4514" s="12"/>
      <c r="X4514" s="12"/>
      <c r="Y4514" s="12">
        <v>2610</v>
      </c>
      <c r="Z4514" s="12">
        <v>4.7826086956521738</v>
      </c>
      <c r="AA4514" s="12"/>
      <c r="AB4514" s="12" t="s">
        <v>272</v>
      </c>
    </row>
    <row r="4515" spans="1:28" x14ac:dyDescent="0.3">
      <c r="A4515" s="12" t="s">
        <v>6456</v>
      </c>
      <c r="B4515" s="12" t="s">
        <v>229</v>
      </c>
      <c r="C4515" s="12" t="s">
        <v>702</v>
      </c>
      <c r="D4515" s="12" t="s">
        <v>6453</v>
      </c>
      <c r="E4515" s="12" t="s">
        <v>6238</v>
      </c>
      <c r="F4515" s="12" t="s">
        <v>832</v>
      </c>
      <c r="G4515" s="12" t="s">
        <v>832</v>
      </c>
      <c r="H4515" s="12" t="b">
        <v>0</v>
      </c>
      <c r="I4515" s="12" t="b">
        <v>0</v>
      </c>
      <c r="J4515" s="12" t="b">
        <v>0</v>
      </c>
      <c r="K4515" s="12" t="b">
        <v>0</v>
      </c>
      <c r="L4515" s="12">
        <v>394.15</v>
      </c>
      <c r="M4515" s="12">
        <v>278.14999999999998</v>
      </c>
      <c r="N4515" s="12">
        <v>3300</v>
      </c>
      <c r="O4515" s="12">
        <v>690</v>
      </c>
      <c r="P4515" s="12">
        <v>0.375</v>
      </c>
      <c r="Q4515" s="12">
        <v>0.9</v>
      </c>
      <c r="R4515" s="12">
        <v>0.8</v>
      </c>
      <c r="S4515" s="12">
        <v>0.85</v>
      </c>
      <c r="T4515" s="12">
        <v>0.75</v>
      </c>
      <c r="U4515" s="12">
        <v>0.95</v>
      </c>
      <c r="V4515" s="12">
        <v>283.14999999999998</v>
      </c>
      <c r="W4515" s="12"/>
      <c r="X4515" s="12"/>
      <c r="Y4515" s="12">
        <v>2610</v>
      </c>
      <c r="Z4515" s="12">
        <v>4.7826086956521738</v>
      </c>
      <c r="AA4515" s="12"/>
      <c r="AB4515" s="12" t="s">
        <v>272</v>
      </c>
    </row>
    <row r="4516" spans="1:28" x14ac:dyDescent="0.3">
      <c r="A4516" s="12" t="s">
        <v>6457</v>
      </c>
      <c r="B4516" s="12" t="s">
        <v>229</v>
      </c>
      <c r="C4516" s="12" t="s">
        <v>702</v>
      </c>
      <c r="D4516" s="12" t="s">
        <v>6453</v>
      </c>
      <c r="E4516" s="12" t="s">
        <v>6238</v>
      </c>
      <c r="F4516" s="12" t="s">
        <v>1863</v>
      </c>
      <c r="G4516" s="12" t="s">
        <v>832</v>
      </c>
      <c r="H4516" s="12" t="b">
        <v>0</v>
      </c>
      <c r="I4516" s="12" t="b">
        <v>0</v>
      </c>
      <c r="J4516" s="12" t="b">
        <v>0</v>
      </c>
      <c r="K4516" s="12" t="b">
        <v>0</v>
      </c>
      <c r="L4516" s="12">
        <v>394.15</v>
      </c>
      <c r="M4516" s="12">
        <v>278.14999999999998</v>
      </c>
      <c r="N4516" s="12">
        <v>3300</v>
      </c>
      <c r="O4516" s="12">
        <v>690</v>
      </c>
      <c r="P4516" s="12">
        <v>0.4499999999999999</v>
      </c>
      <c r="Q4516" s="12">
        <v>0.9</v>
      </c>
      <c r="R4516" s="12">
        <v>0.8</v>
      </c>
      <c r="S4516" s="12">
        <v>0.85</v>
      </c>
      <c r="T4516" s="12">
        <v>0.75</v>
      </c>
      <c r="U4516" s="12">
        <v>0.95</v>
      </c>
      <c r="V4516" s="12">
        <v>283.14999999999998</v>
      </c>
      <c r="W4516" s="12">
        <v>-29.36581867739449</v>
      </c>
      <c r="X4516" s="12">
        <v>-25.235554154626929</v>
      </c>
      <c r="Y4516" s="12">
        <v>2610</v>
      </c>
      <c r="Z4516" s="12">
        <v>4.7826086956521738</v>
      </c>
      <c r="AA4516" s="12" t="s">
        <v>2018</v>
      </c>
      <c r="AB4516" s="12" t="s">
        <v>272</v>
      </c>
    </row>
    <row r="4517" spans="1:28" x14ac:dyDescent="0.3">
      <c r="A4517" s="12" t="s">
        <v>6458</v>
      </c>
      <c r="B4517" s="12" t="s">
        <v>229</v>
      </c>
      <c r="C4517" s="12" t="s">
        <v>702</v>
      </c>
      <c r="D4517" s="12" t="s">
        <v>6453</v>
      </c>
      <c r="E4517" s="12" t="s">
        <v>6238</v>
      </c>
      <c r="F4517" s="12" t="s">
        <v>1863</v>
      </c>
      <c r="G4517" s="12" t="s">
        <v>832</v>
      </c>
      <c r="H4517" s="12" t="b">
        <v>0</v>
      </c>
      <c r="I4517" s="12" t="b">
        <v>0</v>
      </c>
      <c r="J4517" s="12" t="b">
        <v>0</v>
      </c>
      <c r="K4517" s="12" t="b">
        <v>0</v>
      </c>
      <c r="L4517" s="12">
        <v>394.15</v>
      </c>
      <c r="M4517" s="12">
        <v>278.14999999999998</v>
      </c>
      <c r="N4517" s="12">
        <v>3300</v>
      </c>
      <c r="O4517" s="12">
        <v>690</v>
      </c>
      <c r="P4517" s="12">
        <v>0.42499999999999999</v>
      </c>
      <c r="Q4517" s="12">
        <v>0.9</v>
      </c>
      <c r="R4517" s="12">
        <v>0.8</v>
      </c>
      <c r="S4517" s="12">
        <v>0.85</v>
      </c>
      <c r="T4517" s="12">
        <v>0.75</v>
      </c>
      <c r="U4517" s="12">
        <v>0.95</v>
      </c>
      <c r="V4517" s="12">
        <v>283.14999999999998</v>
      </c>
      <c r="W4517" s="12">
        <v>-53.067937981580322</v>
      </c>
      <c r="X4517" s="12">
        <v>-34.590360679650502</v>
      </c>
      <c r="Y4517" s="12">
        <v>2610</v>
      </c>
      <c r="Z4517" s="12">
        <v>4.7826086956521738</v>
      </c>
      <c r="AA4517" s="12" t="s">
        <v>2018</v>
      </c>
      <c r="AB4517" s="12" t="s">
        <v>272</v>
      </c>
    </row>
    <row r="4518" spans="1:28" x14ac:dyDescent="0.3">
      <c r="A4518" s="12" t="s">
        <v>6459</v>
      </c>
      <c r="B4518" s="12" t="s">
        <v>229</v>
      </c>
      <c r="C4518" s="12" t="s">
        <v>702</v>
      </c>
      <c r="D4518" s="12" t="s">
        <v>6453</v>
      </c>
      <c r="E4518" s="12" t="s">
        <v>6238</v>
      </c>
      <c r="F4518" s="12" t="s">
        <v>1863</v>
      </c>
      <c r="G4518" s="12" t="s">
        <v>832</v>
      </c>
      <c r="H4518" s="12" t="b">
        <v>0</v>
      </c>
      <c r="I4518" s="12" t="b">
        <v>0</v>
      </c>
      <c r="J4518" s="12" t="b">
        <v>0</v>
      </c>
      <c r="K4518" s="12" t="b">
        <v>0</v>
      </c>
      <c r="L4518" s="12">
        <v>394.15</v>
      </c>
      <c r="M4518" s="12">
        <v>278.14999999999998</v>
      </c>
      <c r="N4518" s="12">
        <v>3300</v>
      </c>
      <c r="O4518" s="12">
        <v>690</v>
      </c>
      <c r="P4518" s="12">
        <v>0.39999999999999991</v>
      </c>
      <c r="Q4518" s="12">
        <v>0.9</v>
      </c>
      <c r="R4518" s="12">
        <v>0.8</v>
      </c>
      <c r="S4518" s="12">
        <v>0.85</v>
      </c>
      <c r="T4518" s="12">
        <v>0.75</v>
      </c>
      <c r="U4518" s="12">
        <v>0.95</v>
      </c>
      <c r="V4518" s="12">
        <v>283.14999999999998</v>
      </c>
      <c r="W4518" s="12">
        <v>-99.419037529797606</v>
      </c>
      <c r="X4518" s="12">
        <v>-43.860176515836251</v>
      </c>
      <c r="Y4518" s="12">
        <v>2610</v>
      </c>
      <c r="Z4518" s="12">
        <v>4.7826086956521738</v>
      </c>
      <c r="AA4518" s="12" t="s">
        <v>2018</v>
      </c>
      <c r="AB4518" s="12" t="s">
        <v>272</v>
      </c>
    </row>
    <row r="4519" spans="1:28" x14ac:dyDescent="0.3">
      <c r="A4519" s="12" t="s">
        <v>6460</v>
      </c>
      <c r="B4519" s="12" t="s">
        <v>229</v>
      </c>
      <c r="C4519" s="12" t="s">
        <v>702</v>
      </c>
      <c r="D4519" s="12" t="s">
        <v>6453</v>
      </c>
      <c r="E4519" s="12" t="s">
        <v>6238</v>
      </c>
      <c r="F4519" s="12" t="s">
        <v>832</v>
      </c>
      <c r="G4519" s="12" t="s">
        <v>832</v>
      </c>
      <c r="H4519" s="12" t="b">
        <v>0</v>
      </c>
      <c r="I4519" s="12" t="b">
        <v>0</v>
      </c>
      <c r="J4519" s="12" t="b">
        <v>0</v>
      </c>
      <c r="K4519" s="12" t="b">
        <v>0</v>
      </c>
      <c r="L4519" s="12">
        <v>394.15</v>
      </c>
      <c r="M4519" s="12">
        <v>278.14999999999998</v>
      </c>
      <c r="N4519" s="12">
        <v>3300</v>
      </c>
      <c r="O4519" s="12">
        <v>690</v>
      </c>
      <c r="P4519" s="12">
        <v>0.625</v>
      </c>
      <c r="Q4519" s="12">
        <v>0.9</v>
      </c>
      <c r="R4519" s="12">
        <v>0.8</v>
      </c>
      <c r="S4519" s="12">
        <v>0.85</v>
      </c>
      <c r="T4519" s="12">
        <v>0.75</v>
      </c>
      <c r="U4519" s="12">
        <v>0.95</v>
      </c>
      <c r="V4519" s="12">
        <v>283.14999999999998</v>
      </c>
      <c r="W4519" s="12"/>
      <c r="X4519" s="12"/>
      <c r="Y4519" s="12">
        <v>2610</v>
      </c>
      <c r="Z4519" s="12">
        <v>4.7826086956521738</v>
      </c>
      <c r="AA4519" s="12"/>
      <c r="AB4519" s="12" t="s">
        <v>272</v>
      </c>
    </row>
    <row r="4520" spans="1:28" x14ac:dyDescent="0.3">
      <c r="A4520" s="12" t="s">
        <v>6461</v>
      </c>
      <c r="B4520" s="12" t="s">
        <v>229</v>
      </c>
      <c r="C4520" s="12" t="s">
        <v>702</v>
      </c>
      <c r="D4520" s="12" t="s">
        <v>6453</v>
      </c>
      <c r="E4520" s="12" t="s">
        <v>6238</v>
      </c>
      <c r="F4520" s="12" t="s">
        <v>32</v>
      </c>
      <c r="G4520" s="12" t="s">
        <v>32</v>
      </c>
      <c r="H4520" s="12" t="b">
        <v>1</v>
      </c>
      <c r="I4520" s="12" t="b">
        <v>1</v>
      </c>
      <c r="J4520" s="12" t="b">
        <v>0</v>
      </c>
      <c r="K4520" s="12" t="b">
        <v>0</v>
      </c>
      <c r="L4520" s="12">
        <v>394.15</v>
      </c>
      <c r="M4520" s="12">
        <v>278.14999999999998</v>
      </c>
      <c r="N4520" s="12">
        <v>3300</v>
      </c>
      <c r="O4520" s="12">
        <v>690</v>
      </c>
      <c r="P4520" s="12">
        <v>0.54999999999999993</v>
      </c>
      <c r="Q4520" s="12">
        <v>0.9</v>
      </c>
      <c r="R4520" s="12">
        <v>0.8</v>
      </c>
      <c r="S4520" s="12">
        <v>0.85</v>
      </c>
      <c r="T4520" s="12">
        <v>0.75</v>
      </c>
      <c r="U4520" s="12">
        <v>0.95</v>
      </c>
      <c r="V4520" s="12">
        <v>283.14999999999998</v>
      </c>
      <c r="W4520" s="12">
        <v>6.3228945306369706</v>
      </c>
      <c r="X4520" s="12">
        <v>18.792049820334029</v>
      </c>
      <c r="Y4520" s="12">
        <v>2610</v>
      </c>
      <c r="Z4520" s="12">
        <v>4.7826086956521738</v>
      </c>
      <c r="AA4520" s="12"/>
      <c r="AB4520" s="12" t="s">
        <v>272</v>
      </c>
    </row>
    <row r="4521" spans="1:28" x14ac:dyDescent="0.3">
      <c r="A4521" s="12" t="s">
        <v>6462</v>
      </c>
      <c r="B4521" s="12" t="s">
        <v>229</v>
      </c>
      <c r="C4521" s="12" t="s">
        <v>702</v>
      </c>
      <c r="D4521" s="12" t="s">
        <v>6453</v>
      </c>
      <c r="E4521" s="12" t="s">
        <v>6238</v>
      </c>
      <c r="F4521" s="12" t="s">
        <v>32</v>
      </c>
      <c r="G4521" s="12" t="s">
        <v>32</v>
      </c>
      <c r="H4521" s="12" t="b">
        <v>1</v>
      </c>
      <c r="I4521" s="12" t="b">
        <v>1</v>
      </c>
      <c r="J4521" s="12" t="b">
        <v>0</v>
      </c>
      <c r="K4521" s="12" t="b">
        <v>0</v>
      </c>
      <c r="L4521" s="12">
        <v>394.15</v>
      </c>
      <c r="M4521" s="12">
        <v>278.14999999999998</v>
      </c>
      <c r="N4521" s="12">
        <v>3300</v>
      </c>
      <c r="O4521" s="12">
        <v>690</v>
      </c>
      <c r="P4521" s="12">
        <v>0.5</v>
      </c>
      <c r="Q4521" s="12">
        <v>0.9</v>
      </c>
      <c r="R4521" s="12">
        <v>0.8</v>
      </c>
      <c r="S4521" s="12">
        <v>0.85</v>
      </c>
      <c r="T4521" s="12">
        <v>0.75</v>
      </c>
      <c r="U4521" s="12">
        <v>0.95</v>
      </c>
      <c r="V4521" s="12">
        <v>283.14999999999998</v>
      </c>
      <c r="W4521" s="12">
        <v>7.803175622828E-2</v>
      </c>
      <c r="X4521" s="12">
        <v>0.1279233948700948</v>
      </c>
      <c r="Y4521" s="12">
        <v>2610</v>
      </c>
      <c r="Z4521" s="12">
        <v>4.7826086956521738</v>
      </c>
      <c r="AA4521" s="12"/>
      <c r="AB4521" s="12" t="s">
        <v>272</v>
      </c>
    </row>
    <row r="4522" spans="1:28" x14ac:dyDescent="0.3">
      <c r="A4522" s="12" t="s">
        <v>6463</v>
      </c>
      <c r="B4522" s="12" t="s">
        <v>229</v>
      </c>
      <c r="C4522" s="12" t="s">
        <v>702</v>
      </c>
      <c r="D4522" s="12" t="s">
        <v>6453</v>
      </c>
      <c r="E4522" s="12" t="s">
        <v>6238</v>
      </c>
      <c r="F4522" s="12" t="s">
        <v>32</v>
      </c>
      <c r="G4522" s="12" t="s">
        <v>32</v>
      </c>
      <c r="H4522" s="12" t="b">
        <v>1</v>
      </c>
      <c r="I4522" s="12" t="b">
        <v>1</v>
      </c>
      <c r="J4522" s="12" t="b">
        <v>0</v>
      </c>
      <c r="K4522" s="12" t="b">
        <v>0</v>
      </c>
      <c r="L4522" s="12">
        <v>394.15</v>
      </c>
      <c r="M4522" s="12">
        <v>278.14999999999998</v>
      </c>
      <c r="N4522" s="12">
        <v>3300</v>
      </c>
      <c r="O4522" s="12">
        <v>690</v>
      </c>
      <c r="P4522" s="12">
        <v>0.52499999999999991</v>
      </c>
      <c r="Q4522" s="12">
        <v>0.9</v>
      </c>
      <c r="R4522" s="12">
        <v>0.8</v>
      </c>
      <c r="S4522" s="12">
        <v>0.85</v>
      </c>
      <c r="T4522" s="12">
        <v>0.75</v>
      </c>
      <c r="U4522" s="12">
        <v>0.95</v>
      </c>
      <c r="V4522" s="12">
        <v>283.14999999999998</v>
      </c>
      <c r="W4522" s="12">
        <v>4.09051500965343</v>
      </c>
      <c r="X4522" s="12">
        <v>9.4637749136681215</v>
      </c>
      <c r="Y4522" s="12">
        <v>2610</v>
      </c>
      <c r="Z4522" s="12">
        <v>4.7826086956521738</v>
      </c>
      <c r="AA4522" s="12"/>
      <c r="AB4522" s="12" t="s">
        <v>272</v>
      </c>
    </row>
    <row r="4523" spans="1:28" x14ac:dyDescent="0.3">
      <c r="A4523" s="12" t="s">
        <v>6464</v>
      </c>
      <c r="B4523" s="12" t="s">
        <v>229</v>
      </c>
      <c r="C4523" s="12" t="s">
        <v>702</v>
      </c>
      <c r="D4523" s="12" t="s">
        <v>6453</v>
      </c>
      <c r="E4523" s="12" t="s">
        <v>6238</v>
      </c>
      <c r="F4523" s="12" t="s">
        <v>1863</v>
      </c>
      <c r="G4523" s="12" t="s">
        <v>832</v>
      </c>
      <c r="H4523" s="12" t="b">
        <v>0</v>
      </c>
      <c r="I4523" s="12" t="b">
        <v>0</v>
      </c>
      <c r="J4523" s="12" t="b">
        <v>0</v>
      </c>
      <c r="K4523" s="12" t="b">
        <v>0</v>
      </c>
      <c r="L4523" s="12">
        <v>394.15</v>
      </c>
      <c r="M4523" s="12">
        <v>278.14999999999998</v>
      </c>
      <c r="N4523" s="12">
        <v>3300</v>
      </c>
      <c r="O4523" s="12">
        <v>690</v>
      </c>
      <c r="P4523" s="12">
        <v>0.47499999999999998</v>
      </c>
      <c r="Q4523" s="12">
        <v>0.9</v>
      </c>
      <c r="R4523" s="12">
        <v>0.8</v>
      </c>
      <c r="S4523" s="12">
        <v>0.85</v>
      </c>
      <c r="T4523" s="12">
        <v>0.75</v>
      </c>
      <c r="U4523" s="12">
        <v>0.95</v>
      </c>
      <c r="V4523" s="12">
        <v>283.14999999999998</v>
      </c>
      <c r="W4523" s="12">
        <v>-14.848683624326959</v>
      </c>
      <c r="X4523" s="12">
        <v>-15.79129026560987</v>
      </c>
      <c r="Y4523" s="12">
        <v>2610</v>
      </c>
      <c r="Z4523" s="12">
        <v>4.7826086956521738</v>
      </c>
      <c r="AA4523" s="12" t="s">
        <v>2846</v>
      </c>
      <c r="AB4523" s="12" t="s">
        <v>272</v>
      </c>
    </row>
    <row r="4524" spans="1:28" x14ac:dyDescent="0.3">
      <c r="A4524" s="12" t="s">
        <v>6465</v>
      </c>
      <c r="B4524" s="12" t="s">
        <v>229</v>
      </c>
      <c r="C4524" s="12" t="s">
        <v>702</v>
      </c>
      <c r="D4524" s="12" t="s">
        <v>6453</v>
      </c>
      <c r="E4524" s="12" t="s">
        <v>6238</v>
      </c>
      <c r="F4524" s="12" t="s">
        <v>32</v>
      </c>
      <c r="G4524" s="12" t="s">
        <v>32</v>
      </c>
      <c r="H4524" s="12" t="b">
        <v>1</v>
      </c>
      <c r="I4524" s="12" t="b">
        <v>1</v>
      </c>
      <c r="J4524" s="12" t="b">
        <v>0</v>
      </c>
      <c r="K4524" s="12" t="b">
        <v>0</v>
      </c>
      <c r="L4524" s="12">
        <v>394.15</v>
      </c>
      <c r="M4524" s="12">
        <v>278.14999999999998</v>
      </c>
      <c r="N4524" s="12">
        <v>3300</v>
      </c>
      <c r="O4524" s="12">
        <v>690</v>
      </c>
      <c r="P4524" s="12">
        <v>0.6</v>
      </c>
      <c r="Q4524" s="12">
        <v>0.9</v>
      </c>
      <c r="R4524" s="12">
        <v>0.8</v>
      </c>
      <c r="S4524" s="12">
        <v>0.85</v>
      </c>
      <c r="T4524" s="12">
        <v>0.75</v>
      </c>
      <c r="U4524" s="12">
        <v>0.95</v>
      </c>
      <c r="V4524" s="12">
        <v>283.14999999999998</v>
      </c>
      <c r="W4524" s="12">
        <v>8.816445146584611</v>
      </c>
      <c r="X4524" s="12">
        <v>37.411928083433537</v>
      </c>
      <c r="Y4524" s="12">
        <v>2610</v>
      </c>
      <c r="Z4524" s="12">
        <v>4.7826086956521738</v>
      </c>
      <c r="AA4524" s="12"/>
      <c r="AB4524" s="12" t="s">
        <v>272</v>
      </c>
    </row>
    <row r="4525" spans="1:28" x14ac:dyDescent="0.3">
      <c r="A4525" s="12" t="s">
        <v>6466</v>
      </c>
      <c r="B4525" s="12" t="s">
        <v>229</v>
      </c>
      <c r="C4525" s="12" t="s">
        <v>702</v>
      </c>
      <c r="D4525" s="12" t="s">
        <v>6453</v>
      </c>
      <c r="E4525" s="12" t="s">
        <v>6238</v>
      </c>
      <c r="F4525" s="12" t="s">
        <v>32</v>
      </c>
      <c r="G4525" s="12" t="s">
        <v>32</v>
      </c>
      <c r="H4525" s="12" t="b">
        <v>1</v>
      </c>
      <c r="I4525" s="12" t="b">
        <v>1</v>
      </c>
      <c r="J4525" s="12" t="b">
        <v>0</v>
      </c>
      <c r="K4525" s="12" t="b">
        <v>0</v>
      </c>
      <c r="L4525" s="12">
        <v>394.15</v>
      </c>
      <c r="M4525" s="12">
        <v>278.14999999999998</v>
      </c>
      <c r="N4525" s="12">
        <v>3300</v>
      </c>
      <c r="O4525" s="12">
        <v>690</v>
      </c>
      <c r="P4525" s="12">
        <v>0.57499999999999996</v>
      </c>
      <c r="Q4525" s="12">
        <v>0.9</v>
      </c>
      <c r="R4525" s="12">
        <v>0.8</v>
      </c>
      <c r="S4525" s="12">
        <v>0.85</v>
      </c>
      <c r="T4525" s="12">
        <v>0.75</v>
      </c>
      <c r="U4525" s="12">
        <v>0.95</v>
      </c>
      <c r="V4525" s="12">
        <v>283.14999999999998</v>
      </c>
      <c r="W4525" s="12">
        <v>7.7754024647053406</v>
      </c>
      <c r="X4525" s="12">
        <v>28.10944810734777</v>
      </c>
      <c r="Y4525" s="12">
        <v>2610</v>
      </c>
      <c r="Z4525" s="12">
        <v>4.7826086956521738</v>
      </c>
      <c r="AA4525" s="12"/>
      <c r="AB4525" s="12" t="s">
        <v>272</v>
      </c>
    </row>
    <row r="4526" spans="1:28" x14ac:dyDescent="0.3">
      <c r="A4526" s="12" t="s">
        <v>6467</v>
      </c>
      <c r="B4526" s="12" t="s">
        <v>229</v>
      </c>
      <c r="C4526" s="12" t="s">
        <v>702</v>
      </c>
      <c r="D4526" s="12" t="s">
        <v>6453</v>
      </c>
      <c r="E4526" s="12" t="s">
        <v>6238</v>
      </c>
      <c r="F4526" s="12" t="s">
        <v>32</v>
      </c>
      <c r="G4526" s="12" t="s">
        <v>32</v>
      </c>
      <c r="H4526" s="12" t="b">
        <v>1</v>
      </c>
      <c r="I4526" s="12" t="b">
        <v>1</v>
      </c>
      <c r="J4526" s="12" t="b">
        <v>0</v>
      </c>
      <c r="K4526" s="12" t="b">
        <v>0</v>
      </c>
      <c r="L4526" s="12">
        <v>394.15</v>
      </c>
      <c r="M4526" s="12">
        <v>278.14999999999998</v>
      </c>
      <c r="N4526" s="12">
        <v>3300</v>
      </c>
      <c r="O4526" s="12">
        <v>690</v>
      </c>
      <c r="P4526" s="12">
        <v>0.64999999999999991</v>
      </c>
      <c r="Q4526" s="12">
        <v>0.9</v>
      </c>
      <c r="R4526" s="12">
        <v>0.8</v>
      </c>
      <c r="S4526" s="12">
        <v>0.85</v>
      </c>
      <c r="T4526" s="12">
        <v>0.75</v>
      </c>
      <c r="U4526" s="12">
        <v>0.95</v>
      </c>
      <c r="V4526" s="12">
        <v>283.14999999999998</v>
      </c>
      <c r="W4526" s="12">
        <v>10.25180677128446</v>
      </c>
      <c r="X4526" s="12">
        <v>55.952149448067082</v>
      </c>
      <c r="Y4526" s="12">
        <v>2610</v>
      </c>
      <c r="Z4526" s="12">
        <v>4.7826086956521738</v>
      </c>
      <c r="AA4526" s="12"/>
      <c r="AB4526" s="12" t="s">
        <v>272</v>
      </c>
    </row>
    <row r="4527" spans="1:28" x14ac:dyDescent="0.3">
      <c r="A4527" s="12" t="s">
        <v>6468</v>
      </c>
      <c r="B4527" s="12" t="s">
        <v>229</v>
      </c>
      <c r="C4527" s="12" t="s">
        <v>702</v>
      </c>
      <c r="D4527" s="12" t="s">
        <v>6453</v>
      </c>
      <c r="E4527" s="12" t="s">
        <v>6238</v>
      </c>
      <c r="F4527" s="12" t="s">
        <v>32</v>
      </c>
      <c r="G4527" s="12" t="s">
        <v>32</v>
      </c>
      <c r="H4527" s="12" t="b">
        <v>1</v>
      </c>
      <c r="I4527" s="12" t="b">
        <v>1</v>
      </c>
      <c r="J4527" s="12" t="b">
        <v>0</v>
      </c>
      <c r="K4527" s="12" t="b">
        <v>0</v>
      </c>
      <c r="L4527" s="12">
        <v>394.15</v>
      </c>
      <c r="M4527" s="12">
        <v>278.14999999999998</v>
      </c>
      <c r="N4527" s="12">
        <v>3300</v>
      </c>
      <c r="O4527" s="12">
        <v>690</v>
      </c>
      <c r="P4527" s="12">
        <v>0.67499999999999993</v>
      </c>
      <c r="Q4527" s="12">
        <v>0.9</v>
      </c>
      <c r="R4527" s="12">
        <v>0.8</v>
      </c>
      <c r="S4527" s="12">
        <v>0.85</v>
      </c>
      <c r="T4527" s="12">
        <v>0.75</v>
      </c>
      <c r="U4527" s="12">
        <v>0.95</v>
      </c>
      <c r="V4527" s="12">
        <v>283.14999999999998</v>
      </c>
      <c r="W4527" s="12">
        <v>10.781595749116279</v>
      </c>
      <c r="X4527" s="12">
        <v>65.177750134346383</v>
      </c>
      <c r="Y4527" s="12">
        <v>2610</v>
      </c>
      <c r="Z4527" s="12">
        <v>4.7826086956521738</v>
      </c>
      <c r="AA4527" s="12"/>
      <c r="AB4527" s="12" t="s">
        <v>272</v>
      </c>
    </row>
    <row r="4528" spans="1:28" x14ac:dyDescent="0.3">
      <c r="A4528" s="12" t="s">
        <v>6469</v>
      </c>
      <c r="B4528" s="12" t="s">
        <v>229</v>
      </c>
      <c r="C4528" s="12" t="s">
        <v>702</v>
      </c>
      <c r="D4528" s="12" t="s">
        <v>6453</v>
      </c>
      <c r="E4528" s="12" t="s">
        <v>6238</v>
      </c>
      <c r="F4528" s="12" t="s">
        <v>32</v>
      </c>
      <c r="G4528" s="12" t="s">
        <v>32</v>
      </c>
      <c r="H4528" s="12" t="b">
        <v>1</v>
      </c>
      <c r="I4528" s="12" t="b">
        <v>1</v>
      </c>
      <c r="J4528" s="12" t="b">
        <v>0</v>
      </c>
      <c r="K4528" s="12" t="b">
        <v>0</v>
      </c>
      <c r="L4528" s="12">
        <v>394.15</v>
      </c>
      <c r="M4528" s="12">
        <v>278.14999999999998</v>
      </c>
      <c r="N4528" s="12">
        <v>3300</v>
      </c>
      <c r="O4528" s="12">
        <v>690</v>
      </c>
      <c r="P4528" s="12">
        <v>0.7</v>
      </c>
      <c r="Q4528" s="12">
        <v>0.9</v>
      </c>
      <c r="R4528" s="12">
        <v>0.8</v>
      </c>
      <c r="S4528" s="12">
        <v>0.85</v>
      </c>
      <c r="T4528" s="12">
        <v>0.75</v>
      </c>
      <c r="U4528" s="12">
        <v>0.95</v>
      </c>
      <c r="V4528" s="12">
        <v>283.14999999999998</v>
      </c>
      <c r="W4528" s="12">
        <v>11.23217741708438</v>
      </c>
      <c r="X4528" s="12">
        <v>74.363997178048749</v>
      </c>
      <c r="Y4528" s="12">
        <v>2610</v>
      </c>
      <c r="Z4528" s="12">
        <v>4.7826086956521738</v>
      </c>
      <c r="AA4528" s="12"/>
      <c r="AB4528" s="12" t="s">
        <v>272</v>
      </c>
    </row>
    <row r="4529" spans="1:28" x14ac:dyDescent="0.3">
      <c r="A4529" s="12" t="s">
        <v>6470</v>
      </c>
      <c r="B4529" s="12" t="s">
        <v>229</v>
      </c>
      <c r="C4529" s="12" t="s">
        <v>705</v>
      </c>
      <c r="D4529" s="12" t="s">
        <v>235</v>
      </c>
      <c r="E4529" s="12" t="s">
        <v>1886</v>
      </c>
      <c r="F4529" s="12" t="s">
        <v>832</v>
      </c>
      <c r="G4529" s="12" t="s">
        <v>832</v>
      </c>
      <c r="H4529" s="12" t="b">
        <v>0</v>
      </c>
      <c r="I4529" s="12" t="b">
        <v>0</v>
      </c>
      <c r="J4529" s="12" t="b">
        <v>0</v>
      </c>
      <c r="K4529" s="12" t="b">
        <v>0</v>
      </c>
      <c r="L4529" s="12">
        <v>394.15</v>
      </c>
      <c r="M4529" s="12">
        <v>278.14999999999998</v>
      </c>
      <c r="N4529" s="12">
        <v>3300</v>
      </c>
      <c r="O4529" s="12">
        <v>200</v>
      </c>
      <c r="P4529" s="12">
        <v>0.3</v>
      </c>
      <c r="Q4529" s="12">
        <v>0.9</v>
      </c>
      <c r="R4529" s="12">
        <v>0.8</v>
      </c>
      <c r="S4529" s="12">
        <v>0.85</v>
      </c>
      <c r="T4529" s="12">
        <v>0.75</v>
      </c>
      <c r="U4529" s="12">
        <v>0.95</v>
      </c>
      <c r="V4529" s="12">
        <v>283.14999999999998</v>
      </c>
      <c r="W4529" s="12"/>
      <c r="X4529" s="12"/>
      <c r="Y4529" s="12">
        <v>3100</v>
      </c>
      <c r="Z4529" s="12">
        <v>16.5</v>
      </c>
      <c r="AA4529" s="12"/>
      <c r="AB4529" s="12"/>
    </row>
    <row r="4530" spans="1:28" x14ac:dyDescent="0.3">
      <c r="A4530" s="12" t="s">
        <v>6471</v>
      </c>
      <c r="B4530" s="12" t="s">
        <v>229</v>
      </c>
      <c r="C4530" s="12" t="s">
        <v>705</v>
      </c>
      <c r="D4530" s="12" t="s">
        <v>235</v>
      </c>
      <c r="E4530" s="12" t="s">
        <v>1886</v>
      </c>
      <c r="F4530" s="12" t="s">
        <v>832</v>
      </c>
      <c r="G4530" s="12" t="s">
        <v>832</v>
      </c>
      <c r="H4530" s="12" t="b">
        <v>0</v>
      </c>
      <c r="I4530" s="12" t="b">
        <v>0</v>
      </c>
      <c r="J4530" s="12" t="b">
        <v>0</v>
      </c>
      <c r="K4530" s="12" t="b">
        <v>0</v>
      </c>
      <c r="L4530" s="12">
        <v>394.15</v>
      </c>
      <c r="M4530" s="12">
        <v>278.14999999999998</v>
      </c>
      <c r="N4530" s="12">
        <v>3300</v>
      </c>
      <c r="O4530" s="12">
        <v>400</v>
      </c>
      <c r="P4530" s="12">
        <v>0.3</v>
      </c>
      <c r="Q4530" s="12">
        <v>0.9</v>
      </c>
      <c r="R4530" s="12">
        <v>0.8</v>
      </c>
      <c r="S4530" s="12">
        <v>0.85</v>
      </c>
      <c r="T4530" s="12">
        <v>0.75</v>
      </c>
      <c r="U4530" s="12">
        <v>0.95</v>
      </c>
      <c r="V4530" s="12">
        <v>283.14999999999998</v>
      </c>
      <c r="W4530" s="12"/>
      <c r="X4530" s="12"/>
      <c r="Y4530" s="12">
        <v>2900</v>
      </c>
      <c r="Z4530" s="12">
        <v>8.25</v>
      </c>
      <c r="AA4530" s="12"/>
      <c r="AB4530" s="12"/>
    </row>
    <row r="4531" spans="1:28" x14ac:dyDescent="0.3">
      <c r="A4531" s="12" t="s">
        <v>6472</v>
      </c>
      <c r="B4531" s="12" t="s">
        <v>229</v>
      </c>
      <c r="C4531" s="12" t="s">
        <v>705</v>
      </c>
      <c r="D4531" s="12" t="s">
        <v>235</v>
      </c>
      <c r="E4531" s="12" t="s">
        <v>1886</v>
      </c>
      <c r="F4531" s="12" t="s">
        <v>832</v>
      </c>
      <c r="G4531" s="12" t="s">
        <v>832</v>
      </c>
      <c r="H4531" s="12" t="b">
        <v>0</v>
      </c>
      <c r="I4531" s="12" t="b">
        <v>0</v>
      </c>
      <c r="J4531" s="12" t="b">
        <v>0</v>
      </c>
      <c r="K4531" s="12" t="b">
        <v>0</v>
      </c>
      <c r="L4531" s="12">
        <v>394.15</v>
      </c>
      <c r="M4531" s="12">
        <v>278.14999999999998</v>
      </c>
      <c r="N4531" s="12">
        <v>3300</v>
      </c>
      <c r="O4531" s="12">
        <v>300</v>
      </c>
      <c r="P4531" s="12">
        <v>0.3</v>
      </c>
      <c r="Q4531" s="12">
        <v>0.9</v>
      </c>
      <c r="R4531" s="12">
        <v>0.8</v>
      </c>
      <c r="S4531" s="12">
        <v>0.85</v>
      </c>
      <c r="T4531" s="12">
        <v>0.75</v>
      </c>
      <c r="U4531" s="12">
        <v>0.95</v>
      </c>
      <c r="V4531" s="12">
        <v>283.14999999999998</v>
      </c>
      <c r="W4531" s="12"/>
      <c r="X4531" s="12"/>
      <c r="Y4531" s="12">
        <v>3000</v>
      </c>
      <c r="Z4531" s="12">
        <v>11</v>
      </c>
      <c r="AA4531" s="12"/>
      <c r="AB4531" s="12"/>
    </row>
    <row r="4532" spans="1:28" x14ac:dyDescent="0.3">
      <c r="A4532" s="12" t="s">
        <v>6473</v>
      </c>
      <c r="B4532" s="12" t="s">
        <v>229</v>
      </c>
      <c r="C4532" s="12" t="s">
        <v>705</v>
      </c>
      <c r="D4532" s="12" t="s">
        <v>235</v>
      </c>
      <c r="E4532" s="12" t="s">
        <v>1886</v>
      </c>
      <c r="F4532" s="12" t="s">
        <v>832</v>
      </c>
      <c r="G4532" s="12" t="s">
        <v>832</v>
      </c>
      <c r="H4532" s="12" t="b">
        <v>0</v>
      </c>
      <c r="I4532" s="12" t="b">
        <v>0</v>
      </c>
      <c r="J4532" s="12" t="b">
        <v>0</v>
      </c>
      <c r="K4532" s="12" t="b">
        <v>0</v>
      </c>
      <c r="L4532" s="12">
        <v>394.15</v>
      </c>
      <c r="M4532" s="12">
        <v>278.14999999999998</v>
      </c>
      <c r="N4532" s="12">
        <v>3300</v>
      </c>
      <c r="O4532" s="12">
        <v>500</v>
      </c>
      <c r="P4532" s="12">
        <v>0.3</v>
      </c>
      <c r="Q4532" s="12">
        <v>0.9</v>
      </c>
      <c r="R4532" s="12">
        <v>0.8</v>
      </c>
      <c r="S4532" s="12">
        <v>0.85</v>
      </c>
      <c r="T4532" s="12">
        <v>0.75</v>
      </c>
      <c r="U4532" s="12">
        <v>0.95</v>
      </c>
      <c r="V4532" s="12">
        <v>283.14999999999998</v>
      </c>
      <c r="W4532" s="12"/>
      <c r="X4532" s="12"/>
      <c r="Y4532" s="12">
        <v>2800</v>
      </c>
      <c r="Z4532" s="12">
        <v>6.6</v>
      </c>
      <c r="AA4532" s="12"/>
      <c r="AB4532" s="12"/>
    </row>
    <row r="4533" spans="1:28" x14ac:dyDescent="0.3">
      <c r="A4533" s="12" t="s">
        <v>6474</v>
      </c>
      <c r="B4533" s="12" t="s">
        <v>229</v>
      </c>
      <c r="C4533" s="12" t="s">
        <v>705</v>
      </c>
      <c r="D4533" s="12" t="s">
        <v>235</v>
      </c>
      <c r="E4533" s="12" t="s">
        <v>1886</v>
      </c>
      <c r="F4533" s="12" t="s">
        <v>832</v>
      </c>
      <c r="G4533" s="12" t="s">
        <v>832</v>
      </c>
      <c r="H4533" s="12" t="b">
        <v>0</v>
      </c>
      <c r="I4533" s="12" t="b">
        <v>0</v>
      </c>
      <c r="J4533" s="12" t="b">
        <v>0</v>
      </c>
      <c r="K4533" s="12" t="b">
        <v>0</v>
      </c>
      <c r="L4533" s="12">
        <v>394.15</v>
      </c>
      <c r="M4533" s="12">
        <v>278.14999999999998</v>
      </c>
      <c r="N4533" s="12">
        <v>3300</v>
      </c>
      <c r="O4533" s="12">
        <v>600</v>
      </c>
      <c r="P4533" s="12">
        <v>0.3</v>
      </c>
      <c r="Q4533" s="12">
        <v>0.9</v>
      </c>
      <c r="R4533" s="12">
        <v>0.8</v>
      </c>
      <c r="S4533" s="12">
        <v>0.85</v>
      </c>
      <c r="T4533" s="12">
        <v>0.75</v>
      </c>
      <c r="U4533" s="12">
        <v>0.95</v>
      </c>
      <c r="V4533" s="12">
        <v>283.14999999999998</v>
      </c>
      <c r="W4533" s="12"/>
      <c r="X4533" s="12"/>
      <c r="Y4533" s="12">
        <v>2700</v>
      </c>
      <c r="Z4533" s="12">
        <v>5.5</v>
      </c>
      <c r="AA4533" s="12"/>
      <c r="AB4533" s="12"/>
    </row>
    <row r="4534" spans="1:28" x14ac:dyDescent="0.3">
      <c r="A4534" s="12" t="s">
        <v>6475</v>
      </c>
      <c r="B4534" s="12" t="s">
        <v>229</v>
      </c>
      <c r="C4534" s="12" t="s">
        <v>705</v>
      </c>
      <c r="D4534" s="12" t="s">
        <v>235</v>
      </c>
      <c r="E4534" s="12" t="s">
        <v>1886</v>
      </c>
      <c r="F4534" s="12" t="s">
        <v>832</v>
      </c>
      <c r="G4534" s="12" t="s">
        <v>832</v>
      </c>
      <c r="H4534" s="12" t="b">
        <v>0</v>
      </c>
      <c r="I4534" s="12" t="b">
        <v>0</v>
      </c>
      <c r="J4534" s="12" t="b">
        <v>0</v>
      </c>
      <c r="K4534" s="12" t="b">
        <v>0</v>
      </c>
      <c r="L4534" s="12">
        <v>394.15</v>
      </c>
      <c r="M4534" s="12">
        <v>278.14999999999998</v>
      </c>
      <c r="N4534" s="12">
        <v>3300</v>
      </c>
      <c r="O4534" s="12">
        <v>700</v>
      </c>
      <c r="P4534" s="12">
        <v>0.3</v>
      </c>
      <c r="Q4534" s="12">
        <v>0.9</v>
      </c>
      <c r="R4534" s="12">
        <v>0.8</v>
      </c>
      <c r="S4534" s="12">
        <v>0.85</v>
      </c>
      <c r="T4534" s="12">
        <v>0.75</v>
      </c>
      <c r="U4534" s="12">
        <v>0.95</v>
      </c>
      <c r="V4534" s="12">
        <v>283.14999999999998</v>
      </c>
      <c r="W4534" s="12"/>
      <c r="X4534" s="12"/>
      <c r="Y4534" s="12">
        <v>2600</v>
      </c>
      <c r="Z4534" s="12">
        <v>4.7142857142857144</v>
      </c>
      <c r="AA4534" s="12"/>
      <c r="AB4534" s="12"/>
    </row>
    <row r="4535" spans="1:28" x14ac:dyDescent="0.3">
      <c r="A4535" s="12" t="s">
        <v>6476</v>
      </c>
      <c r="B4535" s="12" t="s">
        <v>229</v>
      </c>
      <c r="C4535" s="12" t="s">
        <v>705</v>
      </c>
      <c r="D4535" s="12" t="s">
        <v>235</v>
      </c>
      <c r="E4535" s="12" t="s">
        <v>1886</v>
      </c>
      <c r="F4535" s="12" t="s">
        <v>832</v>
      </c>
      <c r="G4535" s="12" t="s">
        <v>832</v>
      </c>
      <c r="H4535" s="12" t="b">
        <v>0</v>
      </c>
      <c r="I4535" s="12" t="b">
        <v>0</v>
      </c>
      <c r="J4535" s="12" t="b">
        <v>0</v>
      </c>
      <c r="K4535" s="12" t="b">
        <v>0</v>
      </c>
      <c r="L4535" s="12">
        <v>394.15</v>
      </c>
      <c r="M4535" s="12">
        <v>278.14999999999998</v>
      </c>
      <c r="N4535" s="12">
        <v>3300</v>
      </c>
      <c r="O4535" s="12">
        <v>200</v>
      </c>
      <c r="P4535" s="12">
        <v>0.35</v>
      </c>
      <c r="Q4535" s="12">
        <v>0.9</v>
      </c>
      <c r="R4535" s="12">
        <v>0.8</v>
      </c>
      <c r="S4535" s="12">
        <v>0.85</v>
      </c>
      <c r="T4535" s="12">
        <v>0.75</v>
      </c>
      <c r="U4535" s="12">
        <v>0.95</v>
      </c>
      <c r="V4535" s="12">
        <v>283.14999999999998</v>
      </c>
      <c r="W4535" s="12"/>
      <c r="X4535" s="12"/>
      <c r="Y4535" s="12">
        <v>3100</v>
      </c>
      <c r="Z4535" s="12">
        <v>16.5</v>
      </c>
      <c r="AA4535" s="12"/>
      <c r="AB4535" s="12"/>
    </row>
    <row r="4536" spans="1:28" x14ac:dyDescent="0.3">
      <c r="A4536" s="12" t="s">
        <v>6477</v>
      </c>
      <c r="B4536" s="12" t="s">
        <v>229</v>
      </c>
      <c r="C4536" s="12" t="s">
        <v>705</v>
      </c>
      <c r="D4536" s="12" t="s">
        <v>235</v>
      </c>
      <c r="E4536" s="12" t="s">
        <v>1886</v>
      </c>
      <c r="F4536" s="12" t="s">
        <v>832</v>
      </c>
      <c r="G4536" s="12" t="s">
        <v>832</v>
      </c>
      <c r="H4536" s="12" t="b">
        <v>0</v>
      </c>
      <c r="I4536" s="12" t="b">
        <v>0</v>
      </c>
      <c r="J4536" s="12" t="b">
        <v>0</v>
      </c>
      <c r="K4536" s="12" t="b">
        <v>0</v>
      </c>
      <c r="L4536" s="12">
        <v>394.15</v>
      </c>
      <c r="M4536" s="12">
        <v>278.14999999999998</v>
      </c>
      <c r="N4536" s="12">
        <v>3300</v>
      </c>
      <c r="O4536" s="12">
        <v>600</v>
      </c>
      <c r="P4536" s="12">
        <v>0.35</v>
      </c>
      <c r="Q4536" s="12">
        <v>0.9</v>
      </c>
      <c r="R4536" s="12">
        <v>0.8</v>
      </c>
      <c r="S4536" s="12">
        <v>0.85</v>
      </c>
      <c r="T4536" s="12">
        <v>0.75</v>
      </c>
      <c r="U4536" s="12">
        <v>0.95</v>
      </c>
      <c r="V4536" s="12">
        <v>283.14999999999998</v>
      </c>
      <c r="W4536" s="12"/>
      <c r="X4536" s="12"/>
      <c r="Y4536" s="12">
        <v>2700</v>
      </c>
      <c r="Z4536" s="12">
        <v>5.5</v>
      </c>
      <c r="AA4536" s="12"/>
      <c r="AB4536" s="12"/>
    </row>
    <row r="4537" spans="1:28" x14ac:dyDescent="0.3">
      <c r="A4537" s="12" t="s">
        <v>6478</v>
      </c>
      <c r="B4537" s="12" t="s">
        <v>229</v>
      </c>
      <c r="C4537" s="12" t="s">
        <v>705</v>
      </c>
      <c r="D4537" s="12" t="s">
        <v>235</v>
      </c>
      <c r="E4537" s="12" t="s">
        <v>1886</v>
      </c>
      <c r="F4537" s="12" t="s">
        <v>832</v>
      </c>
      <c r="G4537" s="12" t="s">
        <v>832</v>
      </c>
      <c r="H4537" s="12" t="b">
        <v>0</v>
      </c>
      <c r="I4537" s="12" t="b">
        <v>0</v>
      </c>
      <c r="J4537" s="12" t="b">
        <v>0</v>
      </c>
      <c r="K4537" s="12" t="b">
        <v>0</v>
      </c>
      <c r="L4537" s="12">
        <v>394.15</v>
      </c>
      <c r="M4537" s="12">
        <v>278.14999999999998</v>
      </c>
      <c r="N4537" s="12">
        <v>3300</v>
      </c>
      <c r="O4537" s="12">
        <v>400</v>
      </c>
      <c r="P4537" s="12">
        <v>0.35</v>
      </c>
      <c r="Q4537" s="12">
        <v>0.9</v>
      </c>
      <c r="R4537" s="12">
        <v>0.8</v>
      </c>
      <c r="S4537" s="12">
        <v>0.85</v>
      </c>
      <c r="T4537" s="12">
        <v>0.75</v>
      </c>
      <c r="U4537" s="12">
        <v>0.95</v>
      </c>
      <c r="V4537" s="12">
        <v>283.14999999999998</v>
      </c>
      <c r="W4537" s="12"/>
      <c r="X4537" s="12"/>
      <c r="Y4537" s="12">
        <v>2900</v>
      </c>
      <c r="Z4537" s="12">
        <v>8.25</v>
      </c>
      <c r="AA4537" s="12"/>
      <c r="AB4537" s="12"/>
    </row>
    <row r="4538" spans="1:28" x14ac:dyDescent="0.3">
      <c r="A4538" s="12" t="s">
        <v>6479</v>
      </c>
      <c r="B4538" s="12" t="s">
        <v>229</v>
      </c>
      <c r="C4538" s="12" t="s">
        <v>705</v>
      </c>
      <c r="D4538" s="12" t="s">
        <v>235</v>
      </c>
      <c r="E4538" s="12" t="s">
        <v>1886</v>
      </c>
      <c r="F4538" s="12" t="s">
        <v>832</v>
      </c>
      <c r="G4538" s="12" t="s">
        <v>832</v>
      </c>
      <c r="H4538" s="12" t="b">
        <v>0</v>
      </c>
      <c r="I4538" s="12" t="b">
        <v>0</v>
      </c>
      <c r="J4538" s="12" t="b">
        <v>0</v>
      </c>
      <c r="K4538" s="12" t="b">
        <v>0</v>
      </c>
      <c r="L4538" s="12">
        <v>394.15</v>
      </c>
      <c r="M4538" s="12">
        <v>278.14999999999998</v>
      </c>
      <c r="N4538" s="12">
        <v>3300</v>
      </c>
      <c r="O4538" s="12">
        <v>300</v>
      </c>
      <c r="P4538" s="12">
        <v>0.35</v>
      </c>
      <c r="Q4538" s="12">
        <v>0.9</v>
      </c>
      <c r="R4538" s="12">
        <v>0.8</v>
      </c>
      <c r="S4538" s="12">
        <v>0.85</v>
      </c>
      <c r="T4538" s="12">
        <v>0.75</v>
      </c>
      <c r="U4538" s="12">
        <v>0.95</v>
      </c>
      <c r="V4538" s="12">
        <v>283.14999999999998</v>
      </c>
      <c r="W4538" s="12"/>
      <c r="X4538" s="12"/>
      <c r="Y4538" s="12">
        <v>3000</v>
      </c>
      <c r="Z4538" s="12">
        <v>11</v>
      </c>
      <c r="AA4538" s="12"/>
      <c r="AB4538" s="12"/>
    </row>
    <row r="4539" spans="1:28" x14ac:dyDescent="0.3">
      <c r="A4539" s="12" t="s">
        <v>6480</v>
      </c>
      <c r="B4539" s="12" t="s">
        <v>229</v>
      </c>
      <c r="C4539" s="12" t="s">
        <v>705</v>
      </c>
      <c r="D4539" s="12" t="s">
        <v>235</v>
      </c>
      <c r="E4539" s="12" t="s">
        <v>1886</v>
      </c>
      <c r="F4539" s="12" t="s">
        <v>832</v>
      </c>
      <c r="G4539" s="12" t="s">
        <v>832</v>
      </c>
      <c r="H4539" s="12" t="b">
        <v>0</v>
      </c>
      <c r="I4539" s="12" t="b">
        <v>0</v>
      </c>
      <c r="J4539" s="12" t="b">
        <v>0</v>
      </c>
      <c r="K4539" s="12" t="b">
        <v>0</v>
      </c>
      <c r="L4539" s="12">
        <v>394.15</v>
      </c>
      <c r="M4539" s="12">
        <v>278.14999999999998</v>
      </c>
      <c r="N4539" s="12">
        <v>3300</v>
      </c>
      <c r="O4539" s="12">
        <v>500</v>
      </c>
      <c r="P4539" s="12">
        <v>0.35</v>
      </c>
      <c r="Q4539" s="12">
        <v>0.9</v>
      </c>
      <c r="R4539" s="12">
        <v>0.8</v>
      </c>
      <c r="S4539" s="12">
        <v>0.85</v>
      </c>
      <c r="T4539" s="12">
        <v>0.75</v>
      </c>
      <c r="U4539" s="12">
        <v>0.95</v>
      </c>
      <c r="V4539" s="12">
        <v>283.14999999999998</v>
      </c>
      <c r="W4539" s="12"/>
      <c r="X4539" s="12"/>
      <c r="Y4539" s="12">
        <v>2800</v>
      </c>
      <c r="Z4539" s="12">
        <v>6.6</v>
      </c>
      <c r="AA4539" s="12"/>
      <c r="AB4539" s="12"/>
    </row>
    <row r="4540" spans="1:28" x14ac:dyDescent="0.3">
      <c r="A4540" s="12" t="s">
        <v>6481</v>
      </c>
      <c r="B4540" s="12" t="s">
        <v>229</v>
      </c>
      <c r="C4540" s="12" t="s">
        <v>705</v>
      </c>
      <c r="D4540" s="12" t="s">
        <v>235</v>
      </c>
      <c r="E4540" s="12" t="s">
        <v>1886</v>
      </c>
      <c r="F4540" s="12" t="s">
        <v>832</v>
      </c>
      <c r="G4540" s="12" t="s">
        <v>832</v>
      </c>
      <c r="H4540" s="12" t="b">
        <v>0</v>
      </c>
      <c r="I4540" s="12" t="b">
        <v>0</v>
      </c>
      <c r="J4540" s="12" t="b">
        <v>0</v>
      </c>
      <c r="K4540" s="12" t="b">
        <v>0</v>
      </c>
      <c r="L4540" s="12">
        <v>394.15</v>
      </c>
      <c r="M4540" s="12">
        <v>278.14999999999998</v>
      </c>
      <c r="N4540" s="12">
        <v>3300</v>
      </c>
      <c r="O4540" s="12">
        <v>700</v>
      </c>
      <c r="P4540" s="12">
        <v>0.35</v>
      </c>
      <c r="Q4540" s="12">
        <v>0.9</v>
      </c>
      <c r="R4540" s="12">
        <v>0.8</v>
      </c>
      <c r="S4540" s="12">
        <v>0.85</v>
      </c>
      <c r="T4540" s="12">
        <v>0.75</v>
      </c>
      <c r="U4540" s="12">
        <v>0.95</v>
      </c>
      <c r="V4540" s="12">
        <v>283.14999999999998</v>
      </c>
      <c r="W4540" s="12"/>
      <c r="X4540" s="12"/>
      <c r="Y4540" s="12">
        <v>2600</v>
      </c>
      <c r="Z4540" s="12">
        <v>4.7142857142857144</v>
      </c>
      <c r="AA4540" s="12"/>
      <c r="AB4540" s="12"/>
    </row>
    <row r="4541" spans="1:28" x14ac:dyDescent="0.3">
      <c r="A4541" s="12" t="s">
        <v>6482</v>
      </c>
      <c r="B4541" s="12" t="s">
        <v>229</v>
      </c>
      <c r="C4541" s="12" t="s">
        <v>705</v>
      </c>
      <c r="D4541" s="12" t="s">
        <v>235</v>
      </c>
      <c r="E4541" s="12" t="s">
        <v>1886</v>
      </c>
      <c r="F4541" s="12" t="s">
        <v>1863</v>
      </c>
      <c r="G4541" s="12" t="s">
        <v>832</v>
      </c>
      <c r="H4541" s="12" t="b">
        <v>0</v>
      </c>
      <c r="I4541" s="12" t="b">
        <v>0</v>
      </c>
      <c r="J4541" s="12" t="b">
        <v>0</v>
      </c>
      <c r="K4541" s="12" t="b">
        <v>0</v>
      </c>
      <c r="L4541" s="12">
        <v>394.15</v>
      </c>
      <c r="M4541" s="12">
        <v>278.14999999999998</v>
      </c>
      <c r="N4541" s="12">
        <v>3300</v>
      </c>
      <c r="O4541" s="12">
        <v>600</v>
      </c>
      <c r="P4541" s="12">
        <v>0.4</v>
      </c>
      <c r="Q4541" s="12">
        <v>0.9</v>
      </c>
      <c r="R4541" s="12">
        <v>0.8</v>
      </c>
      <c r="S4541" s="12">
        <v>0.85</v>
      </c>
      <c r="T4541" s="12">
        <v>0.75</v>
      </c>
      <c r="U4541" s="12">
        <v>0.95</v>
      </c>
      <c r="V4541" s="12">
        <v>283.14999999999998</v>
      </c>
      <c r="W4541" s="12">
        <v>-106.97744756802351</v>
      </c>
      <c r="X4541" s="12">
        <v>-47.180232940986222</v>
      </c>
      <c r="Y4541" s="12">
        <v>2700</v>
      </c>
      <c r="Z4541" s="12">
        <v>5.5</v>
      </c>
      <c r="AA4541" s="12" t="s">
        <v>2018</v>
      </c>
      <c r="AB4541" s="12"/>
    </row>
    <row r="4542" spans="1:28" x14ac:dyDescent="0.3">
      <c r="A4542" s="12" t="s">
        <v>6483</v>
      </c>
      <c r="B4542" s="12" t="s">
        <v>229</v>
      </c>
      <c r="C4542" s="12" t="s">
        <v>705</v>
      </c>
      <c r="D4542" s="12" t="s">
        <v>235</v>
      </c>
      <c r="E4542" s="12" t="s">
        <v>1886</v>
      </c>
      <c r="F4542" s="12" t="s">
        <v>1863</v>
      </c>
      <c r="G4542" s="12" t="s">
        <v>832</v>
      </c>
      <c r="H4542" s="12" t="b">
        <v>0</v>
      </c>
      <c r="I4542" s="12" t="b">
        <v>0</v>
      </c>
      <c r="J4542" s="12" t="b">
        <v>0</v>
      </c>
      <c r="K4542" s="12" t="b">
        <v>0</v>
      </c>
      <c r="L4542" s="12">
        <v>394.15</v>
      </c>
      <c r="M4542" s="12">
        <v>278.14999999999998</v>
      </c>
      <c r="N4542" s="12">
        <v>3300</v>
      </c>
      <c r="O4542" s="12">
        <v>700</v>
      </c>
      <c r="P4542" s="12">
        <v>0.4</v>
      </c>
      <c r="Q4542" s="12">
        <v>0.9</v>
      </c>
      <c r="R4542" s="12">
        <v>0.8</v>
      </c>
      <c r="S4542" s="12">
        <v>0.85</v>
      </c>
      <c r="T4542" s="12">
        <v>0.75</v>
      </c>
      <c r="U4542" s="12">
        <v>0.95</v>
      </c>
      <c r="V4542" s="12">
        <v>283.14999999999998</v>
      </c>
      <c r="W4542" s="12">
        <v>-98.630133221282406</v>
      </c>
      <c r="X4542" s="12">
        <v>-43.513549931599456</v>
      </c>
      <c r="Y4542" s="12">
        <v>2600</v>
      </c>
      <c r="Z4542" s="12">
        <v>4.7142857142857144</v>
      </c>
      <c r="AA4542" s="12" t="s">
        <v>2018</v>
      </c>
      <c r="AB4542" s="12"/>
    </row>
    <row r="4543" spans="1:28" x14ac:dyDescent="0.3">
      <c r="A4543" s="12" t="s">
        <v>6484</v>
      </c>
      <c r="B4543" s="12" t="s">
        <v>229</v>
      </c>
      <c r="C4543" s="12" t="s">
        <v>705</v>
      </c>
      <c r="D4543" s="12" t="s">
        <v>235</v>
      </c>
      <c r="E4543" s="12" t="s">
        <v>1886</v>
      </c>
      <c r="F4543" s="12" t="s">
        <v>1863</v>
      </c>
      <c r="G4543" s="12" t="s">
        <v>832</v>
      </c>
      <c r="H4543" s="12" t="b">
        <v>0</v>
      </c>
      <c r="I4543" s="12" t="b">
        <v>0</v>
      </c>
      <c r="J4543" s="12" t="b">
        <v>0</v>
      </c>
      <c r="K4543" s="12" t="b">
        <v>0</v>
      </c>
      <c r="L4543" s="12">
        <v>394.15</v>
      </c>
      <c r="M4543" s="12">
        <v>278.14999999999998</v>
      </c>
      <c r="N4543" s="12">
        <v>3300</v>
      </c>
      <c r="O4543" s="12">
        <v>500</v>
      </c>
      <c r="P4543" s="12">
        <v>0.4</v>
      </c>
      <c r="Q4543" s="12">
        <v>0.9</v>
      </c>
      <c r="R4543" s="12">
        <v>0.8</v>
      </c>
      <c r="S4543" s="12">
        <v>0.85</v>
      </c>
      <c r="T4543" s="12">
        <v>0.75</v>
      </c>
      <c r="U4543" s="12">
        <v>0.95</v>
      </c>
      <c r="V4543" s="12">
        <v>283.14999999999998</v>
      </c>
      <c r="W4543" s="12">
        <v>-116.5555257316806</v>
      </c>
      <c r="X4543" s="12">
        <v>-51.387414997751051</v>
      </c>
      <c r="Y4543" s="12">
        <v>2800</v>
      </c>
      <c r="Z4543" s="12">
        <v>6.6</v>
      </c>
      <c r="AA4543" s="12" t="s">
        <v>2018</v>
      </c>
      <c r="AB4543" s="12"/>
    </row>
    <row r="4544" spans="1:28" x14ac:dyDescent="0.3">
      <c r="A4544" s="12" t="s">
        <v>6485</v>
      </c>
      <c r="B4544" s="12" t="s">
        <v>229</v>
      </c>
      <c r="C4544" s="12" t="s">
        <v>705</v>
      </c>
      <c r="D4544" s="12" t="s">
        <v>235</v>
      </c>
      <c r="E4544" s="12" t="s">
        <v>1886</v>
      </c>
      <c r="F4544" s="12" t="s">
        <v>1863</v>
      </c>
      <c r="G4544" s="12" t="s">
        <v>832</v>
      </c>
      <c r="H4544" s="12" t="b">
        <v>0</v>
      </c>
      <c r="I4544" s="12" t="b">
        <v>0</v>
      </c>
      <c r="J4544" s="12" t="b">
        <v>0</v>
      </c>
      <c r="K4544" s="12" t="b">
        <v>0</v>
      </c>
      <c r="L4544" s="12">
        <v>394.15</v>
      </c>
      <c r="M4544" s="12">
        <v>278.14999999999998</v>
      </c>
      <c r="N4544" s="12">
        <v>3300</v>
      </c>
      <c r="O4544" s="12">
        <v>200</v>
      </c>
      <c r="P4544" s="12">
        <v>0.4</v>
      </c>
      <c r="Q4544" s="12">
        <v>0.9</v>
      </c>
      <c r="R4544" s="12">
        <v>0.8</v>
      </c>
      <c r="S4544" s="12">
        <v>0.85</v>
      </c>
      <c r="T4544" s="12">
        <v>0.75</v>
      </c>
      <c r="U4544" s="12">
        <v>0.95</v>
      </c>
      <c r="V4544" s="12">
        <v>283.14999999999998</v>
      </c>
      <c r="W4544" s="12">
        <v>-160.4926686017252</v>
      </c>
      <c r="X4544" s="12">
        <v>-70.641240305076238</v>
      </c>
      <c r="Y4544" s="12">
        <v>3100</v>
      </c>
      <c r="Z4544" s="12">
        <v>16.5</v>
      </c>
      <c r="AA4544" s="12" t="s">
        <v>2018</v>
      </c>
      <c r="AB4544" s="12"/>
    </row>
    <row r="4545" spans="1:28" x14ac:dyDescent="0.3">
      <c r="A4545" s="12" t="s">
        <v>6486</v>
      </c>
      <c r="B4545" s="12" t="s">
        <v>229</v>
      </c>
      <c r="C4545" s="12" t="s">
        <v>705</v>
      </c>
      <c r="D4545" s="12" t="s">
        <v>235</v>
      </c>
      <c r="E4545" s="12" t="s">
        <v>1886</v>
      </c>
      <c r="F4545" s="12" t="s">
        <v>1863</v>
      </c>
      <c r="G4545" s="12" t="s">
        <v>832</v>
      </c>
      <c r="H4545" s="12" t="b">
        <v>0</v>
      </c>
      <c r="I4545" s="12" t="b">
        <v>0</v>
      </c>
      <c r="J4545" s="12" t="b">
        <v>0</v>
      </c>
      <c r="K4545" s="12" t="b">
        <v>0</v>
      </c>
      <c r="L4545" s="12">
        <v>394.15</v>
      </c>
      <c r="M4545" s="12">
        <v>278.14999999999998</v>
      </c>
      <c r="N4545" s="12">
        <v>3300</v>
      </c>
      <c r="O4545" s="12">
        <v>400</v>
      </c>
      <c r="P4545" s="12">
        <v>0.4</v>
      </c>
      <c r="Q4545" s="12">
        <v>0.9</v>
      </c>
      <c r="R4545" s="12">
        <v>0.8</v>
      </c>
      <c r="S4545" s="12">
        <v>0.85</v>
      </c>
      <c r="T4545" s="12">
        <v>0.75</v>
      </c>
      <c r="U4545" s="12">
        <v>0.95</v>
      </c>
      <c r="V4545" s="12">
        <v>283.14999999999998</v>
      </c>
      <c r="W4545" s="12">
        <v>-127.8819741537237</v>
      </c>
      <c r="X4545" s="12">
        <v>-56.354056763379518</v>
      </c>
      <c r="Y4545" s="12">
        <v>2900</v>
      </c>
      <c r="Z4545" s="12">
        <v>8.25</v>
      </c>
      <c r="AA4545" s="12" t="s">
        <v>2018</v>
      </c>
      <c r="AB4545" s="12"/>
    </row>
    <row r="4546" spans="1:28" x14ac:dyDescent="0.3">
      <c r="A4546" s="12" t="s">
        <v>6487</v>
      </c>
      <c r="B4546" s="12" t="s">
        <v>229</v>
      </c>
      <c r="C4546" s="12" t="s">
        <v>705</v>
      </c>
      <c r="D4546" s="12" t="s">
        <v>235</v>
      </c>
      <c r="E4546" s="12" t="s">
        <v>1886</v>
      </c>
      <c r="F4546" s="12" t="s">
        <v>1863</v>
      </c>
      <c r="G4546" s="12" t="s">
        <v>832</v>
      </c>
      <c r="H4546" s="12" t="b">
        <v>0</v>
      </c>
      <c r="I4546" s="12" t="b">
        <v>0</v>
      </c>
      <c r="J4546" s="12" t="b">
        <v>0</v>
      </c>
      <c r="K4546" s="12" t="b">
        <v>0</v>
      </c>
      <c r="L4546" s="12">
        <v>394.15</v>
      </c>
      <c r="M4546" s="12">
        <v>278.14999999999998</v>
      </c>
      <c r="N4546" s="12">
        <v>3300</v>
      </c>
      <c r="O4546" s="12">
        <v>300</v>
      </c>
      <c r="P4546" s="12">
        <v>0.4</v>
      </c>
      <c r="Q4546" s="12">
        <v>0.9</v>
      </c>
      <c r="R4546" s="12">
        <v>0.8</v>
      </c>
      <c r="S4546" s="12">
        <v>0.85</v>
      </c>
      <c r="T4546" s="12">
        <v>0.75</v>
      </c>
      <c r="U4546" s="12">
        <v>0.95</v>
      </c>
      <c r="V4546" s="12">
        <v>283.14999999999998</v>
      </c>
      <c r="W4546" s="12">
        <v>-141.86016807113</v>
      </c>
      <c r="X4546" s="12">
        <v>-62.481572771949438</v>
      </c>
      <c r="Y4546" s="12">
        <v>3000</v>
      </c>
      <c r="Z4546" s="12">
        <v>11</v>
      </c>
      <c r="AA4546" s="12" t="s">
        <v>2018</v>
      </c>
      <c r="AB4546" s="12"/>
    </row>
    <row r="4547" spans="1:28" x14ac:dyDescent="0.3">
      <c r="A4547" s="12" t="s">
        <v>6488</v>
      </c>
      <c r="B4547" s="12" t="s">
        <v>229</v>
      </c>
      <c r="C4547" s="12" t="s">
        <v>705</v>
      </c>
      <c r="D4547" s="12" t="s">
        <v>235</v>
      </c>
      <c r="E4547" s="12" t="s">
        <v>1886</v>
      </c>
      <c r="F4547" s="12" t="s">
        <v>1863</v>
      </c>
      <c r="G4547" s="12" t="s">
        <v>832</v>
      </c>
      <c r="H4547" s="12" t="b">
        <v>0</v>
      </c>
      <c r="I4547" s="12" t="b">
        <v>0</v>
      </c>
      <c r="J4547" s="12" t="b">
        <v>0</v>
      </c>
      <c r="K4547" s="12" t="b">
        <v>0</v>
      </c>
      <c r="L4547" s="12">
        <v>394.15</v>
      </c>
      <c r="M4547" s="12">
        <v>278.14999999999998</v>
      </c>
      <c r="N4547" s="12">
        <v>3300</v>
      </c>
      <c r="O4547" s="12">
        <v>200</v>
      </c>
      <c r="P4547" s="12">
        <v>0.45</v>
      </c>
      <c r="Q4547" s="12">
        <v>0.9</v>
      </c>
      <c r="R4547" s="12">
        <v>0.8</v>
      </c>
      <c r="S4547" s="12">
        <v>0.85</v>
      </c>
      <c r="T4547" s="12">
        <v>0.75</v>
      </c>
      <c r="U4547" s="12">
        <v>0.95</v>
      </c>
      <c r="V4547" s="12">
        <v>283.14999999999998</v>
      </c>
      <c r="W4547" s="12">
        <v>-46.438494026473073</v>
      </c>
      <c r="X4547" s="12">
        <v>-39.843594372530283</v>
      </c>
      <c r="Y4547" s="12">
        <v>3100</v>
      </c>
      <c r="Z4547" s="12">
        <v>16.5</v>
      </c>
      <c r="AA4547" s="12" t="s">
        <v>2846</v>
      </c>
      <c r="AB4547" s="12"/>
    </row>
    <row r="4548" spans="1:28" x14ac:dyDescent="0.3">
      <c r="A4548" s="12" t="s">
        <v>6489</v>
      </c>
      <c r="B4548" s="12" t="s">
        <v>229</v>
      </c>
      <c r="C4548" s="12" t="s">
        <v>705</v>
      </c>
      <c r="D4548" s="12" t="s">
        <v>235</v>
      </c>
      <c r="E4548" s="12" t="s">
        <v>1886</v>
      </c>
      <c r="F4548" s="12" t="s">
        <v>1863</v>
      </c>
      <c r="G4548" s="12" t="s">
        <v>832</v>
      </c>
      <c r="H4548" s="12" t="b">
        <v>0</v>
      </c>
      <c r="I4548" s="12" t="b">
        <v>0</v>
      </c>
      <c r="J4548" s="12" t="b">
        <v>0</v>
      </c>
      <c r="K4548" s="12" t="b">
        <v>0</v>
      </c>
      <c r="L4548" s="12">
        <v>394.15</v>
      </c>
      <c r="M4548" s="12">
        <v>278.14999999999998</v>
      </c>
      <c r="N4548" s="12">
        <v>3300</v>
      </c>
      <c r="O4548" s="12">
        <v>600</v>
      </c>
      <c r="P4548" s="12">
        <v>0.45</v>
      </c>
      <c r="Q4548" s="12">
        <v>0.9</v>
      </c>
      <c r="R4548" s="12">
        <v>0.8</v>
      </c>
      <c r="S4548" s="12">
        <v>0.85</v>
      </c>
      <c r="T4548" s="12">
        <v>0.75</v>
      </c>
      <c r="U4548" s="12">
        <v>0.95</v>
      </c>
      <c r="V4548" s="12">
        <v>283.14999999999998</v>
      </c>
      <c r="W4548" s="12">
        <v>-31.504373526151561</v>
      </c>
      <c r="X4548" s="12">
        <v>-27.067226216958041</v>
      </c>
      <c r="Y4548" s="12">
        <v>2700</v>
      </c>
      <c r="Z4548" s="12">
        <v>5.5</v>
      </c>
      <c r="AA4548" s="12" t="s">
        <v>2018</v>
      </c>
      <c r="AB4548" s="12"/>
    </row>
    <row r="4549" spans="1:28" x14ac:dyDescent="0.3">
      <c r="A4549" s="12" t="s">
        <v>6490</v>
      </c>
      <c r="B4549" s="12" t="s">
        <v>229</v>
      </c>
      <c r="C4549" s="12" t="s">
        <v>705</v>
      </c>
      <c r="D4549" s="12" t="s">
        <v>235</v>
      </c>
      <c r="E4549" s="12" t="s">
        <v>1886</v>
      </c>
      <c r="F4549" s="12" t="s">
        <v>1863</v>
      </c>
      <c r="G4549" s="12" t="s">
        <v>832</v>
      </c>
      <c r="H4549" s="12" t="b">
        <v>0</v>
      </c>
      <c r="I4549" s="12" t="b">
        <v>0</v>
      </c>
      <c r="J4549" s="12" t="b">
        <v>0</v>
      </c>
      <c r="K4549" s="12" t="b">
        <v>0</v>
      </c>
      <c r="L4549" s="12">
        <v>394.15</v>
      </c>
      <c r="M4549" s="12">
        <v>278.14999999999998</v>
      </c>
      <c r="N4549" s="12">
        <v>3300</v>
      </c>
      <c r="O4549" s="12">
        <v>700</v>
      </c>
      <c r="P4549" s="12">
        <v>0.45</v>
      </c>
      <c r="Q4549" s="12">
        <v>0.9</v>
      </c>
      <c r="R4549" s="12">
        <v>0.8</v>
      </c>
      <c r="S4549" s="12">
        <v>0.85</v>
      </c>
      <c r="T4549" s="12">
        <v>0.75</v>
      </c>
      <c r="U4549" s="12">
        <v>0.95</v>
      </c>
      <c r="V4549" s="12">
        <v>283.14999999999998</v>
      </c>
      <c r="W4549" s="12">
        <v>-29.142062036528689</v>
      </c>
      <c r="X4549" s="12">
        <v>-25.043871916770101</v>
      </c>
      <c r="Y4549" s="12">
        <v>2600</v>
      </c>
      <c r="Z4549" s="12">
        <v>4.7142857142857144</v>
      </c>
      <c r="AA4549" s="12" t="s">
        <v>2018</v>
      </c>
      <c r="AB4549" s="12"/>
    </row>
    <row r="4550" spans="1:28" x14ac:dyDescent="0.3">
      <c r="A4550" s="12" t="s">
        <v>6491</v>
      </c>
      <c r="B4550" s="12" t="s">
        <v>229</v>
      </c>
      <c r="C4550" s="12" t="s">
        <v>705</v>
      </c>
      <c r="D4550" s="12" t="s">
        <v>235</v>
      </c>
      <c r="E4550" s="12" t="s">
        <v>1886</v>
      </c>
      <c r="F4550" s="12" t="s">
        <v>32</v>
      </c>
      <c r="G4550" s="12" t="s">
        <v>32</v>
      </c>
      <c r="H4550" s="12" t="b">
        <v>1</v>
      </c>
      <c r="I4550" s="12" t="b">
        <v>1</v>
      </c>
      <c r="J4550" s="12" t="b">
        <v>0</v>
      </c>
      <c r="K4550" s="12" t="b">
        <v>0</v>
      </c>
      <c r="L4550" s="12">
        <v>394.15</v>
      </c>
      <c r="M4550" s="12">
        <v>278.14999999999998</v>
      </c>
      <c r="N4550" s="12">
        <v>3300</v>
      </c>
      <c r="O4550" s="12">
        <v>200</v>
      </c>
      <c r="P4550" s="12">
        <v>0.5</v>
      </c>
      <c r="Q4550" s="12">
        <v>0.9</v>
      </c>
      <c r="R4550" s="12">
        <v>0.8</v>
      </c>
      <c r="S4550" s="12">
        <v>0.85</v>
      </c>
      <c r="T4550" s="12">
        <v>0.75</v>
      </c>
      <c r="U4550" s="12">
        <v>0.95</v>
      </c>
      <c r="V4550" s="12">
        <v>283.14999999999998</v>
      </c>
      <c r="W4550" s="12">
        <v>1.2251886219586701</v>
      </c>
      <c r="X4550" s="12">
        <v>2.0079479545900991</v>
      </c>
      <c r="Y4550" s="12">
        <v>3100</v>
      </c>
      <c r="Z4550" s="12">
        <v>16.5</v>
      </c>
      <c r="AA4550" s="12"/>
      <c r="AB4550" s="12"/>
    </row>
    <row r="4551" spans="1:28" x14ac:dyDescent="0.3">
      <c r="A4551" s="12" t="s">
        <v>6492</v>
      </c>
      <c r="B4551" s="12" t="s">
        <v>229</v>
      </c>
      <c r="C4551" s="12" t="s">
        <v>705</v>
      </c>
      <c r="D4551" s="12" t="s">
        <v>235</v>
      </c>
      <c r="E4551" s="12" t="s">
        <v>1886</v>
      </c>
      <c r="F4551" s="12" t="s">
        <v>1863</v>
      </c>
      <c r="G4551" s="12" t="s">
        <v>832</v>
      </c>
      <c r="H4551" s="12" t="b">
        <v>0</v>
      </c>
      <c r="I4551" s="12" t="b">
        <v>0</v>
      </c>
      <c r="J4551" s="12" t="b">
        <v>0</v>
      </c>
      <c r="K4551" s="12" t="b">
        <v>0</v>
      </c>
      <c r="L4551" s="12">
        <v>394.15</v>
      </c>
      <c r="M4551" s="12">
        <v>278.14999999999998</v>
      </c>
      <c r="N4551" s="12">
        <v>3300</v>
      </c>
      <c r="O4551" s="12">
        <v>500</v>
      </c>
      <c r="P4551" s="12">
        <v>0.45</v>
      </c>
      <c r="Q4551" s="12">
        <v>0.9</v>
      </c>
      <c r="R4551" s="12">
        <v>0.8</v>
      </c>
      <c r="S4551" s="12">
        <v>0.85</v>
      </c>
      <c r="T4551" s="12">
        <v>0.75</v>
      </c>
      <c r="U4551" s="12">
        <v>0.95</v>
      </c>
      <c r="V4551" s="12">
        <v>283.14999999999998</v>
      </c>
      <c r="W4551" s="12">
        <v>-34.203085419257349</v>
      </c>
      <c r="X4551" s="12">
        <v>-29.37785052118576</v>
      </c>
      <c r="Y4551" s="12">
        <v>2800</v>
      </c>
      <c r="Z4551" s="12">
        <v>6.6</v>
      </c>
      <c r="AA4551" s="12" t="s">
        <v>2018</v>
      </c>
      <c r="AB4551" s="12"/>
    </row>
    <row r="4552" spans="1:28" x14ac:dyDescent="0.3">
      <c r="A4552" s="12" t="s">
        <v>6493</v>
      </c>
      <c r="B4552" s="12" t="s">
        <v>229</v>
      </c>
      <c r="C4552" s="12" t="s">
        <v>705</v>
      </c>
      <c r="D4552" s="12" t="s">
        <v>235</v>
      </c>
      <c r="E4552" s="12" t="s">
        <v>1886</v>
      </c>
      <c r="F4552" s="12" t="s">
        <v>1863</v>
      </c>
      <c r="G4552" s="12" t="s">
        <v>832</v>
      </c>
      <c r="H4552" s="12" t="b">
        <v>0</v>
      </c>
      <c r="I4552" s="12" t="b">
        <v>0</v>
      </c>
      <c r="J4552" s="12" t="b">
        <v>0</v>
      </c>
      <c r="K4552" s="12" t="b">
        <v>0</v>
      </c>
      <c r="L4552" s="12">
        <v>394.15</v>
      </c>
      <c r="M4552" s="12">
        <v>278.14999999999998</v>
      </c>
      <c r="N4552" s="12">
        <v>3300</v>
      </c>
      <c r="O4552" s="12">
        <v>400</v>
      </c>
      <c r="P4552" s="12">
        <v>0.45</v>
      </c>
      <c r="Q4552" s="12">
        <v>0.9</v>
      </c>
      <c r="R4552" s="12">
        <v>0.8</v>
      </c>
      <c r="S4552" s="12">
        <v>0.85</v>
      </c>
      <c r="T4552" s="12">
        <v>0.75</v>
      </c>
      <c r="U4552" s="12">
        <v>0.95</v>
      </c>
      <c r="V4552" s="12">
        <v>283.14999999999998</v>
      </c>
      <c r="W4552" s="12">
        <v>-37.375249920533271</v>
      </c>
      <c r="X4552" s="12">
        <v>-32.09283408561015</v>
      </c>
      <c r="Y4552" s="12">
        <v>2900</v>
      </c>
      <c r="Z4552" s="12">
        <v>8.25</v>
      </c>
      <c r="AA4552" s="12" t="s">
        <v>2846</v>
      </c>
      <c r="AB4552" s="12"/>
    </row>
    <row r="4553" spans="1:28" x14ac:dyDescent="0.3">
      <c r="A4553" s="12" t="s">
        <v>6494</v>
      </c>
      <c r="B4553" s="12" t="s">
        <v>229</v>
      </c>
      <c r="C4553" s="12" t="s">
        <v>705</v>
      </c>
      <c r="D4553" s="12" t="s">
        <v>235</v>
      </c>
      <c r="E4553" s="12" t="s">
        <v>1886</v>
      </c>
      <c r="F4553" s="12" t="s">
        <v>1863</v>
      </c>
      <c r="G4553" s="12" t="s">
        <v>832</v>
      </c>
      <c r="H4553" s="12" t="b">
        <v>0</v>
      </c>
      <c r="I4553" s="12" t="b">
        <v>0</v>
      </c>
      <c r="J4553" s="12" t="b">
        <v>0</v>
      </c>
      <c r="K4553" s="12" t="b">
        <v>0</v>
      </c>
      <c r="L4553" s="12">
        <v>394.15</v>
      </c>
      <c r="M4553" s="12">
        <v>278.14999999999998</v>
      </c>
      <c r="N4553" s="12">
        <v>3300</v>
      </c>
      <c r="O4553" s="12">
        <v>300</v>
      </c>
      <c r="P4553" s="12">
        <v>0.45</v>
      </c>
      <c r="Q4553" s="12">
        <v>0.9</v>
      </c>
      <c r="R4553" s="12">
        <v>0.8</v>
      </c>
      <c r="S4553" s="12">
        <v>0.85</v>
      </c>
      <c r="T4553" s="12">
        <v>0.75</v>
      </c>
      <c r="U4553" s="12">
        <v>0.95</v>
      </c>
      <c r="V4553" s="12">
        <v>283.14999999999998</v>
      </c>
      <c r="W4553" s="12">
        <v>-41.271745229972638</v>
      </c>
      <c r="X4553" s="12">
        <v>-35.426109602179011</v>
      </c>
      <c r="Y4553" s="12">
        <v>3000</v>
      </c>
      <c r="Z4553" s="12">
        <v>11</v>
      </c>
      <c r="AA4553" s="12" t="s">
        <v>2846</v>
      </c>
      <c r="AB4553" s="12"/>
    </row>
    <row r="4554" spans="1:28" x14ac:dyDescent="0.3">
      <c r="A4554" s="12" t="s">
        <v>6495</v>
      </c>
      <c r="B4554" s="12" t="s">
        <v>229</v>
      </c>
      <c r="C4554" s="12" t="s">
        <v>705</v>
      </c>
      <c r="D4554" s="12" t="s">
        <v>235</v>
      </c>
      <c r="E4554" s="12" t="s">
        <v>1886</v>
      </c>
      <c r="F4554" s="12" t="s">
        <v>32</v>
      </c>
      <c r="G4554" s="12" t="s">
        <v>32</v>
      </c>
      <c r="H4554" s="12" t="b">
        <v>1</v>
      </c>
      <c r="I4554" s="12" t="b">
        <v>1</v>
      </c>
      <c r="J4554" s="12" t="b">
        <v>0</v>
      </c>
      <c r="K4554" s="12" t="b">
        <v>0</v>
      </c>
      <c r="L4554" s="12">
        <v>394.15</v>
      </c>
      <c r="M4554" s="12">
        <v>278.14999999999998</v>
      </c>
      <c r="N4554" s="12">
        <v>3300</v>
      </c>
      <c r="O4554" s="12">
        <v>300</v>
      </c>
      <c r="P4554" s="12">
        <v>0.5</v>
      </c>
      <c r="Q4554" s="12">
        <v>0.9</v>
      </c>
      <c r="R4554" s="12">
        <v>0.8</v>
      </c>
      <c r="S4554" s="12">
        <v>0.85</v>
      </c>
      <c r="T4554" s="12">
        <v>0.75</v>
      </c>
      <c r="U4554" s="12">
        <v>0.95</v>
      </c>
      <c r="V4554" s="12">
        <v>283.14999999999998</v>
      </c>
      <c r="W4554" s="12">
        <v>0.82656999187700009</v>
      </c>
      <c r="X4554" s="12">
        <v>1.354712574044145</v>
      </c>
      <c r="Y4554" s="12">
        <v>3000</v>
      </c>
      <c r="Z4554" s="12">
        <v>11</v>
      </c>
      <c r="AA4554" s="12"/>
      <c r="AB4554" s="12"/>
    </row>
    <row r="4555" spans="1:28" x14ac:dyDescent="0.3">
      <c r="A4555" s="12" t="s">
        <v>6496</v>
      </c>
      <c r="B4555" s="12" t="s">
        <v>229</v>
      </c>
      <c r="C4555" s="12" t="s">
        <v>705</v>
      </c>
      <c r="D4555" s="12" t="s">
        <v>235</v>
      </c>
      <c r="E4555" s="12" t="s">
        <v>1886</v>
      </c>
      <c r="F4555" s="12" t="s">
        <v>32</v>
      </c>
      <c r="G4555" s="12" t="s">
        <v>32</v>
      </c>
      <c r="H4555" s="12" t="b">
        <v>1</v>
      </c>
      <c r="I4555" s="12" t="b">
        <v>1</v>
      </c>
      <c r="J4555" s="12" t="b">
        <v>0</v>
      </c>
      <c r="K4555" s="12" t="b">
        <v>0</v>
      </c>
      <c r="L4555" s="12">
        <v>394.15</v>
      </c>
      <c r="M4555" s="12">
        <v>278.14999999999998</v>
      </c>
      <c r="N4555" s="12">
        <v>3300</v>
      </c>
      <c r="O4555" s="12">
        <v>700</v>
      </c>
      <c r="P4555" s="12">
        <v>0.5</v>
      </c>
      <c r="Q4555" s="12">
        <v>0.9</v>
      </c>
      <c r="R4555" s="12">
        <v>0.8</v>
      </c>
      <c r="S4555" s="12">
        <v>0.85</v>
      </c>
      <c r="T4555" s="12">
        <v>0.75</v>
      </c>
      <c r="U4555" s="12">
        <v>0.95</v>
      </c>
      <c r="V4555" s="12">
        <v>283.14999999999998</v>
      </c>
      <c r="W4555" s="12">
        <v>6.6829148269379995E-2</v>
      </c>
      <c r="X4555" s="12">
        <v>0.10955892735622801</v>
      </c>
      <c r="Y4555" s="12">
        <v>2600</v>
      </c>
      <c r="Z4555" s="12">
        <v>4.7142857142857144</v>
      </c>
      <c r="AA4555" s="12"/>
      <c r="AB4555" s="12"/>
    </row>
    <row r="4556" spans="1:28" x14ac:dyDescent="0.3">
      <c r="A4556" s="12" t="s">
        <v>6497</v>
      </c>
      <c r="B4556" s="12" t="s">
        <v>229</v>
      </c>
      <c r="C4556" s="12" t="s">
        <v>705</v>
      </c>
      <c r="D4556" s="12" t="s">
        <v>235</v>
      </c>
      <c r="E4556" s="12" t="s">
        <v>1886</v>
      </c>
      <c r="F4556" s="12" t="s">
        <v>32</v>
      </c>
      <c r="G4556" s="12" t="s">
        <v>32</v>
      </c>
      <c r="H4556" s="12" t="b">
        <v>1</v>
      </c>
      <c r="I4556" s="12" t="b">
        <v>1</v>
      </c>
      <c r="J4556" s="12" t="b">
        <v>0</v>
      </c>
      <c r="K4556" s="12" t="b">
        <v>0</v>
      </c>
      <c r="L4556" s="12">
        <v>394.15</v>
      </c>
      <c r="M4556" s="12">
        <v>278.14999999999998</v>
      </c>
      <c r="N4556" s="12">
        <v>3300</v>
      </c>
      <c r="O4556" s="12">
        <v>400</v>
      </c>
      <c r="P4556" s="12">
        <v>0.5</v>
      </c>
      <c r="Q4556" s="12">
        <v>0.9</v>
      </c>
      <c r="R4556" s="12">
        <v>0.8</v>
      </c>
      <c r="S4556" s="12">
        <v>0.85</v>
      </c>
      <c r="T4556" s="12">
        <v>0.75</v>
      </c>
      <c r="U4556" s="12">
        <v>0.95</v>
      </c>
      <c r="V4556" s="12">
        <v>283.14999999999998</v>
      </c>
      <c r="W4556" s="12">
        <v>0.5520280257115</v>
      </c>
      <c r="X4556" s="12">
        <v>0.90480077135746395</v>
      </c>
      <c r="Y4556" s="12">
        <v>2900</v>
      </c>
      <c r="Z4556" s="12">
        <v>8.25</v>
      </c>
      <c r="AA4556" s="12"/>
      <c r="AB4556" s="12"/>
    </row>
    <row r="4557" spans="1:28" x14ac:dyDescent="0.3">
      <c r="A4557" s="12" t="s">
        <v>6498</v>
      </c>
      <c r="B4557" s="12" t="s">
        <v>229</v>
      </c>
      <c r="C4557" s="12" t="s">
        <v>705</v>
      </c>
      <c r="D4557" s="12" t="s">
        <v>235</v>
      </c>
      <c r="E4557" s="12" t="s">
        <v>1886</v>
      </c>
      <c r="F4557" s="12" t="s">
        <v>1861</v>
      </c>
      <c r="G4557" s="12" t="s">
        <v>1861</v>
      </c>
      <c r="H4557" s="12" t="b">
        <v>1</v>
      </c>
      <c r="I4557" s="12" t="b">
        <v>0</v>
      </c>
      <c r="J4557" s="12" t="b">
        <v>0</v>
      </c>
      <c r="K4557" s="12" t="b">
        <v>0</v>
      </c>
      <c r="L4557" s="12">
        <v>394.15</v>
      </c>
      <c r="M4557" s="12">
        <v>278.14999999999998</v>
      </c>
      <c r="N4557" s="12">
        <v>3300</v>
      </c>
      <c r="O4557" s="12">
        <v>200</v>
      </c>
      <c r="P4557" s="12">
        <v>0.55000000000000004</v>
      </c>
      <c r="Q4557" s="12">
        <v>0.9</v>
      </c>
      <c r="R4557" s="12">
        <v>0.8</v>
      </c>
      <c r="S4557" s="12">
        <v>0.85</v>
      </c>
      <c r="T4557" s="12">
        <v>0.75</v>
      </c>
      <c r="U4557" s="12">
        <v>0.95</v>
      </c>
      <c r="V4557" s="12">
        <v>283.14999999999998</v>
      </c>
      <c r="W4557" s="12">
        <v>11.02106444303393</v>
      </c>
      <c r="X4557" s="12">
        <v>32.766037776288677</v>
      </c>
      <c r="Y4557" s="12">
        <v>3100</v>
      </c>
      <c r="Z4557" s="12">
        <v>16.5</v>
      </c>
      <c r="AA4557" s="12" t="s">
        <v>1268</v>
      </c>
      <c r="AB4557" s="12"/>
    </row>
    <row r="4558" spans="1:28" x14ac:dyDescent="0.3">
      <c r="A4558" s="12" t="s">
        <v>6499</v>
      </c>
      <c r="B4558" s="12" t="s">
        <v>229</v>
      </c>
      <c r="C4558" s="12" t="s">
        <v>705</v>
      </c>
      <c r="D4558" s="12" t="s">
        <v>235</v>
      </c>
      <c r="E4558" s="12" t="s">
        <v>1886</v>
      </c>
      <c r="F4558" s="12" t="s">
        <v>32</v>
      </c>
      <c r="G4558" s="12" t="s">
        <v>32</v>
      </c>
      <c r="H4558" s="12" t="b">
        <v>1</v>
      </c>
      <c r="I4558" s="12" t="b">
        <v>1</v>
      </c>
      <c r="J4558" s="12" t="b">
        <v>0</v>
      </c>
      <c r="K4558" s="12" t="b">
        <v>0</v>
      </c>
      <c r="L4558" s="12">
        <v>394.15</v>
      </c>
      <c r="M4558" s="12">
        <v>278.14999999999998</v>
      </c>
      <c r="N4558" s="12">
        <v>3300</v>
      </c>
      <c r="O4558" s="12">
        <v>600</v>
      </c>
      <c r="P4558" s="12">
        <v>0.5</v>
      </c>
      <c r="Q4558" s="12">
        <v>0.9</v>
      </c>
      <c r="R4558" s="12">
        <v>0.8</v>
      </c>
      <c r="S4558" s="12">
        <v>0.85</v>
      </c>
      <c r="T4558" s="12">
        <v>0.75</v>
      </c>
      <c r="U4558" s="12">
        <v>0.95</v>
      </c>
      <c r="V4558" s="12">
        <v>283.14999999999998</v>
      </c>
      <c r="W4558" s="12">
        <v>0.19109590358868001</v>
      </c>
      <c r="X4558" s="12">
        <v>0.31325739468286867</v>
      </c>
      <c r="Y4558" s="12">
        <v>2700</v>
      </c>
      <c r="Z4558" s="12">
        <v>5.5</v>
      </c>
      <c r="AA4558" s="12"/>
      <c r="AB4558" s="12"/>
    </row>
    <row r="4559" spans="1:28" x14ac:dyDescent="0.3">
      <c r="A4559" s="12" t="s">
        <v>6500</v>
      </c>
      <c r="B4559" s="12" t="s">
        <v>229</v>
      </c>
      <c r="C4559" s="12" t="s">
        <v>705</v>
      </c>
      <c r="D4559" s="12" t="s">
        <v>235</v>
      </c>
      <c r="E4559" s="12" t="s">
        <v>1886</v>
      </c>
      <c r="F4559" s="12" t="s">
        <v>32</v>
      </c>
      <c r="G4559" s="12" t="s">
        <v>32</v>
      </c>
      <c r="H4559" s="12" t="b">
        <v>1</v>
      </c>
      <c r="I4559" s="12" t="b">
        <v>1</v>
      </c>
      <c r="J4559" s="12" t="b">
        <v>0</v>
      </c>
      <c r="K4559" s="12" t="b">
        <v>0</v>
      </c>
      <c r="L4559" s="12">
        <v>394.15</v>
      </c>
      <c r="M4559" s="12">
        <v>278.14999999999998</v>
      </c>
      <c r="N4559" s="12">
        <v>3300</v>
      </c>
      <c r="O4559" s="12">
        <v>300</v>
      </c>
      <c r="P4559" s="12">
        <v>0.55000000000000004</v>
      </c>
      <c r="Q4559" s="12">
        <v>0.9</v>
      </c>
      <c r="R4559" s="12">
        <v>0.8</v>
      </c>
      <c r="S4559" s="12">
        <v>0.85</v>
      </c>
      <c r="T4559" s="12">
        <v>0.75</v>
      </c>
      <c r="U4559" s="12">
        <v>0.95</v>
      </c>
      <c r="V4559" s="12">
        <v>283.14999999999998</v>
      </c>
      <c r="W4559" s="12">
        <v>9.5621139285310299</v>
      </c>
      <c r="X4559" s="12">
        <v>28.42556380826645</v>
      </c>
      <c r="Y4559" s="12">
        <v>3000</v>
      </c>
      <c r="Z4559" s="12">
        <v>11</v>
      </c>
      <c r="AA4559" s="12"/>
      <c r="AB4559" s="12"/>
    </row>
    <row r="4560" spans="1:28" x14ac:dyDescent="0.3">
      <c r="A4560" s="12" t="s">
        <v>6501</v>
      </c>
      <c r="B4560" s="12" t="s">
        <v>229</v>
      </c>
      <c r="C4560" s="12" t="s">
        <v>705</v>
      </c>
      <c r="D4560" s="12" t="s">
        <v>235</v>
      </c>
      <c r="E4560" s="12" t="s">
        <v>1886</v>
      </c>
      <c r="F4560" s="12" t="s">
        <v>32</v>
      </c>
      <c r="G4560" s="12" t="s">
        <v>32</v>
      </c>
      <c r="H4560" s="12" t="b">
        <v>1</v>
      </c>
      <c r="I4560" s="12" t="b">
        <v>1</v>
      </c>
      <c r="J4560" s="12" t="b">
        <v>0</v>
      </c>
      <c r="K4560" s="12" t="b">
        <v>0</v>
      </c>
      <c r="L4560" s="12">
        <v>394.15</v>
      </c>
      <c r="M4560" s="12">
        <v>278.14999999999998</v>
      </c>
      <c r="N4560" s="12">
        <v>3300</v>
      </c>
      <c r="O4560" s="12">
        <v>500</v>
      </c>
      <c r="P4560" s="12">
        <v>0.5</v>
      </c>
      <c r="Q4560" s="12">
        <v>0.9</v>
      </c>
      <c r="R4560" s="12">
        <v>0.8</v>
      </c>
      <c r="S4560" s="12">
        <v>0.85</v>
      </c>
      <c r="T4560" s="12">
        <v>0.75</v>
      </c>
      <c r="U4560" s="12">
        <v>0.95</v>
      </c>
      <c r="V4560" s="12">
        <v>283.14999999999998</v>
      </c>
      <c r="W4560" s="12">
        <v>0.34835956318990002</v>
      </c>
      <c r="X4560" s="12">
        <v>0.57101492734617221</v>
      </c>
      <c r="Y4560" s="12">
        <v>2800</v>
      </c>
      <c r="Z4560" s="12">
        <v>6.6</v>
      </c>
      <c r="AA4560" s="12"/>
      <c r="AB4560" s="12"/>
    </row>
    <row r="4561" spans="1:28" x14ac:dyDescent="0.3">
      <c r="A4561" s="12" t="s">
        <v>6502</v>
      </c>
      <c r="B4561" s="12" t="s">
        <v>229</v>
      </c>
      <c r="C4561" s="12" t="s">
        <v>705</v>
      </c>
      <c r="D4561" s="12" t="s">
        <v>235</v>
      </c>
      <c r="E4561" s="12" t="s">
        <v>1886</v>
      </c>
      <c r="F4561" s="12" t="s">
        <v>32</v>
      </c>
      <c r="G4561" s="12" t="s">
        <v>32</v>
      </c>
      <c r="H4561" s="12" t="b">
        <v>1</v>
      </c>
      <c r="I4561" s="12" t="b">
        <v>1</v>
      </c>
      <c r="J4561" s="12" t="b">
        <v>0</v>
      </c>
      <c r="K4561" s="12" t="b">
        <v>0</v>
      </c>
      <c r="L4561" s="12">
        <v>394.15</v>
      </c>
      <c r="M4561" s="12">
        <v>278.14999999999998</v>
      </c>
      <c r="N4561" s="12">
        <v>3300</v>
      </c>
      <c r="O4561" s="12">
        <v>400</v>
      </c>
      <c r="P4561" s="12">
        <v>0.55000000000000004</v>
      </c>
      <c r="Q4561" s="12">
        <v>0.9</v>
      </c>
      <c r="R4561" s="12">
        <v>0.8</v>
      </c>
      <c r="S4561" s="12">
        <v>0.85</v>
      </c>
      <c r="T4561" s="12">
        <v>0.75</v>
      </c>
      <c r="U4561" s="12">
        <v>0.95</v>
      </c>
      <c r="V4561" s="12">
        <v>283.14999999999998</v>
      </c>
      <c r="W4561" s="12">
        <v>8.4743534856472493</v>
      </c>
      <c r="X4561" s="12">
        <v>25.18953965421024</v>
      </c>
      <c r="Y4561" s="12">
        <v>2900</v>
      </c>
      <c r="Z4561" s="12">
        <v>8.25</v>
      </c>
      <c r="AA4561" s="12"/>
      <c r="AB4561" s="12"/>
    </row>
    <row r="4562" spans="1:28" x14ac:dyDescent="0.3">
      <c r="A4562" s="12" t="s">
        <v>6503</v>
      </c>
      <c r="B4562" s="12" t="s">
        <v>229</v>
      </c>
      <c r="C4562" s="12" t="s">
        <v>705</v>
      </c>
      <c r="D4562" s="12" t="s">
        <v>235</v>
      </c>
      <c r="E4562" s="12" t="s">
        <v>1886</v>
      </c>
      <c r="F4562" s="12" t="s">
        <v>1861</v>
      </c>
      <c r="G4562" s="12" t="s">
        <v>1861</v>
      </c>
      <c r="H4562" s="12" t="b">
        <v>1</v>
      </c>
      <c r="I4562" s="12" t="b">
        <v>0</v>
      </c>
      <c r="J4562" s="12" t="b">
        <v>0</v>
      </c>
      <c r="K4562" s="12" t="b">
        <v>0</v>
      </c>
      <c r="L4562" s="12">
        <v>394.15</v>
      </c>
      <c r="M4562" s="12">
        <v>278.14999999999998</v>
      </c>
      <c r="N4562" s="12">
        <v>3300</v>
      </c>
      <c r="O4562" s="12">
        <v>200</v>
      </c>
      <c r="P4562" s="12">
        <v>0.6</v>
      </c>
      <c r="Q4562" s="12">
        <v>0.9</v>
      </c>
      <c r="R4562" s="12">
        <v>0.8</v>
      </c>
      <c r="S4562" s="12">
        <v>0.85</v>
      </c>
      <c r="T4562" s="12">
        <v>0.75</v>
      </c>
      <c r="U4562" s="12">
        <v>0.95</v>
      </c>
      <c r="V4562" s="12">
        <v>283.14999999999998</v>
      </c>
      <c r="W4562" s="12">
        <v>13.76433844215577</v>
      </c>
      <c r="X4562" s="12">
        <v>50.980266475930321</v>
      </c>
      <c r="Y4562" s="12">
        <v>3100</v>
      </c>
      <c r="Z4562" s="12">
        <v>16.5</v>
      </c>
      <c r="AA4562" s="12" t="s">
        <v>1268</v>
      </c>
      <c r="AB4562" s="12"/>
    </row>
    <row r="4563" spans="1:28" x14ac:dyDescent="0.3">
      <c r="A4563" s="12" t="s">
        <v>6504</v>
      </c>
      <c r="B4563" s="12" t="s">
        <v>229</v>
      </c>
      <c r="C4563" s="12" t="s">
        <v>705</v>
      </c>
      <c r="D4563" s="12" t="s">
        <v>235</v>
      </c>
      <c r="E4563" s="12" t="s">
        <v>1886</v>
      </c>
      <c r="F4563" s="12" t="s">
        <v>32</v>
      </c>
      <c r="G4563" s="12" t="s">
        <v>32</v>
      </c>
      <c r="H4563" s="12" t="b">
        <v>1</v>
      </c>
      <c r="I4563" s="12" t="b">
        <v>1</v>
      </c>
      <c r="J4563" s="12" t="b">
        <v>0</v>
      </c>
      <c r="K4563" s="12" t="b">
        <v>0</v>
      </c>
      <c r="L4563" s="12">
        <v>394.15</v>
      </c>
      <c r="M4563" s="12">
        <v>278.14999999999998</v>
      </c>
      <c r="N4563" s="12">
        <v>3300</v>
      </c>
      <c r="O4563" s="12">
        <v>700</v>
      </c>
      <c r="P4563" s="12">
        <v>0.55000000000000004</v>
      </c>
      <c r="Q4563" s="12">
        <v>0.9</v>
      </c>
      <c r="R4563" s="12">
        <v>0.8</v>
      </c>
      <c r="S4563" s="12">
        <v>0.85</v>
      </c>
      <c r="T4563" s="12">
        <v>0.75</v>
      </c>
      <c r="U4563" s="12">
        <v>0.95</v>
      </c>
      <c r="V4563" s="12">
        <v>283.14999999999998</v>
      </c>
      <c r="W4563" s="12">
        <v>6.2646974164331901</v>
      </c>
      <c r="X4563" s="12">
        <v>18.6190466705918</v>
      </c>
      <c r="Y4563" s="12">
        <v>2600</v>
      </c>
      <c r="Z4563" s="12">
        <v>4.7142857142857144</v>
      </c>
      <c r="AA4563" s="12"/>
      <c r="AB4563" s="12"/>
    </row>
    <row r="4564" spans="1:28" x14ac:dyDescent="0.3">
      <c r="A4564" s="12" t="s">
        <v>6505</v>
      </c>
      <c r="B4564" s="12" t="s">
        <v>229</v>
      </c>
      <c r="C4564" s="12" t="s">
        <v>705</v>
      </c>
      <c r="D4564" s="12" t="s">
        <v>235</v>
      </c>
      <c r="E4564" s="12" t="s">
        <v>1886</v>
      </c>
      <c r="F4564" s="12" t="s">
        <v>32</v>
      </c>
      <c r="G4564" s="12" t="s">
        <v>32</v>
      </c>
      <c r="H4564" s="12" t="b">
        <v>1</v>
      </c>
      <c r="I4564" s="12" t="b">
        <v>1</v>
      </c>
      <c r="J4564" s="12" t="b">
        <v>0</v>
      </c>
      <c r="K4564" s="12" t="b">
        <v>0</v>
      </c>
      <c r="L4564" s="12">
        <v>394.15</v>
      </c>
      <c r="M4564" s="12">
        <v>278.14999999999998</v>
      </c>
      <c r="N4564" s="12">
        <v>3300</v>
      </c>
      <c r="O4564" s="12">
        <v>600</v>
      </c>
      <c r="P4564" s="12">
        <v>0.55000000000000004</v>
      </c>
      <c r="Q4564" s="12">
        <v>0.9</v>
      </c>
      <c r="R4564" s="12">
        <v>0.8</v>
      </c>
      <c r="S4564" s="12">
        <v>0.85</v>
      </c>
      <c r="T4564" s="12">
        <v>0.75</v>
      </c>
      <c r="U4564" s="12">
        <v>0.95</v>
      </c>
      <c r="V4564" s="12">
        <v>283.14999999999998</v>
      </c>
      <c r="W4564" s="12">
        <v>6.8847225079437591</v>
      </c>
      <c r="X4564" s="12">
        <v>20.462326453713839</v>
      </c>
      <c r="Y4564" s="12">
        <v>2700</v>
      </c>
      <c r="Z4564" s="12">
        <v>5.5</v>
      </c>
      <c r="AA4564" s="12"/>
      <c r="AB4564" s="12"/>
    </row>
    <row r="4565" spans="1:28" x14ac:dyDescent="0.3">
      <c r="A4565" s="12" t="s">
        <v>6506</v>
      </c>
      <c r="B4565" s="12" t="s">
        <v>229</v>
      </c>
      <c r="C4565" s="12" t="s">
        <v>705</v>
      </c>
      <c r="D4565" s="12" t="s">
        <v>235</v>
      </c>
      <c r="E4565" s="12" t="s">
        <v>1886</v>
      </c>
      <c r="F4565" s="12" t="s">
        <v>1861</v>
      </c>
      <c r="G4565" s="12" t="s">
        <v>1861</v>
      </c>
      <c r="H4565" s="12" t="b">
        <v>1</v>
      </c>
      <c r="I4565" s="12" t="b">
        <v>0</v>
      </c>
      <c r="J4565" s="12" t="b">
        <v>0</v>
      </c>
      <c r="K4565" s="12" t="b">
        <v>0</v>
      </c>
      <c r="L4565" s="12">
        <v>394.15</v>
      </c>
      <c r="M4565" s="12">
        <v>278.14999999999998</v>
      </c>
      <c r="N4565" s="12">
        <v>3300</v>
      </c>
      <c r="O4565" s="12">
        <v>300</v>
      </c>
      <c r="P4565" s="12">
        <v>0.6</v>
      </c>
      <c r="Q4565" s="12">
        <v>0.9</v>
      </c>
      <c r="R4565" s="12">
        <v>0.8</v>
      </c>
      <c r="S4565" s="12">
        <v>0.85</v>
      </c>
      <c r="T4565" s="12">
        <v>0.75</v>
      </c>
      <c r="U4565" s="12">
        <v>0.95</v>
      </c>
      <c r="V4565" s="12">
        <v>283.14999999999998</v>
      </c>
      <c r="W4565" s="12">
        <v>13.04939180461021</v>
      </c>
      <c r="X4565" s="12">
        <v>55.40318195861213</v>
      </c>
      <c r="Y4565" s="12">
        <v>3000</v>
      </c>
      <c r="Z4565" s="12">
        <v>11</v>
      </c>
      <c r="AA4565" s="12" t="s">
        <v>1268</v>
      </c>
      <c r="AB4565" s="12"/>
    </row>
    <row r="4566" spans="1:28" x14ac:dyDescent="0.3">
      <c r="A4566" s="12" t="s">
        <v>6507</v>
      </c>
      <c r="B4566" s="12" t="s">
        <v>229</v>
      </c>
      <c r="C4566" s="12" t="s">
        <v>705</v>
      </c>
      <c r="D4566" s="12" t="s">
        <v>235</v>
      </c>
      <c r="E4566" s="12" t="s">
        <v>1886</v>
      </c>
      <c r="F4566" s="12" t="s">
        <v>32</v>
      </c>
      <c r="G4566" s="12" t="s">
        <v>32</v>
      </c>
      <c r="H4566" s="12" t="b">
        <v>1</v>
      </c>
      <c r="I4566" s="12" t="b">
        <v>1</v>
      </c>
      <c r="J4566" s="12" t="b">
        <v>0</v>
      </c>
      <c r="K4566" s="12" t="b">
        <v>0</v>
      </c>
      <c r="L4566" s="12">
        <v>394.15</v>
      </c>
      <c r="M4566" s="12">
        <v>278.14999999999998</v>
      </c>
      <c r="N4566" s="12">
        <v>3300</v>
      </c>
      <c r="O4566" s="12">
        <v>500</v>
      </c>
      <c r="P4566" s="12">
        <v>0.55000000000000004</v>
      </c>
      <c r="Q4566" s="12">
        <v>0.9</v>
      </c>
      <c r="R4566" s="12">
        <v>0.8</v>
      </c>
      <c r="S4566" s="12">
        <v>0.85</v>
      </c>
      <c r="T4566" s="12">
        <v>0.75</v>
      </c>
      <c r="U4566" s="12">
        <v>0.95</v>
      </c>
      <c r="V4566" s="12">
        <v>283.14999999999998</v>
      </c>
      <c r="W4566" s="12">
        <v>7.6073476769139798</v>
      </c>
      <c r="X4566" s="12">
        <v>22.61099648140075</v>
      </c>
      <c r="Y4566" s="12">
        <v>2800</v>
      </c>
      <c r="Z4566" s="12">
        <v>6.6</v>
      </c>
      <c r="AA4566" s="12"/>
      <c r="AB4566" s="12"/>
    </row>
    <row r="4567" spans="1:28" x14ac:dyDescent="0.3">
      <c r="A4567" s="12" t="s">
        <v>6508</v>
      </c>
      <c r="B4567" s="12" t="s">
        <v>229</v>
      </c>
      <c r="C4567" s="12" t="s">
        <v>705</v>
      </c>
      <c r="D4567" s="12" t="s">
        <v>235</v>
      </c>
      <c r="E4567" s="12" t="s">
        <v>1886</v>
      </c>
      <c r="F4567" s="12" t="s">
        <v>32</v>
      </c>
      <c r="G4567" s="12" t="s">
        <v>32</v>
      </c>
      <c r="H4567" s="12" t="b">
        <v>1</v>
      </c>
      <c r="I4567" s="12" t="b">
        <v>1</v>
      </c>
      <c r="J4567" s="12" t="b">
        <v>0</v>
      </c>
      <c r="K4567" s="12" t="b">
        <v>0</v>
      </c>
      <c r="L4567" s="12">
        <v>394.15</v>
      </c>
      <c r="M4567" s="12">
        <v>278.14999999999998</v>
      </c>
      <c r="N4567" s="12">
        <v>3300</v>
      </c>
      <c r="O4567" s="12">
        <v>400</v>
      </c>
      <c r="P4567" s="12">
        <v>0.6</v>
      </c>
      <c r="Q4567" s="12">
        <v>0.9</v>
      </c>
      <c r="R4567" s="12">
        <v>0.8</v>
      </c>
      <c r="S4567" s="12">
        <v>0.85</v>
      </c>
      <c r="T4567" s="12">
        <v>0.75</v>
      </c>
      <c r="U4567" s="12">
        <v>0.95</v>
      </c>
      <c r="V4567" s="12">
        <v>283.14999999999998</v>
      </c>
      <c r="W4567" s="12">
        <v>11.636770992292551</v>
      </c>
      <c r="X4567" s="12">
        <v>49.396126240716981</v>
      </c>
      <c r="Y4567" s="12">
        <v>2900</v>
      </c>
      <c r="Z4567" s="12">
        <v>8.25</v>
      </c>
      <c r="AA4567" s="12"/>
      <c r="AB4567" s="12"/>
    </row>
    <row r="4568" spans="1:28" x14ac:dyDescent="0.3">
      <c r="A4568" s="12" t="s">
        <v>6509</v>
      </c>
      <c r="B4568" s="12" t="s">
        <v>229</v>
      </c>
      <c r="C4568" s="12" t="s">
        <v>705</v>
      </c>
      <c r="D4568" s="12" t="s">
        <v>235</v>
      </c>
      <c r="E4568" s="12" t="s">
        <v>1886</v>
      </c>
      <c r="F4568" s="12" t="s">
        <v>32</v>
      </c>
      <c r="G4568" s="12" t="s">
        <v>32</v>
      </c>
      <c r="H4568" s="12" t="b">
        <v>1</v>
      </c>
      <c r="I4568" s="12" t="b">
        <v>1</v>
      </c>
      <c r="J4568" s="12" t="b">
        <v>0</v>
      </c>
      <c r="K4568" s="12" t="b">
        <v>0</v>
      </c>
      <c r="L4568" s="12">
        <v>394.15</v>
      </c>
      <c r="M4568" s="12">
        <v>278.14999999999998</v>
      </c>
      <c r="N4568" s="12">
        <v>3300</v>
      </c>
      <c r="O4568" s="12">
        <v>700</v>
      </c>
      <c r="P4568" s="12">
        <v>0.6</v>
      </c>
      <c r="Q4568" s="12">
        <v>0.9</v>
      </c>
      <c r="R4568" s="12">
        <v>0.8</v>
      </c>
      <c r="S4568" s="12">
        <v>0.85</v>
      </c>
      <c r="T4568" s="12">
        <v>0.75</v>
      </c>
      <c r="U4568" s="12">
        <v>0.95</v>
      </c>
      <c r="V4568" s="12">
        <v>283.14999999999998</v>
      </c>
      <c r="W4568" s="12">
        <v>8.7395077685943505</v>
      </c>
      <c r="X4568" s="12">
        <v>37.085161322319173</v>
      </c>
      <c r="Y4568" s="12">
        <v>2600</v>
      </c>
      <c r="Z4568" s="12">
        <v>4.7142857142857144</v>
      </c>
      <c r="AA4568" s="12"/>
      <c r="AB4568" s="12"/>
    </row>
    <row r="4569" spans="1:28" x14ac:dyDescent="0.3">
      <c r="A4569" s="12" t="s">
        <v>6510</v>
      </c>
      <c r="B4569" s="12" t="s">
        <v>229</v>
      </c>
      <c r="C4569" s="12" t="s">
        <v>705</v>
      </c>
      <c r="D4569" s="12" t="s">
        <v>235</v>
      </c>
      <c r="E4569" s="12" t="s">
        <v>1886</v>
      </c>
      <c r="F4569" s="12" t="s">
        <v>32</v>
      </c>
      <c r="G4569" s="12" t="s">
        <v>32</v>
      </c>
      <c r="H4569" s="12" t="b">
        <v>1</v>
      </c>
      <c r="I4569" s="12" t="b">
        <v>1</v>
      </c>
      <c r="J4569" s="12" t="b">
        <v>0</v>
      </c>
      <c r="K4569" s="12" t="b">
        <v>0</v>
      </c>
      <c r="L4569" s="12">
        <v>394.15</v>
      </c>
      <c r="M4569" s="12">
        <v>278.14999999999998</v>
      </c>
      <c r="N4569" s="12">
        <v>3300</v>
      </c>
      <c r="O4569" s="12">
        <v>500</v>
      </c>
      <c r="P4569" s="12">
        <v>0.6</v>
      </c>
      <c r="Q4569" s="12">
        <v>0.9</v>
      </c>
      <c r="R4569" s="12">
        <v>0.8</v>
      </c>
      <c r="S4569" s="12">
        <v>0.85</v>
      </c>
      <c r="T4569" s="12">
        <v>0.75</v>
      </c>
      <c r="U4569" s="12">
        <v>0.95</v>
      </c>
      <c r="V4569" s="12">
        <v>283.14999999999998</v>
      </c>
      <c r="W4569" s="12">
        <v>10.505196125662509</v>
      </c>
      <c r="X4569" s="12">
        <v>44.586429943770831</v>
      </c>
      <c r="Y4569" s="12">
        <v>2800</v>
      </c>
      <c r="Z4569" s="12">
        <v>6.6</v>
      </c>
      <c r="AA4569" s="12"/>
      <c r="AB4569" s="12"/>
    </row>
    <row r="4570" spans="1:28" x14ac:dyDescent="0.3">
      <c r="A4570" s="12" t="s">
        <v>6511</v>
      </c>
      <c r="B4570" s="12" t="s">
        <v>229</v>
      </c>
      <c r="C4570" s="12" t="s">
        <v>705</v>
      </c>
      <c r="D4570" s="12" t="s">
        <v>235</v>
      </c>
      <c r="E4570" s="12" t="s">
        <v>1886</v>
      </c>
      <c r="F4570" s="12" t="s">
        <v>1861</v>
      </c>
      <c r="G4570" s="12" t="s">
        <v>1861</v>
      </c>
      <c r="H4570" s="12" t="b">
        <v>1</v>
      </c>
      <c r="I4570" s="12" t="b">
        <v>0</v>
      </c>
      <c r="J4570" s="12" t="b">
        <v>0</v>
      </c>
      <c r="K4570" s="12" t="b">
        <v>0</v>
      </c>
      <c r="L4570" s="12">
        <v>394.15</v>
      </c>
      <c r="M4570" s="12">
        <v>278.14999999999998</v>
      </c>
      <c r="N4570" s="12">
        <v>3300</v>
      </c>
      <c r="O4570" s="12">
        <v>300</v>
      </c>
      <c r="P4570" s="12">
        <v>0.65</v>
      </c>
      <c r="Q4570" s="12">
        <v>0.9</v>
      </c>
      <c r="R4570" s="12">
        <v>0.8</v>
      </c>
      <c r="S4570" s="12">
        <v>0.85</v>
      </c>
      <c r="T4570" s="12">
        <v>0.75</v>
      </c>
      <c r="U4570" s="12">
        <v>0.95</v>
      </c>
      <c r="V4570" s="12">
        <v>283.14999999999998</v>
      </c>
      <c r="W4570" s="12">
        <v>15.02882997652884</v>
      </c>
      <c r="X4570" s="12">
        <v>82.077233768252285</v>
      </c>
      <c r="Y4570" s="12">
        <v>3000</v>
      </c>
      <c r="Z4570" s="12">
        <v>11</v>
      </c>
      <c r="AA4570" s="12" t="s">
        <v>1268</v>
      </c>
      <c r="AB4570" s="12"/>
    </row>
    <row r="4571" spans="1:28" x14ac:dyDescent="0.3">
      <c r="A4571" s="12" t="s">
        <v>6512</v>
      </c>
      <c r="B4571" s="12" t="s">
        <v>229</v>
      </c>
      <c r="C4571" s="12" t="s">
        <v>705</v>
      </c>
      <c r="D4571" s="12" t="s">
        <v>235</v>
      </c>
      <c r="E4571" s="12" t="s">
        <v>1886</v>
      </c>
      <c r="F4571" s="12" t="s">
        <v>32</v>
      </c>
      <c r="G4571" s="12" t="s">
        <v>32</v>
      </c>
      <c r="H4571" s="12" t="b">
        <v>1</v>
      </c>
      <c r="I4571" s="12" t="b">
        <v>1</v>
      </c>
      <c r="J4571" s="12" t="b">
        <v>0</v>
      </c>
      <c r="K4571" s="12" t="b">
        <v>0</v>
      </c>
      <c r="L4571" s="12">
        <v>394.15</v>
      </c>
      <c r="M4571" s="12">
        <v>278.14999999999998</v>
      </c>
      <c r="N4571" s="12">
        <v>3300</v>
      </c>
      <c r="O4571" s="12">
        <v>600</v>
      </c>
      <c r="P4571" s="12">
        <v>0.6</v>
      </c>
      <c r="Q4571" s="12">
        <v>0.9</v>
      </c>
      <c r="R4571" s="12">
        <v>0.8</v>
      </c>
      <c r="S4571" s="12">
        <v>0.85</v>
      </c>
      <c r="T4571" s="12">
        <v>0.75</v>
      </c>
      <c r="U4571" s="12">
        <v>0.95</v>
      </c>
      <c r="V4571" s="12">
        <v>283.14999999999998</v>
      </c>
      <c r="W4571" s="12">
        <v>9.2324715211099502</v>
      </c>
      <c r="X4571" s="12">
        <v>39.132807248340967</v>
      </c>
      <c r="Y4571" s="12">
        <v>2700</v>
      </c>
      <c r="Z4571" s="12">
        <v>5.5</v>
      </c>
      <c r="AA4571" s="12"/>
      <c r="AB4571" s="12"/>
    </row>
    <row r="4572" spans="1:28" x14ac:dyDescent="0.3">
      <c r="A4572" s="12" t="s">
        <v>6513</v>
      </c>
      <c r="B4572" s="12" t="s">
        <v>229</v>
      </c>
      <c r="C4572" s="12" t="s">
        <v>705</v>
      </c>
      <c r="D4572" s="12" t="s">
        <v>235</v>
      </c>
      <c r="E4572" s="12" t="s">
        <v>1886</v>
      </c>
      <c r="F4572" s="12" t="s">
        <v>1861</v>
      </c>
      <c r="G4572" s="12" t="s">
        <v>1861</v>
      </c>
      <c r="H4572" s="12" t="b">
        <v>1</v>
      </c>
      <c r="I4572" s="12" t="b">
        <v>0</v>
      </c>
      <c r="J4572" s="12" t="b">
        <v>0</v>
      </c>
      <c r="K4572" s="12" t="b">
        <v>0</v>
      </c>
      <c r="L4572" s="12">
        <v>394.15</v>
      </c>
      <c r="M4572" s="12">
        <v>278.14999999999998</v>
      </c>
      <c r="N4572" s="12">
        <v>3300</v>
      </c>
      <c r="O4572" s="12">
        <v>400</v>
      </c>
      <c r="P4572" s="12">
        <v>0.65</v>
      </c>
      <c r="Q4572" s="12">
        <v>0.9</v>
      </c>
      <c r="R4572" s="12">
        <v>0.8</v>
      </c>
      <c r="S4572" s="12">
        <v>0.85</v>
      </c>
      <c r="T4572" s="12">
        <v>0.75</v>
      </c>
      <c r="U4572" s="12">
        <v>0.95</v>
      </c>
      <c r="V4572" s="12">
        <v>283.14999999999998</v>
      </c>
      <c r="W4572" s="12">
        <v>13.45686929828906</v>
      </c>
      <c r="X4572" s="12">
        <v>73.481409077396592</v>
      </c>
      <c r="Y4572" s="12">
        <v>2900</v>
      </c>
      <c r="Z4572" s="12">
        <v>8.25</v>
      </c>
      <c r="AA4572" s="12" t="s">
        <v>1268</v>
      </c>
      <c r="AB4572" s="12"/>
    </row>
    <row r="4573" spans="1:28" x14ac:dyDescent="0.3">
      <c r="A4573" s="12" t="s">
        <v>6514</v>
      </c>
      <c r="B4573" s="12" t="s">
        <v>229</v>
      </c>
      <c r="C4573" s="12" t="s">
        <v>705</v>
      </c>
      <c r="D4573" s="12" t="s">
        <v>235</v>
      </c>
      <c r="E4573" s="12" t="s">
        <v>1886</v>
      </c>
      <c r="F4573" s="12" t="s">
        <v>32</v>
      </c>
      <c r="G4573" s="12" t="s">
        <v>32</v>
      </c>
      <c r="H4573" s="12" t="b">
        <v>1</v>
      </c>
      <c r="I4573" s="12" t="b">
        <v>1</v>
      </c>
      <c r="J4573" s="12" t="b">
        <v>0</v>
      </c>
      <c r="K4573" s="12" t="b">
        <v>0</v>
      </c>
      <c r="L4573" s="12">
        <v>394.15</v>
      </c>
      <c r="M4573" s="12">
        <v>278.14999999999998</v>
      </c>
      <c r="N4573" s="12">
        <v>3300</v>
      </c>
      <c r="O4573" s="12">
        <v>500</v>
      </c>
      <c r="P4573" s="12">
        <v>0.65</v>
      </c>
      <c r="Q4573" s="12">
        <v>0.9</v>
      </c>
      <c r="R4573" s="12">
        <v>0.8</v>
      </c>
      <c r="S4573" s="12">
        <v>0.85</v>
      </c>
      <c r="T4573" s="12">
        <v>0.75</v>
      </c>
      <c r="U4573" s="12">
        <v>0.95</v>
      </c>
      <c r="V4573" s="12">
        <v>283.14999999999998</v>
      </c>
      <c r="W4573" s="12">
        <v>12.172918945663209</v>
      </c>
      <c r="X4573" s="12">
        <v>66.456440218406911</v>
      </c>
      <c r="Y4573" s="12">
        <v>2800</v>
      </c>
      <c r="Z4573" s="12">
        <v>6.6</v>
      </c>
      <c r="AA4573" s="12"/>
      <c r="AB4573" s="12"/>
    </row>
    <row r="4574" spans="1:28" x14ac:dyDescent="0.3">
      <c r="A4574" s="12" t="s">
        <v>6515</v>
      </c>
      <c r="B4574" s="12" t="s">
        <v>229</v>
      </c>
      <c r="C4574" s="12" t="s">
        <v>705</v>
      </c>
      <c r="D4574" s="12" t="s">
        <v>235</v>
      </c>
      <c r="E4574" s="12" t="s">
        <v>1886</v>
      </c>
      <c r="F4574" s="12" t="s">
        <v>1861</v>
      </c>
      <c r="G4574" s="12" t="s">
        <v>1861</v>
      </c>
      <c r="H4574" s="12" t="b">
        <v>1</v>
      </c>
      <c r="I4574" s="12" t="b">
        <v>0</v>
      </c>
      <c r="J4574" s="12" t="b">
        <v>0</v>
      </c>
      <c r="K4574" s="12" t="b">
        <v>0</v>
      </c>
      <c r="L4574" s="12">
        <v>394.15</v>
      </c>
      <c r="M4574" s="12">
        <v>278.14999999999998</v>
      </c>
      <c r="N4574" s="12">
        <v>3300</v>
      </c>
      <c r="O4574" s="12">
        <v>200</v>
      </c>
      <c r="P4574" s="12">
        <v>0.65</v>
      </c>
      <c r="Q4574" s="12">
        <v>0.9</v>
      </c>
      <c r="R4574" s="12">
        <v>0.8</v>
      </c>
      <c r="S4574" s="12">
        <v>0.85</v>
      </c>
      <c r="T4574" s="12">
        <v>0.75</v>
      </c>
      <c r="U4574" s="12">
        <v>0.95</v>
      </c>
      <c r="V4574" s="12">
        <v>283.14999999999998</v>
      </c>
      <c r="W4574" s="12">
        <v>9.7896963738548006</v>
      </c>
      <c r="X4574" s="12">
        <v>39.077480338727163</v>
      </c>
      <c r="Y4574" s="12">
        <v>3100</v>
      </c>
      <c r="Z4574" s="12">
        <v>16.5</v>
      </c>
      <c r="AA4574" s="12" t="s">
        <v>1268</v>
      </c>
      <c r="AB4574" s="12"/>
    </row>
    <row r="4575" spans="1:28" x14ac:dyDescent="0.3">
      <c r="A4575" s="12" t="s">
        <v>6516</v>
      </c>
      <c r="B4575" s="12" t="s">
        <v>229</v>
      </c>
      <c r="C4575" s="12" t="s">
        <v>705</v>
      </c>
      <c r="D4575" s="12" t="s">
        <v>235</v>
      </c>
      <c r="E4575" s="12" t="s">
        <v>1886</v>
      </c>
      <c r="F4575" s="12" t="s">
        <v>32</v>
      </c>
      <c r="G4575" s="12" t="s">
        <v>32</v>
      </c>
      <c r="H4575" s="12" t="b">
        <v>1</v>
      </c>
      <c r="I4575" s="12" t="b">
        <v>1</v>
      </c>
      <c r="J4575" s="12" t="b">
        <v>0</v>
      </c>
      <c r="K4575" s="12" t="b">
        <v>0</v>
      </c>
      <c r="L4575" s="12">
        <v>394.15</v>
      </c>
      <c r="M4575" s="12">
        <v>278.14999999999998</v>
      </c>
      <c r="N4575" s="12">
        <v>3300</v>
      </c>
      <c r="O4575" s="12">
        <v>700</v>
      </c>
      <c r="P4575" s="12">
        <v>0.65</v>
      </c>
      <c r="Q4575" s="12">
        <v>0.9</v>
      </c>
      <c r="R4575" s="12">
        <v>0.8</v>
      </c>
      <c r="S4575" s="12">
        <v>0.85</v>
      </c>
      <c r="T4575" s="12">
        <v>0.75</v>
      </c>
      <c r="U4575" s="12">
        <v>0.95</v>
      </c>
      <c r="V4575" s="12">
        <v>283.14999999999998</v>
      </c>
      <c r="W4575" s="12">
        <v>10.164103225662609</v>
      </c>
      <c r="X4575" s="12">
        <v>55.472791048482549</v>
      </c>
      <c r="Y4575" s="12">
        <v>2600</v>
      </c>
      <c r="Z4575" s="12">
        <v>4.7142857142857144</v>
      </c>
      <c r="AA4575" s="12"/>
      <c r="AB4575" s="12"/>
    </row>
    <row r="4576" spans="1:28" x14ac:dyDescent="0.3">
      <c r="A4576" s="12" t="s">
        <v>6517</v>
      </c>
      <c r="B4576" s="12" t="s">
        <v>229</v>
      </c>
      <c r="C4576" s="12" t="s">
        <v>705</v>
      </c>
      <c r="D4576" s="12" t="s">
        <v>235</v>
      </c>
      <c r="E4576" s="12" t="s">
        <v>1886</v>
      </c>
      <c r="F4576" s="12" t="s">
        <v>32</v>
      </c>
      <c r="G4576" s="12" t="s">
        <v>32</v>
      </c>
      <c r="H4576" s="12" t="b">
        <v>1</v>
      </c>
      <c r="I4576" s="12" t="b">
        <v>1</v>
      </c>
      <c r="J4576" s="12" t="b">
        <v>0</v>
      </c>
      <c r="K4576" s="12" t="b">
        <v>0</v>
      </c>
      <c r="L4576" s="12">
        <v>394.15</v>
      </c>
      <c r="M4576" s="12">
        <v>278.14999999999998</v>
      </c>
      <c r="N4576" s="12">
        <v>3300</v>
      </c>
      <c r="O4576" s="12">
        <v>600</v>
      </c>
      <c r="P4576" s="12">
        <v>0.65</v>
      </c>
      <c r="Q4576" s="12">
        <v>0.9</v>
      </c>
      <c r="R4576" s="12">
        <v>0.8</v>
      </c>
      <c r="S4576" s="12">
        <v>0.85</v>
      </c>
      <c r="T4576" s="12">
        <v>0.75</v>
      </c>
      <c r="U4576" s="12">
        <v>0.95</v>
      </c>
      <c r="V4576" s="12">
        <v>283.14999999999998</v>
      </c>
      <c r="W4576" s="12">
        <v>11.09534924528975</v>
      </c>
      <c r="X4576" s="12">
        <v>60.563501736237683</v>
      </c>
      <c r="Y4576" s="12">
        <v>2700</v>
      </c>
      <c r="Z4576" s="12">
        <v>5.5</v>
      </c>
      <c r="AA4576" s="12"/>
      <c r="AB4576" s="12"/>
    </row>
    <row r="4577" spans="1:28" x14ac:dyDescent="0.3">
      <c r="A4577" s="12" t="s">
        <v>6518</v>
      </c>
      <c r="B4577" s="12" t="s">
        <v>229</v>
      </c>
      <c r="C4577" s="12" t="s">
        <v>705</v>
      </c>
      <c r="D4577" s="12" t="s">
        <v>235</v>
      </c>
      <c r="E4577" s="12" t="s">
        <v>1886</v>
      </c>
      <c r="F4577" s="12" t="s">
        <v>1861</v>
      </c>
      <c r="G4577" s="12" t="s">
        <v>1861</v>
      </c>
      <c r="H4577" s="12" t="b">
        <v>1</v>
      </c>
      <c r="I4577" s="12" t="b">
        <v>0</v>
      </c>
      <c r="J4577" s="12" t="b">
        <v>0</v>
      </c>
      <c r="K4577" s="12" t="b">
        <v>0</v>
      </c>
      <c r="L4577" s="12">
        <v>394.15</v>
      </c>
      <c r="M4577" s="12">
        <v>278.14999999999998</v>
      </c>
      <c r="N4577" s="12">
        <v>3300</v>
      </c>
      <c r="O4577" s="12">
        <v>300</v>
      </c>
      <c r="P4577" s="12">
        <v>0.7</v>
      </c>
      <c r="Q4577" s="12">
        <v>0.9</v>
      </c>
      <c r="R4577" s="12">
        <v>0.8</v>
      </c>
      <c r="S4577" s="12">
        <v>0.85</v>
      </c>
      <c r="T4577" s="12">
        <v>0.75</v>
      </c>
      <c r="U4577" s="12">
        <v>0.95</v>
      </c>
      <c r="V4577" s="12">
        <v>283.14999999999998</v>
      </c>
      <c r="W4577" s="12">
        <v>16.226475836732732</v>
      </c>
      <c r="X4577" s="12">
        <v>95.229575711961004</v>
      </c>
      <c r="Y4577" s="12">
        <v>3000</v>
      </c>
      <c r="Z4577" s="12">
        <v>11</v>
      </c>
      <c r="AA4577" s="12" t="s">
        <v>1268</v>
      </c>
      <c r="AB4577" s="12"/>
    </row>
    <row r="4578" spans="1:28" x14ac:dyDescent="0.3">
      <c r="A4578" s="12" t="s">
        <v>6519</v>
      </c>
      <c r="B4578" s="12" t="s">
        <v>229</v>
      </c>
      <c r="C4578" s="12" t="s">
        <v>705</v>
      </c>
      <c r="D4578" s="12" t="s">
        <v>235</v>
      </c>
      <c r="E4578" s="12" t="s">
        <v>1886</v>
      </c>
      <c r="F4578" s="12" t="s">
        <v>1861</v>
      </c>
      <c r="G4578" s="12" t="s">
        <v>1861</v>
      </c>
      <c r="H4578" s="12" t="b">
        <v>1</v>
      </c>
      <c r="I4578" s="12" t="b">
        <v>0</v>
      </c>
      <c r="J4578" s="12" t="b">
        <v>0</v>
      </c>
      <c r="K4578" s="12" t="b">
        <v>0</v>
      </c>
      <c r="L4578" s="12">
        <v>394.15</v>
      </c>
      <c r="M4578" s="12">
        <v>278.14999999999998</v>
      </c>
      <c r="N4578" s="12">
        <v>3300</v>
      </c>
      <c r="O4578" s="12">
        <v>200</v>
      </c>
      <c r="P4578" s="12">
        <v>0.7</v>
      </c>
      <c r="Q4578" s="12">
        <v>0.9</v>
      </c>
      <c r="R4578" s="12">
        <v>0.8</v>
      </c>
      <c r="S4578" s="12">
        <v>0.85</v>
      </c>
      <c r="T4578" s="12">
        <v>0.75</v>
      </c>
      <c r="U4578" s="12">
        <v>0.95</v>
      </c>
      <c r="V4578" s="12">
        <v>283.14999999999998</v>
      </c>
      <c r="W4578" s="12">
        <v>2.6601622392898601</v>
      </c>
      <c r="X4578" s="12">
        <v>8.8305605491616745</v>
      </c>
      <c r="Y4578" s="12">
        <v>3100</v>
      </c>
      <c r="Z4578" s="12">
        <v>16.5</v>
      </c>
      <c r="AA4578" s="12" t="s">
        <v>1268</v>
      </c>
      <c r="AB4578" s="12"/>
    </row>
    <row r="4579" spans="1:28" x14ac:dyDescent="0.3">
      <c r="A4579" s="12" t="s">
        <v>6520</v>
      </c>
      <c r="B4579" s="12" t="s">
        <v>229</v>
      </c>
      <c r="C4579" s="12" t="s">
        <v>705</v>
      </c>
      <c r="D4579" s="12" t="s">
        <v>235</v>
      </c>
      <c r="E4579" s="12" t="s">
        <v>1886</v>
      </c>
      <c r="F4579" s="12" t="s">
        <v>1861</v>
      </c>
      <c r="G4579" s="12" t="s">
        <v>1861</v>
      </c>
      <c r="H4579" s="12" t="b">
        <v>1</v>
      </c>
      <c r="I4579" s="12" t="b">
        <v>0</v>
      </c>
      <c r="J4579" s="12" t="b">
        <v>0</v>
      </c>
      <c r="K4579" s="12" t="b">
        <v>0</v>
      </c>
      <c r="L4579" s="12">
        <v>394.15</v>
      </c>
      <c r="M4579" s="12">
        <v>278.14999999999998</v>
      </c>
      <c r="N4579" s="12">
        <v>3300</v>
      </c>
      <c r="O4579" s="12">
        <v>400</v>
      </c>
      <c r="P4579" s="12">
        <v>0.7</v>
      </c>
      <c r="Q4579" s="12">
        <v>0.9</v>
      </c>
      <c r="R4579" s="12">
        <v>0.8</v>
      </c>
      <c r="S4579" s="12">
        <v>0.85</v>
      </c>
      <c r="T4579" s="12">
        <v>0.75</v>
      </c>
      <c r="U4579" s="12">
        <v>0.95</v>
      </c>
      <c r="V4579" s="12">
        <v>283.14999999999998</v>
      </c>
      <c r="W4579" s="12">
        <v>14.69800216762693</v>
      </c>
      <c r="X4579" s="12">
        <v>97.372418614723344</v>
      </c>
      <c r="Y4579" s="12">
        <v>2900</v>
      </c>
      <c r="Z4579" s="12">
        <v>8.25</v>
      </c>
      <c r="AA4579" s="12" t="s">
        <v>1268</v>
      </c>
      <c r="AB4579" s="12"/>
    </row>
    <row r="4580" spans="1:28" x14ac:dyDescent="0.3">
      <c r="A4580" s="12" t="s">
        <v>6521</v>
      </c>
      <c r="B4580" s="12" t="s">
        <v>229</v>
      </c>
      <c r="C4580" s="12" t="s">
        <v>705</v>
      </c>
      <c r="D4580" s="12" t="s">
        <v>235</v>
      </c>
      <c r="E4580" s="12" t="s">
        <v>1886</v>
      </c>
      <c r="F4580" s="12" t="s">
        <v>32</v>
      </c>
      <c r="G4580" s="12" t="s">
        <v>32</v>
      </c>
      <c r="H4580" s="12" t="b">
        <v>1</v>
      </c>
      <c r="I4580" s="12" t="b">
        <v>1</v>
      </c>
      <c r="J4580" s="12" t="b">
        <v>0</v>
      </c>
      <c r="K4580" s="12" t="b">
        <v>0</v>
      </c>
      <c r="L4580" s="12">
        <v>394.15</v>
      </c>
      <c r="M4580" s="12">
        <v>278.14999999999998</v>
      </c>
      <c r="N4580" s="12">
        <v>3300</v>
      </c>
      <c r="O4580" s="12">
        <v>700</v>
      </c>
      <c r="P4580" s="12">
        <v>0.7</v>
      </c>
      <c r="Q4580" s="12">
        <v>0.9</v>
      </c>
      <c r="R4580" s="12">
        <v>0.8</v>
      </c>
      <c r="S4580" s="12">
        <v>0.85</v>
      </c>
      <c r="T4580" s="12">
        <v>0.75</v>
      </c>
      <c r="U4580" s="12">
        <v>0.95</v>
      </c>
      <c r="V4580" s="12">
        <v>283.14999999999998</v>
      </c>
      <c r="W4580" s="12">
        <v>11.137145186894831</v>
      </c>
      <c r="X4580" s="12">
        <v>73.733595172264344</v>
      </c>
      <c r="Y4580" s="12">
        <v>2600</v>
      </c>
      <c r="Z4580" s="12">
        <v>4.7142857142857144</v>
      </c>
      <c r="AA4580" s="12"/>
      <c r="AB4580" s="12"/>
    </row>
    <row r="4581" spans="1:28" x14ac:dyDescent="0.3">
      <c r="A4581" s="12" t="s">
        <v>6522</v>
      </c>
      <c r="B4581" s="12" t="s">
        <v>229</v>
      </c>
      <c r="C4581" s="12" t="s">
        <v>705</v>
      </c>
      <c r="D4581" s="12" t="s">
        <v>235</v>
      </c>
      <c r="E4581" s="12" t="s">
        <v>1886</v>
      </c>
      <c r="F4581" s="12" t="s">
        <v>32</v>
      </c>
      <c r="G4581" s="12" t="s">
        <v>32</v>
      </c>
      <c r="H4581" s="12" t="b">
        <v>1</v>
      </c>
      <c r="I4581" s="12" t="b">
        <v>1</v>
      </c>
      <c r="J4581" s="12" t="b">
        <v>0</v>
      </c>
      <c r="K4581" s="12" t="b">
        <v>0</v>
      </c>
      <c r="L4581" s="12">
        <v>394.15</v>
      </c>
      <c r="M4581" s="12">
        <v>278.14999999999998</v>
      </c>
      <c r="N4581" s="12">
        <v>3300</v>
      </c>
      <c r="O4581" s="12">
        <v>600</v>
      </c>
      <c r="P4581" s="12">
        <v>0.7</v>
      </c>
      <c r="Q4581" s="12">
        <v>0.9</v>
      </c>
      <c r="R4581" s="12">
        <v>0.8</v>
      </c>
      <c r="S4581" s="12">
        <v>0.85</v>
      </c>
      <c r="T4581" s="12">
        <v>0.75</v>
      </c>
      <c r="U4581" s="12">
        <v>0.95</v>
      </c>
      <c r="V4581" s="12">
        <v>283.14999999999998</v>
      </c>
      <c r="W4581" s="12">
        <v>12.14573638574525</v>
      </c>
      <c r="X4581" s="12">
        <v>80.42551043491936</v>
      </c>
      <c r="Y4581" s="12">
        <v>2700</v>
      </c>
      <c r="Z4581" s="12">
        <v>5.5</v>
      </c>
      <c r="AA4581" s="12"/>
      <c r="AB4581" s="12"/>
    </row>
    <row r="4582" spans="1:28" x14ac:dyDescent="0.3">
      <c r="A4582" s="12" t="s">
        <v>6523</v>
      </c>
      <c r="B4582" s="12" t="s">
        <v>229</v>
      </c>
      <c r="C4582" s="12" t="s">
        <v>705</v>
      </c>
      <c r="D4582" s="12" t="s">
        <v>235</v>
      </c>
      <c r="E4582" s="12" t="s">
        <v>1886</v>
      </c>
      <c r="F4582" s="12" t="s">
        <v>32</v>
      </c>
      <c r="G4582" s="12" t="s">
        <v>32</v>
      </c>
      <c r="H4582" s="12" t="b">
        <v>1</v>
      </c>
      <c r="I4582" s="12" t="b">
        <v>1</v>
      </c>
      <c r="J4582" s="12" t="b">
        <v>0</v>
      </c>
      <c r="K4582" s="12" t="b">
        <v>0</v>
      </c>
      <c r="L4582" s="12">
        <v>394.15</v>
      </c>
      <c r="M4582" s="12">
        <v>278.14999999999998</v>
      </c>
      <c r="N4582" s="12">
        <v>3300</v>
      </c>
      <c r="O4582" s="12">
        <v>500</v>
      </c>
      <c r="P4582" s="12">
        <v>0.7</v>
      </c>
      <c r="Q4582" s="12">
        <v>0.9</v>
      </c>
      <c r="R4582" s="12">
        <v>0.8</v>
      </c>
      <c r="S4582" s="12">
        <v>0.85</v>
      </c>
      <c r="T4582" s="12">
        <v>0.75</v>
      </c>
      <c r="U4582" s="12">
        <v>0.95</v>
      </c>
      <c r="V4582" s="12">
        <v>283.14999999999998</v>
      </c>
      <c r="W4582" s="12">
        <v>13.311746209560001</v>
      </c>
      <c r="X4582" s="12">
        <v>88.165714311450884</v>
      </c>
      <c r="Y4582" s="12">
        <v>2800</v>
      </c>
      <c r="Z4582" s="12">
        <v>6.6</v>
      </c>
      <c r="AA4582" s="12"/>
      <c r="AB4582" s="12"/>
    </row>
  </sheetData>
  <autoFilter ref="A1:AB4582" xr:uid="{00000000-0009-0000-0000-00004D000000}"/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M768"/>
  <sheetViews>
    <sheetView workbookViewId="0"/>
  </sheetViews>
  <sheetFormatPr baseColWidth="10" defaultColWidth="8.88671875" defaultRowHeight="14.4" x14ac:dyDescent="0.3"/>
  <sheetData>
    <row r="1" spans="1:13" x14ac:dyDescent="0.3">
      <c r="A1" s="14" t="s">
        <v>1865</v>
      </c>
      <c r="B1" s="14" t="s">
        <v>1866</v>
      </c>
      <c r="C1" s="14" t="s">
        <v>1867</v>
      </c>
      <c r="D1" s="14" t="s">
        <v>1884</v>
      </c>
      <c r="E1" s="14" t="s">
        <v>6524</v>
      </c>
      <c r="F1" s="14" t="s">
        <v>6525</v>
      </c>
      <c r="G1" s="14" t="s">
        <v>6526</v>
      </c>
      <c r="H1" s="14" t="s">
        <v>6527</v>
      </c>
      <c r="I1" s="14" t="s">
        <v>6528</v>
      </c>
      <c r="J1" s="14" t="s">
        <v>6529</v>
      </c>
      <c r="K1" s="14" t="s">
        <v>6530</v>
      </c>
      <c r="L1" s="14" t="s">
        <v>6531</v>
      </c>
      <c r="M1" s="14" t="s">
        <v>6532</v>
      </c>
    </row>
    <row r="2" spans="1:13" x14ac:dyDescent="0.3">
      <c r="A2" s="12" t="s">
        <v>89</v>
      </c>
      <c r="B2" s="12" t="s">
        <v>361</v>
      </c>
      <c r="C2" s="12" t="s">
        <v>29</v>
      </c>
      <c r="D2" s="12" t="s">
        <v>274</v>
      </c>
      <c r="E2" s="12" t="s">
        <v>6533</v>
      </c>
      <c r="F2" s="12" t="s">
        <v>794</v>
      </c>
      <c r="G2" s="12"/>
      <c r="H2" s="12"/>
      <c r="I2" s="12"/>
      <c r="J2" s="12" t="s">
        <v>749</v>
      </c>
      <c r="K2" s="12" t="s">
        <v>275</v>
      </c>
      <c r="L2" s="12" t="s">
        <v>948</v>
      </c>
      <c r="M2" s="12"/>
    </row>
    <row r="3" spans="1:13" x14ac:dyDescent="0.3">
      <c r="A3" s="12" t="s">
        <v>89</v>
      </c>
      <c r="B3" s="12" t="s">
        <v>361</v>
      </c>
      <c r="C3" s="12" t="s">
        <v>29</v>
      </c>
      <c r="D3" s="12" t="s">
        <v>276</v>
      </c>
      <c r="E3" s="12" t="s">
        <v>6533</v>
      </c>
      <c r="F3" s="12" t="s">
        <v>795</v>
      </c>
      <c r="G3" s="12"/>
      <c r="H3" s="12"/>
      <c r="I3" s="12"/>
      <c r="J3" s="12" t="s">
        <v>749</v>
      </c>
      <c r="K3" s="12" t="s">
        <v>275</v>
      </c>
      <c r="L3" s="12" t="s">
        <v>948</v>
      </c>
      <c r="M3" s="12"/>
    </row>
    <row r="4" spans="1:13" x14ac:dyDescent="0.3">
      <c r="A4" s="12" t="s">
        <v>89</v>
      </c>
      <c r="B4" s="12" t="s">
        <v>361</v>
      </c>
      <c r="C4" s="12" t="s">
        <v>29</v>
      </c>
      <c r="D4" s="12" t="s">
        <v>269</v>
      </c>
      <c r="E4" s="12" t="s">
        <v>6534</v>
      </c>
      <c r="F4" s="12"/>
      <c r="G4" s="12">
        <v>2000</v>
      </c>
      <c r="H4" s="12">
        <v>4000</v>
      </c>
      <c r="I4" s="12">
        <v>9</v>
      </c>
      <c r="J4" s="12"/>
      <c r="K4" s="12" t="s">
        <v>270</v>
      </c>
      <c r="L4" s="12" t="s">
        <v>948</v>
      </c>
      <c r="M4" s="12"/>
    </row>
    <row r="5" spans="1:13" x14ac:dyDescent="0.3">
      <c r="A5" s="12" t="s">
        <v>89</v>
      </c>
      <c r="B5" s="12" t="s">
        <v>361</v>
      </c>
      <c r="C5" s="12" t="s">
        <v>29</v>
      </c>
      <c r="D5" s="12" t="s">
        <v>271</v>
      </c>
      <c r="E5" s="12" t="s">
        <v>6533</v>
      </c>
      <c r="F5" s="12" t="s">
        <v>798</v>
      </c>
      <c r="G5" s="12"/>
      <c r="H5" s="12"/>
      <c r="I5" s="12"/>
      <c r="J5" s="12" t="s">
        <v>749</v>
      </c>
      <c r="K5" s="12" t="s">
        <v>270</v>
      </c>
      <c r="L5" s="12" t="s">
        <v>948</v>
      </c>
      <c r="M5" s="12"/>
    </row>
    <row r="6" spans="1:13" x14ac:dyDescent="0.3">
      <c r="A6" s="12" t="s">
        <v>89</v>
      </c>
      <c r="B6" s="12" t="s">
        <v>361</v>
      </c>
      <c r="C6" s="12" t="s">
        <v>29</v>
      </c>
      <c r="D6" s="12" t="s">
        <v>272</v>
      </c>
      <c r="E6" s="12" t="s">
        <v>6533</v>
      </c>
      <c r="F6" s="12" t="s">
        <v>799</v>
      </c>
      <c r="G6" s="12"/>
      <c r="H6" s="12"/>
      <c r="I6" s="12"/>
      <c r="J6" s="12" t="s">
        <v>749</v>
      </c>
      <c r="K6" s="12" t="s">
        <v>273</v>
      </c>
      <c r="L6" s="12" t="s">
        <v>948</v>
      </c>
      <c r="M6" s="12"/>
    </row>
    <row r="7" spans="1:13" x14ac:dyDescent="0.3">
      <c r="A7" s="12" t="s">
        <v>89</v>
      </c>
      <c r="B7" s="12" t="s">
        <v>361</v>
      </c>
      <c r="C7" s="12" t="s">
        <v>29</v>
      </c>
      <c r="D7" s="12" t="s">
        <v>282</v>
      </c>
      <c r="E7" s="12" t="s">
        <v>6533</v>
      </c>
      <c r="F7" s="12" t="s">
        <v>800</v>
      </c>
      <c r="G7" s="12"/>
      <c r="H7" s="12"/>
      <c r="I7" s="12"/>
      <c r="J7" s="12" t="s">
        <v>749</v>
      </c>
      <c r="K7" s="12" t="s">
        <v>283</v>
      </c>
      <c r="L7" s="12" t="s">
        <v>948</v>
      </c>
      <c r="M7" s="12"/>
    </row>
    <row r="8" spans="1:13" x14ac:dyDescent="0.3">
      <c r="A8" s="12" t="s">
        <v>89</v>
      </c>
      <c r="B8" s="12" t="s">
        <v>361</v>
      </c>
      <c r="C8" s="12" t="s">
        <v>29</v>
      </c>
      <c r="D8" s="12" t="s">
        <v>1875</v>
      </c>
      <c r="E8" s="12" t="s">
        <v>6533</v>
      </c>
      <c r="F8" s="12" t="s">
        <v>755</v>
      </c>
      <c r="G8" s="12"/>
      <c r="H8" s="12"/>
      <c r="I8" s="12"/>
      <c r="J8" s="12" t="s">
        <v>749</v>
      </c>
      <c r="K8" s="12" t="s">
        <v>273</v>
      </c>
      <c r="L8" s="12" t="s">
        <v>948</v>
      </c>
      <c r="M8" s="12"/>
    </row>
    <row r="9" spans="1:13" x14ac:dyDescent="0.3">
      <c r="A9" s="12" t="s">
        <v>89</v>
      </c>
      <c r="B9" s="12" t="s">
        <v>361</v>
      </c>
      <c r="C9" s="12" t="s">
        <v>29</v>
      </c>
      <c r="D9" s="12" t="s">
        <v>1876</v>
      </c>
      <c r="E9" s="12" t="s">
        <v>6533</v>
      </c>
      <c r="F9" s="12" t="s">
        <v>757</v>
      </c>
      <c r="G9" s="12"/>
      <c r="H9" s="12"/>
      <c r="I9" s="12"/>
      <c r="J9" s="12" t="s">
        <v>749</v>
      </c>
      <c r="K9" s="12" t="s">
        <v>273</v>
      </c>
      <c r="L9" s="12" t="s">
        <v>948</v>
      </c>
      <c r="M9" s="12"/>
    </row>
    <row r="10" spans="1:13" x14ac:dyDescent="0.3">
      <c r="A10" s="12" t="s">
        <v>89</v>
      </c>
      <c r="B10" s="12" t="s">
        <v>361</v>
      </c>
      <c r="C10" s="12" t="s">
        <v>29</v>
      </c>
      <c r="D10" s="12" t="s">
        <v>1877</v>
      </c>
      <c r="E10" s="12" t="s">
        <v>6533</v>
      </c>
      <c r="F10" s="12" t="s">
        <v>755</v>
      </c>
      <c r="G10" s="12"/>
      <c r="H10" s="12"/>
      <c r="I10" s="12"/>
      <c r="J10" s="12" t="s">
        <v>749</v>
      </c>
      <c r="K10" s="12" t="s">
        <v>273</v>
      </c>
      <c r="L10" s="12" t="s">
        <v>948</v>
      </c>
      <c r="M10" s="12"/>
    </row>
    <row r="11" spans="1:13" x14ac:dyDescent="0.3">
      <c r="A11" s="12" t="s">
        <v>89</v>
      </c>
      <c r="B11" s="12" t="s">
        <v>361</v>
      </c>
      <c r="C11" s="12" t="s">
        <v>29</v>
      </c>
      <c r="D11" s="12" t="s">
        <v>1878</v>
      </c>
      <c r="E11" s="12" t="s">
        <v>6533</v>
      </c>
      <c r="F11" s="12" t="s">
        <v>757</v>
      </c>
      <c r="G11" s="12"/>
      <c r="H11" s="12"/>
      <c r="I11" s="12"/>
      <c r="J11" s="12" t="s">
        <v>749</v>
      </c>
      <c r="K11" s="12" t="s">
        <v>273</v>
      </c>
      <c r="L11" s="12" t="s">
        <v>948</v>
      </c>
      <c r="M11" s="12"/>
    </row>
    <row r="12" spans="1:13" x14ac:dyDescent="0.3">
      <c r="A12" s="12" t="s">
        <v>89</v>
      </c>
      <c r="B12" s="12" t="s">
        <v>361</v>
      </c>
      <c r="C12" s="12" t="s">
        <v>29</v>
      </c>
      <c r="D12" s="12" t="s">
        <v>1879</v>
      </c>
      <c r="E12" s="12" t="s">
        <v>6533</v>
      </c>
      <c r="F12" s="12" t="s">
        <v>801</v>
      </c>
      <c r="G12" s="12"/>
      <c r="H12" s="12"/>
      <c r="I12" s="12"/>
      <c r="J12" s="12" t="s">
        <v>749</v>
      </c>
      <c r="K12" s="12" t="s">
        <v>273</v>
      </c>
      <c r="L12" s="12" t="s">
        <v>948</v>
      </c>
      <c r="M12" s="12"/>
    </row>
    <row r="13" spans="1:13" x14ac:dyDescent="0.3">
      <c r="A13" s="12" t="s">
        <v>89</v>
      </c>
      <c r="B13" s="12" t="s">
        <v>361</v>
      </c>
      <c r="C13" s="12" t="s">
        <v>29</v>
      </c>
      <c r="D13" s="12" t="s">
        <v>1880</v>
      </c>
      <c r="E13" s="12" t="s">
        <v>6535</v>
      </c>
      <c r="F13" s="12"/>
      <c r="G13" s="12"/>
      <c r="H13" s="12"/>
      <c r="I13" s="12"/>
      <c r="J13" s="12"/>
      <c r="K13" s="12" t="s">
        <v>275</v>
      </c>
      <c r="L13" s="12" t="s">
        <v>948</v>
      </c>
      <c r="M13" s="12"/>
    </row>
    <row r="14" spans="1:13" x14ac:dyDescent="0.3">
      <c r="A14" s="12" t="s">
        <v>89</v>
      </c>
      <c r="B14" s="12" t="s">
        <v>361</v>
      </c>
      <c r="C14" s="12" t="s">
        <v>29</v>
      </c>
      <c r="D14" s="12" t="s">
        <v>67</v>
      </c>
      <c r="E14" s="12" t="s">
        <v>6533</v>
      </c>
      <c r="F14" s="12" t="s">
        <v>804</v>
      </c>
      <c r="G14" s="12"/>
      <c r="H14" s="12"/>
      <c r="I14" s="12"/>
      <c r="J14" s="12"/>
      <c r="K14" s="12" t="s">
        <v>273</v>
      </c>
      <c r="L14" s="12" t="s">
        <v>948</v>
      </c>
      <c r="M14" s="12"/>
    </row>
    <row r="15" spans="1:13" x14ac:dyDescent="0.3">
      <c r="A15" s="12" t="s">
        <v>89</v>
      </c>
      <c r="B15" s="12" t="s">
        <v>365</v>
      </c>
      <c r="C15" s="12" t="s">
        <v>29</v>
      </c>
      <c r="D15" s="12" t="s">
        <v>274</v>
      </c>
      <c r="E15" s="12" t="s">
        <v>6533</v>
      </c>
      <c r="F15" s="12" t="s">
        <v>794</v>
      </c>
      <c r="G15" s="12"/>
      <c r="H15" s="12"/>
      <c r="I15" s="12"/>
      <c r="J15" s="12" t="s">
        <v>749</v>
      </c>
      <c r="K15" s="12" t="s">
        <v>275</v>
      </c>
      <c r="L15" s="12" t="s">
        <v>948</v>
      </c>
      <c r="M15" s="12"/>
    </row>
    <row r="16" spans="1:13" x14ac:dyDescent="0.3">
      <c r="A16" s="12" t="s">
        <v>89</v>
      </c>
      <c r="B16" s="12" t="s">
        <v>365</v>
      </c>
      <c r="C16" s="12" t="s">
        <v>29</v>
      </c>
      <c r="D16" s="12" t="s">
        <v>276</v>
      </c>
      <c r="E16" s="12" t="s">
        <v>6533</v>
      </c>
      <c r="F16" s="12" t="s">
        <v>795</v>
      </c>
      <c r="G16" s="12"/>
      <c r="H16" s="12"/>
      <c r="I16" s="12"/>
      <c r="J16" s="12" t="s">
        <v>749</v>
      </c>
      <c r="K16" s="12" t="s">
        <v>275</v>
      </c>
      <c r="L16" s="12" t="s">
        <v>948</v>
      </c>
      <c r="M16" s="12"/>
    </row>
    <row r="17" spans="1:13" x14ac:dyDescent="0.3">
      <c r="A17" s="12" t="s">
        <v>89</v>
      </c>
      <c r="B17" s="12" t="s">
        <v>365</v>
      </c>
      <c r="C17" s="12" t="s">
        <v>29</v>
      </c>
      <c r="D17" s="12" t="s">
        <v>269</v>
      </c>
      <c r="E17" s="12" t="s">
        <v>6533</v>
      </c>
      <c r="F17" s="12" t="s">
        <v>805</v>
      </c>
      <c r="G17" s="12"/>
      <c r="H17" s="12"/>
      <c r="I17" s="12"/>
      <c r="J17" s="12" t="s">
        <v>749</v>
      </c>
      <c r="K17" s="12" t="s">
        <v>270</v>
      </c>
      <c r="L17" s="12" t="s">
        <v>948</v>
      </c>
      <c r="M17" s="12"/>
    </row>
    <row r="18" spans="1:13" x14ac:dyDescent="0.3">
      <c r="A18" s="12" t="s">
        <v>89</v>
      </c>
      <c r="B18" s="12" t="s">
        <v>365</v>
      </c>
      <c r="C18" s="12" t="s">
        <v>29</v>
      </c>
      <c r="D18" s="12" t="s">
        <v>271</v>
      </c>
      <c r="E18" s="12" t="s">
        <v>6533</v>
      </c>
      <c r="F18" s="12" t="s">
        <v>798</v>
      </c>
      <c r="G18" s="12"/>
      <c r="H18" s="12"/>
      <c r="I18" s="12"/>
      <c r="J18" s="12" t="s">
        <v>749</v>
      </c>
      <c r="K18" s="12" t="s">
        <v>270</v>
      </c>
      <c r="L18" s="12" t="s">
        <v>948</v>
      </c>
      <c r="M18" s="12"/>
    </row>
    <row r="19" spans="1:13" x14ac:dyDescent="0.3">
      <c r="A19" s="12" t="s">
        <v>89</v>
      </c>
      <c r="B19" s="12" t="s">
        <v>365</v>
      </c>
      <c r="C19" s="12" t="s">
        <v>29</v>
      </c>
      <c r="D19" s="12" t="s">
        <v>272</v>
      </c>
      <c r="E19" s="12" t="s">
        <v>6533</v>
      </c>
      <c r="F19" s="12" t="s">
        <v>799</v>
      </c>
      <c r="G19" s="12"/>
      <c r="H19" s="12"/>
      <c r="I19" s="12"/>
      <c r="J19" s="12" t="s">
        <v>749</v>
      </c>
      <c r="K19" s="12" t="s">
        <v>273</v>
      </c>
      <c r="L19" s="12" t="s">
        <v>948</v>
      </c>
      <c r="M19" s="12"/>
    </row>
    <row r="20" spans="1:13" x14ac:dyDescent="0.3">
      <c r="A20" s="12" t="s">
        <v>89</v>
      </c>
      <c r="B20" s="12" t="s">
        <v>365</v>
      </c>
      <c r="C20" s="12" t="s">
        <v>29</v>
      </c>
      <c r="D20" s="12" t="s">
        <v>282</v>
      </c>
      <c r="E20" s="12" t="s">
        <v>6533</v>
      </c>
      <c r="F20" s="12" t="s">
        <v>800</v>
      </c>
      <c r="G20" s="12"/>
      <c r="H20" s="12"/>
      <c r="I20" s="12"/>
      <c r="J20" s="12" t="s">
        <v>749</v>
      </c>
      <c r="K20" s="12" t="s">
        <v>283</v>
      </c>
      <c r="L20" s="12" t="s">
        <v>948</v>
      </c>
      <c r="M20" s="12"/>
    </row>
    <row r="21" spans="1:13" x14ac:dyDescent="0.3">
      <c r="A21" s="12" t="s">
        <v>89</v>
      </c>
      <c r="B21" s="12" t="s">
        <v>365</v>
      </c>
      <c r="C21" s="12" t="s">
        <v>29</v>
      </c>
      <c r="D21" s="12" t="s">
        <v>1875</v>
      </c>
      <c r="E21" s="12" t="s">
        <v>6533</v>
      </c>
      <c r="F21" s="12" t="s">
        <v>755</v>
      </c>
      <c r="G21" s="12"/>
      <c r="H21" s="12"/>
      <c r="I21" s="12"/>
      <c r="J21" s="12" t="s">
        <v>749</v>
      </c>
      <c r="K21" s="12" t="s">
        <v>273</v>
      </c>
      <c r="L21" s="12" t="s">
        <v>948</v>
      </c>
      <c r="M21" s="12"/>
    </row>
    <row r="22" spans="1:13" x14ac:dyDescent="0.3">
      <c r="A22" s="12" t="s">
        <v>89</v>
      </c>
      <c r="B22" s="12" t="s">
        <v>365</v>
      </c>
      <c r="C22" s="12" t="s">
        <v>29</v>
      </c>
      <c r="D22" s="12" t="s">
        <v>1876</v>
      </c>
      <c r="E22" s="12" t="s">
        <v>6533</v>
      </c>
      <c r="F22" s="12" t="s">
        <v>757</v>
      </c>
      <c r="G22" s="12"/>
      <c r="H22" s="12"/>
      <c r="I22" s="12"/>
      <c r="J22" s="12" t="s">
        <v>749</v>
      </c>
      <c r="K22" s="12" t="s">
        <v>273</v>
      </c>
      <c r="L22" s="12" t="s">
        <v>948</v>
      </c>
      <c r="M22" s="12"/>
    </row>
    <row r="23" spans="1:13" x14ac:dyDescent="0.3">
      <c r="A23" s="12" t="s">
        <v>89</v>
      </c>
      <c r="B23" s="12" t="s">
        <v>365</v>
      </c>
      <c r="C23" s="12" t="s">
        <v>29</v>
      </c>
      <c r="D23" s="12" t="s">
        <v>1877</v>
      </c>
      <c r="E23" s="12" t="s">
        <v>6533</v>
      </c>
      <c r="F23" s="12" t="s">
        <v>755</v>
      </c>
      <c r="G23" s="12"/>
      <c r="H23" s="12"/>
      <c r="I23" s="12"/>
      <c r="J23" s="12" t="s">
        <v>749</v>
      </c>
      <c r="K23" s="12" t="s">
        <v>273</v>
      </c>
      <c r="L23" s="12" t="s">
        <v>948</v>
      </c>
      <c r="M23" s="12"/>
    </row>
    <row r="24" spans="1:13" x14ac:dyDescent="0.3">
      <c r="A24" s="12" t="s">
        <v>89</v>
      </c>
      <c r="B24" s="12" t="s">
        <v>365</v>
      </c>
      <c r="C24" s="12" t="s">
        <v>29</v>
      </c>
      <c r="D24" s="12" t="s">
        <v>1878</v>
      </c>
      <c r="E24" s="12" t="s">
        <v>6533</v>
      </c>
      <c r="F24" s="12" t="s">
        <v>757</v>
      </c>
      <c r="G24" s="12"/>
      <c r="H24" s="12"/>
      <c r="I24" s="12"/>
      <c r="J24" s="12" t="s">
        <v>749</v>
      </c>
      <c r="K24" s="12" t="s">
        <v>273</v>
      </c>
      <c r="L24" s="12" t="s">
        <v>948</v>
      </c>
      <c r="M24" s="12"/>
    </row>
    <row r="25" spans="1:13" x14ac:dyDescent="0.3">
      <c r="A25" s="12" t="s">
        <v>89</v>
      </c>
      <c r="B25" s="12" t="s">
        <v>365</v>
      </c>
      <c r="C25" s="12" t="s">
        <v>29</v>
      </c>
      <c r="D25" s="12" t="s">
        <v>1879</v>
      </c>
      <c r="E25" s="12" t="s">
        <v>6533</v>
      </c>
      <c r="F25" s="12" t="s">
        <v>801</v>
      </c>
      <c r="G25" s="12"/>
      <c r="H25" s="12"/>
      <c r="I25" s="12"/>
      <c r="J25" s="12" t="s">
        <v>749</v>
      </c>
      <c r="K25" s="12" t="s">
        <v>273</v>
      </c>
      <c r="L25" s="12" t="s">
        <v>948</v>
      </c>
      <c r="M25" s="12"/>
    </row>
    <row r="26" spans="1:13" x14ac:dyDescent="0.3">
      <c r="A26" s="12" t="s">
        <v>89</v>
      </c>
      <c r="B26" s="12" t="s">
        <v>365</v>
      </c>
      <c r="C26" s="12" t="s">
        <v>29</v>
      </c>
      <c r="D26" s="12" t="s">
        <v>1880</v>
      </c>
      <c r="E26" s="12" t="s">
        <v>6535</v>
      </c>
      <c r="F26" s="12"/>
      <c r="G26" s="12"/>
      <c r="H26" s="12"/>
      <c r="I26" s="12"/>
      <c r="J26" s="12"/>
      <c r="K26" s="12" t="s">
        <v>275</v>
      </c>
      <c r="L26" s="12" t="s">
        <v>948</v>
      </c>
      <c r="M26" s="12"/>
    </row>
    <row r="27" spans="1:13" x14ac:dyDescent="0.3">
      <c r="A27" s="12" t="s">
        <v>89</v>
      </c>
      <c r="B27" s="12" t="s">
        <v>365</v>
      </c>
      <c r="C27" s="12" t="s">
        <v>29</v>
      </c>
      <c r="D27" s="12" t="s">
        <v>67</v>
      </c>
      <c r="E27" s="12" t="s">
        <v>6534</v>
      </c>
      <c r="F27" s="12"/>
      <c r="G27" s="12"/>
      <c r="H27" s="12"/>
      <c r="I27" s="12">
        <v>2</v>
      </c>
      <c r="J27" s="12"/>
      <c r="K27" s="12" t="s">
        <v>273</v>
      </c>
      <c r="L27" s="12" t="s">
        <v>948</v>
      </c>
      <c r="M27" s="12"/>
    </row>
    <row r="28" spans="1:13" x14ac:dyDescent="0.3">
      <c r="A28" s="12" t="s">
        <v>89</v>
      </c>
      <c r="B28" s="12" t="s">
        <v>367</v>
      </c>
      <c r="C28" s="12" t="s">
        <v>29</v>
      </c>
      <c r="D28" s="12" t="s">
        <v>274</v>
      </c>
      <c r="E28" s="12" t="s">
        <v>6533</v>
      </c>
      <c r="F28" s="12" t="s">
        <v>794</v>
      </c>
      <c r="G28" s="12"/>
      <c r="H28" s="12"/>
      <c r="I28" s="12"/>
      <c r="J28" s="12" t="s">
        <v>749</v>
      </c>
      <c r="K28" s="12" t="s">
        <v>275</v>
      </c>
      <c r="L28" s="12" t="s">
        <v>948</v>
      </c>
      <c r="M28" s="12"/>
    </row>
    <row r="29" spans="1:13" x14ac:dyDescent="0.3">
      <c r="A29" s="12" t="s">
        <v>89</v>
      </c>
      <c r="B29" s="12" t="s">
        <v>367</v>
      </c>
      <c r="C29" s="12" t="s">
        <v>29</v>
      </c>
      <c r="D29" s="12" t="s">
        <v>276</v>
      </c>
      <c r="E29" s="12" t="s">
        <v>6533</v>
      </c>
      <c r="F29" s="12" t="s">
        <v>795</v>
      </c>
      <c r="G29" s="12"/>
      <c r="H29" s="12"/>
      <c r="I29" s="12"/>
      <c r="J29" s="12" t="s">
        <v>749</v>
      </c>
      <c r="K29" s="12" t="s">
        <v>275</v>
      </c>
      <c r="L29" s="12" t="s">
        <v>948</v>
      </c>
      <c r="M29" s="12"/>
    </row>
    <row r="30" spans="1:13" x14ac:dyDescent="0.3">
      <c r="A30" s="12" t="s">
        <v>89</v>
      </c>
      <c r="B30" s="12" t="s">
        <v>367</v>
      </c>
      <c r="C30" s="12" t="s">
        <v>29</v>
      </c>
      <c r="D30" s="12" t="s">
        <v>269</v>
      </c>
      <c r="E30" s="12" t="s">
        <v>6533</v>
      </c>
      <c r="F30" s="12" t="s">
        <v>805</v>
      </c>
      <c r="G30" s="12"/>
      <c r="H30" s="12"/>
      <c r="I30" s="12"/>
      <c r="J30" s="12" t="s">
        <v>749</v>
      </c>
      <c r="K30" s="12" t="s">
        <v>270</v>
      </c>
      <c r="L30" s="12" t="s">
        <v>948</v>
      </c>
      <c r="M30" s="12"/>
    </row>
    <row r="31" spans="1:13" x14ac:dyDescent="0.3">
      <c r="A31" s="12" t="s">
        <v>89</v>
      </c>
      <c r="B31" s="12" t="s">
        <v>367</v>
      </c>
      <c r="C31" s="12" t="s">
        <v>29</v>
      </c>
      <c r="D31" s="12" t="s">
        <v>271</v>
      </c>
      <c r="E31" s="12" t="s">
        <v>6533</v>
      </c>
      <c r="F31" s="12" t="s">
        <v>798</v>
      </c>
      <c r="G31" s="12"/>
      <c r="H31" s="12"/>
      <c r="I31" s="12"/>
      <c r="J31" s="12" t="s">
        <v>749</v>
      </c>
      <c r="K31" s="12" t="s">
        <v>270</v>
      </c>
      <c r="L31" s="12" t="s">
        <v>948</v>
      </c>
      <c r="M31" s="12"/>
    </row>
    <row r="32" spans="1:13" x14ac:dyDescent="0.3">
      <c r="A32" s="12" t="s">
        <v>89</v>
      </c>
      <c r="B32" s="12" t="s">
        <v>367</v>
      </c>
      <c r="C32" s="12" t="s">
        <v>29</v>
      </c>
      <c r="D32" s="12" t="s">
        <v>272</v>
      </c>
      <c r="E32" s="12" t="s">
        <v>6534</v>
      </c>
      <c r="F32" s="12"/>
      <c r="G32" s="12">
        <v>0.4</v>
      </c>
      <c r="H32" s="12">
        <v>0.7</v>
      </c>
      <c r="I32" s="12">
        <v>7</v>
      </c>
      <c r="J32" s="12"/>
      <c r="K32" s="12" t="s">
        <v>273</v>
      </c>
      <c r="L32" s="12" t="s">
        <v>948</v>
      </c>
      <c r="M32" s="12"/>
    </row>
    <row r="33" spans="1:13" x14ac:dyDescent="0.3">
      <c r="A33" s="12" t="s">
        <v>89</v>
      </c>
      <c r="B33" s="12" t="s">
        <v>367</v>
      </c>
      <c r="C33" s="12" t="s">
        <v>29</v>
      </c>
      <c r="D33" s="12" t="s">
        <v>282</v>
      </c>
      <c r="E33" s="12" t="s">
        <v>6533</v>
      </c>
      <c r="F33" s="12" t="s">
        <v>800</v>
      </c>
      <c r="G33" s="12"/>
      <c r="H33" s="12"/>
      <c r="I33" s="12"/>
      <c r="J33" s="12" t="s">
        <v>749</v>
      </c>
      <c r="K33" s="12" t="s">
        <v>283</v>
      </c>
      <c r="L33" s="12" t="s">
        <v>948</v>
      </c>
      <c r="M33" s="12"/>
    </row>
    <row r="34" spans="1:13" x14ac:dyDescent="0.3">
      <c r="A34" s="12" t="s">
        <v>89</v>
      </c>
      <c r="B34" s="12" t="s">
        <v>367</v>
      </c>
      <c r="C34" s="12" t="s">
        <v>29</v>
      </c>
      <c r="D34" s="12" t="s">
        <v>1875</v>
      </c>
      <c r="E34" s="12" t="s">
        <v>6533</v>
      </c>
      <c r="F34" s="12" t="s">
        <v>755</v>
      </c>
      <c r="G34" s="12"/>
      <c r="H34" s="12"/>
      <c r="I34" s="12"/>
      <c r="J34" s="12" t="s">
        <v>749</v>
      </c>
      <c r="K34" s="12" t="s">
        <v>273</v>
      </c>
      <c r="L34" s="12" t="s">
        <v>948</v>
      </c>
      <c r="M34" s="12"/>
    </row>
    <row r="35" spans="1:13" x14ac:dyDescent="0.3">
      <c r="A35" s="12" t="s">
        <v>89</v>
      </c>
      <c r="B35" s="12" t="s">
        <v>367</v>
      </c>
      <c r="C35" s="12" t="s">
        <v>29</v>
      </c>
      <c r="D35" s="12" t="s">
        <v>1876</v>
      </c>
      <c r="E35" s="12" t="s">
        <v>6533</v>
      </c>
      <c r="F35" s="12" t="s">
        <v>757</v>
      </c>
      <c r="G35" s="12"/>
      <c r="H35" s="12"/>
      <c r="I35" s="12"/>
      <c r="J35" s="12" t="s">
        <v>749</v>
      </c>
      <c r="K35" s="12" t="s">
        <v>273</v>
      </c>
      <c r="L35" s="12" t="s">
        <v>948</v>
      </c>
      <c r="M35" s="12"/>
    </row>
    <row r="36" spans="1:13" x14ac:dyDescent="0.3">
      <c r="A36" s="12" t="s">
        <v>89</v>
      </c>
      <c r="B36" s="12" t="s">
        <v>367</v>
      </c>
      <c r="C36" s="12" t="s">
        <v>29</v>
      </c>
      <c r="D36" s="12" t="s">
        <v>1877</v>
      </c>
      <c r="E36" s="12" t="s">
        <v>6533</v>
      </c>
      <c r="F36" s="12" t="s">
        <v>755</v>
      </c>
      <c r="G36" s="12"/>
      <c r="H36" s="12"/>
      <c r="I36" s="12"/>
      <c r="J36" s="12" t="s">
        <v>749</v>
      </c>
      <c r="K36" s="12" t="s">
        <v>273</v>
      </c>
      <c r="L36" s="12" t="s">
        <v>948</v>
      </c>
      <c r="M36" s="12"/>
    </row>
    <row r="37" spans="1:13" x14ac:dyDescent="0.3">
      <c r="A37" s="12" t="s">
        <v>89</v>
      </c>
      <c r="B37" s="12" t="s">
        <v>367</v>
      </c>
      <c r="C37" s="12" t="s">
        <v>29</v>
      </c>
      <c r="D37" s="12" t="s">
        <v>1878</v>
      </c>
      <c r="E37" s="12" t="s">
        <v>6533</v>
      </c>
      <c r="F37" s="12" t="s">
        <v>757</v>
      </c>
      <c r="G37" s="12"/>
      <c r="H37" s="12"/>
      <c r="I37" s="12"/>
      <c r="J37" s="12" t="s">
        <v>749</v>
      </c>
      <c r="K37" s="12" t="s">
        <v>273</v>
      </c>
      <c r="L37" s="12" t="s">
        <v>948</v>
      </c>
      <c r="M37" s="12"/>
    </row>
    <row r="38" spans="1:13" x14ac:dyDescent="0.3">
      <c r="A38" s="12" t="s">
        <v>89</v>
      </c>
      <c r="B38" s="12" t="s">
        <v>367</v>
      </c>
      <c r="C38" s="12" t="s">
        <v>29</v>
      </c>
      <c r="D38" s="12" t="s">
        <v>1879</v>
      </c>
      <c r="E38" s="12" t="s">
        <v>6533</v>
      </c>
      <c r="F38" s="12" t="s">
        <v>801</v>
      </c>
      <c r="G38" s="12"/>
      <c r="H38" s="12"/>
      <c r="I38" s="12"/>
      <c r="J38" s="12" t="s">
        <v>749</v>
      </c>
      <c r="K38" s="12" t="s">
        <v>273</v>
      </c>
      <c r="L38" s="12" t="s">
        <v>948</v>
      </c>
      <c r="M38" s="12"/>
    </row>
    <row r="39" spans="1:13" x14ac:dyDescent="0.3">
      <c r="A39" s="12" t="s">
        <v>89</v>
      </c>
      <c r="B39" s="12" t="s">
        <v>367</v>
      </c>
      <c r="C39" s="12" t="s">
        <v>29</v>
      </c>
      <c r="D39" s="12" t="s">
        <v>1880</v>
      </c>
      <c r="E39" s="12" t="s">
        <v>6535</v>
      </c>
      <c r="F39" s="12"/>
      <c r="G39" s="12"/>
      <c r="H39" s="12"/>
      <c r="I39" s="12"/>
      <c r="J39" s="12"/>
      <c r="K39" s="12" t="s">
        <v>275</v>
      </c>
      <c r="L39" s="12" t="s">
        <v>948</v>
      </c>
      <c r="M39" s="12"/>
    </row>
    <row r="40" spans="1:13" x14ac:dyDescent="0.3">
      <c r="A40" s="12" t="s">
        <v>89</v>
      </c>
      <c r="B40" s="12" t="s">
        <v>367</v>
      </c>
      <c r="C40" s="12" t="s">
        <v>29</v>
      </c>
      <c r="D40" s="12" t="s">
        <v>67</v>
      </c>
      <c r="E40" s="12" t="s">
        <v>6533</v>
      </c>
      <c r="F40" s="12" t="s">
        <v>804</v>
      </c>
      <c r="G40" s="12"/>
      <c r="H40" s="12"/>
      <c r="I40" s="12"/>
      <c r="J40" s="12"/>
      <c r="K40" s="12" t="s">
        <v>273</v>
      </c>
      <c r="L40" s="12" t="s">
        <v>948</v>
      </c>
      <c r="M40" s="12"/>
    </row>
    <row r="41" spans="1:13" x14ac:dyDescent="0.3">
      <c r="A41" s="12" t="s">
        <v>89</v>
      </c>
      <c r="B41" s="12" t="s">
        <v>369</v>
      </c>
      <c r="C41" s="12" t="s">
        <v>29</v>
      </c>
      <c r="D41" s="12" t="s">
        <v>274</v>
      </c>
      <c r="E41" s="12" t="s">
        <v>6533</v>
      </c>
      <c r="F41" s="12" t="s">
        <v>794</v>
      </c>
      <c r="G41" s="12"/>
      <c r="H41" s="12"/>
      <c r="I41" s="12"/>
      <c r="J41" s="12" t="s">
        <v>749</v>
      </c>
      <c r="K41" s="12" t="s">
        <v>275</v>
      </c>
      <c r="L41" s="12" t="s">
        <v>948</v>
      </c>
      <c r="M41" s="12"/>
    </row>
    <row r="42" spans="1:13" x14ac:dyDescent="0.3">
      <c r="A42" s="12" t="s">
        <v>89</v>
      </c>
      <c r="B42" s="12" t="s">
        <v>369</v>
      </c>
      <c r="C42" s="12" t="s">
        <v>29</v>
      </c>
      <c r="D42" s="12" t="s">
        <v>276</v>
      </c>
      <c r="E42" s="12" t="s">
        <v>6534</v>
      </c>
      <c r="F42" s="12"/>
      <c r="G42" s="12">
        <v>297.95</v>
      </c>
      <c r="H42" s="12">
        <v>303.55</v>
      </c>
      <c r="I42" s="12">
        <v>23</v>
      </c>
      <c r="J42" s="12"/>
      <c r="K42" s="12" t="s">
        <v>275</v>
      </c>
      <c r="L42" s="12" t="s">
        <v>948</v>
      </c>
      <c r="M42" s="12"/>
    </row>
    <row r="43" spans="1:13" x14ac:dyDescent="0.3">
      <c r="A43" s="12" t="s">
        <v>89</v>
      </c>
      <c r="B43" s="12" t="s">
        <v>369</v>
      </c>
      <c r="C43" s="12" t="s">
        <v>29</v>
      </c>
      <c r="D43" s="12" t="s">
        <v>269</v>
      </c>
      <c r="E43" s="12" t="s">
        <v>6533</v>
      </c>
      <c r="F43" s="12" t="s">
        <v>805</v>
      </c>
      <c r="G43" s="12"/>
      <c r="H43" s="12"/>
      <c r="I43" s="12"/>
      <c r="J43" s="12" t="s">
        <v>749</v>
      </c>
      <c r="K43" s="12" t="s">
        <v>270</v>
      </c>
      <c r="L43" s="12" t="s">
        <v>948</v>
      </c>
      <c r="M43" s="12"/>
    </row>
    <row r="44" spans="1:13" x14ac:dyDescent="0.3">
      <c r="A44" s="12" t="s">
        <v>89</v>
      </c>
      <c r="B44" s="12" t="s">
        <v>369</v>
      </c>
      <c r="C44" s="12" t="s">
        <v>29</v>
      </c>
      <c r="D44" s="12" t="s">
        <v>271</v>
      </c>
      <c r="E44" s="12" t="s">
        <v>6533</v>
      </c>
      <c r="F44" s="12" t="s">
        <v>798</v>
      </c>
      <c r="G44" s="12"/>
      <c r="H44" s="12"/>
      <c r="I44" s="12"/>
      <c r="J44" s="12" t="s">
        <v>749</v>
      </c>
      <c r="K44" s="12" t="s">
        <v>270</v>
      </c>
      <c r="L44" s="12" t="s">
        <v>948</v>
      </c>
      <c r="M44" s="12"/>
    </row>
    <row r="45" spans="1:13" x14ac:dyDescent="0.3">
      <c r="A45" s="12" t="s">
        <v>89</v>
      </c>
      <c r="B45" s="12" t="s">
        <v>369</v>
      </c>
      <c r="C45" s="12" t="s">
        <v>29</v>
      </c>
      <c r="D45" s="12" t="s">
        <v>272</v>
      </c>
      <c r="E45" s="12" t="s">
        <v>6533</v>
      </c>
      <c r="F45" s="12" t="s">
        <v>799</v>
      </c>
      <c r="G45" s="12"/>
      <c r="H45" s="12"/>
      <c r="I45" s="12"/>
      <c r="J45" s="12" t="s">
        <v>749</v>
      </c>
      <c r="K45" s="12" t="s">
        <v>273</v>
      </c>
      <c r="L45" s="12" t="s">
        <v>948</v>
      </c>
      <c r="M45" s="12"/>
    </row>
    <row r="46" spans="1:13" x14ac:dyDescent="0.3">
      <c r="A46" s="12" t="s">
        <v>89</v>
      </c>
      <c r="B46" s="12" t="s">
        <v>369</v>
      </c>
      <c r="C46" s="12" t="s">
        <v>29</v>
      </c>
      <c r="D46" s="12" t="s">
        <v>282</v>
      </c>
      <c r="E46" s="12" t="s">
        <v>6533</v>
      </c>
      <c r="F46" s="12" t="s">
        <v>800</v>
      </c>
      <c r="G46" s="12"/>
      <c r="H46" s="12"/>
      <c r="I46" s="12"/>
      <c r="J46" s="12" t="s">
        <v>749</v>
      </c>
      <c r="K46" s="12" t="s">
        <v>283</v>
      </c>
      <c r="L46" s="12" t="s">
        <v>948</v>
      </c>
      <c r="M46" s="12"/>
    </row>
    <row r="47" spans="1:13" x14ac:dyDescent="0.3">
      <c r="A47" s="12" t="s">
        <v>89</v>
      </c>
      <c r="B47" s="12" t="s">
        <v>369</v>
      </c>
      <c r="C47" s="12" t="s">
        <v>29</v>
      </c>
      <c r="D47" s="12" t="s">
        <v>1875</v>
      </c>
      <c r="E47" s="12" t="s">
        <v>6533</v>
      </c>
      <c r="F47" s="12" t="s">
        <v>755</v>
      </c>
      <c r="G47" s="12"/>
      <c r="H47" s="12"/>
      <c r="I47" s="12"/>
      <c r="J47" s="12" t="s">
        <v>749</v>
      </c>
      <c r="K47" s="12" t="s">
        <v>273</v>
      </c>
      <c r="L47" s="12" t="s">
        <v>948</v>
      </c>
      <c r="M47" s="12"/>
    </row>
    <row r="48" spans="1:13" x14ac:dyDescent="0.3">
      <c r="A48" s="12" t="s">
        <v>89</v>
      </c>
      <c r="B48" s="12" t="s">
        <v>369</v>
      </c>
      <c r="C48" s="12" t="s">
        <v>29</v>
      </c>
      <c r="D48" s="12" t="s">
        <v>1876</v>
      </c>
      <c r="E48" s="12" t="s">
        <v>6533</v>
      </c>
      <c r="F48" s="12" t="s">
        <v>757</v>
      </c>
      <c r="G48" s="12"/>
      <c r="H48" s="12"/>
      <c r="I48" s="12"/>
      <c r="J48" s="12" t="s">
        <v>749</v>
      </c>
      <c r="K48" s="12" t="s">
        <v>273</v>
      </c>
      <c r="L48" s="12" t="s">
        <v>948</v>
      </c>
      <c r="M48" s="12"/>
    </row>
    <row r="49" spans="1:13" x14ac:dyDescent="0.3">
      <c r="A49" s="12" t="s">
        <v>89</v>
      </c>
      <c r="B49" s="12" t="s">
        <v>369</v>
      </c>
      <c r="C49" s="12" t="s">
        <v>29</v>
      </c>
      <c r="D49" s="12" t="s">
        <v>1877</v>
      </c>
      <c r="E49" s="12" t="s">
        <v>6533</v>
      </c>
      <c r="F49" s="12" t="s">
        <v>755</v>
      </c>
      <c r="G49" s="12"/>
      <c r="H49" s="12"/>
      <c r="I49" s="12"/>
      <c r="J49" s="12" t="s">
        <v>749</v>
      </c>
      <c r="K49" s="12" t="s">
        <v>273</v>
      </c>
      <c r="L49" s="12" t="s">
        <v>948</v>
      </c>
      <c r="M49" s="12"/>
    </row>
    <row r="50" spans="1:13" x14ac:dyDescent="0.3">
      <c r="A50" s="12" t="s">
        <v>89</v>
      </c>
      <c r="B50" s="12" t="s">
        <v>369</v>
      </c>
      <c r="C50" s="12" t="s">
        <v>29</v>
      </c>
      <c r="D50" s="12" t="s">
        <v>1878</v>
      </c>
      <c r="E50" s="12" t="s">
        <v>6533</v>
      </c>
      <c r="F50" s="12" t="s">
        <v>757</v>
      </c>
      <c r="G50" s="12"/>
      <c r="H50" s="12"/>
      <c r="I50" s="12"/>
      <c r="J50" s="12" t="s">
        <v>749</v>
      </c>
      <c r="K50" s="12" t="s">
        <v>273</v>
      </c>
      <c r="L50" s="12" t="s">
        <v>948</v>
      </c>
      <c r="M50" s="12"/>
    </row>
    <row r="51" spans="1:13" x14ac:dyDescent="0.3">
      <c r="A51" s="12" t="s">
        <v>89</v>
      </c>
      <c r="B51" s="12" t="s">
        <v>369</v>
      </c>
      <c r="C51" s="12" t="s">
        <v>29</v>
      </c>
      <c r="D51" s="12" t="s">
        <v>1879</v>
      </c>
      <c r="E51" s="12" t="s">
        <v>6533</v>
      </c>
      <c r="F51" s="12" t="s">
        <v>801</v>
      </c>
      <c r="G51" s="12"/>
      <c r="H51" s="12"/>
      <c r="I51" s="12"/>
      <c r="J51" s="12" t="s">
        <v>749</v>
      </c>
      <c r="K51" s="12" t="s">
        <v>273</v>
      </c>
      <c r="L51" s="12" t="s">
        <v>948</v>
      </c>
      <c r="M51" s="12"/>
    </row>
    <row r="52" spans="1:13" x14ac:dyDescent="0.3">
      <c r="A52" s="12" t="s">
        <v>89</v>
      </c>
      <c r="B52" s="12" t="s">
        <v>369</v>
      </c>
      <c r="C52" s="12" t="s">
        <v>29</v>
      </c>
      <c r="D52" s="12" t="s">
        <v>1880</v>
      </c>
      <c r="E52" s="12" t="s">
        <v>6535</v>
      </c>
      <c r="F52" s="12"/>
      <c r="G52" s="12"/>
      <c r="H52" s="12"/>
      <c r="I52" s="12"/>
      <c r="J52" s="12"/>
      <c r="K52" s="12" t="s">
        <v>275</v>
      </c>
      <c r="L52" s="12" t="s">
        <v>948</v>
      </c>
      <c r="M52" s="12"/>
    </row>
    <row r="53" spans="1:13" x14ac:dyDescent="0.3">
      <c r="A53" s="12" t="s">
        <v>89</v>
      </c>
      <c r="B53" s="12" t="s">
        <v>369</v>
      </c>
      <c r="C53" s="12" t="s">
        <v>29</v>
      </c>
      <c r="D53" s="12" t="s">
        <v>67</v>
      </c>
      <c r="E53" s="12" t="s">
        <v>6533</v>
      </c>
      <c r="F53" s="12" t="s">
        <v>804</v>
      </c>
      <c r="G53" s="12"/>
      <c r="H53" s="12"/>
      <c r="I53" s="12"/>
      <c r="J53" s="12"/>
      <c r="K53" s="12" t="s">
        <v>273</v>
      </c>
      <c r="L53" s="12" t="s">
        <v>948</v>
      </c>
      <c r="M53" s="12"/>
    </row>
    <row r="54" spans="1:13" x14ac:dyDescent="0.3">
      <c r="A54" s="12" t="s">
        <v>96</v>
      </c>
      <c r="B54" s="12" t="s">
        <v>96</v>
      </c>
      <c r="C54" s="12" t="s">
        <v>97</v>
      </c>
      <c r="D54" s="12" t="s">
        <v>274</v>
      </c>
      <c r="E54" s="12" t="s">
        <v>6534</v>
      </c>
      <c r="F54" s="12"/>
      <c r="G54" s="12">
        <v>340</v>
      </c>
      <c r="H54" s="12">
        <v>623.15</v>
      </c>
      <c r="I54" s="12">
        <v>22</v>
      </c>
      <c r="J54" s="12"/>
      <c r="K54" s="12" t="s">
        <v>275</v>
      </c>
      <c r="L54" s="12" t="s">
        <v>749</v>
      </c>
      <c r="M54" s="12">
        <v>623.15</v>
      </c>
    </row>
    <row r="55" spans="1:13" x14ac:dyDescent="0.3">
      <c r="A55" s="12" t="s">
        <v>96</v>
      </c>
      <c r="B55" s="12" t="s">
        <v>96</v>
      </c>
      <c r="C55" s="12" t="s">
        <v>97</v>
      </c>
      <c r="D55" s="12" t="s">
        <v>276</v>
      </c>
      <c r="E55" s="12" t="s">
        <v>6534</v>
      </c>
      <c r="F55" s="12"/>
      <c r="G55" s="12">
        <v>283.14999999999998</v>
      </c>
      <c r="H55" s="12">
        <v>303.55</v>
      </c>
      <c r="I55" s="12">
        <v>11</v>
      </c>
      <c r="J55" s="12"/>
      <c r="K55" s="12" t="s">
        <v>275</v>
      </c>
      <c r="L55" s="12" t="s">
        <v>749</v>
      </c>
      <c r="M55" s="12">
        <v>300.03300000000002</v>
      </c>
    </row>
    <row r="56" spans="1:13" x14ac:dyDescent="0.3">
      <c r="A56" s="12" t="s">
        <v>96</v>
      </c>
      <c r="B56" s="12" t="s">
        <v>96</v>
      </c>
      <c r="C56" s="12" t="s">
        <v>97</v>
      </c>
      <c r="D56" s="12" t="s">
        <v>269</v>
      </c>
      <c r="E56" s="12" t="s">
        <v>6534</v>
      </c>
      <c r="F56" s="12"/>
      <c r="G56" s="12">
        <v>1000</v>
      </c>
      <c r="H56" s="12">
        <v>10000</v>
      </c>
      <c r="I56" s="12">
        <v>24</v>
      </c>
      <c r="J56" s="12"/>
      <c r="K56" s="12" t="s">
        <v>270</v>
      </c>
      <c r="L56" s="12" t="s">
        <v>749</v>
      </c>
      <c r="M56" s="12">
        <v>3000</v>
      </c>
    </row>
    <row r="57" spans="1:13" x14ac:dyDescent="0.3">
      <c r="A57" s="12" t="s">
        <v>96</v>
      </c>
      <c r="B57" s="12" t="s">
        <v>96</v>
      </c>
      <c r="C57" s="12" t="s">
        <v>97</v>
      </c>
      <c r="D57" s="12" t="s">
        <v>271</v>
      </c>
      <c r="E57" s="12" t="s">
        <v>6534</v>
      </c>
      <c r="F57" s="12"/>
      <c r="G57" s="12">
        <v>150</v>
      </c>
      <c r="H57" s="12">
        <v>1500</v>
      </c>
      <c r="I57" s="12">
        <v>11</v>
      </c>
      <c r="J57" s="12"/>
      <c r="K57" s="12" t="s">
        <v>270</v>
      </c>
      <c r="L57" s="12" t="s">
        <v>749</v>
      </c>
      <c r="M57" s="12">
        <v>400</v>
      </c>
    </row>
    <row r="58" spans="1:13" x14ac:dyDescent="0.3">
      <c r="A58" s="12" t="s">
        <v>96</v>
      </c>
      <c r="B58" s="12" t="s">
        <v>96</v>
      </c>
      <c r="C58" s="12" t="s">
        <v>97</v>
      </c>
      <c r="D58" s="12" t="s">
        <v>272</v>
      </c>
      <c r="E58" s="12" t="s">
        <v>6534</v>
      </c>
      <c r="F58" s="12"/>
      <c r="G58" s="12">
        <v>0.3</v>
      </c>
      <c r="H58" s="12">
        <v>0.9</v>
      </c>
      <c r="I58" s="12">
        <v>14</v>
      </c>
      <c r="J58" s="12"/>
      <c r="K58" s="12" t="s">
        <v>273</v>
      </c>
      <c r="L58" s="12" t="s">
        <v>749</v>
      </c>
      <c r="M58" s="12">
        <v>0.5</v>
      </c>
    </row>
    <row r="59" spans="1:13" x14ac:dyDescent="0.3">
      <c r="A59" s="12" t="s">
        <v>96</v>
      </c>
      <c r="B59" s="12" t="s">
        <v>96</v>
      </c>
      <c r="C59" s="12" t="s">
        <v>97</v>
      </c>
      <c r="D59" s="12" t="s">
        <v>282</v>
      </c>
      <c r="E59" s="12" t="s">
        <v>6533</v>
      </c>
      <c r="F59" s="12" t="s">
        <v>800</v>
      </c>
      <c r="G59" s="12"/>
      <c r="H59" s="12"/>
      <c r="I59" s="12"/>
      <c r="J59" s="12" t="s">
        <v>749</v>
      </c>
      <c r="K59" s="12" t="s">
        <v>283</v>
      </c>
      <c r="L59" s="12" t="s">
        <v>749</v>
      </c>
      <c r="M59" s="12">
        <v>1</v>
      </c>
    </row>
    <row r="60" spans="1:13" x14ac:dyDescent="0.3">
      <c r="A60" s="12" t="s">
        <v>96</v>
      </c>
      <c r="B60" s="12" t="s">
        <v>96</v>
      </c>
      <c r="C60" s="12" t="s">
        <v>97</v>
      </c>
      <c r="D60" s="12" t="s">
        <v>1875</v>
      </c>
      <c r="E60" s="12" t="s">
        <v>6534</v>
      </c>
      <c r="F60" s="12"/>
      <c r="G60" s="12">
        <v>0.75</v>
      </c>
      <c r="H60" s="12">
        <v>0.9</v>
      </c>
      <c r="I60" s="12">
        <v>10</v>
      </c>
      <c r="J60" s="12"/>
      <c r="K60" s="12" t="s">
        <v>273</v>
      </c>
      <c r="L60" s="12" t="s">
        <v>749</v>
      </c>
      <c r="M60" s="12">
        <v>0.85</v>
      </c>
    </row>
    <row r="61" spans="1:13" x14ac:dyDescent="0.3">
      <c r="A61" s="12" t="s">
        <v>96</v>
      </c>
      <c r="B61" s="12" t="s">
        <v>96</v>
      </c>
      <c r="C61" s="12" t="s">
        <v>97</v>
      </c>
      <c r="D61" s="12" t="s">
        <v>1876</v>
      </c>
      <c r="E61" s="12" t="s">
        <v>6534</v>
      </c>
      <c r="F61" s="12"/>
      <c r="G61" s="12">
        <v>0.65</v>
      </c>
      <c r="H61" s="12">
        <v>0.85</v>
      </c>
      <c r="I61" s="12">
        <v>11</v>
      </c>
      <c r="J61" s="12"/>
      <c r="K61" s="12" t="s">
        <v>273</v>
      </c>
      <c r="L61" s="12" t="s">
        <v>749</v>
      </c>
      <c r="M61" s="12">
        <v>0.75</v>
      </c>
    </row>
    <row r="62" spans="1:13" x14ac:dyDescent="0.3">
      <c r="A62" s="12" t="s">
        <v>96</v>
      </c>
      <c r="B62" s="12" t="s">
        <v>96</v>
      </c>
      <c r="C62" s="12" t="s">
        <v>97</v>
      </c>
      <c r="D62" s="12" t="s">
        <v>1877</v>
      </c>
      <c r="E62" s="12" t="s">
        <v>6534</v>
      </c>
      <c r="F62" s="12"/>
      <c r="G62" s="12">
        <v>0.75</v>
      </c>
      <c r="H62" s="12">
        <v>0.85</v>
      </c>
      <c r="I62" s="12">
        <v>12</v>
      </c>
      <c r="J62" s="12"/>
      <c r="K62" s="12" t="s">
        <v>273</v>
      </c>
      <c r="L62" s="12" t="s">
        <v>749</v>
      </c>
      <c r="M62" s="12">
        <v>0.85</v>
      </c>
    </row>
    <row r="63" spans="1:13" x14ac:dyDescent="0.3">
      <c r="A63" s="12" t="s">
        <v>96</v>
      </c>
      <c r="B63" s="12" t="s">
        <v>96</v>
      </c>
      <c r="C63" s="12" t="s">
        <v>97</v>
      </c>
      <c r="D63" s="12" t="s">
        <v>1878</v>
      </c>
      <c r="E63" s="12" t="s">
        <v>6534</v>
      </c>
      <c r="F63" s="12"/>
      <c r="G63" s="12">
        <v>0.75</v>
      </c>
      <c r="H63" s="12">
        <v>0.85</v>
      </c>
      <c r="I63" s="12">
        <v>10</v>
      </c>
      <c r="J63" s="12"/>
      <c r="K63" s="12" t="s">
        <v>273</v>
      </c>
      <c r="L63" s="12" t="s">
        <v>749</v>
      </c>
      <c r="M63" s="12">
        <v>0.75</v>
      </c>
    </row>
    <row r="64" spans="1:13" x14ac:dyDescent="0.3">
      <c r="A64" s="12" t="s">
        <v>96</v>
      </c>
      <c r="B64" s="12" t="s">
        <v>96</v>
      </c>
      <c r="C64" s="12" t="s">
        <v>97</v>
      </c>
      <c r="D64" s="12" t="s">
        <v>1879</v>
      </c>
      <c r="E64" s="12" t="s">
        <v>6534</v>
      </c>
      <c r="F64" s="12"/>
      <c r="G64" s="12">
        <v>0.75</v>
      </c>
      <c r="H64" s="12">
        <v>0.85</v>
      </c>
      <c r="I64" s="12">
        <v>11</v>
      </c>
      <c r="J64" s="12"/>
      <c r="K64" s="12" t="s">
        <v>273</v>
      </c>
      <c r="L64" s="12" t="s">
        <v>749</v>
      </c>
      <c r="M64" s="12">
        <v>0.8</v>
      </c>
    </row>
    <row r="65" spans="1:13" x14ac:dyDescent="0.3">
      <c r="A65" s="12" t="s">
        <v>96</v>
      </c>
      <c r="B65" s="12" t="s">
        <v>96</v>
      </c>
      <c r="C65" s="12" t="s">
        <v>97</v>
      </c>
      <c r="D65" s="12" t="s">
        <v>1880</v>
      </c>
      <c r="E65" s="12" t="s">
        <v>6535</v>
      </c>
      <c r="F65" s="12"/>
      <c r="G65" s="12"/>
      <c r="H65" s="12"/>
      <c r="I65" s="12"/>
      <c r="J65" s="12"/>
      <c r="K65" s="12" t="s">
        <v>275</v>
      </c>
      <c r="L65" s="12" t="s">
        <v>749</v>
      </c>
      <c r="M65" s="12"/>
    </row>
    <row r="66" spans="1:13" x14ac:dyDescent="0.3">
      <c r="A66" s="12" t="s">
        <v>96</v>
      </c>
      <c r="B66" s="12" t="s">
        <v>96</v>
      </c>
      <c r="C66" s="12" t="s">
        <v>97</v>
      </c>
      <c r="D66" s="12" t="s">
        <v>67</v>
      </c>
      <c r="E66" s="12" t="s">
        <v>6533</v>
      </c>
      <c r="F66" s="12" t="s">
        <v>804</v>
      </c>
      <c r="G66" s="12"/>
      <c r="H66" s="12"/>
      <c r="I66" s="12"/>
      <c r="J66" s="12"/>
      <c r="K66" s="12" t="s">
        <v>273</v>
      </c>
      <c r="L66" s="12" t="s">
        <v>749</v>
      </c>
      <c r="M66" s="12"/>
    </row>
    <row r="67" spans="1:13" x14ac:dyDescent="0.3">
      <c r="A67" s="12" t="s">
        <v>104</v>
      </c>
      <c r="B67" s="12" t="s">
        <v>379</v>
      </c>
      <c r="C67" s="12" t="s">
        <v>2066</v>
      </c>
      <c r="D67" s="12" t="s">
        <v>274</v>
      </c>
      <c r="E67" s="12" t="s">
        <v>6533</v>
      </c>
      <c r="F67" s="12" t="s">
        <v>794</v>
      </c>
      <c r="G67" s="12"/>
      <c r="H67" s="12"/>
      <c r="I67" s="12"/>
      <c r="J67" s="12" t="s">
        <v>749</v>
      </c>
      <c r="K67" s="12" t="s">
        <v>275</v>
      </c>
      <c r="L67" s="12" t="s">
        <v>948</v>
      </c>
      <c r="M67" s="12"/>
    </row>
    <row r="68" spans="1:13" x14ac:dyDescent="0.3">
      <c r="A68" s="12" t="s">
        <v>104</v>
      </c>
      <c r="B68" s="12" t="s">
        <v>379</v>
      </c>
      <c r="C68" s="12" t="s">
        <v>2066</v>
      </c>
      <c r="D68" s="12" t="s">
        <v>276</v>
      </c>
      <c r="E68" s="12" t="s">
        <v>6533</v>
      </c>
      <c r="F68" s="12" t="s">
        <v>795</v>
      </c>
      <c r="G68" s="12"/>
      <c r="H68" s="12"/>
      <c r="I68" s="12"/>
      <c r="J68" s="12" t="s">
        <v>749</v>
      </c>
      <c r="K68" s="12" t="s">
        <v>275</v>
      </c>
      <c r="L68" s="12" t="s">
        <v>948</v>
      </c>
      <c r="M68" s="12"/>
    </row>
    <row r="69" spans="1:13" x14ac:dyDescent="0.3">
      <c r="A69" s="12" t="s">
        <v>104</v>
      </c>
      <c r="B69" s="12" t="s">
        <v>379</v>
      </c>
      <c r="C69" s="12" t="s">
        <v>2066</v>
      </c>
      <c r="D69" s="12" t="s">
        <v>269</v>
      </c>
      <c r="E69" s="12" t="s">
        <v>6533</v>
      </c>
      <c r="F69" s="12" t="s">
        <v>805</v>
      </c>
      <c r="G69" s="12"/>
      <c r="H69" s="12"/>
      <c r="I69" s="12"/>
      <c r="J69" s="12" t="s">
        <v>749</v>
      </c>
      <c r="K69" s="12" t="s">
        <v>270</v>
      </c>
      <c r="L69" s="12" t="s">
        <v>948</v>
      </c>
      <c r="M69" s="12"/>
    </row>
    <row r="70" spans="1:13" x14ac:dyDescent="0.3">
      <c r="A70" s="12" t="s">
        <v>104</v>
      </c>
      <c r="B70" s="12" t="s">
        <v>379</v>
      </c>
      <c r="C70" s="12" t="s">
        <v>2066</v>
      </c>
      <c r="D70" s="12" t="s">
        <v>271</v>
      </c>
      <c r="E70" s="12" t="s">
        <v>6534</v>
      </c>
      <c r="F70" s="12"/>
      <c r="G70" s="12">
        <v>400</v>
      </c>
      <c r="H70" s="12">
        <v>2000</v>
      </c>
      <c r="I70" s="12">
        <v>12</v>
      </c>
      <c r="J70" s="12"/>
      <c r="K70" s="12" t="s">
        <v>270</v>
      </c>
      <c r="L70" s="12" t="s">
        <v>948</v>
      </c>
      <c r="M70" s="12"/>
    </row>
    <row r="71" spans="1:13" x14ac:dyDescent="0.3">
      <c r="A71" s="12" t="s">
        <v>104</v>
      </c>
      <c r="B71" s="12" t="s">
        <v>379</v>
      </c>
      <c r="C71" s="12" t="s">
        <v>2066</v>
      </c>
      <c r="D71" s="12" t="s">
        <v>272</v>
      </c>
      <c r="E71" s="12" t="s">
        <v>6533</v>
      </c>
      <c r="F71" s="12" t="s">
        <v>799</v>
      </c>
      <c r="G71" s="12"/>
      <c r="H71" s="12"/>
      <c r="I71" s="12"/>
      <c r="J71" s="12" t="s">
        <v>749</v>
      </c>
      <c r="K71" s="12" t="s">
        <v>273</v>
      </c>
      <c r="L71" s="12" t="s">
        <v>948</v>
      </c>
      <c r="M71" s="12"/>
    </row>
    <row r="72" spans="1:13" x14ac:dyDescent="0.3">
      <c r="A72" s="12" t="s">
        <v>104</v>
      </c>
      <c r="B72" s="12" t="s">
        <v>379</v>
      </c>
      <c r="C72" s="12" t="s">
        <v>2066</v>
      </c>
      <c r="D72" s="12" t="s">
        <v>282</v>
      </c>
      <c r="E72" s="12" t="s">
        <v>6533</v>
      </c>
      <c r="F72" s="12" t="s">
        <v>800</v>
      </c>
      <c r="G72" s="12"/>
      <c r="H72" s="12"/>
      <c r="I72" s="12"/>
      <c r="J72" s="12" t="s">
        <v>749</v>
      </c>
      <c r="K72" s="12" t="s">
        <v>283</v>
      </c>
      <c r="L72" s="12" t="s">
        <v>948</v>
      </c>
      <c r="M72" s="12"/>
    </row>
    <row r="73" spans="1:13" x14ac:dyDescent="0.3">
      <c r="A73" s="12" t="s">
        <v>104</v>
      </c>
      <c r="B73" s="12" t="s">
        <v>379</v>
      </c>
      <c r="C73" s="12" t="s">
        <v>2066</v>
      </c>
      <c r="D73" s="12" t="s">
        <v>1875</v>
      </c>
      <c r="E73" s="12" t="s">
        <v>6533</v>
      </c>
      <c r="F73" s="12" t="s">
        <v>755</v>
      </c>
      <c r="G73" s="12"/>
      <c r="H73" s="12"/>
      <c r="I73" s="12"/>
      <c r="J73" s="12" t="s">
        <v>749</v>
      </c>
      <c r="K73" s="12" t="s">
        <v>273</v>
      </c>
      <c r="L73" s="12" t="s">
        <v>948</v>
      </c>
      <c r="M73" s="12"/>
    </row>
    <row r="74" spans="1:13" x14ac:dyDescent="0.3">
      <c r="A74" s="12" t="s">
        <v>104</v>
      </c>
      <c r="B74" s="12" t="s">
        <v>379</v>
      </c>
      <c r="C74" s="12" t="s">
        <v>2066</v>
      </c>
      <c r="D74" s="12" t="s">
        <v>1876</v>
      </c>
      <c r="E74" s="12" t="s">
        <v>6533</v>
      </c>
      <c r="F74" s="12" t="s">
        <v>757</v>
      </c>
      <c r="G74" s="12"/>
      <c r="H74" s="12"/>
      <c r="I74" s="12"/>
      <c r="J74" s="12" t="s">
        <v>749</v>
      </c>
      <c r="K74" s="12" t="s">
        <v>273</v>
      </c>
      <c r="L74" s="12" t="s">
        <v>948</v>
      </c>
      <c r="M74" s="12"/>
    </row>
    <row r="75" spans="1:13" x14ac:dyDescent="0.3">
      <c r="A75" s="12" t="s">
        <v>104</v>
      </c>
      <c r="B75" s="12" t="s">
        <v>379</v>
      </c>
      <c r="C75" s="12" t="s">
        <v>2066</v>
      </c>
      <c r="D75" s="12" t="s">
        <v>1877</v>
      </c>
      <c r="E75" s="12" t="s">
        <v>6534</v>
      </c>
      <c r="F75" s="12"/>
      <c r="G75" s="12">
        <v>0.75</v>
      </c>
      <c r="H75" s="12">
        <v>0.81</v>
      </c>
      <c r="I75" s="12">
        <v>3</v>
      </c>
      <c r="J75" s="12"/>
      <c r="K75" s="12" t="s">
        <v>273</v>
      </c>
      <c r="L75" s="12" t="s">
        <v>948</v>
      </c>
      <c r="M75" s="12"/>
    </row>
    <row r="76" spans="1:13" x14ac:dyDescent="0.3">
      <c r="A76" s="12" t="s">
        <v>104</v>
      </c>
      <c r="B76" s="12" t="s">
        <v>379</v>
      </c>
      <c r="C76" s="12" t="s">
        <v>2066</v>
      </c>
      <c r="D76" s="12" t="s">
        <v>1878</v>
      </c>
      <c r="E76" s="12" t="s">
        <v>6533</v>
      </c>
      <c r="F76" s="12" t="s">
        <v>757</v>
      </c>
      <c r="G76" s="12"/>
      <c r="H76" s="12"/>
      <c r="I76" s="12"/>
      <c r="J76" s="12" t="s">
        <v>749</v>
      </c>
      <c r="K76" s="12" t="s">
        <v>273</v>
      </c>
      <c r="L76" s="12" t="s">
        <v>948</v>
      </c>
      <c r="M76" s="12"/>
    </row>
    <row r="77" spans="1:13" x14ac:dyDescent="0.3">
      <c r="A77" s="12" t="s">
        <v>104</v>
      </c>
      <c r="B77" s="12" t="s">
        <v>379</v>
      </c>
      <c r="C77" s="12" t="s">
        <v>2066</v>
      </c>
      <c r="D77" s="12" t="s">
        <v>1879</v>
      </c>
      <c r="E77" s="12" t="s">
        <v>6533</v>
      </c>
      <c r="F77" s="12" t="s">
        <v>801</v>
      </c>
      <c r="G77" s="12"/>
      <c r="H77" s="12"/>
      <c r="I77" s="12"/>
      <c r="J77" s="12" t="s">
        <v>749</v>
      </c>
      <c r="K77" s="12" t="s">
        <v>273</v>
      </c>
      <c r="L77" s="12" t="s">
        <v>948</v>
      </c>
      <c r="M77" s="12"/>
    </row>
    <row r="78" spans="1:13" x14ac:dyDescent="0.3">
      <c r="A78" s="12" t="s">
        <v>104</v>
      </c>
      <c r="B78" s="12" t="s">
        <v>379</v>
      </c>
      <c r="C78" s="12" t="s">
        <v>2066</v>
      </c>
      <c r="D78" s="12" t="s">
        <v>1880</v>
      </c>
      <c r="E78" s="12" t="s">
        <v>6535</v>
      </c>
      <c r="F78" s="12"/>
      <c r="G78" s="12"/>
      <c r="H78" s="12"/>
      <c r="I78" s="12"/>
      <c r="J78" s="12"/>
      <c r="K78" s="12" t="s">
        <v>275</v>
      </c>
      <c r="L78" s="12" t="s">
        <v>948</v>
      </c>
      <c r="M78" s="12"/>
    </row>
    <row r="79" spans="1:13" x14ac:dyDescent="0.3">
      <c r="A79" s="12" t="s">
        <v>104</v>
      </c>
      <c r="B79" s="12" t="s">
        <v>379</v>
      </c>
      <c r="C79" s="12" t="s">
        <v>2066</v>
      </c>
      <c r="D79" s="12" t="s">
        <v>67</v>
      </c>
      <c r="E79" s="12" t="s">
        <v>6533</v>
      </c>
      <c r="F79" s="12" t="s">
        <v>804</v>
      </c>
      <c r="G79" s="12"/>
      <c r="H79" s="12"/>
      <c r="I79" s="12"/>
      <c r="J79" s="12"/>
      <c r="K79" s="12" t="s">
        <v>273</v>
      </c>
      <c r="L79" s="12" t="s">
        <v>948</v>
      </c>
      <c r="M79" s="12"/>
    </row>
    <row r="80" spans="1:13" x14ac:dyDescent="0.3">
      <c r="A80" s="12" t="s">
        <v>104</v>
      </c>
      <c r="B80" s="12" t="s">
        <v>382</v>
      </c>
      <c r="C80" s="12" t="s">
        <v>2103</v>
      </c>
      <c r="D80" s="12" t="s">
        <v>274</v>
      </c>
      <c r="E80" s="12" t="s">
        <v>6534</v>
      </c>
      <c r="F80" s="12"/>
      <c r="G80" s="12">
        <v>380</v>
      </c>
      <c r="H80" s="12">
        <v>560</v>
      </c>
      <c r="I80" s="12">
        <v>9</v>
      </c>
      <c r="J80" s="12"/>
      <c r="K80" s="12" t="s">
        <v>275</v>
      </c>
      <c r="L80" s="12" t="s">
        <v>948</v>
      </c>
      <c r="M80" s="12"/>
    </row>
    <row r="81" spans="1:13" x14ac:dyDescent="0.3">
      <c r="A81" s="12" t="s">
        <v>104</v>
      </c>
      <c r="B81" s="12" t="s">
        <v>382</v>
      </c>
      <c r="C81" s="12" t="s">
        <v>2103</v>
      </c>
      <c r="D81" s="12" t="s">
        <v>276</v>
      </c>
      <c r="E81" s="12" t="s">
        <v>6533</v>
      </c>
      <c r="F81" s="12" t="s">
        <v>795</v>
      </c>
      <c r="G81" s="12"/>
      <c r="H81" s="12"/>
      <c r="I81" s="12"/>
      <c r="J81" s="12" t="s">
        <v>749</v>
      </c>
      <c r="K81" s="12" t="s">
        <v>275</v>
      </c>
      <c r="L81" s="12" t="s">
        <v>948</v>
      </c>
      <c r="M81" s="12"/>
    </row>
    <row r="82" spans="1:13" x14ac:dyDescent="0.3">
      <c r="A82" s="12" t="s">
        <v>104</v>
      </c>
      <c r="B82" s="12" t="s">
        <v>382</v>
      </c>
      <c r="C82" s="12" t="s">
        <v>2103</v>
      </c>
      <c r="D82" s="12" t="s">
        <v>269</v>
      </c>
      <c r="E82" s="12" t="s">
        <v>6533</v>
      </c>
      <c r="F82" s="12" t="s">
        <v>805</v>
      </c>
      <c r="G82" s="12"/>
      <c r="H82" s="12"/>
      <c r="I82" s="12"/>
      <c r="J82" s="12" t="s">
        <v>749</v>
      </c>
      <c r="K82" s="12" t="s">
        <v>270</v>
      </c>
      <c r="L82" s="12" t="s">
        <v>948</v>
      </c>
      <c r="M82" s="12"/>
    </row>
    <row r="83" spans="1:13" x14ac:dyDescent="0.3">
      <c r="A83" s="12" t="s">
        <v>104</v>
      </c>
      <c r="B83" s="12" t="s">
        <v>382</v>
      </c>
      <c r="C83" s="12" t="s">
        <v>2103</v>
      </c>
      <c r="D83" s="12" t="s">
        <v>271</v>
      </c>
      <c r="E83" s="12" t="s">
        <v>6534</v>
      </c>
      <c r="F83" s="12"/>
      <c r="G83" s="12">
        <v>400</v>
      </c>
      <c r="H83" s="12">
        <v>2000</v>
      </c>
      <c r="I83" s="12">
        <v>32</v>
      </c>
      <c r="J83" s="12"/>
      <c r="K83" s="12" t="s">
        <v>270</v>
      </c>
      <c r="L83" s="12" t="s">
        <v>948</v>
      </c>
      <c r="M83" s="12"/>
    </row>
    <row r="84" spans="1:13" x14ac:dyDescent="0.3">
      <c r="A84" s="12" t="s">
        <v>104</v>
      </c>
      <c r="B84" s="12" t="s">
        <v>382</v>
      </c>
      <c r="C84" s="12" t="s">
        <v>2103</v>
      </c>
      <c r="D84" s="12" t="s">
        <v>272</v>
      </c>
      <c r="E84" s="12" t="s">
        <v>6533</v>
      </c>
      <c r="F84" s="12" t="s">
        <v>799</v>
      </c>
      <c r="G84" s="12"/>
      <c r="H84" s="12"/>
      <c r="I84" s="12"/>
      <c r="J84" s="12" t="s">
        <v>749</v>
      </c>
      <c r="K84" s="12" t="s">
        <v>273</v>
      </c>
      <c r="L84" s="12" t="s">
        <v>948</v>
      </c>
      <c r="M84" s="12"/>
    </row>
    <row r="85" spans="1:13" x14ac:dyDescent="0.3">
      <c r="A85" s="12" t="s">
        <v>104</v>
      </c>
      <c r="B85" s="12" t="s">
        <v>382</v>
      </c>
      <c r="C85" s="12" t="s">
        <v>2103</v>
      </c>
      <c r="D85" s="12" t="s">
        <v>282</v>
      </c>
      <c r="E85" s="12" t="s">
        <v>6533</v>
      </c>
      <c r="F85" s="12" t="s">
        <v>800</v>
      </c>
      <c r="G85" s="12"/>
      <c r="H85" s="12"/>
      <c r="I85" s="12"/>
      <c r="J85" s="12" t="s">
        <v>749</v>
      </c>
      <c r="K85" s="12" t="s">
        <v>283</v>
      </c>
      <c r="L85" s="12" t="s">
        <v>948</v>
      </c>
      <c r="M85" s="12"/>
    </row>
    <row r="86" spans="1:13" x14ac:dyDescent="0.3">
      <c r="A86" s="12" t="s">
        <v>104</v>
      </c>
      <c r="B86" s="12" t="s">
        <v>382</v>
      </c>
      <c r="C86" s="12" t="s">
        <v>2103</v>
      </c>
      <c r="D86" s="12" t="s">
        <v>1875</v>
      </c>
      <c r="E86" s="12" t="s">
        <v>6533</v>
      </c>
      <c r="F86" s="12" t="s">
        <v>755</v>
      </c>
      <c r="G86" s="12"/>
      <c r="H86" s="12"/>
      <c r="I86" s="12"/>
      <c r="J86" s="12" t="s">
        <v>749</v>
      </c>
      <c r="K86" s="12" t="s">
        <v>273</v>
      </c>
      <c r="L86" s="12" t="s">
        <v>948</v>
      </c>
      <c r="M86" s="12"/>
    </row>
    <row r="87" spans="1:13" x14ac:dyDescent="0.3">
      <c r="A87" s="12" t="s">
        <v>104</v>
      </c>
      <c r="B87" s="12" t="s">
        <v>382</v>
      </c>
      <c r="C87" s="12" t="s">
        <v>2103</v>
      </c>
      <c r="D87" s="12" t="s">
        <v>1876</v>
      </c>
      <c r="E87" s="12" t="s">
        <v>6533</v>
      </c>
      <c r="F87" s="12" t="s">
        <v>757</v>
      </c>
      <c r="G87" s="12"/>
      <c r="H87" s="12"/>
      <c r="I87" s="12"/>
      <c r="J87" s="12" t="s">
        <v>749</v>
      </c>
      <c r="K87" s="12" t="s">
        <v>273</v>
      </c>
      <c r="L87" s="12" t="s">
        <v>948</v>
      </c>
      <c r="M87" s="12"/>
    </row>
    <row r="88" spans="1:13" x14ac:dyDescent="0.3">
      <c r="A88" s="12" t="s">
        <v>104</v>
      </c>
      <c r="B88" s="12" t="s">
        <v>382</v>
      </c>
      <c r="C88" s="12" t="s">
        <v>2103</v>
      </c>
      <c r="D88" s="12" t="s">
        <v>1877</v>
      </c>
      <c r="E88" s="12" t="s">
        <v>6533</v>
      </c>
      <c r="F88" s="12" t="s">
        <v>755</v>
      </c>
      <c r="G88" s="12"/>
      <c r="H88" s="12"/>
      <c r="I88" s="12"/>
      <c r="J88" s="12" t="s">
        <v>749</v>
      </c>
      <c r="K88" s="12" t="s">
        <v>273</v>
      </c>
      <c r="L88" s="12" t="s">
        <v>948</v>
      </c>
      <c r="M88" s="12"/>
    </row>
    <row r="89" spans="1:13" x14ac:dyDescent="0.3">
      <c r="A89" s="12" t="s">
        <v>104</v>
      </c>
      <c r="B89" s="12" t="s">
        <v>382</v>
      </c>
      <c r="C89" s="12" t="s">
        <v>2103</v>
      </c>
      <c r="D89" s="12" t="s">
        <v>1878</v>
      </c>
      <c r="E89" s="12" t="s">
        <v>6533</v>
      </c>
      <c r="F89" s="12" t="s">
        <v>757</v>
      </c>
      <c r="G89" s="12"/>
      <c r="H89" s="12"/>
      <c r="I89" s="12"/>
      <c r="J89" s="12" t="s">
        <v>749</v>
      </c>
      <c r="K89" s="12" t="s">
        <v>273</v>
      </c>
      <c r="L89" s="12" t="s">
        <v>948</v>
      </c>
      <c r="M89" s="12"/>
    </row>
    <row r="90" spans="1:13" x14ac:dyDescent="0.3">
      <c r="A90" s="12" t="s">
        <v>104</v>
      </c>
      <c r="B90" s="12" t="s">
        <v>382</v>
      </c>
      <c r="C90" s="12" t="s">
        <v>2103</v>
      </c>
      <c r="D90" s="12" t="s">
        <v>1879</v>
      </c>
      <c r="E90" s="12" t="s">
        <v>6533</v>
      </c>
      <c r="F90" s="12" t="s">
        <v>801</v>
      </c>
      <c r="G90" s="12"/>
      <c r="H90" s="12"/>
      <c r="I90" s="12"/>
      <c r="J90" s="12" t="s">
        <v>749</v>
      </c>
      <c r="K90" s="12" t="s">
        <v>273</v>
      </c>
      <c r="L90" s="12" t="s">
        <v>948</v>
      </c>
      <c r="M90" s="12"/>
    </row>
    <row r="91" spans="1:13" x14ac:dyDescent="0.3">
      <c r="A91" s="12" t="s">
        <v>104</v>
      </c>
      <c r="B91" s="12" t="s">
        <v>382</v>
      </c>
      <c r="C91" s="12" t="s">
        <v>2103</v>
      </c>
      <c r="D91" s="12" t="s">
        <v>1880</v>
      </c>
      <c r="E91" s="12" t="s">
        <v>6535</v>
      </c>
      <c r="F91" s="12"/>
      <c r="G91" s="12"/>
      <c r="H91" s="12"/>
      <c r="I91" s="12"/>
      <c r="J91" s="12"/>
      <c r="K91" s="12" t="s">
        <v>275</v>
      </c>
      <c r="L91" s="12" t="s">
        <v>948</v>
      </c>
      <c r="M91" s="12"/>
    </row>
    <row r="92" spans="1:13" x14ac:dyDescent="0.3">
      <c r="A92" s="12" t="s">
        <v>104</v>
      </c>
      <c r="B92" s="12" t="s">
        <v>382</v>
      </c>
      <c r="C92" s="12" t="s">
        <v>2103</v>
      </c>
      <c r="D92" s="12" t="s">
        <v>67</v>
      </c>
      <c r="E92" s="12" t="s">
        <v>6533</v>
      </c>
      <c r="F92" s="12" t="s">
        <v>804</v>
      </c>
      <c r="G92" s="12"/>
      <c r="H92" s="12"/>
      <c r="I92" s="12"/>
      <c r="J92" s="12"/>
      <c r="K92" s="12" t="s">
        <v>273</v>
      </c>
      <c r="L92" s="12" t="s">
        <v>948</v>
      </c>
      <c r="M92" s="12"/>
    </row>
    <row r="93" spans="1:13" x14ac:dyDescent="0.3">
      <c r="A93" s="12" t="s">
        <v>112</v>
      </c>
      <c r="B93" s="12" t="s">
        <v>384</v>
      </c>
      <c r="C93" s="12" t="s">
        <v>2248</v>
      </c>
      <c r="D93" s="12" t="s">
        <v>274</v>
      </c>
      <c r="E93" s="12" t="s">
        <v>6533</v>
      </c>
      <c r="F93" s="12" t="s">
        <v>794</v>
      </c>
      <c r="G93" s="12"/>
      <c r="H93" s="12"/>
      <c r="I93" s="12"/>
      <c r="J93" s="12" t="s">
        <v>749</v>
      </c>
      <c r="K93" s="12" t="s">
        <v>275</v>
      </c>
      <c r="L93" s="12" t="s">
        <v>948</v>
      </c>
      <c r="M93" s="12"/>
    </row>
    <row r="94" spans="1:13" x14ac:dyDescent="0.3">
      <c r="A94" s="12" t="s">
        <v>112</v>
      </c>
      <c r="B94" s="12" t="s">
        <v>384</v>
      </c>
      <c r="C94" s="12" t="s">
        <v>2248</v>
      </c>
      <c r="D94" s="12" t="s">
        <v>276</v>
      </c>
      <c r="E94" s="12" t="s">
        <v>6533</v>
      </c>
      <c r="F94" s="12" t="s">
        <v>795</v>
      </c>
      <c r="G94" s="12"/>
      <c r="H94" s="12"/>
      <c r="I94" s="12"/>
      <c r="J94" s="12" t="s">
        <v>749</v>
      </c>
      <c r="K94" s="12" t="s">
        <v>275</v>
      </c>
      <c r="L94" s="12" t="s">
        <v>948</v>
      </c>
      <c r="M94" s="12"/>
    </row>
    <row r="95" spans="1:13" x14ac:dyDescent="0.3">
      <c r="A95" s="12" t="s">
        <v>112</v>
      </c>
      <c r="B95" s="12" t="s">
        <v>384</v>
      </c>
      <c r="C95" s="12" t="s">
        <v>2248</v>
      </c>
      <c r="D95" s="12" t="s">
        <v>269</v>
      </c>
      <c r="E95" s="12" t="s">
        <v>6533</v>
      </c>
      <c r="F95" s="12" t="s">
        <v>805</v>
      </c>
      <c r="G95" s="12"/>
      <c r="H95" s="12"/>
      <c r="I95" s="12"/>
      <c r="J95" s="12" t="s">
        <v>749</v>
      </c>
      <c r="K95" s="12" t="s">
        <v>270</v>
      </c>
      <c r="L95" s="12" t="s">
        <v>948</v>
      </c>
      <c r="M95" s="12"/>
    </row>
    <row r="96" spans="1:13" x14ac:dyDescent="0.3">
      <c r="A96" s="12" t="s">
        <v>112</v>
      </c>
      <c r="B96" s="12" t="s">
        <v>384</v>
      </c>
      <c r="C96" s="12" t="s">
        <v>2248</v>
      </c>
      <c r="D96" s="12" t="s">
        <v>271</v>
      </c>
      <c r="E96" s="12" t="s">
        <v>6533</v>
      </c>
      <c r="F96" s="12" t="s">
        <v>798</v>
      </c>
      <c r="G96" s="12"/>
      <c r="H96" s="12"/>
      <c r="I96" s="12"/>
      <c r="J96" s="12" t="s">
        <v>749</v>
      </c>
      <c r="K96" s="12" t="s">
        <v>270</v>
      </c>
      <c r="L96" s="12" t="s">
        <v>948</v>
      </c>
      <c r="M96" s="12"/>
    </row>
    <row r="97" spans="1:13" x14ac:dyDescent="0.3">
      <c r="A97" s="12" t="s">
        <v>112</v>
      </c>
      <c r="B97" s="12" t="s">
        <v>384</v>
      </c>
      <c r="C97" s="12" t="s">
        <v>2248</v>
      </c>
      <c r="D97" s="12" t="s">
        <v>272</v>
      </c>
      <c r="E97" s="12" t="s">
        <v>6533</v>
      </c>
      <c r="F97" s="12" t="s">
        <v>799</v>
      </c>
      <c r="G97" s="12"/>
      <c r="H97" s="12"/>
      <c r="I97" s="12"/>
      <c r="J97" s="12" t="s">
        <v>749</v>
      </c>
      <c r="K97" s="12" t="s">
        <v>273</v>
      </c>
      <c r="L97" s="12" t="s">
        <v>948</v>
      </c>
      <c r="M97" s="12"/>
    </row>
    <row r="98" spans="1:13" x14ac:dyDescent="0.3">
      <c r="A98" s="12" t="s">
        <v>112</v>
      </c>
      <c r="B98" s="12" t="s">
        <v>384</v>
      </c>
      <c r="C98" s="12" t="s">
        <v>2248</v>
      </c>
      <c r="D98" s="12" t="s">
        <v>282</v>
      </c>
      <c r="E98" s="12" t="s">
        <v>6533</v>
      </c>
      <c r="F98" s="12" t="s">
        <v>800</v>
      </c>
      <c r="G98" s="12"/>
      <c r="H98" s="12"/>
      <c r="I98" s="12"/>
      <c r="J98" s="12" t="s">
        <v>749</v>
      </c>
      <c r="K98" s="12" t="s">
        <v>283</v>
      </c>
      <c r="L98" s="12" t="s">
        <v>948</v>
      </c>
      <c r="M98" s="12"/>
    </row>
    <row r="99" spans="1:13" x14ac:dyDescent="0.3">
      <c r="A99" s="12" t="s">
        <v>112</v>
      </c>
      <c r="B99" s="12" t="s">
        <v>384</v>
      </c>
      <c r="C99" s="12" t="s">
        <v>2248</v>
      </c>
      <c r="D99" s="12" t="s">
        <v>1875</v>
      </c>
      <c r="E99" s="12" t="s">
        <v>6534</v>
      </c>
      <c r="F99" s="12"/>
      <c r="G99" s="12">
        <v>0.4</v>
      </c>
      <c r="H99" s="12">
        <v>0.95</v>
      </c>
      <c r="I99" s="12">
        <v>12</v>
      </c>
      <c r="J99" s="12"/>
      <c r="K99" s="12" t="s">
        <v>273</v>
      </c>
      <c r="L99" s="12" t="s">
        <v>948</v>
      </c>
      <c r="M99" s="12"/>
    </row>
    <row r="100" spans="1:13" x14ac:dyDescent="0.3">
      <c r="A100" s="12" t="s">
        <v>112</v>
      </c>
      <c r="B100" s="12" t="s">
        <v>384</v>
      </c>
      <c r="C100" s="12" t="s">
        <v>2248</v>
      </c>
      <c r="D100" s="12" t="s">
        <v>1876</v>
      </c>
      <c r="E100" s="12" t="s">
        <v>6534</v>
      </c>
      <c r="F100" s="12"/>
      <c r="G100" s="12">
        <v>0.4</v>
      </c>
      <c r="H100" s="12">
        <v>0.95</v>
      </c>
      <c r="I100" s="12">
        <v>12</v>
      </c>
      <c r="J100" s="12"/>
      <c r="K100" s="12" t="s">
        <v>273</v>
      </c>
      <c r="L100" s="12" t="s">
        <v>948</v>
      </c>
      <c r="M100" s="12"/>
    </row>
    <row r="101" spans="1:13" x14ac:dyDescent="0.3">
      <c r="A101" s="12" t="s">
        <v>112</v>
      </c>
      <c r="B101" s="12" t="s">
        <v>384</v>
      </c>
      <c r="C101" s="12" t="s">
        <v>2248</v>
      </c>
      <c r="D101" s="12" t="s">
        <v>1877</v>
      </c>
      <c r="E101" s="12" t="s">
        <v>6534</v>
      </c>
      <c r="F101" s="12"/>
      <c r="G101" s="12">
        <v>0.4</v>
      </c>
      <c r="H101" s="12">
        <v>0.95</v>
      </c>
      <c r="I101" s="12">
        <v>32</v>
      </c>
      <c r="J101" s="12"/>
      <c r="K101" s="12" t="s">
        <v>273</v>
      </c>
      <c r="L101" s="12" t="s">
        <v>948</v>
      </c>
      <c r="M101" s="12"/>
    </row>
    <row r="102" spans="1:13" x14ac:dyDescent="0.3">
      <c r="A102" s="12" t="s">
        <v>112</v>
      </c>
      <c r="B102" s="12" t="s">
        <v>384</v>
      </c>
      <c r="C102" s="12" t="s">
        <v>2248</v>
      </c>
      <c r="D102" s="12" t="s">
        <v>1878</v>
      </c>
      <c r="E102" s="12" t="s">
        <v>6534</v>
      </c>
      <c r="F102" s="12"/>
      <c r="G102" s="12">
        <v>0.4</v>
      </c>
      <c r="H102" s="12">
        <v>0.95</v>
      </c>
      <c r="I102" s="12">
        <v>12</v>
      </c>
      <c r="J102" s="12"/>
      <c r="K102" s="12" t="s">
        <v>273</v>
      </c>
      <c r="L102" s="12" t="s">
        <v>948</v>
      </c>
      <c r="M102" s="12"/>
    </row>
    <row r="103" spans="1:13" x14ac:dyDescent="0.3">
      <c r="A103" s="12" t="s">
        <v>112</v>
      </c>
      <c r="B103" s="12" t="s">
        <v>384</v>
      </c>
      <c r="C103" s="12" t="s">
        <v>2248</v>
      </c>
      <c r="D103" s="12" t="s">
        <v>1879</v>
      </c>
      <c r="E103" s="12" t="s">
        <v>6534</v>
      </c>
      <c r="F103" s="12"/>
      <c r="G103" s="12">
        <v>0.4</v>
      </c>
      <c r="H103" s="12">
        <v>0.95</v>
      </c>
      <c r="I103" s="12">
        <v>12</v>
      </c>
      <c r="J103" s="12"/>
      <c r="K103" s="12" t="s">
        <v>273</v>
      </c>
      <c r="L103" s="12" t="s">
        <v>948</v>
      </c>
      <c r="M103" s="12"/>
    </row>
    <row r="104" spans="1:13" x14ac:dyDescent="0.3">
      <c r="A104" s="12" t="s">
        <v>112</v>
      </c>
      <c r="B104" s="12" t="s">
        <v>384</v>
      </c>
      <c r="C104" s="12" t="s">
        <v>2248</v>
      </c>
      <c r="D104" s="12" t="s">
        <v>1880</v>
      </c>
      <c r="E104" s="12" t="s">
        <v>6535</v>
      </c>
      <c r="F104" s="12"/>
      <c r="G104" s="12"/>
      <c r="H104" s="12"/>
      <c r="I104" s="12"/>
      <c r="J104" s="12"/>
      <c r="K104" s="12" t="s">
        <v>275</v>
      </c>
      <c r="L104" s="12" t="s">
        <v>948</v>
      </c>
      <c r="M104" s="12"/>
    </row>
    <row r="105" spans="1:13" x14ac:dyDescent="0.3">
      <c r="A105" s="12" t="s">
        <v>112</v>
      </c>
      <c r="B105" s="12" t="s">
        <v>384</v>
      </c>
      <c r="C105" s="12" t="s">
        <v>2248</v>
      </c>
      <c r="D105" s="12" t="s">
        <v>67</v>
      </c>
      <c r="E105" s="12" t="s">
        <v>6533</v>
      </c>
      <c r="F105" s="12" t="s">
        <v>804</v>
      </c>
      <c r="G105" s="12"/>
      <c r="H105" s="12"/>
      <c r="I105" s="12"/>
      <c r="J105" s="12"/>
      <c r="K105" s="12" t="s">
        <v>273</v>
      </c>
      <c r="L105" s="12" t="s">
        <v>948</v>
      </c>
      <c r="M105" s="12"/>
    </row>
    <row r="106" spans="1:13" x14ac:dyDescent="0.3">
      <c r="A106" s="12" t="s">
        <v>112</v>
      </c>
      <c r="B106" s="12" t="s">
        <v>386</v>
      </c>
      <c r="C106" s="12" t="s">
        <v>2329</v>
      </c>
      <c r="D106" s="12" t="s">
        <v>274</v>
      </c>
      <c r="E106" s="12" t="s">
        <v>6533</v>
      </c>
      <c r="F106" s="12" t="s">
        <v>794</v>
      </c>
      <c r="G106" s="12"/>
      <c r="H106" s="12"/>
      <c r="I106" s="12"/>
      <c r="J106" s="12" t="s">
        <v>749</v>
      </c>
      <c r="K106" s="12" t="s">
        <v>275</v>
      </c>
      <c r="L106" s="12" t="s">
        <v>948</v>
      </c>
      <c r="M106" s="12"/>
    </row>
    <row r="107" spans="1:13" x14ac:dyDescent="0.3">
      <c r="A107" s="12" t="s">
        <v>112</v>
      </c>
      <c r="B107" s="12" t="s">
        <v>386</v>
      </c>
      <c r="C107" s="12" t="s">
        <v>2329</v>
      </c>
      <c r="D107" s="12" t="s">
        <v>276</v>
      </c>
      <c r="E107" s="12" t="s">
        <v>6533</v>
      </c>
      <c r="F107" s="12" t="s">
        <v>795</v>
      </c>
      <c r="G107" s="12"/>
      <c r="H107" s="12"/>
      <c r="I107" s="12"/>
      <c r="J107" s="12" t="s">
        <v>749</v>
      </c>
      <c r="K107" s="12" t="s">
        <v>275</v>
      </c>
      <c r="L107" s="12" t="s">
        <v>948</v>
      </c>
      <c r="M107" s="12"/>
    </row>
    <row r="108" spans="1:13" x14ac:dyDescent="0.3">
      <c r="A108" s="12" t="s">
        <v>112</v>
      </c>
      <c r="B108" s="12" t="s">
        <v>386</v>
      </c>
      <c r="C108" s="12" t="s">
        <v>2329</v>
      </c>
      <c r="D108" s="12" t="s">
        <v>269</v>
      </c>
      <c r="E108" s="12" t="s">
        <v>6533</v>
      </c>
      <c r="F108" s="12" t="s">
        <v>805</v>
      </c>
      <c r="G108" s="12"/>
      <c r="H108" s="12"/>
      <c r="I108" s="12"/>
      <c r="J108" s="12" t="s">
        <v>749</v>
      </c>
      <c r="K108" s="12" t="s">
        <v>270</v>
      </c>
      <c r="L108" s="12" t="s">
        <v>948</v>
      </c>
      <c r="M108" s="12"/>
    </row>
    <row r="109" spans="1:13" x14ac:dyDescent="0.3">
      <c r="A109" s="12" t="s">
        <v>112</v>
      </c>
      <c r="B109" s="12" t="s">
        <v>386</v>
      </c>
      <c r="C109" s="12" t="s">
        <v>2329</v>
      </c>
      <c r="D109" s="12" t="s">
        <v>271</v>
      </c>
      <c r="E109" s="12" t="s">
        <v>6533</v>
      </c>
      <c r="F109" s="12" t="s">
        <v>798</v>
      </c>
      <c r="G109" s="12"/>
      <c r="H109" s="12"/>
      <c r="I109" s="12"/>
      <c r="J109" s="12" t="s">
        <v>749</v>
      </c>
      <c r="K109" s="12" t="s">
        <v>270</v>
      </c>
      <c r="L109" s="12" t="s">
        <v>948</v>
      </c>
      <c r="M109" s="12"/>
    </row>
    <row r="110" spans="1:13" x14ac:dyDescent="0.3">
      <c r="A110" s="12" t="s">
        <v>112</v>
      </c>
      <c r="B110" s="12" t="s">
        <v>386</v>
      </c>
      <c r="C110" s="12" t="s">
        <v>2329</v>
      </c>
      <c r="D110" s="12" t="s">
        <v>272</v>
      </c>
      <c r="E110" s="12" t="s">
        <v>6533</v>
      </c>
      <c r="F110" s="12" t="s">
        <v>799</v>
      </c>
      <c r="G110" s="12"/>
      <c r="H110" s="12"/>
      <c r="I110" s="12"/>
      <c r="J110" s="12" t="s">
        <v>749</v>
      </c>
      <c r="K110" s="12" t="s">
        <v>273</v>
      </c>
      <c r="L110" s="12" t="s">
        <v>948</v>
      </c>
      <c r="M110" s="12"/>
    </row>
    <row r="111" spans="1:13" x14ac:dyDescent="0.3">
      <c r="A111" s="12" t="s">
        <v>112</v>
      </c>
      <c r="B111" s="12" t="s">
        <v>386</v>
      </c>
      <c r="C111" s="12" t="s">
        <v>2329</v>
      </c>
      <c r="D111" s="12" t="s">
        <v>282</v>
      </c>
      <c r="E111" s="12" t="s">
        <v>6533</v>
      </c>
      <c r="F111" s="12" t="s">
        <v>800</v>
      </c>
      <c r="G111" s="12"/>
      <c r="H111" s="12"/>
      <c r="I111" s="12"/>
      <c r="J111" s="12" t="s">
        <v>749</v>
      </c>
      <c r="K111" s="12" t="s">
        <v>283</v>
      </c>
      <c r="L111" s="12" t="s">
        <v>948</v>
      </c>
      <c r="M111" s="12"/>
    </row>
    <row r="112" spans="1:13" x14ac:dyDescent="0.3">
      <c r="A112" s="12" t="s">
        <v>112</v>
      </c>
      <c r="B112" s="12" t="s">
        <v>386</v>
      </c>
      <c r="C112" s="12" t="s">
        <v>2329</v>
      </c>
      <c r="D112" s="12" t="s">
        <v>1875</v>
      </c>
      <c r="E112" s="12" t="s">
        <v>6533</v>
      </c>
      <c r="F112" s="12" t="s">
        <v>755</v>
      </c>
      <c r="G112" s="12"/>
      <c r="H112" s="12"/>
      <c r="I112" s="12"/>
      <c r="J112" s="12" t="s">
        <v>749</v>
      </c>
      <c r="K112" s="12" t="s">
        <v>273</v>
      </c>
      <c r="L112" s="12" t="s">
        <v>948</v>
      </c>
      <c r="M112" s="12"/>
    </row>
    <row r="113" spans="1:13" x14ac:dyDescent="0.3">
      <c r="A113" s="12" t="s">
        <v>112</v>
      </c>
      <c r="B113" s="12" t="s">
        <v>386</v>
      </c>
      <c r="C113" s="12" t="s">
        <v>2329</v>
      </c>
      <c r="D113" s="12" t="s">
        <v>1876</v>
      </c>
      <c r="E113" s="12" t="s">
        <v>6533</v>
      </c>
      <c r="F113" s="12" t="s">
        <v>757</v>
      </c>
      <c r="G113" s="12"/>
      <c r="H113" s="12"/>
      <c r="I113" s="12"/>
      <c r="J113" s="12" t="s">
        <v>749</v>
      </c>
      <c r="K113" s="12" t="s">
        <v>273</v>
      </c>
      <c r="L113" s="12" t="s">
        <v>948</v>
      </c>
      <c r="M113" s="12"/>
    </row>
    <row r="114" spans="1:13" x14ac:dyDescent="0.3">
      <c r="A114" s="12" t="s">
        <v>112</v>
      </c>
      <c r="B114" s="12" t="s">
        <v>386</v>
      </c>
      <c r="C114" s="12" t="s">
        <v>2329</v>
      </c>
      <c r="D114" s="12" t="s">
        <v>1877</v>
      </c>
      <c r="E114" s="12" t="s">
        <v>6534</v>
      </c>
      <c r="F114" s="12"/>
      <c r="G114" s="12">
        <v>0.4</v>
      </c>
      <c r="H114" s="12">
        <v>0.8</v>
      </c>
      <c r="I114" s="12">
        <v>5</v>
      </c>
      <c r="J114" s="12"/>
      <c r="K114" s="12" t="s">
        <v>273</v>
      </c>
      <c r="L114" s="12" t="s">
        <v>948</v>
      </c>
      <c r="M114" s="12"/>
    </row>
    <row r="115" spans="1:13" x14ac:dyDescent="0.3">
      <c r="A115" s="12" t="s">
        <v>112</v>
      </c>
      <c r="B115" s="12" t="s">
        <v>386</v>
      </c>
      <c r="C115" s="12" t="s">
        <v>2329</v>
      </c>
      <c r="D115" s="12" t="s">
        <v>1878</v>
      </c>
      <c r="E115" s="12" t="s">
        <v>6533</v>
      </c>
      <c r="F115" s="12" t="s">
        <v>757</v>
      </c>
      <c r="G115" s="12"/>
      <c r="H115" s="12"/>
      <c r="I115" s="12"/>
      <c r="J115" s="12" t="s">
        <v>749</v>
      </c>
      <c r="K115" s="12" t="s">
        <v>273</v>
      </c>
      <c r="L115" s="12" t="s">
        <v>948</v>
      </c>
      <c r="M115" s="12"/>
    </row>
    <row r="116" spans="1:13" x14ac:dyDescent="0.3">
      <c r="A116" s="12" t="s">
        <v>112</v>
      </c>
      <c r="B116" s="12" t="s">
        <v>386</v>
      </c>
      <c r="C116" s="12" t="s">
        <v>2329</v>
      </c>
      <c r="D116" s="12" t="s">
        <v>1879</v>
      </c>
      <c r="E116" s="12" t="s">
        <v>6534</v>
      </c>
      <c r="F116" s="12"/>
      <c r="G116" s="12">
        <v>0.4</v>
      </c>
      <c r="H116" s="12">
        <v>0.95</v>
      </c>
      <c r="I116" s="12">
        <v>12</v>
      </c>
      <c r="J116" s="12"/>
      <c r="K116" s="12" t="s">
        <v>273</v>
      </c>
      <c r="L116" s="12" t="s">
        <v>948</v>
      </c>
      <c r="M116" s="12"/>
    </row>
    <row r="117" spans="1:13" x14ac:dyDescent="0.3">
      <c r="A117" s="12" t="s">
        <v>112</v>
      </c>
      <c r="B117" s="12" t="s">
        <v>386</v>
      </c>
      <c r="C117" s="12" t="s">
        <v>2329</v>
      </c>
      <c r="D117" s="12" t="s">
        <v>1880</v>
      </c>
      <c r="E117" s="12" t="s">
        <v>6535</v>
      </c>
      <c r="F117" s="12"/>
      <c r="G117" s="12"/>
      <c r="H117" s="12"/>
      <c r="I117" s="12"/>
      <c r="J117" s="12"/>
      <c r="K117" s="12" t="s">
        <v>275</v>
      </c>
      <c r="L117" s="12" t="s">
        <v>948</v>
      </c>
      <c r="M117" s="12"/>
    </row>
    <row r="118" spans="1:13" x14ac:dyDescent="0.3">
      <c r="A118" s="12" t="s">
        <v>112</v>
      </c>
      <c r="B118" s="12" t="s">
        <v>386</v>
      </c>
      <c r="C118" s="12" t="s">
        <v>2329</v>
      </c>
      <c r="D118" s="12" t="s">
        <v>67</v>
      </c>
      <c r="E118" s="12" t="s">
        <v>6533</v>
      </c>
      <c r="F118" s="12" t="s">
        <v>804</v>
      </c>
      <c r="G118" s="12"/>
      <c r="H118" s="12"/>
      <c r="I118" s="12"/>
      <c r="J118" s="12"/>
      <c r="K118" s="12" t="s">
        <v>273</v>
      </c>
      <c r="L118" s="12" t="s">
        <v>948</v>
      </c>
      <c r="M118" s="12"/>
    </row>
    <row r="119" spans="1:13" x14ac:dyDescent="0.3">
      <c r="A119" s="12" t="s">
        <v>112</v>
      </c>
      <c r="B119" s="12" t="s">
        <v>388</v>
      </c>
      <c r="C119" s="12" t="s">
        <v>2390</v>
      </c>
      <c r="D119" s="12" t="s">
        <v>274</v>
      </c>
      <c r="E119" s="12" t="s">
        <v>6533</v>
      </c>
      <c r="F119" s="12" t="s">
        <v>794</v>
      </c>
      <c r="G119" s="12"/>
      <c r="H119" s="12"/>
      <c r="I119" s="12"/>
      <c r="J119" s="12" t="s">
        <v>749</v>
      </c>
      <c r="K119" s="12" t="s">
        <v>275</v>
      </c>
      <c r="L119" s="12" t="s">
        <v>948</v>
      </c>
      <c r="M119" s="12"/>
    </row>
    <row r="120" spans="1:13" x14ac:dyDescent="0.3">
      <c r="A120" s="12" t="s">
        <v>112</v>
      </c>
      <c r="B120" s="12" t="s">
        <v>388</v>
      </c>
      <c r="C120" s="12" t="s">
        <v>2390</v>
      </c>
      <c r="D120" s="12" t="s">
        <v>276</v>
      </c>
      <c r="E120" s="12" t="s">
        <v>6533</v>
      </c>
      <c r="F120" s="12" t="s">
        <v>795</v>
      </c>
      <c r="G120" s="12"/>
      <c r="H120" s="12"/>
      <c r="I120" s="12"/>
      <c r="J120" s="12" t="s">
        <v>749</v>
      </c>
      <c r="K120" s="12" t="s">
        <v>275</v>
      </c>
      <c r="L120" s="12" t="s">
        <v>948</v>
      </c>
      <c r="M120" s="12"/>
    </row>
    <row r="121" spans="1:13" x14ac:dyDescent="0.3">
      <c r="A121" s="12" t="s">
        <v>112</v>
      </c>
      <c r="B121" s="12" t="s">
        <v>388</v>
      </c>
      <c r="C121" s="12" t="s">
        <v>2390</v>
      </c>
      <c r="D121" s="12" t="s">
        <v>269</v>
      </c>
      <c r="E121" s="12" t="s">
        <v>6533</v>
      </c>
      <c r="F121" s="12" t="s">
        <v>805</v>
      </c>
      <c r="G121" s="12"/>
      <c r="H121" s="12"/>
      <c r="I121" s="12"/>
      <c r="J121" s="12" t="s">
        <v>749</v>
      </c>
      <c r="K121" s="12" t="s">
        <v>270</v>
      </c>
      <c r="L121" s="12" t="s">
        <v>948</v>
      </c>
      <c r="M121" s="12"/>
    </row>
    <row r="122" spans="1:13" x14ac:dyDescent="0.3">
      <c r="A122" s="12" t="s">
        <v>112</v>
      </c>
      <c r="B122" s="12" t="s">
        <v>388</v>
      </c>
      <c r="C122" s="12" t="s">
        <v>2390</v>
      </c>
      <c r="D122" s="12" t="s">
        <v>271</v>
      </c>
      <c r="E122" s="12" t="s">
        <v>6534</v>
      </c>
      <c r="F122" s="12"/>
      <c r="G122" s="12">
        <v>400</v>
      </c>
      <c r="H122" s="12">
        <v>2000</v>
      </c>
      <c r="I122" s="12">
        <v>20</v>
      </c>
      <c r="J122" s="12"/>
      <c r="K122" s="12" t="s">
        <v>270</v>
      </c>
      <c r="L122" s="12" t="s">
        <v>948</v>
      </c>
      <c r="M122" s="12"/>
    </row>
    <row r="123" spans="1:13" x14ac:dyDescent="0.3">
      <c r="A123" s="12" t="s">
        <v>112</v>
      </c>
      <c r="B123" s="12" t="s">
        <v>388</v>
      </c>
      <c r="C123" s="12" t="s">
        <v>2390</v>
      </c>
      <c r="D123" s="12" t="s">
        <v>272</v>
      </c>
      <c r="E123" s="12" t="s">
        <v>6533</v>
      </c>
      <c r="F123" s="12" t="s">
        <v>799</v>
      </c>
      <c r="G123" s="12"/>
      <c r="H123" s="12"/>
      <c r="I123" s="12"/>
      <c r="J123" s="12" t="s">
        <v>749</v>
      </c>
      <c r="K123" s="12" t="s">
        <v>273</v>
      </c>
      <c r="L123" s="12" t="s">
        <v>948</v>
      </c>
      <c r="M123" s="12"/>
    </row>
    <row r="124" spans="1:13" x14ac:dyDescent="0.3">
      <c r="A124" s="12" t="s">
        <v>112</v>
      </c>
      <c r="B124" s="12" t="s">
        <v>388</v>
      </c>
      <c r="C124" s="12" t="s">
        <v>2390</v>
      </c>
      <c r="D124" s="12" t="s">
        <v>282</v>
      </c>
      <c r="E124" s="12" t="s">
        <v>6533</v>
      </c>
      <c r="F124" s="12" t="s">
        <v>800</v>
      </c>
      <c r="G124" s="12"/>
      <c r="H124" s="12"/>
      <c r="I124" s="12"/>
      <c r="J124" s="12" t="s">
        <v>749</v>
      </c>
      <c r="K124" s="12" t="s">
        <v>283</v>
      </c>
      <c r="L124" s="12" t="s">
        <v>948</v>
      </c>
      <c r="M124" s="12"/>
    </row>
    <row r="125" spans="1:13" x14ac:dyDescent="0.3">
      <c r="A125" s="12" t="s">
        <v>112</v>
      </c>
      <c r="B125" s="12" t="s">
        <v>388</v>
      </c>
      <c r="C125" s="12" t="s">
        <v>2390</v>
      </c>
      <c r="D125" s="12" t="s">
        <v>1875</v>
      </c>
      <c r="E125" s="12" t="s">
        <v>6533</v>
      </c>
      <c r="F125" s="12" t="s">
        <v>755</v>
      </c>
      <c r="G125" s="12"/>
      <c r="H125" s="12"/>
      <c r="I125" s="12"/>
      <c r="J125" s="12" t="s">
        <v>749</v>
      </c>
      <c r="K125" s="12" t="s">
        <v>273</v>
      </c>
      <c r="L125" s="12" t="s">
        <v>948</v>
      </c>
      <c r="M125" s="12"/>
    </row>
    <row r="126" spans="1:13" x14ac:dyDescent="0.3">
      <c r="A126" s="12" t="s">
        <v>112</v>
      </c>
      <c r="B126" s="12" t="s">
        <v>388</v>
      </c>
      <c r="C126" s="12" t="s">
        <v>2390</v>
      </c>
      <c r="D126" s="12" t="s">
        <v>1876</v>
      </c>
      <c r="E126" s="12" t="s">
        <v>6533</v>
      </c>
      <c r="F126" s="12" t="s">
        <v>757</v>
      </c>
      <c r="G126" s="12"/>
      <c r="H126" s="12"/>
      <c r="I126" s="12"/>
      <c r="J126" s="12" t="s">
        <v>749</v>
      </c>
      <c r="K126" s="12" t="s">
        <v>273</v>
      </c>
      <c r="L126" s="12" t="s">
        <v>948</v>
      </c>
      <c r="M126" s="12"/>
    </row>
    <row r="127" spans="1:13" x14ac:dyDescent="0.3">
      <c r="A127" s="12" t="s">
        <v>112</v>
      </c>
      <c r="B127" s="12" t="s">
        <v>388</v>
      </c>
      <c r="C127" s="12" t="s">
        <v>2390</v>
      </c>
      <c r="D127" s="12" t="s">
        <v>1877</v>
      </c>
      <c r="E127" s="12" t="s">
        <v>6534</v>
      </c>
      <c r="F127" s="12"/>
      <c r="G127" s="12">
        <v>0.4</v>
      </c>
      <c r="H127" s="12">
        <v>0.7</v>
      </c>
      <c r="I127" s="12">
        <v>4</v>
      </c>
      <c r="J127" s="12"/>
      <c r="K127" s="12" t="s">
        <v>273</v>
      </c>
      <c r="L127" s="12" t="s">
        <v>948</v>
      </c>
      <c r="M127" s="12"/>
    </row>
    <row r="128" spans="1:13" x14ac:dyDescent="0.3">
      <c r="A128" s="12" t="s">
        <v>112</v>
      </c>
      <c r="B128" s="12" t="s">
        <v>388</v>
      </c>
      <c r="C128" s="12" t="s">
        <v>2390</v>
      </c>
      <c r="D128" s="12" t="s">
        <v>1878</v>
      </c>
      <c r="E128" s="12" t="s">
        <v>6533</v>
      </c>
      <c r="F128" s="12" t="s">
        <v>757</v>
      </c>
      <c r="G128" s="12"/>
      <c r="H128" s="12"/>
      <c r="I128" s="12"/>
      <c r="J128" s="12" t="s">
        <v>749</v>
      </c>
      <c r="K128" s="12" t="s">
        <v>273</v>
      </c>
      <c r="L128" s="12" t="s">
        <v>948</v>
      </c>
      <c r="M128" s="12"/>
    </row>
    <row r="129" spans="1:13" x14ac:dyDescent="0.3">
      <c r="A129" s="12" t="s">
        <v>112</v>
      </c>
      <c r="B129" s="12" t="s">
        <v>388</v>
      </c>
      <c r="C129" s="12" t="s">
        <v>2390</v>
      </c>
      <c r="D129" s="12" t="s">
        <v>1879</v>
      </c>
      <c r="E129" s="12" t="s">
        <v>6533</v>
      </c>
      <c r="F129" s="12" t="s">
        <v>801</v>
      </c>
      <c r="G129" s="12"/>
      <c r="H129" s="12"/>
      <c r="I129" s="12"/>
      <c r="J129" s="12" t="s">
        <v>749</v>
      </c>
      <c r="K129" s="12" t="s">
        <v>273</v>
      </c>
      <c r="L129" s="12" t="s">
        <v>948</v>
      </c>
      <c r="M129" s="12"/>
    </row>
    <row r="130" spans="1:13" x14ac:dyDescent="0.3">
      <c r="A130" s="12" t="s">
        <v>112</v>
      </c>
      <c r="B130" s="12" t="s">
        <v>388</v>
      </c>
      <c r="C130" s="12" t="s">
        <v>2390</v>
      </c>
      <c r="D130" s="12" t="s">
        <v>1880</v>
      </c>
      <c r="E130" s="12" t="s">
        <v>6535</v>
      </c>
      <c r="F130" s="12"/>
      <c r="G130" s="12"/>
      <c r="H130" s="12"/>
      <c r="I130" s="12"/>
      <c r="J130" s="12"/>
      <c r="K130" s="12" t="s">
        <v>275</v>
      </c>
      <c r="L130" s="12" t="s">
        <v>948</v>
      </c>
      <c r="M130" s="12"/>
    </row>
    <row r="131" spans="1:13" x14ac:dyDescent="0.3">
      <c r="A131" s="12" t="s">
        <v>112</v>
      </c>
      <c r="B131" s="12" t="s">
        <v>388</v>
      </c>
      <c r="C131" s="12" t="s">
        <v>2390</v>
      </c>
      <c r="D131" s="12" t="s">
        <v>67</v>
      </c>
      <c r="E131" s="12" t="s">
        <v>6533</v>
      </c>
      <c r="F131" s="12" t="s">
        <v>804</v>
      </c>
      <c r="G131" s="12"/>
      <c r="H131" s="12"/>
      <c r="I131" s="12"/>
      <c r="J131" s="12"/>
      <c r="K131" s="12" t="s">
        <v>273</v>
      </c>
      <c r="L131" s="12" t="s">
        <v>948</v>
      </c>
      <c r="M131" s="12"/>
    </row>
    <row r="132" spans="1:13" x14ac:dyDescent="0.3">
      <c r="A132" s="12" t="s">
        <v>112</v>
      </c>
      <c r="B132" s="12" t="s">
        <v>389</v>
      </c>
      <c r="C132" s="12" t="s">
        <v>2455</v>
      </c>
      <c r="D132" s="12" t="s">
        <v>274</v>
      </c>
      <c r="E132" s="12" t="s">
        <v>6534</v>
      </c>
      <c r="F132" s="12"/>
      <c r="G132" s="12">
        <v>403</v>
      </c>
      <c r="H132" s="12">
        <v>560</v>
      </c>
      <c r="I132" s="12">
        <v>7</v>
      </c>
      <c r="J132" s="12"/>
      <c r="K132" s="12" t="s">
        <v>275</v>
      </c>
      <c r="L132" s="12" t="s">
        <v>948</v>
      </c>
      <c r="M132" s="12"/>
    </row>
    <row r="133" spans="1:13" x14ac:dyDescent="0.3">
      <c r="A133" s="12" t="s">
        <v>112</v>
      </c>
      <c r="B133" s="12" t="s">
        <v>389</v>
      </c>
      <c r="C133" s="12" t="s">
        <v>2455</v>
      </c>
      <c r="D133" s="12" t="s">
        <v>276</v>
      </c>
      <c r="E133" s="12" t="s">
        <v>6533</v>
      </c>
      <c r="F133" s="12" t="s">
        <v>795</v>
      </c>
      <c r="G133" s="12"/>
      <c r="H133" s="12"/>
      <c r="I133" s="12"/>
      <c r="J133" s="12" t="s">
        <v>749</v>
      </c>
      <c r="K133" s="12" t="s">
        <v>275</v>
      </c>
      <c r="L133" s="12" t="s">
        <v>948</v>
      </c>
      <c r="M133" s="12"/>
    </row>
    <row r="134" spans="1:13" x14ac:dyDescent="0.3">
      <c r="A134" s="12" t="s">
        <v>112</v>
      </c>
      <c r="B134" s="12" t="s">
        <v>389</v>
      </c>
      <c r="C134" s="12" t="s">
        <v>2455</v>
      </c>
      <c r="D134" s="12" t="s">
        <v>269</v>
      </c>
      <c r="E134" s="12" t="s">
        <v>6533</v>
      </c>
      <c r="F134" s="12" t="s">
        <v>805</v>
      </c>
      <c r="G134" s="12"/>
      <c r="H134" s="12"/>
      <c r="I134" s="12"/>
      <c r="J134" s="12" t="s">
        <v>749</v>
      </c>
      <c r="K134" s="12" t="s">
        <v>270</v>
      </c>
      <c r="L134" s="12" t="s">
        <v>948</v>
      </c>
      <c r="M134" s="12"/>
    </row>
    <row r="135" spans="1:13" x14ac:dyDescent="0.3">
      <c r="A135" s="12" t="s">
        <v>112</v>
      </c>
      <c r="B135" s="12" t="s">
        <v>389</v>
      </c>
      <c r="C135" s="12" t="s">
        <v>2455</v>
      </c>
      <c r="D135" s="12" t="s">
        <v>271</v>
      </c>
      <c r="E135" s="12" t="s">
        <v>6533</v>
      </c>
      <c r="F135" s="12" t="s">
        <v>798</v>
      </c>
      <c r="G135" s="12"/>
      <c r="H135" s="12"/>
      <c r="I135" s="12"/>
      <c r="J135" s="12" t="s">
        <v>749</v>
      </c>
      <c r="K135" s="12" t="s">
        <v>270</v>
      </c>
      <c r="L135" s="12" t="s">
        <v>948</v>
      </c>
      <c r="M135" s="12"/>
    </row>
    <row r="136" spans="1:13" x14ac:dyDescent="0.3">
      <c r="A136" s="12" t="s">
        <v>112</v>
      </c>
      <c r="B136" s="12" t="s">
        <v>389</v>
      </c>
      <c r="C136" s="12" t="s">
        <v>2455</v>
      </c>
      <c r="D136" s="12" t="s">
        <v>272</v>
      </c>
      <c r="E136" s="12" t="s">
        <v>6533</v>
      </c>
      <c r="F136" s="12" t="s">
        <v>799</v>
      </c>
      <c r="G136" s="12"/>
      <c r="H136" s="12"/>
      <c r="I136" s="12"/>
      <c r="J136" s="12" t="s">
        <v>749</v>
      </c>
      <c r="K136" s="12" t="s">
        <v>273</v>
      </c>
      <c r="L136" s="12" t="s">
        <v>948</v>
      </c>
      <c r="M136" s="12"/>
    </row>
    <row r="137" spans="1:13" x14ac:dyDescent="0.3">
      <c r="A137" s="12" t="s">
        <v>112</v>
      </c>
      <c r="B137" s="12" t="s">
        <v>389</v>
      </c>
      <c r="C137" s="12" t="s">
        <v>2455</v>
      </c>
      <c r="D137" s="12" t="s">
        <v>282</v>
      </c>
      <c r="E137" s="12" t="s">
        <v>6533</v>
      </c>
      <c r="F137" s="12" t="s">
        <v>800</v>
      </c>
      <c r="G137" s="12"/>
      <c r="H137" s="12"/>
      <c r="I137" s="12"/>
      <c r="J137" s="12" t="s">
        <v>749</v>
      </c>
      <c r="K137" s="12" t="s">
        <v>283</v>
      </c>
      <c r="L137" s="12" t="s">
        <v>948</v>
      </c>
      <c r="M137" s="12"/>
    </row>
    <row r="138" spans="1:13" x14ac:dyDescent="0.3">
      <c r="A138" s="12" t="s">
        <v>112</v>
      </c>
      <c r="B138" s="12" t="s">
        <v>389</v>
      </c>
      <c r="C138" s="12" t="s">
        <v>2455</v>
      </c>
      <c r="D138" s="12" t="s">
        <v>1875</v>
      </c>
      <c r="E138" s="12" t="s">
        <v>6533</v>
      </c>
      <c r="F138" s="12" t="s">
        <v>755</v>
      </c>
      <c r="G138" s="12"/>
      <c r="H138" s="12"/>
      <c r="I138" s="12"/>
      <c r="J138" s="12" t="s">
        <v>749</v>
      </c>
      <c r="K138" s="12" t="s">
        <v>273</v>
      </c>
      <c r="L138" s="12" t="s">
        <v>948</v>
      </c>
      <c r="M138" s="12"/>
    </row>
    <row r="139" spans="1:13" x14ac:dyDescent="0.3">
      <c r="A139" s="12" t="s">
        <v>112</v>
      </c>
      <c r="B139" s="12" t="s">
        <v>389</v>
      </c>
      <c r="C139" s="12" t="s">
        <v>2455</v>
      </c>
      <c r="D139" s="12" t="s">
        <v>1876</v>
      </c>
      <c r="E139" s="12" t="s">
        <v>6533</v>
      </c>
      <c r="F139" s="12" t="s">
        <v>757</v>
      </c>
      <c r="G139" s="12"/>
      <c r="H139" s="12"/>
      <c r="I139" s="12"/>
      <c r="J139" s="12" t="s">
        <v>749</v>
      </c>
      <c r="K139" s="12" t="s">
        <v>273</v>
      </c>
      <c r="L139" s="12" t="s">
        <v>948</v>
      </c>
      <c r="M139" s="12"/>
    </row>
    <row r="140" spans="1:13" x14ac:dyDescent="0.3">
      <c r="A140" s="12" t="s">
        <v>112</v>
      </c>
      <c r="B140" s="12" t="s">
        <v>389</v>
      </c>
      <c r="C140" s="12" t="s">
        <v>2455</v>
      </c>
      <c r="D140" s="12" t="s">
        <v>1877</v>
      </c>
      <c r="E140" s="12" t="s">
        <v>6533</v>
      </c>
      <c r="F140" s="12" t="s">
        <v>755</v>
      </c>
      <c r="G140" s="12"/>
      <c r="H140" s="12"/>
      <c r="I140" s="12"/>
      <c r="J140" s="12" t="s">
        <v>749</v>
      </c>
      <c r="K140" s="12" t="s">
        <v>273</v>
      </c>
      <c r="L140" s="12" t="s">
        <v>948</v>
      </c>
      <c r="M140" s="12"/>
    </row>
    <row r="141" spans="1:13" x14ac:dyDescent="0.3">
      <c r="A141" s="12" t="s">
        <v>112</v>
      </c>
      <c r="B141" s="12" t="s">
        <v>389</v>
      </c>
      <c r="C141" s="12" t="s">
        <v>2455</v>
      </c>
      <c r="D141" s="12" t="s">
        <v>1878</v>
      </c>
      <c r="E141" s="12" t="s">
        <v>6533</v>
      </c>
      <c r="F141" s="12" t="s">
        <v>757</v>
      </c>
      <c r="G141" s="12"/>
      <c r="H141" s="12"/>
      <c r="I141" s="12"/>
      <c r="J141" s="12" t="s">
        <v>749</v>
      </c>
      <c r="K141" s="12" t="s">
        <v>273</v>
      </c>
      <c r="L141" s="12" t="s">
        <v>948</v>
      </c>
      <c r="M141" s="12"/>
    </row>
    <row r="142" spans="1:13" x14ac:dyDescent="0.3">
      <c r="A142" s="12" t="s">
        <v>112</v>
      </c>
      <c r="B142" s="12" t="s">
        <v>389</v>
      </c>
      <c r="C142" s="12" t="s">
        <v>2455</v>
      </c>
      <c r="D142" s="12" t="s">
        <v>1879</v>
      </c>
      <c r="E142" s="12" t="s">
        <v>6534</v>
      </c>
      <c r="F142" s="12"/>
      <c r="G142" s="12">
        <v>0.85</v>
      </c>
      <c r="H142" s="12">
        <v>0.95</v>
      </c>
      <c r="I142" s="12">
        <v>3</v>
      </c>
      <c r="J142" s="12"/>
      <c r="K142" s="12" t="s">
        <v>273</v>
      </c>
      <c r="L142" s="12" t="s">
        <v>948</v>
      </c>
      <c r="M142" s="12"/>
    </row>
    <row r="143" spans="1:13" x14ac:dyDescent="0.3">
      <c r="A143" s="12" t="s">
        <v>112</v>
      </c>
      <c r="B143" s="12" t="s">
        <v>389</v>
      </c>
      <c r="C143" s="12" t="s">
        <v>2455</v>
      </c>
      <c r="D143" s="12" t="s">
        <v>1880</v>
      </c>
      <c r="E143" s="12" t="s">
        <v>6535</v>
      </c>
      <c r="F143" s="12"/>
      <c r="G143" s="12"/>
      <c r="H143" s="12"/>
      <c r="I143" s="12"/>
      <c r="J143" s="12"/>
      <c r="K143" s="12" t="s">
        <v>275</v>
      </c>
      <c r="L143" s="12" t="s">
        <v>948</v>
      </c>
      <c r="M143" s="12"/>
    </row>
    <row r="144" spans="1:13" x14ac:dyDescent="0.3">
      <c r="A144" s="12" t="s">
        <v>112</v>
      </c>
      <c r="B144" s="12" t="s">
        <v>389</v>
      </c>
      <c r="C144" s="12" t="s">
        <v>2455</v>
      </c>
      <c r="D144" s="12" t="s">
        <v>67</v>
      </c>
      <c r="E144" s="12" t="s">
        <v>6533</v>
      </c>
      <c r="F144" s="12" t="s">
        <v>804</v>
      </c>
      <c r="G144" s="12"/>
      <c r="H144" s="12"/>
      <c r="I144" s="12"/>
      <c r="J144" s="12"/>
      <c r="K144" s="12" t="s">
        <v>273</v>
      </c>
      <c r="L144" s="12" t="s">
        <v>948</v>
      </c>
      <c r="M144" s="12"/>
    </row>
    <row r="145" spans="1:13" x14ac:dyDescent="0.3">
      <c r="A145" s="12" t="s">
        <v>120</v>
      </c>
      <c r="B145" s="12" t="s">
        <v>392</v>
      </c>
      <c r="C145" s="12" t="s">
        <v>2478</v>
      </c>
      <c r="D145" s="12" t="s">
        <v>274</v>
      </c>
      <c r="E145" s="12" t="s">
        <v>6533</v>
      </c>
      <c r="F145" s="12" t="s">
        <v>1015</v>
      </c>
      <c r="G145" s="12"/>
      <c r="H145" s="12"/>
      <c r="I145" s="12"/>
      <c r="J145" s="12" t="s">
        <v>948</v>
      </c>
      <c r="K145" s="12" t="s">
        <v>275</v>
      </c>
      <c r="L145" s="12" t="s">
        <v>948</v>
      </c>
      <c r="M145" s="12"/>
    </row>
    <row r="146" spans="1:13" x14ac:dyDescent="0.3">
      <c r="A146" s="12" t="s">
        <v>120</v>
      </c>
      <c r="B146" s="12" t="s">
        <v>392</v>
      </c>
      <c r="C146" s="12" t="s">
        <v>2478</v>
      </c>
      <c r="D146" s="12" t="s">
        <v>276</v>
      </c>
      <c r="E146" s="12" t="s">
        <v>6534</v>
      </c>
      <c r="F146" s="12"/>
      <c r="G146" s="12">
        <v>278.14999999999998</v>
      </c>
      <c r="H146" s="12">
        <v>300.032917</v>
      </c>
      <c r="I146" s="12">
        <v>5</v>
      </c>
      <c r="J146" s="12"/>
      <c r="K146" s="12" t="s">
        <v>275</v>
      </c>
      <c r="L146" s="12" t="s">
        <v>948</v>
      </c>
      <c r="M146" s="12"/>
    </row>
    <row r="147" spans="1:13" x14ac:dyDescent="0.3">
      <c r="A147" s="12" t="s">
        <v>120</v>
      </c>
      <c r="B147" s="12" t="s">
        <v>392</v>
      </c>
      <c r="C147" s="12" t="s">
        <v>2478</v>
      </c>
      <c r="D147" s="12" t="s">
        <v>269</v>
      </c>
      <c r="E147" s="12" t="s">
        <v>6533</v>
      </c>
      <c r="F147" s="12" t="s">
        <v>805</v>
      </c>
      <c r="G147" s="12"/>
      <c r="H147" s="12"/>
      <c r="I147" s="12"/>
      <c r="J147" s="12" t="s">
        <v>749</v>
      </c>
      <c r="K147" s="12" t="s">
        <v>270</v>
      </c>
      <c r="L147" s="12" t="s">
        <v>948</v>
      </c>
      <c r="M147" s="12"/>
    </row>
    <row r="148" spans="1:13" x14ac:dyDescent="0.3">
      <c r="A148" s="12" t="s">
        <v>120</v>
      </c>
      <c r="B148" s="12" t="s">
        <v>392</v>
      </c>
      <c r="C148" s="12" t="s">
        <v>2478</v>
      </c>
      <c r="D148" s="12" t="s">
        <v>271</v>
      </c>
      <c r="E148" s="12" t="s">
        <v>6534</v>
      </c>
      <c r="F148" s="12"/>
      <c r="G148" s="12">
        <v>150</v>
      </c>
      <c r="H148" s="12">
        <v>1500</v>
      </c>
      <c r="I148" s="12">
        <v>28</v>
      </c>
      <c r="J148" s="12"/>
      <c r="K148" s="12" t="s">
        <v>270</v>
      </c>
      <c r="L148" s="12" t="s">
        <v>948</v>
      </c>
      <c r="M148" s="12"/>
    </row>
    <row r="149" spans="1:13" x14ac:dyDescent="0.3">
      <c r="A149" s="12" t="s">
        <v>120</v>
      </c>
      <c r="B149" s="12" t="s">
        <v>392</v>
      </c>
      <c r="C149" s="12" t="s">
        <v>2478</v>
      </c>
      <c r="D149" s="12" t="s">
        <v>272</v>
      </c>
      <c r="E149" s="12" t="s">
        <v>6533</v>
      </c>
      <c r="F149" s="12" t="s">
        <v>799</v>
      </c>
      <c r="G149" s="12"/>
      <c r="H149" s="12"/>
      <c r="I149" s="12"/>
      <c r="J149" s="12" t="s">
        <v>749</v>
      </c>
      <c r="K149" s="12" t="s">
        <v>273</v>
      </c>
      <c r="L149" s="12" t="s">
        <v>948</v>
      </c>
      <c r="M149" s="12"/>
    </row>
    <row r="150" spans="1:13" x14ac:dyDescent="0.3">
      <c r="A150" s="12" t="s">
        <v>120</v>
      </c>
      <c r="B150" s="12" t="s">
        <v>392</v>
      </c>
      <c r="C150" s="12" t="s">
        <v>2478</v>
      </c>
      <c r="D150" s="12" t="s">
        <v>282</v>
      </c>
      <c r="E150" s="12" t="s">
        <v>6533</v>
      </c>
      <c r="F150" s="12" t="s">
        <v>800</v>
      </c>
      <c r="G150" s="12"/>
      <c r="H150" s="12"/>
      <c r="I150" s="12"/>
      <c r="J150" s="12" t="s">
        <v>749</v>
      </c>
      <c r="K150" s="12" t="s">
        <v>283</v>
      </c>
      <c r="L150" s="12" t="s">
        <v>948</v>
      </c>
      <c r="M150" s="12"/>
    </row>
    <row r="151" spans="1:13" x14ac:dyDescent="0.3">
      <c r="A151" s="12" t="s">
        <v>120</v>
      </c>
      <c r="B151" s="12" t="s">
        <v>392</v>
      </c>
      <c r="C151" s="12" t="s">
        <v>2478</v>
      </c>
      <c r="D151" s="12" t="s">
        <v>1875</v>
      </c>
      <c r="E151" s="12" t="s">
        <v>6533</v>
      </c>
      <c r="F151" s="12" t="s">
        <v>755</v>
      </c>
      <c r="G151" s="12"/>
      <c r="H151" s="12"/>
      <c r="I151" s="12"/>
      <c r="J151" s="12" t="s">
        <v>749</v>
      </c>
      <c r="K151" s="12" t="s">
        <v>273</v>
      </c>
      <c r="L151" s="12" t="s">
        <v>948</v>
      </c>
      <c r="M151" s="12"/>
    </row>
    <row r="152" spans="1:13" x14ac:dyDescent="0.3">
      <c r="A152" s="12" t="s">
        <v>120</v>
      </c>
      <c r="B152" s="12" t="s">
        <v>392</v>
      </c>
      <c r="C152" s="12" t="s">
        <v>2478</v>
      </c>
      <c r="D152" s="12" t="s">
        <v>1876</v>
      </c>
      <c r="E152" s="12" t="s">
        <v>6533</v>
      </c>
      <c r="F152" s="12" t="s">
        <v>757</v>
      </c>
      <c r="G152" s="12"/>
      <c r="H152" s="12"/>
      <c r="I152" s="12"/>
      <c r="J152" s="12" t="s">
        <v>749</v>
      </c>
      <c r="K152" s="12" t="s">
        <v>273</v>
      </c>
      <c r="L152" s="12" t="s">
        <v>948</v>
      </c>
      <c r="M152" s="12"/>
    </row>
    <row r="153" spans="1:13" x14ac:dyDescent="0.3">
      <c r="A153" s="12" t="s">
        <v>120</v>
      </c>
      <c r="B153" s="12" t="s">
        <v>392</v>
      </c>
      <c r="C153" s="12" t="s">
        <v>2478</v>
      </c>
      <c r="D153" s="12" t="s">
        <v>1877</v>
      </c>
      <c r="E153" s="12" t="s">
        <v>6533</v>
      </c>
      <c r="F153" s="12" t="s">
        <v>755</v>
      </c>
      <c r="G153" s="12"/>
      <c r="H153" s="12"/>
      <c r="I153" s="12"/>
      <c r="J153" s="12" t="s">
        <v>749</v>
      </c>
      <c r="K153" s="12" t="s">
        <v>273</v>
      </c>
      <c r="L153" s="12" t="s">
        <v>948</v>
      </c>
      <c r="M153" s="12"/>
    </row>
    <row r="154" spans="1:13" x14ac:dyDescent="0.3">
      <c r="A154" s="12" t="s">
        <v>120</v>
      </c>
      <c r="B154" s="12" t="s">
        <v>392</v>
      </c>
      <c r="C154" s="12" t="s">
        <v>2478</v>
      </c>
      <c r="D154" s="12" t="s">
        <v>1878</v>
      </c>
      <c r="E154" s="12" t="s">
        <v>6533</v>
      </c>
      <c r="F154" s="12" t="s">
        <v>757</v>
      </c>
      <c r="G154" s="12"/>
      <c r="H154" s="12"/>
      <c r="I154" s="12"/>
      <c r="J154" s="12" t="s">
        <v>749</v>
      </c>
      <c r="K154" s="12" t="s">
        <v>273</v>
      </c>
      <c r="L154" s="12" t="s">
        <v>948</v>
      </c>
      <c r="M154" s="12"/>
    </row>
    <row r="155" spans="1:13" x14ac:dyDescent="0.3">
      <c r="A155" s="12" t="s">
        <v>120</v>
      </c>
      <c r="B155" s="12" t="s">
        <v>392</v>
      </c>
      <c r="C155" s="12" t="s">
        <v>2478</v>
      </c>
      <c r="D155" s="12" t="s">
        <v>1879</v>
      </c>
      <c r="E155" s="12" t="s">
        <v>6533</v>
      </c>
      <c r="F155" s="12" t="s">
        <v>801</v>
      </c>
      <c r="G155" s="12"/>
      <c r="H155" s="12"/>
      <c r="I155" s="12"/>
      <c r="J155" s="12" t="s">
        <v>749</v>
      </c>
      <c r="K155" s="12" t="s">
        <v>273</v>
      </c>
      <c r="L155" s="12" t="s">
        <v>948</v>
      </c>
      <c r="M155" s="12"/>
    </row>
    <row r="156" spans="1:13" x14ac:dyDescent="0.3">
      <c r="A156" s="12" t="s">
        <v>120</v>
      </c>
      <c r="B156" s="12" t="s">
        <v>392</v>
      </c>
      <c r="C156" s="12" t="s">
        <v>2478</v>
      </c>
      <c r="D156" s="12" t="s">
        <v>1880</v>
      </c>
      <c r="E156" s="12" t="s">
        <v>6534</v>
      </c>
      <c r="F156" s="12"/>
      <c r="G156" s="12">
        <v>278.14999999999998</v>
      </c>
      <c r="H156" s="12">
        <v>300.032917</v>
      </c>
      <c r="I156" s="12">
        <v>5</v>
      </c>
      <c r="J156" s="12"/>
      <c r="K156" s="12" t="s">
        <v>275</v>
      </c>
      <c r="L156" s="12" t="s">
        <v>948</v>
      </c>
      <c r="M156" s="12"/>
    </row>
    <row r="157" spans="1:13" x14ac:dyDescent="0.3">
      <c r="A157" s="12" t="s">
        <v>120</v>
      </c>
      <c r="B157" s="12" t="s">
        <v>392</v>
      </c>
      <c r="C157" s="12" t="s">
        <v>2478</v>
      </c>
      <c r="D157" s="12" t="s">
        <v>67</v>
      </c>
      <c r="E157" s="12" t="s">
        <v>6533</v>
      </c>
      <c r="F157" s="12" t="s">
        <v>804</v>
      </c>
      <c r="G157" s="12"/>
      <c r="H157" s="12"/>
      <c r="I157" s="12"/>
      <c r="J157" s="12"/>
      <c r="K157" s="12" t="s">
        <v>273</v>
      </c>
      <c r="L157" s="12" t="s">
        <v>948</v>
      </c>
      <c r="M157" s="12"/>
    </row>
    <row r="158" spans="1:13" x14ac:dyDescent="0.3">
      <c r="A158" s="12" t="s">
        <v>120</v>
      </c>
      <c r="B158" s="12" t="s">
        <v>395</v>
      </c>
      <c r="C158" s="12" t="s">
        <v>2530</v>
      </c>
      <c r="D158" s="12" t="s">
        <v>274</v>
      </c>
      <c r="E158" s="12" t="s">
        <v>6533</v>
      </c>
      <c r="F158" s="12" t="s">
        <v>1017</v>
      </c>
      <c r="G158" s="12"/>
      <c r="H158" s="12"/>
      <c r="I158" s="12"/>
      <c r="J158" s="12" t="s">
        <v>948</v>
      </c>
      <c r="K158" s="12" t="s">
        <v>275</v>
      </c>
      <c r="L158" s="12" t="s">
        <v>948</v>
      </c>
      <c r="M158" s="12"/>
    </row>
    <row r="159" spans="1:13" x14ac:dyDescent="0.3">
      <c r="A159" s="12" t="s">
        <v>120</v>
      </c>
      <c r="B159" s="12" t="s">
        <v>395</v>
      </c>
      <c r="C159" s="12" t="s">
        <v>2530</v>
      </c>
      <c r="D159" s="12" t="s">
        <v>276</v>
      </c>
      <c r="E159" s="12" t="s">
        <v>6534</v>
      </c>
      <c r="F159" s="12"/>
      <c r="G159" s="12">
        <v>278.14999999999998</v>
      </c>
      <c r="H159" s="12">
        <v>300.032917</v>
      </c>
      <c r="I159" s="12">
        <v>5</v>
      </c>
      <c r="J159" s="12"/>
      <c r="K159" s="12" t="s">
        <v>275</v>
      </c>
      <c r="L159" s="12" t="s">
        <v>948</v>
      </c>
      <c r="M159" s="12"/>
    </row>
    <row r="160" spans="1:13" x14ac:dyDescent="0.3">
      <c r="A160" s="12" t="s">
        <v>120</v>
      </c>
      <c r="B160" s="12" t="s">
        <v>395</v>
      </c>
      <c r="C160" s="12" t="s">
        <v>2530</v>
      </c>
      <c r="D160" s="12" t="s">
        <v>269</v>
      </c>
      <c r="E160" s="12" t="s">
        <v>6533</v>
      </c>
      <c r="F160" s="12" t="s">
        <v>805</v>
      </c>
      <c r="G160" s="12"/>
      <c r="H160" s="12"/>
      <c r="I160" s="12"/>
      <c r="J160" s="12" t="s">
        <v>749</v>
      </c>
      <c r="K160" s="12" t="s">
        <v>270</v>
      </c>
      <c r="L160" s="12" t="s">
        <v>948</v>
      </c>
      <c r="M160" s="12"/>
    </row>
    <row r="161" spans="1:13" x14ac:dyDescent="0.3">
      <c r="A161" s="12" t="s">
        <v>120</v>
      </c>
      <c r="B161" s="12" t="s">
        <v>395</v>
      </c>
      <c r="C161" s="12" t="s">
        <v>2530</v>
      </c>
      <c r="D161" s="12" t="s">
        <v>271</v>
      </c>
      <c r="E161" s="12" t="s">
        <v>6534</v>
      </c>
      <c r="F161" s="12"/>
      <c r="G161" s="12">
        <v>150</v>
      </c>
      <c r="H161" s="12">
        <v>1500</v>
      </c>
      <c r="I161" s="12">
        <v>28</v>
      </c>
      <c r="J161" s="12"/>
      <c r="K161" s="12" t="s">
        <v>270</v>
      </c>
      <c r="L161" s="12" t="s">
        <v>948</v>
      </c>
      <c r="M161" s="12"/>
    </row>
    <row r="162" spans="1:13" x14ac:dyDescent="0.3">
      <c r="A162" s="12" t="s">
        <v>120</v>
      </c>
      <c r="B162" s="12" t="s">
        <v>395</v>
      </c>
      <c r="C162" s="12" t="s">
        <v>2530</v>
      </c>
      <c r="D162" s="12" t="s">
        <v>272</v>
      </c>
      <c r="E162" s="12" t="s">
        <v>6533</v>
      </c>
      <c r="F162" s="12" t="s">
        <v>799</v>
      </c>
      <c r="G162" s="12"/>
      <c r="H162" s="12"/>
      <c r="I162" s="12"/>
      <c r="J162" s="12" t="s">
        <v>749</v>
      </c>
      <c r="K162" s="12" t="s">
        <v>273</v>
      </c>
      <c r="L162" s="12" t="s">
        <v>948</v>
      </c>
      <c r="M162" s="12"/>
    </row>
    <row r="163" spans="1:13" x14ac:dyDescent="0.3">
      <c r="A163" s="12" t="s">
        <v>120</v>
      </c>
      <c r="B163" s="12" t="s">
        <v>395</v>
      </c>
      <c r="C163" s="12" t="s">
        <v>2530</v>
      </c>
      <c r="D163" s="12" t="s">
        <v>282</v>
      </c>
      <c r="E163" s="12" t="s">
        <v>6533</v>
      </c>
      <c r="F163" s="12" t="s">
        <v>800</v>
      </c>
      <c r="G163" s="12"/>
      <c r="H163" s="12"/>
      <c r="I163" s="12"/>
      <c r="J163" s="12" t="s">
        <v>749</v>
      </c>
      <c r="K163" s="12" t="s">
        <v>283</v>
      </c>
      <c r="L163" s="12" t="s">
        <v>948</v>
      </c>
      <c r="M163" s="12"/>
    </row>
    <row r="164" spans="1:13" x14ac:dyDescent="0.3">
      <c r="A164" s="12" t="s">
        <v>120</v>
      </c>
      <c r="B164" s="12" t="s">
        <v>395</v>
      </c>
      <c r="C164" s="12" t="s">
        <v>2530</v>
      </c>
      <c r="D164" s="12" t="s">
        <v>1875</v>
      </c>
      <c r="E164" s="12" t="s">
        <v>6533</v>
      </c>
      <c r="F164" s="12" t="s">
        <v>755</v>
      </c>
      <c r="G164" s="12"/>
      <c r="H164" s="12"/>
      <c r="I164" s="12"/>
      <c r="J164" s="12" t="s">
        <v>749</v>
      </c>
      <c r="K164" s="12" t="s">
        <v>273</v>
      </c>
      <c r="L164" s="12" t="s">
        <v>948</v>
      </c>
      <c r="M164" s="12"/>
    </row>
    <row r="165" spans="1:13" x14ac:dyDescent="0.3">
      <c r="A165" s="12" t="s">
        <v>120</v>
      </c>
      <c r="B165" s="12" t="s">
        <v>395</v>
      </c>
      <c r="C165" s="12" t="s">
        <v>2530</v>
      </c>
      <c r="D165" s="12" t="s">
        <v>1876</v>
      </c>
      <c r="E165" s="12" t="s">
        <v>6533</v>
      </c>
      <c r="F165" s="12" t="s">
        <v>757</v>
      </c>
      <c r="G165" s="12"/>
      <c r="H165" s="12"/>
      <c r="I165" s="12"/>
      <c r="J165" s="12" t="s">
        <v>749</v>
      </c>
      <c r="K165" s="12" t="s">
        <v>273</v>
      </c>
      <c r="L165" s="12" t="s">
        <v>948</v>
      </c>
      <c r="M165" s="12"/>
    </row>
    <row r="166" spans="1:13" x14ac:dyDescent="0.3">
      <c r="A166" s="12" t="s">
        <v>120</v>
      </c>
      <c r="B166" s="12" t="s">
        <v>395</v>
      </c>
      <c r="C166" s="12" t="s">
        <v>2530</v>
      </c>
      <c r="D166" s="12" t="s">
        <v>1877</v>
      </c>
      <c r="E166" s="12" t="s">
        <v>6533</v>
      </c>
      <c r="F166" s="12" t="s">
        <v>755</v>
      </c>
      <c r="G166" s="12"/>
      <c r="H166" s="12"/>
      <c r="I166" s="12"/>
      <c r="J166" s="12" t="s">
        <v>749</v>
      </c>
      <c r="K166" s="12" t="s">
        <v>273</v>
      </c>
      <c r="L166" s="12" t="s">
        <v>948</v>
      </c>
      <c r="M166" s="12"/>
    </row>
    <row r="167" spans="1:13" x14ac:dyDescent="0.3">
      <c r="A167" s="12" t="s">
        <v>120</v>
      </c>
      <c r="B167" s="12" t="s">
        <v>395</v>
      </c>
      <c r="C167" s="12" t="s">
        <v>2530</v>
      </c>
      <c r="D167" s="12" t="s">
        <v>1878</v>
      </c>
      <c r="E167" s="12" t="s">
        <v>6533</v>
      </c>
      <c r="F167" s="12" t="s">
        <v>757</v>
      </c>
      <c r="G167" s="12"/>
      <c r="H167" s="12"/>
      <c r="I167" s="12"/>
      <c r="J167" s="12" t="s">
        <v>749</v>
      </c>
      <c r="K167" s="12" t="s">
        <v>273</v>
      </c>
      <c r="L167" s="12" t="s">
        <v>948</v>
      </c>
      <c r="M167" s="12"/>
    </row>
    <row r="168" spans="1:13" x14ac:dyDescent="0.3">
      <c r="A168" s="12" t="s">
        <v>120</v>
      </c>
      <c r="B168" s="12" t="s">
        <v>395</v>
      </c>
      <c r="C168" s="12" t="s">
        <v>2530</v>
      </c>
      <c r="D168" s="12" t="s">
        <v>1879</v>
      </c>
      <c r="E168" s="12" t="s">
        <v>6533</v>
      </c>
      <c r="F168" s="12" t="s">
        <v>801</v>
      </c>
      <c r="G168" s="12"/>
      <c r="H168" s="12"/>
      <c r="I168" s="12"/>
      <c r="J168" s="12" t="s">
        <v>749</v>
      </c>
      <c r="K168" s="12" t="s">
        <v>273</v>
      </c>
      <c r="L168" s="12" t="s">
        <v>948</v>
      </c>
      <c r="M168" s="12"/>
    </row>
    <row r="169" spans="1:13" x14ac:dyDescent="0.3">
      <c r="A169" s="12" t="s">
        <v>120</v>
      </c>
      <c r="B169" s="12" t="s">
        <v>395</v>
      </c>
      <c r="C169" s="12" t="s">
        <v>2530</v>
      </c>
      <c r="D169" s="12" t="s">
        <v>1880</v>
      </c>
      <c r="E169" s="12" t="s">
        <v>6534</v>
      </c>
      <c r="F169" s="12"/>
      <c r="G169" s="12">
        <v>278.14999999999998</v>
      </c>
      <c r="H169" s="12">
        <v>300.032917</v>
      </c>
      <c r="I169" s="12">
        <v>5</v>
      </c>
      <c r="J169" s="12"/>
      <c r="K169" s="12" t="s">
        <v>275</v>
      </c>
      <c r="L169" s="12" t="s">
        <v>948</v>
      </c>
      <c r="M169" s="12"/>
    </row>
    <row r="170" spans="1:13" x14ac:dyDescent="0.3">
      <c r="A170" s="12" t="s">
        <v>120</v>
      </c>
      <c r="B170" s="12" t="s">
        <v>395</v>
      </c>
      <c r="C170" s="12" t="s">
        <v>2530</v>
      </c>
      <c r="D170" s="12" t="s">
        <v>67</v>
      </c>
      <c r="E170" s="12" t="s">
        <v>6533</v>
      </c>
      <c r="F170" s="12" t="s">
        <v>804</v>
      </c>
      <c r="G170" s="12"/>
      <c r="H170" s="12"/>
      <c r="I170" s="12"/>
      <c r="J170" s="12"/>
      <c r="K170" s="12" t="s">
        <v>273</v>
      </c>
      <c r="L170" s="12" t="s">
        <v>948</v>
      </c>
      <c r="M170" s="12"/>
    </row>
    <row r="171" spans="1:13" x14ac:dyDescent="0.3">
      <c r="A171" s="12" t="s">
        <v>120</v>
      </c>
      <c r="B171" s="12" t="s">
        <v>397</v>
      </c>
      <c r="C171" s="12" t="s">
        <v>2581</v>
      </c>
      <c r="D171" s="12" t="s">
        <v>274</v>
      </c>
      <c r="E171" s="12" t="s">
        <v>6533</v>
      </c>
      <c r="F171" s="12" t="s">
        <v>794</v>
      </c>
      <c r="G171" s="12"/>
      <c r="H171" s="12"/>
      <c r="I171" s="12"/>
      <c r="J171" s="12" t="s">
        <v>749</v>
      </c>
      <c r="K171" s="12" t="s">
        <v>275</v>
      </c>
      <c r="L171" s="12" t="s">
        <v>948</v>
      </c>
      <c r="M171" s="12"/>
    </row>
    <row r="172" spans="1:13" x14ac:dyDescent="0.3">
      <c r="A172" s="12" t="s">
        <v>120</v>
      </c>
      <c r="B172" s="12" t="s">
        <v>397</v>
      </c>
      <c r="C172" s="12" t="s">
        <v>2581</v>
      </c>
      <c r="D172" s="12" t="s">
        <v>276</v>
      </c>
      <c r="E172" s="12" t="s">
        <v>6534</v>
      </c>
      <c r="F172" s="12"/>
      <c r="G172" s="12">
        <v>278.14999999999998</v>
      </c>
      <c r="H172" s="12">
        <v>300.032917</v>
      </c>
      <c r="I172" s="12">
        <v>5</v>
      </c>
      <c r="J172" s="12"/>
      <c r="K172" s="12" t="s">
        <v>275</v>
      </c>
      <c r="L172" s="12" t="s">
        <v>948</v>
      </c>
      <c r="M172" s="12"/>
    </row>
    <row r="173" spans="1:13" x14ac:dyDescent="0.3">
      <c r="A173" s="12" t="s">
        <v>120</v>
      </c>
      <c r="B173" s="12" t="s">
        <v>397</v>
      </c>
      <c r="C173" s="12" t="s">
        <v>2581</v>
      </c>
      <c r="D173" s="12" t="s">
        <v>269</v>
      </c>
      <c r="E173" s="12" t="s">
        <v>6533</v>
      </c>
      <c r="F173" s="12" t="s">
        <v>805</v>
      </c>
      <c r="G173" s="12"/>
      <c r="H173" s="12"/>
      <c r="I173" s="12"/>
      <c r="J173" s="12" t="s">
        <v>749</v>
      </c>
      <c r="K173" s="12" t="s">
        <v>270</v>
      </c>
      <c r="L173" s="12" t="s">
        <v>948</v>
      </c>
      <c r="M173" s="12"/>
    </row>
    <row r="174" spans="1:13" x14ac:dyDescent="0.3">
      <c r="A174" s="12" t="s">
        <v>120</v>
      </c>
      <c r="B174" s="12" t="s">
        <v>397</v>
      </c>
      <c r="C174" s="12" t="s">
        <v>2581</v>
      </c>
      <c r="D174" s="12" t="s">
        <v>271</v>
      </c>
      <c r="E174" s="12" t="s">
        <v>6534</v>
      </c>
      <c r="F174" s="12"/>
      <c r="G174" s="12">
        <v>150</v>
      </c>
      <c r="H174" s="12">
        <v>1500</v>
      </c>
      <c r="I174" s="12">
        <v>30</v>
      </c>
      <c r="J174" s="12"/>
      <c r="K174" s="12" t="s">
        <v>270</v>
      </c>
      <c r="L174" s="12" t="s">
        <v>948</v>
      </c>
      <c r="M174" s="12"/>
    </row>
    <row r="175" spans="1:13" x14ac:dyDescent="0.3">
      <c r="A175" s="12" t="s">
        <v>120</v>
      </c>
      <c r="B175" s="12" t="s">
        <v>397</v>
      </c>
      <c r="C175" s="12" t="s">
        <v>2581</v>
      </c>
      <c r="D175" s="12" t="s">
        <v>272</v>
      </c>
      <c r="E175" s="12" t="s">
        <v>6533</v>
      </c>
      <c r="F175" s="12" t="s">
        <v>799</v>
      </c>
      <c r="G175" s="12"/>
      <c r="H175" s="12"/>
      <c r="I175" s="12"/>
      <c r="J175" s="12" t="s">
        <v>749</v>
      </c>
      <c r="K175" s="12" t="s">
        <v>273</v>
      </c>
      <c r="L175" s="12" t="s">
        <v>948</v>
      </c>
      <c r="M175" s="12"/>
    </row>
    <row r="176" spans="1:13" x14ac:dyDescent="0.3">
      <c r="A176" s="12" t="s">
        <v>120</v>
      </c>
      <c r="B176" s="12" t="s">
        <v>397</v>
      </c>
      <c r="C176" s="12" t="s">
        <v>2581</v>
      </c>
      <c r="D176" s="12" t="s">
        <v>282</v>
      </c>
      <c r="E176" s="12" t="s">
        <v>6533</v>
      </c>
      <c r="F176" s="12" t="s">
        <v>800</v>
      </c>
      <c r="G176" s="12"/>
      <c r="H176" s="12"/>
      <c r="I176" s="12"/>
      <c r="J176" s="12" t="s">
        <v>749</v>
      </c>
      <c r="K176" s="12" t="s">
        <v>283</v>
      </c>
      <c r="L176" s="12" t="s">
        <v>948</v>
      </c>
      <c r="M176" s="12"/>
    </row>
    <row r="177" spans="1:13" x14ac:dyDescent="0.3">
      <c r="A177" s="12" t="s">
        <v>120</v>
      </c>
      <c r="B177" s="12" t="s">
        <v>397</v>
      </c>
      <c r="C177" s="12" t="s">
        <v>2581</v>
      </c>
      <c r="D177" s="12" t="s">
        <v>1875</v>
      </c>
      <c r="E177" s="12" t="s">
        <v>6533</v>
      </c>
      <c r="F177" s="12" t="s">
        <v>755</v>
      </c>
      <c r="G177" s="12"/>
      <c r="H177" s="12"/>
      <c r="I177" s="12"/>
      <c r="J177" s="12" t="s">
        <v>749</v>
      </c>
      <c r="K177" s="12" t="s">
        <v>273</v>
      </c>
      <c r="L177" s="12" t="s">
        <v>948</v>
      </c>
      <c r="M177" s="12"/>
    </row>
    <row r="178" spans="1:13" x14ac:dyDescent="0.3">
      <c r="A178" s="12" t="s">
        <v>120</v>
      </c>
      <c r="B178" s="12" t="s">
        <v>397</v>
      </c>
      <c r="C178" s="12" t="s">
        <v>2581</v>
      </c>
      <c r="D178" s="12" t="s">
        <v>1876</v>
      </c>
      <c r="E178" s="12" t="s">
        <v>6533</v>
      </c>
      <c r="F178" s="12" t="s">
        <v>757</v>
      </c>
      <c r="G178" s="12"/>
      <c r="H178" s="12"/>
      <c r="I178" s="12"/>
      <c r="J178" s="12" t="s">
        <v>749</v>
      </c>
      <c r="K178" s="12" t="s">
        <v>273</v>
      </c>
      <c r="L178" s="12" t="s">
        <v>948</v>
      </c>
      <c r="M178" s="12"/>
    </row>
    <row r="179" spans="1:13" x14ac:dyDescent="0.3">
      <c r="A179" s="12" t="s">
        <v>120</v>
      </c>
      <c r="B179" s="12" t="s">
        <v>397</v>
      </c>
      <c r="C179" s="12" t="s">
        <v>2581</v>
      </c>
      <c r="D179" s="12" t="s">
        <v>1877</v>
      </c>
      <c r="E179" s="12" t="s">
        <v>6533</v>
      </c>
      <c r="F179" s="12" t="s">
        <v>1018</v>
      </c>
      <c r="G179" s="12"/>
      <c r="H179" s="12"/>
      <c r="I179" s="12"/>
      <c r="J179" s="12" t="s">
        <v>948</v>
      </c>
      <c r="K179" s="12" t="s">
        <v>273</v>
      </c>
      <c r="L179" s="12" t="s">
        <v>948</v>
      </c>
      <c r="M179" s="12"/>
    </row>
    <row r="180" spans="1:13" x14ac:dyDescent="0.3">
      <c r="A180" s="12" t="s">
        <v>120</v>
      </c>
      <c r="B180" s="12" t="s">
        <v>397</v>
      </c>
      <c r="C180" s="12" t="s">
        <v>2581</v>
      </c>
      <c r="D180" s="12" t="s">
        <v>1878</v>
      </c>
      <c r="E180" s="12" t="s">
        <v>6533</v>
      </c>
      <c r="F180" s="12" t="s">
        <v>757</v>
      </c>
      <c r="G180" s="12"/>
      <c r="H180" s="12"/>
      <c r="I180" s="12"/>
      <c r="J180" s="12" t="s">
        <v>749</v>
      </c>
      <c r="K180" s="12" t="s">
        <v>273</v>
      </c>
      <c r="L180" s="12" t="s">
        <v>948</v>
      </c>
      <c r="M180" s="12"/>
    </row>
    <row r="181" spans="1:13" x14ac:dyDescent="0.3">
      <c r="A181" s="12" t="s">
        <v>120</v>
      </c>
      <c r="B181" s="12" t="s">
        <v>397</v>
      </c>
      <c r="C181" s="12" t="s">
        <v>2581</v>
      </c>
      <c r="D181" s="12" t="s">
        <v>1879</v>
      </c>
      <c r="E181" s="12" t="s">
        <v>6533</v>
      </c>
      <c r="F181" s="12" t="s">
        <v>801</v>
      </c>
      <c r="G181" s="12"/>
      <c r="H181" s="12"/>
      <c r="I181" s="12"/>
      <c r="J181" s="12" t="s">
        <v>749</v>
      </c>
      <c r="K181" s="12" t="s">
        <v>273</v>
      </c>
      <c r="L181" s="12" t="s">
        <v>948</v>
      </c>
      <c r="M181" s="12"/>
    </row>
    <row r="182" spans="1:13" x14ac:dyDescent="0.3">
      <c r="A182" s="12" t="s">
        <v>120</v>
      </c>
      <c r="B182" s="12" t="s">
        <v>397</v>
      </c>
      <c r="C182" s="12" t="s">
        <v>2581</v>
      </c>
      <c r="D182" s="12" t="s">
        <v>1880</v>
      </c>
      <c r="E182" s="12" t="s">
        <v>6534</v>
      </c>
      <c r="F182" s="12"/>
      <c r="G182" s="12">
        <v>278.14999999999998</v>
      </c>
      <c r="H182" s="12">
        <v>300.032917</v>
      </c>
      <c r="I182" s="12">
        <v>5</v>
      </c>
      <c r="J182" s="12"/>
      <c r="K182" s="12" t="s">
        <v>275</v>
      </c>
      <c r="L182" s="12" t="s">
        <v>948</v>
      </c>
      <c r="M182" s="12"/>
    </row>
    <row r="183" spans="1:13" x14ac:dyDescent="0.3">
      <c r="A183" s="12" t="s">
        <v>120</v>
      </c>
      <c r="B183" s="12" t="s">
        <v>397</v>
      </c>
      <c r="C183" s="12" t="s">
        <v>2581</v>
      </c>
      <c r="D183" s="12" t="s">
        <v>67</v>
      </c>
      <c r="E183" s="12" t="s">
        <v>6533</v>
      </c>
      <c r="F183" s="12" t="s">
        <v>804</v>
      </c>
      <c r="G183" s="12"/>
      <c r="H183" s="12"/>
      <c r="I183" s="12"/>
      <c r="J183" s="12"/>
      <c r="K183" s="12" t="s">
        <v>273</v>
      </c>
      <c r="L183" s="12" t="s">
        <v>948</v>
      </c>
      <c r="M183" s="12"/>
    </row>
    <row r="184" spans="1:13" x14ac:dyDescent="0.3">
      <c r="A184" s="12" t="s">
        <v>120</v>
      </c>
      <c r="B184" s="12" t="s">
        <v>399</v>
      </c>
      <c r="C184" s="12" t="s">
        <v>2632</v>
      </c>
      <c r="D184" s="12" t="s">
        <v>274</v>
      </c>
      <c r="E184" s="12" t="s">
        <v>6533</v>
      </c>
      <c r="F184" s="12" t="s">
        <v>794</v>
      </c>
      <c r="G184" s="12"/>
      <c r="H184" s="12"/>
      <c r="I184" s="12"/>
      <c r="J184" s="12" t="s">
        <v>749</v>
      </c>
      <c r="K184" s="12" t="s">
        <v>275</v>
      </c>
      <c r="L184" s="12" t="s">
        <v>948</v>
      </c>
      <c r="M184" s="12"/>
    </row>
    <row r="185" spans="1:13" x14ac:dyDescent="0.3">
      <c r="A185" s="12" t="s">
        <v>120</v>
      </c>
      <c r="B185" s="12" t="s">
        <v>399</v>
      </c>
      <c r="C185" s="12" t="s">
        <v>2632</v>
      </c>
      <c r="D185" s="12" t="s">
        <v>276</v>
      </c>
      <c r="E185" s="12" t="s">
        <v>6534</v>
      </c>
      <c r="F185" s="12"/>
      <c r="G185" s="12">
        <v>278.14999999999998</v>
      </c>
      <c r="H185" s="12">
        <v>300.032917</v>
      </c>
      <c r="I185" s="12">
        <v>5</v>
      </c>
      <c r="J185" s="12"/>
      <c r="K185" s="12" t="s">
        <v>275</v>
      </c>
      <c r="L185" s="12" t="s">
        <v>948</v>
      </c>
      <c r="M185" s="12"/>
    </row>
    <row r="186" spans="1:13" x14ac:dyDescent="0.3">
      <c r="A186" s="12" t="s">
        <v>120</v>
      </c>
      <c r="B186" s="12" t="s">
        <v>399</v>
      </c>
      <c r="C186" s="12" t="s">
        <v>2632</v>
      </c>
      <c r="D186" s="12" t="s">
        <v>269</v>
      </c>
      <c r="E186" s="12" t="s">
        <v>6533</v>
      </c>
      <c r="F186" s="12" t="s">
        <v>805</v>
      </c>
      <c r="G186" s="12"/>
      <c r="H186" s="12"/>
      <c r="I186" s="12"/>
      <c r="J186" s="12" t="s">
        <v>749</v>
      </c>
      <c r="K186" s="12" t="s">
        <v>270</v>
      </c>
      <c r="L186" s="12" t="s">
        <v>948</v>
      </c>
      <c r="M186" s="12"/>
    </row>
    <row r="187" spans="1:13" x14ac:dyDescent="0.3">
      <c r="A187" s="12" t="s">
        <v>120</v>
      </c>
      <c r="B187" s="12" t="s">
        <v>399</v>
      </c>
      <c r="C187" s="12" t="s">
        <v>2632</v>
      </c>
      <c r="D187" s="12" t="s">
        <v>271</v>
      </c>
      <c r="E187" s="12" t="s">
        <v>6534</v>
      </c>
      <c r="F187" s="12"/>
      <c r="G187" s="12">
        <v>150</v>
      </c>
      <c r="H187" s="12">
        <v>1500</v>
      </c>
      <c r="I187" s="12">
        <v>10</v>
      </c>
      <c r="J187" s="12"/>
      <c r="K187" s="12" t="s">
        <v>270</v>
      </c>
      <c r="L187" s="12" t="s">
        <v>948</v>
      </c>
      <c r="M187" s="12"/>
    </row>
    <row r="188" spans="1:13" x14ac:dyDescent="0.3">
      <c r="A188" s="12" t="s">
        <v>120</v>
      </c>
      <c r="B188" s="12" t="s">
        <v>399</v>
      </c>
      <c r="C188" s="12" t="s">
        <v>2632</v>
      </c>
      <c r="D188" s="12" t="s">
        <v>272</v>
      </c>
      <c r="E188" s="12" t="s">
        <v>6533</v>
      </c>
      <c r="F188" s="12" t="s">
        <v>799</v>
      </c>
      <c r="G188" s="12"/>
      <c r="H188" s="12"/>
      <c r="I188" s="12"/>
      <c r="J188" s="12" t="s">
        <v>749</v>
      </c>
      <c r="K188" s="12" t="s">
        <v>273</v>
      </c>
      <c r="L188" s="12" t="s">
        <v>948</v>
      </c>
      <c r="M188" s="12"/>
    </row>
    <row r="189" spans="1:13" x14ac:dyDescent="0.3">
      <c r="A189" s="12" t="s">
        <v>120</v>
      </c>
      <c r="B189" s="12" t="s">
        <v>399</v>
      </c>
      <c r="C189" s="12" t="s">
        <v>2632</v>
      </c>
      <c r="D189" s="12" t="s">
        <v>282</v>
      </c>
      <c r="E189" s="12" t="s">
        <v>6533</v>
      </c>
      <c r="F189" s="12" t="s">
        <v>800</v>
      </c>
      <c r="G189" s="12"/>
      <c r="H189" s="12"/>
      <c r="I189" s="12"/>
      <c r="J189" s="12" t="s">
        <v>749</v>
      </c>
      <c r="K189" s="12" t="s">
        <v>283</v>
      </c>
      <c r="L189" s="12" t="s">
        <v>948</v>
      </c>
      <c r="M189" s="12"/>
    </row>
    <row r="190" spans="1:13" x14ac:dyDescent="0.3">
      <c r="A190" s="12" t="s">
        <v>120</v>
      </c>
      <c r="B190" s="12" t="s">
        <v>399</v>
      </c>
      <c r="C190" s="12" t="s">
        <v>2632</v>
      </c>
      <c r="D190" s="12" t="s">
        <v>1875</v>
      </c>
      <c r="E190" s="12" t="s">
        <v>6533</v>
      </c>
      <c r="F190" s="12" t="s">
        <v>755</v>
      </c>
      <c r="G190" s="12"/>
      <c r="H190" s="12"/>
      <c r="I190" s="12"/>
      <c r="J190" s="12" t="s">
        <v>749</v>
      </c>
      <c r="K190" s="12" t="s">
        <v>273</v>
      </c>
      <c r="L190" s="12" t="s">
        <v>948</v>
      </c>
      <c r="M190" s="12"/>
    </row>
    <row r="191" spans="1:13" x14ac:dyDescent="0.3">
      <c r="A191" s="12" t="s">
        <v>120</v>
      </c>
      <c r="B191" s="12" t="s">
        <v>399</v>
      </c>
      <c r="C191" s="12" t="s">
        <v>2632</v>
      </c>
      <c r="D191" s="12" t="s">
        <v>1876</v>
      </c>
      <c r="E191" s="12" t="s">
        <v>6533</v>
      </c>
      <c r="F191" s="12" t="s">
        <v>757</v>
      </c>
      <c r="G191" s="12"/>
      <c r="H191" s="12"/>
      <c r="I191" s="12"/>
      <c r="J191" s="12" t="s">
        <v>749</v>
      </c>
      <c r="K191" s="12" t="s">
        <v>273</v>
      </c>
      <c r="L191" s="12" t="s">
        <v>948</v>
      </c>
      <c r="M191" s="12"/>
    </row>
    <row r="192" spans="1:13" x14ac:dyDescent="0.3">
      <c r="A192" s="12" t="s">
        <v>120</v>
      </c>
      <c r="B192" s="12" t="s">
        <v>399</v>
      </c>
      <c r="C192" s="12" t="s">
        <v>2632</v>
      </c>
      <c r="D192" s="12" t="s">
        <v>1877</v>
      </c>
      <c r="E192" s="12" t="s">
        <v>6533</v>
      </c>
      <c r="F192" s="12" t="s">
        <v>755</v>
      </c>
      <c r="G192" s="12"/>
      <c r="H192" s="12"/>
      <c r="I192" s="12"/>
      <c r="J192" s="12" t="s">
        <v>749</v>
      </c>
      <c r="K192" s="12" t="s">
        <v>273</v>
      </c>
      <c r="L192" s="12" t="s">
        <v>948</v>
      </c>
      <c r="M192" s="12"/>
    </row>
    <row r="193" spans="1:13" x14ac:dyDescent="0.3">
      <c r="A193" s="12" t="s">
        <v>120</v>
      </c>
      <c r="B193" s="12" t="s">
        <v>399</v>
      </c>
      <c r="C193" s="12" t="s">
        <v>2632</v>
      </c>
      <c r="D193" s="12" t="s">
        <v>1878</v>
      </c>
      <c r="E193" s="12" t="s">
        <v>6533</v>
      </c>
      <c r="F193" s="12" t="s">
        <v>757</v>
      </c>
      <c r="G193" s="12"/>
      <c r="H193" s="12"/>
      <c r="I193" s="12"/>
      <c r="J193" s="12" t="s">
        <v>749</v>
      </c>
      <c r="K193" s="12" t="s">
        <v>273</v>
      </c>
      <c r="L193" s="12" t="s">
        <v>948</v>
      </c>
      <c r="M193" s="12"/>
    </row>
    <row r="194" spans="1:13" x14ac:dyDescent="0.3">
      <c r="A194" s="12" t="s">
        <v>120</v>
      </c>
      <c r="B194" s="12" t="s">
        <v>399</v>
      </c>
      <c r="C194" s="12" t="s">
        <v>2632</v>
      </c>
      <c r="D194" s="12" t="s">
        <v>1879</v>
      </c>
      <c r="E194" s="12" t="s">
        <v>6533</v>
      </c>
      <c r="F194" s="12" t="s">
        <v>801</v>
      </c>
      <c r="G194" s="12"/>
      <c r="H194" s="12"/>
      <c r="I194" s="12"/>
      <c r="J194" s="12" t="s">
        <v>749</v>
      </c>
      <c r="K194" s="12" t="s">
        <v>273</v>
      </c>
      <c r="L194" s="12" t="s">
        <v>948</v>
      </c>
      <c r="M194" s="12"/>
    </row>
    <row r="195" spans="1:13" x14ac:dyDescent="0.3">
      <c r="A195" s="12" t="s">
        <v>120</v>
      </c>
      <c r="B195" s="12" t="s">
        <v>399</v>
      </c>
      <c r="C195" s="12" t="s">
        <v>2632</v>
      </c>
      <c r="D195" s="12" t="s">
        <v>1880</v>
      </c>
      <c r="E195" s="12" t="s">
        <v>6534</v>
      </c>
      <c r="F195" s="12"/>
      <c r="G195" s="12">
        <v>278.14999999999998</v>
      </c>
      <c r="H195" s="12">
        <v>300.032917</v>
      </c>
      <c r="I195" s="12">
        <v>5</v>
      </c>
      <c r="J195" s="12"/>
      <c r="K195" s="12" t="s">
        <v>275</v>
      </c>
      <c r="L195" s="12" t="s">
        <v>948</v>
      </c>
      <c r="M195" s="12"/>
    </row>
    <row r="196" spans="1:13" x14ac:dyDescent="0.3">
      <c r="A196" s="12" t="s">
        <v>120</v>
      </c>
      <c r="B196" s="12" t="s">
        <v>399</v>
      </c>
      <c r="C196" s="12" t="s">
        <v>2632</v>
      </c>
      <c r="D196" s="12" t="s">
        <v>67</v>
      </c>
      <c r="E196" s="12" t="s">
        <v>6533</v>
      </c>
      <c r="F196" s="12" t="s">
        <v>804</v>
      </c>
      <c r="G196" s="12"/>
      <c r="H196" s="12"/>
      <c r="I196" s="12"/>
      <c r="J196" s="12"/>
      <c r="K196" s="12" t="s">
        <v>273</v>
      </c>
      <c r="L196" s="12" t="s">
        <v>948</v>
      </c>
      <c r="M196" s="12"/>
    </row>
    <row r="197" spans="1:13" x14ac:dyDescent="0.3">
      <c r="A197" s="12" t="s">
        <v>128</v>
      </c>
      <c r="B197" s="12" t="s">
        <v>128</v>
      </c>
      <c r="C197" s="12" t="s">
        <v>129</v>
      </c>
      <c r="D197" s="12" t="s">
        <v>274</v>
      </c>
      <c r="E197" s="12" t="s">
        <v>6534</v>
      </c>
      <c r="F197" s="12"/>
      <c r="G197" s="12">
        <v>340</v>
      </c>
      <c r="H197" s="12">
        <v>623.15</v>
      </c>
      <c r="I197" s="12">
        <v>18</v>
      </c>
      <c r="J197" s="12"/>
      <c r="K197" s="12" t="s">
        <v>275</v>
      </c>
      <c r="L197" s="12" t="s">
        <v>749</v>
      </c>
      <c r="M197" s="12">
        <v>403</v>
      </c>
    </row>
    <row r="198" spans="1:13" x14ac:dyDescent="0.3">
      <c r="A198" s="12" t="s">
        <v>128</v>
      </c>
      <c r="B198" s="12" t="s">
        <v>128</v>
      </c>
      <c r="C198" s="12" t="s">
        <v>129</v>
      </c>
      <c r="D198" s="12" t="s">
        <v>276</v>
      </c>
      <c r="E198" s="12" t="s">
        <v>6534</v>
      </c>
      <c r="F198" s="12"/>
      <c r="G198" s="12">
        <v>283.14999999999998</v>
      </c>
      <c r="H198" s="12">
        <v>303.55</v>
      </c>
      <c r="I198" s="12">
        <v>18</v>
      </c>
      <c r="J198" s="12"/>
      <c r="K198" s="12" t="s">
        <v>275</v>
      </c>
      <c r="L198" s="12" t="s">
        <v>749</v>
      </c>
      <c r="M198" s="12">
        <v>300.03300000000002</v>
      </c>
    </row>
    <row r="199" spans="1:13" x14ac:dyDescent="0.3">
      <c r="A199" s="12" t="s">
        <v>128</v>
      </c>
      <c r="B199" s="12" t="s">
        <v>128</v>
      </c>
      <c r="C199" s="12" t="s">
        <v>129</v>
      </c>
      <c r="D199" s="12" t="s">
        <v>269</v>
      </c>
      <c r="E199" s="12" t="s">
        <v>6534</v>
      </c>
      <c r="F199" s="12"/>
      <c r="G199" s="12">
        <v>1000</v>
      </c>
      <c r="H199" s="12">
        <v>10000</v>
      </c>
      <c r="I199" s="12">
        <v>18</v>
      </c>
      <c r="J199" s="12"/>
      <c r="K199" s="12" t="s">
        <v>270</v>
      </c>
      <c r="L199" s="12" t="s">
        <v>749</v>
      </c>
      <c r="M199" s="12">
        <v>3000</v>
      </c>
    </row>
    <row r="200" spans="1:13" x14ac:dyDescent="0.3">
      <c r="A200" s="12" t="s">
        <v>128</v>
      </c>
      <c r="B200" s="12" t="s">
        <v>128</v>
      </c>
      <c r="C200" s="12" t="s">
        <v>129</v>
      </c>
      <c r="D200" s="12" t="s">
        <v>271</v>
      </c>
      <c r="E200" s="12" t="s">
        <v>6534</v>
      </c>
      <c r="F200" s="12"/>
      <c r="G200" s="12">
        <v>150</v>
      </c>
      <c r="H200" s="12">
        <v>1500</v>
      </c>
      <c r="I200" s="12">
        <v>18</v>
      </c>
      <c r="J200" s="12"/>
      <c r="K200" s="12" t="s">
        <v>270</v>
      </c>
      <c r="L200" s="12" t="s">
        <v>749</v>
      </c>
      <c r="M200" s="12">
        <v>563.63599999999997</v>
      </c>
    </row>
    <row r="201" spans="1:13" x14ac:dyDescent="0.3">
      <c r="A201" s="12" t="s">
        <v>128</v>
      </c>
      <c r="B201" s="12" t="s">
        <v>128</v>
      </c>
      <c r="C201" s="12" t="s">
        <v>129</v>
      </c>
      <c r="D201" s="12" t="s">
        <v>272</v>
      </c>
      <c r="E201" s="12" t="s">
        <v>6534</v>
      </c>
      <c r="F201" s="12"/>
      <c r="G201" s="12">
        <v>0.3</v>
      </c>
      <c r="H201" s="12">
        <v>0.90000000000000013</v>
      </c>
      <c r="I201" s="12">
        <v>18</v>
      </c>
      <c r="J201" s="12"/>
      <c r="K201" s="12" t="s">
        <v>273</v>
      </c>
      <c r="L201" s="12" t="s">
        <v>749</v>
      </c>
      <c r="M201" s="12">
        <v>0.5</v>
      </c>
    </row>
    <row r="202" spans="1:13" x14ac:dyDescent="0.3">
      <c r="A202" s="12" t="s">
        <v>128</v>
      </c>
      <c r="B202" s="12" t="s">
        <v>128</v>
      </c>
      <c r="C202" s="12" t="s">
        <v>129</v>
      </c>
      <c r="D202" s="12" t="s">
        <v>282</v>
      </c>
      <c r="E202" s="12" t="s">
        <v>6533</v>
      </c>
      <c r="F202" s="12" t="s">
        <v>800</v>
      </c>
      <c r="G202" s="12"/>
      <c r="H202" s="12"/>
      <c r="I202" s="12"/>
      <c r="J202" s="12" t="s">
        <v>749</v>
      </c>
      <c r="K202" s="12" t="s">
        <v>283</v>
      </c>
      <c r="L202" s="12" t="s">
        <v>749</v>
      </c>
      <c r="M202" s="12">
        <v>1</v>
      </c>
    </row>
    <row r="203" spans="1:13" x14ac:dyDescent="0.3">
      <c r="A203" s="12" t="s">
        <v>128</v>
      </c>
      <c r="B203" s="12" t="s">
        <v>128</v>
      </c>
      <c r="C203" s="12" t="s">
        <v>129</v>
      </c>
      <c r="D203" s="12" t="s">
        <v>1875</v>
      </c>
      <c r="E203" s="12" t="s">
        <v>6534</v>
      </c>
      <c r="F203" s="12"/>
      <c r="G203" s="12">
        <v>0.4</v>
      </c>
      <c r="H203" s="12">
        <v>0.95</v>
      </c>
      <c r="I203" s="12">
        <v>18</v>
      </c>
      <c r="J203" s="12"/>
      <c r="K203" s="12" t="s">
        <v>273</v>
      </c>
      <c r="L203" s="12" t="s">
        <v>749</v>
      </c>
      <c r="M203" s="12">
        <v>0.85</v>
      </c>
    </row>
    <row r="204" spans="1:13" x14ac:dyDescent="0.3">
      <c r="A204" s="12" t="s">
        <v>128</v>
      </c>
      <c r="B204" s="12" t="s">
        <v>128</v>
      </c>
      <c r="C204" s="12" t="s">
        <v>129</v>
      </c>
      <c r="D204" s="12" t="s">
        <v>1876</v>
      </c>
      <c r="E204" s="12" t="s">
        <v>6534</v>
      </c>
      <c r="F204" s="12"/>
      <c r="G204" s="12">
        <v>0.4</v>
      </c>
      <c r="H204" s="12">
        <v>0.95</v>
      </c>
      <c r="I204" s="12">
        <v>18</v>
      </c>
      <c r="J204" s="12"/>
      <c r="K204" s="12" t="s">
        <v>273</v>
      </c>
      <c r="L204" s="12" t="s">
        <v>749</v>
      </c>
      <c r="M204" s="12">
        <v>0.75</v>
      </c>
    </row>
    <row r="205" spans="1:13" x14ac:dyDescent="0.3">
      <c r="A205" s="12" t="s">
        <v>128</v>
      </c>
      <c r="B205" s="12" t="s">
        <v>128</v>
      </c>
      <c r="C205" s="12" t="s">
        <v>129</v>
      </c>
      <c r="D205" s="12" t="s">
        <v>1877</v>
      </c>
      <c r="E205" s="12" t="s">
        <v>6534</v>
      </c>
      <c r="F205" s="12"/>
      <c r="G205" s="12">
        <v>0.4</v>
      </c>
      <c r="H205" s="12">
        <v>0.95</v>
      </c>
      <c r="I205" s="12">
        <v>18</v>
      </c>
      <c r="J205" s="12"/>
      <c r="K205" s="12" t="s">
        <v>273</v>
      </c>
      <c r="L205" s="12" t="s">
        <v>749</v>
      </c>
      <c r="M205" s="12">
        <v>0.85</v>
      </c>
    </row>
    <row r="206" spans="1:13" x14ac:dyDescent="0.3">
      <c r="A206" s="12" t="s">
        <v>128</v>
      </c>
      <c r="B206" s="12" t="s">
        <v>128</v>
      </c>
      <c r="C206" s="12" t="s">
        <v>129</v>
      </c>
      <c r="D206" s="12" t="s">
        <v>1878</v>
      </c>
      <c r="E206" s="12" t="s">
        <v>6534</v>
      </c>
      <c r="F206" s="12"/>
      <c r="G206" s="12">
        <v>0.4</v>
      </c>
      <c r="H206" s="12">
        <v>0.95</v>
      </c>
      <c r="I206" s="12">
        <v>18</v>
      </c>
      <c r="J206" s="12"/>
      <c r="K206" s="12" t="s">
        <v>273</v>
      </c>
      <c r="L206" s="12" t="s">
        <v>749</v>
      </c>
      <c r="M206" s="12">
        <v>0.75</v>
      </c>
    </row>
    <row r="207" spans="1:13" x14ac:dyDescent="0.3">
      <c r="A207" s="12" t="s">
        <v>128</v>
      </c>
      <c r="B207" s="12" t="s">
        <v>128</v>
      </c>
      <c r="C207" s="12" t="s">
        <v>129</v>
      </c>
      <c r="D207" s="12" t="s">
        <v>1879</v>
      </c>
      <c r="E207" s="12" t="s">
        <v>6534</v>
      </c>
      <c r="F207" s="12"/>
      <c r="G207" s="12">
        <v>0.4</v>
      </c>
      <c r="H207" s="12">
        <v>0.95</v>
      </c>
      <c r="I207" s="12">
        <v>18</v>
      </c>
      <c r="J207" s="12"/>
      <c r="K207" s="12" t="s">
        <v>273</v>
      </c>
      <c r="L207" s="12" t="s">
        <v>749</v>
      </c>
      <c r="M207" s="12">
        <v>0.8</v>
      </c>
    </row>
    <row r="208" spans="1:13" x14ac:dyDescent="0.3">
      <c r="A208" s="12" t="s">
        <v>128</v>
      </c>
      <c r="B208" s="12" t="s">
        <v>128</v>
      </c>
      <c r="C208" s="12" t="s">
        <v>129</v>
      </c>
      <c r="D208" s="12" t="s">
        <v>1880</v>
      </c>
      <c r="E208" s="12" t="s">
        <v>6535</v>
      </c>
      <c r="F208" s="12"/>
      <c r="G208" s="12"/>
      <c r="H208" s="12"/>
      <c r="I208" s="12"/>
      <c r="J208" s="12"/>
      <c r="K208" s="12" t="s">
        <v>275</v>
      </c>
      <c r="L208" s="12" t="s">
        <v>749</v>
      </c>
      <c r="M208" s="12"/>
    </row>
    <row r="209" spans="1:13" x14ac:dyDescent="0.3">
      <c r="A209" s="12" t="s">
        <v>128</v>
      </c>
      <c r="B209" s="12" t="s">
        <v>128</v>
      </c>
      <c r="C209" s="12" t="s">
        <v>129</v>
      </c>
      <c r="D209" s="12" t="s">
        <v>67</v>
      </c>
      <c r="E209" s="12" t="s">
        <v>6533</v>
      </c>
      <c r="F209" s="12" t="s">
        <v>804</v>
      </c>
      <c r="G209" s="12"/>
      <c r="H209" s="12"/>
      <c r="I209" s="12"/>
      <c r="J209" s="12"/>
      <c r="K209" s="12" t="s">
        <v>273</v>
      </c>
      <c r="L209" s="12" t="s">
        <v>749</v>
      </c>
      <c r="M209" s="12"/>
    </row>
    <row r="210" spans="1:13" x14ac:dyDescent="0.3">
      <c r="A210" s="12" t="s">
        <v>136</v>
      </c>
      <c r="B210" s="12" t="s">
        <v>136</v>
      </c>
      <c r="C210" s="12" t="s">
        <v>137</v>
      </c>
      <c r="D210" s="12" t="s">
        <v>274</v>
      </c>
      <c r="E210" s="12" t="s">
        <v>6534</v>
      </c>
      <c r="F210" s="12"/>
      <c r="G210" s="12">
        <v>380.22992399348419</v>
      </c>
      <c r="H210" s="12">
        <v>499.94094978061048</v>
      </c>
      <c r="I210" s="12">
        <v>300</v>
      </c>
      <c r="J210" s="12"/>
      <c r="K210" s="12" t="s">
        <v>275</v>
      </c>
      <c r="L210" s="12" t="s">
        <v>948</v>
      </c>
      <c r="M210" s="12"/>
    </row>
    <row r="211" spans="1:13" x14ac:dyDescent="0.3">
      <c r="A211" s="12" t="s">
        <v>136</v>
      </c>
      <c r="B211" s="12" t="s">
        <v>136</v>
      </c>
      <c r="C211" s="12" t="s">
        <v>137</v>
      </c>
      <c r="D211" s="12" t="s">
        <v>276</v>
      </c>
      <c r="E211" s="12" t="s">
        <v>6534</v>
      </c>
      <c r="F211" s="12"/>
      <c r="G211" s="12">
        <v>278.19245234681239</v>
      </c>
      <c r="H211" s="12">
        <v>303.54038715320229</v>
      </c>
      <c r="I211" s="12">
        <v>300</v>
      </c>
      <c r="J211" s="12"/>
      <c r="K211" s="12" t="s">
        <v>275</v>
      </c>
      <c r="L211" s="12" t="s">
        <v>948</v>
      </c>
      <c r="M211" s="12"/>
    </row>
    <row r="212" spans="1:13" x14ac:dyDescent="0.3">
      <c r="A212" s="12" t="s">
        <v>136</v>
      </c>
      <c r="B212" s="12" t="s">
        <v>136</v>
      </c>
      <c r="C212" s="12" t="s">
        <v>137</v>
      </c>
      <c r="D212" s="12" t="s">
        <v>269</v>
      </c>
      <c r="E212" s="12" t="s">
        <v>6534</v>
      </c>
      <c r="F212" s="12"/>
      <c r="G212" s="12">
        <v>2005.3950733036199</v>
      </c>
      <c r="H212" s="12">
        <v>4991.2342408864988</v>
      </c>
      <c r="I212" s="12">
        <v>300</v>
      </c>
      <c r="J212" s="12"/>
      <c r="K212" s="12" t="s">
        <v>270</v>
      </c>
      <c r="L212" s="12" t="s">
        <v>948</v>
      </c>
      <c r="M212" s="12"/>
    </row>
    <row r="213" spans="1:13" x14ac:dyDescent="0.3">
      <c r="A213" s="12" t="s">
        <v>136</v>
      </c>
      <c r="B213" s="12" t="s">
        <v>136</v>
      </c>
      <c r="C213" s="12" t="s">
        <v>137</v>
      </c>
      <c r="D213" s="12" t="s">
        <v>271</v>
      </c>
      <c r="E213" s="12" t="s">
        <v>6534</v>
      </c>
      <c r="F213" s="12"/>
      <c r="G213" s="12">
        <v>302.94922999750952</v>
      </c>
      <c r="H213" s="12">
        <v>1497.9965048542119</v>
      </c>
      <c r="I213" s="12">
        <v>300</v>
      </c>
      <c r="J213" s="12"/>
      <c r="K213" s="12" t="s">
        <v>270</v>
      </c>
      <c r="L213" s="12" t="s">
        <v>948</v>
      </c>
      <c r="M213" s="12"/>
    </row>
    <row r="214" spans="1:13" x14ac:dyDescent="0.3">
      <c r="A214" s="12" t="s">
        <v>136</v>
      </c>
      <c r="B214" s="12" t="s">
        <v>136</v>
      </c>
      <c r="C214" s="12" t="s">
        <v>137</v>
      </c>
      <c r="D214" s="12" t="s">
        <v>272</v>
      </c>
      <c r="E214" s="12" t="s">
        <v>6534</v>
      </c>
      <c r="F214" s="12"/>
      <c r="G214" s="12">
        <v>0.50016995973274325</v>
      </c>
      <c r="H214" s="12">
        <v>0.84998425573563519</v>
      </c>
      <c r="I214" s="12">
        <v>300</v>
      </c>
      <c r="J214" s="12"/>
      <c r="K214" s="12" t="s">
        <v>273</v>
      </c>
      <c r="L214" s="12" t="s">
        <v>948</v>
      </c>
      <c r="M214" s="12"/>
    </row>
    <row r="215" spans="1:13" x14ac:dyDescent="0.3">
      <c r="A215" s="12" t="s">
        <v>136</v>
      </c>
      <c r="B215" s="12" t="s">
        <v>136</v>
      </c>
      <c r="C215" s="12" t="s">
        <v>137</v>
      </c>
      <c r="D215" s="12" t="s">
        <v>282</v>
      </c>
      <c r="E215" s="12" t="s">
        <v>6533</v>
      </c>
      <c r="F215" s="12" t="s">
        <v>800</v>
      </c>
      <c r="G215" s="12"/>
      <c r="H215" s="12"/>
      <c r="I215" s="12"/>
      <c r="J215" s="12" t="s">
        <v>749</v>
      </c>
      <c r="K215" s="12" t="s">
        <v>283</v>
      </c>
      <c r="L215" s="12" t="s">
        <v>948</v>
      </c>
      <c r="M215" s="12"/>
    </row>
    <row r="216" spans="1:13" x14ac:dyDescent="0.3">
      <c r="A216" s="12" t="s">
        <v>136</v>
      </c>
      <c r="B216" s="12" t="s">
        <v>136</v>
      </c>
      <c r="C216" s="12" t="s">
        <v>137</v>
      </c>
      <c r="D216" s="12" t="s">
        <v>1875</v>
      </c>
      <c r="E216" s="12" t="s">
        <v>6534</v>
      </c>
      <c r="F216" s="12"/>
      <c r="G216" s="12">
        <v>0.75041072350675675</v>
      </c>
      <c r="H216" s="12">
        <v>0.91950081711863141</v>
      </c>
      <c r="I216" s="12">
        <v>300</v>
      </c>
      <c r="J216" s="12"/>
      <c r="K216" s="12" t="s">
        <v>273</v>
      </c>
      <c r="L216" s="12" t="s">
        <v>948</v>
      </c>
      <c r="M216" s="12"/>
    </row>
    <row r="217" spans="1:13" x14ac:dyDescent="0.3">
      <c r="A217" s="12" t="s">
        <v>136</v>
      </c>
      <c r="B217" s="12" t="s">
        <v>136</v>
      </c>
      <c r="C217" s="12" t="s">
        <v>137</v>
      </c>
      <c r="D217" s="12" t="s">
        <v>1876</v>
      </c>
      <c r="E217" s="12" t="s">
        <v>6534</v>
      </c>
      <c r="F217" s="12"/>
      <c r="G217" s="12">
        <v>0.65039981855507967</v>
      </c>
      <c r="H217" s="12">
        <v>0.89919418056265343</v>
      </c>
      <c r="I217" s="12">
        <v>300</v>
      </c>
      <c r="J217" s="12"/>
      <c r="K217" s="12" t="s">
        <v>273</v>
      </c>
      <c r="L217" s="12" t="s">
        <v>948</v>
      </c>
      <c r="M217" s="12"/>
    </row>
    <row r="218" spans="1:13" x14ac:dyDescent="0.3">
      <c r="A218" s="12" t="s">
        <v>136</v>
      </c>
      <c r="B218" s="12" t="s">
        <v>136</v>
      </c>
      <c r="C218" s="12" t="s">
        <v>137</v>
      </c>
      <c r="D218" s="12" t="s">
        <v>1877</v>
      </c>
      <c r="E218" s="12" t="s">
        <v>6534</v>
      </c>
      <c r="F218" s="12"/>
      <c r="G218" s="12">
        <v>0.60003885546679037</v>
      </c>
      <c r="H218" s="12">
        <v>0.94904727527857879</v>
      </c>
      <c r="I218" s="12">
        <v>300</v>
      </c>
      <c r="J218" s="12"/>
      <c r="K218" s="12" t="s">
        <v>273</v>
      </c>
      <c r="L218" s="12" t="s">
        <v>948</v>
      </c>
      <c r="M218" s="12"/>
    </row>
    <row r="219" spans="1:13" x14ac:dyDescent="0.3">
      <c r="A219" s="12" t="s">
        <v>136</v>
      </c>
      <c r="B219" s="12" t="s">
        <v>136</v>
      </c>
      <c r="C219" s="12" t="s">
        <v>137</v>
      </c>
      <c r="D219" s="12" t="s">
        <v>1878</v>
      </c>
      <c r="E219" s="12" t="s">
        <v>6534</v>
      </c>
      <c r="F219" s="12"/>
      <c r="G219" s="12">
        <v>0.60097311873103787</v>
      </c>
      <c r="H219" s="12">
        <v>0.94996519072068342</v>
      </c>
      <c r="I219" s="12">
        <v>300</v>
      </c>
      <c r="J219" s="12"/>
      <c r="K219" s="12" t="s">
        <v>273</v>
      </c>
      <c r="L219" s="12" t="s">
        <v>948</v>
      </c>
      <c r="M219" s="12"/>
    </row>
    <row r="220" spans="1:13" x14ac:dyDescent="0.3">
      <c r="A220" s="12" t="s">
        <v>136</v>
      </c>
      <c r="B220" s="12" t="s">
        <v>136</v>
      </c>
      <c r="C220" s="12" t="s">
        <v>137</v>
      </c>
      <c r="D220" s="12" t="s">
        <v>1879</v>
      </c>
      <c r="E220" s="12" t="s">
        <v>6534</v>
      </c>
      <c r="F220" s="12"/>
      <c r="G220" s="12">
        <v>0.70013632301175088</v>
      </c>
      <c r="H220" s="12">
        <v>0.94940937119279323</v>
      </c>
      <c r="I220" s="12">
        <v>300</v>
      </c>
      <c r="J220" s="12"/>
      <c r="K220" s="12" t="s">
        <v>273</v>
      </c>
      <c r="L220" s="12" t="s">
        <v>948</v>
      </c>
      <c r="M220" s="12"/>
    </row>
    <row r="221" spans="1:13" x14ac:dyDescent="0.3">
      <c r="A221" s="12" t="s">
        <v>136</v>
      </c>
      <c r="B221" s="12" t="s">
        <v>136</v>
      </c>
      <c r="C221" s="12" t="s">
        <v>137</v>
      </c>
      <c r="D221" s="12" t="s">
        <v>1880</v>
      </c>
      <c r="E221" s="12" t="s">
        <v>6534</v>
      </c>
      <c r="F221" s="12"/>
      <c r="G221" s="12">
        <v>278.19245234681239</v>
      </c>
      <c r="H221" s="12">
        <v>303.54038715320229</v>
      </c>
      <c r="I221" s="12">
        <v>300</v>
      </c>
      <c r="J221" s="12"/>
      <c r="K221" s="12" t="s">
        <v>275</v>
      </c>
      <c r="L221" s="12" t="s">
        <v>948</v>
      </c>
      <c r="M221" s="12"/>
    </row>
    <row r="222" spans="1:13" x14ac:dyDescent="0.3">
      <c r="A222" s="12" t="s">
        <v>136</v>
      </c>
      <c r="B222" s="12" t="s">
        <v>136</v>
      </c>
      <c r="C222" s="12" t="s">
        <v>137</v>
      </c>
      <c r="D222" s="12" t="s">
        <v>67</v>
      </c>
      <c r="E222" s="12" t="s">
        <v>6533</v>
      </c>
      <c r="F222" s="12" t="s">
        <v>804</v>
      </c>
      <c r="G222" s="12"/>
      <c r="H222" s="12"/>
      <c r="I222" s="12"/>
      <c r="J222" s="12"/>
      <c r="K222" s="12" t="s">
        <v>273</v>
      </c>
      <c r="L222" s="12" t="s">
        <v>948</v>
      </c>
      <c r="M222" s="12"/>
    </row>
    <row r="223" spans="1:13" x14ac:dyDescent="0.3">
      <c r="A223" s="12" t="s">
        <v>155</v>
      </c>
      <c r="B223" s="12" t="s">
        <v>155</v>
      </c>
      <c r="C223" s="12" t="s">
        <v>137</v>
      </c>
      <c r="D223" s="12" t="s">
        <v>274</v>
      </c>
      <c r="E223" s="12" t="s">
        <v>6534</v>
      </c>
      <c r="F223" s="12"/>
      <c r="G223" s="12">
        <v>380.29418501612179</v>
      </c>
      <c r="H223" s="12">
        <v>499.532816399556</v>
      </c>
      <c r="I223" s="12">
        <v>200</v>
      </c>
      <c r="J223" s="12"/>
      <c r="K223" s="12" t="s">
        <v>275</v>
      </c>
      <c r="L223" s="12" t="s">
        <v>948</v>
      </c>
      <c r="M223" s="12"/>
    </row>
    <row r="224" spans="1:13" x14ac:dyDescent="0.3">
      <c r="A224" s="12" t="s">
        <v>155</v>
      </c>
      <c r="B224" s="12" t="s">
        <v>155</v>
      </c>
      <c r="C224" s="12" t="s">
        <v>137</v>
      </c>
      <c r="D224" s="12" t="s">
        <v>276</v>
      </c>
      <c r="E224" s="12" t="s">
        <v>6534</v>
      </c>
      <c r="F224" s="12"/>
      <c r="G224" s="12">
        <v>278.18338928628958</v>
      </c>
      <c r="H224" s="12">
        <v>303.46999463700263</v>
      </c>
      <c r="I224" s="12">
        <v>200</v>
      </c>
      <c r="J224" s="12"/>
      <c r="K224" s="12" t="s">
        <v>275</v>
      </c>
      <c r="L224" s="12" t="s">
        <v>948</v>
      </c>
      <c r="M224" s="12"/>
    </row>
    <row r="225" spans="1:13" x14ac:dyDescent="0.3">
      <c r="A225" s="12" t="s">
        <v>155</v>
      </c>
      <c r="B225" s="12" t="s">
        <v>155</v>
      </c>
      <c r="C225" s="12" t="s">
        <v>137</v>
      </c>
      <c r="D225" s="12" t="s">
        <v>269</v>
      </c>
      <c r="E225" s="12" t="s">
        <v>6534</v>
      </c>
      <c r="F225" s="12"/>
      <c r="G225" s="12">
        <v>2009.9450225683679</v>
      </c>
      <c r="H225" s="12">
        <v>4986.5635957990344</v>
      </c>
      <c r="I225" s="12">
        <v>200</v>
      </c>
      <c r="J225" s="12"/>
      <c r="K225" s="12" t="s">
        <v>270</v>
      </c>
      <c r="L225" s="12" t="s">
        <v>948</v>
      </c>
      <c r="M225" s="12"/>
    </row>
    <row r="226" spans="1:13" x14ac:dyDescent="0.3">
      <c r="A226" s="12" t="s">
        <v>155</v>
      </c>
      <c r="B226" s="12" t="s">
        <v>155</v>
      </c>
      <c r="C226" s="12" t="s">
        <v>137</v>
      </c>
      <c r="D226" s="12" t="s">
        <v>271</v>
      </c>
      <c r="E226" s="12" t="s">
        <v>6534</v>
      </c>
      <c r="F226" s="12"/>
      <c r="G226" s="12">
        <v>304.7409728147116</v>
      </c>
      <c r="H226" s="12">
        <v>1497.185787006144</v>
      </c>
      <c r="I226" s="12">
        <v>200</v>
      </c>
      <c r="J226" s="12"/>
      <c r="K226" s="12" t="s">
        <v>270</v>
      </c>
      <c r="L226" s="12" t="s">
        <v>948</v>
      </c>
      <c r="M226" s="12"/>
    </row>
    <row r="227" spans="1:13" x14ac:dyDescent="0.3">
      <c r="A227" s="12" t="s">
        <v>155</v>
      </c>
      <c r="B227" s="12" t="s">
        <v>155</v>
      </c>
      <c r="C227" s="12" t="s">
        <v>137</v>
      </c>
      <c r="D227" s="12" t="s">
        <v>272</v>
      </c>
      <c r="E227" s="12" t="s">
        <v>6534</v>
      </c>
      <c r="F227" s="12"/>
      <c r="G227" s="12">
        <v>0.50011543599578079</v>
      </c>
      <c r="H227" s="12">
        <v>0.84879477320250918</v>
      </c>
      <c r="I227" s="12">
        <v>200</v>
      </c>
      <c r="J227" s="12"/>
      <c r="K227" s="12" t="s">
        <v>273</v>
      </c>
      <c r="L227" s="12" t="s">
        <v>948</v>
      </c>
      <c r="M227" s="12"/>
    </row>
    <row r="228" spans="1:13" x14ac:dyDescent="0.3">
      <c r="A228" s="12" t="s">
        <v>155</v>
      </c>
      <c r="B228" s="12" t="s">
        <v>155</v>
      </c>
      <c r="C228" s="12" t="s">
        <v>137</v>
      </c>
      <c r="D228" s="12" t="s">
        <v>282</v>
      </c>
      <c r="E228" s="12" t="s">
        <v>6533</v>
      </c>
      <c r="F228" s="12" t="s">
        <v>800</v>
      </c>
      <c r="G228" s="12"/>
      <c r="H228" s="12"/>
      <c r="I228" s="12"/>
      <c r="J228" s="12" t="s">
        <v>749</v>
      </c>
      <c r="K228" s="12" t="s">
        <v>283</v>
      </c>
      <c r="L228" s="12" t="s">
        <v>948</v>
      </c>
      <c r="M228" s="12"/>
    </row>
    <row r="229" spans="1:13" x14ac:dyDescent="0.3">
      <c r="A229" s="12" t="s">
        <v>155</v>
      </c>
      <c r="B229" s="12" t="s">
        <v>155</v>
      </c>
      <c r="C229" s="12" t="s">
        <v>137</v>
      </c>
      <c r="D229" s="12" t="s">
        <v>1875</v>
      </c>
      <c r="E229" s="12" t="s">
        <v>6534</v>
      </c>
      <c r="F229" s="12"/>
      <c r="G229" s="12">
        <v>0.75035791345160696</v>
      </c>
      <c r="H229" s="12">
        <v>0.91968778442935362</v>
      </c>
      <c r="I229" s="12">
        <v>200</v>
      </c>
      <c r="J229" s="12"/>
      <c r="K229" s="12" t="s">
        <v>273</v>
      </c>
      <c r="L229" s="12" t="s">
        <v>948</v>
      </c>
      <c r="M229" s="12"/>
    </row>
    <row r="230" spans="1:13" x14ac:dyDescent="0.3">
      <c r="A230" s="12" t="s">
        <v>155</v>
      </c>
      <c r="B230" s="12" t="s">
        <v>155</v>
      </c>
      <c r="C230" s="12" t="s">
        <v>137</v>
      </c>
      <c r="D230" s="12" t="s">
        <v>1876</v>
      </c>
      <c r="E230" s="12" t="s">
        <v>6534</v>
      </c>
      <c r="F230" s="12"/>
      <c r="G230" s="12">
        <v>0.65091984214234255</v>
      </c>
      <c r="H230" s="12">
        <v>0.89885770095765483</v>
      </c>
      <c r="I230" s="12">
        <v>200</v>
      </c>
      <c r="J230" s="12"/>
      <c r="K230" s="12" t="s">
        <v>273</v>
      </c>
      <c r="L230" s="12" t="s">
        <v>948</v>
      </c>
      <c r="M230" s="12"/>
    </row>
    <row r="231" spans="1:13" x14ac:dyDescent="0.3">
      <c r="A231" s="12" t="s">
        <v>155</v>
      </c>
      <c r="B231" s="12" t="s">
        <v>155</v>
      </c>
      <c r="C231" s="12" t="s">
        <v>137</v>
      </c>
      <c r="D231" s="12" t="s">
        <v>1877</v>
      </c>
      <c r="E231" s="12" t="s">
        <v>6534</v>
      </c>
      <c r="F231" s="12"/>
      <c r="G231" s="12">
        <v>0.60060518810752117</v>
      </c>
      <c r="H231" s="12">
        <v>0.94833930818838885</v>
      </c>
      <c r="I231" s="12">
        <v>200</v>
      </c>
      <c r="J231" s="12"/>
      <c r="K231" s="12" t="s">
        <v>273</v>
      </c>
      <c r="L231" s="12" t="s">
        <v>948</v>
      </c>
      <c r="M231" s="12"/>
    </row>
    <row r="232" spans="1:13" x14ac:dyDescent="0.3">
      <c r="A232" s="12" t="s">
        <v>155</v>
      </c>
      <c r="B232" s="12" t="s">
        <v>155</v>
      </c>
      <c r="C232" s="12" t="s">
        <v>137</v>
      </c>
      <c r="D232" s="12" t="s">
        <v>1878</v>
      </c>
      <c r="E232" s="12" t="s">
        <v>6534</v>
      </c>
      <c r="F232" s="12"/>
      <c r="G232" s="12">
        <v>0.60167189622596307</v>
      </c>
      <c r="H232" s="12">
        <v>0.94915723295008403</v>
      </c>
      <c r="I232" s="12">
        <v>200</v>
      </c>
      <c r="J232" s="12"/>
      <c r="K232" s="12" t="s">
        <v>273</v>
      </c>
      <c r="L232" s="12" t="s">
        <v>948</v>
      </c>
      <c r="M232" s="12"/>
    </row>
    <row r="233" spans="1:13" x14ac:dyDescent="0.3">
      <c r="A233" s="12" t="s">
        <v>155</v>
      </c>
      <c r="B233" s="12" t="s">
        <v>155</v>
      </c>
      <c r="C233" s="12" t="s">
        <v>137</v>
      </c>
      <c r="D233" s="12" t="s">
        <v>1879</v>
      </c>
      <c r="E233" s="12" t="s">
        <v>6534</v>
      </c>
      <c r="F233" s="12"/>
      <c r="G233" s="12">
        <v>0.70051810182539953</v>
      </c>
      <c r="H233" s="12">
        <v>0.94921339359024637</v>
      </c>
      <c r="I233" s="12">
        <v>200</v>
      </c>
      <c r="J233" s="12"/>
      <c r="K233" s="12" t="s">
        <v>273</v>
      </c>
      <c r="L233" s="12" t="s">
        <v>948</v>
      </c>
      <c r="M233" s="12"/>
    </row>
    <row r="234" spans="1:13" x14ac:dyDescent="0.3">
      <c r="A234" s="12" t="s">
        <v>155</v>
      </c>
      <c r="B234" s="12" t="s">
        <v>155</v>
      </c>
      <c r="C234" s="12" t="s">
        <v>137</v>
      </c>
      <c r="D234" s="12" t="s">
        <v>1880</v>
      </c>
      <c r="E234" s="12" t="s">
        <v>6534</v>
      </c>
      <c r="F234" s="12"/>
      <c r="G234" s="12">
        <v>278.18338928628958</v>
      </c>
      <c r="H234" s="12">
        <v>303.46999463700263</v>
      </c>
      <c r="I234" s="12">
        <v>200</v>
      </c>
      <c r="J234" s="12"/>
      <c r="K234" s="12" t="s">
        <v>275</v>
      </c>
      <c r="L234" s="12" t="s">
        <v>948</v>
      </c>
      <c r="M234" s="12"/>
    </row>
    <row r="235" spans="1:13" x14ac:dyDescent="0.3">
      <c r="A235" s="12" t="s">
        <v>155</v>
      </c>
      <c r="B235" s="12" t="s">
        <v>155</v>
      </c>
      <c r="C235" s="12" t="s">
        <v>137</v>
      </c>
      <c r="D235" s="12" t="s">
        <v>67</v>
      </c>
      <c r="E235" s="12" t="s">
        <v>6533</v>
      </c>
      <c r="F235" s="12" t="s">
        <v>804</v>
      </c>
      <c r="G235" s="12"/>
      <c r="H235" s="12"/>
      <c r="I235" s="12"/>
      <c r="J235" s="12"/>
      <c r="K235" s="12" t="s">
        <v>273</v>
      </c>
      <c r="L235" s="12" t="s">
        <v>948</v>
      </c>
      <c r="M235" s="12"/>
    </row>
    <row r="236" spans="1:13" x14ac:dyDescent="0.3">
      <c r="A236" s="12" t="s">
        <v>160</v>
      </c>
      <c r="B236" s="12" t="s">
        <v>160</v>
      </c>
      <c r="C236" s="12" t="s">
        <v>161</v>
      </c>
      <c r="D236" s="12" t="s">
        <v>274</v>
      </c>
      <c r="E236" s="12" t="s">
        <v>6534</v>
      </c>
      <c r="F236" s="12"/>
      <c r="G236" s="12">
        <v>380.74591673523958</v>
      </c>
      <c r="H236" s="12">
        <v>499.82679585291538</v>
      </c>
      <c r="I236" s="12">
        <v>150</v>
      </c>
      <c r="J236" s="12"/>
      <c r="K236" s="12" t="s">
        <v>275</v>
      </c>
      <c r="L236" s="12" t="s">
        <v>948</v>
      </c>
      <c r="M236" s="12"/>
    </row>
    <row r="237" spans="1:13" x14ac:dyDescent="0.3">
      <c r="A237" s="12" t="s">
        <v>160</v>
      </c>
      <c r="B237" s="12" t="s">
        <v>160</v>
      </c>
      <c r="C237" s="12" t="s">
        <v>161</v>
      </c>
      <c r="D237" s="12" t="s">
        <v>276</v>
      </c>
      <c r="E237" s="12" t="s">
        <v>6534</v>
      </c>
      <c r="F237" s="12"/>
      <c r="G237" s="12">
        <v>278.2778372787966</v>
      </c>
      <c r="H237" s="12">
        <v>303.41045166904291</v>
      </c>
      <c r="I237" s="12">
        <v>150</v>
      </c>
      <c r="J237" s="12"/>
      <c r="K237" s="12" t="s">
        <v>275</v>
      </c>
      <c r="L237" s="12" t="s">
        <v>948</v>
      </c>
      <c r="M237" s="12"/>
    </row>
    <row r="238" spans="1:13" x14ac:dyDescent="0.3">
      <c r="A238" s="12" t="s">
        <v>160</v>
      </c>
      <c r="B238" s="12" t="s">
        <v>160</v>
      </c>
      <c r="C238" s="12" t="s">
        <v>161</v>
      </c>
      <c r="D238" s="12" t="s">
        <v>269</v>
      </c>
      <c r="E238" s="12" t="s">
        <v>6534</v>
      </c>
      <c r="F238" s="12"/>
      <c r="G238" s="12">
        <v>2015.693408162781</v>
      </c>
      <c r="H238" s="12">
        <v>4995.7578338505673</v>
      </c>
      <c r="I238" s="12">
        <v>150</v>
      </c>
      <c r="J238" s="12"/>
      <c r="K238" s="12" t="s">
        <v>270</v>
      </c>
      <c r="L238" s="12" t="s">
        <v>948</v>
      </c>
      <c r="M238" s="12"/>
    </row>
    <row r="239" spans="1:13" x14ac:dyDescent="0.3">
      <c r="A239" s="12" t="s">
        <v>160</v>
      </c>
      <c r="B239" s="12" t="s">
        <v>160</v>
      </c>
      <c r="C239" s="12" t="s">
        <v>161</v>
      </c>
      <c r="D239" s="12" t="s">
        <v>271</v>
      </c>
      <c r="E239" s="12" t="s">
        <v>6534</v>
      </c>
      <c r="F239" s="12"/>
      <c r="G239" s="12">
        <v>1501.2621549128989</v>
      </c>
      <c r="H239" s="12">
        <v>2494.5286687783441</v>
      </c>
      <c r="I239" s="12">
        <v>150</v>
      </c>
      <c r="J239" s="12"/>
      <c r="K239" s="12" t="s">
        <v>270</v>
      </c>
      <c r="L239" s="12" t="s">
        <v>948</v>
      </c>
      <c r="M239" s="12"/>
    </row>
    <row r="240" spans="1:13" x14ac:dyDescent="0.3">
      <c r="A240" s="12" t="s">
        <v>160</v>
      </c>
      <c r="B240" s="12" t="s">
        <v>160</v>
      </c>
      <c r="C240" s="12" t="s">
        <v>161</v>
      </c>
      <c r="D240" s="12" t="s">
        <v>272</v>
      </c>
      <c r="E240" s="12" t="s">
        <v>6534</v>
      </c>
      <c r="F240" s="12"/>
      <c r="G240" s="12">
        <v>0.50230136437970951</v>
      </c>
      <c r="H240" s="12">
        <v>0.84952674944694118</v>
      </c>
      <c r="I240" s="12">
        <v>150</v>
      </c>
      <c r="J240" s="12"/>
      <c r="K240" s="12" t="s">
        <v>273</v>
      </c>
      <c r="L240" s="12" t="s">
        <v>948</v>
      </c>
      <c r="M240" s="12"/>
    </row>
    <row r="241" spans="1:13" x14ac:dyDescent="0.3">
      <c r="A241" s="12" t="s">
        <v>160</v>
      </c>
      <c r="B241" s="12" t="s">
        <v>160</v>
      </c>
      <c r="C241" s="12" t="s">
        <v>161</v>
      </c>
      <c r="D241" s="12" t="s">
        <v>282</v>
      </c>
      <c r="E241" s="12" t="s">
        <v>6533</v>
      </c>
      <c r="F241" s="12" t="s">
        <v>800</v>
      </c>
      <c r="G241" s="12"/>
      <c r="H241" s="12"/>
      <c r="I241" s="12"/>
      <c r="J241" s="12" t="s">
        <v>749</v>
      </c>
      <c r="K241" s="12" t="s">
        <v>283</v>
      </c>
      <c r="L241" s="12" t="s">
        <v>948</v>
      </c>
      <c r="M241" s="12"/>
    </row>
    <row r="242" spans="1:13" x14ac:dyDescent="0.3">
      <c r="A242" s="12" t="s">
        <v>160</v>
      </c>
      <c r="B242" s="12" t="s">
        <v>160</v>
      </c>
      <c r="C242" s="12" t="s">
        <v>161</v>
      </c>
      <c r="D242" s="12" t="s">
        <v>1875</v>
      </c>
      <c r="E242" s="12" t="s">
        <v>6534</v>
      </c>
      <c r="F242" s="12"/>
      <c r="G242" s="12">
        <v>0.7510274163891214</v>
      </c>
      <c r="H242" s="12">
        <v>0.91918779398715</v>
      </c>
      <c r="I242" s="12">
        <v>150</v>
      </c>
      <c r="J242" s="12"/>
      <c r="K242" s="12" t="s">
        <v>273</v>
      </c>
      <c r="L242" s="12" t="s">
        <v>948</v>
      </c>
      <c r="M242" s="12"/>
    </row>
    <row r="243" spans="1:13" x14ac:dyDescent="0.3">
      <c r="A243" s="12" t="s">
        <v>160</v>
      </c>
      <c r="B243" s="12" t="s">
        <v>160</v>
      </c>
      <c r="C243" s="12" t="s">
        <v>161</v>
      </c>
      <c r="D243" s="12" t="s">
        <v>1876</v>
      </c>
      <c r="E243" s="12" t="s">
        <v>6534</v>
      </c>
      <c r="F243" s="12"/>
      <c r="G243" s="12">
        <v>0.65119398132024731</v>
      </c>
      <c r="H243" s="12">
        <v>0.89987993699374724</v>
      </c>
      <c r="I243" s="12">
        <v>150</v>
      </c>
      <c r="J243" s="12"/>
      <c r="K243" s="12" t="s">
        <v>273</v>
      </c>
      <c r="L243" s="12" t="s">
        <v>948</v>
      </c>
      <c r="M243" s="12"/>
    </row>
    <row r="244" spans="1:13" x14ac:dyDescent="0.3">
      <c r="A244" s="12" t="s">
        <v>160</v>
      </c>
      <c r="B244" s="12" t="s">
        <v>160</v>
      </c>
      <c r="C244" s="12" t="s">
        <v>161</v>
      </c>
      <c r="D244" s="12" t="s">
        <v>1877</v>
      </c>
      <c r="E244" s="12" t="s">
        <v>6534</v>
      </c>
      <c r="F244" s="12"/>
      <c r="G244" s="12">
        <v>0.60089326793421505</v>
      </c>
      <c r="H244" s="12">
        <v>0.94845462500867805</v>
      </c>
      <c r="I244" s="12">
        <v>150</v>
      </c>
      <c r="J244" s="12"/>
      <c r="K244" s="12" t="s">
        <v>273</v>
      </c>
      <c r="L244" s="12" t="s">
        <v>948</v>
      </c>
      <c r="M244" s="12"/>
    </row>
    <row r="245" spans="1:13" x14ac:dyDescent="0.3">
      <c r="A245" s="12" t="s">
        <v>160</v>
      </c>
      <c r="B245" s="12" t="s">
        <v>160</v>
      </c>
      <c r="C245" s="12" t="s">
        <v>161</v>
      </c>
      <c r="D245" s="12" t="s">
        <v>1878</v>
      </c>
      <c r="E245" s="12" t="s">
        <v>6534</v>
      </c>
      <c r="F245" s="12"/>
      <c r="G245" s="12">
        <v>0.60038198088424355</v>
      </c>
      <c r="H245" s="12">
        <v>0.9476963824473652</v>
      </c>
      <c r="I245" s="12">
        <v>150</v>
      </c>
      <c r="J245" s="12"/>
      <c r="K245" s="12" t="s">
        <v>273</v>
      </c>
      <c r="L245" s="12" t="s">
        <v>948</v>
      </c>
      <c r="M245" s="12"/>
    </row>
    <row r="246" spans="1:13" x14ac:dyDescent="0.3">
      <c r="A246" s="12" t="s">
        <v>160</v>
      </c>
      <c r="B246" s="12" t="s">
        <v>160</v>
      </c>
      <c r="C246" s="12" t="s">
        <v>161</v>
      </c>
      <c r="D246" s="12" t="s">
        <v>1879</v>
      </c>
      <c r="E246" s="12" t="s">
        <v>6534</v>
      </c>
      <c r="F246" s="12"/>
      <c r="G246" s="12">
        <v>0.70004214020950417</v>
      </c>
      <c r="H246" s="12">
        <v>0.94966475133465322</v>
      </c>
      <c r="I246" s="12">
        <v>150</v>
      </c>
      <c r="J246" s="12"/>
      <c r="K246" s="12" t="s">
        <v>273</v>
      </c>
      <c r="L246" s="12" t="s">
        <v>948</v>
      </c>
      <c r="M246" s="12"/>
    </row>
    <row r="247" spans="1:13" x14ac:dyDescent="0.3">
      <c r="A247" s="12" t="s">
        <v>160</v>
      </c>
      <c r="B247" s="12" t="s">
        <v>160</v>
      </c>
      <c r="C247" s="12" t="s">
        <v>161</v>
      </c>
      <c r="D247" s="12" t="s">
        <v>1880</v>
      </c>
      <c r="E247" s="12" t="s">
        <v>6534</v>
      </c>
      <c r="F247" s="12"/>
      <c r="G247" s="12">
        <v>278.2778372787966</v>
      </c>
      <c r="H247" s="12">
        <v>303.41045166904291</v>
      </c>
      <c r="I247" s="12">
        <v>135</v>
      </c>
      <c r="J247" s="12"/>
      <c r="K247" s="12" t="s">
        <v>275</v>
      </c>
      <c r="L247" s="12" t="s">
        <v>948</v>
      </c>
      <c r="M247" s="12"/>
    </row>
    <row r="248" spans="1:13" x14ac:dyDescent="0.3">
      <c r="A248" s="12" t="s">
        <v>160</v>
      </c>
      <c r="B248" s="12" t="s">
        <v>160</v>
      </c>
      <c r="C248" s="12" t="s">
        <v>161</v>
      </c>
      <c r="D248" s="12" t="s">
        <v>67</v>
      </c>
      <c r="E248" s="12" t="s">
        <v>6533</v>
      </c>
      <c r="F248" s="12" t="s">
        <v>804</v>
      </c>
      <c r="G248" s="12"/>
      <c r="H248" s="12"/>
      <c r="I248" s="12"/>
      <c r="J248" s="12"/>
      <c r="K248" s="12" t="s">
        <v>273</v>
      </c>
      <c r="L248" s="12" t="s">
        <v>948</v>
      </c>
      <c r="M248" s="12"/>
    </row>
    <row r="249" spans="1:13" x14ac:dyDescent="0.3">
      <c r="A249" s="12" t="s">
        <v>170</v>
      </c>
      <c r="B249" s="12" t="s">
        <v>430</v>
      </c>
      <c r="C249" s="12" t="s">
        <v>721</v>
      </c>
      <c r="D249" s="12" t="s">
        <v>274</v>
      </c>
      <c r="E249" s="12" t="s">
        <v>6533</v>
      </c>
      <c r="F249" s="12" t="s">
        <v>794</v>
      </c>
      <c r="G249" s="12"/>
      <c r="H249" s="12"/>
      <c r="I249" s="12"/>
      <c r="J249" s="12" t="s">
        <v>749</v>
      </c>
      <c r="K249" s="12" t="s">
        <v>275</v>
      </c>
      <c r="L249" s="12" t="s">
        <v>948</v>
      </c>
      <c r="M249" s="12"/>
    </row>
    <row r="250" spans="1:13" x14ac:dyDescent="0.3">
      <c r="A250" s="12" t="s">
        <v>170</v>
      </c>
      <c r="B250" s="12" t="s">
        <v>430</v>
      </c>
      <c r="C250" s="12" t="s">
        <v>721</v>
      </c>
      <c r="D250" s="12" t="s">
        <v>276</v>
      </c>
      <c r="E250" s="12" t="s">
        <v>6533</v>
      </c>
      <c r="F250" s="12" t="s">
        <v>795</v>
      </c>
      <c r="G250" s="12"/>
      <c r="H250" s="12"/>
      <c r="I250" s="12"/>
      <c r="J250" s="12" t="s">
        <v>749</v>
      </c>
      <c r="K250" s="12" t="s">
        <v>275</v>
      </c>
      <c r="L250" s="12" t="s">
        <v>948</v>
      </c>
      <c r="M250" s="12"/>
    </row>
    <row r="251" spans="1:13" x14ac:dyDescent="0.3">
      <c r="A251" s="12" t="s">
        <v>170</v>
      </c>
      <c r="B251" s="12" t="s">
        <v>430</v>
      </c>
      <c r="C251" s="12" t="s">
        <v>721</v>
      </c>
      <c r="D251" s="12" t="s">
        <v>269</v>
      </c>
      <c r="E251" s="12" t="s">
        <v>6534</v>
      </c>
      <c r="F251" s="12"/>
      <c r="G251" s="12">
        <v>2000.1133620254129</v>
      </c>
      <c r="H251" s="12">
        <v>4986.5809584552844</v>
      </c>
      <c r="I251" s="12">
        <v>120</v>
      </c>
      <c r="J251" s="12"/>
      <c r="K251" s="12" t="s">
        <v>270</v>
      </c>
      <c r="L251" s="12" t="s">
        <v>948</v>
      </c>
      <c r="M251" s="12"/>
    </row>
    <row r="252" spans="1:13" x14ac:dyDescent="0.3">
      <c r="A252" s="12" t="s">
        <v>170</v>
      </c>
      <c r="B252" s="12" t="s">
        <v>430</v>
      </c>
      <c r="C252" s="12" t="s">
        <v>721</v>
      </c>
      <c r="D252" s="12" t="s">
        <v>271</v>
      </c>
      <c r="E252" s="12" t="s">
        <v>6534</v>
      </c>
      <c r="F252" s="12"/>
      <c r="G252" s="12">
        <v>202.1395101625765</v>
      </c>
      <c r="H252" s="12">
        <v>1989.7169217922819</v>
      </c>
      <c r="I252" s="12">
        <v>120</v>
      </c>
      <c r="J252" s="12"/>
      <c r="K252" s="12" t="s">
        <v>270</v>
      </c>
      <c r="L252" s="12" t="s">
        <v>948</v>
      </c>
      <c r="M252" s="12"/>
    </row>
    <row r="253" spans="1:13" x14ac:dyDescent="0.3">
      <c r="A253" s="12" t="s">
        <v>170</v>
      </c>
      <c r="B253" s="12" t="s">
        <v>430</v>
      </c>
      <c r="C253" s="12" t="s">
        <v>721</v>
      </c>
      <c r="D253" s="12" t="s">
        <v>272</v>
      </c>
      <c r="E253" s="12" t="s">
        <v>6534</v>
      </c>
      <c r="F253" s="12"/>
      <c r="G253" s="12">
        <v>0.50123860519614927</v>
      </c>
      <c r="H253" s="12">
        <v>0.84895018008500522</v>
      </c>
      <c r="I253" s="12">
        <v>120</v>
      </c>
      <c r="J253" s="12"/>
      <c r="K253" s="12" t="s">
        <v>273</v>
      </c>
      <c r="L253" s="12" t="s">
        <v>948</v>
      </c>
      <c r="M253" s="12"/>
    </row>
    <row r="254" spans="1:13" x14ac:dyDescent="0.3">
      <c r="A254" s="12" t="s">
        <v>170</v>
      </c>
      <c r="B254" s="12" t="s">
        <v>430</v>
      </c>
      <c r="C254" s="12" t="s">
        <v>721</v>
      </c>
      <c r="D254" s="12" t="s">
        <v>282</v>
      </c>
      <c r="E254" s="12" t="s">
        <v>6533</v>
      </c>
      <c r="F254" s="12" t="s">
        <v>800</v>
      </c>
      <c r="G254" s="12"/>
      <c r="H254" s="12"/>
      <c r="I254" s="12"/>
      <c r="J254" s="12" t="s">
        <v>749</v>
      </c>
      <c r="K254" s="12" t="s">
        <v>283</v>
      </c>
      <c r="L254" s="12" t="s">
        <v>948</v>
      </c>
      <c r="M254" s="12"/>
    </row>
    <row r="255" spans="1:13" x14ac:dyDescent="0.3">
      <c r="A255" s="12" t="s">
        <v>170</v>
      </c>
      <c r="B255" s="12" t="s">
        <v>430</v>
      </c>
      <c r="C255" s="12" t="s">
        <v>721</v>
      </c>
      <c r="D255" s="12" t="s">
        <v>1875</v>
      </c>
      <c r="E255" s="12" t="s">
        <v>6534</v>
      </c>
      <c r="F255" s="12"/>
      <c r="G255" s="12">
        <v>0.40061574322136978</v>
      </c>
      <c r="H255" s="12">
        <v>0.94745388906772898</v>
      </c>
      <c r="I255" s="12">
        <v>120</v>
      </c>
      <c r="J255" s="12"/>
      <c r="K255" s="12" t="s">
        <v>273</v>
      </c>
      <c r="L255" s="12" t="s">
        <v>948</v>
      </c>
      <c r="M255" s="12"/>
    </row>
    <row r="256" spans="1:13" x14ac:dyDescent="0.3">
      <c r="A256" s="12" t="s">
        <v>170</v>
      </c>
      <c r="B256" s="12" t="s">
        <v>430</v>
      </c>
      <c r="C256" s="12" t="s">
        <v>721</v>
      </c>
      <c r="D256" s="12" t="s">
        <v>1876</v>
      </c>
      <c r="E256" s="12" t="s">
        <v>6534</v>
      </c>
      <c r="F256" s="12"/>
      <c r="G256" s="12">
        <v>0.40430223421667277</v>
      </c>
      <c r="H256" s="12">
        <v>0.94919009678569877</v>
      </c>
      <c r="I256" s="12">
        <v>120</v>
      </c>
      <c r="J256" s="12"/>
      <c r="K256" s="12" t="s">
        <v>273</v>
      </c>
      <c r="L256" s="12" t="s">
        <v>948</v>
      </c>
      <c r="M256" s="12"/>
    </row>
    <row r="257" spans="1:13" x14ac:dyDescent="0.3">
      <c r="A257" s="12" t="s">
        <v>170</v>
      </c>
      <c r="B257" s="12" t="s">
        <v>430</v>
      </c>
      <c r="C257" s="12" t="s">
        <v>721</v>
      </c>
      <c r="D257" s="12" t="s">
        <v>1877</v>
      </c>
      <c r="E257" s="12" t="s">
        <v>6534</v>
      </c>
      <c r="F257" s="12"/>
      <c r="G257" s="12">
        <v>0.40441009579851528</v>
      </c>
      <c r="H257" s="12">
        <v>0.94918663079258636</v>
      </c>
      <c r="I257" s="12">
        <v>120</v>
      </c>
      <c r="J257" s="12"/>
      <c r="K257" s="12" t="s">
        <v>273</v>
      </c>
      <c r="L257" s="12" t="s">
        <v>948</v>
      </c>
      <c r="M257" s="12"/>
    </row>
    <row r="258" spans="1:13" x14ac:dyDescent="0.3">
      <c r="A258" s="12" t="s">
        <v>170</v>
      </c>
      <c r="B258" s="12" t="s">
        <v>430</v>
      </c>
      <c r="C258" s="12" t="s">
        <v>721</v>
      </c>
      <c r="D258" s="12" t="s">
        <v>1878</v>
      </c>
      <c r="E258" s="12" t="s">
        <v>6534</v>
      </c>
      <c r="F258" s="12"/>
      <c r="G258" s="12">
        <v>0.4038396383266814</v>
      </c>
      <c r="H258" s="12">
        <v>0.94790264155384396</v>
      </c>
      <c r="I258" s="12">
        <v>120</v>
      </c>
      <c r="J258" s="12"/>
      <c r="K258" s="12" t="s">
        <v>273</v>
      </c>
      <c r="L258" s="12" t="s">
        <v>948</v>
      </c>
      <c r="M258" s="12"/>
    </row>
    <row r="259" spans="1:13" x14ac:dyDescent="0.3">
      <c r="A259" s="12" t="s">
        <v>170</v>
      </c>
      <c r="B259" s="12" t="s">
        <v>430</v>
      </c>
      <c r="C259" s="12" t="s">
        <v>721</v>
      </c>
      <c r="D259" s="12" t="s">
        <v>1879</v>
      </c>
      <c r="E259" s="12" t="s">
        <v>6534</v>
      </c>
      <c r="F259" s="12"/>
      <c r="G259" s="12">
        <v>0.40086773150261801</v>
      </c>
      <c r="H259" s="12">
        <v>0.94578817753558442</v>
      </c>
      <c r="I259" s="12">
        <v>120</v>
      </c>
      <c r="J259" s="12"/>
      <c r="K259" s="12" t="s">
        <v>273</v>
      </c>
      <c r="L259" s="12" t="s">
        <v>948</v>
      </c>
      <c r="M259" s="12"/>
    </row>
    <row r="260" spans="1:13" x14ac:dyDescent="0.3">
      <c r="A260" s="12" t="s">
        <v>170</v>
      </c>
      <c r="B260" s="12" t="s">
        <v>430</v>
      </c>
      <c r="C260" s="12" t="s">
        <v>721</v>
      </c>
      <c r="D260" s="12" t="s">
        <v>1880</v>
      </c>
      <c r="E260" s="12" t="s">
        <v>6533</v>
      </c>
      <c r="F260" s="12" t="s">
        <v>795</v>
      </c>
      <c r="G260" s="12"/>
      <c r="H260" s="12"/>
      <c r="I260" s="12"/>
      <c r="J260" s="12" t="s">
        <v>749</v>
      </c>
      <c r="K260" s="12" t="s">
        <v>275</v>
      </c>
      <c r="L260" s="12" t="s">
        <v>948</v>
      </c>
      <c r="M260" s="12"/>
    </row>
    <row r="261" spans="1:13" x14ac:dyDescent="0.3">
      <c r="A261" s="12" t="s">
        <v>170</v>
      </c>
      <c r="B261" s="12" t="s">
        <v>430</v>
      </c>
      <c r="C261" s="12" t="s">
        <v>721</v>
      </c>
      <c r="D261" s="12" t="s">
        <v>67</v>
      </c>
      <c r="E261" s="12" t="s">
        <v>6533</v>
      </c>
      <c r="F261" s="12" t="s">
        <v>804</v>
      </c>
      <c r="G261" s="12"/>
      <c r="H261" s="12"/>
      <c r="I261" s="12"/>
      <c r="J261" s="12"/>
      <c r="K261" s="12" t="s">
        <v>273</v>
      </c>
      <c r="L261" s="12" t="s">
        <v>948</v>
      </c>
      <c r="M261" s="12"/>
    </row>
    <row r="262" spans="1:13" x14ac:dyDescent="0.3">
      <c r="A262" s="12" t="s">
        <v>170</v>
      </c>
      <c r="B262" s="12" t="s">
        <v>439</v>
      </c>
      <c r="C262" s="12" t="s">
        <v>724</v>
      </c>
      <c r="D262" s="12" t="s">
        <v>274</v>
      </c>
      <c r="E262" s="12" t="s">
        <v>6534</v>
      </c>
      <c r="F262" s="12"/>
      <c r="G262" s="12">
        <v>381.6092851157166</v>
      </c>
      <c r="H262" s="12">
        <v>621.7738417497867</v>
      </c>
      <c r="I262" s="12">
        <v>120</v>
      </c>
      <c r="J262" s="12"/>
      <c r="K262" s="12" t="s">
        <v>275</v>
      </c>
      <c r="L262" s="12" t="s">
        <v>948</v>
      </c>
      <c r="M262" s="12"/>
    </row>
    <row r="263" spans="1:13" x14ac:dyDescent="0.3">
      <c r="A263" s="12" t="s">
        <v>170</v>
      </c>
      <c r="B263" s="12" t="s">
        <v>439</v>
      </c>
      <c r="C263" s="12" t="s">
        <v>724</v>
      </c>
      <c r="D263" s="12" t="s">
        <v>276</v>
      </c>
      <c r="E263" s="12" t="s">
        <v>6534</v>
      </c>
      <c r="F263" s="12"/>
      <c r="G263" s="12">
        <v>278.26247909729989</v>
      </c>
      <c r="H263" s="12">
        <v>303.47908172359928</v>
      </c>
      <c r="I263" s="12">
        <v>120</v>
      </c>
      <c r="J263" s="12"/>
      <c r="K263" s="12" t="s">
        <v>275</v>
      </c>
      <c r="L263" s="12" t="s">
        <v>948</v>
      </c>
      <c r="M263" s="12"/>
    </row>
    <row r="264" spans="1:13" x14ac:dyDescent="0.3">
      <c r="A264" s="12" t="s">
        <v>170</v>
      </c>
      <c r="B264" s="12" t="s">
        <v>439</v>
      </c>
      <c r="C264" s="12" t="s">
        <v>724</v>
      </c>
      <c r="D264" s="12" t="s">
        <v>269</v>
      </c>
      <c r="E264" s="12" t="s">
        <v>6533</v>
      </c>
      <c r="F264" s="12" t="s">
        <v>805</v>
      </c>
      <c r="G264" s="12"/>
      <c r="H264" s="12"/>
      <c r="I264" s="12"/>
      <c r="J264" s="12" t="s">
        <v>749</v>
      </c>
      <c r="K264" s="12" t="s">
        <v>270</v>
      </c>
      <c r="L264" s="12" t="s">
        <v>948</v>
      </c>
      <c r="M264" s="12"/>
    </row>
    <row r="265" spans="1:13" x14ac:dyDescent="0.3">
      <c r="A265" s="12" t="s">
        <v>170</v>
      </c>
      <c r="B265" s="12" t="s">
        <v>439</v>
      </c>
      <c r="C265" s="12" t="s">
        <v>724</v>
      </c>
      <c r="D265" s="12" t="s">
        <v>271</v>
      </c>
      <c r="E265" s="12" t="s">
        <v>6533</v>
      </c>
      <c r="F265" s="12" t="s">
        <v>798</v>
      </c>
      <c r="G265" s="12"/>
      <c r="H265" s="12"/>
      <c r="I265" s="12"/>
      <c r="J265" s="12" t="s">
        <v>749</v>
      </c>
      <c r="K265" s="12" t="s">
        <v>270</v>
      </c>
      <c r="L265" s="12" t="s">
        <v>948</v>
      </c>
      <c r="M265" s="12"/>
    </row>
    <row r="266" spans="1:13" x14ac:dyDescent="0.3">
      <c r="A266" s="12" t="s">
        <v>170</v>
      </c>
      <c r="B266" s="12" t="s">
        <v>439</v>
      </c>
      <c r="C266" s="12" t="s">
        <v>724</v>
      </c>
      <c r="D266" s="12" t="s">
        <v>272</v>
      </c>
      <c r="E266" s="12" t="s">
        <v>6534</v>
      </c>
      <c r="F266" s="12"/>
      <c r="G266" s="12">
        <v>0.50084274026185438</v>
      </c>
      <c r="H266" s="12">
        <v>0.84731540281172935</v>
      </c>
      <c r="I266" s="12">
        <v>120</v>
      </c>
      <c r="J266" s="12"/>
      <c r="K266" s="12" t="s">
        <v>273</v>
      </c>
      <c r="L266" s="12" t="s">
        <v>948</v>
      </c>
      <c r="M266" s="12"/>
    </row>
    <row r="267" spans="1:13" x14ac:dyDescent="0.3">
      <c r="A267" s="12" t="s">
        <v>170</v>
      </c>
      <c r="B267" s="12" t="s">
        <v>439</v>
      </c>
      <c r="C267" s="12" t="s">
        <v>724</v>
      </c>
      <c r="D267" s="12" t="s">
        <v>282</v>
      </c>
      <c r="E267" s="12" t="s">
        <v>6533</v>
      </c>
      <c r="F267" s="12" t="s">
        <v>800</v>
      </c>
      <c r="G267" s="12"/>
      <c r="H267" s="12"/>
      <c r="I267" s="12"/>
      <c r="J267" s="12" t="s">
        <v>749</v>
      </c>
      <c r="K267" s="12" t="s">
        <v>283</v>
      </c>
      <c r="L267" s="12" t="s">
        <v>948</v>
      </c>
      <c r="M267" s="12"/>
    </row>
    <row r="268" spans="1:13" x14ac:dyDescent="0.3">
      <c r="A268" s="12" t="s">
        <v>170</v>
      </c>
      <c r="B268" s="12" t="s">
        <v>439</v>
      </c>
      <c r="C268" s="12" t="s">
        <v>724</v>
      </c>
      <c r="D268" s="12" t="s">
        <v>1875</v>
      </c>
      <c r="E268" s="12" t="s">
        <v>6534</v>
      </c>
      <c r="F268" s="12"/>
      <c r="G268" s="12">
        <v>0.40267557347165539</v>
      </c>
      <c r="H268" s="12">
        <v>0.94858393495650684</v>
      </c>
      <c r="I268" s="12">
        <v>120</v>
      </c>
      <c r="J268" s="12"/>
      <c r="K268" s="12" t="s">
        <v>273</v>
      </c>
      <c r="L268" s="12" t="s">
        <v>948</v>
      </c>
      <c r="M268" s="12"/>
    </row>
    <row r="269" spans="1:13" x14ac:dyDescent="0.3">
      <c r="A269" s="12" t="s">
        <v>170</v>
      </c>
      <c r="B269" s="12" t="s">
        <v>439</v>
      </c>
      <c r="C269" s="12" t="s">
        <v>724</v>
      </c>
      <c r="D269" s="12" t="s">
        <v>1876</v>
      </c>
      <c r="E269" s="12" t="s">
        <v>6534</v>
      </c>
      <c r="F269" s="12"/>
      <c r="G269" s="12">
        <v>0.40103312504976441</v>
      </c>
      <c r="H269" s="12">
        <v>0.94709708067950582</v>
      </c>
      <c r="I269" s="12">
        <v>120</v>
      </c>
      <c r="J269" s="12"/>
      <c r="K269" s="12" t="s">
        <v>273</v>
      </c>
      <c r="L269" s="12" t="s">
        <v>948</v>
      </c>
      <c r="M269" s="12"/>
    </row>
    <row r="270" spans="1:13" x14ac:dyDescent="0.3">
      <c r="A270" s="12" t="s">
        <v>170</v>
      </c>
      <c r="B270" s="12" t="s">
        <v>439</v>
      </c>
      <c r="C270" s="12" t="s">
        <v>724</v>
      </c>
      <c r="D270" s="12" t="s">
        <v>1877</v>
      </c>
      <c r="E270" s="12" t="s">
        <v>6534</v>
      </c>
      <c r="F270" s="12"/>
      <c r="G270" s="12">
        <v>0.40216808095063122</v>
      </c>
      <c r="H270" s="12">
        <v>0.94755076141770178</v>
      </c>
      <c r="I270" s="12">
        <v>120</v>
      </c>
      <c r="J270" s="12"/>
      <c r="K270" s="12" t="s">
        <v>273</v>
      </c>
      <c r="L270" s="12" t="s">
        <v>948</v>
      </c>
      <c r="M270" s="12"/>
    </row>
    <row r="271" spans="1:13" x14ac:dyDescent="0.3">
      <c r="A271" s="12" t="s">
        <v>170</v>
      </c>
      <c r="B271" s="12" t="s">
        <v>439</v>
      </c>
      <c r="C271" s="12" t="s">
        <v>724</v>
      </c>
      <c r="D271" s="12" t="s">
        <v>1878</v>
      </c>
      <c r="E271" s="12" t="s">
        <v>6534</v>
      </c>
      <c r="F271" s="12"/>
      <c r="G271" s="12">
        <v>0.40227834130164991</v>
      </c>
      <c r="H271" s="12">
        <v>0.94660198385652117</v>
      </c>
      <c r="I271" s="12">
        <v>120</v>
      </c>
      <c r="J271" s="12"/>
      <c r="K271" s="12" t="s">
        <v>273</v>
      </c>
      <c r="L271" s="12" t="s">
        <v>948</v>
      </c>
      <c r="M271" s="12"/>
    </row>
    <row r="272" spans="1:13" x14ac:dyDescent="0.3">
      <c r="A272" s="12" t="s">
        <v>170</v>
      </c>
      <c r="B272" s="12" t="s">
        <v>439</v>
      </c>
      <c r="C272" s="12" t="s">
        <v>724</v>
      </c>
      <c r="D272" s="12" t="s">
        <v>1879</v>
      </c>
      <c r="E272" s="12" t="s">
        <v>6534</v>
      </c>
      <c r="F272" s="12"/>
      <c r="G272" s="12">
        <v>0.40209211182061588</v>
      </c>
      <c r="H272" s="12">
        <v>0.94739581196719758</v>
      </c>
      <c r="I272" s="12">
        <v>120</v>
      </c>
      <c r="J272" s="12"/>
      <c r="K272" s="12" t="s">
        <v>273</v>
      </c>
      <c r="L272" s="12" t="s">
        <v>948</v>
      </c>
      <c r="M272" s="12"/>
    </row>
    <row r="273" spans="1:13" x14ac:dyDescent="0.3">
      <c r="A273" s="12" t="s">
        <v>170</v>
      </c>
      <c r="B273" s="12" t="s">
        <v>439</v>
      </c>
      <c r="C273" s="12" t="s">
        <v>724</v>
      </c>
      <c r="D273" s="12" t="s">
        <v>1880</v>
      </c>
      <c r="E273" s="12" t="s">
        <v>6534</v>
      </c>
      <c r="F273" s="12"/>
      <c r="G273" s="12">
        <v>278.26247909729989</v>
      </c>
      <c r="H273" s="12">
        <v>303.47908172359928</v>
      </c>
      <c r="I273" s="12">
        <v>120</v>
      </c>
      <c r="J273" s="12"/>
      <c r="K273" s="12" t="s">
        <v>275</v>
      </c>
      <c r="L273" s="12" t="s">
        <v>948</v>
      </c>
      <c r="M273" s="12"/>
    </row>
    <row r="274" spans="1:13" x14ac:dyDescent="0.3">
      <c r="A274" s="12" t="s">
        <v>170</v>
      </c>
      <c r="B274" s="12" t="s">
        <v>439</v>
      </c>
      <c r="C274" s="12" t="s">
        <v>724</v>
      </c>
      <c r="D274" s="12" t="s">
        <v>67</v>
      </c>
      <c r="E274" s="12" t="s">
        <v>6533</v>
      </c>
      <c r="F274" s="12" t="s">
        <v>804</v>
      </c>
      <c r="G274" s="12"/>
      <c r="H274" s="12"/>
      <c r="I274" s="12"/>
      <c r="J274" s="12"/>
      <c r="K274" s="12" t="s">
        <v>273</v>
      </c>
      <c r="L274" s="12" t="s">
        <v>948</v>
      </c>
      <c r="M274" s="12"/>
    </row>
    <row r="275" spans="1:13" x14ac:dyDescent="0.3">
      <c r="A275" s="12" t="s">
        <v>170</v>
      </c>
      <c r="B275" s="12" t="s">
        <v>448</v>
      </c>
      <c r="C275" s="12" t="s">
        <v>728</v>
      </c>
      <c r="D275" s="12" t="s">
        <v>274</v>
      </c>
      <c r="E275" s="12" t="s">
        <v>6534</v>
      </c>
      <c r="F275" s="12"/>
      <c r="G275" s="12">
        <v>380.23379705491311</v>
      </c>
      <c r="H275" s="12">
        <v>622.40103948422188</v>
      </c>
      <c r="I275" s="12">
        <v>120</v>
      </c>
      <c r="J275" s="12"/>
      <c r="K275" s="12" t="s">
        <v>275</v>
      </c>
      <c r="L275" s="12" t="s">
        <v>948</v>
      </c>
      <c r="M275" s="12"/>
    </row>
    <row r="276" spans="1:13" x14ac:dyDescent="0.3">
      <c r="A276" s="12" t="s">
        <v>170</v>
      </c>
      <c r="B276" s="12" t="s">
        <v>448</v>
      </c>
      <c r="C276" s="12" t="s">
        <v>728</v>
      </c>
      <c r="D276" s="12" t="s">
        <v>276</v>
      </c>
      <c r="E276" s="12" t="s">
        <v>6533</v>
      </c>
      <c r="F276" s="12" t="s">
        <v>795</v>
      </c>
      <c r="G276" s="12"/>
      <c r="H276" s="12"/>
      <c r="I276" s="12"/>
      <c r="J276" s="12" t="s">
        <v>749</v>
      </c>
      <c r="K276" s="12" t="s">
        <v>275</v>
      </c>
      <c r="L276" s="12" t="s">
        <v>948</v>
      </c>
      <c r="M276" s="12"/>
    </row>
    <row r="277" spans="1:13" x14ac:dyDescent="0.3">
      <c r="A277" s="12" t="s">
        <v>170</v>
      </c>
      <c r="B277" s="12" t="s">
        <v>448</v>
      </c>
      <c r="C277" s="12" t="s">
        <v>728</v>
      </c>
      <c r="D277" s="12" t="s">
        <v>269</v>
      </c>
      <c r="E277" s="12" t="s">
        <v>6533</v>
      </c>
      <c r="F277" s="12" t="s">
        <v>805</v>
      </c>
      <c r="G277" s="12"/>
      <c r="H277" s="12"/>
      <c r="I277" s="12"/>
      <c r="J277" s="12" t="s">
        <v>749</v>
      </c>
      <c r="K277" s="12" t="s">
        <v>270</v>
      </c>
      <c r="L277" s="12" t="s">
        <v>948</v>
      </c>
      <c r="M277" s="12"/>
    </row>
    <row r="278" spans="1:13" x14ac:dyDescent="0.3">
      <c r="A278" s="12" t="s">
        <v>170</v>
      </c>
      <c r="B278" s="12" t="s">
        <v>448</v>
      </c>
      <c r="C278" s="12" t="s">
        <v>728</v>
      </c>
      <c r="D278" s="12" t="s">
        <v>271</v>
      </c>
      <c r="E278" s="12" t="s">
        <v>6533</v>
      </c>
      <c r="F278" s="12" t="s">
        <v>798</v>
      </c>
      <c r="G278" s="12"/>
      <c r="H278" s="12"/>
      <c r="I278" s="12"/>
      <c r="J278" s="12" t="s">
        <v>749</v>
      </c>
      <c r="K278" s="12" t="s">
        <v>270</v>
      </c>
      <c r="L278" s="12" t="s">
        <v>948</v>
      </c>
      <c r="M278" s="12"/>
    </row>
    <row r="279" spans="1:13" x14ac:dyDescent="0.3">
      <c r="A279" s="12" t="s">
        <v>170</v>
      </c>
      <c r="B279" s="12" t="s">
        <v>448</v>
      </c>
      <c r="C279" s="12" t="s">
        <v>728</v>
      </c>
      <c r="D279" s="12" t="s">
        <v>272</v>
      </c>
      <c r="E279" s="12" t="s">
        <v>6534</v>
      </c>
      <c r="F279" s="12"/>
      <c r="G279" s="12">
        <v>0.50023468124262538</v>
      </c>
      <c r="H279" s="12">
        <v>0.84931577333408281</v>
      </c>
      <c r="I279" s="12">
        <v>120</v>
      </c>
      <c r="J279" s="12"/>
      <c r="K279" s="12" t="s">
        <v>273</v>
      </c>
      <c r="L279" s="12" t="s">
        <v>948</v>
      </c>
      <c r="M279" s="12"/>
    </row>
    <row r="280" spans="1:13" x14ac:dyDescent="0.3">
      <c r="A280" s="12" t="s">
        <v>170</v>
      </c>
      <c r="B280" s="12" t="s">
        <v>448</v>
      </c>
      <c r="C280" s="12" t="s">
        <v>728</v>
      </c>
      <c r="D280" s="12" t="s">
        <v>282</v>
      </c>
      <c r="E280" s="12" t="s">
        <v>6533</v>
      </c>
      <c r="F280" s="12" t="s">
        <v>800</v>
      </c>
      <c r="G280" s="12"/>
      <c r="H280" s="12"/>
      <c r="I280" s="12"/>
      <c r="J280" s="12" t="s">
        <v>749</v>
      </c>
      <c r="K280" s="12" t="s">
        <v>283</v>
      </c>
      <c r="L280" s="12" t="s">
        <v>948</v>
      </c>
      <c r="M280" s="12"/>
    </row>
    <row r="281" spans="1:13" x14ac:dyDescent="0.3">
      <c r="A281" s="12" t="s">
        <v>170</v>
      </c>
      <c r="B281" s="12" t="s">
        <v>448</v>
      </c>
      <c r="C281" s="12" t="s">
        <v>728</v>
      </c>
      <c r="D281" s="12" t="s">
        <v>1875</v>
      </c>
      <c r="E281" s="12" t="s">
        <v>6534</v>
      </c>
      <c r="F281" s="12"/>
      <c r="G281" s="12">
        <v>0.40006015791232941</v>
      </c>
      <c r="H281" s="12">
        <v>0.94769086916238399</v>
      </c>
      <c r="I281" s="12">
        <v>120</v>
      </c>
      <c r="J281" s="12"/>
      <c r="K281" s="12" t="s">
        <v>273</v>
      </c>
      <c r="L281" s="12" t="s">
        <v>948</v>
      </c>
      <c r="M281" s="12"/>
    </row>
    <row r="282" spans="1:13" x14ac:dyDescent="0.3">
      <c r="A282" s="12" t="s">
        <v>170</v>
      </c>
      <c r="B282" s="12" t="s">
        <v>448</v>
      </c>
      <c r="C282" s="12" t="s">
        <v>728</v>
      </c>
      <c r="D282" s="12" t="s">
        <v>1876</v>
      </c>
      <c r="E282" s="12" t="s">
        <v>6534</v>
      </c>
      <c r="F282" s="12"/>
      <c r="G282" s="12">
        <v>0.40360243702078491</v>
      </c>
      <c r="H282" s="12">
        <v>0.94548381024764083</v>
      </c>
      <c r="I282" s="12">
        <v>120</v>
      </c>
      <c r="J282" s="12"/>
      <c r="K282" s="12" t="s">
        <v>273</v>
      </c>
      <c r="L282" s="12" t="s">
        <v>948</v>
      </c>
      <c r="M282" s="12"/>
    </row>
    <row r="283" spans="1:13" x14ac:dyDescent="0.3">
      <c r="A283" s="12" t="s">
        <v>170</v>
      </c>
      <c r="B283" s="12" t="s">
        <v>448</v>
      </c>
      <c r="C283" s="12" t="s">
        <v>728</v>
      </c>
      <c r="D283" s="12" t="s">
        <v>1877</v>
      </c>
      <c r="E283" s="12" t="s">
        <v>6534</v>
      </c>
      <c r="F283" s="12"/>
      <c r="G283" s="12">
        <v>0.40015633749437918</v>
      </c>
      <c r="H283" s="12">
        <v>0.94888352362954198</v>
      </c>
      <c r="I283" s="12">
        <v>120</v>
      </c>
      <c r="J283" s="12"/>
      <c r="K283" s="12" t="s">
        <v>273</v>
      </c>
      <c r="L283" s="12" t="s">
        <v>948</v>
      </c>
      <c r="M283" s="12"/>
    </row>
    <row r="284" spans="1:13" x14ac:dyDescent="0.3">
      <c r="A284" s="12" t="s">
        <v>170</v>
      </c>
      <c r="B284" s="12" t="s">
        <v>448</v>
      </c>
      <c r="C284" s="12" t="s">
        <v>728</v>
      </c>
      <c r="D284" s="12" t="s">
        <v>1878</v>
      </c>
      <c r="E284" s="12" t="s">
        <v>6534</v>
      </c>
      <c r="F284" s="12"/>
      <c r="G284" s="12">
        <v>0.4021592121223348</v>
      </c>
      <c r="H284" s="12">
        <v>0.9485961496306804</v>
      </c>
      <c r="I284" s="12">
        <v>120</v>
      </c>
      <c r="J284" s="12"/>
      <c r="K284" s="12" t="s">
        <v>273</v>
      </c>
      <c r="L284" s="12" t="s">
        <v>948</v>
      </c>
      <c r="M284" s="12"/>
    </row>
    <row r="285" spans="1:13" x14ac:dyDescent="0.3">
      <c r="A285" s="12" t="s">
        <v>170</v>
      </c>
      <c r="B285" s="12" t="s">
        <v>448</v>
      </c>
      <c r="C285" s="12" t="s">
        <v>728</v>
      </c>
      <c r="D285" s="12" t="s">
        <v>1879</v>
      </c>
      <c r="E285" s="12" t="s">
        <v>6534</v>
      </c>
      <c r="F285" s="12"/>
      <c r="G285" s="12">
        <v>0.40423657507285521</v>
      </c>
      <c r="H285" s="12">
        <v>0.94685105384449797</v>
      </c>
      <c r="I285" s="12">
        <v>120</v>
      </c>
      <c r="J285" s="12"/>
      <c r="K285" s="12" t="s">
        <v>273</v>
      </c>
      <c r="L285" s="12" t="s">
        <v>948</v>
      </c>
      <c r="M285" s="12"/>
    </row>
    <row r="286" spans="1:13" x14ac:dyDescent="0.3">
      <c r="A286" s="12" t="s">
        <v>170</v>
      </c>
      <c r="B286" s="12" t="s">
        <v>448</v>
      </c>
      <c r="C286" s="12" t="s">
        <v>728</v>
      </c>
      <c r="D286" s="12" t="s">
        <v>1880</v>
      </c>
      <c r="E286" s="12" t="s">
        <v>6533</v>
      </c>
      <c r="F286" s="12" t="s">
        <v>795</v>
      </c>
      <c r="G286" s="12"/>
      <c r="H286" s="12"/>
      <c r="I286" s="12"/>
      <c r="J286" s="12" t="s">
        <v>749</v>
      </c>
      <c r="K286" s="12" t="s">
        <v>275</v>
      </c>
      <c r="L286" s="12" t="s">
        <v>948</v>
      </c>
      <c r="M286" s="12"/>
    </row>
    <row r="287" spans="1:13" x14ac:dyDescent="0.3">
      <c r="A287" s="12" t="s">
        <v>170</v>
      </c>
      <c r="B287" s="12" t="s">
        <v>448</v>
      </c>
      <c r="C287" s="12" t="s">
        <v>728</v>
      </c>
      <c r="D287" s="12" t="s">
        <v>67</v>
      </c>
      <c r="E287" s="12" t="s">
        <v>6533</v>
      </c>
      <c r="F287" s="12" t="s">
        <v>804</v>
      </c>
      <c r="G287" s="12"/>
      <c r="H287" s="12"/>
      <c r="I287" s="12"/>
      <c r="J287" s="12"/>
      <c r="K287" s="12" t="s">
        <v>273</v>
      </c>
      <c r="L287" s="12" t="s">
        <v>948</v>
      </c>
      <c r="M287" s="12"/>
    </row>
    <row r="288" spans="1:13" x14ac:dyDescent="0.3">
      <c r="A288" s="12" t="s">
        <v>170</v>
      </c>
      <c r="B288" s="12" t="s">
        <v>456</v>
      </c>
      <c r="C288" s="12" t="s">
        <v>731</v>
      </c>
      <c r="D288" s="12" t="s">
        <v>274</v>
      </c>
      <c r="E288" s="12" t="s">
        <v>6533</v>
      </c>
      <c r="F288" s="12" t="s">
        <v>794</v>
      </c>
      <c r="G288" s="12"/>
      <c r="H288" s="12"/>
      <c r="I288" s="12"/>
      <c r="J288" s="12" t="s">
        <v>749</v>
      </c>
      <c r="K288" s="12" t="s">
        <v>275</v>
      </c>
      <c r="L288" s="12" t="s">
        <v>948</v>
      </c>
      <c r="M288" s="12"/>
    </row>
    <row r="289" spans="1:13" x14ac:dyDescent="0.3">
      <c r="A289" s="12" t="s">
        <v>170</v>
      </c>
      <c r="B289" s="12" t="s">
        <v>456</v>
      </c>
      <c r="C289" s="12" t="s">
        <v>731</v>
      </c>
      <c r="D289" s="12" t="s">
        <v>276</v>
      </c>
      <c r="E289" s="12" t="s">
        <v>6533</v>
      </c>
      <c r="F289" s="12" t="s">
        <v>795</v>
      </c>
      <c r="G289" s="12"/>
      <c r="H289" s="12"/>
      <c r="I289" s="12"/>
      <c r="J289" s="12" t="s">
        <v>749</v>
      </c>
      <c r="K289" s="12" t="s">
        <v>275</v>
      </c>
      <c r="L289" s="12" t="s">
        <v>948</v>
      </c>
      <c r="M289" s="12"/>
    </row>
    <row r="290" spans="1:13" x14ac:dyDescent="0.3">
      <c r="A290" s="12" t="s">
        <v>170</v>
      </c>
      <c r="B290" s="12" t="s">
        <v>456</v>
      </c>
      <c r="C290" s="12" t="s">
        <v>731</v>
      </c>
      <c r="D290" s="12" t="s">
        <v>269</v>
      </c>
      <c r="E290" s="12" t="s">
        <v>6533</v>
      </c>
      <c r="F290" s="12" t="s">
        <v>805</v>
      </c>
      <c r="G290" s="12"/>
      <c r="H290" s="12"/>
      <c r="I290" s="12"/>
      <c r="J290" s="12" t="s">
        <v>749</v>
      </c>
      <c r="K290" s="12" t="s">
        <v>270</v>
      </c>
      <c r="L290" s="12" t="s">
        <v>948</v>
      </c>
      <c r="M290" s="12"/>
    </row>
    <row r="291" spans="1:13" x14ac:dyDescent="0.3">
      <c r="A291" s="12" t="s">
        <v>170</v>
      </c>
      <c r="B291" s="12" t="s">
        <v>456</v>
      </c>
      <c r="C291" s="12" t="s">
        <v>731</v>
      </c>
      <c r="D291" s="12" t="s">
        <v>271</v>
      </c>
      <c r="E291" s="12" t="s">
        <v>6534</v>
      </c>
      <c r="F291" s="12"/>
      <c r="G291" s="12">
        <v>211.4165689488047</v>
      </c>
      <c r="H291" s="12">
        <v>1985.5685830750249</v>
      </c>
      <c r="I291" s="12">
        <v>120</v>
      </c>
      <c r="J291" s="12"/>
      <c r="K291" s="12" t="s">
        <v>270</v>
      </c>
      <c r="L291" s="12" t="s">
        <v>948</v>
      </c>
      <c r="M291" s="12"/>
    </row>
    <row r="292" spans="1:13" x14ac:dyDescent="0.3">
      <c r="A292" s="12" t="s">
        <v>170</v>
      </c>
      <c r="B292" s="12" t="s">
        <v>456</v>
      </c>
      <c r="C292" s="12" t="s">
        <v>731</v>
      </c>
      <c r="D292" s="12" t="s">
        <v>272</v>
      </c>
      <c r="E292" s="12" t="s">
        <v>6534</v>
      </c>
      <c r="F292" s="12"/>
      <c r="G292" s="12">
        <v>0.50226077958240245</v>
      </c>
      <c r="H292" s="12">
        <v>0.84794134158988443</v>
      </c>
      <c r="I292" s="12">
        <v>120</v>
      </c>
      <c r="J292" s="12"/>
      <c r="K292" s="12" t="s">
        <v>273</v>
      </c>
      <c r="L292" s="12" t="s">
        <v>948</v>
      </c>
      <c r="M292" s="12"/>
    </row>
    <row r="293" spans="1:13" x14ac:dyDescent="0.3">
      <c r="A293" s="12" t="s">
        <v>170</v>
      </c>
      <c r="B293" s="12" t="s">
        <v>456</v>
      </c>
      <c r="C293" s="12" t="s">
        <v>731</v>
      </c>
      <c r="D293" s="12" t="s">
        <v>282</v>
      </c>
      <c r="E293" s="12" t="s">
        <v>6533</v>
      </c>
      <c r="F293" s="12" t="s">
        <v>800</v>
      </c>
      <c r="G293" s="12"/>
      <c r="H293" s="12"/>
      <c r="I293" s="12"/>
      <c r="J293" s="12" t="s">
        <v>749</v>
      </c>
      <c r="K293" s="12" t="s">
        <v>283</v>
      </c>
      <c r="L293" s="12" t="s">
        <v>948</v>
      </c>
      <c r="M293" s="12"/>
    </row>
    <row r="294" spans="1:13" x14ac:dyDescent="0.3">
      <c r="A294" s="12" t="s">
        <v>170</v>
      </c>
      <c r="B294" s="12" t="s">
        <v>456</v>
      </c>
      <c r="C294" s="12" t="s">
        <v>731</v>
      </c>
      <c r="D294" s="12" t="s">
        <v>1875</v>
      </c>
      <c r="E294" s="12" t="s">
        <v>6534</v>
      </c>
      <c r="F294" s="12"/>
      <c r="G294" s="12">
        <v>0.40325085012202938</v>
      </c>
      <c r="H294" s="12">
        <v>0.94578128168886177</v>
      </c>
      <c r="I294" s="12">
        <v>120</v>
      </c>
      <c r="J294" s="12"/>
      <c r="K294" s="12" t="s">
        <v>273</v>
      </c>
      <c r="L294" s="12" t="s">
        <v>948</v>
      </c>
      <c r="M294" s="12"/>
    </row>
    <row r="295" spans="1:13" x14ac:dyDescent="0.3">
      <c r="A295" s="12" t="s">
        <v>170</v>
      </c>
      <c r="B295" s="12" t="s">
        <v>456</v>
      </c>
      <c r="C295" s="12" t="s">
        <v>731</v>
      </c>
      <c r="D295" s="12" t="s">
        <v>1876</v>
      </c>
      <c r="E295" s="12" t="s">
        <v>6534</v>
      </c>
      <c r="F295" s="12"/>
      <c r="G295" s="12">
        <v>0.40037480659185309</v>
      </c>
      <c r="H295" s="12">
        <v>0.94661293461111562</v>
      </c>
      <c r="I295" s="12">
        <v>120</v>
      </c>
      <c r="J295" s="12"/>
      <c r="K295" s="12" t="s">
        <v>273</v>
      </c>
      <c r="L295" s="12" t="s">
        <v>948</v>
      </c>
      <c r="M295" s="12"/>
    </row>
    <row r="296" spans="1:13" x14ac:dyDescent="0.3">
      <c r="A296" s="12" t="s">
        <v>170</v>
      </c>
      <c r="B296" s="12" t="s">
        <v>456</v>
      </c>
      <c r="C296" s="12" t="s">
        <v>731</v>
      </c>
      <c r="D296" s="12" t="s">
        <v>1877</v>
      </c>
      <c r="E296" s="12" t="s">
        <v>6534</v>
      </c>
      <c r="F296" s="12"/>
      <c r="G296" s="12">
        <v>0.40425019983389832</v>
      </c>
      <c r="H296" s="12">
        <v>0.94957829157722662</v>
      </c>
      <c r="I296" s="12">
        <v>120</v>
      </c>
      <c r="J296" s="12"/>
      <c r="K296" s="12" t="s">
        <v>273</v>
      </c>
      <c r="L296" s="12" t="s">
        <v>948</v>
      </c>
      <c r="M296" s="12"/>
    </row>
    <row r="297" spans="1:13" x14ac:dyDescent="0.3">
      <c r="A297" s="12" t="s">
        <v>170</v>
      </c>
      <c r="B297" s="12" t="s">
        <v>456</v>
      </c>
      <c r="C297" s="12" t="s">
        <v>731</v>
      </c>
      <c r="D297" s="12" t="s">
        <v>1878</v>
      </c>
      <c r="E297" s="12" t="s">
        <v>6534</v>
      </c>
      <c r="F297" s="12"/>
      <c r="G297" s="12">
        <v>0.40094185550849959</v>
      </c>
      <c r="H297" s="12">
        <v>0.94659716236768643</v>
      </c>
      <c r="I297" s="12">
        <v>120</v>
      </c>
      <c r="J297" s="12"/>
      <c r="K297" s="12" t="s">
        <v>273</v>
      </c>
      <c r="L297" s="12" t="s">
        <v>948</v>
      </c>
      <c r="M297" s="12"/>
    </row>
    <row r="298" spans="1:13" x14ac:dyDescent="0.3">
      <c r="A298" s="12" t="s">
        <v>170</v>
      </c>
      <c r="B298" s="12" t="s">
        <v>456</v>
      </c>
      <c r="C298" s="12" t="s">
        <v>731</v>
      </c>
      <c r="D298" s="12" t="s">
        <v>1879</v>
      </c>
      <c r="E298" s="12" t="s">
        <v>6534</v>
      </c>
      <c r="F298" s="12"/>
      <c r="G298" s="12">
        <v>0.40216648025933999</v>
      </c>
      <c r="H298" s="12">
        <v>0.94674988287610684</v>
      </c>
      <c r="I298" s="12">
        <v>120</v>
      </c>
      <c r="J298" s="12"/>
      <c r="K298" s="12" t="s">
        <v>273</v>
      </c>
      <c r="L298" s="12" t="s">
        <v>948</v>
      </c>
      <c r="M298" s="12"/>
    </row>
    <row r="299" spans="1:13" x14ac:dyDescent="0.3">
      <c r="A299" s="12" t="s">
        <v>170</v>
      </c>
      <c r="B299" s="12" t="s">
        <v>456</v>
      </c>
      <c r="C299" s="12" t="s">
        <v>731</v>
      </c>
      <c r="D299" s="12" t="s">
        <v>1880</v>
      </c>
      <c r="E299" s="12" t="s">
        <v>6533</v>
      </c>
      <c r="F299" s="12" t="s">
        <v>795</v>
      </c>
      <c r="G299" s="12"/>
      <c r="H299" s="12"/>
      <c r="I299" s="12"/>
      <c r="J299" s="12" t="s">
        <v>749</v>
      </c>
      <c r="K299" s="12" t="s">
        <v>275</v>
      </c>
      <c r="L299" s="12" t="s">
        <v>948</v>
      </c>
      <c r="M299" s="12"/>
    </row>
    <row r="300" spans="1:13" x14ac:dyDescent="0.3">
      <c r="A300" s="12" t="s">
        <v>170</v>
      </c>
      <c r="B300" s="12" t="s">
        <v>456</v>
      </c>
      <c r="C300" s="12" t="s">
        <v>731</v>
      </c>
      <c r="D300" s="12" t="s">
        <v>67</v>
      </c>
      <c r="E300" s="12" t="s">
        <v>6533</v>
      </c>
      <c r="F300" s="12" t="s">
        <v>804</v>
      </c>
      <c r="G300" s="12"/>
      <c r="H300" s="12"/>
      <c r="I300" s="12"/>
      <c r="J300" s="12"/>
      <c r="K300" s="12" t="s">
        <v>273</v>
      </c>
      <c r="L300" s="12" t="s">
        <v>948</v>
      </c>
      <c r="M300" s="12"/>
    </row>
    <row r="301" spans="1:13" x14ac:dyDescent="0.3">
      <c r="A301" s="12" t="s">
        <v>170</v>
      </c>
      <c r="B301" s="12" t="s">
        <v>464</v>
      </c>
      <c r="C301" s="12" t="s">
        <v>734</v>
      </c>
      <c r="D301" s="12" t="s">
        <v>274</v>
      </c>
      <c r="E301" s="12" t="s">
        <v>6533</v>
      </c>
      <c r="F301" s="12" t="s">
        <v>794</v>
      </c>
      <c r="G301" s="12"/>
      <c r="H301" s="12"/>
      <c r="I301" s="12"/>
      <c r="J301" s="12" t="s">
        <v>749</v>
      </c>
      <c r="K301" s="12" t="s">
        <v>275</v>
      </c>
      <c r="L301" s="12" t="s">
        <v>948</v>
      </c>
      <c r="M301" s="12"/>
    </row>
    <row r="302" spans="1:13" x14ac:dyDescent="0.3">
      <c r="A302" s="12" t="s">
        <v>170</v>
      </c>
      <c r="B302" s="12" t="s">
        <v>464</v>
      </c>
      <c r="C302" s="12" t="s">
        <v>734</v>
      </c>
      <c r="D302" s="12" t="s">
        <v>276</v>
      </c>
      <c r="E302" s="12" t="s">
        <v>6534</v>
      </c>
      <c r="F302" s="12"/>
      <c r="G302" s="12">
        <v>278.28062272518872</v>
      </c>
      <c r="H302" s="12">
        <v>303.3580790917477</v>
      </c>
      <c r="I302" s="12">
        <v>120</v>
      </c>
      <c r="J302" s="12"/>
      <c r="K302" s="12" t="s">
        <v>275</v>
      </c>
      <c r="L302" s="12" t="s">
        <v>948</v>
      </c>
      <c r="M302" s="12"/>
    </row>
    <row r="303" spans="1:13" x14ac:dyDescent="0.3">
      <c r="A303" s="12" t="s">
        <v>170</v>
      </c>
      <c r="B303" s="12" t="s">
        <v>464</v>
      </c>
      <c r="C303" s="12" t="s">
        <v>734</v>
      </c>
      <c r="D303" s="12" t="s">
        <v>269</v>
      </c>
      <c r="E303" s="12" t="s">
        <v>6534</v>
      </c>
      <c r="F303" s="12"/>
      <c r="G303" s="12">
        <v>2023.003329493351</v>
      </c>
      <c r="H303" s="12">
        <v>4997.4735065549557</v>
      </c>
      <c r="I303" s="12">
        <v>120</v>
      </c>
      <c r="J303" s="12"/>
      <c r="K303" s="12" t="s">
        <v>270</v>
      </c>
      <c r="L303" s="12" t="s">
        <v>948</v>
      </c>
      <c r="M303" s="12"/>
    </row>
    <row r="304" spans="1:13" x14ac:dyDescent="0.3">
      <c r="A304" s="12" t="s">
        <v>170</v>
      </c>
      <c r="B304" s="12" t="s">
        <v>464</v>
      </c>
      <c r="C304" s="12" t="s">
        <v>734</v>
      </c>
      <c r="D304" s="12" t="s">
        <v>271</v>
      </c>
      <c r="E304" s="12" t="s">
        <v>6534</v>
      </c>
      <c r="F304" s="12"/>
      <c r="G304" s="12">
        <v>206.1261602277809</v>
      </c>
      <c r="H304" s="12">
        <v>1999.256496404628</v>
      </c>
      <c r="I304" s="12">
        <v>120</v>
      </c>
      <c r="J304" s="12"/>
      <c r="K304" s="12" t="s">
        <v>270</v>
      </c>
      <c r="L304" s="12" t="s">
        <v>948</v>
      </c>
      <c r="M304" s="12"/>
    </row>
    <row r="305" spans="1:13" x14ac:dyDescent="0.3">
      <c r="A305" s="12" t="s">
        <v>170</v>
      </c>
      <c r="B305" s="12" t="s">
        <v>464</v>
      </c>
      <c r="C305" s="12" t="s">
        <v>734</v>
      </c>
      <c r="D305" s="12" t="s">
        <v>272</v>
      </c>
      <c r="E305" s="12" t="s">
        <v>6533</v>
      </c>
      <c r="F305" s="12" t="s">
        <v>799</v>
      </c>
      <c r="G305" s="12"/>
      <c r="H305" s="12"/>
      <c r="I305" s="12"/>
      <c r="J305" s="12" t="s">
        <v>749</v>
      </c>
      <c r="K305" s="12" t="s">
        <v>273</v>
      </c>
      <c r="L305" s="12" t="s">
        <v>948</v>
      </c>
      <c r="M305" s="12"/>
    </row>
    <row r="306" spans="1:13" x14ac:dyDescent="0.3">
      <c r="A306" s="12" t="s">
        <v>170</v>
      </c>
      <c r="B306" s="12" t="s">
        <v>464</v>
      </c>
      <c r="C306" s="12" t="s">
        <v>734</v>
      </c>
      <c r="D306" s="12" t="s">
        <v>282</v>
      </c>
      <c r="E306" s="12" t="s">
        <v>6533</v>
      </c>
      <c r="F306" s="12" t="s">
        <v>800</v>
      </c>
      <c r="G306" s="12"/>
      <c r="H306" s="12"/>
      <c r="I306" s="12"/>
      <c r="J306" s="12" t="s">
        <v>749</v>
      </c>
      <c r="K306" s="12" t="s">
        <v>283</v>
      </c>
      <c r="L306" s="12" t="s">
        <v>948</v>
      </c>
      <c r="M306" s="12"/>
    </row>
    <row r="307" spans="1:13" x14ac:dyDescent="0.3">
      <c r="A307" s="12" t="s">
        <v>170</v>
      </c>
      <c r="B307" s="12" t="s">
        <v>464</v>
      </c>
      <c r="C307" s="12" t="s">
        <v>734</v>
      </c>
      <c r="D307" s="12" t="s">
        <v>1875</v>
      </c>
      <c r="E307" s="12" t="s">
        <v>6534</v>
      </c>
      <c r="F307" s="12"/>
      <c r="G307" s="12">
        <v>0.40329887458331071</v>
      </c>
      <c r="H307" s="12">
        <v>0.94994561707418923</v>
      </c>
      <c r="I307" s="12">
        <v>120</v>
      </c>
      <c r="J307" s="12"/>
      <c r="K307" s="12" t="s">
        <v>273</v>
      </c>
      <c r="L307" s="12" t="s">
        <v>948</v>
      </c>
      <c r="M307" s="12"/>
    </row>
    <row r="308" spans="1:13" x14ac:dyDescent="0.3">
      <c r="A308" s="12" t="s">
        <v>170</v>
      </c>
      <c r="B308" s="12" t="s">
        <v>464</v>
      </c>
      <c r="C308" s="12" t="s">
        <v>734</v>
      </c>
      <c r="D308" s="12" t="s">
        <v>1876</v>
      </c>
      <c r="E308" s="12" t="s">
        <v>6534</v>
      </c>
      <c r="F308" s="12"/>
      <c r="G308" s="12">
        <v>0.40348485914791671</v>
      </c>
      <c r="H308" s="12">
        <v>0.94760347084185925</v>
      </c>
      <c r="I308" s="12">
        <v>120</v>
      </c>
      <c r="J308" s="12"/>
      <c r="K308" s="12" t="s">
        <v>273</v>
      </c>
      <c r="L308" s="12" t="s">
        <v>948</v>
      </c>
      <c r="M308" s="12"/>
    </row>
    <row r="309" spans="1:13" x14ac:dyDescent="0.3">
      <c r="A309" s="12" t="s">
        <v>170</v>
      </c>
      <c r="B309" s="12" t="s">
        <v>464</v>
      </c>
      <c r="C309" s="12" t="s">
        <v>734</v>
      </c>
      <c r="D309" s="12" t="s">
        <v>1877</v>
      </c>
      <c r="E309" s="12" t="s">
        <v>6534</v>
      </c>
      <c r="F309" s="12"/>
      <c r="G309" s="12">
        <v>0.40414054854366138</v>
      </c>
      <c r="H309" s="12">
        <v>0.94873619555812805</v>
      </c>
      <c r="I309" s="12">
        <v>120</v>
      </c>
      <c r="J309" s="12"/>
      <c r="K309" s="12" t="s">
        <v>273</v>
      </c>
      <c r="L309" s="12" t="s">
        <v>948</v>
      </c>
      <c r="M309" s="12"/>
    </row>
    <row r="310" spans="1:13" x14ac:dyDescent="0.3">
      <c r="A310" s="12" t="s">
        <v>170</v>
      </c>
      <c r="B310" s="12" t="s">
        <v>464</v>
      </c>
      <c r="C310" s="12" t="s">
        <v>734</v>
      </c>
      <c r="D310" s="12" t="s">
        <v>1878</v>
      </c>
      <c r="E310" s="12" t="s">
        <v>6534</v>
      </c>
      <c r="F310" s="12"/>
      <c r="G310" s="12">
        <v>0.40264558578105919</v>
      </c>
      <c r="H310" s="12">
        <v>0.9472498167419372</v>
      </c>
      <c r="I310" s="12">
        <v>120</v>
      </c>
      <c r="J310" s="12"/>
      <c r="K310" s="12" t="s">
        <v>273</v>
      </c>
      <c r="L310" s="12" t="s">
        <v>948</v>
      </c>
      <c r="M310" s="12"/>
    </row>
    <row r="311" spans="1:13" x14ac:dyDescent="0.3">
      <c r="A311" s="12" t="s">
        <v>170</v>
      </c>
      <c r="B311" s="12" t="s">
        <v>464</v>
      </c>
      <c r="C311" s="12" t="s">
        <v>734</v>
      </c>
      <c r="D311" s="12" t="s">
        <v>1879</v>
      </c>
      <c r="E311" s="12" t="s">
        <v>6534</v>
      </c>
      <c r="F311" s="12"/>
      <c r="G311" s="12">
        <v>0.40126619294694488</v>
      </c>
      <c r="H311" s="12">
        <v>0.94825126394682624</v>
      </c>
      <c r="I311" s="12">
        <v>120</v>
      </c>
      <c r="J311" s="12"/>
      <c r="K311" s="12" t="s">
        <v>273</v>
      </c>
      <c r="L311" s="12" t="s">
        <v>948</v>
      </c>
      <c r="M311" s="12"/>
    </row>
    <row r="312" spans="1:13" x14ac:dyDescent="0.3">
      <c r="A312" s="12" t="s">
        <v>170</v>
      </c>
      <c r="B312" s="12" t="s">
        <v>464</v>
      </c>
      <c r="C312" s="12" t="s">
        <v>734</v>
      </c>
      <c r="D312" s="12" t="s">
        <v>1880</v>
      </c>
      <c r="E312" s="12" t="s">
        <v>6534</v>
      </c>
      <c r="F312" s="12"/>
      <c r="G312" s="12">
        <v>278.28062272518872</v>
      </c>
      <c r="H312" s="12">
        <v>303.3580790917477</v>
      </c>
      <c r="I312" s="12">
        <v>119</v>
      </c>
      <c r="J312" s="12"/>
      <c r="K312" s="12" t="s">
        <v>275</v>
      </c>
      <c r="L312" s="12" t="s">
        <v>948</v>
      </c>
      <c r="M312" s="12"/>
    </row>
    <row r="313" spans="1:13" x14ac:dyDescent="0.3">
      <c r="A313" s="12" t="s">
        <v>170</v>
      </c>
      <c r="B313" s="12" t="s">
        <v>464</v>
      </c>
      <c r="C313" s="12" t="s">
        <v>734</v>
      </c>
      <c r="D313" s="12" t="s">
        <v>67</v>
      </c>
      <c r="E313" s="12" t="s">
        <v>6533</v>
      </c>
      <c r="F313" s="12" t="s">
        <v>804</v>
      </c>
      <c r="G313" s="12"/>
      <c r="H313" s="12"/>
      <c r="I313" s="12"/>
      <c r="J313" s="12"/>
      <c r="K313" s="12" t="s">
        <v>273</v>
      </c>
      <c r="L313" s="12" t="s">
        <v>948</v>
      </c>
      <c r="M313" s="12"/>
    </row>
    <row r="314" spans="1:13" x14ac:dyDescent="0.3">
      <c r="A314" s="12" t="s">
        <v>180</v>
      </c>
      <c r="B314" s="12" t="s">
        <v>180</v>
      </c>
      <c r="C314" s="12" t="s">
        <v>181</v>
      </c>
      <c r="D314" s="12" t="s">
        <v>274</v>
      </c>
      <c r="E314" s="12" t="s">
        <v>6534</v>
      </c>
      <c r="F314" s="12"/>
      <c r="G314" s="12">
        <v>385</v>
      </c>
      <c r="H314" s="12">
        <v>410</v>
      </c>
      <c r="I314" s="12">
        <v>11</v>
      </c>
      <c r="J314" s="12"/>
      <c r="K314" s="12" t="s">
        <v>275</v>
      </c>
      <c r="L314" s="12" t="s">
        <v>948</v>
      </c>
      <c r="M314" s="12"/>
    </row>
    <row r="315" spans="1:13" x14ac:dyDescent="0.3">
      <c r="A315" s="12" t="s">
        <v>180</v>
      </c>
      <c r="B315" s="12" t="s">
        <v>180</v>
      </c>
      <c r="C315" s="12" t="s">
        <v>181</v>
      </c>
      <c r="D315" s="12" t="s">
        <v>276</v>
      </c>
      <c r="E315" s="12" t="s">
        <v>6534</v>
      </c>
      <c r="F315" s="12"/>
      <c r="G315" s="12">
        <v>278.14999999999998</v>
      </c>
      <c r="H315" s="12">
        <v>300.032917</v>
      </c>
      <c r="I315" s="12">
        <v>3</v>
      </c>
      <c r="J315" s="12"/>
      <c r="K315" s="12" t="s">
        <v>275</v>
      </c>
      <c r="L315" s="12" t="s">
        <v>948</v>
      </c>
      <c r="M315" s="12"/>
    </row>
    <row r="316" spans="1:13" x14ac:dyDescent="0.3">
      <c r="A316" s="12" t="s">
        <v>180</v>
      </c>
      <c r="B316" s="12" t="s">
        <v>180</v>
      </c>
      <c r="C316" s="12" t="s">
        <v>181</v>
      </c>
      <c r="D316" s="12" t="s">
        <v>269</v>
      </c>
      <c r="E316" s="12" t="s">
        <v>6533</v>
      </c>
      <c r="F316" s="12" t="s">
        <v>805</v>
      </c>
      <c r="G316" s="12"/>
      <c r="H316" s="12"/>
      <c r="I316" s="12"/>
      <c r="J316" s="12" t="s">
        <v>749</v>
      </c>
      <c r="K316" s="12" t="s">
        <v>270</v>
      </c>
      <c r="L316" s="12" t="s">
        <v>948</v>
      </c>
      <c r="M316" s="12"/>
    </row>
    <row r="317" spans="1:13" x14ac:dyDescent="0.3">
      <c r="A317" s="12" t="s">
        <v>180</v>
      </c>
      <c r="B317" s="12" t="s">
        <v>180</v>
      </c>
      <c r="C317" s="12" t="s">
        <v>181</v>
      </c>
      <c r="D317" s="12" t="s">
        <v>271</v>
      </c>
      <c r="E317" s="12" t="s">
        <v>6533</v>
      </c>
      <c r="F317" s="12" t="s">
        <v>798</v>
      </c>
      <c r="G317" s="12"/>
      <c r="H317" s="12"/>
      <c r="I317" s="12"/>
      <c r="J317" s="12" t="s">
        <v>749</v>
      </c>
      <c r="K317" s="12" t="s">
        <v>270</v>
      </c>
      <c r="L317" s="12" t="s">
        <v>948</v>
      </c>
      <c r="M317" s="12"/>
    </row>
    <row r="318" spans="1:13" x14ac:dyDescent="0.3">
      <c r="A318" s="12" t="s">
        <v>180</v>
      </c>
      <c r="B318" s="12" t="s">
        <v>180</v>
      </c>
      <c r="C318" s="12" t="s">
        <v>181</v>
      </c>
      <c r="D318" s="12" t="s">
        <v>272</v>
      </c>
      <c r="E318" s="12" t="s">
        <v>6533</v>
      </c>
      <c r="F318" s="12" t="s">
        <v>799</v>
      </c>
      <c r="G318" s="12"/>
      <c r="H318" s="12"/>
      <c r="I318" s="12"/>
      <c r="J318" s="12" t="s">
        <v>749</v>
      </c>
      <c r="K318" s="12" t="s">
        <v>273</v>
      </c>
      <c r="L318" s="12" t="s">
        <v>948</v>
      </c>
      <c r="M318" s="12"/>
    </row>
    <row r="319" spans="1:13" x14ac:dyDescent="0.3">
      <c r="A319" s="12" t="s">
        <v>180</v>
      </c>
      <c r="B319" s="12" t="s">
        <v>180</v>
      </c>
      <c r="C319" s="12" t="s">
        <v>181</v>
      </c>
      <c r="D319" s="12" t="s">
        <v>282</v>
      </c>
      <c r="E319" s="12" t="s">
        <v>6533</v>
      </c>
      <c r="F319" s="12" t="s">
        <v>800</v>
      </c>
      <c r="G319" s="12"/>
      <c r="H319" s="12"/>
      <c r="I319" s="12"/>
      <c r="J319" s="12" t="s">
        <v>749</v>
      </c>
      <c r="K319" s="12" t="s">
        <v>283</v>
      </c>
      <c r="L319" s="12" t="s">
        <v>948</v>
      </c>
      <c r="M319" s="12"/>
    </row>
    <row r="320" spans="1:13" x14ac:dyDescent="0.3">
      <c r="A320" s="12" t="s">
        <v>180</v>
      </c>
      <c r="B320" s="12" t="s">
        <v>180</v>
      </c>
      <c r="C320" s="12" t="s">
        <v>181</v>
      </c>
      <c r="D320" s="12" t="s">
        <v>1875</v>
      </c>
      <c r="E320" s="12" t="s">
        <v>6533</v>
      </c>
      <c r="F320" s="12" t="s">
        <v>755</v>
      </c>
      <c r="G320" s="12"/>
      <c r="H320" s="12"/>
      <c r="I320" s="12"/>
      <c r="J320" s="12" t="s">
        <v>749</v>
      </c>
      <c r="K320" s="12" t="s">
        <v>273</v>
      </c>
      <c r="L320" s="12" t="s">
        <v>948</v>
      </c>
      <c r="M320" s="12"/>
    </row>
    <row r="321" spans="1:13" x14ac:dyDescent="0.3">
      <c r="A321" s="12" t="s">
        <v>180</v>
      </c>
      <c r="B321" s="12" t="s">
        <v>180</v>
      </c>
      <c r="C321" s="12" t="s">
        <v>181</v>
      </c>
      <c r="D321" s="12" t="s">
        <v>1876</v>
      </c>
      <c r="E321" s="12" t="s">
        <v>6533</v>
      </c>
      <c r="F321" s="12" t="s">
        <v>757</v>
      </c>
      <c r="G321" s="12"/>
      <c r="H321" s="12"/>
      <c r="I321" s="12"/>
      <c r="J321" s="12" t="s">
        <v>749</v>
      </c>
      <c r="K321" s="12" t="s">
        <v>273</v>
      </c>
      <c r="L321" s="12" t="s">
        <v>948</v>
      </c>
      <c r="M321" s="12"/>
    </row>
    <row r="322" spans="1:13" x14ac:dyDescent="0.3">
      <c r="A322" s="12" t="s">
        <v>180</v>
      </c>
      <c r="B322" s="12" t="s">
        <v>180</v>
      </c>
      <c r="C322" s="12" t="s">
        <v>181</v>
      </c>
      <c r="D322" s="12" t="s">
        <v>1877</v>
      </c>
      <c r="E322" s="12" t="s">
        <v>6533</v>
      </c>
      <c r="F322" s="12" t="s">
        <v>755</v>
      </c>
      <c r="G322" s="12"/>
      <c r="H322" s="12"/>
      <c r="I322" s="12"/>
      <c r="J322" s="12" t="s">
        <v>749</v>
      </c>
      <c r="K322" s="12" t="s">
        <v>273</v>
      </c>
      <c r="L322" s="12" t="s">
        <v>948</v>
      </c>
      <c r="M322" s="12"/>
    </row>
    <row r="323" spans="1:13" x14ac:dyDescent="0.3">
      <c r="A323" s="12" t="s">
        <v>180</v>
      </c>
      <c r="B323" s="12" t="s">
        <v>180</v>
      </c>
      <c r="C323" s="12" t="s">
        <v>181</v>
      </c>
      <c r="D323" s="12" t="s">
        <v>1878</v>
      </c>
      <c r="E323" s="12" t="s">
        <v>6533</v>
      </c>
      <c r="F323" s="12" t="s">
        <v>757</v>
      </c>
      <c r="G323" s="12"/>
      <c r="H323" s="12"/>
      <c r="I323" s="12"/>
      <c r="J323" s="12" t="s">
        <v>749</v>
      </c>
      <c r="K323" s="12" t="s">
        <v>273</v>
      </c>
      <c r="L323" s="12" t="s">
        <v>948</v>
      </c>
      <c r="M323" s="12"/>
    </row>
    <row r="324" spans="1:13" x14ac:dyDescent="0.3">
      <c r="A324" s="12" t="s">
        <v>180</v>
      </c>
      <c r="B324" s="12" t="s">
        <v>180</v>
      </c>
      <c r="C324" s="12" t="s">
        <v>181</v>
      </c>
      <c r="D324" s="12" t="s">
        <v>1879</v>
      </c>
      <c r="E324" s="12" t="s">
        <v>6534</v>
      </c>
      <c r="F324" s="12"/>
      <c r="G324" s="12">
        <v>0.85</v>
      </c>
      <c r="H324" s="12">
        <v>0.95</v>
      </c>
      <c r="I324" s="12">
        <v>5</v>
      </c>
      <c r="J324" s="12"/>
      <c r="K324" s="12" t="s">
        <v>273</v>
      </c>
      <c r="L324" s="12" t="s">
        <v>948</v>
      </c>
      <c r="M324" s="12"/>
    </row>
    <row r="325" spans="1:13" x14ac:dyDescent="0.3">
      <c r="A325" s="12" t="s">
        <v>180</v>
      </c>
      <c r="B325" s="12" t="s">
        <v>180</v>
      </c>
      <c r="C325" s="12" t="s">
        <v>181</v>
      </c>
      <c r="D325" s="12" t="s">
        <v>1880</v>
      </c>
      <c r="E325" s="12" t="s">
        <v>6534</v>
      </c>
      <c r="F325" s="12"/>
      <c r="G325" s="12">
        <v>278.14999999999998</v>
      </c>
      <c r="H325" s="12">
        <v>300.032917</v>
      </c>
      <c r="I325" s="12">
        <v>3</v>
      </c>
      <c r="J325" s="12"/>
      <c r="K325" s="12" t="s">
        <v>275</v>
      </c>
      <c r="L325" s="12" t="s">
        <v>948</v>
      </c>
      <c r="M325" s="12"/>
    </row>
    <row r="326" spans="1:13" x14ac:dyDescent="0.3">
      <c r="A326" s="12" t="s">
        <v>180</v>
      </c>
      <c r="B326" s="12" t="s">
        <v>180</v>
      </c>
      <c r="C326" s="12" t="s">
        <v>181</v>
      </c>
      <c r="D326" s="12" t="s">
        <v>67</v>
      </c>
      <c r="E326" s="12" t="s">
        <v>6533</v>
      </c>
      <c r="F326" s="12" t="s">
        <v>804</v>
      </c>
      <c r="G326" s="12"/>
      <c r="H326" s="12"/>
      <c r="I326" s="12"/>
      <c r="J326" s="12"/>
      <c r="K326" s="12" t="s">
        <v>273</v>
      </c>
      <c r="L326" s="12" t="s">
        <v>948</v>
      </c>
      <c r="M326" s="12"/>
    </row>
    <row r="327" spans="1:13" x14ac:dyDescent="0.3">
      <c r="A327" s="12" t="s">
        <v>198</v>
      </c>
      <c r="B327" s="12" t="s">
        <v>474</v>
      </c>
      <c r="C327" s="12" t="s">
        <v>4402</v>
      </c>
      <c r="D327" s="12" t="s">
        <v>274</v>
      </c>
      <c r="E327" s="12" t="s">
        <v>6534</v>
      </c>
      <c r="F327" s="12"/>
      <c r="G327" s="12">
        <v>424.09695310912758</v>
      </c>
      <c r="H327" s="12">
        <v>448.09695310912758</v>
      </c>
      <c r="I327" s="12">
        <v>3</v>
      </c>
      <c r="J327" s="12"/>
      <c r="K327" s="12" t="s">
        <v>275</v>
      </c>
      <c r="L327" s="12" t="s">
        <v>948</v>
      </c>
      <c r="M327" s="12"/>
    </row>
    <row r="328" spans="1:13" x14ac:dyDescent="0.3">
      <c r="A328" s="12" t="s">
        <v>198</v>
      </c>
      <c r="B328" s="12" t="s">
        <v>474</v>
      </c>
      <c r="C328" s="12" t="s">
        <v>4402</v>
      </c>
      <c r="D328" s="12" t="s">
        <v>276</v>
      </c>
      <c r="E328" s="12" t="s">
        <v>6534</v>
      </c>
      <c r="F328" s="12"/>
      <c r="G328" s="12">
        <v>278.14999999999998</v>
      </c>
      <c r="H328" s="12">
        <v>281.63770132054481</v>
      </c>
      <c r="I328" s="12">
        <v>3</v>
      </c>
      <c r="J328" s="12"/>
      <c r="K328" s="12" t="s">
        <v>275</v>
      </c>
      <c r="L328" s="12" t="s">
        <v>948</v>
      </c>
      <c r="M328" s="12"/>
    </row>
    <row r="329" spans="1:13" x14ac:dyDescent="0.3">
      <c r="A329" s="12" t="s">
        <v>198</v>
      </c>
      <c r="B329" s="12" t="s">
        <v>474</v>
      </c>
      <c r="C329" s="12" t="s">
        <v>4402</v>
      </c>
      <c r="D329" s="12" t="s">
        <v>269</v>
      </c>
      <c r="E329" s="12" t="s">
        <v>6534</v>
      </c>
      <c r="F329" s="12"/>
      <c r="G329" s="12">
        <v>3181.8230245237678</v>
      </c>
      <c r="H329" s="12">
        <v>4681.8230245237683</v>
      </c>
      <c r="I329" s="12">
        <v>6</v>
      </c>
      <c r="J329" s="12"/>
      <c r="K329" s="12" t="s">
        <v>270</v>
      </c>
      <c r="L329" s="12" t="s">
        <v>948</v>
      </c>
      <c r="M329" s="12"/>
    </row>
    <row r="330" spans="1:13" x14ac:dyDescent="0.3">
      <c r="A330" s="12" t="s">
        <v>198</v>
      </c>
      <c r="B330" s="12" t="s">
        <v>474</v>
      </c>
      <c r="C330" s="12" t="s">
        <v>4402</v>
      </c>
      <c r="D330" s="12" t="s">
        <v>271</v>
      </c>
      <c r="E330" s="12" t="s">
        <v>6534</v>
      </c>
      <c r="F330" s="12"/>
      <c r="G330" s="12">
        <v>588.34025773909616</v>
      </c>
      <c r="H330" s="12">
        <v>1028.3402577390959</v>
      </c>
      <c r="I330" s="12">
        <v>3</v>
      </c>
      <c r="J330" s="12"/>
      <c r="K330" s="12" t="s">
        <v>270</v>
      </c>
      <c r="L330" s="12" t="s">
        <v>948</v>
      </c>
      <c r="M330" s="12"/>
    </row>
    <row r="331" spans="1:13" x14ac:dyDescent="0.3">
      <c r="A331" s="12" t="s">
        <v>198</v>
      </c>
      <c r="B331" s="12" t="s">
        <v>474</v>
      </c>
      <c r="C331" s="12" t="s">
        <v>4402</v>
      </c>
      <c r="D331" s="12" t="s">
        <v>272</v>
      </c>
      <c r="E331" s="12" t="s">
        <v>6534</v>
      </c>
      <c r="F331" s="12"/>
      <c r="G331" s="12">
        <v>0.5997489709498951</v>
      </c>
      <c r="H331" s="12">
        <v>0.70474897094989508</v>
      </c>
      <c r="I331" s="12">
        <v>4</v>
      </c>
      <c r="J331" s="12"/>
      <c r="K331" s="12" t="s">
        <v>273</v>
      </c>
      <c r="L331" s="12" t="s">
        <v>948</v>
      </c>
      <c r="M331" s="12"/>
    </row>
    <row r="332" spans="1:13" x14ac:dyDescent="0.3">
      <c r="A332" s="12" t="s">
        <v>198</v>
      </c>
      <c r="B332" s="12" t="s">
        <v>474</v>
      </c>
      <c r="C332" s="12" t="s">
        <v>4402</v>
      </c>
      <c r="D332" s="12" t="s">
        <v>282</v>
      </c>
      <c r="E332" s="12" t="s">
        <v>6533</v>
      </c>
      <c r="F332" s="12" t="s">
        <v>800</v>
      </c>
      <c r="G332" s="12"/>
      <c r="H332" s="12"/>
      <c r="I332" s="12"/>
      <c r="J332" s="12" t="s">
        <v>749</v>
      </c>
      <c r="K332" s="12" t="s">
        <v>283</v>
      </c>
      <c r="L332" s="12" t="s">
        <v>948</v>
      </c>
      <c r="M332" s="12"/>
    </row>
    <row r="333" spans="1:13" x14ac:dyDescent="0.3">
      <c r="A333" s="12" t="s">
        <v>198</v>
      </c>
      <c r="B333" s="12" t="s">
        <v>474</v>
      </c>
      <c r="C333" s="12" t="s">
        <v>4402</v>
      </c>
      <c r="D333" s="12" t="s">
        <v>1875</v>
      </c>
      <c r="E333" s="12" t="s">
        <v>6534</v>
      </c>
      <c r="F333" s="12"/>
      <c r="G333" s="12">
        <v>0.86348298050287231</v>
      </c>
      <c r="H333" s="12">
        <v>0.95</v>
      </c>
      <c r="I333" s="12">
        <v>4</v>
      </c>
      <c r="J333" s="12"/>
      <c r="K333" s="12" t="s">
        <v>273</v>
      </c>
      <c r="L333" s="12" t="s">
        <v>948</v>
      </c>
      <c r="M333" s="12"/>
    </row>
    <row r="334" spans="1:13" x14ac:dyDescent="0.3">
      <c r="A334" s="12" t="s">
        <v>198</v>
      </c>
      <c r="B334" s="12" t="s">
        <v>474</v>
      </c>
      <c r="C334" s="12" t="s">
        <v>4402</v>
      </c>
      <c r="D334" s="12" t="s">
        <v>1876</v>
      </c>
      <c r="E334" s="12" t="s">
        <v>6534</v>
      </c>
      <c r="F334" s="12"/>
      <c r="G334" s="12">
        <v>0.69108148390036439</v>
      </c>
      <c r="H334" s="12">
        <v>0.80108148390036438</v>
      </c>
      <c r="I334" s="12">
        <v>3</v>
      </c>
      <c r="J334" s="12"/>
      <c r="K334" s="12" t="s">
        <v>273</v>
      </c>
      <c r="L334" s="12" t="s">
        <v>948</v>
      </c>
      <c r="M334" s="12"/>
    </row>
    <row r="335" spans="1:13" x14ac:dyDescent="0.3">
      <c r="A335" s="12" t="s">
        <v>198</v>
      </c>
      <c r="B335" s="12" t="s">
        <v>474</v>
      </c>
      <c r="C335" s="12" t="s">
        <v>4402</v>
      </c>
      <c r="D335" s="12" t="s">
        <v>1877</v>
      </c>
      <c r="E335" s="12" t="s">
        <v>6534</v>
      </c>
      <c r="F335" s="12"/>
      <c r="G335" s="12">
        <v>0.62273110852065172</v>
      </c>
      <c r="H335" s="12">
        <v>0.7327311085206516</v>
      </c>
      <c r="I335" s="12">
        <v>3</v>
      </c>
      <c r="J335" s="12"/>
      <c r="K335" s="12" t="s">
        <v>273</v>
      </c>
      <c r="L335" s="12" t="s">
        <v>948</v>
      </c>
      <c r="M335" s="12"/>
    </row>
    <row r="336" spans="1:13" x14ac:dyDescent="0.3">
      <c r="A336" s="12" t="s">
        <v>198</v>
      </c>
      <c r="B336" s="12" t="s">
        <v>474</v>
      </c>
      <c r="C336" s="12" t="s">
        <v>4402</v>
      </c>
      <c r="D336" s="12" t="s">
        <v>1878</v>
      </c>
      <c r="E336" s="12" t="s">
        <v>6534</v>
      </c>
      <c r="F336" s="12"/>
      <c r="G336" s="12">
        <v>0.88652981924933028</v>
      </c>
      <c r="H336" s="12">
        <v>0.95</v>
      </c>
      <c r="I336" s="12">
        <v>3</v>
      </c>
      <c r="J336" s="12"/>
      <c r="K336" s="12" t="s">
        <v>273</v>
      </c>
      <c r="L336" s="12" t="s">
        <v>948</v>
      </c>
      <c r="M336" s="12"/>
    </row>
    <row r="337" spans="1:13" x14ac:dyDescent="0.3">
      <c r="A337" s="12" t="s">
        <v>198</v>
      </c>
      <c r="B337" s="12" t="s">
        <v>474</v>
      </c>
      <c r="C337" s="12" t="s">
        <v>4402</v>
      </c>
      <c r="D337" s="12" t="s">
        <v>1879</v>
      </c>
      <c r="E337" s="12" t="s">
        <v>6534</v>
      </c>
      <c r="F337" s="12"/>
      <c r="G337" s="12">
        <v>0.78682625850716215</v>
      </c>
      <c r="H337" s="12">
        <v>0.89682625850716202</v>
      </c>
      <c r="I337" s="12">
        <v>3</v>
      </c>
      <c r="J337" s="12"/>
      <c r="K337" s="12" t="s">
        <v>273</v>
      </c>
      <c r="L337" s="12" t="s">
        <v>948</v>
      </c>
      <c r="M337" s="12"/>
    </row>
    <row r="338" spans="1:13" x14ac:dyDescent="0.3">
      <c r="A338" s="12" t="s">
        <v>198</v>
      </c>
      <c r="B338" s="12" t="s">
        <v>474</v>
      </c>
      <c r="C338" s="12" t="s">
        <v>4402</v>
      </c>
      <c r="D338" s="12" t="s">
        <v>1880</v>
      </c>
      <c r="E338" s="12" t="s">
        <v>6534</v>
      </c>
      <c r="F338" s="12"/>
      <c r="G338" s="12">
        <v>278.14999999999998</v>
      </c>
      <c r="H338" s="12">
        <v>281.63770132054481</v>
      </c>
      <c r="I338" s="12">
        <v>3</v>
      </c>
      <c r="J338" s="12"/>
      <c r="K338" s="12" t="s">
        <v>275</v>
      </c>
      <c r="L338" s="12" t="s">
        <v>948</v>
      </c>
      <c r="M338" s="12"/>
    </row>
    <row r="339" spans="1:13" x14ac:dyDescent="0.3">
      <c r="A339" s="12" t="s">
        <v>198</v>
      </c>
      <c r="B339" s="12" t="s">
        <v>474</v>
      </c>
      <c r="C339" s="12" t="s">
        <v>4402</v>
      </c>
      <c r="D339" s="12" t="s">
        <v>67</v>
      </c>
      <c r="E339" s="12" t="s">
        <v>6533</v>
      </c>
      <c r="F339" s="12" t="s">
        <v>804</v>
      </c>
      <c r="G339" s="12"/>
      <c r="H339" s="12"/>
      <c r="I339" s="12"/>
      <c r="J339" s="12"/>
      <c r="K339" s="12" t="s">
        <v>273</v>
      </c>
      <c r="L339" s="12" t="s">
        <v>948</v>
      </c>
      <c r="M339" s="12"/>
    </row>
    <row r="340" spans="1:13" x14ac:dyDescent="0.3">
      <c r="A340" s="12" t="s">
        <v>198</v>
      </c>
      <c r="B340" s="12" t="s">
        <v>485</v>
      </c>
      <c r="C340" s="12" t="s">
        <v>4521</v>
      </c>
      <c r="D340" s="12" t="s">
        <v>274</v>
      </c>
      <c r="E340" s="12" t="s">
        <v>6534</v>
      </c>
      <c r="F340" s="12"/>
      <c r="G340" s="12">
        <v>408</v>
      </c>
      <c r="H340" s="12">
        <v>432</v>
      </c>
      <c r="I340" s="12">
        <v>3</v>
      </c>
      <c r="J340" s="12"/>
      <c r="K340" s="12" t="s">
        <v>275</v>
      </c>
      <c r="L340" s="12" t="s">
        <v>948</v>
      </c>
      <c r="M340" s="12"/>
    </row>
    <row r="341" spans="1:13" x14ac:dyDescent="0.3">
      <c r="A341" s="12" t="s">
        <v>198</v>
      </c>
      <c r="B341" s="12" t="s">
        <v>485</v>
      </c>
      <c r="C341" s="12" t="s">
        <v>4521</v>
      </c>
      <c r="D341" s="12" t="s">
        <v>276</v>
      </c>
      <c r="E341" s="12" t="s">
        <v>6534</v>
      </c>
      <c r="F341" s="12"/>
      <c r="G341" s="12">
        <v>278.14999999999998</v>
      </c>
      <c r="H341" s="12">
        <v>280.69</v>
      </c>
      <c r="I341" s="12">
        <v>2</v>
      </c>
      <c r="J341" s="12"/>
      <c r="K341" s="12" t="s">
        <v>275</v>
      </c>
      <c r="L341" s="12" t="s">
        <v>948</v>
      </c>
      <c r="M341" s="12"/>
    </row>
    <row r="342" spans="1:13" x14ac:dyDescent="0.3">
      <c r="A342" s="12" t="s">
        <v>198</v>
      </c>
      <c r="B342" s="12" t="s">
        <v>485</v>
      </c>
      <c r="C342" s="12" t="s">
        <v>4521</v>
      </c>
      <c r="D342" s="12" t="s">
        <v>269</v>
      </c>
      <c r="E342" s="12" t="s">
        <v>6534</v>
      </c>
      <c r="F342" s="12"/>
      <c r="G342" s="12">
        <v>2700</v>
      </c>
      <c r="H342" s="12">
        <v>3300</v>
      </c>
      <c r="I342" s="12">
        <v>3</v>
      </c>
      <c r="J342" s="12"/>
      <c r="K342" s="12" t="s">
        <v>270</v>
      </c>
      <c r="L342" s="12" t="s">
        <v>948</v>
      </c>
      <c r="M342" s="12"/>
    </row>
    <row r="343" spans="1:13" x14ac:dyDescent="0.3">
      <c r="A343" s="12" t="s">
        <v>198</v>
      </c>
      <c r="B343" s="12" t="s">
        <v>485</v>
      </c>
      <c r="C343" s="12" t="s">
        <v>4521</v>
      </c>
      <c r="D343" s="12" t="s">
        <v>271</v>
      </c>
      <c r="E343" s="12" t="s">
        <v>6534</v>
      </c>
      <c r="F343" s="12"/>
      <c r="G343" s="12">
        <v>300</v>
      </c>
      <c r="H343" s="12">
        <v>613.75</v>
      </c>
      <c r="I343" s="12">
        <v>3</v>
      </c>
      <c r="J343" s="12"/>
      <c r="K343" s="12" t="s">
        <v>270</v>
      </c>
      <c r="L343" s="12" t="s">
        <v>948</v>
      </c>
      <c r="M343" s="12"/>
    </row>
    <row r="344" spans="1:13" x14ac:dyDescent="0.3">
      <c r="A344" s="12" t="s">
        <v>198</v>
      </c>
      <c r="B344" s="12" t="s">
        <v>485</v>
      </c>
      <c r="C344" s="12" t="s">
        <v>4521</v>
      </c>
      <c r="D344" s="12" t="s">
        <v>272</v>
      </c>
      <c r="E344" s="12" t="s">
        <v>6534</v>
      </c>
      <c r="F344" s="12"/>
      <c r="G344" s="12">
        <v>0.5</v>
      </c>
      <c r="H344" s="12">
        <v>0.53500000000000003</v>
      </c>
      <c r="I344" s="12">
        <v>2</v>
      </c>
      <c r="J344" s="12"/>
      <c r="K344" s="12" t="s">
        <v>273</v>
      </c>
      <c r="L344" s="12" t="s">
        <v>948</v>
      </c>
      <c r="M344" s="12"/>
    </row>
    <row r="345" spans="1:13" x14ac:dyDescent="0.3">
      <c r="A345" s="12" t="s">
        <v>198</v>
      </c>
      <c r="B345" s="12" t="s">
        <v>485</v>
      </c>
      <c r="C345" s="12" t="s">
        <v>4521</v>
      </c>
      <c r="D345" s="12" t="s">
        <v>282</v>
      </c>
      <c r="E345" s="12" t="s">
        <v>6533</v>
      </c>
      <c r="F345" s="12" t="s">
        <v>800</v>
      </c>
      <c r="G345" s="12"/>
      <c r="H345" s="12"/>
      <c r="I345" s="12"/>
      <c r="J345" s="12" t="s">
        <v>749</v>
      </c>
      <c r="K345" s="12" t="s">
        <v>283</v>
      </c>
      <c r="L345" s="12" t="s">
        <v>948</v>
      </c>
      <c r="M345" s="12"/>
    </row>
    <row r="346" spans="1:13" x14ac:dyDescent="0.3">
      <c r="A346" s="12" t="s">
        <v>198</v>
      </c>
      <c r="B346" s="12" t="s">
        <v>485</v>
      </c>
      <c r="C346" s="12" t="s">
        <v>4521</v>
      </c>
      <c r="D346" s="12" t="s">
        <v>1875</v>
      </c>
      <c r="E346" s="12" t="s">
        <v>6534</v>
      </c>
      <c r="F346" s="12"/>
      <c r="G346" s="12">
        <v>0.79500000000000004</v>
      </c>
      <c r="H346" s="12">
        <v>0.95</v>
      </c>
      <c r="I346" s="12">
        <v>5</v>
      </c>
      <c r="J346" s="12"/>
      <c r="K346" s="12" t="s">
        <v>273</v>
      </c>
      <c r="L346" s="12" t="s">
        <v>948</v>
      </c>
      <c r="M346" s="12"/>
    </row>
    <row r="347" spans="1:13" x14ac:dyDescent="0.3">
      <c r="A347" s="12" t="s">
        <v>198</v>
      </c>
      <c r="B347" s="12" t="s">
        <v>485</v>
      </c>
      <c r="C347" s="12" t="s">
        <v>4521</v>
      </c>
      <c r="D347" s="12" t="s">
        <v>1876</v>
      </c>
      <c r="E347" s="12" t="s">
        <v>6534</v>
      </c>
      <c r="F347" s="12"/>
      <c r="G347" s="12">
        <v>0.69500000000000006</v>
      </c>
      <c r="H347" s="12">
        <v>0.80499999999999994</v>
      </c>
      <c r="I347" s="12">
        <v>3</v>
      </c>
      <c r="J347" s="12"/>
      <c r="K347" s="12" t="s">
        <v>273</v>
      </c>
      <c r="L347" s="12" t="s">
        <v>948</v>
      </c>
      <c r="M347" s="12"/>
    </row>
    <row r="348" spans="1:13" x14ac:dyDescent="0.3">
      <c r="A348" s="12" t="s">
        <v>198</v>
      </c>
      <c r="B348" s="12" t="s">
        <v>485</v>
      </c>
      <c r="C348" s="12" t="s">
        <v>4521</v>
      </c>
      <c r="D348" s="12" t="s">
        <v>1877</v>
      </c>
      <c r="E348" s="12" t="s">
        <v>6534</v>
      </c>
      <c r="F348" s="12"/>
      <c r="G348" s="12">
        <v>0.79500000000000004</v>
      </c>
      <c r="H348" s="12">
        <v>0.90500000000000003</v>
      </c>
      <c r="I348" s="12">
        <v>3</v>
      </c>
      <c r="J348" s="12"/>
      <c r="K348" s="12" t="s">
        <v>273</v>
      </c>
      <c r="L348" s="12" t="s">
        <v>948</v>
      </c>
      <c r="M348" s="12"/>
    </row>
    <row r="349" spans="1:13" x14ac:dyDescent="0.3">
      <c r="A349" s="12" t="s">
        <v>198</v>
      </c>
      <c r="B349" s="12" t="s">
        <v>485</v>
      </c>
      <c r="C349" s="12" t="s">
        <v>4521</v>
      </c>
      <c r="D349" s="12" t="s">
        <v>1878</v>
      </c>
      <c r="E349" s="12" t="s">
        <v>6534</v>
      </c>
      <c r="F349" s="12"/>
      <c r="G349" s="12">
        <v>0.69500000000000006</v>
      </c>
      <c r="H349" s="12">
        <v>0.95</v>
      </c>
      <c r="I349" s="12">
        <v>6</v>
      </c>
      <c r="J349" s="12"/>
      <c r="K349" s="12" t="s">
        <v>273</v>
      </c>
      <c r="L349" s="12" t="s">
        <v>948</v>
      </c>
      <c r="M349" s="12"/>
    </row>
    <row r="350" spans="1:13" x14ac:dyDescent="0.3">
      <c r="A350" s="12" t="s">
        <v>198</v>
      </c>
      <c r="B350" s="12" t="s">
        <v>485</v>
      </c>
      <c r="C350" s="12" t="s">
        <v>4521</v>
      </c>
      <c r="D350" s="12" t="s">
        <v>1879</v>
      </c>
      <c r="E350" s="12" t="s">
        <v>6534</v>
      </c>
      <c r="F350" s="12"/>
      <c r="G350" s="12">
        <v>0.74500000000000011</v>
      </c>
      <c r="H350" s="12">
        <v>0.85499999999999998</v>
      </c>
      <c r="I350" s="12">
        <v>3</v>
      </c>
      <c r="J350" s="12"/>
      <c r="K350" s="12" t="s">
        <v>273</v>
      </c>
      <c r="L350" s="12" t="s">
        <v>948</v>
      </c>
      <c r="M350" s="12"/>
    </row>
    <row r="351" spans="1:13" x14ac:dyDescent="0.3">
      <c r="A351" s="12" t="s">
        <v>198</v>
      </c>
      <c r="B351" s="12" t="s">
        <v>485</v>
      </c>
      <c r="C351" s="12" t="s">
        <v>4521</v>
      </c>
      <c r="D351" s="12" t="s">
        <v>1880</v>
      </c>
      <c r="E351" s="12" t="s">
        <v>6534</v>
      </c>
      <c r="F351" s="12"/>
      <c r="G351" s="12">
        <v>278.14999999999998</v>
      </c>
      <c r="H351" s="12">
        <v>280.69</v>
      </c>
      <c r="I351" s="12">
        <v>2</v>
      </c>
      <c r="J351" s="12"/>
      <c r="K351" s="12" t="s">
        <v>275</v>
      </c>
      <c r="L351" s="12" t="s">
        <v>948</v>
      </c>
      <c r="M351" s="12"/>
    </row>
    <row r="352" spans="1:13" x14ac:dyDescent="0.3">
      <c r="A352" s="12" t="s">
        <v>198</v>
      </c>
      <c r="B352" s="12" t="s">
        <v>485</v>
      </c>
      <c r="C352" s="12" t="s">
        <v>4521</v>
      </c>
      <c r="D352" s="12" t="s">
        <v>67</v>
      </c>
      <c r="E352" s="12" t="s">
        <v>6533</v>
      </c>
      <c r="F352" s="12" t="s">
        <v>804</v>
      </c>
      <c r="G352" s="12"/>
      <c r="H352" s="12"/>
      <c r="I352" s="12"/>
      <c r="J352" s="12"/>
      <c r="K352" s="12" t="s">
        <v>273</v>
      </c>
      <c r="L352" s="12" t="s">
        <v>948</v>
      </c>
      <c r="M352" s="12"/>
    </row>
    <row r="353" spans="1:13" x14ac:dyDescent="0.3">
      <c r="A353" s="12" t="s">
        <v>198</v>
      </c>
      <c r="B353" s="12" t="s">
        <v>496</v>
      </c>
      <c r="C353" s="12" t="s">
        <v>4627</v>
      </c>
      <c r="D353" s="12" t="s">
        <v>274</v>
      </c>
      <c r="E353" s="12" t="s">
        <v>6533</v>
      </c>
      <c r="F353" s="12" t="s">
        <v>794</v>
      </c>
      <c r="G353" s="12"/>
      <c r="H353" s="12"/>
      <c r="I353" s="12"/>
      <c r="J353" s="12" t="s">
        <v>749</v>
      </c>
      <c r="K353" s="12" t="s">
        <v>275</v>
      </c>
      <c r="L353" s="12" t="s">
        <v>948</v>
      </c>
      <c r="M353" s="12"/>
    </row>
    <row r="354" spans="1:13" x14ac:dyDescent="0.3">
      <c r="A354" s="12" t="s">
        <v>198</v>
      </c>
      <c r="B354" s="12" t="s">
        <v>496</v>
      </c>
      <c r="C354" s="12" t="s">
        <v>4627</v>
      </c>
      <c r="D354" s="12" t="s">
        <v>276</v>
      </c>
      <c r="E354" s="12" t="s">
        <v>6533</v>
      </c>
      <c r="F354" s="12" t="s">
        <v>795</v>
      </c>
      <c r="G354" s="12"/>
      <c r="H354" s="12"/>
      <c r="I354" s="12"/>
      <c r="J354" s="12" t="s">
        <v>749</v>
      </c>
      <c r="K354" s="12" t="s">
        <v>275</v>
      </c>
      <c r="L354" s="12" t="s">
        <v>948</v>
      </c>
      <c r="M354" s="12"/>
    </row>
    <row r="355" spans="1:13" x14ac:dyDescent="0.3">
      <c r="A355" s="12" t="s">
        <v>198</v>
      </c>
      <c r="B355" s="12" t="s">
        <v>496</v>
      </c>
      <c r="C355" s="12" t="s">
        <v>4627</v>
      </c>
      <c r="D355" s="12" t="s">
        <v>269</v>
      </c>
      <c r="E355" s="12" t="s">
        <v>6534</v>
      </c>
      <c r="F355" s="12"/>
      <c r="G355" s="12">
        <v>3605.950043184831</v>
      </c>
      <c r="H355" s="12">
        <v>5000</v>
      </c>
      <c r="I355" s="12">
        <v>7</v>
      </c>
      <c r="J355" s="12"/>
      <c r="K355" s="12" t="s">
        <v>270</v>
      </c>
      <c r="L355" s="12" t="s">
        <v>948</v>
      </c>
      <c r="M355" s="12"/>
    </row>
    <row r="356" spans="1:13" x14ac:dyDescent="0.3">
      <c r="A356" s="12" t="s">
        <v>198</v>
      </c>
      <c r="B356" s="12" t="s">
        <v>496</v>
      </c>
      <c r="C356" s="12" t="s">
        <v>4627</v>
      </c>
      <c r="D356" s="12" t="s">
        <v>271</v>
      </c>
      <c r="E356" s="12" t="s">
        <v>6534</v>
      </c>
      <c r="F356" s="12"/>
      <c r="G356" s="12">
        <v>1139.5567020080771</v>
      </c>
      <c r="H356" s="12">
        <v>1579.5567020080759</v>
      </c>
      <c r="I356" s="12">
        <v>3</v>
      </c>
      <c r="J356" s="12"/>
      <c r="K356" s="12" t="s">
        <v>270</v>
      </c>
      <c r="L356" s="12" t="s">
        <v>948</v>
      </c>
      <c r="M356" s="12"/>
    </row>
    <row r="357" spans="1:13" x14ac:dyDescent="0.3">
      <c r="A357" s="12" t="s">
        <v>198</v>
      </c>
      <c r="B357" s="12" t="s">
        <v>496</v>
      </c>
      <c r="C357" s="12" t="s">
        <v>4627</v>
      </c>
      <c r="D357" s="12" t="s">
        <v>272</v>
      </c>
      <c r="E357" s="12" t="s">
        <v>6534</v>
      </c>
      <c r="F357" s="12"/>
      <c r="G357" s="12">
        <v>0.79447803278088491</v>
      </c>
      <c r="H357" s="12">
        <v>0.85</v>
      </c>
      <c r="I357" s="12">
        <v>3</v>
      </c>
      <c r="J357" s="12"/>
      <c r="K357" s="12" t="s">
        <v>273</v>
      </c>
      <c r="L357" s="12" t="s">
        <v>948</v>
      </c>
      <c r="M357" s="12"/>
    </row>
    <row r="358" spans="1:13" x14ac:dyDescent="0.3">
      <c r="A358" s="12" t="s">
        <v>198</v>
      </c>
      <c r="B358" s="12" t="s">
        <v>496</v>
      </c>
      <c r="C358" s="12" t="s">
        <v>4627</v>
      </c>
      <c r="D358" s="12" t="s">
        <v>282</v>
      </c>
      <c r="E358" s="12" t="s">
        <v>6533</v>
      </c>
      <c r="F358" s="12" t="s">
        <v>800</v>
      </c>
      <c r="G358" s="12"/>
      <c r="H358" s="12"/>
      <c r="I358" s="12"/>
      <c r="J358" s="12" t="s">
        <v>749</v>
      </c>
      <c r="K358" s="12" t="s">
        <v>283</v>
      </c>
      <c r="L358" s="12" t="s">
        <v>948</v>
      </c>
      <c r="M358" s="12"/>
    </row>
    <row r="359" spans="1:13" x14ac:dyDescent="0.3">
      <c r="A359" s="12" t="s">
        <v>198</v>
      </c>
      <c r="B359" s="12" t="s">
        <v>496</v>
      </c>
      <c r="C359" s="12" t="s">
        <v>4627</v>
      </c>
      <c r="D359" s="12" t="s">
        <v>1875</v>
      </c>
      <c r="E359" s="12" t="s">
        <v>6534</v>
      </c>
      <c r="F359" s="12"/>
      <c r="G359" s="12">
        <v>0.78105590745864795</v>
      </c>
      <c r="H359" s="12">
        <v>0.95</v>
      </c>
      <c r="I359" s="12">
        <v>5</v>
      </c>
      <c r="J359" s="12"/>
      <c r="K359" s="12" t="s">
        <v>273</v>
      </c>
      <c r="L359" s="12" t="s">
        <v>948</v>
      </c>
      <c r="M359" s="12"/>
    </row>
    <row r="360" spans="1:13" x14ac:dyDescent="0.3">
      <c r="A360" s="12" t="s">
        <v>198</v>
      </c>
      <c r="B360" s="12" t="s">
        <v>496</v>
      </c>
      <c r="C360" s="12" t="s">
        <v>4627</v>
      </c>
      <c r="D360" s="12" t="s">
        <v>1876</v>
      </c>
      <c r="E360" s="12" t="s">
        <v>6534</v>
      </c>
      <c r="F360" s="12"/>
      <c r="G360" s="12">
        <v>0.78253427271834886</v>
      </c>
      <c r="H360" s="12">
        <v>0.89253427271834873</v>
      </c>
      <c r="I360" s="12">
        <v>3</v>
      </c>
      <c r="J360" s="12"/>
      <c r="K360" s="12" t="s">
        <v>273</v>
      </c>
      <c r="L360" s="12" t="s">
        <v>948</v>
      </c>
      <c r="M360" s="12"/>
    </row>
    <row r="361" spans="1:13" x14ac:dyDescent="0.3">
      <c r="A361" s="12" t="s">
        <v>198</v>
      </c>
      <c r="B361" s="12" t="s">
        <v>496</v>
      </c>
      <c r="C361" s="12" t="s">
        <v>4627</v>
      </c>
      <c r="D361" s="12" t="s">
        <v>1877</v>
      </c>
      <c r="E361" s="12" t="s">
        <v>6534</v>
      </c>
      <c r="F361" s="12"/>
      <c r="G361" s="12">
        <v>0.44136588557613671</v>
      </c>
      <c r="H361" s="12">
        <v>0.55136588557613675</v>
      </c>
      <c r="I361" s="12">
        <v>3</v>
      </c>
      <c r="J361" s="12"/>
      <c r="K361" s="12" t="s">
        <v>273</v>
      </c>
      <c r="L361" s="12" t="s">
        <v>948</v>
      </c>
      <c r="M361" s="12"/>
    </row>
    <row r="362" spans="1:13" x14ac:dyDescent="0.3">
      <c r="A362" s="12" t="s">
        <v>198</v>
      </c>
      <c r="B362" s="12" t="s">
        <v>496</v>
      </c>
      <c r="C362" s="12" t="s">
        <v>4627</v>
      </c>
      <c r="D362" s="12" t="s">
        <v>1878</v>
      </c>
      <c r="E362" s="12" t="s">
        <v>6534</v>
      </c>
      <c r="F362" s="12"/>
      <c r="G362" s="12">
        <v>0.86167759460772864</v>
      </c>
      <c r="H362" s="12">
        <v>0.95</v>
      </c>
      <c r="I362" s="12">
        <v>3</v>
      </c>
      <c r="J362" s="12"/>
      <c r="K362" s="12" t="s">
        <v>273</v>
      </c>
      <c r="L362" s="12" t="s">
        <v>948</v>
      </c>
      <c r="M362" s="12"/>
    </row>
    <row r="363" spans="1:13" x14ac:dyDescent="0.3">
      <c r="A363" s="12" t="s">
        <v>198</v>
      </c>
      <c r="B363" s="12" t="s">
        <v>496</v>
      </c>
      <c r="C363" s="12" t="s">
        <v>4627</v>
      </c>
      <c r="D363" s="12" t="s">
        <v>1879</v>
      </c>
      <c r="E363" s="12" t="s">
        <v>6534</v>
      </c>
      <c r="F363" s="12"/>
      <c r="G363" s="12">
        <v>0.89078817753558437</v>
      </c>
      <c r="H363" s="12">
        <v>0.95</v>
      </c>
      <c r="I363" s="12">
        <v>3</v>
      </c>
      <c r="J363" s="12"/>
      <c r="K363" s="12" t="s">
        <v>273</v>
      </c>
      <c r="L363" s="12" t="s">
        <v>948</v>
      </c>
      <c r="M363" s="12"/>
    </row>
    <row r="364" spans="1:13" x14ac:dyDescent="0.3">
      <c r="A364" s="12" t="s">
        <v>198</v>
      </c>
      <c r="B364" s="12" t="s">
        <v>496</v>
      </c>
      <c r="C364" s="12" t="s">
        <v>4627</v>
      </c>
      <c r="D364" s="12" t="s">
        <v>1880</v>
      </c>
      <c r="E364" s="12" t="s">
        <v>6533</v>
      </c>
      <c r="F364" s="12" t="s">
        <v>795</v>
      </c>
      <c r="G364" s="12"/>
      <c r="H364" s="12"/>
      <c r="I364" s="12"/>
      <c r="J364" s="12" t="s">
        <v>749</v>
      </c>
      <c r="K364" s="12" t="s">
        <v>275</v>
      </c>
      <c r="L364" s="12" t="s">
        <v>948</v>
      </c>
      <c r="M364" s="12"/>
    </row>
    <row r="365" spans="1:13" x14ac:dyDescent="0.3">
      <c r="A365" s="12" t="s">
        <v>198</v>
      </c>
      <c r="B365" s="12" t="s">
        <v>496</v>
      </c>
      <c r="C365" s="12" t="s">
        <v>4627</v>
      </c>
      <c r="D365" s="12" t="s">
        <v>67</v>
      </c>
      <c r="E365" s="12" t="s">
        <v>6533</v>
      </c>
      <c r="F365" s="12" t="s">
        <v>804</v>
      </c>
      <c r="G365" s="12"/>
      <c r="H365" s="12"/>
      <c r="I365" s="12"/>
      <c r="J365" s="12"/>
      <c r="K365" s="12" t="s">
        <v>273</v>
      </c>
      <c r="L365" s="12" t="s">
        <v>948</v>
      </c>
      <c r="M365" s="12"/>
    </row>
    <row r="366" spans="1:13" x14ac:dyDescent="0.3">
      <c r="A366" s="12" t="s">
        <v>198</v>
      </c>
      <c r="B366" s="12" t="s">
        <v>505</v>
      </c>
      <c r="C366" s="12" t="s">
        <v>4740</v>
      </c>
      <c r="D366" s="12" t="s">
        <v>274</v>
      </c>
      <c r="E366" s="12" t="s">
        <v>6534</v>
      </c>
      <c r="F366" s="12"/>
      <c r="G366" s="12">
        <v>391</v>
      </c>
      <c r="H366" s="12">
        <v>427</v>
      </c>
      <c r="I366" s="12">
        <v>4</v>
      </c>
      <c r="J366" s="12"/>
      <c r="K366" s="12" t="s">
        <v>275</v>
      </c>
      <c r="L366" s="12" t="s">
        <v>948</v>
      </c>
      <c r="M366" s="12"/>
    </row>
    <row r="367" spans="1:13" x14ac:dyDescent="0.3">
      <c r="A367" s="12" t="s">
        <v>198</v>
      </c>
      <c r="B367" s="12" t="s">
        <v>505</v>
      </c>
      <c r="C367" s="12" t="s">
        <v>4740</v>
      </c>
      <c r="D367" s="12" t="s">
        <v>276</v>
      </c>
      <c r="E367" s="12" t="s">
        <v>6533</v>
      </c>
      <c r="F367" s="12" t="s">
        <v>795</v>
      </c>
      <c r="G367" s="12"/>
      <c r="H367" s="12"/>
      <c r="I367" s="12"/>
      <c r="J367" s="12" t="s">
        <v>749</v>
      </c>
      <c r="K367" s="12" t="s">
        <v>275</v>
      </c>
      <c r="L367" s="12" t="s">
        <v>948</v>
      </c>
      <c r="M367" s="12"/>
    </row>
    <row r="368" spans="1:13" x14ac:dyDescent="0.3">
      <c r="A368" s="12" t="s">
        <v>198</v>
      </c>
      <c r="B368" s="12" t="s">
        <v>505</v>
      </c>
      <c r="C368" s="12" t="s">
        <v>4740</v>
      </c>
      <c r="D368" s="12" t="s">
        <v>269</v>
      </c>
      <c r="E368" s="12" t="s">
        <v>6533</v>
      </c>
      <c r="F368" s="12" t="s">
        <v>805</v>
      </c>
      <c r="G368" s="12"/>
      <c r="H368" s="12"/>
      <c r="I368" s="12"/>
      <c r="J368" s="12" t="s">
        <v>749</v>
      </c>
      <c r="K368" s="12" t="s">
        <v>270</v>
      </c>
      <c r="L368" s="12" t="s">
        <v>948</v>
      </c>
      <c r="M368" s="12"/>
    </row>
    <row r="369" spans="1:13" x14ac:dyDescent="0.3">
      <c r="A369" s="12" t="s">
        <v>198</v>
      </c>
      <c r="B369" s="12" t="s">
        <v>505</v>
      </c>
      <c r="C369" s="12" t="s">
        <v>4740</v>
      </c>
      <c r="D369" s="12" t="s">
        <v>271</v>
      </c>
      <c r="E369" s="12" t="s">
        <v>6533</v>
      </c>
      <c r="F369" s="12" t="s">
        <v>798</v>
      </c>
      <c r="G369" s="12"/>
      <c r="H369" s="12"/>
      <c r="I369" s="12"/>
      <c r="J369" s="12" t="s">
        <v>749</v>
      </c>
      <c r="K369" s="12" t="s">
        <v>270</v>
      </c>
      <c r="L369" s="12" t="s">
        <v>948</v>
      </c>
      <c r="M369" s="12"/>
    </row>
    <row r="370" spans="1:13" x14ac:dyDescent="0.3">
      <c r="A370" s="12" t="s">
        <v>198</v>
      </c>
      <c r="B370" s="12" t="s">
        <v>505</v>
      </c>
      <c r="C370" s="12" t="s">
        <v>4740</v>
      </c>
      <c r="D370" s="12" t="s">
        <v>272</v>
      </c>
      <c r="E370" s="12" t="s">
        <v>6534</v>
      </c>
      <c r="F370" s="12"/>
      <c r="G370" s="12">
        <v>0.5</v>
      </c>
      <c r="H370" s="12">
        <v>0.53500000000000003</v>
      </c>
      <c r="I370" s="12">
        <v>2</v>
      </c>
      <c r="J370" s="12"/>
      <c r="K370" s="12" t="s">
        <v>273</v>
      </c>
      <c r="L370" s="12" t="s">
        <v>948</v>
      </c>
      <c r="M370" s="12"/>
    </row>
    <row r="371" spans="1:13" x14ac:dyDescent="0.3">
      <c r="A371" s="12" t="s">
        <v>198</v>
      </c>
      <c r="B371" s="12" t="s">
        <v>505</v>
      </c>
      <c r="C371" s="12" t="s">
        <v>4740</v>
      </c>
      <c r="D371" s="12" t="s">
        <v>282</v>
      </c>
      <c r="E371" s="12" t="s">
        <v>6533</v>
      </c>
      <c r="F371" s="12" t="s">
        <v>800</v>
      </c>
      <c r="G371" s="12"/>
      <c r="H371" s="12"/>
      <c r="I371" s="12"/>
      <c r="J371" s="12" t="s">
        <v>749</v>
      </c>
      <c r="K371" s="12" t="s">
        <v>283</v>
      </c>
      <c r="L371" s="12" t="s">
        <v>948</v>
      </c>
      <c r="M371" s="12"/>
    </row>
    <row r="372" spans="1:13" x14ac:dyDescent="0.3">
      <c r="A372" s="12" t="s">
        <v>198</v>
      </c>
      <c r="B372" s="12" t="s">
        <v>505</v>
      </c>
      <c r="C372" s="12" t="s">
        <v>4740</v>
      </c>
      <c r="D372" s="12" t="s">
        <v>1875</v>
      </c>
      <c r="E372" s="12" t="s">
        <v>6534</v>
      </c>
      <c r="F372" s="12"/>
      <c r="G372" s="12">
        <v>0.79500000000000004</v>
      </c>
      <c r="H372" s="12">
        <v>0.95</v>
      </c>
      <c r="I372" s="12">
        <v>5</v>
      </c>
      <c r="J372" s="12"/>
      <c r="K372" s="12" t="s">
        <v>273</v>
      </c>
      <c r="L372" s="12" t="s">
        <v>948</v>
      </c>
      <c r="M372" s="12"/>
    </row>
    <row r="373" spans="1:13" x14ac:dyDescent="0.3">
      <c r="A373" s="12" t="s">
        <v>198</v>
      </c>
      <c r="B373" s="12" t="s">
        <v>505</v>
      </c>
      <c r="C373" s="12" t="s">
        <v>4740</v>
      </c>
      <c r="D373" s="12" t="s">
        <v>1876</v>
      </c>
      <c r="E373" s="12" t="s">
        <v>6534</v>
      </c>
      <c r="F373" s="12"/>
      <c r="G373" s="12">
        <v>0.69500000000000006</v>
      </c>
      <c r="H373" s="12">
        <v>0.85999999999999988</v>
      </c>
      <c r="I373" s="12">
        <v>4</v>
      </c>
      <c r="J373" s="12"/>
      <c r="K373" s="12" t="s">
        <v>273</v>
      </c>
      <c r="L373" s="12" t="s">
        <v>948</v>
      </c>
      <c r="M373" s="12"/>
    </row>
    <row r="374" spans="1:13" x14ac:dyDescent="0.3">
      <c r="A374" s="12" t="s">
        <v>198</v>
      </c>
      <c r="B374" s="12" t="s">
        <v>505</v>
      </c>
      <c r="C374" s="12" t="s">
        <v>4740</v>
      </c>
      <c r="D374" s="12" t="s">
        <v>1877</v>
      </c>
      <c r="E374" s="12" t="s">
        <v>6534</v>
      </c>
      <c r="F374" s="12"/>
      <c r="G374" s="12">
        <v>0.79500000000000004</v>
      </c>
      <c r="H374" s="12">
        <v>0.95</v>
      </c>
      <c r="I374" s="12">
        <v>4</v>
      </c>
      <c r="J374" s="12"/>
      <c r="K374" s="12" t="s">
        <v>273</v>
      </c>
      <c r="L374" s="12" t="s">
        <v>948</v>
      </c>
      <c r="M374" s="12"/>
    </row>
    <row r="375" spans="1:13" x14ac:dyDescent="0.3">
      <c r="A375" s="12" t="s">
        <v>198</v>
      </c>
      <c r="B375" s="12" t="s">
        <v>505</v>
      </c>
      <c r="C375" s="12" t="s">
        <v>4740</v>
      </c>
      <c r="D375" s="12" t="s">
        <v>1878</v>
      </c>
      <c r="E375" s="12" t="s">
        <v>6534</v>
      </c>
      <c r="F375" s="12"/>
      <c r="G375" s="12">
        <v>0.69500000000000006</v>
      </c>
      <c r="H375" s="12">
        <v>0.95</v>
      </c>
      <c r="I375" s="12">
        <v>7</v>
      </c>
      <c r="J375" s="12"/>
      <c r="K375" s="12" t="s">
        <v>273</v>
      </c>
      <c r="L375" s="12" t="s">
        <v>948</v>
      </c>
      <c r="M375" s="12"/>
    </row>
    <row r="376" spans="1:13" x14ac:dyDescent="0.3">
      <c r="A376" s="12" t="s">
        <v>198</v>
      </c>
      <c r="B376" s="12" t="s">
        <v>505</v>
      </c>
      <c r="C376" s="12" t="s">
        <v>4740</v>
      </c>
      <c r="D376" s="12" t="s">
        <v>1879</v>
      </c>
      <c r="E376" s="12" t="s">
        <v>6534</v>
      </c>
      <c r="F376" s="12"/>
      <c r="G376" s="12">
        <v>0.89500000000000002</v>
      </c>
      <c r="H376" s="12">
        <v>0.95</v>
      </c>
      <c r="I376" s="12">
        <v>2</v>
      </c>
      <c r="J376" s="12"/>
      <c r="K376" s="12" t="s">
        <v>273</v>
      </c>
      <c r="L376" s="12" t="s">
        <v>948</v>
      </c>
      <c r="M376" s="12"/>
    </row>
    <row r="377" spans="1:13" x14ac:dyDescent="0.3">
      <c r="A377" s="12" t="s">
        <v>198</v>
      </c>
      <c r="B377" s="12" t="s">
        <v>505</v>
      </c>
      <c r="C377" s="12" t="s">
        <v>4740</v>
      </c>
      <c r="D377" s="12" t="s">
        <v>1880</v>
      </c>
      <c r="E377" s="12" t="s">
        <v>6533</v>
      </c>
      <c r="F377" s="12" t="s">
        <v>795</v>
      </c>
      <c r="G377" s="12"/>
      <c r="H377" s="12"/>
      <c r="I377" s="12"/>
      <c r="J377" s="12" t="s">
        <v>749</v>
      </c>
      <c r="K377" s="12" t="s">
        <v>275</v>
      </c>
      <c r="L377" s="12" t="s">
        <v>948</v>
      </c>
      <c r="M377" s="12"/>
    </row>
    <row r="378" spans="1:13" x14ac:dyDescent="0.3">
      <c r="A378" s="12" t="s">
        <v>198</v>
      </c>
      <c r="B378" s="12" t="s">
        <v>505</v>
      </c>
      <c r="C378" s="12" t="s">
        <v>4740</v>
      </c>
      <c r="D378" s="12" t="s">
        <v>67</v>
      </c>
      <c r="E378" s="12" t="s">
        <v>6533</v>
      </c>
      <c r="F378" s="12" t="s">
        <v>804</v>
      </c>
      <c r="G378" s="12"/>
      <c r="H378" s="12"/>
      <c r="I378" s="12"/>
      <c r="J378" s="12"/>
      <c r="K378" s="12" t="s">
        <v>273</v>
      </c>
      <c r="L378" s="12" t="s">
        <v>948</v>
      </c>
      <c r="M378" s="12"/>
    </row>
    <row r="379" spans="1:13" x14ac:dyDescent="0.3">
      <c r="A379" s="12" t="s">
        <v>198</v>
      </c>
      <c r="B379" s="12" t="s">
        <v>509</v>
      </c>
      <c r="C379" s="12" t="s">
        <v>4854</v>
      </c>
      <c r="D379" s="12" t="s">
        <v>274</v>
      </c>
      <c r="E379" s="12" t="s">
        <v>6533</v>
      </c>
      <c r="F379" s="12" t="s">
        <v>794</v>
      </c>
      <c r="G379" s="12"/>
      <c r="H379" s="12"/>
      <c r="I379" s="12"/>
      <c r="J379" s="12" t="s">
        <v>749</v>
      </c>
      <c r="K379" s="12" t="s">
        <v>275</v>
      </c>
      <c r="L379" s="12" t="s">
        <v>948</v>
      </c>
      <c r="M379" s="12"/>
    </row>
    <row r="380" spans="1:13" x14ac:dyDescent="0.3">
      <c r="A380" s="12" t="s">
        <v>198</v>
      </c>
      <c r="B380" s="12" t="s">
        <v>509</v>
      </c>
      <c r="C380" s="12" t="s">
        <v>4854</v>
      </c>
      <c r="D380" s="12" t="s">
        <v>276</v>
      </c>
      <c r="E380" s="12" t="s">
        <v>6534</v>
      </c>
      <c r="F380" s="12"/>
      <c r="G380" s="12">
        <v>300.04136184316991</v>
      </c>
      <c r="H380" s="12">
        <v>303.55</v>
      </c>
      <c r="I380" s="12">
        <v>3</v>
      </c>
      <c r="J380" s="12"/>
      <c r="K380" s="12" t="s">
        <v>275</v>
      </c>
      <c r="L380" s="12" t="s">
        <v>948</v>
      </c>
      <c r="M380" s="12"/>
    </row>
    <row r="381" spans="1:13" x14ac:dyDescent="0.3">
      <c r="A381" s="12" t="s">
        <v>198</v>
      </c>
      <c r="B381" s="12" t="s">
        <v>509</v>
      </c>
      <c r="C381" s="12" t="s">
        <v>4854</v>
      </c>
      <c r="D381" s="12" t="s">
        <v>269</v>
      </c>
      <c r="E381" s="12" t="s">
        <v>6534</v>
      </c>
      <c r="F381" s="12"/>
      <c r="G381" s="12">
        <v>4508.3419580395002</v>
      </c>
      <c r="H381" s="12">
        <v>5000</v>
      </c>
      <c r="I381" s="12">
        <v>3</v>
      </c>
      <c r="J381" s="12"/>
      <c r="K381" s="12" t="s">
        <v>270</v>
      </c>
      <c r="L381" s="12" t="s">
        <v>948</v>
      </c>
      <c r="M381" s="12"/>
    </row>
    <row r="382" spans="1:13" x14ac:dyDescent="0.3">
      <c r="A382" s="12" t="s">
        <v>198</v>
      </c>
      <c r="B382" s="12" t="s">
        <v>509</v>
      </c>
      <c r="C382" s="12" t="s">
        <v>4854</v>
      </c>
      <c r="D382" s="12" t="s">
        <v>271</v>
      </c>
      <c r="E382" s="12" t="s">
        <v>6534</v>
      </c>
      <c r="F382" s="12"/>
      <c r="G382" s="12">
        <v>802.27438980726458</v>
      </c>
      <c r="H382" s="12">
        <v>1462.2743898072649</v>
      </c>
      <c r="I382" s="12">
        <v>4</v>
      </c>
      <c r="J382" s="12"/>
      <c r="K382" s="12" t="s">
        <v>270</v>
      </c>
      <c r="L382" s="12" t="s">
        <v>948</v>
      </c>
      <c r="M382" s="12"/>
    </row>
    <row r="383" spans="1:13" x14ac:dyDescent="0.3">
      <c r="A383" s="12" t="s">
        <v>198</v>
      </c>
      <c r="B383" s="12" t="s">
        <v>509</v>
      </c>
      <c r="C383" s="12" t="s">
        <v>4854</v>
      </c>
      <c r="D383" s="12" t="s">
        <v>272</v>
      </c>
      <c r="E383" s="12" t="s">
        <v>6533</v>
      </c>
      <c r="F383" s="12" t="s">
        <v>799</v>
      </c>
      <c r="G383" s="12"/>
      <c r="H383" s="12"/>
      <c r="I383" s="12"/>
      <c r="J383" s="12" t="s">
        <v>749</v>
      </c>
      <c r="K383" s="12" t="s">
        <v>273</v>
      </c>
      <c r="L383" s="12" t="s">
        <v>948</v>
      </c>
      <c r="M383" s="12"/>
    </row>
    <row r="384" spans="1:13" x14ac:dyDescent="0.3">
      <c r="A384" s="12" t="s">
        <v>198</v>
      </c>
      <c r="B384" s="12" t="s">
        <v>509</v>
      </c>
      <c r="C384" s="12" t="s">
        <v>4854</v>
      </c>
      <c r="D384" s="12" t="s">
        <v>282</v>
      </c>
      <c r="E384" s="12" t="s">
        <v>6533</v>
      </c>
      <c r="F384" s="12" t="s">
        <v>800</v>
      </c>
      <c r="G384" s="12"/>
      <c r="H384" s="12"/>
      <c r="I384" s="12"/>
      <c r="J384" s="12" t="s">
        <v>749</v>
      </c>
      <c r="K384" s="12" t="s">
        <v>283</v>
      </c>
      <c r="L384" s="12" t="s">
        <v>948</v>
      </c>
      <c r="M384" s="12"/>
    </row>
    <row r="385" spans="1:13" x14ac:dyDescent="0.3">
      <c r="A385" s="12" t="s">
        <v>198</v>
      </c>
      <c r="B385" s="12" t="s">
        <v>509</v>
      </c>
      <c r="C385" s="12" t="s">
        <v>4854</v>
      </c>
      <c r="D385" s="12" t="s">
        <v>1875</v>
      </c>
      <c r="E385" s="12" t="s">
        <v>6534</v>
      </c>
      <c r="F385" s="12"/>
      <c r="G385" s="12">
        <v>0.86749167471066713</v>
      </c>
      <c r="H385" s="12">
        <v>0.95</v>
      </c>
      <c r="I385" s="12">
        <v>3</v>
      </c>
      <c r="J385" s="12"/>
      <c r="K385" s="12" t="s">
        <v>273</v>
      </c>
      <c r="L385" s="12" t="s">
        <v>948</v>
      </c>
      <c r="M385" s="12"/>
    </row>
    <row r="386" spans="1:13" x14ac:dyDescent="0.3">
      <c r="A386" s="12" t="s">
        <v>198</v>
      </c>
      <c r="B386" s="12" t="s">
        <v>509</v>
      </c>
      <c r="C386" s="12" t="s">
        <v>4854</v>
      </c>
      <c r="D386" s="12" t="s">
        <v>1876</v>
      </c>
      <c r="E386" s="12" t="s">
        <v>6534</v>
      </c>
      <c r="F386" s="12"/>
      <c r="G386" s="12">
        <v>0.521065899468379</v>
      </c>
      <c r="H386" s="12">
        <v>0.6310658994683791</v>
      </c>
      <c r="I386" s="12">
        <v>3</v>
      </c>
      <c r="J386" s="12"/>
      <c r="K386" s="12" t="s">
        <v>273</v>
      </c>
      <c r="L386" s="12" t="s">
        <v>948</v>
      </c>
      <c r="M386" s="12"/>
    </row>
    <row r="387" spans="1:13" x14ac:dyDescent="0.3">
      <c r="A387" s="12" t="s">
        <v>198</v>
      </c>
      <c r="B387" s="12" t="s">
        <v>509</v>
      </c>
      <c r="C387" s="12" t="s">
        <v>4854</v>
      </c>
      <c r="D387" s="12" t="s">
        <v>1877</v>
      </c>
      <c r="E387" s="12" t="s">
        <v>6534</v>
      </c>
      <c r="F387" s="12"/>
      <c r="G387" s="12">
        <v>0.4</v>
      </c>
      <c r="H387" s="12">
        <v>0.51730215523492062</v>
      </c>
      <c r="I387" s="12">
        <v>4</v>
      </c>
      <c r="J387" s="12"/>
      <c r="K387" s="12" t="s">
        <v>273</v>
      </c>
      <c r="L387" s="12" t="s">
        <v>948</v>
      </c>
      <c r="M387" s="12"/>
    </row>
    <row r="388" spans="1:13" x14ac:dyDescent="0.3">
      <c r="A388" s="12" t="s">
        <v>198</v>
      </c>
      <c r="B388" s="12" t="s">
        <v>509</v>
      </c>
      <c r="C388" s="12" t="s">
        <v>4854</v>
      </c>
      <c r="D388" s="12" t="s">
        <v>1878</v>
      </c>
      <c r="E388" s="12" t="s">
        <v>6534</v>
      </c>
      <c r="F388" s="12"/>
      <c r="G388" s="12">
        <v>0.4</v>
      </c>
      <c r="H388" s="12">
        <v>0.68511451006099677</v>
      </c>
      <c r="I388" s="12">
        <v>7</v>
      </c>
      <c r="J388" s="12"/>
      <c r="K388" s="12" t="s">
        <v>273</v>
      </c>
      <c r="L388" s="12" t="s">
        <v>948</v>
      </c>
      <c r="M388" s="12"/>
    </row>
    <row r="389" spans="1:13" x14ac:dyDescent="0.3">
      <c r="A389" s="12" t="s">
        <v>198</v>
      </c>
      <c r="B389" s="12" t="s">
        <v>509</v>
      </c>
      <c r="C389" s="12" t="s">
        <v>4854</v>
      </c>
      <c r="D389" s="12" t="s">
        <v>1879</v>
      </c>
      <c r="E389" s="12" t="s">
        <v>6534</v>
      </c>
      <c r="F389" s="12"/>
      <c r="G389" s="12">
        <v>0.82341579594922876</v>
      </c>
      <c r="H389" s="12">
        <v>0.93341579594922863</v>
      </c>
      <c r="I389" s="12">
        <v>3</v>
      </c>
      <c r="J389" s="12"/>
      <c r="K389" s="12" t="s">
        <v>273</v>
      </c>
      <c r="L389" s="12" t="s">
        <v>948</v>
      </c>
      <c r="M389" s="12"/>
    </row>
    <row r="390" spans="1:13" x14ac:dyDescent="0.3">
      <c r="A390" s="12" t="s">
        <v>198</v>
      </c>
      <c r="B390" s="12" t="s">
        <v>509</v>
      </c>
      <c r="C390" s="12" t="s">
        <v>4854</v>
      </c>
      <c r="D390" s="12" t="s">
        <v>1880</v>
      </c>
      <c r="E390" s="12" t="s">
        <v>6534</v>
      </c>
      <c r="F390" s="12"/>
      <c r="G390" s="12">
        <v>300.04136184316991</v>
      </c>
      <c r="H390" s="12">
        <v>303.55</v>
      </c>
      <c r="I390" s="12">
        <v>3</v>
      </c>
      <c r="J390" s="12"/>
      <c r="K390" s="12" t="s">
        <v>275</v>
      </c>
      <c r="L390" s="12" t="s">
        <v>948</v>
      </c>
      <c r="M390" s="12"/>
    </row>
    <row r="391" spans="1:13" x14ac:dyDescent="0.3">
      <c r="A391" s="12" t="s">
        <v>198</v>
      </c>
      <c r="B391" s="12" t="s">
        <v>509</v>
      </c>
      <c r="C391" s="12" t="s">
        <v>4854</v>
      </c>
      <c r="D391" s="12" t="s">
        <v>67</v>
      </c>
      <c r="E391" s="12" t="s">
        <v>6533</v>
      </c>
      <c r="F391" s="12" t="s">
        <v>804</v>
      </c>
      <c r="G391" s="12"/>
      <c r="H391" s="12"/>
      <c r="I391" s="12"/>
      <c r="J391" s="12"/>
      <c r="K391" s="12" t="s">
        <v>273</v>
      </c>
      <c r="L391" s="12" t="s">
        <v>948</v>
      </c>
      <c r="M391" s="12"/>
    </row>
    <row r="392" spans="1:13" x14ac:dyDescent="0.3">
      <c r="A392" s="12" t="s">
        <v>6536</v>
      </c>
      <c r="B392" s="12" t="s">
        <v>6536</v>
      </c>
      <c r="C392" s="12" t="s">
        <v>6537</v>
      </c>
      <c r="D392" s="12" t="s">
        <v>274</v>
      </c>
      <c r="E392" s="12" t="s">
        <v>6534</v>
      </c>
      <c r="F392" s="12"/>
      <c r="G392" s="12">
        <v>403</v>
      </c>
      <c r="H392" s="12">
        <v>436.09695310912758</v>
      </c>
      <c r="I392" s="12">
        <v>2</v>
      </c>
      <c r="J392" s="12"/>
      <c r="K392" s="12" t="s">
        <v>275</v>
      </c>
      <c r="L392" s="12" t="s">
        <v>749</v>
      </c>
      <c r="M392" s="12">
        <v>403</v>
      </c>
    </row>
    <row r="393" spans="1:13" x14ac:dyDescent="0.3">
      <c r="A393" s="12" t="s">
        <v>6536</v>
      </c>
      <c r="B393" s="12" t="s">
        <v>6536</v>
      </c>
      <c r="C393" s="12" t="s">
        <v>6537</v>
      </c>
      <c r="D393" s="12" t="s">
        <v>276</v>
      </c>
      <c r="E393" s="12" t="s">
        <v>6534</v>
      </c>
      <c r="F393" s="12"/>
      <c r="G393" s="12">
        <v>279.09770132054479</v>
      </c>
      <c r="H393" s="12">
        <v>300.032917</v>
      </c>
      <c r="I393" s="12">
        <v>2</v>
      </c>
      <c r="J393" s="12"/>
      <c r="K393" s="12" t="s">
        <v>275</v>
      </c>
      <c r="L393" s="12" t="s">
        <v>749</v>
      </c>
      <c r="M393" s="12">
        <v>279.09800000000001</v>
      </c>
    </row>
    <row r="394" spans="1:13" x14ac:dyDescent="0.3">
      <c r="A394" s="12" t="s">
        <v>6536</v>
      </c>
      <c r="B394" s="12" t="s">
        <v>6536</v>
      </c>
      <c r="C394" s="12" t="s">
        <v>6537</v>
      </c>
      <c r="D394" s="12" t="s">
        <v>269</v>
      </c>
      <c r="E394" s="12" t="s">
        <v>6534</v>
      </c>
      <c r="F394" s="12"/>
      <c r="G394" s="12">
        <v>3000</v>
      </c>
      <c r="H394" s="12">
        <v>4381.8230245237683</v>
      </c>
      <c r="I394" s="12">
        <v>2</v>
      </c>
      <c r="J394" s="12"/>
      <c r="K394" s="12" t="s">
        <v>270</v>
      </c>
      <c r="L394" s="12" t="s">
        <v>749</v>
      </c>
      <c r="M394" s="12">
        <v>3000</v>
      </c>
    </row>
    <row r="395" spans="1:13" x14ac:dyDescent="0.3">
      <c r="A395" s="12" t="s">
        <v>6536</v>
      </c>
      <c r="B395" s="12" t="s">
        <v>6536</v>
      </c>
      <c r="C395" s="12" t="s">
        <v>6537</v>
      </c>
      <c r="D395" s="12" t="s">
        <v>271</v>
      </c>
      <c r="E395" s="12" t="s">
        <v>6534</v>
      </c>
      <c r="F395" s="12"/>
      <c r="G395" s="12">
        <v>563.63636363636374</v>
      </c>
      <c r="H395" s="12">
        <v>808.34025773909616</v>
      </c>
      <c r="I395" s="12">
        <v>2</v>
      </c>
      <c r="J395" s="12"/>
      <c r="K395" s="12" t="s">
        <v>270</v>
      </c>
      <c r="L395" s="12" t="s">
        <v>749</v>
      </c>
      <c r="M395" s="12">
        <v>563.63599999999997</v>
      </c>
    </row>
    <row r="396" spans="1:13" x14ac:dyDescent="0.3">
      <c r="A396" s="12" t="s">
        <v>6536</v>
      </c>
      <c r="B396" s="12" t="s">
        <v>6536</v>
      </c>
      <c r="C396" s="12" t="s">
        <v>6537</v>
      </c>
      <c r="D396" s="12" t="s">
        <v>272</v>
      </c>
      <c r="E396" s="12" t="s">
        <v>6534</v>
      </c>
      <c r="F396" s="12"/>
      <c r="G396" s="12">
        <v>0.5</v>
      </c>
      <c r="H396" s="12">
        <v>0.70474897094989508</v>
      </c>
      <c r="I396" s="12">
        <v>2</v>
      </c>
      <c r="J396" s="12"/>
      <c r="K396" s="12" t="s">
        <v>273</v>
      </c>
      <c r="L396" s="12" t="s">
        <v>749</v>
      </c>
      <c r="M396" s="12">
        <v>0.5</v>
      </c>
    </row>
    <row r="397" spans="1:13" x14ac:dyDescent="0.3">
      <c r="A397" s="12" t="s">
        <v>6536</v>
      </c>
      <c r="B397" s="12" t="s">
        <v>6536</v>
      </c>
      <c r="C397" s="12" t="s">
        <v>6537</v>
      </c>
      <c r="D397" s="12" t="s">
        <v>282</v>
      </c>
      <c r="E397" s="12" t="s">
        <v>6533</v>
      </c>
      <c r="F397" s="12" t="s">
        <v>800</v>
      </c>
      <c r="G397" s="12"/>
      <c r="H397" s="12"/>
      <c r="I397" s="12"/>
      <c r="J397" s="12" t="s">
        <v>749</v>
      </c>
      <c r="K397" s="12" t="s">
        <v>283</v>
      </c>
      <c r="L397" s="12" t="s">
        <v>749</v>
      </c>
      <c r="M397" s="12">
        <v>1</v>
      </c>
    </row>
    <row r="398" spans="1:13" x14ac:dyDescent="0.3">
      <c r="A398" s="12" t="s">
        <v>6536</v>
      </c>
      <c r="B398" s="12" t="s">
        <v>6536</v>
      </c>
      <c r="C398" s="12" t="s">
        <v>6537</v>
      </c>
      <c r="D398" s="12" t="s">
        <v>1875</v>
      </c>
      <c r="E398" s="12" t="s">
        <v>6534</v>
      </c>
      <c r="F398" s="12"/>
      <c r="G398" s="12">
        <v>0.2</v>
      </c>
      <c r="H398" s="12">
        <v>0.99</v>
      </c>
      <c r="I398" s="12">
        <v>16</v>
      </c>
      <c r="J398" s="12"/>
      <c r="K398" s="12" t="s">
        <v>273</v>
      </c>
      <c r="L398" s="12" t="s">
        <v>749</v>
      </c>
      <c r="M398" s="12">
        <v>0.85</v>
      </c>
    </row>
    <row r="399" spans="1:13" x14ac:dyDescent="0.3">
      <c r="A399" s="12" t="s">
        <v>6536</v>
      </c>
      <c r="B399" s="12" t="s">
        <v>6536</v>
      </c>
      <c r="C399" s="12" t="s">
        <v>6537</v>
      </c>
      <c r="D399" s="12" t="s">
        <v>1876</v>
      </c>
      <c r="E399" s="12" t="s">
        <v>6534</v>
      </c>
      <c r="F399" s="12"/>
      <c r="G399" s="12">
        <v>0.2</v>
      </c>
      <c r="H399" s="12">
        <v>0.99</v>
      </c>
      <c r="I399" s="12">
        <v>18</v>
      </c>
      <c r="J399" s="12"/>
      <c r="K399" s="12" t="s">
        <v>273</v>
      </c>
      <c r="L399" s="12" t="s">
        <v>749</v>
      </c>
      <c r="M399" s="12">
        <v>0.74608099999999999</v>
      </c>
    </row>
    <row r="400" spans="1:13" x14ac:dyDescent="0.3">
      <c r="A400" s="12" t="s">
        <v>6536</v>
      </c>
      <c r="B400" s="12" t="s">
        <v>6536</v>
      </c>
      <c r="C400" s="12" t="s">
        <v>6537</v>
      </c>
      <c r="D400" s="12" t="s">
        <v>1877</v>
      </c>
      <c r="E400" s="12" t="s">
        <v>6534</v>
      </c>
      <c r="F400" s="12"/>
      <c r="G400" s="12">
        <v>0.2</v>
      </c>
      <c r="H400" s="12">
        <v>0.99</v>
      </c>
      <c r="I400" s="12">
        <v>17</v>
      </c>
      <c r="J400" s="12"/>
      <c r="K400" s="12" t="s">
        <v>273</v>
      </c>
      <c r="L400" s="12" t="s">
        <v>749</v>
      </c>
      <c r="M400" s="12">
        <v>0.85</v>
      </c>
    </row>
    <row r="401" spans="1:13" x14ac:dyDescent="0.3">
      <c r="A401" s="12" t="s">
        <v>6536</v>
      </c>
      <c r="B401" s="12" t="s">
        <v>6536</v>
      </c>
      <c r="C401" s="12" t="s">
        <v>6537</v>
      </c>
      <c r="D401" s="12" t="s">
        <v>1878</v>
      </c>
      <c r="E401" s="12" t="s">
        <v>6534</v>
      </c>
      <c r="F401" s="12"/>
      <c r="G401" s="12">
        <v>0.2</v>
      </c>
      <c r="H401" s="12">
        <v>0.99</v>
      </c>
      <c r="I401" s="12">
        <v>18</v>
      </c>
      <c r="J401" s="12"/>
      <c r="K401" s="12" t="s">
        <v>273</v>
      </c>
      <c r="L401" s="12" t="s">
        <v>749</v>
      </c>
      <c r="M401" s="12">
        <v>0.75</v>
      </c>
    </row>
    <row r="402" spans="1:13" x14ac:dyDescent="0.3">
      <c r="A402" s="12" t="s">
        <v>6536</v>
      </c>
      <c r="B402" s="12" t="s">
        <v>6536</v>
      </c>
      <c r="C402" s="12" t="s">
        <v>6537</v>
      </c>
      <c r="D402" s="12" t="s">
        <v>1879</v>
      </c>
      <c r="E402" s="12" t="s">
        <v>6534</v>
      </c>
      <c r="F402" s="12"/>
      <c r="G402" s="12">
        <v>0.2</v>
      </c>
      <c r="H402" s="12">
        <v>0.99</v>
      </c>
      <c r="I402" s="12">
        <v>17</v>
      </c>
      <c r="J402" s="12"/>
      <c r="K402" s="12" t="s">
        <v>273</v>
      </c>
      <c r="L402" s="12" t="s">
        <v>749</v>
      </c>
      <c r="M402" s="12">
        <v>0.8</v>
      </c>
    </row>
    <row r="403" spans="1:13" x14ac:dyDescent="0.3">
      <c r="A403" s="12" t="s">
        <v>6536</v>
      </c>
      <c r="B403" s="12" t="s">
        <v>6536</v>
      </c>
      <c r="C403" s="12" t="s">
        <v>6537</v>
      </c>
      <c r="D403" s="12" t="s">
        <v>1880</v>
      </c>
      <c r="E403" s="12" t="s">
        <v>6534</v>
      </c>
      <c r="F403" s="12"/>
      <c r="G403" s="12">
        <v>279.09770132054479</v>
      </c>
      <c r="H403" s="12">
        <v>300.032917</v>
      </c>
      <c r="I403" s="12">
        <v>2</v>
      </c>
      <c r="J403" s="12"/>
      <c r="K403" s="12" t="s">
        <v>275</v>
      </c>
      <c r="L403" s="12" t="s">
        <v>749</v>
      </c>
      <c r="M403" s="12">
        <v>279.09800000000001</v>
      </c>
    </row>
    <row r="404" spans="1:13" x14ac:dyDescent="0.3">
      <c r="A404" s="12" t="s">
        <v>6536</v>
      </c>
      <c r="B404" s="12" t="s">
        <v>6536</v>
      </c>
      <c r="C404" s="12" t="s">
        <v>6537</v>
      </c>
      <c r="D404" s="12" t="s">
        <v>67</v>
      </c>
      <c r="E404" s="12" t="s">
        <v>6533</v>
      </c>
      <c r="F404" s="12" t="s">
        <v>804</v>
      </c>
      <c r="G404" s="12"/>
      <c r="H404" s="12"/>
      <c r="I404" s="12"/>
      <c r="J404" s="12"/>
      <c r="K404" s="12" t="s">
        <v>273</v>
      </c>
      <c r="L404" s="12" t="s">
        <v>749</v>
      </c>
      <c r="M404" s="12"/>
    </row>
    <row r="405" spans="1:13" x14ac:dyDescent="0.3">
      <c r="A405" s="12" t="s">
        <v>188</v>
      </c>
      <c r="B405" s="12" t="s">
        <v>518</v>
      </c>
      <c r="C405" s="12" t="s">
        <v>189</v>
      </c>
      <c r="D405" s="12" t="s">
        <v>274</v>
      </c>
      <c r="E405" s="12" t="s">
        <v>6534</v>
      </c>
      <c r="F405" s="12"/>
      <c r="G405" s="12">
        <v>390</v>
      </c>
      <c r="H405" s="12">
        <v>623.15</v>
      </c>
      <c r="I405" s="12">
        <v>8</v>
      </c>
      <c r="J405" s="12"/>
      <c r="K405" s="12" t="s">
        <v>275</v>
      </c>
      <c r="L405" s="12" t="s">
        <v>948</v>
      </c>
      <c r="M405" s="12"/>
    </row>
    <row r="406" spans="1:13" x14ac:dyDescent="0.3">
      <c r="A406" s="12" t="s">
        <v>188</v>
      </c>
      <c r="B406" s="12" t="s">
        <v>518</v>
      </c>
      <c r="C406" s="12" t="s">
        <v>189</v>
      </c>
      <c r="D406" s="12" t="s">
        <v>276</v>
      </c>
      <c r="E406" s="12" t="s">
        <v>6534</v>
      </c>
      <c r="F406" s="12"/>
      <c r="G406" s="12">
        <v>278.14999999999998</v>
      </c>
      <c r="H406" s="12">
        <v>302.58136184316999</v>
      </c>
      <c r="I406" s="12">
        <v>5</v>
      </c>
      <c r="J406" s="12"/>
      <c r="K406" s="12" t="s">
        <v>275</v>
      </c>
      <c r="L406" s="12" t="s">
        <v>948</v>
      </c>
      <c r="M406" s="12"/>
    </row>
    <row r="407" spans="1:13" x14ac:dyDescent="0.3">
      <c r="A407" s="12" t="s">
        <v>188</v>
      </c>
      <c r="B407" s="12" t="s">
        <v>518</v>
      </c>
      <c r="C407" s="12" t="s">
        <v>189</v>
      </c>
      <c r="D407" s="12" t="s">
        <v>269</v>
      </c>
      <c r="E407" s="12" t="s">
        <v>6534</v>
      </c>
      <c r="F407" s="12"/>
      <c r="G407" s="12">
        <v>3000</v>
      </c>
      <c r="H407" s="12">
        <v>5000</v>
      </c>
      <c r="I407" s="12">
        <v>6</v>
      </c>
      <c r="J407" s="12"/>
      <c r="K407" s="12" t="s">
        <v>270</v>
      </c>
      <c r="L407" s="12" t="s">
        <v>948</v>
      </c>
      <c r="M407" s="12"/>
    </row>
    <row r="408" spans="1:13" x14ac:dyDescent="0.3">
      <c r="A408" s="12" t="s">
        <v>188</v>
      </c>
      <c r="B408" s="12" t="s">
        <v>518</v>
      </c>
      <c r="C408" s="12" t="s">
        <v>189</v>
      </c>
      <c r="D408" s="12" t="s">
        <v>271</v>
      </c>
      <c r="E408" s="12" t="s">
        <v>6534</v>
      </c>
      <c r="F408" s="12"/>
      <c r="G408" s="12">
        <v>393.75</v>
      </c>
      <c r="H408" s="12">
        <v>2494.5286687783441</v>
      </c>
      <c r="I408" s="12">
        <v>9</v>
      </c>
      <c r="J408" s="12"/>
      <c r="K408" s="12" t="s">
        <v>270</v>
      </c>
      <c r="L408" s="12" t="s">
        <v>948</v>
      </c>
      <c r="M408" s="12"/>
    </row>
    <row r="409" spans="1:13" x14ac:dyDescent="0.3">
      <c r="A409" s="12" t="s">
        <v>188</v>
      </c>
      <c r="B409" s="12" t="s">
        <v>518</v>
      </c>
      <c r="C409" s="12" t="s">
        <v>189</v>
      </c>
      <c r="D409" s="12" t="s">
        <v>272</v>
      </c>
      <c r="E409" s="12" t="s">
        <v>6534</v>
      </c>
      <c r="F409" s="12"/>
      <c r="G409" s="12">
        <v>0.5</v>
      </c>
      <c r="H409" s="12">
        <v>0.85</v>
      </c>
      <c r="I409" s="12">
        <v>5</v>
      </c>
      <c r="J409" s="12"/>
      <c r="K409" s="12" t="s">
        <v>273</v>
      </c>
      <c r="L409" s="12" t="s">
        <v>948</v>
      </c>
      <c r="M409" s="12"/>
    </row>
    <row r="410" spans="1:13" x14ac:dyDescent="0.3">
      <c r="A410" s="12" t="s">
        <v>188</v>
      </c>
      <c r="B410" s="12" t="s">
        <v>518</v>
      </c>
      <c r="C410" s="12" t="s">
        <v>189</v>
      </c>
      <c r="D410" s="12" t="s">
        <v>282</v>
      </c>
      <c r="E410" s="12" t="s">
        <v>6533</v>
      </c>
      <c r="F410" s="12" t="s">
        <v>800</v>
      </c>
      <c r="G410" s="12"/>
      <c r="H410" s="12"/>
      <c r="I410" s="12"/>
      <c r="J410" s="12" t="s">
        <v>749</v>
      </c>
      <c r="K410" s="12" t="s">
        <v>283</v>
      </c>
      <c r="L410" s="12" t="s">
        <v>948</v>
      </c>
      <c r="M410" s="12"/>
    </row>
    <row r="411" spans="1:13" x14ac:dyDescent="0.3">
      <c r="A411" s="12" t="s">
        <v>188</v>
      </c>
      <c r="B411" s="12" t="s">
        <v>518</v>
      </c>
      <c r="C411" s="12" t="s">
        <v>189</v>
      </c>
      <c r="D411" s="12" t="s">
        <v>1875</v>
      </c>
      <c r="E411" s="12" t="s">
        <v>6534</v>
      </c>
      <c r="F411" s="12"/>
      <c r="G411" s="12">
        <v>0.78074992969467716</v>
      </c>
      <c r="H411" s="12">
        <v>0.95</v>
      </c>
      <c r="I411" s="12">
        <v>6</v>
      </c>
      <c r="J411" s="12"/>
      <c r="K411" s="12" t="s">
        <v>273</v>
      </c>
      <c r="L411" s="12" t="s">
        <v>948</v>
      </c>
      <c r="M411" s="12"/>
    </row>
    <row r="412" spans="1:13" x14ac:dyDescent="0.3">
      <c r="A412" s="12" t="s">
        <v>188</v>
      </c>
      <c r="B412" s="12" t="s">
        <v>518</v>
      </c>
      <c r="C412" s="12" t="s">
        <v>189</v>
      </c>
      <c r="D412" s="12" t="s">
        <v>1876</v>
      </c>
      <c r="E412" s="12" t="s">
        <v>6534</v>
      </c>
      <c r="F412" s="12"/>
      <c r="G412" s="12">
        <v>0.57606589946837905</v>
      </c>
      <c r="H412" s="12">
        <v>0.87178269432939537</v>
      </c>
      <c r="I412" s="12">
        <v>6</v>
      </c>
      <c r="J412" s="12"/>
      <c r="K412" s="12" t="s">
        <v>273</v>
      </c>
      <c r="L412" s="12" t="s">
        <v>948</v>
      </c>
      <c r="M412" s="12"/>
    </row>
    <row r="413" spans="1:13" x14ac:dyDescent="0.3">
      <c r="A413" s="12" t="s">
        <v>188</v>
      </c>
      <c r="B413" s="12" t="s">
        <v>518</v>
      </c>
      <c r="C413" s="12" t="s">
        <v>189</v>
      </c>
      <c r="D413" s="12" t="s">
        <v>1877</v>
      </c>
      <c r="E413" s="12" t="s">
        <v>6534</v>
      </c>
      <c r="F413" s="12"/>
      <c r="G413" s="12">
        <v>0.4</v>
      </c>
      <c r="H413" s="12">
        <v>0.95</v>
      </c>
      <c r="I413" s="12">
        <v>7</v>
      </c>
      <c r="J413" s="12"/>
      <c r="K413" s="12" t="s">
        <v>273</v>
      </c>
      <c r="L413" s="12" t="s">
        <v>948</v>
      </c>
      <c r="M413" s="12"/>
    </row>
    <row r="414" spans="1:13" x14ac:dyDescent="0.3">
      <c r="A414" s="12" t="s">
        <v>188</v>
      </c>
      <c r="B414" s="12" t="s">
        <v>518</v>
      </c>
      <c r="C414" s="12" t="s">
        <v>189</v>
      </c>
      <c r="D414" s="12" t="s">
        <v>1878</v>
      </c>
      <c r="E414" s="12" t="s">
        <v>6534</v>
      </c>
      <c r="F414" s="12"/>
      <c r="G414" s="12">
        <v>0.68511451006099677</v>
      </c>
      <c r="H414" s="12">
        <v>0.95</v>
      </c>
      <c r="I414" s="12">
        <v>6</v>
      </c>
      <c r="J414" s="12"/>
      <c r="K414" s="12" t="s">
        <v>273</v>
      </c>
      <c r="L414" s="12" t="s">
        <v>948</v>
      </c>
      <c r="M414" s="12"/>
    </row>
    <row r="415" spans="1:13" x14ac:dyDescent="0.3">
      <c r="A415" s="12" t="s">
        <v>188</v>
      </c>
      <c r="B415" s="12" t="s">
        <v>518</v>
      </c>
      <c r="C415" s="12" t="s">
        <v>189</v>
      </c>
      <c r="D415" s="12" t="s">
        <v>1879</v>
      </c>
      <c r="E415" s="12" t="s">
        <v>6534</v>
      </c>
      <c r="F415" s="12"/>
      <c r="G415" s="12">
        <v>0.8</v>
      </c>
      <c r="H415" s="12">
        <v>0.95</v>
      </c>
      <c r="I415" s="12">
        <v>7</v>
      </c>
      <c r="J415" s="12"/>
      <c r="K415" s="12" t="s">
        <v>273</v>
      </c>
      <c r="L415" s="12" t="s">
        <v>948</v>
      </c>
      <c r="M415" s="12"/>
    </row>
    <row r="416" spans="1:13" x14ac:dyDescent="0.3">
      <c r="A416" s="12" t="s">
        <v>188</v>
      </c>
      <c r="B416" s="12" t="s">
        <v>518</v>
      </c>
      <c r="C416" s="12" t="s">
        <v>189</v>
      </c>
      <c r="D416" s="12" t="s">
        <v>1880</v>
      </c>
      <c r="E416" s="12" t="s">
        <v>6534</v>
      </c>
      <c r="F416" s="12"/>
      <c r="G416" s="12">
        <v>278.14999999999998</v>
      </c>
      <c r="H416" s="12">
        <v>302.58136184316999</v>
      </c>
      <c r="I416" s="12">
        <v>5</v>
      </c>
      <c r="J416" s="12"/>
      <c r="K416" s="12" t="s">
        <v>275</v>
      </c>
      <c r="L416" s="12" t="s">
        <v>948</v>
      </c>
      <c r="M416" s="12"/>
    </row>
    <row r="417" spans="1:13" x14ac:dyDescent="0.3">
      <c r="A417" s="12" t="s">
        <v>188</v>
      </c>
      <c r="B417" s="12" t="s">
        <v>518</v>
      </c>
      <c r="C417" s="12" t="s">
        <v>189</v>
      </c>
      <c r="D417" s="12" t="s">
        <v>67</v>
      </c>
      <c r="E417" s="12" t="s">
        <v>6534</v>
      </c>
      <c r="F417" s="12"/>
      <c r="G417" s="12"/>
      <c r="H417" s="12"/>
      <c r="I417" s="12">
        <v>2</v>
      </c>
      <c r="J417" s="12"/>
      <c r="K417" s="12" t="s">
        <v>273</v>
      </c>
      <c r="L417" s="12" t="s">
        <v>948</v>
      </c>
      <c r="M417" s="12"/>
    </row>
    <row r="418" spans="1:13" x14ac:dyDescent="0.3">
      <c r="A418" s="12" t="s">
        <v>188</v>
      </c>
      <c r="B418" s="12" t="s">
        <v>528</v>
      </c>
      <c r="C418" s="12" t="s">
        <v>189</v>
      </c>
      <c r="D418" s="12" t="s">
        <v>274</v>
      </c>
      <c r="E418" s="12" t="s">
        <v>6534</v>
      </c>
      <c r="F418" s="12"/>
      <c r="G418" s="12">
        <v>390</v>
      </c>
      <c r="H418" s="12">
        <v>623.15</v>
      </c>
      <c r="I418" s="12">
        <v>8</v>
      </c>
      <c r="J418" s="12"/>
      <c r="K418" s="12" t="s">
        <v>275</v>
      </c>
      <c r="L418" s="12" t="s">
        <v>948</v>
      </c>
      <c r="M418" s="12"/>
    </row>
    <row r="419" spans="1:13" x14ac:dyDescent="0.3">
      <c r="A419" s="12" t="s">
        <v>188</v>
      </c>
      <c r="B419" s="12" t="s">
        <v>528</v>
      </c>
      <c r="C419" s="12" t="s">
        <v>189</v>
      </c>
      <c r="D419" s="12" t="s">
        <v>276</v>
      </c>
      <c r="E419" s="12" t="s">
        <v>6534</v>
      </c>
      <c r="F419" s="12"/>
      <c r="G419" s="12">
        <v>278.14999999999998</v>
      </c>
      <c r="H419" s="12">
        <v>302.58136184316999</v>
      </c>
      <c r="I419" s="12">
        <v>5</v>
      </c>
      <c r="J419" s="12"/>
      <c r="K419" s="12" t="s">
        <v>275</v>
      </c>
      <c r="L419" s="12" t="s">
        <v>948</v>
      </c>
      <c r="M419" s="12"/>
    </row>
    <row r="420" spans="1:13" x14ac:dyDescent="0.3">
      <c r="A420" s="12" t="s">
        <v>188</v>
      </c>
      <c r="B420" s="12" t="s">
        <v>528</v>
      </c>
      <c r="C420" s="12" t="s">
        <v>189</v>
      </c>
      <c r="D420" s="12" t="s">
        <v>269</v>
      </c>
      <c r="E420" s="12" t="s">
        <v>6534</v>
      </c>
      <c r="F420" s="12"/>
      <c r="G420" s="12">
        <v>3000</v>
      </c>
      <c r="H420" s="12">
        <v>5000</v>
      </c>
      <c r="I420" s="12">
        <v>6</v>
      </c>
      <c r="J420" s="12"/>
      <c r="K420" s="12" t="s">
        <v>270</v>
      </c>
      <c r="L420" s="12" t="s">
        <v>948</v>
      </c>
      <c r="M420" s="12"/>
    </row>
    <row r="421" spans="1:13" x14ac:dyDescent="0.3">
      <c r="A421" s="12" t="s">
        <v>188</v>
      </c>
      <c r="B421" s="12" t="s">
        <v>528</v>
      </c>
      <c r="C421" s="12" t="s">
        <v>189</v>
      </c>
      <c r="D421" s="12" t="s">
        <v>271</v>
      </c>
      <c r="E421" s="12" t="s">
        <v>6534</v>
      </c>
      <c r="F421" s="12"/>
      <c r="G421" s="12">
        <v>393.75</v>
      </c>
      <c r="H421" s="12">
        <v>2494.5286687783441</v>
      </c>
      <c r="I421" s="12">
        <v>9</v>
      </c>
      <c r="J421" s="12"/>
      <c r="K421" s="12" t="s">
        <v>270</v>
      </c>
      <c r="L421" s="12" t="s">
        <v>948</v>
      </c>
      <c r="M421" s="12"/>
    </row>
    <row r="422" spans="1:13" x14ac:dyDescent="0.3">
      <c r="A422" s="12" t="s">
        <v>188</v>
      </c>
      <c r="B422" s="12" t="s">
        <v>528</v>
      </c>
      <c r="C422" s="12" t="s">
        <v>189</v>
      </c>
      <c r="D422" s="12" t="s">
        <v>272</v>
      </c>
      <c r="E422" s="12" t="s">
        <v>6534</v>
      </c>
      <c r="F422" s="12"/>
      <c r="G422" s="12">
        <v>0.5</v>
      </c>
      <c r="H422" s="12">
        <v>0.85</v>
      </c>
      <c r="I422" s="12">
        <v>5</v>
      </c>
      <c r="J422" s="12"/>
      <c r="K422" s="12" t="s">
        <v>273</v>
      </c>
      <c r="L422" s="12" t="s">
        <v>948</v>
      </c>
      <c r="M422" s="12"/>
    </row>
    <row r="423" spans="1:13" x14ac:dyDescent="0.3">
      <c r="A423" s="12" t="s">
        <v>188</v>
      </c>
      <c r="B423" s="12" t="s">
        <v>528</v>
      </c>
      <c r="C423" s="12" t="s">
        <v>189</v>
      </c>
      <c r="D423" s="12" t="s">
        <v>282</v>
      </c>
      <c r="E423" s="12" t="s">
        <v>6533</v>
      </c>
      <c r="F423" s="12" t="s">
        <v>800</v>
      </c>
      <c r="G423" s="12"/>
      <c r="H423" s="12"/>
      <c r="I423" s="12"/>
      <c r="J423" s="12" t="s">
        <v>749</v>
      </c>
      <c r="K423" s="12" t="s">
        <v>283</v>
      </c>
      <c r="L423" s="12" t="s">
        <v>948</v>
      </c>
      <c r="M423" s="12"/>
    </row>
    <row r="424" spans="1:13" x14ac:dyDescent="0.3">
      <c r="A424" s="12" t="s">
        <v>188</v>
      </c>
      <c r="B424" s="12" t="s">
        <v>528</v>
      </c>
      <c r="C424" s="12" t="s">
        <v>189</v>
      </c>
      <c r="D424" s="12" t="s">
        <v>1875</v>
      </c>
      <c r="E424" s="12" t="s">
        <v>6534</v>
      </c>
      <c r="F424" s="12"/>
      <c r="G424" s="12">
        <v>0.78074992969467716</v>
      </c>
      <c r="H424" s="12">
        <v>0.95</v>
      </c>
      <c r="I424" s="12">
        <v>6</v>
      </c>
      <c r="J424" s="12"/>
      <c r="K424" s="12" t="s">
        <v>273</v>
      </c>
      <c r="L424" s="12" t="s">
        <v>948</v>
      </c>
      <c r="M424" s="12"/>
    </row>
    <row r="425" spans="1:13" x14ac:dyDescent="0.3">
      <c r="A425" s="12" t="s">
        <v>188</v>
      </c>
      <c r="B425" s="12" t="s">
        <v>528</v>
      </c>
      <c r="C425" s="12" t="s">
        <v>189</v>
      </c>
      <c r="D425" s="12" t="s">
        <v>1876</v>
      </c>
      <c r="E425" s="12" t="s">
        <v>6534</v>
      </c>
      <c r="F425" s="12"/>
      <c r="G425" s="12">
        <v>0.57606589946837905</v>
      </c>
      <c r="H425" s="12">
        <v>0.87178269432939537</v>
      </c>
      <c r="I425" s="12">
        <v>6</v>
      </c>
      <c r="J425" s="12"/>
      <c r="K425" s="12" t="s">
        <v>273</v>
      </c>
      <c r="L425" s="12" t="s">
        <v>948</v>
      </c>
      <c r="M425" s="12"/>
    </row>
    <row r="426" spans="1:13" x14ac:dyDescent="0.3">
      <c r="A426" s="12" t="s">
        <v>188</v>
      </c>
      <c r="B426" s="12" t="s">
        <v>528</v>
      </c>
      <c r="C426" s="12" t="s">
        <v>189</v>
      </c>
      <c r="D426" s="12" t="s">
        <v>1877</v>
      </c>
      <c r="E426" s="12" t="s">
        <v>6534</v>
      </c>
      <c r="F426" s="12"/>
      <c r="G426" s="12">
        <v>0.4</v>
      </c>
      <c r="H426" s="12">
        <v>0.95</v>
      </c>
      <c r="I426" s="12">
        <v>7</v>
      </c>
      <c r="J426" s="12"/>
      <c r="K426" s="12" t="s">
        <v>273</v>
      </c>
      <c r="L426" s="12" t="s">
        <v>948</v>
      </c>
      <c r="M426" s="12"/>
    </row>
    <row r="427" spans="1:13" x14ac:dyDescent="0.3">
      <c r="A427" s="12" t="s">
        <v>188</v>
      </c>
      <c r="B427" s="12" t="s">
        <v>528</v>
      </c>
      <c r="C427" s="12" t="s">
        <v>189</v>
      </c>
      <c r="D427" s="12" t="s">
        <v>1878</v>
      </c>
      <c r="E427" s="12" t="s">
        <v>6534</v>
      </c>
      <c r="F427" s="12"/>
      <c r="G427" s="12">
        <v>0.68511451006099677</v>
      </c>
      <c r="H427" s="12">
        <v>0.95</v>
      </c>
      <c r="I427" s="12">
        <v>6</v>
      </c>
      <c r="J427" s="12"/>
      <c r="K427" s="12" t="s">
        <v>273</v>
      </c>
      <c r="L427" s="12" t="s">
        <v>948</v>
      </c>
      <c r="M427" s="12"/>
    </row>
    <row r="428" spans="1:13" x14ac:dyDescent="0.3">
      <c r="A428" s="12" t="s">
        <v>188</v>
      </c>
      <c r="B428" s="12" t="s">
        <v>528</v>
      </c>
      <c r="C428" s="12" t="s">
        <v>189</v>
      </c>
      <c r="D428" s="12" t="s">
        <v>1879</v>
      </c>
      <c r="E428" s="12" t="s">
        <v>6534</v>
      </c>
      <c r="F428" s="12"/>
      <c r="G428" s="12">
        <v>0.8</v>
      </c>
      <c r="H428" s="12">
        <v>0.95</v>
      </c>
      <c r="I428" s="12">
        <v>7</v>
      </c>
      <c r="J428" s="12"/>
      <c r="K428" s="12" t="s">
        <v>273</v>
      </c>
      <c r="L428" s="12" t="s">
        <v>948</v>
      </c>
      <c r="M428" s="12"/>
    </row>
    <row r="429" spans="1:13" x14ac:dyDescent="0.3">
      <c r="A429" s="12" t="s">
        <v>188</v>
      </c>
      <c r="B429" s="12" t="s">
        <v>528</v>
      </c>
      <c r="C429" s="12" t="s">
        <v>189</v>
      </c>
      <c r="D429" s="12" t="s">
        <v>1880</v>
      </c>
      <c r="E429" s="12" t="s">
        <v>6533</v>
      </c>
      <c r="F429" s="12" t="s">
        <v>1298</v>
      </c>
      <c r="G429" s="12"/>
      <c r="H429" s="12"/>
      <c r="I429" s="12"/>
      <c r="J429" s="12" t="s">
        <v>948</v>
      </c>
      <c r="K429" s="12" t="s">
        <v>275</v>
      </c>
      <c r="L429" s="12" t="s">
        <v>948</v>
      </c>
      <c r="M429" s="12"/>
    </row>
    <row r="430" spans="1:13" x14ac:dyDescent="0.3">
      <c r="A430" s="12" t="s">
        <v>188</v>
      </c>
      <c r="B430" s="12" t="s">
        <v>528</v>
      </c>
      <c r="C430" s="12" t="s">
        <v>189</v>
      </c>
      <c r="D430" s="12" t="s">
        <v>67</v>
      </c>
      <c r="E430" s="12" t="s">
        <v>6533</v>
      </c>
      <c r="F430" s="12" t="s">
        <v>804</v>
      </c>
      <c r="G430" s="12"/>
      <c r="H430" s="12"/>
      <c r="I430" s="12"/>
      <c r="J430" s="12"/>
      <c r="K430" s="12" t="s">
        <v>273</v>
      </c>
      <c r="L430" s="12" t="s">
        <v>948</v>
      </c>
      <c r="M430" s="12"/>
    </row>
    <row r="431" spans="1:13" x14ac:dyDescent="0.3">
      <c r="A431" s="12" t="s">
        <v>188</v>
      </c>
      <c r="B431" s="12" t="s">
        <v>530</v>
      </c>
      <c r="C431" s="12" t="s">
        <v>189</v>
      </c>
      <c r="D431" s="12" t="s">
        <v>274</v>
      </c>
      <c r="E431" s="12" t="s">
        <v>6535</v>
      </c>
      <c r="F431" s="12"/>
      <c r="G431" s="12"/>
      <c r="H431" s="12"/>
      <c r="I431" s="12"/>
      <c r="J431" s="12"/>
      <c r="K431" s="12" t="s">
        <v>275</v>
      </c>
      <c r="L431" s="12" t="s">
        <v>948</v>
      </c>
      <c r="M431" s="12"/>
    </row>
    <row r="432" spans="1:13" x14ac:dyDescent="0.3">
      <c r="A432" s="12" t="s">
        <v>188</v>
      </c>
      <c r="B432" s="12" t="s">
        <v>530</v>
      </c>
      <c r="C432" s="12" t="s">
        <v>189</v>
      </c>
      <c r="D432" s="12" t="s">
        <v>276</v>
      </c>
      <c r="E432" s="12" t="s">
        <v>6535</v>
      </c>
      <c r="F432" s="12"/>
      <c r="G432" s="12"/>
      <c r="H432" s="12"/>
      <c r="I432" s="12"/>
      <c r="J432" s="12"/>
      <c r="K432" s="12" t="s">
        <v>275</v>
      </c>
      <c r="L432" s="12" t="s">
        <v>948</v>
      </c>
      <c r="M432" s="12"/>
    </row>
    <row r="433" spans="1:13" x14ac:dyDescent="0.3">
      <c r="A433" s="12" t="s">
        <v>188</v>
      </c>
      <c r="B433" s="12" t="s">
        <v>530</v>
      </c>
      <c r="C433" s="12" t="s">
        <v>189</v>
      </c>
      <c r="D433" s="12" t="s">
        <v>269</v>
      </c>
      <c r="E433" s="12" t="s">
        <v>6535</v>
      </c>
      <c r="F433" s="12"/>
      <c r="G433" s="12"/>
      <c r="H433" s="12"/>
      <c r="I433" s="12"/>
      <c r="J433" s="12"/>
      <c r="K433" s="12" t="s">
        <v>270</v>
      </c>
      <c r="L433" s="12" t="s">
        <v>948</v>
      </c>
      <c r="M433" s="12"/>
    </row>
    <row r="434" spans="1:13" x14ac:dyDescent="0.3">
      <c r="A434" s="12" t="s">
        <v>188</v>
      </c>
      <c r="B434" s="12" t="s">
        <v>530</v>
      </c>
      <c r="C434" s="12" t="s">
        <v>189</v>
      </c>
      <c r="D434" s="12" t="s">
        <v>271</v>
      </c>
      <c r="E434" s="12" t="s">
        <v>6534</v>
      </c>
      <c r="F434" s="12"/>
      <c r="G434" s="12">
        <v>393.75</v>
      </c>
      <c r="H434" s="12">
        <v>2500</v>
      </c>
      <c r="I434" s="12">
        <v>72</v>
      </c>
      <c r="J434" s="12"/>
      <c r="K434" s="12" t="s">
        <v>270</v>
      </c>
      <c r="L434" s="12" t="s">
        <v>948</v>
      </c>
      <c r="M434" s="12"/>
    </row>
    <row r="435" spans="1:13" x14ac:dyDescent="0.3">
      <c r="A435" s="12" t="s">
        <v>188</v>
      </c>
      <c r="B435" s="12" t="s">
        <v>530</v>
      </c>
      <c r="C435" s="12" t="s">
        <v>189</v>
      </c>
      <c r="D435" s="12" t="s">
        <v>272</v>
      </c>
      <c r="E435" s="12" t="s">
        <v>6535</v>
      </c>
      <c r="F435" s="12"/>
      <c r="G435" s="12"/>
      <c r="H435" s="12"/>
      <c r="I435" s="12"/>
      <c r="J435" s="12"/>
      <c r="K435" s="12" t="s">
        <v>273</v>
      </c>
      <c r="L435" s="12" t="s">
        <v>948</v>
      </c>
      <c r="M435" s="12"/>
    </row>
    <row r="436" spans="1:13" x14ac:dyDescent="0.3">
      <c r="A436" s="12" t="s">
        <v>188</v>
      </c>
      <c r="B436" s="12" t="s">
        <v>530</v>
      </c>
      <c r="C436" s="12" t="s">
        <v>189</v>
      </c>
      <c r="D436" s="12" t="s">
        <v>282</v>
      </c>
      <c r="E436" s="12" t="s">
        <v>6535</v>
      </c>
      <c r="F436" s="12"/>
      <c r="G436" s="12"/>
      <c r="H436" s="12"/>
      <c r="I436" s="12"/>
      <c r="J436" s="12"/>
      <c r="K436" s="12" t="s">
        <v>283</v>
      </c>
      <c r="L436" s="12" t="s">
        <v>948</v>
      </c>
      <c r="M436" s="12"/>
    </row>
    <row r="437" spans="1:13" x14ac:dyDescent="0.3">
      <c r="A437" s="12" t="s">
        <v>188</v>
      </c>
      <c r="B437" s="12" t="s">
        <v>530</v>
      </c>
      <c r="C437" s="12" t="s">
        <v>189</v>
      </c>
      <c r="D437" s="12" t="s">
        <v>1875</v>
      </c>
      <c r="E437" s="12" t="s">
        <v>6535</v>
      </c>
      <c r="F437" s="12"/>
      <c r="G437" s="12"/>
      <c r="H437" s="12"/>
      <c r="I437" s="12"/>
      <c r="J437" s="12"/>
      <c r="K437" s="12" t="s">
        <v>273</v>
      </c>
      <c r="L437" s="12" t="s">
        <v>948</v>
      </c>
      <c r="M437" s="12"/>
    </row>
    <row r="438" spans="1:13" x14ac:dyDescent="0.3">
      <c r="A438" s="12" t="s">
        <v>188</v>
      </c>
      <c r="B438" s="12" t="s">
        <v>530</v>
      </c>
      <c r="C438" s="12" t="s">
        <v>189</v>
      </c>
      <c r="D438" s="12" t="s">
        <v>1876</v>
      </c>
      <c r="E438" s="12" t="s">
        <v>6535</v>
      </c>
      <c r="F438" s="12"/>
      <c r="G438" s="12"/>
      <c r="H438" s="12"/>
      <c r="I438" s="12"/>
      <c r="J438" s="12"/>
      <c r="K438" s="12" t="s">
        <v>273</v>
      </c>
      <c r="L438" s="12" t="s">
        <v>948</v>
      </c>
      <c r="M438" s="12"/>
    </row>
    <row r="439" spans="1:13" x14ac:dyDescent="0.3">
      <c r="A439" s="12" t="s">
        <v>188</v>
      </c>
      <c r="B439" s="12" t="s">
        <v>530</v>
      </c>
      <c r="C439" s="12" t="s">
        <v>189</v>
      </c>
      <c r="D439" s="12" t="s">
        <v>1877</v>
      </c>
      <c r="E439" s="12" t="s">
        <v>6535</v>
      </c>
      <c r="F439" s="12"/>
      <c r="G439" s="12"/>
      <c r="H439" s="12"/>
      <c r="I439" s="12"/>
      <c r="J439" s="12"/>
      <c r="K439" s="12" t="s">
        <v>273</v>
      </c>
      <c r="L439" s="12" t="s">
        <v>948</v>
      </c>
      <c r="M439" s="12"/>
    </row>
    <row r="440" spans="1:13" x14ac:dyDescent="0.3">
      <c r="A440" s="12" t="s">
        <v>188</v>
      </c>
      <c r="B440" s="12" t="s">
        <v>530</v>
      </c>
      <c r="C440" s="12" t="s">
        <v>189</v>
      </c>
      <c r="D440" s="12" t="s">
        <v>1878</v>
      </c>
      <c r="E440" s="12" t="s">
        <v>6535</v>
      </c>
      <c r="F440" s="12"/>
      <c r="G440" s="12"/>
      <c r="H440" s="12"/>
      <c r="I440" s="12"/>
      <c r="J440" s="12"/>
      <c r="K440" s="12" t="s">
        <v>273</v>
      </c>
      <c r="L440" s="12" t="s">
        <v>948</v>
      </c>
      <c r="M440" s="12"/>
    </row>
    <row r="441" spans="1:13" x14ac:dyDescent="0.3">
      <c r="A441" s="12" t="s">
        <v>188</v>
      </c>
      <c r="B441" s="12" t="s">
        <v>530</v>
      </c>
      <c r="C441" s="12" t="s">
        <v>189</v>
      </c>
      <c r="D441" s="12" t="s">
        <v>1879</v>
      </c>
      <c r="E441" s="12" t="s">
        <v>6535</v>
      </c>
      <c r="F441" s="12"/>
      <c r="G441" s="12"/>
      <c r="H441" s="12"/>
      <c r="I441" s="12"/>
      <c r="J441" s="12"/>
      <c r="K441" s="12" t="s">
        <v>273</v>
      </c>
      <c r="L441" s="12" t="s">
        <v>948</v>
      </c>
      <c r="M441" s="12"/>
    </row>
    <row r="442" spans="1:13" x14ac:dyDescent="0.3">
      <c r="A442" s="12" t="s">
        <v>188</v>
      </c>
      <c r="B442" s="12" t="s">
        <v>530</v>
      </c>
      <c r="C442" s="12" t="s">
        <v>189</v>
      </c>
      <c r="D442" s="12" t="s">
        <v>1880</v>
      </c>
      <c r="E442" s="12" t="s">
        <v>6535</v>
      </c>
      <c r="F442" s="12"/>
      <c r="G442" s="12"/>
      <c r="H442" s="12"/>
      <c r="I442" s="12"/>
      <c r="J442" s="12"/>
      <c r="K442" s="12" t="s">
        <v>275</v>
      </c>
      <c r="L442" s="12" t="s">
        <v>948</v>
      </c>
      <c r="M442" s="12"/>
    </row>
    <row r="443" spans="1:13" x14ac:dyDescent="0.3">
      <c r="A443" s="12" t="s">
        <v>188</v>
      </c>
      <c r="B443" s="12" t="s">
        <v>530</v>
      </c>
      <c r="C443" s="12" t="s">
        <v>189</v>
      </c>
      <c r="D443" s="12" t="s">
        <v>67</v>
      </c>
      <c r="E443" s="12" t="s">
        <v>6535</v>
      </c>
      <c r="F443" s="12"/>
      <c r="G443" s="12"/>
      <c r="H443" s="12"/>
      <c r="I443" s="12"/>
      <c r="J443" s="12"/>
      <c r="K443" s="12" t="s">
        <v>273</v>
      </c>
      <c r="L443" s="12" t="s">
        <v>948</v>
      </c>
      <c r="M443" s="12"/>
    </row>
    <row r="444" spans="1:13" x14ac:dyDescent="0.3">
      <c r="A444" s="12" t="s">
        <v>206</v>
      </c>
      <c r="B444" s="12" t="s">
        <v>532</v>
      </c>
      <c r="C444" s="12" t="s">
        <v>5136</v>
      </c>
      <c r="D444" s="12" t="s">
        <v>274</v>
      </c>
      <c r="E444" s="12" t="s">
        <v>6533</v>
      </c>
      <c r="F444" s="12" t="s">
        <v>794</v>
      </c>
      <c r="G444" s="12"/>
      <c r="H444" s="12"/>
      <c r="I444" s="12"/>
      <c r="J444" s="12" t="s">
        <v>749</v>
      </c>
      <c r="K444" s="12" t="s">
        <v>275</v>
      </c>
      <c r="L444" s="12" t="s">
        <v>948</v>
      </c>
      <c r="M444" s="12"/>
    </row>
    <row r="445" spans="1:13" x14ac:dyDescent="0.3">
      <c r="A445" s="12" t="s">
        <v>206</v>
      </c>
      <c r="B445" s="12" t="s">
        <v>532</v>
      </c>
      <c r="C445" s="12" t="s">
        <v>5136</v>
      </c>
      <c r="D445" s="12" t="s">
        <v>276</v>
      </c>
      <c r="E445" s="12" t="s">
        <v>6534</v>
      </c>
      <c r="F445" s="12"/>
      <c r="G445" s="12">
        <v>278.34407307773279</v>
      </c>
      <c r="H445" s="12">
        <v>303.37621546790228</v>
      </c>
      <c r="I445" s="12">
        <v>100</v>
      </c>
      <c r="J445" s="12"/>
      <c r="K445" s="12" t="s">
        <v>275</v>
      </c>
      <c r="L445" s="12" t="s">
        <v>948</v>
      </c>
      <c r="M445" s="12"/>
    </row>
    <row r="446" spans="1:13" x14ac:dyDescent="0.3">
      <c r="A446" s="12" t="s">
        <v>206</v>
      </c>
      <c r="B446" s="12" t="s">
        <v>532</v>
      </c>
      <c r="C446" s="12" t="s">
        <v>5136</v>
      </c>
      <c r="D446" s="12" t="s">
        <v>269</v>
      </c>
      <c r="E446" s="12" t="s">
        <v>6534</v>
      </c>
      <c r="F446" s="12"/>
      <c r="G446" s="12">
        <v>2028.570774216978</v>
      </c>
      <c r="H446" s="12">
        <v>4974.7499984451561</v>
      </c>
      <c r="I446" s="12">
        <v>100</v>
      </c>
      <c r="J446" s="12"/>
      <c r="K446" s="12" t="s">
        <v>270</v>
      </c>
      <c r="L446" s="12" t="s">
        <v>948</v>
      </c>
      <c r="M446" s="12"/>
    </row>
    <row r="447" spans="1:13" x14ac:dyDescent="0.3">
      <c r="A447" s="12" t="s">
        <v>206</v>
      </c>
      <c r="B447" s="12" t="s">
        <v>532</v>
      </c>
      <c r="C447" s="12" t="s">
        <v>5136</v>
      </c>
      <c r="D447" s="12" t="s">
        <v>271</v>
      </c>
      <c r="E447" s="12" t="s">
        <v>6534</v>
      </c>
      <c r="F447" s="12"/>
      <c r="G447" s="12">
        <v>310.76100381092579</v>
      </c>
      <c r="H447" s="12">
        <v>1986.5550700359749</v>
      </c>
      <c r="I447" s="12">
        <v>100</v>
      </c>
      <c r="J447" s="12"/>
      <c r="K447" s="12" t="s">
        <v>270</v>
      </c>
      <c r="L447" s="12" t="s">
        <v>948</v>
      </c>
      <c r="M447" s="12"/>
    </row>
    <row r="448" spans="1:13" x14ac:dyDescent="0.3">
      <c r="A448" s="12" t="s">
        <v>206</v>
      </c>
      <c r="B448" s="12" t="s">
        <v>532</v>
      </c>
      <c r="C448" s="12" t="s">
        <v>5136</v>
      </c>
      <c r="D448" s="12" t="s">
        <v>272</v>
      </c>
      <c r="E448" s="12" t="s">
        <v>6534</v>
      </c>
      <c r="F448" s="12"/>
      <c r="G448" s="12">
        <v>0.5033969051317454</v>
      </c>
      <c r="H448" s="12">
        <v>0.849887882493227</v>
      </c>
      <c r="I448" s="12">
        <v>100</v>
      </c>
      <c r="J448" s="12"/>
      <c r="K448" s="12" t="s">
        <v>273</v>
      </c>
      <c r="L448" s="12" t="s">
        <v>948</v>
      </c>
      <c r="M448" s="12"/>
    </row>
    <row r="449" spans="1:13" x14ac:dyDescent="0.3">
      <c r="A449" s="12" t="s">
        <v>206</v>
      </c>
      <c r="B449" s="12" t="s">
        <v>532</v>
      </c>
      <c r="C449" s="12" t="s">
        <v>5136</v>
      </c>
      <c r="D449" s="12" t="s">
        <v>282</v>
      </c>
      <c r="E449" s="12" t="s">
        <v>6533</v>
      </c>
      <c r="F449" s="12" t="s">
        <v>800</v>
      </c>
      <c r="G449" s="12"/>
      <c r="H449" s="12"/>
      <c r="I449" s="12"/>
      <c r="J449" s="12" t="s">
        <v>749</v>
      </c>
      <c r="K449" s="12" t="s">
        <v>283</v>
      </c>
      <c r="L449" s="12" t="s">
        <v>948</v>
      </c>
      <c r="M449" s="12"/>
    </row>
    <row r="450" spans="1:13" x14ac:dyDescent="0.3">
      <c r="A450" s="12" t="s">
        <v>206</v>
      </c>
      <c r="B450" s="12" t="s">
        <v>532</v>
      </c>
      <c r="C450" s="12" t="s">
        <v>5136</v>
      </c>
      <c r="D450" s="12" t="s">
        <v>1875</v>
      </c>
      <c r="E450" s="12" t="s">
        <v>6534</v>
      </c>
      <c r="F450" s="12"/>
      <c r="G450" s="12">
        <v>0.40228819394185489</v>
      </c>
      <c r="H450" s="12">
        <v>0.94910870454351359</v>
      </c>
      <c r="I450" s="12">
        <v>100</v>
      </c>
      <c r="J450" s="12"/>
      <c r="K450" s="12" t="s">
        <v>273</v>
      </c>
      <c r="L450" s="12" t="s">
        <v>948</v>
      </c>
      <c r="M450" s="12"/>
    </row>
    <row r="451" spans="1:13" x14ac:dyDescent="0.3">
      <c r="A451" s="12" t="s">
        <v>206</v>
      </c>
      <c r="B451" s="12" t="s">
        <v>532</v>
      </c>
      <c r="C451" s="12" t="s">
        <v>5136</v>
      </c>
      <c r="D451" s="12" t="s">
        <v>1876</v>
      </c>
      <c r="E451" s="12" t="s">
        <v>6534</v>
      </c>
      <c r="F451" s="12"/>
      <c r="G451" s="12">
        <v>0.40020366465318868</v>
      </c>
      <c r="H451" s="12">
        <v>0.94989021930279838</v>
      </c>
      <c r="I451" s="12">
        <v>100</v>
      </c>
      <c r="J451" s="12"/>
      <c r="K451" s="12" t="s">
        <v>273</v>
      </c>
      <c r="L451" s="12" t="s">
        <v>948</v>
      </c>
      <c r="M451" s="12"/>
    </row>
    <row r="452" spans="1:13" x14ac:dyDescent="0.3">
      <c r="A452" s="12" t="s">
        <v>206</v>
      </c>
      <c r="B452" s="12" t="s">
        <v>532</v>
      </c>
      <c r="C452" s="12" t="s">
        <v>5136</v>
      </c>
      <c r="D452" s="12" t="s">
        <v>1877</v>
      </c>
      <c r="E452" s="12" t="s">
        <v>6534</v>
      </c>
      <c r="F452" s="12"/>
      <c r="G452" s="12">
        <v>0.40275085174277953</v>
      </c>
      <c r="H452" s="12">
        <v>0.94523065082971125</v>
      </c>
      <c r="I452" s="12">
        <v>100</v>
      </c>
      <c r="J452" s="12"/>
      <c r="K452" s="12" t="s">
        <v>273</v>
      </c>
      <c r="L452" s="12" t="s">
        <v>948</v>
      </c>
      <c r="M452" s="12"/>
    </row>
    <row r="453" spans="1:13" x14ac:dyDescent="0.3">
      <c r="A453" s="12" t="s">
        <v>206</v>
      </c>
      <c r="B453" s="12" t="s">
        <v>532</v>
      </c>
      <c r="C453" s="12" t="s">
        <v>5136</v>
      </c>
      <c r="D453" s="12" t="s">
        <v>1878</v>
      </c>
      <c r="E453" s="12" t="s">
        <v>6534</v>
      </c>
      <c r="F453" s="12"/>
      <c r="G453" s="12">
        <v>0.40095795499647441</v>
      </c>
      <c r="H453" s="12">
        <v>0.94825314183149356</v>
      </c>
      <c r="I453" s="12">
        <v>100</v>
      </c>
      <c r="J453" s="12"/>
      <c r="K453" s="12" t="s">
        <v>273</v>
      </c>
      <c r="L453" s="12" t="s">
        <v>948</v>
      </c>
      <c r="M453" s="12"/>
    </row>
    <row r="454" spans="1:13" x14ac:dyDescent="0.3">
      <c r="A454" s="12" t="s">
        <v>206</v>
      </c>
      <c r="B454" s="12" t="s">
        <v>532</v>
      </c>
      <c r="C454" s="12" t="s">
        <v>5136</v>
      </c>
      <c r="D454" s="12" t="s">
        <v>1879</v>
      </c>
      <c r="E454" s="12" t="s">
        <v>6534</v>
      </c>
      <c r="F454" s="12"/>
      <c r="G454" s="12">
        <v>0.40059195146333249</v>
      </c>
      <c r="H454" s="12">
        <v>0.94904670248989043</v>
      </c>
      <c r="I454" s="12">
        <v>100</v>
      </c>
      <c r="J454" s="12"/>
      <c r="K454" s="12" t="s">
        <v>273</v>
      </c>
      <c r="L454" s="12" t="s">
        <v>948</v>
      </c>
      <c r="M454" s="12"/>
    </row>
    <row r="455" spans="1:13" x14ac:dyDescent="0.3">
      <c r="A455" s="12" t="s">
        <v>206</v>
      </c>
      <c r="B455" s="12" t="s">
        <v>532</v>
      </c>
      <c r="C455" s="12" t="s">
        <v>5136</v>
      </c>
      <c r="D455" s="12" t="s">
        <v>1880</v>
      </c>
      <c r="E455" s="12" t="s">
        <v>6534</v>
      </c>
      <c r="F455" s="12"/>
      <c r="G455" s="12">
        <v>278.34407307773279</v>
      </c>
      <c r="H455" s="12">
        <v>303.37621546790228</v>
      </c>
      <c r="I455" s="12">
        <v>100</v>
      </c>
      <c r="J455" s="12"/>
      <c r="K455" s="12" t="s">
        <v>275</v>
      </c>
      <c r="L455" s="12" t="s">
        <v>948</v>
      </c>
      <c r="M455" s="12"/>
    </row>
    <row r="456" spans="1:13" x14ac:dyDescent="0.3">
      <c r="A456" s="12" t="s">
        <v>206</v>
      </c>
      <c r="B456" s="12" t="s">
        <v>532</v>
      </c>
      <c r="C456" s="12" t="s">
        <v>5136</v>
      </c>
      <c r="D456" s="12" t="s">
        <v>67</v>
      </c>
      <c r="E456" s="12" t="s">
        <v>6533</v>
      </c>
      <c r="F456" s="12" t="s">
        <v>804</v>
      </c>
      <c r="G456" s="12"/>
      <c r="H456" s="12"/>
      <c r="I456" s="12"/>
      <c r="J456" s="12"/>
      <c r="K456" s="12" t="s">
        <v>273</v>
      </c>
      <c r="L456" s="12" t="s">
        <v>948</v>
      </c>
      <c r="M456" s="12"/>
    </row>
    <row r="457" spans="1:13" x14ac:dyDescent="0.3">
      <c r="A457" s="12" t="s">
        <v>206</v>
      </c>
      <c r="B457" s="12" t="s">
        <v>542</v>
      </c>
      <c r="C457" s="12" t="s">
        <v>5237</v>
      </c>
      <c r="D457" s="12" t="s">
        <v>274</v>
      </c>
      <c r="E457" s="12" t="s">
        <v>6534</v>
      </c>
      <c r="F457" s="12"/>
      <c r="G457" s="12">
        <v>380.4381400834103</v>
      </c>
      <c r="H457" s="12">
        <v>519.55981325731</v>
      </c>
      <c r="I457" s="12">
        <v>100</v>
      </c>
      <c r="J457" s="12"/>
      <c r="K457" s="12" t="s">
        <v>275</v>
      </c>
      <c r="L457" s="12" t="s">
        <v>948</v>
      </c>
      <c r="M457" s="12"/>
    </row>
    <row r="458" spans="1:13" x14ac:dyDescent="0.3">
      <c r="A458" s="12" t="s">
        <v>206</v>
      </c>
      <c r="B458" s="12" t="s">
        <v>542</v>
      </c>
      <c r="C458" s="12" t="s">
        <v>5237</v>
      </c>
      <c r="D458" s="12" t="s">
        <v>276</v>
      </c>
      <c r="E458" s="12" t="s">
        <v>6534</v>
      </c>
      <c r="F458" s="12"/>
      <c r="G458" s="12">
        <v>278.1881636973086</v>
      </c>
      <c r="H458" s="12">
        <v>303.52764238271737</v>
      </c>
      <c r="I458" s="12">
        <v>100</v>
      </c>
      <c r="J458" s="12"/>
      <c r="K458" s="12" t="s">
        <v>275</v>
      </c>
      <c r="L458" s="12" t="s">
        <v>948</v>
      </c>
      <c r="M458" s="12"/>
    </row>
    <row r="459" spans="1:13" x14ac:dyDescent="0.3">
      <c r="A459" s="12" t="s">
        <v>206</v>
      </c>
      <c r="B459" s="12" t="s">
        <v>542</v>
      </c>
      <c r="C459" s="12" t="s">
        <v>5237</v>
      </c>
      <c r="D459" s="12" t="s">
        <v>269</v>
      </c>
      <c r="E459" s="12" t="s">
        <v>6534</v>
      </c>
      <c r="F459" s="12"/>
      <c r="G459" s="12">
        <v>2000.100902831723</v>
      </c>
      <c r="H459" s="12">
        <v>4999.5174437342239</v>
      </c>
      <c r="I459" s="12">
        <v>100</v>
      </c>
      <c r="J459" s="12"/>
      <c r="K459" s="12" t="s">
        <v>270</v>
      </c>
      <c r="L459" s="12" t="s">
        <v>948</v>
      </c>
      <c r="M459" s="12"/>
    </row>
    <row r="460" spans="1:13" x14ac:dyDescent="0.3">
      <c r="A460" s="12" t="s">
        <v>206</v>
      </c>
      <c r="B460" s="12" t="s">
        <v>542</v>
      </c>
      <c r="C460" s="12" t="s">
        <v>5237</v>
      </c>
      <c r="D460" s="12" t="s">
        <v>271</v>
      </c>
      <c r="E460" s="12" t="s">
        <v>6534</v>
      </c>
      <c r="F460" s="12"/>
      <c r="G460" s="12">
        <v>310.67549346650509</v>
      </c>
      <c r="H460" s="12">
        <v>1986.9966072721411</v>
      </c>
      <c r="I460" s="12">
        <v>100</v>
      </c>
      <c r="J460" s="12"/>
      <c r="K460" s="12" t="s">
        <v>270</v>
      </c>
      <c r="L460" s="12" t="s">
        <v>948</v>
      </c>
      <c r="M460" s="12"/>
    </row>
    <row r="461" spans="1:13" x14ac:dyDescent="0.3">
      <c r="A461" s="12" t="s">
        <v>206</v>
      </c>
      <c r="B461" s="12" t="s">
        <v>542</v>
      </c>
      <c r="C461" s="12" t="s">
        <v>5237</v>
      </c>
      <c r="D461" s="12" t="s">
        <v>272</v>
      </c>
      <c r="E461" s="12" t="s">
        <v>6534</v>
      </c>
      <c r="F461" s="12"/>
      <c r="G461" s="12">
        <v>0.50239792667188754</v>
      </c>
      <c r="H461" s="12">
        <v>0.84766156885563382</v>
      </c>
      <c r="I461" s="12">
        <v>100</v>
      </c>
      <c r="J461" s="12"/>
      <c r="K461" s="12" t="s">
        <v>273</v>
      </c>
      <c r="L461" s="12" t="s">
        <v>948</v>
      </c>
      <c r="M461" s="12"/>
    </row>
    <row r="462" spans="1:13" x14ac:dyDescent="0.3">
      <c r="A462" s="12" t="s">
        <v>206</v>
      </c>
      <c r="B462" s="12" t="s">
        <v>542</v>
      </c>
      <c r="C462" s="12" t="s">
        <v>5237</v>
      </c>
      <c r="D462" s="12" t="s">
        <v>282</v>
      </c>
      <c r="E462" s="12" t="s">
        <v>6533</v>
      </c>
      <c r="F462" s="12" t="s">
        <v>800</v>
      </c>
      <c r="G462" s="12"/>
      <c r="H462" s="12"/>
      <c r="I462" s="12"/>
      <c r="J462" s="12" t="s">
        <v>749</v>
      </c>
      <c r="K462" s="12" t="s">
        <v>283</v>
      </c>
      <c r="L462" s="12" t="s">
        <v>948</v>
      </c>
      <c r="M462" s="12"/>
    </row>
    <row r="463" spans="1:13" x14ac:dyDescent="0.3">
      <c r="A463" s="12" t="s">
        <v>206</v>
      </c>
      <c r="B463" s="12" t="s">
        <v>542</v>
      </c>
      <c r="C463" s="12" t="s">
        <v>5237</v>
      </c>
      <c r="D463" s="12" t="s">
        <v>1875</v>
      </c>
      <c r="E463" s="12" t="s">
        <v>6533</v>
      </c>
      <c r="F463" s="12" t="s">
        <v>755</v>
      </c>
      <c r="G463" s="12"/>
      <c r="H463" s="12"/>
      <c r="I463" s="12"/>
      <c r="J463" s="12" t="s">
        <v>749</v>
      </c>
      <c r="K463" s="12" t="s">
        <v>273</v>
      </c>
      <c r="L463" s="12" t="s">
        <v>948</v>
      </c>
      <c r="M463" s="12"/>
    </row>
    <row r="464" spans="1:13" x14ac:dyDescent="0.3">
      <c r="A464" s="12" t="s">
        <v>206</v>
      </c>
      <c r="B464" s="12" t="s">
        <v>542</v>
      </c>
      <c r="C464" s="12" t="s">
        <v>5237</v>
      </c>
      <c r="D464" s="12" t="s">
        <v>1876</v>
      </c>
      <c r="E464" s="12" t="s">
        <v>6533</v>
      </c>
      <c r="F464" s="12" t="s">
        <v>757</v>
      </c>
      <c r="G464" s="12"/>
      <c r="H464" s="12"/>
      <c r="I464" s="12"/>
      <c r="J464" s="12" t="s">
        <v>749</v>
      </c>
      <c r="K464" s="12" t="s">
        <v>273</v>
      </c>
      <c r="L464" s="12" t="s">
        <v>948</v>
      </c>
      <c r="M464" s="12"/>
    </row>
    <row r="465" spans="1:13" x14ac:dyDescent="0.3">
      <c r="A465" s="12" t="s">
        <v>206</v>
      </c>
      <c r="B465" s="12" t="s">
        <v>542</v>
      </c>
      <c r="C465" s="12" t="s">
        <v>5237</v>
      </c>
      <c r="D465" s="12" t="s">
        <v>1877</v>
      </c>
      <c r="E465" s="12" t="s">
        <v>6533</v>
      </c>
      <c r="F465" s="12" t="s">
        <v>755</v>
      </c>
      <c r="G465" s="12"/>
      <c r="H465" s="12"/>
      <c r="I465" s="12"/>
      <c r="J465" s="12" t="s">
        <v>749</v>
      </c>
      <c r="K465" s="12" t="s">
        <v>273</v>
      </c>
      <c r="L465" s="12" t="s">
        <v>948</v>
      </c>
      <c r="M465" s="12"/>
    </row>
    <row r="466" spans="1:13" x14ac:dyDescent="0.3">
      <c r="A466" s="12" t="s">
        <v>206</v>
      </c>
      <c r="B466" s="12" t="s">
        <v>542</v>
      </c>
      <c r="C466" s="12" t="s">
        <v>5237</v>
      </c>
      <c r="D466" s="12" t="s">
        <v>1878</v>
      </c>
      <c r="E466" s="12" t="s">
        <v>6533</v>
      </c>
      <c r="F466" s="12" t="s">
        <v>757</v>
      </c>
      <c r="G466" s="12"/>
      <c r="H466" s="12"/>
      <c r="I466" s="12"/>
      <c r="J466" s="12" t="s">
        <v>749</v>
      </c>
      <c r="K466" s="12" t="s">
        <v>273</v>
      </c>
      <c r="L466" s="12" t="s">
        <v>948</v>
      </c>
      <c r="M466" s="12"/>
    </row>
    <row r="467" spans="1:13" x14ac:dyDescent="0.3">
      <c r="A467" s="12" t="s">
        <v>206</v>
      </c>
      <c r="B467" s="12" t="s">
        <v>542</v>
      </c>
      <c r="C467" s="12" t="s">
        <v>5237</v>
      </c>
      <c r="D467" s="12" t="s">
        <v>1879</v>
      </c>
      <c r="E467" s="12" t="s">
        <v>6533</v>
      </c>
      <c r="F467" s="12" t="s">
        <v>801</v>
      </c>
      <c r="G467" s="12"/>
      <c r="H467" s="12"/>
      <c r="I467" s="12"/>
      <c r="J467" s="12" t="s">
        <v>749</v>
      </c>
      <c r="K467" s="12" t="s">
        <v>273</v>
      </c>
      <c r="L467" s="12" t="s">
        <v>948</v>
      </c>
      <c r="M467" s="12"/>
    </row>
    <row r="468" spans="1:13" x14ac:dyDescent="0.3">
      <c r="A468" s="12" t="s">
        <v>206</v>
      </c>
      <c r="B468" s="12" t="s">
        <v>542</v>
      </c>
      <c r="C468" s="12" t="s">
        <v>5237</v>
      </c>
      <c r="D468" s="12" t="s">
        <v>1880</v>
      </c>
      <c r="E468" s="12" t="s">
        <v>6534</v>
      </c>
      <c r="F468" s="12"/>
      <c r="G468" s="12">
        <v>278.1881636973086</v>
      </c>
      <c r="H468" s="12">
        <v>303.52764238271737</v>
      </c>
      <c r="I468" s="12">
        <v>99</v>
      </c>
      <c r="J468" s="12"/>
      <c r="K468" s="12" t="s">
        <v>275</v>
      </c>
      <c r="L468" s="12" t="s">
        <v>948</v>
      </c>
      <c r="M468" s="12"/>
    </row>
    <row r="469" spans="1:13" x14ac:dyDescent="0.3">
      <c r="A469" s="12" t="s">
        <v>206</v>
      </c>
      <c r="B469" s="12" t="s">
        <v>542</v>
      </c>
      <c r="C469" s="12" t="s">
        <v>5237</v>
      </c>
      <c r="D469" s="12" t="s">
        <v>67</v>
      </c>
      <c r="E469" s="12" t="s">
        <v>6533</v>
      </c>
      <c r="F469" s="12" t="s">
        <v>804</v>
      </c>
      <c r="G469" s="12"/>
      <c r="H469" s="12"/>
      <c r="I469" s="12"/>
      <c r="J469" s="12"/>
      <c r="K469" s="12" t="s">
        <v>273</v>
      </c>
      <c r="L469" s="12" t="s">
        <v>948</v>
      </c>
      <c r="M469" s="12"/>
    </row>
    <row r="470" spans="1:13" x14ac:dyDescent="0.3">
      <c r="A470" s="12" t="s">
        <v>206</v>
      </c>
      <c r="B470" s="12" t="s">
        <v>548</v>
      </c>
      <c r="C470" s="12" t="s">
        <v>5335</v>
      </c>
      <c r="D470" s="12" t="s">
        <v>274</v>
      </c>
      <c r="E470" s="12" t="s">
        <v>6534</v>
      </c>
      <c r="F470" s="12"/>
      <c r="G470" s="12">
        <v>380.82834174402592</v>
      </c>
      <c r="H470" s="12">
        <v>519.22544465137867</v>
      </c>
      <c r="I470" s="12">
        <v>100</v>
      </c>
      <c r="J470" s="12"/>
      <c r="K470" s="12" t="s">
        <v>275</v>
      </c>
      <c r="L470" s="12" t="s">
        <v>948</v>
      </c>
      <c r="M470" s="12"/>
    </row>
    <row r="471" spans="1:13" x14ac:dyDescent="0.3">
      <c r="A471" s="12" t="s">
        <v>206</v>
      </c>
      <c r="B471" s="12" t="s">
        <v>548</v>
      </c>
      <c r="C471" s="12" t="s">
        <v>5335</v>
      </c>
      <c r="D471" s="12" t="s">
        <v>276</v>
      </c>
      <c r="E471" s="12" t="s">
        <v>6534</v>
      </c>
      <c r="F471" s="12"/>
      <c r="G471" s="12">
        <v>278.18000846797497</v>
      </c>
      <c r="H471" s="12">
        <v>303.38060113781847</v>
      </c>
      <c r="I471" s="12">
        <v>100</v>
      </c>
      <c r="J471" s="12"/>
      <c r="K471" s="12" t="s">
        <v>275</v>
      </c>
      <c r="L471" s="12" t="s">
        <v>948</v>
      </c>
      <c r="M471" s="12"/>
    </row>
    <row r="472" spans="1:13" x14ac:dyDescent="0.3">
      <c r="A472" s="12" t="s">
        <v>206</v>
      </c>
      <c r="B472" s="12" t="s">
        <v>548</v>
      </c>
      <c r="C472" s="12" t="s">
        <v>5335</v>
      </c>
      <c r="D472" s="12" t="s">
        <v>269</v>
      </c>
      <c r="E472" s="12" t="s">
        <v>6533</v>
      </c>
      <c r="F472" s="12" t="s">
        <v>805</v>
      </c>
      <c r="G472" s="12"/>
      <c r="H472" s="12"/>
      <c r="I472" s="12"/>
      <c r="J472" s="12" t="s">
        <v>749</v>
      </c>
      <c r="K472" s="12" t="s">
        <v>270</v>
      </c>
      <c r="L472" s="12" t="s">
        <v>948</v>
      </c>
      <c r="M472" s="12"/>
    </row>
    <row r="473" spans="1:13" x14ac:dyDescent="0.3">
      <c r="A473" s="12" t="s">
        <v>206</v>
      </c>
      <c r="B473" s="12" t="s">
        <v>548</v>
      </c>
      <c r="C473" s="12" t="s">
        <v>5335</v>
      </c>
      <c r="D473" s="12" t="s">
        <v>271</v>
      </c>
      <c r="E473" s="12" t="s">
        <v>6534</v>
      </c>
      <c r="F473" s="12"/>
      <c r="G473" s="12">
        <v>302.71289768408792</v>
      </c>
      <c r="H473" s="12">
        <v>1996.125013530389</v>
      </c>
      <c r="I473" s="12">
        <v>100</v>
      </c>
      <c r="J473" s="12"/>
      <c r="K473" s="12" t="s">
        <v>270</v>
      </c>
      <c r="L473" s="12" t="s">
        <v>948</v>
      </c>
      <c r="M473" s="12"/>
    </row>
    <row r="474" spans="1:13" x14ac:dyDescent="0.3">
      <c r="A474" s="12" t="s">
        <v>206</v>
      </c>
      <c r="B474" s="12" t="s">
        <v>548</v>
      </c>
      <c r="C474" s="12" t="s">
        <v>5335</v>
      </c>
      <c r="D474" s="12" t="s">
        <v>272</v>
      </c>
      <c r="E474" s="12" t="s">
        <v>6534</v>
      </c>
      <c r="F474" s="12"/>
      <c r="G474" s="12">
        <v>0.50041752071312873</v>
      </c>
      <c r="H474" s="12">
        <v>0.8473150217400045</v>
      </c>
      <c r="I474" s="12">
        <v>100</v>
      </c>
      <c r="J474" s="12"/>
      <c r="K474" s="12" t="s">
        <v>273</v>
      </c>
      <c r="L474" s="12" t="s">
        <v>948</v>
      </c>
      <c r="M474" s="12"/>
    </row>
    <row r="475" spans="1:13" x14ac:dyDescent="0.3">
      <c r="A475" s="12" t="s">
        <v>206</v>
      </c>
      <c r="B475" s="12" t="s">
        <v>548</v>
      </c>
      <c r="C475" s="12" t="s">
        <v>5335</v>
      </c>
      <c r="D475" s="12" t="s">
        <v>282</v>
      </c>
      <c r="E475" s="12" t="s">
        <v>6533</v>
      </c>
      <c r="F475" s="12" t="s">
        <v>800</v>
      </c>
      <c r="G475" s="12"/>
      <c r="H475" s="12"/>
      <c r="I475" s="12"/>
      <c r="J475" s="12" t="s">
        <v>749</v>
      </c>
      <c r="K475" s="12" t="s">
        <v>283</v>
      </c>
      <c r="L475" s="12" t="s">
        <v>948</v>
      </c>
      <c r="M475" s="12"/>
    </row>
    <row r="476" spans="1:13" x14ac:dyDescent="0.3">
      <c r="A476" s="12" t="s">
        <v>206</v>
      </c>
      <c r="B476" s="12" t="s">
        <v>548</v>
      </c>
      <c r="C476" s="12" t="s">
        <v>5335</v>
      </c>
      <c r="D476" s="12" t="s">
        <v>1875</v>
      </c>
      <c r="E476" s="12" t="s">
        <v>6534</v>
      </c>
      <c r="F476" s="12"/>
      <c r="G476" s="12">
        <v>0.40000530320294259</v>
      </c>
      <c r="H476" s="12">
        <v>0.94581009849457642</v>
      </c>
      <c r="I476" s="12">
        <v>100</v>
      </c>
      <c r="J476" s="12"/>
      <c r="K476" s="12" t="s">
        <v>273</v>
      </c>
      <c r="L476" s="12" t="s">
        <v>948</v>
      </c>
      <c r="M476" s="12"/>
    </row>
    <row r="477" spans="1:13" x14ac:dyDescent="0.3">
      <c r="A477" s="12" t="s">
        <v>206</v>
      </c>
      <c r="B477" s="12" t="s">
        <v>548</v>
      </c>
      <c r="C477" s="12" t="s">
        <v>5335</v>
      </c>
      <c r="D477" s="12" t="s">
        <v>1876</v>
      </c>
      <c r="E477" s="12" t="s">
        <v>6534</v>
      </c>
      <c r="F477" s="12"/>
      <c r="G477" s="12">
        <v>0.40063801387728609</v>
      </c>
      <c r="H477" s="12">
        <v>0.94501344657916142</v>
      </c>
      <c r="I477" s="12">
        <v>100</v>
      </c>
      <c r="J477" s="12"/>
      <c r="K477" s="12" t="s">
        <v>273</v>
      </c>
      <c r="L477" s="12" t="s">
        <v>948</v>
      </c>
      <c r="M477" s="12"/>
    </row>
    <row r="478" spans="1:13" x14ac:dyDescent="0.3">
      <c r="A478" s="12" t="s">
        <v>206</v>
      </c>
      <c r="B478" s="12" t="s">
        <v>548</v>
      </c>
      <c r="C478" s="12" t="s">
        <v>5335</v>
      </c>
      <c r="D478" s="12" t="s">
        <v>1877</v>
      </c>
      <c r="E478" s="12" t="s">
        <v>6534</v>
      </c>
      <c r="F478" s="12"/>
      <c r="G478" s="12">
        <v>0.40419727707299719</v>
      </c>
      <c r="H478" s="12">
        <v>0.94949544324039203</v>
      </c>
      <c r="I478" s="12">
        <v>100</v>
      </c>
      <c r="J478" s="12"/>
      <c r="K478" s="12" t="s">
        <v>273</v>
      </c>
      <c r="L478" s="12" t="s">
        <v>948</v>
      </c>
      <c r="M478" s="12"/>
    </row>
    <row r="479" spans="1:13" x14ac:dyDescent="0.3">
      <c r="A479" s="12" t="s">
        <v>206</v>
      </c>
      <c r="B479" s="12" t="s">
        <v>548</v>
      </c>
      <c r="C479" s="12" t="s">
        <v>5335</v>
      </c>
      <c r="D479" s="12" t="s">
        <v>1878</v>
      </c>
      <c r="E479" s="12" t="s">
        <v>6534</v>
      </c>
      <c r="F479" s="12"/>
      <c r="G479" s="12">
        <v>0.4003605617266463</v>
      </c>
      <c r="H479" s="12">
        <v>0.94775841172499442</v>
      </c>
      <c r="I479" s="12">
        <v>100</v>
      </c>
      <c r="J479" s="12"/>
      <c r="K479" s="12" t="s">
        <v>273</v>
      </c>
      <c r="L479" s="12" t="s">
        <v>948</v>
      </c>
      <c r="M479" s="12"/>
    </row>
    <row r="480" spans="1:13" x14ac:dyDescent="0.3">
      <c r="A480" s="12" t="s">
        <v>206</v>
      </c>
      <c r="B480" s="12" t="s">
        <v>548</v>
      </c>
      <c r="C480" s="12" t="s">
        <v>5335</v>
      </c>
      <c r="D480" s="12" t="s">
        <v>1879</v>
      </c>
      <c r="E480" s="12" t="s">
        <v>6534</v>
      </c>
      <c r="F480" s="12"/>
      <c r="G480" s="12">
        <v>0.40159685263303119</v>
      </c>
      <c r="H480" s="12">
        <v>0.94516588635360477</v>
      </c>
      <c r="I480" s="12">
        <v>100</v>
      </c>
      <c r="J480" s="12"/>
      <c r="K480" s="12" t="s">
        <v>273</v>
      </c>
      <c r="L480" s="12" t="s">
        <v>948</v>
      </c>
      <c r="M480" s="12"/>
    </row>
    <row r="481" spans="1:13" x14ac:dyDescent="0.3">
      <c r="A481" s="12" t="s">
        <v>206</v>
      </c>
      <c r="B481" s="12" t="s">
        <v>548</v>
      </c>
      <c r="C481" s="12" t="s">
        <v>5335</v>
      </c>
      <c r="D481" s="12" t="s">
        <v>1880</v>
      </c>
      <c r="E481" s="12" t="s">
        <v>6534</v>
      </c>
      <c r="F481" s="12"/>
      <c r="G481" s="12">
        <v>278.18000846797497</v>
      </c>
      <c r="H481" s="12">
        <v>303.38060113781847</v>
      </c>
      <c r="I481" s="12">
        <v>100</v>
      </c>
      <c r="J481" s="12"/>
      <c r="K481" s="12" t="s">
        <v>275</v>
      </c>
      <c r="L481" s="12" t="s">
        <v>948</v>
      </c>
      <c r="M481" s="12"/>
    </row>
    <row r="482" spans="1:13" x14ac:dyDescent="0.3">
      <c r="A482" s="12" t="s">
        <v>206</v>
      </c>
      <c r="B482" s="12" t="s">
        <v>548</v>
      </c>
      <c r="C482" s="12" t="s">
        <v>5335</v>
      </c>
      <c r="D482" s="12" t="s">
        <v>67</v>
      </c>
      <c r="E482" s="12" t="s">
        <v>6533</v>
      </c>
      <c r="F482" s="12" t="s">
        <v>804</v>
      </c>
      <c r="G482" s="12"/>
      <c r="H482" s="12"/>
      <c r="I482" s="12"/>
      <c r="J482" s="12"/>
      <c r="K482" s="12" t="s">
        <v>273</v>
      </c>
      <c r="L482" s="12" t="s">
        <v>948</v>
      </c>
      <c r="M482" s="12"/>
    </row>
    <row r="483" spans="1:13" x14ac:dyDescent="0.3">
      <c r="A483" s="12" t="s">
        <v>206</v>
      </c>
      <c r="B483" s="12" t="s">
        <v>558</v>
      </c>
      <c r="C483" s="12" t="s">
        <v>5438</v>
      </c>
      <c r="D483" s="12" t="s">
        <v>274</v>
      </c>
      <c r="E483" s="12" t="s">
        <v>6534</v>
      </c>
      <c r="F483" s="12"/>
      <c r="G483" s="12">
        <v>380.17412310523622</v>
      </c>
      <c r="H483" s="12">
        <v>519.32045355292951</v>
      </c>
      <c r="I483" s="12">
        <v>100</v>
      </c>
      <c r="J483" s="12"/>
      <c r="K483" s="12" t="s">
        <v>275</v>
      </c>
      <c r="L483" s="12" t="s">
        <v>948</v>
      </c>
      <c r="M483" s="12"/>
    </row>
    <row r="484" spans="1:13" x14ac:dyDescent="0.3">
      <c r="A484" s="12" t="s">
        <v>206</v>
      </c>
      <c r="B484" s="12" t="s">
        <v>558</v>
      </c>
      <c r="C484" s="12" t="s">
        <v>5438</v>
      </c>
      <c r="D484" s="12" t="s">
        <v>276</v>
      </c>
      <c r="E484" s="12" t="s">
        <v>6534</v>
      </c>
      <c r="F484" s="12"/>
      <c r="G484" s="12">
        <v>278.20082100254382</v>
      </c>
      <c r="H484" s="12">
        <v>303.38025611486768</v>
      </c>
      <c r="I484" s="12">
        <v>100</v>
      </c>
      <c r="J484" s="12"/>
      <c r="K484" s="12" t="s">
        <v>275</v>
      </c>
      <c r="L484" s="12" t="s">
        <v>948</v>
      </c>
      <c r="M484" s="12"/>
    </row>
    <row r="485" spans="1:13" x14ac:dyDescent="0.3">
      <c r="A485" s="12" t="s">
        <v>206</v>
      </c>
      <c r="B485" s="12" t="s">
        <v>558</v>
      </c>
      <c r="C485" s="12" t="s">
        <v>5438</v>
      </c>
      <c r="D485" s="12" t="s">
        <v>269</v>
      </c>
      <c r="E485" s="12" t="s">
        <v>6534</v>
      </c>
      <c r="F485" s="12"/>
      <c r="G485" s="12">
        <v>2021.508121351221</v>
      </c>
      <c r="H485" s="12">
        <v>4978.3501705747876</v>
      </c>
      <c r="I485" s="12">
        <v>100</v>
      </c>
      <c r="J485" s="12"/>
      <c r="K485" s="12" t="s">
        <v>270</v>
      </c>
      <c r="L485" s="12" t="s">
        <v>948</v>
      </c>
      <c r="M485" s="12"/>
    </row>
    <row r="486" spans="1:13" x14ac:dyDescent="0.3">
      <c r="A486" s="12" t="s">
        <v>206</v>
      </c>
      <c r="B486" s="12" t="s">
        <v>558</v>
      </c>
      <c r="C486" s="12" t="s">
        <v>5438</v>
      </c>
      <c r="D486" s="12" t="s">
        <v>271</v>
      </c>
      <c r="E486" s="12" t="s">
        <v>6533</v>
      </c>
      <c r="F486" s="12" t="s">
        <v>798</v>
      </c>
      <c r="G486" s="12"/>
      <c r="H486" s="12"/>
      <c r="I486" s="12"/>
      <c r="J486" s="12" t="s">
        <v>749</v>
      </c>
      <c r="K486" s="12" t="s">
        <v>270</v>
      </c>
      <c r="L486" s="12" t="s">
        <v>948</v>
      </c>
      <c r="M486" s="12"/>
    </row>
    <row r="487" spans="1:13" x14ac:dyDescent="0.3">
      <c r="A487" s="12" t="s">
        <v>206</v>
      </c>
      <c r="B487" s="12" t="s">
        <v>558</v>
      </c>
      <c r="C487" s="12" t="s">
        <v>5438</v>
      </c>
      <c r="D487" s="12" t="s">
        <v>272</v>
      </c>
      <c r="E487" s="12" t="s">
        <v>6534</v>
      </c>
      <c r="F487" s="12"/>
      <c r="G487" s="12">
        <v>0.5019743324019631</v>
      </c>
      <c r="H487" s="12">
        <v>0.84660952377465626</v>
      </c>
      <c r="I487" s="12">
        <v>100</v>
      </c>
      <c r="J487" s="12"/>
      <c r="K487" s="12" t="s">
        <v>273</v>
      </c>
      <c r="L487" s="12" t="s">
        <v>948</v>
      </c>
      <c r="M487" s="12"/>
    </row>
    <row r="488" spans="1:13" x14ac:dyDescent="0.3">
      <c r="A488" s="12" t="s">
        <v>206</v>
      </c>
      <c r="B488" s="12" t="s">
        <v>558</v>
      </c>
      <c r="C488" s="12" t="s">
        <v>5438</v>
      </c>
      <c r="D488" s="12" t="s">
        <v>282</v>
      </c>
      <c r="E488" s="12" t="s">
        <v>6533</v>
      </c>
      <c r="F488" s="12" t="s">
        <v>800</v>
      </c>
      <c r="G488" s="12"/>
      <c r="H488" s="12"/>
      <c r="I488" s="12"/>
      <c r="J488" s="12" t="s">
        <v>749</v>
      </c>
      <c r="K488" s="12" t="s">
        <v>283</v>
      </c>
      <c r="L488" s="12" t="s">
        <v>948</v>
      </c>
      <c r="M488" s="12"/>
    </row>
    <row r="489" spans="1:13" x14ac:dyDescent="0.3">
      <c r="A489" s="12" t="s">
        <v>206</v>
      </c>
      <c r="B489" s="12" t="s">
        <v>558</v>
      </c>
      <c r="C489" s="12" t="s">
        <v>5438</v>
      </c>
      <c r="D489" s="12" t="s">
        <v>1875</v>
      </c>
      <c r="E489" s="12" t="s">
        <v>6534</v>
      </c>
      <c r="F489" s="12"/>
      <c r="G489" s="12">
        <v>0.40530085017014278</v>
      </c>
      <c r="H489" s="12">
        <v>0.94659792794453679</v>
      </c>
      <c r="I489" s="12">
        <v>100</v>
      </c>
      <c r="J489" s="12"/>
      <c r="K489" s="12" t="s">
        <v>273</v>
      </c>
      <c r="L489" s="12" t="s">
        <v>948</v>
      </c>
      <c r="M489" s="12"/>
    </row>
    <row r="490" spans="1:13" x14ac:dyDescent="0.3">
      <c r="A490" s="12" t="s">
        <v>206</v>
      </c>
      <c r="B490" s="12" t="s">
        <v>558</v>
      </c>
      <c r="C490" s="12" t="s">
        <v>5438</v>
      </c>
      <c r="D490" s="12" t="s">
        <v>1876</v>
      </c>
      <c r="E490" s="12" t="s">
        <v>6534</v>
      </c>
      <c r="F490" s="12"/>
      <c r="G490" s="12">
        <v>0.40469204976903977</v>
      </c>
      <c r="H490" s="12">
        <v>0.94994641702410521</v>
      </c>
      <c r="I490" s="12">
        <v>100</v>
      </c>
      <c r="J490" s="12"/>
      <c r="K490" s="12" t="s">
        <v>273</v>
      </c>
      <c r="L490" s="12" t="s">
        <v>948</v>
      </c>
      <c r="M490" s="12"/>
    </row>
    <row r="491" spans="1:13" x14ac:dyDescent="0.3">
      <c r="A491" s="12" t="s">
        <v>206</v>
      </c>
      <c r="B491" s="12" t="s">
        <v>558</v>
      </c>
      <c r="C491" s="12" t="s">
        <v>5438</v>
      </c>
      <c r="D491" s="12" t="s">
        <v>1877</v>
      </c>
      <c r="E491" s="12" t="s">
        <v>6534</v>
      </c>
      <c r="F491" s="12"/>
      <c r="G491" s="12">
        <v>0.40113829832299658</v>
      </c>
      <c r="H491" s="12">
        <v>0.94753350500197997</v>
      </c>
      <c r="I491" s="12">
        <v>100</v>
      </c>
      <c r="J491" s="12"/>
      <c r="K491" s="12" t="s">
        <v>273</v>
      </c>
      <c r="L491" s="12" t="s">
        <v>948</v>
      </c>
      <c r="M491" s="12"/>
    </row>
    <row r="492" spans="1:13" x14ac:dyDescent="0.3">
      <c r="A492" s="12" t="s">
        <v>206</v>
      </c>
      <c r="B492" s="12" t="s">
        <v>558</v>
      </c>
      <c r="C492" s="12" t="s">
        <v>5438</v>
      </c>
      <c r="D492" s="12" t="s">
        <v>1878</v>
      </c>
      <c r="E492" s="12" t="s">
        <v>6534</v>
      </c>
      <c r="F492" s="12"/>
      <c r="G492" s="12">
        <v>0.40125302986007177</v>
      </c>
      <c r="H492" s="12">
        <v>0.94594684838507337</v>
      </c>
      <c r="I492" s="12">
        <v>100</v>
      </c>
      <c r="J492" s="12"/>
      <c r="K492" s="12" t="s">
        <v>273</v>
      </c>
      <c r="L492" s="12" t="s">
        <v>948</v>
      </c>
      <c r="M492" s="12"/>
    </row>
    <row r="493" spans="1:13" x14ac:dyDescent="0.3">
      <c r="A493" s="12" t="s">
        <v>206</v>
      </c>
      <c r="B493" s="12" t="s">
        <v>558</v>
      </c>
      <c r="C493" s="12" t="s">
        <v>5438</v>
      </c>
      <c r="D493" s="12" t="s">
        <v>1879</v>
      </c>
      <c r="E493" s="12" t="s">
        <v>6534</v>
      </c>
      <c r="F493" s="12"/>
      <c r="G493" s="12">
        <v>0.40216372940679501</v>
      </c>
      <c r="H493" s="12">
        <v>0.94462357843750477</v>
      </c>
      <c r="I493" s="12">
        <v>100</v>
      </c>
      <c r="J493" s="12"/>
      <c r="K493" s="12" t="s">
        <v>273</v>
      </c>
      <c r="L493" s="12" t="s">
        <v>948</v>
      </c>
      <c r="M493" s="12"/>
    </row>
    <row r="494" spans="1:13" x14ac:dyDescent="0.3">
      <c r="A494" s="12" t="s">
        <v>206</v>
      </c>
      <c r="B494" s="12" t="s">
        <v>558</v>
      </c>
      <c r="C494" s="12" t="s">
        <v>5438</v>
      </c>
      <c r="D494" s="12" t="s">
        <v>1880</v>
      </c>
      <c r="E494" s="12" t="s">
        <v>6534</v>
      </c>
      <c r="F494" s="12"/>
      <c r="G494" s="12">
        <v>278.20082100254382</v>
      </c>
      <c r="H494" s="12">
        <v>303.38025611486768</v>
      </c>
      <c r="I494" s="12">
        <v>100</v>
      </c>
      <c r="J494" s="12"/>
      <c r="K494" s="12" t="s">
        <v>275</v>
      </c>
      <c r="L494" s="12" t="s">
        <v>948</v>
      </c>
      <c r="M494" s="12"/>
    </row>
    <row r="495" spans="1:13" x14ac:dyDescent="0.3">
      <c r="A495" s="12" t="s">
        <v>206</v>
      </c>
      <c r="B495" s="12" t="s">
        <v>558</v>
      </c>
      <c r="C495" s="12" t="s">
        <v>5438</v>
      </c>
      <c r="D495" s="12" t="s">
        <v>67</v>
      </c>
      <c r="E495" s="12" t="s">
        <v>6533</v>
      </c>
      <c r="F495" s="12" t="s">
        <v>804</v>
      </c>
      <c r="G495" s="12"/>
      <c r="H495" s="12"/>
      <c r="I495" s="12"/>
      <c r="J495" s="12"/>
      <c r="K495" s="12" t="s">
        <v>273</v>
      </c>
      <c r="L495" s="12" t="s">
        <v>948</v>
      </c>
      <c r="M495" s="12"/>
    </row>
    <row r="496" spans="1:13" x14ac:dyDescent="0.3">
      <c r="A496" s="12" t="s">
        <v>206</v>
      </c>
      <c r="B496" s="12" t="s">
        <v>568</v>
      </c>
      <c r="C496" s="12" t="s">
        <v>5538</v>
      </c>
      <c r="D496" s="12" t="s">
        <v>274</v>
      </c>
      <c r="E496" s="12" t="s">
        <v>6534</v>
      </c>
      <c r="F496" s="12"/>
      <c r="G496" s="12">
        <v>380.1511720205765</v>
      </c>
      <c r="H496" s="12">
        <v>519.05282890287856</v>
      </c>
      <c r="I496" s="12">
        <v>100</v>
      </c>
      <c r="J496" s="12"/>
      <c r="K496" s="12" t="s">
        <v>275</v>
      </c>
      <c r="L496" s="12" t="s">
        <v>948</v>
      </c>
      <c r="M496" s="12"/>
    </row>
    <row r="497" spans="1:13" x14ac:dyDescent="0.3">
      <c r="A497" s="12" t="s">
        <v>206</v>
      </c>
      <c r="B497" s="12" t="s">
        <v>568</v>
      </c>
      <c r="C497" s="12" t="s">
        <v>5538</v>
      </c>
      <c r="D497" s="12" t="s">
        <v>276</v>
      </c>
      <c r="E497" s="12" t="s">
        <v>6533</v>
      </c>
      <c r="F497" s="12" t="s">
        <v>795</v>
      </c>
      <c r="G497" s="12"/>
      <c r="H497" s="12"/>
      <c r="I497" s="12"/>
      <c r="J497" s="12" t="s">
        <v>749</v>
      </c>
      <c r="K497" s="12" t="s">
        <v>275</v>
      </c>
      <c r="L497" s="12" t="s">
        <v>948</v>
      </c>
      <c r="M497" s="12"/>
    </row>
    <row r="498" spans="1:13" x14ac:dyDescent="0.3">
      <c r="A498" s="12" t="s">
        <v>206</v>
      </c>
      <c r="B498" s="12" t="s">
        <v>568</v>
      </c>
      <c r="C498" s="12" t="s">
        <v>5538</v>
      </c>
      <c r="D498" s="12" t="s">
        <v>269</v>
      </c>
      <c r="E498" s="12" t="s">
        <v>6534</v>
      </c>
      <c r="F498" s="12"/>
      <c r="G498" s="12">
        <v>2007.3456126635731</v>
      </c>
      <c r="H498" s="12">
        <v>4982.7542192155179</v>
      </c>
      <c r="I498" s="12">
        <v>100</v>
      </c>
      <c r="J498" s="12"/>
      <c r="K498" s="12" t="s">
        <v>270</v>
      </c>
      <c r="L498" s="12" t="s">
        <v>948</v>
      </c>
      <c r="M498" s="12"/>
    </row>
    <row r="499" spans="1:13" x14ac:dyDescent="0.3">
      <c r="A499" s="12" t="s">
        <v>206</v>
      </c>
      <c r="B499" s="12" t="s">
        <v>568</v>
      </c>
      <c r="C499" s="12" t="s">
        <v>5538</v>
      </c>
      <c r="D499" s="12" t="s">
        <v>271</v>
      </c>
      <c r="E499" s="12" t="s">
        <v>6534</v>
      </c>
      <c r="F499" s="12"/>
      <c r="G499" s="12">
        <v>306.34044515490189</v>
      </c>
      <c r="H499" s="12">
        <v>1990.6992416712881</v>
      </c>
      <c r="I499" s="12">
        <v>100</v>
      </c>
      <c r="J499" s="12"/>
      <c r="K499" s="12" t="s">
        <v>270</v>
      </c>
      <c r="L499" s="12" t="s">
        <v>948</v>
      </c>
      <c r="M499" s="12"/>
    </row>
    <row r="500" spans="1:13" x14ac:dyDescent="0.3">
      <c r="A500" s="12" t="s">
        <v>206</v>
      </c>
      <c r="B500" s="12" t="s">
        <v>568</v>
      </c>
      <c r="C500" s="12" t="s">
        <v>5538</v>
      </c>
      <c r="D500" s="12" t="s">
        <v>272</v>
      </c>
      <c r="E500" s="12" t="s">
        <v>6534</v>
      </c>
      <c r="F500" s="12"/>
      <c r="G500" s="12">
        <v>0.50253973811195951</v>
      </c>
      <c r="H500" s="12">
        <v>0.84706166412575845</v>
      </c>
      <c r="I500" s="12">
        <v>100</v>
      </c>
      <c r="J500" s="12"/>
      <c r="K500" s="12" t="s">
        <v>273</v>
      </c>
      <c r="L500" s="12" t="s">
        <v>948</v>
      </c>
      <c r="M500" s="12"/>
    </row>
    <row r="501" spans="1:13" x14ac:dyDescent="0.3">
      <c r="A501" s="12" t="s">
        <v>206</v>
      </c>
      <c r="B501" s="12" t="s">
        <v>568</v>
      </c>
      <c r="C501" s="12" t="s">
        <v>5538</v>
      </c>
      <c r="D501" s="12" t="s">
        <v>282</v>
      </c>
      <c r="E501" s="12" t="s">
        <v>6533</v>
      </c>
      <c r="F501" s="12" t="s">
        <v>800</v>
      </c>
      <c r="G501" s="12"/>
      <c r="H501" s="12"/>
      <c r="I501" s="12"/>
      <c r="J501" s="12" t="s">
        <v>749</v>
      </c>
      <c r="K501" s="12" t="s">
        <v>283</v>
      </c>
      <c r="L501" s="12" t="s">
        <v>948</v>
      </c>
      <c r="M501" s="12"/>
    </row>
    <row r="502" spans="1:13" x14ac:dyDescent="0.3">
      <c r="A502" s="12" t="s">
        <v>206</v>
      </c>
      <c r="B502" s="12" t="s">
        <v>568</v>
      </c>
      <c r="C502" s="12" t="s">
        <v>5538</v>
      </c>
      <c r="D502" s="12" t="s">
        <v>1875</v>
      </c>
      <c r="E502" s="12" t="s">
        <v>6534</v>
      </c>
      <c r="F502" s="12"/>
      <c r="G502" s="12">
        <v>0.40547539735013061</v>
      </c>
      <c r="H502" s="12">
        <v>0.94527630418383601</v>
      </c>
      <c r="I502" s="12">
        <v>100</v>
      </c>
      <c r="J502" s="12"/>
      <c r="K502" s="12" t="s">
        <v>273</v>
      </c>
      <c r="L502" s="12" t="s">
        <v>948</v>
      </c>
      <c r="M502" s="12"/>
    </row>
    <row r="503" spans="1:13" x14ac:dyDescent="0.3">
      <c r="A503" s="12" t="s">
        <v>206</v>
      </c>
      <c r="B503" s="12" t="s">
        <v>568</v>
      </c>
      <c r="C503" s="12" t="s">
        <v>5538</v>
      </c>
      <c r="D503" s="12" t="s">
        <v>1876</v>
      </c>
      <c r="E503" s="12" t="s">
        <v>6534</v>
      </c>
      <c r="F503" s="12"/>
      <c r="G503" s="12">
        <v>0.40022813433245719</v>
      </c>
      <c r="H503" s="12">
        <v>0.94498888945114656</v>
      </c>
      <c r="I503" s="12">
        <v>100</v>
      </c>
      <c r="J503" s="12"/>
      <c r="K503" s="12" t="s">
        <v>273</v>
      </c>
      <c r="L503" s="12" t="s">
        <v>948</v>
      </c>
      <c r="M503" s="12"/>
    </row>
    <row r="504" spans="1:13" x14ac:dyDescent="0.3">
      <c r="A504" s="12" t="s">
        <v>206</v>
      </c>
      <c r="B504" s="12" t="s">
        <v>568</v>
      </c>
      <c r="C504" s="12" t="s">
        <v>5538</v>
      </c>
      <c r="D504" s="12" t="s">
        <v>1877</v>
      </c>
      <c r="E504" s="12" t="s">
        <v>6534</v>
      </c>
      <c r="F504" s="12"/>
      <c r="G504" s="12">
        <v>0.40366305208886383</v>
      </c>
      <c r="H504" s="12">
        <v>0.94782792876308841</v>
      </c>
      <c r="I504" s="12">
        <v>100</v>
      </c>
      <c r="J504" s="12"/>
      <c r="K504" s="12" t="s">
        <v>273</v>
      </c>
      <c r="L504" s="12" t="s">
        <v>948</v>
      </c>
      <c r="M504" s="12"/>
    </row>
    <row r="505" spans="1:13" x14ac:dyDescent="0.3">
      <c r="A505" s="12" t="s">
        <v>206</v>
      </c>
      <c r="B505" s="12" t="s">
        <v>568</v>
      </c>
      <c r="C505" s="12" t="s">
        <v>5538</v>
      </c>
      <c r="D505" s="12" t="s">
        <v>1878</v>
      </c>
      <c r="E505" s="12" t="s">
        <v>6534</v>
      </c>
      <c r="F505" s="12"/>
      <c r="G505" s="12">
        <v>0.4029380910019863</v>
      </c>
      <c r="H505" s="12">
        <v>0.94836183220946957</v>
      </c>
      <c r="I505" s="12">
        <v>100</v>
      </c>
      <c r="J505" s="12"/>
      <c r="K505" s="12" t="s">
        <v>273</v>
      </c>
      <c r="L505" s="12" t="s">
        <v>948</v>
      </c>
      <c r="M505" s="12"/>
    </row>
    <row r="506" spans="1:13" x14ac:dyDescent="0.3">
      <c r="A506" s="12" t="s">
        <v>206</v>
      </c>
      <c r="B506" s="12" t="s">
        <v>568</v>
      </c>
      <c r="C506" s="12" t="s">
        <v>5538</v>
      </c>
      <c r="D506" s="12" t="s">
        <v>1879</v>
      </c>
      <c r="E506" s="12" t="s">
        <v>6534</v>
      </c>
      <c r="F506" s="12"/>
      <c r="G506" s="12">
        <v>0.40049918866162149</v>
      </c>
      <c r="H506" s="12">
        <v>0.94609294166033164</v>
      </c>
      <c r="I506" s="12">
        <v>100</v>
      </c>
      <c r="J506" s="12"/>
      <c r="K506" s="12" t="s">
        <v>273</v>
      </c>
      <c r="L506" s="12" t="s">
        <v>948</v>
      </c>
      <c r="M506" s="12"/>
    </row>
    <row r="507" spans="1:13" x14ac:dyDescent="0.3">
      <c r="A507" s="12" t="s">
        <v>206</v>
      </c>
      <c r="B507" s="12" t="s">
        <v>568</v>
      </c>
      <c r="C507" s="12" t="s">
        <v>5538</v>
      </c>
      <c r="D507" s="12" t="s">
        <v>1880</v>
      </c>
      <c r="E507" s="12" t="s">
        <v>6533</v>
      </c>
      <c r="F507" s="12" t="s">
        <v>795</v>
      </c>
      <c r="G507" s="12"/>
      <c r="H507" s="12"/>
      <c r="I507" s="12"/>
      <c r="J507" s="12" t="s">
        <v>749</v>
      </c>
      <c r="K507" s="12" t="s">
        <v>275</v>
      </c>
      <c r="L507" s="12" t="s">
        <v>948</v>
      </c>
      <c r="M507" s="12"/>
    </row>
    <row r="508" spans="1:13" x14ac:dyDescent="0.3">
      <c r="A508" s="12" t="s">
        <v>206</v>
      </c>
      <c r="B508" s="12" t="s">
        <v>568</v>
      </c>
      <c r="C508" s="12" t="s">
        <v>5538</v>
      </c>
      <c r="D508" s="12" t="s">
        <v>67</v>
      </c>
      <c r="E508" s="12" t="s">
        <v>6533</v>
      </c>
      <c r="F508" s="12" t="s">
        <v>804</v>
      </c>
      <c r="G508" s="12"/>
      <c r="H508" s="12"/>
      <c r="I508" s="12"/>
      <c r="J508" s="12"/>
      <c r="K508" s="12" t="s">
        <v>273</v>
      </c>
      <c r="L508" s="12" t="s">
        <v>948</v>
      </c>
      <c r="M508" s="12"/>
    </row>
    <row r="509" spans="1:13" x14ac:dyDescent="0.3">
      <c r="A509" s="12" t="s">
        <v>206</v>
      </c>
      <c r="B509" s="12" t="s">
        <v>578</v>
      </c>
      <c r="C509" s="12" t="s">
        <v>5640</v>
      </c>
      <c r="D509" s="12" t="s">
        <v>274</v>
      </c>
      <c r="E509" s="12" t="s">
        <v>6534</v>
      </c>
      <c r="F509" s="12"/>
      <c r="G509" s="12">
        <v>380.96231409673942</v>
      </c>
      <c r="H509" s="12">
        <v>519.5895422483876</v>
      </c>
      <c r="I509" s="12">
        <v>100</v>
      </c>
      <c r="J509" s="12"/>
      <c r="K509" s="12" t="s">
        <v>275</v>
      </c>
      <c r="L509" s="12" t="s">
        <v>948</v>
      </c>
      <c r="M509" s="12"/>
    </row>
    <row r="510" spans="1:13" x14ac:dyDescent="0.3">
      <c r="A510" s="12" t="s">
        <v>206</v>
      </c>
      <c r="B510" s="12" t="s">
        <v>578</v>
      </c>
      <c r="C510" s="12" t="s">
        <v>5640</v>
      </c>
      <c r="D510" s="12" t="s">
        <v>276</v>
      </c>
      <c r="E510" s="12" t="s">
        <v>6534</v>
      </c>
      <c r="F510" s="12"/>
      <c r="G510" s="12">
        <v>278.16107133933798</v>
      </c>
      <c r="H510" s="12">
        <v>303.42091042906088</v>
      </c>
      <c r="I510" s="12">
        <v>100</v>
      </c>
      <c r="J510" s="12"/>
      <c r="K510" s="12" t="s">
        <v>275</v>
      </c>
      <c r="L510" s="12" t="s">
        <v>948</v>
      </c>
      <c r="M510" s="12"/>
    </row>
    <row r="511" spans="1:13" x14ac:dyDescent="0.3">
      <c r="A511" s="12" t="s">
        <v>206</v>
      </c>
      <c r="B511" s="12" t="s">
        <v>578</v>
      </c>
      <c r="C511" s="12" t="s">
        <v>5640</v>
      </c>
      <c r="D511" s="12" t="s">
        <v>269</v>
      </c>
      <c r="E511" s="12" t="s">
        <v>6534</v>
      </c>
      <c r="F511" s="12"/>
      <c r="G511" s="12">
        <v>2022.351969408076</v>
      </c>
      <c r="H511" s="12">
        <v>4977.2502968546742</v>
      </c>
      <c r="I511" s="12">
        <v>100</v>
      </c>
      <c r="J511" s="12"/>
      <c r="K511" s="12" t="s">
        <v>270</v>
      </c>
      <c r="L511" s="12" t="s">
        <v>948</v>
      </c>
      <c r="M511" s="12"/>
    </row>
    <row r="512" spans="1:13" x14ac:dyDescent="0.3">
      <c r="A512" s="12" t="s">
        <v>206</v>
      </c>
      <c r="B512" s="12" t="s">
        <v>578</v>
      </c>
      <c r="C512" s="12" t="s">
        <v>5640</v>
      </c>
      <c r="D512" s="12" t="s">
        <v>271</v>
      </c>
      <c r="E512" s="12" t="s">
        <v>6534</v>
      </c>
      <c r="F512" s="12"/>
      <c r="G512" s="12">
        <v>316.78371652299069</v>
      </c>
      <c r="H512" s="12">
        <v>1998.763234628464</v>
      </c>
      <c r="I512" s="12">
        <v>100</v>
      </c>
      <c r="J512" s="12"/>
      <c r="K512" s="12" t="s">
        <v>270</v>
      </c>
      <c r="L512" s="12" t="s">
        <v>948</v>
      </c>
      <c r="M512" s="12"/>
    </row>
    <row r="513" spans="1:13" x14ac:dyDescent="0.3">
      <c r="A513" s="12" t="s">
        <v>206</v>
      </c>
      <c r="B513" s="12" t="s">
        <v>578</v>
      </c>
      <c r="C513" s="12" t="s">
        <v>5640</v>
      </c>
      <c r="D513" s="12" t="s">
        <v>272</v>
      </c>
      <c r="E513" s="12" t="s">
        <v>6533</v>
      </c>
      <c r="F513" s="12" t="s">
        <v>799</v>
      </c>
      <c r="G513" s="12"/>
      <c r="H513" s="12"/>
      <c r="I513" s="12"/>
      <c r="J513" s="12" t="s">
        <v>749</v>
      </c>
      <c r="K513" s="12" t="s">
        <v>273</v>
      </c>
      <c r="L513" s="12" t="s">
        <v>948</v>
      </c>
      <c r="M513" s="12"/>
    </row>
    <row r="514" spans="1:13" x14ac:dyDescent="0.3">
      <c r="A514" s="12" t="s">
        <v>206</v>
      </c>
      <c r="B514" s="12" t="s">
        <v>578</v>
      </c>
      <c r="C514" s="12" t="s">
        <v>5640</v>
      </c>
      <c r="D514" s="12" t="s">
        <v>282</v>
      </c>
      <c r="E514" s="12" t="s">
        <v>6533</v>
      </c>
      <c r="F514" s="12" t="s">
        <v>800</v>
      </c>
      <c r="G514" s="12"/>
      <c r="H514" s="12"/>
      <c r="I514" s="12"/>
      <c r="J514" s="12" t="s">
        <v>749</v>
      </c>
      <c r="K514" s="12" t="s">
        <v>283</v>
      </c>
      <c r="L514" s="12" t="s">
        <v>948</v>
      </c>
      <c r="M514" s="12"/>
    </row>
    <row r="515" spans="1:13" x14ac:dyDescent="0.3">
      <c r="A515" s="12" t="s">
        <v>206</v>
      </c>
      <c r="B515" s="12" t="s">
        <v>578</v>
      </c>
      <c r="C515" s="12" t="s">
        <v>5640</v>
      </c>
      <c r="D515" s="12" t="s">
        <v>1875</v>
      </c>
      <c r="E515" s="12" t="s">
        <v>6534</v>
      </c>
      <c r="F515" s="12"/>
      <c r="G515" s="12">
        <v>0.40154496012716923</v>
      </c>
      <c r="H515" s="12">
        <v>0.94956087745931816</v>
      </c>
      <c r="I515" s="12">
        <v>100</v>
      </c>
      <c r="J515" s="12"/>
      <c r="K515" s="12" t="s">
        <v>273</v>
      </c>
      <c r="L515" s="12" t="s">
        <v>948</v>
      </c>
      <c r="M515" s="12"/>
    </row>
    <row r="516" spans="1:13" x14ac:dyDescent="0.3">
      <c r="A516" s="12" t="s">
        <v>206</v>
      </c>
      <c r="B516" s="12" t="s">
        <v>578</v>
      </c>
      <c r="C516" s="12" t="s">
        <v>5640</v>
      </c>
      <c r="D516" s="12" t="s">
        <v>1876</v>
      </c>
      <c r="E516" s="12" t="s">
        <v>6534</v>
      </c>
      <c r="F516" s="12"/>
      <c r="G516" s="12">
        <v>0.40172382552610081</v>
      </c>
      <c r="H516" s="12">
        <v>0.94589652867468499</v>
      </c>
      <c r="I516" s="12">
        <v>100</v>
      </c>
      <c r="J516" s="12"/>
      <c r="K516" s="12" t="s">
        <v>273</v>
      </c>
      <c r="L516" s="12" t="s">
        <v>948</v>
      </c>
      <c r="M516" s="12"/>
    </row>
    <row r="517" spans="1:13" x14ac:dyDescent="0.3">
      <c r="A517" s="12" t="s">
        <v>206</v>
      </c>
      <c r="B517" s="12" t="s">
        <v>578</v>
      </c>
      <c r="C517" s="12" t="s">
        <v>5640</v>
      </c>
      <c r="D517" s="12" t="s">
        <v>1877</v>
      </c>
      <c r="E517" s="12" t="s">
        <v>6534</v>
      </c>
      <c r="F517" s="12"/>
      <c r="G517" s="12">
        <v>0.40159855355889212</v>
      </c>
      <c r="H517" s="12">
        <v>0.94961283330905955</v>
      </c>
      <c r="I517" s="12">
        <v>100</v>
      </c>
      <c r="J517" s="12"/>
      <c r="K517" s="12" t="s">
        <v>273</v>
      </c>
      <c r="L517" s="12" t="s">
        <v>948</v>
      </c>
      <c r="M517" s="12"/>
    </row>
    <row r="518" spans="1:13" x14ac:dyDescent="0.3">
      <c r="A518" s="12" t="s">
        <v>206</v>
      </c>
      <c r="B518" s="12" t="s">
        <v>578</v>
      </c>
      <c r="C518" s="12" t="s">
        <v>5640</v>
      </c>
      <c r="D518" s="12" t="s">
        <v>1878</v>
      </c>
      <c r="E518" s="12" t="s">
        <v>6534</v>
      </c>
      <c r="F518" s="12"/>
      <c r="G518" s="12">
        <v>0.4024286595266871</v>
      </c>
      <c r="H518" s="12">
        <v>0.94479754544488725</v>
      </c>
      <c r="I518" s="12">
        <v>100</v>
      </c>
      <c r="J518" s="12"/>
      <c r="K518" s="12" t="s">
        <v>273</v>
      </c>
      <c r="L518" s="12" t="s">
        <v>948</v>
      </c>
      <c r="M518" s="12"/>
    </row>
    <row r="519" spans="1:13" x14ac:dyDescent="0.3">
      <c r="A519" s="12" t="s">
        <v>206</v>
      </c>
      <c r="B519" s="12" t="s">
        <v>578</v>
      </c>
      <c r="C519" s="12" t="s">
        <v>5640</v>
      </c>
      <c r="D519" s="12" t="s">
        <v>1879</v>
      </c>
      <c r="E519" s="12" t="s">
        <v>6534</v>
      </c>
      <c r="F519" s="12"/>
      <c r="G519" s="12">
        <v>0.40397621841447029</v>
      </c>
      <c r="H519" s="12">
        <v>0.94769320878429564</v>
      </c>
      <c r="I519" s="12">
        <v>100</v>
      </c>
      <c r="J519" s="12"/>
      <c r="K519" s="12" t="s">
        <v>273</v>
      </c>
      <c r="L519" s="12" t="s">
        <v>948</v>
      </c>
      <c r="M519" s="12"/>
    </row>
    <row r="520" spans="1:13" x14ac:dyDescent="0.3">
      <c r="A520" s="12" t="s">
        <v>206</v>
      </c>
      <c r="B520" s="12" t="s">
        <v>578</v>
      </c>
      <c r="C520" s="12" t="s">
        <v>5640</v>
      </c>
      <c r="D520" s="12" t="s">
        <v>1880</v>
      </c>
      <c r="E520" s="12" t="s">
        <v>6534</v>
      </c>
      <c r="F520" s="12"/>
      <c r="G520" s="12">
        <v>278.16107133933798</v>
      </c>
      <c r="H520" s="12">
        <v>303.42091042906088</v>
      </c>
      <c r="I520" s="12">
        <v>99</v>
      </c>
      <c r="J520" s="12"/>
      <c r="K520" s="12" t="s">
        <v>275</v>
      </c>
      <c r="L520" s="12" t="s">
        <v>948</v>
      </c>
      <c r="M520" s="12"/>
    </row>
    <row r="521" spans="1:13" x14ac:dyDescent="0.3">
      <c r="A521" s="12" t="s">
        <v>206</v>
      </c>
      <c r="B521" s="12" t="s">
        <v>578</v>
      </c>
      <c r="C521" s="12" t="s">
        <v>5640</v>
      </c>
      <c r="D521" s="12" t="s">
        <v>67</v>
      </c>
      <c r="E521" s="12" t="s">
        <v>6533</v>
      </c>
      <c r="F521" s="12" t="s">
        <v>804</v>
      </c>
      <c r="G521" s="12"/>
      <c r="H521" s="12"/>
      <c r="I521" s="12"/>
      <c r="J521" s="12"/>
      <c r="K521" s="12" t="s">
        <v>273</v>
      </c>
      <c r="L521" s="12" t="s">
        <v>948</v>
      </c>
      <c r="M521" s="12"/>
    </row>
    <row r="522" spans="1:13" x14ac:dyDescent="0.3">
      <c r="A522" s="12" t="s">
        <v>206</v>
      </c>
      <c r="B522" s="12" t="s">
        <v>588</v>
      </c>
      <c r="C522" s="12" t="s">
        <v>5742</v>
      </c>
      <c r="D522" s="12" t="s">
        <v>274</v>
      </c>
      <c r="E522" s="12" t="s">
        <v>6533</v>
      </c>
      <c r="F522" s="12" t="s">
        <v>794</v>
      </c>
      <c r="G522" s="12"/>
      <c r="H522" s="12"/>
      <c r="I522" s="12"/>
      <c r="J522" s="12" t="s">
        <v>749</v>
      </c>
      <c r="K522" s="12" t="s">
        <v>275</v>
      </c>
      <c r="L522" s="12" t="s">
        <v>948</v>
      </c>
      <c r="M522" s="12"/>
    </row>
    <row r="523" spans="1:13" x14ac:dyDescent="0.3">
      <c r="A523" s="12" t="s">
        <v>206</v>
      </c>
      <c r="B523" s="12" t="s">
        <v>588</v>
      </c>
      <c r="C523" s="12" t="s">
        <v>5742</v>
      </c>
      <c r="D523" s="12" t="s">
        <v>276</v>
      </c>
      <c r="E523" s="12" t="s">
        <v>6534</v>
      </c>
      <c r="F523" s="12"/>
      <c r="G523" s="12">
        <v>278.84784593739909</v>
      </c>
      <c r="H523" s="12">
        <v>302.94880825059721</v>
      </c>
      <c r="I523" s="12">
        <v>30</v>
      </c>
      <c r="J523" s="12"/>
      <c r="K523" s="12" t="s">
        <v>275</v>
      </c>
      <c r="L523" s="12" t="s">
        <v>948</v>
      </c>
      <c r="M523" s="12"/>
    </row>
    <row r="524" spans="1:13" x14ac:dyDescent="0.3">
      <c r="A524" s="12" t="s">
        <v>206</v>
      </c>
      <c r="B524" s="12" t="s">
        <v>588</v>
      </c>
      <c r="C524" s="12" t="s">
        <v>5742</v>
      </c>
      <c r="D524" s="12" t="s">
        <v>269</v>
      </c>
      <c r="E524" s="12" t="s">
        <v>6534</v>
      </c>
      <c r="F524" s="12"/>
      <c r="G524" s="12">
        <v>2053.4782046975101</v>
      </c>
      <c r="H524" s="12">
        <v>4944.1282627078581</v>
      </c>
      <c r="I524" s="12">
        <v>30</v>
      </c>
      <c r="J524" s="12"/>
      <c r="K524" s="12" t="s">
        <v>270</v>
      </c>
      <c r="L524" s="12" t="s">
        <v>948</v>
      </c>
      <c r="M524" s="12"/>
    </row>
    <row r="525" spans="1:13" x14ac:dyDescent="0.3">
      <c r="A525" s="12" t="s">
        <v>206</v>
      </c>
      <c r="B525" s="12" t="s">
        <v>588</v>
      </c>
      <c r="C525" s="12" t="s">
        <v>5742</v>
      </c>
      <c r="D525" s="12" t="s">
        <v>271</v>
      </c>
      <c r="E525" s="12" t="s">
        <v>6534</v>
      </c>
      <c r="F525" s="12"/>
      <c r="G525" s="12">
        <v>340.40303697573518</v>
      </c>
      <c r="H525" s="12">
        <v>1956.5687996522611</v>
      </c>
      <c r="I525" s="12">
        <v>30</v>
      </c>
      <c r="J525" s="12"/>
      <c r="K525" s="12" t="s">
        <v>270</v>
      </c>
      <c r="L525" s="12" t="s">
        <v>948</v>
      </c>
      <c r="M525" s="12"/>
    </row>
    <row r="526" spans="1:13" x14ac:dyDescent="0.3">
      <c r="A526" s="12" t="s">
        <v>206</v>
      </c>
      <c r="B526" s="12" t="s">
        <v>588</v>
      </c>
      <c r="C526" s="12" t="s">
        <v>5742</v>
      </c>
      <c r="D526" s="12" t="s">
        <v>272</v>
      </c>
      <c r="E526" s="12" t="s">
        <v>6533</v>
      </c>
      <c r="F526" s="12" t="s">
        <v>799</v>
      </c>
      <c r="G526" s="12"/>
      <c r="H526" s="12"/>
      <c r="I526" s="12"/>
      <c r="J526" s="12" t="s">
        <v>749</v>
      </c>
      <c r="K526" s="12" t="s">
        <v>273</v>
      </c>
      <c r="L526" s="12" t="s">
        <v>948</v>
      </c>
      <c r="M526" s="12"/>
    </row>
    <row r="527" spans="1:13" x14ac:dyDescent="0.3">
      <c r="A527" s="12" t="s">
        <v>206</v>
      </c>
      <c r="B527" s="12" t="s">
        <v>588</v>
      </c>
      <c r="C527" s="12" t="s">
        <v>5742</v>
      </c>
      <c r="D527" s="12" t="s">
        <v>282</v>
      </c>
      <c r="E527" s="12" t="s">
        <v>6533</v>
      </c>
      <c r="F527" s="12" t="s">
        <v>800</v>
      </c>
      <c r="G527" s="12"/>
      <c r="H527" s="12"/>
      <c r="I527" s="12"/>
      <c r="J527" s="12" t="s">
        <v>749</v>
      </c>
      <c r="K527" s="12" t="s">
        <v>283</v>
      </c>
      <c r="L527" s="12" t="s">
        <v>948</v>
      </c>
      <c r="M527" s="12"/>
    </row>
    <row r="528" spans="1:13" x14ac:dyDescent="0.3">
      <c r="A528" s="12" t="s">
        <v>206</v>
      </c>
      <c r="B528" s="12" t="s">
        <v>588</v>
      </c>
      <c r="C528" s="12" t="s">
        <v>5742</v>
      </c>
      <c r="D528" s="12" t="s">
        <v>1875</v>
      </c>
      <c r="E528" s="12" t="s">
        <v>6534</v>
      </c>
      <c r="F528" s="12"/>
      <c r="G528" s="12">
        <v>0.40521969181727019</v>
      </c>
      <c r="H528" s="12">
        <v>0.94700424684346995</v>
      </c>
      <c r="I528" s="12">
        <v>30</v>
      </c>
      <c r="J528" s="12"/>
      <c r="K528" s="12" t="s">
        <v>273</v>
      </c>
      <c r="L528" s="12" t="s">
        <v>948</v>
      </c>
      <c r="M528" s="12"/>
    </row>
    <row r="529" spans="1:13" x14ac:dyDescent="0.3">
      <c r="A529" s="12" t="s">
        <v>206</v>
      </c>
      <c r="B529" s="12" t="s">
        <v>588</v>
      </c>
      <c r="C529" s="12" t="s">
        <v>5742</v>
      </c>
      <c r="D529" s="12" t="s">
        <v>1876</v>
      </c>
      <c r="E529" s="12" t="s">
        <v>6534</v>
      </c>
      <c r="F529" s="12"/>
      <c r="G529" s="12">
        <v>0.41022023365075361</v>
      </c>
      <c r="H529" s="12">
        <v>0.93982322991070022</v>
      </c>
      <c r="I529" s="12">
        <v>30</v>
      </c>
      <c r="J529" s="12"/>
      <c r="K529" s="12" t="s">
        <v>273</v>
      </c>
      <c r="L529" s="12" t="s">
        <v>948</v>
      </c>
      <c r="M529" s="12"/>
    </row>
    <row r="530" spans="1:13" x14ac:dyDescent="0.3">
      <c r="A530" s="12" t="s">
        <v>206</v>
      </c>
      <c r="B530" s="12" t="s">
        <v>588</v>
      </c>
      <c r="C530" s="12" t="s">
        <v>5742</v>
      </c>
      <c r="D530" s="12" t="s">
        <v>1877</v>
      </c>
      <c r="E530" s="12" t="s">
        <v>6534</v>
      </c>
      <c r="F530" s="12"/>
      <c r="G530" s="12">
        <v>0.41379717548444961</v>
      </c>
      <c r="H530" s="12">
        <v>0.93543072862760357</v>
      </c>
      <c r="I530" s="12">
        <v>30</v>
      </c>
      <c r="J530" s="12"/>
      <c r="K530" s="12" t="s">
        <v>273</v>
      </c>
      <c r="L530" s="12" t="s">
        <v>948</v>
      </c>
      <c r="M530" s="12"/>
    </row>
    <row r="531" spans="1:13" x14ac:dyDescent="0.3">
      <c r="A531" s="12" t="s">
        <v>206</v>
      </c>
      <c r="B531" s="12" t="s">
        <v>588</v>
      </c>
      <c r="C531" s="12" t="s">
        <v>5742</v>
      </c>
      <c r="D531" s="12" t="s">
        <v>1878</v>
      </c>
      <c r="E531" s="12" t="s">
        <v>6534</v>
      </c>
      <c r="F531" s="12"/>
      <c r="G531" s="12">
        <v>0.4007836466241444</v>
      </c>
      <c r="H531" s="12">
        <v>0.93921348670523397</v>
      </c>
      <c r="I531" s="12">
        <v>30</v>
      </c>
      <c r="J531" s="12"/>
      <c r="K531" s="12" t="s">
        <v>273</v>
      </c>
      <c r="L531" s="12" t="s">
        <v>948</v>
      </c>
      <c r="M531" s="12"/>
    </row>
    <row r="532" spans="1:13" x14ac:dyDescent="0.3">
      <c r="A532" s="12" t="s">
        <v>206</v>
      </c>
      <c r="B532" s="12" t="s">
        <v>588</v>
      </c>
      <c r="C532" s="12" t="s">
        <v>5742</v>
      </c>
      <c r="D532" s="12" t="s">
        <v>1879</v>
      </c>
      <c r="E532" s="12" t="s">
        <v>6534</v>
      </c>
      <c r="F532" s="12"/>
      <c r="G532" s="12">
        <v>0.40579085946573218</v>
      </c>
      <c r="H532" s="12">
        <v>0.94417310946336663</v>
      </c>
      <c r="I532" s="12">
        <v>30</v>
      </c>
      <c r="J532" s="12"/>
      <c r="K532" s="12" t="s">
        <v>273</v>
      </c>
      <c r="L532" s="12" t="s">
        <v>948</v>
      </c>
      <c r="M532" s="12"/>
    </row>
    <row r="533" spans="1:13" x14ac:dyDescent="0.3">
      <c r="A533" s="12" t="s">
        <v>206</v>
      </c>
      <c r="B533" s="12" t="s">
        <v>588</v>
      </c>
      <c r="C533" s="12" t="s">
        <v>5742</v>
      </c>
      <c r="D533" s="12" t="s">
        <v>1880</v>
      </c>
      <c r="E533" s="12" t="s">
        <v>6534</v>
      </c>
      <c r="F533" s="12"/>
      <c r="G533" s="12">
        <v>278.84784593739909</v>
      </c>
      <c r="H533" s="12">
        <v>302.94880825059721</v>
      </c>
      <c r="I533" s="12">
        <v>29</v>
      </c>
      <c r="J533" s="12"/>
      <c r="K533" s="12" t="s">
        <v>275</v>
      </c>
      <c r="L533" s="12" t="s">
        <v>948</v>
      </c>
      <c r="M533" s="12"/>
    </row>
    <row r="534" spans="1:13" x14ac:dyDescent="0.3">
      <c r="A534" s="12" t="s">
        <v>206</v>
      </c>
      <c r="B534" s="12" t="s">
        <v>588</v>
      </c>
      <c r="C534" s="12" t="s">
        <v>5742</v>
      </c>
      <c r="D534" s="12" t="s">
        <v>67</v>
      </c>
      <c r="E534" s="12" t="s">
        <v>6533</v>
      </c>
      <c r="F534" s="12" t="s">
        <v>804</v>
      </c>
      <c r="G534" s="12"/>
      <c r="H534" s="12"/>
      <c r="I534" s="12"/>
      <c r="J534" s="12"/>
      <c r="K534" s="12" t="s">
        <v>273</v>
      </c>
      <c r="L534" s="12" t="s">
        <v>948</v>
      </c>
      <c r="M534" s="12"/>
    </row>
    <row r="535" spans="1:13" x14ac:dyDescent="0.3">
      <c r="A535" s="12" t="s">
        <v>206</v>
      </c>
      <c r="B535" s="12" t="s">
        <v>597</v>
      </c>
      <c r="C535" s="12" t="s">
        <v>5773</v>
      </c>
      <c r="D535" s="12" t="s">
        <v>274</v>
      </c>
      <c r="E535" s="12" t="s">
        <v>6534</v>
      </c>
      <c r="F535" s="12"/>
      <c r="G535" s="12">
        <v>384.03734284263862</v>
      </c>
      <c r="H535" s="12">
        <v>517.01389731952202</v>
      </c>
      <c r="I535" s="12">
        <v>30</v>
      </c>
      <c r="J535" s="12"/>
      <c r="K535" s="12" t="s">
        <v>275</v>
      </c>
      <c r="L535" s="12" t="s">
        <v>948</v>
      </c>
      <c r="M535" s="12"/>
    </row>
    <row r="536" spans="1:13" x14ac:dyDescent="0.3">
      <c r="A536" s="12" t="s">
        <v>206</v>
      </c>
      <c r="B536" s="12" t="s">
        <v>597</v>
      </c>
      <c r="C536" s="12" t="s">
        <v>5773</v>
      </c>
      <c r="D536" s="12" t="s">
        <v>276</v>
      </c>
      <c r="E536" s="12" t="s">
        <v>6534</v>
      </c>
      <c r="F536" s="12"/>
      <c r="G536" s="12">
        <v>278.54978159955988</v>
      </c>
      <c r="H536" s="12">
        <v>303.52964217835802</v>
      </c>
      <c r="I536" s="12">
        <v>30</v>
      </c>
      <c r="J536" s="12"/>
      <c r="K536" s="12" t="s">
        <v>275</v>
      </c>
      <c r="L536" s="12" t="s">
        <v>948</v>
      </c>
      <c r="M536" s="12"/>
    </row>
    <row r="537" spans="1:13" x14ac:dyDescent="0.3">
      <c r="A537" s="12" t="s">
        <v>206</v>
      </c>
      <c r="B537" s="12" t="s">
        <v>597</v>
      </c>
      <c r="C537" s="12" t="s">
        <v>5773</v>
      </c>
      <c r="D537" s="12" t="s">
        <v>269</v>
      </c>
      <c r="E537" s="12" t="s">
        <v>6534</v>
      </c>
      <c r="F537" s="12"/>
      <c r="G537" s="12">
        <v>2057.9085859223119</v>
      </c>
      <c r="H537" s="12">
        <v>4961.2738671343359</v>
      </c>
      <c r="I537" s="12">
        <v>30</v>
      </c>
      <c r="J537" s="12"/>
      <c r="K537" s="12" t="s">
        <v>270</v>
      </c>
      <c r="L537" s="12" t="s">
        <v>948</v>
      </c>
      <c r="M537" s="12"/>
    </row>
    <row r="538" spans="1:13" x14ac:dyDescent="0.3">
      <c r="A538" s="12" t="s">
        <v>206</v>
      </c>
      <c r="B538" s="12" t="s">
        <v>597</v>
      </c>
      <c r="C538" s="12" t="s">
        <v>5773</v>
      </c>
      <c r="D538" s="12" t="s">
        <v>271</v>
      </c>
      <c r="E538" s="12" t="s">
        <v>6534</v>
      </c>
      <c r="F538" s="12"/>
      <c r="G538" s="12">
        <v>330.14537414915611</v>
      </c>
      <c r="H538" s="12">
        <v>1943.5031899449</v>
      </c>
      <c r="I538" s="12">
        <v>30</v>
      </c>
      <c r="J538" s="12"/>
      <c r="K538" s="12" t="s">
        <v>270</v>
      </c>
      <c r="L538" s="12" t="s">
        <v>948</v>
      </c>
      <c r="M538" s="12"/>
    </row>
    <row r="539" spans="1:13" x14ac:dyDescent="0.3">
      <c r="A539" s="12" t="s">
        <v>206</v>
      </c>
      <c r="B539" s="12" t="s">
        <v>597</v>
      </c>
      <c r="C539" s="12" t="s">
        <v>5773</v>
      </c>
      <c r="D539" s="12" t="s">
        <v>272</v>
      </c>
      <c r="E539" s="12" t="s">
        <v>6533</v>
      </c>
      <c r="F539" s="12" t="s">
        <v>799</v>
      </c>
      <c r="G539" s="12"/>
      <c r="H539" s="12"/>
      <c r="I539" s="12"/>
      <c r="J539" s="12" t="s">
        <v>749</v>
      </c>
      <c r="K539" s="12" t="s">
        <v>273</v>
      </c>
      <c r="L539" s="12" t="s">
        <v>948</v>
      </c>
      <c r="M539" s="12"/>
    </row>
    <row r="540" spans="1:13" x14ac:dyDescent="0.3">
      <c r="A540" s="12" t="s">
        <v>206</v>
      </c>
      <c r="B540" s="12" t="s">
        <v>597</v>
      </c>
      <c r="C540" s="12" t="s">
        <v>5773</v>
      </c>
      <c r="D540" s="12" t="s">
        <v>282</v>
      </c>
      <c r="E540" s="12" t="s">
        <v>6533</v>
      </c>
      <c r="F540" s="12" t="s">
        <v>800</v>
      </c>
      <c r="G540" s="12"/>
      <c r="H540" s="12"/>
      <c r="I540" s="12"/>
      <c r="J540" s="12" t="s">
        <v>749</v>
      </c>
      <c r="K540" s="12" t="s">
        <v>283</v>
      </c>
      <c r="L540" s="12" t="s">
        <v>948</v>
      </c>
      <c r="M540" s="12"/>
    </row>
    <row r="541" spans="1:13" x14ac:dyDescent="0.3">
      <c r="A541" s="12" t="s">
        <v>206</v>
      </c>
      <c r="B541" s="12" t="s">
        <v>597</v>
      </c>
      <c r="C541" s="12" t="s">
        <v>5773</v>
      </c>
      <c r="D541" s="12" t="s">
        <v>1875</v>
      </c>
      <c r="E541" s="12" t="s">
        <v>6533</v>
      </c>
      <c r="F541" s="12" t="s">
        <v>755</v>
      </c>
      <c r="G541" s="12"/>
      <c r="H541" s="12"/>
      <c r="I541" s="12"/>
      <c r="J541" s="12" t="s">
        <v>749</v>
      </c>
      <c r="K541" s="12" t="s">
        <v>273</v>
      </c>
      <c r="L541" s="12" t="s">
        <v>948</v>
      </c>
      <c r="M541" s="12"/>
    </row>
    <row r="542" spans="1:13" x14ac:dyDescent="0.3">
      <c r="A542" s="12" t="s">
        <v>206</v>
      </c>
      <c r="B542" s="12" t="s">
        <v>597</v>
      </c>
      <c r="C542" s="12" t="s">
        <v>5773</v>
      </c>
      <c r="D542" s="12" t="s">
        <v>1876</v>
      </c>
      <c r="E542" s="12" t="s">
        <v>6533</v>
      </c>
      <c r="F542" s="12" t="s">
        <v>757</v>
      </c>
      <c r="G542" s="12"/>
      <c r="H542" s="12"/>
      <c r="I542" s="12"/>
      <c r="J542" s="12" t="s">
        <v>749</v>
      </c>
      <c r="K542" s="12" t="s">
        <v>273</v>
      </c>
      <c r="L542" s="12" t="s">
        <v>948</v>
      </c>
      <c r="M542" s="12"/>
    </row>
    <row r="543" spans="1:13" x14ac:dyDescent="0.3">
      <c r="A543" s="12" t="s">
        <v>206</v>
      </c>
      <c r="B543" s="12" t="s">
        <v>597</v>
      </c>
      <c r="C543" s="12" t="s">
        <v>5773</v>
      </c>
      <c r="D543" s="12" t="s">
        <v>1877</v>
      </c>
      <c r="E543" s="12" t="s">
        <v>6533</v>
      </c>
      <c r="F543" s="12" t="s">
        <v>755</v>
      </c>
      <c r="G543" s="12"/>
      <c r="H543" s="12"/>
      <c r="I543" s="12"/>
      <c r="J543" s="12" t="s">
        <v>749</v>
      </c>
      <c r="K543" s="12" t="s">
        <v>273</v>
      </c>
      <c r="L543" s="12" t="s">
        <v>948</v>
      </c>
      <c r="M543" s="12"/>
    </row>
    <row r="544" spans="1:13" x14ac:dyDescent="0.3">
      <c r="A544" s="12" t="s">
        <v>206</v>
      </c>
      <c r="B544" s="12" t="s">
        <v>597</v>
      </c>
      <c r="C544" s="12" t="s">
        <v>5773</v>
      </c>
      <c r="D544" s="12" t="s">
        <v>1878</v>
      </c>
      <c r="E544" s="12" t="s">
        <v>6533</v>
      </c>
      <c r="F544" s="12" t="s">
        <v>757</v>
      </c>
      <c r="G544" s="12"/>
      <c r="H544" s="12"/>
      <c r="I544" s="12"/>
      <c r="J544" s="12" t="s">
        <v>749</v>
      </c>
      <c r="K544" s="12" t="s">
        <v>273</v>
      </c>
      <c r="L544" s="12" t="s">
        <v>948</v>
      </c>
      <c r="M544" s="12"/>
    </row>
    <row r="545" spans="1:13" x14ac:dyDescent="0.3">
      <c r="A545" s="12" t="s">
        <v>206</v>
      </c>
      <c r="B545" s="12" t="s">
        <v>597</v>
      </c>
      <c r="C545" s="12" t="s">
        <v>5773</v>
      </c>
      <c r="D545" s="12" t="s">
        <v>1879</v>
      </c>
      <c r="E545" s="12" t="s">
        <v>6533</v>
      </c>
      <c r="F545" s="12" t="s">
        <v>801</v>
      </c>
      <c r="G545" s="12"/>
      <c r="H545" s="12"/>
      <c r="I545" s="12"/>
      <c r="J545" s="12" t="s">
        <v>749</v>
      </c>
      <c r="K545" s="12" t="s">
        <v>273</v>
      </c>
      <c r="L545" s="12" t="s">
        <v>948</v>
      </c>
      <c r="M545" s="12"/>
    </row>
    <row r="546" spans="1:13" x14ac:dyDescent="0.3">
      <c r="A546" s="12" t="s">
        <v>206</v>
      </c>
      <c r="B546" s="12" t="s">
        <v>597</v>
      </c>
      <c r="C546" s="12" t="s">
        <v>5773</v>
      </c>
      <c r="D546" s="12" t="s">
        <v>1880</v>
      </c>
      <c r="E546" s="12" t="s">
        <v>6534</v>
      </c>
      <c r="F546" s="12"/>
      <c r="G546" s="12">
        <v>278.54978159955988</v>
      </c>
      <c r="H546" s="12">
        <v>303.52964217835802</v>
      </c>
      <c r="I546" s="12">
        <v>30</v>
      </c>
      <c r="J546" s="12"/>
      <c r="K546" s="12" t="s">
        <v>275</v>
      </c>
      <c r="L546" s="12" t="s">
        <v>948</v>
      </c>
      <c r="M546" s="12"/>
    </row>
    <row r="547" spans="1:13" x14ac:dyDescent="0.3">
      <c r="A547" s="12" t="s">
        <v>206</v>
      </c>
      <c r="B547" s="12" t="s">
        <v>597</v>
      </c>
      <c r="C547" s="12" t="s">
        <v>5773</v>
      </c>
      <c r="D547" s="12" t="s">
        <v>67</v>
      </c>
      <c r="E547" s="12" t="s">
        <v>6533</v>
      </c>
      <c r="F547" s="12" t="s">
        <v>804</v>
      </c>
      <c r="G547" s="12"/>
      <c r="H547" s="12"/>
      <c r="I547" s="12"/>
      <c r="J547" s="12"/>
      <c r="K547" s="12" t="s">
        <v>273</v>
      </c>
      <c r="L547" s="12" t="s">
        <v>948</v>
      </c>
      <c r="M547" s="12"/>
    </row>
    <row r="548" spans="1:13" x14ac:dyDescent="0.3">
      <c r="A548" s="12" t="s">
        <v>206</v>
      </c>
      <c r="B548" s="12" t="s">
        <v>602</v>
      </c>
      <c r="C548" s="12" t="s">
        <v>5804</v>
      </c>
      <c r="D548" s="12" t="s">
        <v>274</v>
      </c>
      <c r="E548" s="12" t="s">
        <v>6534</v>
      </c>
      <c r="F548" s="12"/>
      <c r="G548" s="12">
        <v>382.59967763038321</v>
      </c>
      <c r="H548" s="12">
        <v>518.06543687485123</v>
      </c>
      <c r="I548" s="12">
        <v>30</v>
      </c>
      <c r="J548" s="12"/>
      <c r="K548" s="12" t="s">
        <v>275</v>
      </c>
      <c r="L548" s="12" t="s">
        <v>948</v>
      </c>
      <c r="M548" s="12"/>
    </row>
    <row r="549" spans="1:13" x14ac:dyDescent="0.3">
      <c r="A549" s="12" t="s">
        <v>206</v>
      </c>
      <c r="B549" s="12" t="s">
        <v>602</v>
      </c>
      <c r="C549" s="12" t="s">
        <v>5804</v>
      </c>
      <c r="D549" s="12" t="s">
        <v>276</v>
      </c>
      <c r="E549" s="12" t="s">
        <v>6534</v>
      </c>
      <c r="F549" s="12"/>
      <c r="G549" s="12">
        <v>278.39302711197757</v>
      </c>
      <c r="H549" s="12">
        <v>302.73053520052582</v>
      </c>
      <c r="I549" s="12">
        <v>30</v>
      </c>
      <c r="J549" s="12"/>
      <c r="K549" s="12" t="s">
        <v>275</v>
      </c>
      <c r="L549" s="12" t="s">
        <v>948</v>
      </c>
      <c r="M549" s="12"/>
    </row>
    <row r="550" spans="1:13" x14ac:dyDescent="0.3">
      <c r="A550" s="12" t="s">
        <v>206</v>
      </c>
      <c r="B550" s="12" t="s">
        <v>602</v>
      </c>
      <c r="C550" s="12" t="s">
        <v>5804</v>
      </c>
      <c r="D550" s="12" t="s">
        <v>269</v>
      </c>
      <c r="E550" s="12" t="s">
        <v>6533</v>
      </c>
      <c r="F550" s="12" t="s">
        <v>805</v>
      </c>
      <c r="G550" s="12"/>
      <c r="H550" s="12"/>
      <c r="I550" s="12"/>
      <c r="J550" s="12" t="s">
        <v>749</v>
      </c>
      <c r="K550" s="12" t="s">
        <v>270</v>
      </c>
      <c r="L550" s="12" t="s">
        <v>948</v>
      </c>
      <c r="M550" s="12"/>
    </row>
    <row r="551" spans="1:13" x14ac:dyDescent="0.3">
      <c r="A551" s="12" t="s">
        <v>206</v>
      </c>
      <c r="B551" s="12" t="s">
        <v>602</v>
      </c>
      <c r="C551" s="12" t="s">
        <v>5804</v>
      </c>
      <c r="D551" s="12" t="s">
        <v>271</v>
      </c>
      <c r="E551" s="12" t="s">
        <v>6534</v>
      </c>
      <c r="F551" s="12"/>
      <c r="G551" s="12">
        <v>342.08624499729552</v>
      </c>
      <c r="H551" s="12">
        <v>1989.509694549336</v>
      </c>
      <c r="I551" s="12">
        <v>30</v>
      </c>
      <c r="J551" s="12"/>
      <c r="K551" s="12" t="s">
        <v>270</v>
      </c>
      <c r="L551" s="12" t="s">
        <v>948</v>
      </c>
      <c r="M551" s="12"/>
    </row>
    <row r="552" spans="1:13" x14ac:dyDescent="0.3">
      <c r="A552" s="12" t="s">
        <v>206</v>
      </c>
      <c r="B552" s="12" t="s">
        <v>602</v>
      </c>
      <c r="C552" s="12" t="s">
        <v>5804</v>
      </c>
      <c r="D552" s="12" t="s">
        <v>272</v>
      </c>
      <c r="E552" s="12" t="s">
        <v>6533</v>
      </c>
      <c r="F552" s="12" t="s">
        <v>799</v>
      </c>
      <c r="G552" s="12"/>
      <c r="H552" s="12"/>
      <c r="I552" s="12"/>
      <c r="J552" s="12" t="s">
        <v>749</v>
      </c>
      <c r="K552" s="12" t="s">
        <v>273</v>
      </c>
      <c r="L552" s="12" t="s">
        <v>948</v>
      </c>
      <c r="M552" s="12"/>
    </row>
    <row r="553" spans="1:13" x14ac:dyDescent="0.3">
      <c r="A553" s="12" t="s">
        <v>206</v>
      </c>
      <c r="B553" s="12" t="s">
        <v>602</v>
      </c>
      <c r="C553" s="12" t="s">
        <v>5804</v>
      </c>
      <c r="D553" s="12" t="s">
        <v>282</v>
      </c>
      <c r="E553" s="12" t="s">
        <v>6533</v>
      </c>
      <c r="F553" s="12" t="s">
        <v>800</v>
      </c>
      <c r="G553" s="12"/>
      <c r="H553" s="12"/>
      <c r="I553" s="12"/>
      <c r="J553" s="12" t="s">
        <v>749</v>
      </c>
      <c r="K553" s="12" t="s">
        <v>283</v>
      </c>
      <c r="L553" s="12" t="s">
        <v>948</v>
      </c>
      <c r="M553" s="12"/>
    </row>
    <row r="554" spans="1:13" x14ac:dyDescent="0.3">
      <c r="A554" s="12" t="s">
        <v>206</v>
      </c>
      <c r="B554" s="12" t="s">
        <v>602</v>
      </c>
      <c r="C554" s="12" t="s">
        <v>5804</v>
      </c>
      <c r="D554" s="12" t="s">
        <v>1875</v>
      </c>
      <c r="E554" s="12" t="s">
        <v>6534</v>
      </c>
      <c r="F554" s="12"/>
      <c r="G554" s="12">
        <v>0.41094470434943248</v>
      </c>
      <c r="H554" s="12">
        <v>0.9357656962713462</v>
      </c>
      <c r="I554" s="12">
        <v>30</v>
      </c>
      <c r="J554" s="12"/>
      <c r="K554" s="12" t="s">
        <v>273</v>
      </c>
      <c r="L554" s="12" t="s">
        <v>948</v>
      </c>
      <c r="M554" s="12"/>
    </row>
    <row r="555" spans="1:13" x14ac:dyDescent="0.3">
      <c r="A555" s="12" t="s">
        <v>206</v>
      </c>
      <c r="B555" s="12" t="s">
        <v>602</v>
      </c>
      <c r="C555" s="12" t="s">
        <v>5804</v>
      </c>
      <c r="D555" s="12" t="s">
        <v>1876</v>
      </c>
      <c r="E555" s="12" t="s">
        <v>6534</v>
      </c>
      <c r="F555" s="12"/>
      <c r="G555" s="12">
        <v>0.41642289526431531</v>
      </c>
      <c r="H555" s="12">
        <v>0.94651495989453183</v>
      </c>
      <c r="I555" s="12">
        <v>30</v>
      </c>
      <c r="J555" s="12"/>
      <c r="K555" s="12" t="s">
        <v>273</v>
      </c>
      <c r="L555" s="12" t="s">
        <v>948</v>
      </c>
      <c r="M555" s="12"/>
    </row>
    <row r="556" spans="1:13" x14ac:dyDescent="0.3">
      <c r="A556" s="12" t="s">
        <v>206</v>
      </c>
      <c r="B556" s="12" t="s">
        <v>602</v>
      </c>
      <c r="C556" s="12" t="s">
        <v>5804</v>
      </c>
      <c r="D556" s="12" t="s">
        <v>1877</v>
      </c>
      <c r="E556" s="12" t="s">
        <v>6534</v>
      </c>
      <c r="F556" s="12"/>
      <c r="G556" s="12">
        <v>0.40345588243317038</v>
      </c>
      <c r="H556" s="12">
        <v>0.94556284694581882</v>
      </c>
      <c r="I556" s="12">
        <v>30</v>
      </c>
      <c r="J556" s="12"/>
      <c r="K556" s="12" t="s">
        <v>273</v>
      </c>
      <c r="L556" s="12" t="s">
        <v>948</v>
      </c>
      <c r="M556" s="12"/>
    </row>
    <row r="557" spans="1:13" x14ac:dyDescent="0.3">
      <c r="A557" s="12" t="s">
        <v>206</v>
      </c>
      <c r="B557" s="12" t="s">
        <v>602</v>
      </c>
      <c r="C557" s="12" t="s">
        <v>5804</v>
      </c>
      <c r="D557" s="12" t="s">
        <v>1878</v>
      </c>
      <c r="E557" s="12" t="s">
        <v>6534</v>
      </c>
      <c r="F557" s="12"/>
      <c r="G557" s="12">
        <v>0.41553907782699268</v>
      </c>
      <c r="H557" s="12">
        <v>0.93399852333697164</v>
      </c>
      <c r="I557" s="12">
        <v>30</v>
      </c>
      <c r="J557" s="12"/>
      <c r="K557" s="12" t="s">
        <v>273</v>
      </c>
      <c r="L557" s="12" t="s">
        <v>948</v>
      </c>
      <c r="M557" s="12"/>
    </row>
    <row r="558" spans="1:13" x14ac:dyDescent="0.3">
      <c r="A558" s="12" t="s">
        <v>206</v>
      </c>
      <c r="B558" s="12" t="s">
        <v>602</v>
      </c>
      <c r="C558" s="12" t="s">
        <v>5804</v>
      </c>
      <c r="D558" s="12" t="s">
        <v>1879</v>
      </c>
      <c r="E558" s="12" t="s">
        <v>6534</v>
      </c>
      <c r="F558" s="12"/>
      <c r="G558" s="12">
        <v>0.4141877563234686</v>
      </c>
      <c r="H558" s="12">
        <v>0.94569174702492442</v>
      </c>
      <c r="I558" s="12">
        <v>30</v>
      </c>
      <c r="J558" s="12"/>
      <c r="K558" s="12" t="s">
        <v>273</v>
      </c>
      <c r="L558" s="12" t="s">
        <v>948</v>
      </c>
      <c r="M558" s="12"/>
    </row>
    <row r="559" spans="1:13" x14ac:dyDescent="0.3">
      <c r="A559" s="12" t="s">
        <v>206</v>
      </c>
      <c r="B559" s="12" t="s">
        <v>602</v>
      </c>
      <c r="C559" s="12" t="s">
        <v>5804</v>
      </c>
      <c r="D559" s="12" t="s">
        <v>1880</v>
      </c>
      <c r="E559" s="12" t="s">
        <v>6534</v>
      </c>
      <c r="F559" s="12"/>
      <c r="G559" s="12">
        <v>278.39302711197757</v>
      </c>
      <c r="H559" s="12">
        <v>302.73053520052582</v>
      </c>
      <c r="I559" s="12">
        <v>30</v>
      </c>
      <c r="J559" s="12"/>
      <c r="K559" s="12" t="s">
        <v>275</v>
      </c>
      <c r="L559" s="12" t="s">
        <v>948</v>
      </c>
      <c r="M559" s="12"/>
    </row>
    <row r="560" spans="1:13" x14ac:dyDescent="0.3">
      <c r="A560" s="12" t="s">
        <v>206</v>
      </c>
      <c r="B560" s="12" t="s">
        <v>602</v>
      </c>
      <c r="C560" s="12" t="s">
        <v>5804</v>
      </c>
      <c r="D560" s="12" t="s">
        <v>67</v>
      </c>
      <c r="E560" s="12" t="s">
        <v>6533</v>
      </c>
      <c r="F560" s="12" t="s">
        <v>804</v>
      </c>
      <c r="G560" s="12"/>
      <c r="H560" s="12"/>
      <c r="I560" s="12"/>
      <c r="J560" s="12"/>
      <c r="K560" s="12" t="s">
        <v>273</v>
      </c>
      <c r="L560" s="12" t="s">
        <v>948</v>
      </c>
      <c r="M560" s="12"/>
    </row>
    <row r="561" spans="1:13" x14ac:dyDescent="0.3">
      <c r="A561" s="12" t="s">
        <v>206</v>
      </c>
      <c r="B561" s="12" t="s">
        <v>611</v>
      </c>
      <c r="C561" s="12" t="s">
        <v>5835</v>
      </c>
      <c r="D561" s="12" t="s">
        <v>274</v>
      </c>
      <c r="E561" s="12" t="s">
        <v>6534</v>
      </c>
      <c r="F561" s="12"/>
      <c r="G561" s="12">
        <v>383.99781412105801</v>
      </c>
      <c r="H561" s="12">
        <v>516.48849367929438</v>
      </c>
      <c r="I561" s="12">
        <v>30</v>
      </c>
      <c r="J561" s="12"/>
      <c r="K561" s="12" t="s">
        <v>275</v>
      </c>
      <c r="L561" s="12" t="s">
        <v>948</v>
      </c>
      <c r="M561" s="12"/>
    </row>
    <row r="562" spans="1:13" x14ac:dyDescent="0.3">
      <c r="A562" s="12" t="s">
        <v>206</v>
      </c>
      <c r="B562" s="12" t="s">
        <v>611</v>
      </c>
      <c r="C562" s="12" t="s">
        <v>5835</v>
      </c>
      <c r="D562" s="12" t="s">
        <v>276</v>
      </c>
      <c r="E562" s="12" t="s">
        <v>6534</v>
      </c>
      <c r="F562" s="12"/>
      <c r="G562" s="12">
        <v>278.73877910433902</v>
      </c>
      <c r="H562" s="12">
        <v>303.44226667467018</v>
      </c>
      <c r="I562" s="12">
        <v>30</v>
      </c>
      <c r="J562" s="12"/>
      <c r="K562" s="12" t="s">
        <v>275</v>
      </c>
      <c r="L562" s="12" t="s">
        <v>948</v>
      </c>
      <c r="M562" s="12"/>
    </row>
    <row r="563" spans="1:13" x14ac:dyDescent="0.3">
      <c r="A563" s="12" t="s">
        <v>206</v>
      </c>
      <c r="B563" s="12" t="s">
        <v>611</v>
      </c>
      <c r="C563" s="12" t="s">
        <v>5835</v>
      </c>
      <c r="D563" s="12" t="s">
        <v>269</v>
      </c>
      <c r="E563" s="12" t="s">
        <v>6534</v>
      </c>
      <c r="F563" s="12"/>
      <c r="G563" s="12">
        <v>2074.9220386467819</v>
      </c>
      <c r="H563" s="12">
        <v>4986.7713804567829</v>
      </c>
      <c r="I563" s="12">
        <v>30</v>
      </c>
      <c r="J563" s="12"/>
      <c r="K563" s="12" t="s">
        <v>270</v>
      </c>
      <c r="L563" s="12" t="s">
        <v>948</v>
      </c>
      <c r="M563" s="12"/>
    </row>
    <row r="564" spans="1:13" x14ac:dyDescent="0.3">
      <c r="A564" s="12" t="s">
        <v>206</v>
      </c>
      <c r="B564" s="12" t="s">
        <v>611</v>
      </c>
      <c r="C564" s="12" t="s">
        <v>5835</v>
      </c>
      <c r="D564" s="12" t="s">
        <v>271</v>
      </c>
      <c r="E564" s="12" t="s">
        <v>6533</v>
      </c>
      <c r="F564" s="12" t="s">
        <v>798</v>
      </c>
      <c r="G564" s="12"/>
      <c r="H564" s="12"/>
      <c r="I564" s="12"/>
      <c r="J564" s="12" t="s">
        <v>749</v>
      </c>
      <c r="K564" s="12" t="s">
        <v>270</v>
      </c>
      <c r="L564" s="12" t="s">
        <v>948</v>
      </c>
      <c r="M564" s="12"/>
    </row>
    <row r="565" spans="1:13" x14ac:dyDescent="0.3">
      <c r="A565" s="12" t="s">
        <v>206</v>
      </c>
      <c r="B565" s="12" t="s">
        <v>611</v>
      </c>
      <c r="C565" s="12" t="s">
        <v>5835</v>
      </c>
      <c r="D565" s="12" t="s">
        <v>272</v>
      </c>
      <c r="E565" s="12" t="s">
        <v>6533</v>
      </c>
      <c r="F565" s="12" t="s">
        <v>799</v>
      </c>
      <c r="G565" s="12"/>
      <c r="H565" s="12"/>
      <c r="I565" s="12"/>
      <c r="J565" s="12" t="s">
        <v>749</v>
      </c>
      <c r="K565" s="12" t="s">
        <v>273</v>
      </c>
      <c r="L565" s="12" t="s">
        <v>948</v>
      </c>
      <c r="M565" s="12"/>
    </row>
    <row r="566" spans="1:13" x14ac:dyDescent="0.3">
      <c r="A566" s="12" t="s">
        <v>206</v>
      </c>
      <c r="B566" s="12" t="s">
        <v>611</v>
      </c>
      <c r="C566" s="12" t="s">
        <v>5835</v>
      </c>
      <c r="D566" s="12" t="s">
        <v>282</v>
      </c>
      <c r="E566" s="12" t="s">
        <v>6533</v>
      </c>
      <c r="F566" s="12" t="s">
        <v>800</v>
      </c>
      <c r="G566" s="12"/>
      <c r="H566" s="12"/>
      <c r="I566" s="12"/>
      <c r="J566" s="12" t="s">
        <v>749</v>
      </c>
      <c r="K566" s="12" t="s">
        <v>283</v>
      </c>
      <c r="L566" s="12" t="s">
        <v>948</v>
      </c>
      <c r="M566" s="12"/>
    </row>
    <row r="567" spans="1:13" x14ac:dyDescent="0.3">
      <c r="A567" s="12" t="s">
        <v>206</v>
      </c>
      <c r="B567" s="12" t="s">
        <v>611</v>
      </c>
      <c r="C567" s="12" t="s">
        <v>5835</v>
      </c>
      <c r="D567" s="12" t="s">
        <v>1875</v>
      </c>
      <c r="E567" s="12" t="s">
        <v>6534</v>
      </c>
      <c r="F567" s="12"/>
      <c r="G567" s="12">
        <v>0.40303950028391411</v>
      </c>
      <c r="H567" s="12">
        <v>0.94847917295169903</v>
      </c>
      <c r="I567" s="12">
        <v>30</v>
      </c>
      <c r="J567" s="12"/>
      <c r="K567" s="12" t="s">
        <v>273</v>
      </c>
      <c r="L567" s="12" t="s">
        <v>948</v>
      </c>
      <c r="M567" s="12"/>
    </row>
    <row r="568" spans="1:13" x14ac:dyDescent="0.3">
      <c r="A568" s="12" t="s">
        <v>206</v>
      </c>
      <c r="B568" s="12" t="s">
        <v>611</v>
      </c>
      <c r="C568" s="12" t="s">
        <v>5835</v>
      </c>
      <c r="D568" s="12" t="s">
        <v>1876</v>
      </c>
      <c r="E568" s="12" t="s">
        <v>6534</v>
      </c>
      <c r="F568" s="12"/>
      <c r="G568" s="12">
        <v>0.41783646292393228</v>
      </c>
      <c r="H568" s="12">
        <v>0.94777364615670756</v>
      </c>
      <c r="I568" s="12">
        <v>30</v>
      </c>
      <c r="J568" s="12"/>
      <c r="K568" s="12" t="s">
        <v>273</v>
      </c>
      <c r="L568" s="12" t="s">
        <v>948</v>
      </c>
      <c r="M568" s="12"/>
    </row>
    <row r="569" spans="1:13" x14ac:dyDescent="0.3">
      <c r="A569" s="12" t="s">
        <v>206</v>
      </c>
      <c r="B569" s="12" t="s">
        <v>611</v>
      </c>
      <c r="C569" s="12" t="s">
        <v>5835</v>
      </c>
      <c r="D569" s="12" t="s">
        <v>1877</v>
      </c>
      <c r="E569" s="12" t="s">
        <v>6534</v>
      </c>
      <c r="F569" s="12"/>
      <c r="G569" s="12">
        <v>0.40442898735775662</v>
      </c>
      <c r="H569" s="12">
        <v>0.94263215203896056</v>
      </c>
      <c r="I569" s="12">
        <v>30</v>
      </c>
      <c r="J569" s="12"/>
      <c r="K569" s="12" t="s">
        <v>273</v>
      </c>
      <c r="L569" s="12" t="s">
        <v>948</v>
      </c>
      <c r="M569" s="12"/>
    </row>
    <row r="570" spans="1:13" x14ac:dyDescent="0.3">
      <c r="A570" s="12" t="s">
        <v>206</v>
      </c>
      <c r="B570" s="12" t="s">
        <v>611</v>
      </c>
      <c r="C570" s="12" t="s">
        <v>5835</v>
      </c>
      <c r="D570" s="12" t="s">
        <v>1878</v>
      </c>
      <c r="E570" s="12" t="s">
        <v>6534</v>
      </c>
      <c r="F570" s="12"/>
      <c r="G570" s="12">
        <v>0.40447564430823019</v>
      </c>
      <c r="H570" s="12">
        <v>0.9405239072245456</v>
      </c>
      <c r="I570" s="12">
        <v>30</v>
      </c>
      <c r="J570" s="12"/>
      <c r="K570" s="12" t="s">
        <v>273</v>
      </c>
      <c r="L570" s="12" t="s">
        <v>948</v>
      </c>
      <c r="M570" s="12"/>
    </row>
    <row r="571" spans="1:13" x14ac:dyDescent="0.3">
      <c r="A571" s="12" t="s">
        <v>206</v>
      </c>
      <c r="B571" s="12" t="s">
        <v>611</v>
      </c>
      <c r="C571" s="12" t="s">
        <v>5835</v>
      </c>
      <c r="D571" s="12" t="s">
        <v>1879</v>
      </c>
      <c r="E571" s="12" t="s">
        <v>6534</v>
      </c>
      <c r="F571" s="12"/>
      <c r="G571" s="12">
        <v>0.41717271523046301</v>
      </c>
      <c r="H571" s="12">
        <v>0.94272947372087978</v>
      </c>
      <c r="I571" s="12">
        <v>30</v>
      </c>
      <c r="J571" s="12"/>
      <c r="K571" s="12" t="s">
        <v>273</v>
      </c>
      <c r="L571" s="12" t="s">
        <v>948</v>
      </c>
      <c r="M571" s="12"/>
    </row>
    <row r="572" spans="1:13" x14ac:dyDescent="0.3">
      <c r="A572" s="12" t="s">
        <v>206</v>
      </c>
      <c r="B572" s="12" t="s">
        <v>611</v>
      </c>
      <c r="C572" s="12" t="s">
        <v>5835</v>
      </c>
      <c r="D572" s="12" t="s">
        <v>1880</v>
      </c>
      <c r="E572" s="12" t="s">
        <v>6534</v>
      </c>
      <c r="F572" s="12"/>
      <c r="G572" s="12">
        <v>278.73877910433902</v>
      </c>
      <c r="H572" s="12">
        <v>303.44226667467018</v>
      </c>
      <c r="I572" s="12">
        <v>30</v>
      </c>
      <c r="J572" s="12"/>
      <c r="K572" s="12" t="s">
        <v>275</v>
      </c>
      <c r="L572" s="12" t="s">
        <v>948</v>
      </c>
      <c r="M572" s="12"/>
    </row>
    <row r="573" spans="1:13" x14ac:dyDescent="0.3">
      <c r="A573" s="12" t="s">
        <v>206</v>
      </c>
      <c r="B573" s="12" t="s">
        <v>611</v>
      </c>
      <c r="C573" s="12" t="s">
        <v>5835</v>
      </c>
      <c r="D573" s="12" t="s">
        <v>67</v>
      </c>
      <c r="E573" s="12" t="s">
        <v>6533</v>
      </c>
      <c r="F573" s="12" t="s">
        <v>804</v>
      </c>
      <c r="G573" s="12"/>
      <c r="H573" s="12"/>
      <c r="I573" s="12"/>
      <c r="J573" s="12"/>
      <c r="K573" s="12" t="s">
        <v>273</v>
      </c>
      <c r="L573" s="12" t="s">
        <v>948</v>
      </c>
      <c r="M573" s="12"/>
    </row>
    <row r="574" spans="1:13" x14ac:dyDescent="0.3">
      <c r="A574" s="12" t="s">
        <v>206</v>
      </c>
      <c r="B574" s="12" t="s">
        <v>620</v>
      </c>
      <c r="C574" s="12" t="s">
        <v>5866</v>
      </c>
      <c r="D574" s="12" t="s">
        <v>274</v>
      </c>
      <c r="E574" s="12" t="s">
        <v>6534</v>
      </c>
      <c r="F574" s="12"/>
      <c r="G574" s="12">
        <v>383.80799067695068</v>
      </c>
      <c r="H574" s="12">
        <v>519.7955651428274</v>
      </c>
      <c r="I574" s="12">
        <v>30</v>
      </c>
      <c r="J574" s="12"/>
      <c r="K574" s="12" t="s">
        <v>275</v>
      </c>
      <c r="L574" s="12" t="s">
        <v>948</v>
      </c>
      <c r="M574" s="12"/>
    </row>
    <row r="575" spans="1:13" x14ac:dyDescent="0.3">
      <c r="A575" s="12" t="s">
        <v>206</v>
      </c>
      <c r="B575" s="12" t="s">
        <v>620</v>
      </c>
      <c r="C575" s="12" t="s">
        <v>5866</v>
      </c>
      <c r="D575" s="12" t="s">
        <v>276</v>
      </c>
      <c r="E575" s="12" t="s">
        <v>6533</v>
      </c>
      <c r="F575" s="12" t="s">
        <v>795</v>
      </c>
      <c r="G575" s="12"/>
      <c r="H575" s="12"/>
      <c r="I575" s="12"/>
      <c r="J575" s="12" t="s">
        <v>749</v>
      </c>
      <c r="K575" s="12" t="s">
        <v>275</v>
      </c>
      <c r="L575" s="12" t="s">
        <v>948</v>
      </c>
      <c r="M575" s="12"/>
    </row>
    <row r="576" spans="1:13" x14ac:dyDescent="0.3">
      <c r="A576" s="12" t="s">
        <v>206</v>
      </c>
      <c r="B576" s="12" t="s">
        <v>620</v>
      </c>
      <c r="C576" s="12" t="s">
        <v>5866</v>
      </c>
      <c r="D576" s="12" t="s">
        <v>269</v>
      </c>
      <c r="E576" s="12" t="s">
        <v>6534</v>
      </c>
      <c r="F576" s="12"/>
      <c r="G576" s="12">
        <v>2083.4293154443731</v>
      </c>
      <c r="H576" s="12">
        <v>4923.7804392742428</v>
      </c>
      <c r="I576" s="12">
        <v>30</v>
      </c>
      <c r="J576" s="12"/>
      <c r="K576" s="12" t="s">
        <v>270</v>
      </c>
      <c r="L576" s="12" t="s">
        <v>948</v>
      </c>
      <c r="M576" s="12"/>
    </row>
    <row r="577" spans="1:13" x14ac:dyDescent="0.3">
      <c r="A577" s="12" t="s">
        <v>206</v>
      </c>
      <c r="B577" s="12" t="s">
        <v>620</v>
      </c>
      <c r="C577" s="12" t="s">
        <v>5866</v>
      </c>
      <c r="D577" s="12" t="s">
        <v>271</v>
      </c>
      <c r="E577" s="12" t="s">
        <v>6534</v>
      </c>
      <c r="F577" s="12"/>
      <c r="G577" s="12">
        <v>312.4090999729699</v>
      </c>
      <c r="H577" s="12">
        <v>1972.60965678394</v>
      </c>
      <c r="I577" s="12">
        <v>30</v>
      </c>
      <c r="J577" s="12"/>
      <c r="K577" s="12" t="s">
        <v>270</v>
      </c>
      <c r="L577" s="12" t="s">
        <v>948</v>
      </c>
      <c r="M577" s="12"/>
    </row>
    <row r="578" spans="1:13" x14ac:dyDescent="0.3">
      <c r="A578" s="12" t="s">
        <v>206</v>
      </c>
      <c r="B578" s="12" t="s">
        <v>620</v>
      </c>
      <c r="C578" s="12" t="s">
        <v>5866</v>
      </c>
      <c r="D578" s="12" t="s">
        <v>272</v>
      </c>
      <c r="E578" s="12" t="s">
        <v>6533</v>
      </c>
      <c r="F578" s="12" t="s">
        <v>799</v>
      </c>
      <c r="G578" s="12"/>
      <c r="H578" s="12"/>
      <c r="I578" s="12"/>
      <c r="J578" s="12" t="s">
        <v>749</v>
      </c>
      <c r="K578" s="12" t="s">
        <v>273</v>
      </c>
      <c r="L578" s="12" t="s">
        <v>948</v>
      </c>
      <c r="M578" s="12"/>
    </row>
    <row r="579" spans="1:13" x14ac:dyDescent="0.3">
      <c r="A579" s="12" t="s">
        <v>206</v>
      </c>
      <c r="B579" s="12" t="s">
        <v>620</v>
      </c>
      <c r="C579" s="12" t="s">
        <v>5866</v>
      </c>
      <c r="D579" s="12" t="s">
        <v>282</v>
      </c>
      <c r="E579" s="12" t="s">
        <v>6533</v>
      </c>
      <c r="F579" s="12" t="s">
        <v>800</v>
      </c>
      <c r="G579" s="12"/>
      <c r="H579" s="12"/>
      <c r="I579" s="12"/>
      <c r="J579" s="12" t="s">
        <v>749</v>
      </c>
      <c r="K579" s="12" t="s">
        <v>283</v>
      </c>
      <c r="L579" s="12" t="s">
        <v>948</v>
      </c>
      <c r="M579" s="12"/>
    </row>
    <row r="580" spans="1:13" x14ac:dyDescent="0.3">
      <c r="A580" s="12" t="s">
        <v>206</v>
      </c>
      <c r="B580" s="12" t="s">
        <v>620</v>
      </c>
      <c r="C580" s="12" t="s">
        <v>5866</v>
      </c>
      <c r="D580" s="12" t="s">
        <v>1875</v>
      </c>
      <c r="E580" s="12" t="s">
        <v>6534</v>
      </c>
      <c r="F580" s="12"/>
      <c r="G580" s="12">
        <v>0.40191128144268318</v>
      </c>
      <c r="H580" s="12">
        <v>0.93332715809414035</v>
      </c>
      <c r="I580" s="12">
        <v>30</v>
      </c>
      <c r="J580" s="12"/>
      <c r="K580" s="12" t="s">
        <v>273</v>
      </c>
      <c r="L580" s="12" t="s">
        <v>948</v>
      </c>
      <c r="M580" s="12"/>
    </row>
    <row r="581" spans="1:13" x14ac:dyDescent="0.3">
      <c r="A581" s="12" t="s">
        <v>206</v>
      </c>
      <c r="B581" s="12" t="s">
        <v>620</v>
      </c>
      <c r="C581" s="12" t="s">
        <v>5866</v>
      </c>
      <c r="D581" s="12" t="s">
        <v>1876</v>
      </c>
      <c r="E581" s="12" t="s">
        <v>6534</v>
      </c>
      <c r="F581" s="12"/>
      <c r="G581" s="12">
        <v>0.4137812335925683</v>
      </c>
      <c r="H581" s="12">
        <v>0.94128535203926145</v>
      </c>
      <c r="I581" s="12">
        <v>30</v>
      </c>
      <c r="J581" s="12"/>
      <c r="K581" s="12" t="s">
        <v>273</v>
      </c>
      <c r="L581" s="12" t="s">
        <v>948</v>
      </c>
      <c r="M581" s="12"/>
    </row>
    <row r="582" spans="1:13" x14ac:dyDescent="0.3">
      <c r="A582" s="12" t="s">
        <v>206</v>
      </c>
      <c r="B582" s="12" t="s">
        <v>620</v>
      </c>
      <c r="C582" s="12" t="s">
        <v>5866</v>
      </c>
      <c r="D582" s="12" t="s">
        <v>1877</v>
      </c>
      <c r="E582" s="12" t="s">
        <v>6534</v>
      </c>
      <c r="F582" s="12"/>
      <c r="G582" s="12">
        <v>0.4173689344063069</v>
      </c>
      <c r="H582" s="12">
        <v>0.94993382660483161</v>
      </c>
      <c r="I582" s="12">
        <v>30</v>
      </c>
      <c r="J582" s="12"/>
      <c r="K582" s="12" t="s">
        <v>273</v>
      </c>
      <c r="L582" s="12" t="s">
        <v>948</v>
      </c>
      <c r="M582" s="12"/>
    </row>
    <row r="583" spans="1:13" x14ac:dyDescent="0.3">
      <c r="A583" s="12" t="s">
        <v>206</v>
      </c>
      <c r="B583" s="12" t="s">
        <v>620</v>
      </c>
      <c r="C583" s="12" t="s">
        <v>5866</v>
      </c>
      <c r="D583" s="12" t="s">
        <v>1878</v>
      </c>
      <c r="E583" s="12" t="s">
        <v>6534</v>
      </c>
      <c r="F583" s="12"/>
      <c r="G583" s="12">
        <v>0.41210552754861479</v>
      </c>
      <c r="H583" s="12">
        <v>0.93198019067119198</v>
      </c>
      <c r="I583" s="12">
        <v>30</v>
      </c>
      <c r="J583" s="12"/>
      <c r="K583" s="12" t="s">
        <v>273</v>
      </c>
      <c r="L583" s="12" t="s">
        <v>948</v>
      </c>
      <c r="M583" s="12"/>
    </row>
    <row r="584" spans="1:13" x14ac:dyDescent="0.3">
      <c r="A584" s="12" t="s">
        <v>206</v>
      </c>
      <c r="B584" s="12" t="s">
        <v>620</v>
      </c>
      <c r="C584" s="12" t="s">
        <v>5866</v>
      </c>
      <c r="D584" s="12" t="s">
        <v>1879</v>
      </c>
      <c r="E584" s="12" t="s">
        <v>6534</v>
      </c>
      <c r="F584" s="12"/>
      <c r="G584" s="12">
        <v>0.41482651816165739</v>
      </c>
      <c r="H584" s="12">
        <v>0.93560895760742202</v>
      </c>
      <c r="I584" s="12">
        <v>30</v>
      </c>
      <c r="J584" s="12"/>
      <c r="K584" s="12" t="s">
        <v>273</v>
      </c>
      <c r="L584" s="12" t="s">
        <v>948</v>
      </c>
      <c r="M584" s="12"/>
    </row>
    <row r="585" spans="1:13" x14ac:dyDescent="0.3">
      <c r="A585" s="12" t="s">
        <v>206</v>
      </c>
      <c r="B585" s="12" t="s">
        <v>620</v>
      </c>
      <c r="C585" s="12" t="s">
        <v>5866</v>
      </c>
      <c r="D585" s="12" t="s">
        <v>1880</v>
      </c>
      <c r="E585" s="12" t="s">
        <v>6533</v>
      </c>
      <c r="F585" s="12" t="s">
        <v>795</v>
      </c>
      <c r="G585" s="12"/>
      <c r="H585" s="12"/>
      <c r="I585" s="12"/>
      <c r="J585" s="12" t="s">
        <v>749</v>
      </c>
      <c r="K585" s="12" t="s">
        <v>275</v>
      </c>
      <c r="L585" s="12" t="s">
        <v>948</v>
      </c>
      <c r="M585" s="12"/>
    </row>
    <row r="586" spans="1:13" x14ac:dyDescent="0.3">
      <c r="A586" s="12" t="s">
        <v>206</v>
      </c>
      <c r="B586" s="12" t="s">
        <v>620</v>
      </c>
      <c r="C586" s="12" t="s">
        <v>5866</v>
      </c>
      <c r="D586" s="12" t="s">
        <v>67</v>
      </c>
      <c r="E586" s="12" t="s">
        <v>6533</v>
      </c>
      <c r="F586" s="12" t="s">
        <v>804</v>
      </c>
      <c r="G586" s="12"/>
      <c r="H586" s="12"/>
      <c r="I586" s="12"/>
      <c r="J586" s="12"/>
      <c r="K586" s="12" t="s">
        <v>273</v>
      </c>
      <c r="L586" s="12" t="s">
        <v>948</v>
      </c>
      <c r="M586" s="12"/>
    </row>
    <row r="587" spans="1:13" x14ac:dyDescent="0.3">
      <c r="A587" s="12" t="s">
        <v>206</v>
      </c>
      <c r="B587" s="12" t="s">
        <v>629</v>
      </c>
      <c r="C587" s="12" t="s">
        <v>5897</v>
      </c>
      <c r="D587" s="12" t="s">
        <v>274</v>
      </c>
      <c r="E587" s="12" t="s">
        <v>6533</v>
      </c>
      <c r="F587" s="12" t="s">
        <v>794</v>
      </c>
      <c r="G587" s="12"/>
      <c r="H587" s="12"/>
      <c r="I587" s="12"/>
      <c r="J587" s="12" t="s">
        <v>749</v>
      </c>
      <c r="K587" s="12" t="s">
        <v>275</v>
      </c>
      <c r="L587" s="12" t="s">
        <v>948</v>
      </c>
      <c r="M587" s="12"/>
    </row>
    <row r="588" spans="1:13" x14ac:dyDescent="0.3">
      <c r="A588" s="12" t="s">
        <v>206</v>
      </c>
      <c r="B588" s="12" t="s">
        <v>629</v>
      </c>
      <c r="C588" s="12" t="s">
        <v>5897</v>
      </c>
      <c r="D588" s="12" t="s">
        <v>276</v>
      </c>
      <c r="E588" s="12" t="s">
        <v>6534</v>
      </c>
      <c r="F588" s="12"/>
      <c r="G588" s="12">
        <v>278.60356818354842</v>
      </c>
      <c r="H588" s="12">
        <v>303.07861373731401</v>
      </c>
      <c r="I588" s="12">
        <v>30</v>
      </c>
      <c r="J588" s="12"/>
      <c r="K588" s="12" t="s">
        <v>275</v>
      </c>
      <c r="L588" s="12" t="s">
        <v>948</v>
      </c>
      <c r="M588" s="12"/>
    </row>
    <row r="589" spans="1:13" x14ac:dyDescent="0.3">
      <c r="A589" s="12" t="s">
        <v>206</v>
      </c>
      <c r="B589" s="12" t="s">
        <v>629</v>
      </c>
      <c r="C589" s="12" t="s">
        <v>5897</v>
      </c>
      <c r="D589" s="12" t="s">
        <v>269</v>
      </c>
      <c r="E589" s="12" t="s">
        <v>6533</v>
      </c>
      <c r="F589" s="12" t="s">
        <v>805</v>
      </c>
      <c r="G589" s="12"/>
      <c r="H589" s="12"/>
      <c r="I589" s="12"/>
      <c r="J589" s="12" t="s">
        <v>749</v>
      </c>
      <c r="K589" s="12" t="s">
        <v>270</v>
      </c>
      <c r="L589" s="12" t="s">
        <v>948</v>
      </c>
      <c r="M589" s="12"/>
    </row>
    <row r="590" spans="1:13" x14ac:dyDescent="0.3">
      <c r="A590" s="12" t="s">
        <v>206</v>
      </c>
      <c r="B590" s="12" t="s">
        <v>629</v>
      </c>
      <c r="C590" s="12" t="s">
        <v>5897</v>
      </c>
      <c r="D590" s="12" t="s">
        <v>271</v>
      </c>
      <c r="E590" s="12" t="s">
        <v>6534</v>
      </c>
      <c r="F590" s="12"/>
      <c r="G590" s="12">
        <v>311.1661409391682</v>
      </c>
      <c r="H590" s="12">
        <v>1974.733538765139</v>
      </c>
      <c r="I590" s="12">
        <v>30</v>
      </c>
      <c r="J590" s="12"/>
      <c r="K590" s="12" t="s">
        <v>270</v>
      </c>
      <c r="L590" s="12" t="s">
        <v>948</v>
      </c>
      <c r="M590" s="12"/>
    </row>
    <row r="591" spans="1:13" x14ac:dyDescent="0.3">
      <c r="A591" s="12" t="s">
        <v>206</v>
      </c>
      <c r="B591" s="12" t="s">
        <v>629</v>
      </c>
      <c r="C591" s="12" t="s">
        <v>5897</v>
      </c>
      <c r="D591" s="12" t="s">
        <v>272</v>
      </c>
      <c r="E591" s="12" t="s">
        <v>6533</v>
      </c>
      <c r="F591" s="12" t="s">
        <v>799</v>
      </c>
      <c r="G591" s="12"/>
      <c r="H591" s="12"/>
      <c r="I591" s="12"/>
      <c r="J591" s="12" t="s">
        <v>749</v>
      </c>
      <c r="K591" s="12" t="s">
        <v>273</v>
      </c>
      <c r="L591" s="12" t="s">
        <v>948</v>
      </c>
      <c r="M591" s="12"/>
    </row>
    <row r="592" spans="1:13" x14ac:dyDescent="0.3">
      <c r="A592" s="12" t="s">
        <v>206</v>
      </c>
      <c r="B592" s="12" t="s">
        <v>629</v>
      </c>
      <c r="C592" s="12" t="s">
        <v>5897</v>
      </c>
      <c r="D592" s="12" t="s">
        <v>282</v>
      </c>
      <c r="E592" s="12" t="s">
        <v>6533</v>
      </c>
      <c r="F592" s="12" t="s">
        <v>800</v>
      </c>
      <c r="G592" s="12"/>
      <c r="H592" s="12"/>
      <c r="I592" s="12"/>
      <c r="J592" s="12" t="s">
        <v>749</v>
      </c>
      <c r="K592" s="12" t="s">
        <v>283</v>
      </c>
      <c r="L592" s="12" t="s">
        <v>948</v>
      </c>
      <c r="M592" s="12"/>
    </row>
    <row r="593" spans="1:13" x14ac:dyDescent="0.3">
      <c r="A593" s="12" t="s">
        <v>206</v>
      </c>
      <c r="B593" s="12" t="s">
        <v>629</v>
      </c>
      <c r="C593" s="12" t="s">
        <v>5897</v>
      </c>
      <c r="D593" s="12" t="s">
        <v>1875</v>
      </c>
      <c r="E593" s="12" t="s">
        <v>6534</v>
      </c>
      <c r="F593" s="12"/>
      <c r="G593" s="12">
        <v>0.4050288781728138</v>
      </c>
      <c r="H593" s="12">
        <v>0.94334182730262639</v>
      </c>
      <c r="I593" s="12">
        <v>30</v>
      </c>
      <c r="J593" s="12"/>
      <c r="K593" s="12" t="s">
        <v>273</v>
      </c>
      <c r="L593" s="12" t="s">
        <v>948</v>
      </c>
      <c r="M593" s="12"/>
    </row>
    <row r="594" spans="1:13" x14ac:dyDescent="0.3">
      <c r="A594" s="12" t="s">
        <v>206</v>
      </c>
      <c r="B594" s="12" t="s">
        <v>629</v>
      </c>
      <c r="C594" s="12" t="s">
        <v>5897</v>
      </c>
      <c r="D594" s="12" t="s">
        <v>1876</v>
      </c>
      <c r="E594" s="12" t="s">
        <v>6534</v>
      </c>
      <c r="F594" s="12"/>
      <c r="G594" s="12">
        <v>0.40769842292390163</v>
      </c>
      <c r="H594" s="12">
        <v>0.93892024559787157</v>
      </c>
      <c r="I594" s="12">
        <v>30</v>
      </c>
      <c r="J594" s="12"/>
      <c r="K594" s="12" t="s">
        <v>273</v>
      </c>
      <c r="L594" s="12" t="s">
        <v>948</v>
      </c>
      <c r="M594" s="12"/>
    </row>
    <row r="595" spans="1:13" x14ac:dyDescent="0.3">
      <c r="A595" s="12" t="s">
        <v>206</v>
      </c>
      <c r="B595" s="12" t="s">
        <v>629</v>
      </c>
      <c r="C595" s="12" t="s">
        <v>5897</v>
      </c>
      <c r="D595" s="12" t="s">
        <v>1877</v>
      </c>
      <c r="E595" s="12" t="s">
        <v>6534</v>
      </c>
      <c r="F595" s="12"/>
      <c r="G595" s="12">
        <v>0.4097101644455598</v>
      </c>
      <c r="H595" s="12">
        <v>0.93393883491457841</v>
      </c>
      <c r="I595" s="12">
        <v>30</v>
      </c>
      <c r="J595" s="12"/>
      <c r="K595" s="12" t="s">
        <v>273</v>
      </c>
      <c r="L595" s="12" t="s">
        <v>948</v>
      </c>
      <c r="M595" s="12"/>
    </row>
    <row r="596" spans="1:13" x14ac:dyDescent="0.3">
      <c r="A596" s="12" t="s">
        <v>206</v>
      </c>
      <c r="B596" s="12" t="s">
        <v>629</v>
      </c>
      <c r="C596" s="12" t="s">
        <v>5897</v>
      </c>
      <c r="D596" s="12" t="s">
        <v>1878</v>
      </c>
      <c r="E596" s="12" t="s">
        <v>6534</v>
      </c>
      <c r="F596" s="12"/>
      <c r="G596" s="12">
        <v>0.40990626173632821</v>
      </c>
      <c r="H596" s="12">
        <v>0.94641389179846958</v>
      </c>
      <c r="I596" s="12">
        <v>30</v>
      </c>
      <c r="J596" s="12"/>
      <c r="K596" s="12" t="s">
        <v>273</v>
      </c>
      <c r="L596" s="12" t="s">
        <v>948</v>
      </c>
      <c r="M596" s="12"/>
    </row>
    <row r="597" spans="1:13" x14ac:dyDescent="0.3">
      <c r="A597" s="12" t="s">
        <v>206</v>
      </c>
      <c r="B597" s="12" t="s">
        <v>629</v>
      </c>
      <c r="C597" s="12" t="s">
        <v>5897</v>
      </c>
      <c r="D597" s="12" t="s">
        <v>1879</v>
      </c>
      <c r="E597" s="12" t="s">
        <v>6534</v>
      </c>
      <c r="F597" s="12"/>
      <c r="G597" s="12">
        <v>0.410205388194882</v>
      </c>
      <c r="H597" s="12">
        <v>0.94609805646721157</v>
      </c>
      <c r="I597" s="12">
        <v>30</v>
      </c>
      <c r="J597" s="12"/>
      <c r="K597" s="12" t="s">
        <v>273</v>
      </c>
      <c r="L597" s="12" t="s">
        <v>948</v>
      </c>
      <c r="M597" s="12"/>
    </row>
    <row r="598" spans="1:13" x14ac:dyDescent="0.3">
      <c r="A598" s="12" t="s">
        <v>206</v>
      </c>
      <c r="B598" s="12" t="s">
        <v>629</v>
      </c>
      <c r="C598" s="12" t="s">
        <v>5897</v>
      </c>
      <c r="D598" s="12" t="s">
        <v>1880</v>
      </c>
      <c r="E598" s="12" t="s">
        <v>6534</v>
      </c>
      <c r="F598" s="12"/>
      <c r="G598" s="12">
        <v>278.60356818354842</v>
      </c>
      <c r="H598" s="12">
        <v>303.07861373731401</v>
      </c>
      <c r="I598" s="12">
        <v>30</v>
      </c>
      <c r="J598" s="12"/>
      <c r="K598" s="12" t="s">
        <v>275</v>
      </c>
      <c r="L598" s="12" t="s">
        <v>948</v>
      </c>
      <c r="M598" s="12"/>
    </row>
    <row r="599" spans="1:13" x14ac:dyDescent="0.3">
      <c r="A599" s="12" t="s">
        <v>206</v>
      </c>
      <c r="B599" s="12" t="s">
        <v>629</v>
      </c>
      <c r="C599" s="12" t="s">
        <v>5897</v>
      </c>
      <c r="D599" s="12" t="s">
        <v>67</v>
      </c>
      <c r="E599" s="12" t="s">
        <v>6533</v>
      </c>
      <c r="F599" s="12" t="s">
        <v>804</v>
      </c>
      <c r="G599" s="12"/>
      <c r="H599" s="12"/>
      <c r="I599" s="12"/>
      <c r="J599" s="12"/>
      <c r="K599" s="12" t="s">
        <v>273</v>
      </c>
      <c r="L599" s="12" t="s">
        <v>948</v>
      </c>
      <c r="M599" s="12"/>
    </row>
    <row r="600" spans="1:13" x14ac:dyDescent="0.3">
      <c r="A600" s="12" t="s">
        <v>206</v>
      </c>
      <c r="B600" s="12" t="s">
        <v>637</v>
      </c>
      <c r="C600" s="12" t="s">
        <v>5928</v>
      </c>
      <c r="D600" s="12" t="s">
        <v>274</v>
      </c>
      <c r="E600" s="12" t="s">
        <v>6534</v>
      </c>
      <c r="F600" s="12"/>
      <c r="G600" s="12">
        <v>381.65444096150651</v>
      </c>
      <c r="H600" s="12">
        <v>516.65081982384424</v>
      </c>
      <c r="I600" s="12">
        <v>30</v>
      </c>
      <c r="J600" s="12"/>
      <c r="K600" s="12" t="s">
        <v>275</v>
      </c>
      <c r="L600" s="12" t="s">
        <v>948</v>
      </c>
      <c r="M600" s="12"/>
    </row>
    <row r="601" spans="1:13" x14ac:dyDescent="0.3">
      <c r="A601" s="12" t="s">
        <v>206</v>
      </c>
      <c r="B601" s="12" t="s">
        <v>637</v>
      </c>
      <c r="C601" s="12" t="s">
        <v>5928</v>
      </c>
      <c r="D601" s="12" t="s">
        <v>276</v>
      </c>
      <c r="E601" s="12" t="s">
        <v>6534</v>
      </c>
      <c r="F601" s="12"/>
      <c r="G601" s="12">
        <v>278.40614917411369</v>
      </c>
      <c r="H601" s="12">
        <v>303.23472607972838</v>
      </c>
      <c r="I601" s="12">
        <v>30</v>
      </c>
      <c r="J601" s="12"/>
      <c r="K601" s="12" t="s">
        <v>275</v>
      </c>
      <c r="L601" s="12" t="s">
        <v>948</v>
      </c>
      <c r="M601" s="12"/>
    </row>
    <row r="602" spans="1:13" x14ac:dyDescent="0.3">
      <c r="A602" s="12" t="s">
        <v>206</v>
      </c>
      <c r="B602" s="12" t="s">
        <v>637</v>
      </c>
      <c r="C602" s="12" t="s">
        <v>5928</v>
      </c>
      <c r="D602" s="12" t="s">
        <v>269</v>
      </c>
      <c r="E602" s="12" t="s">
        <v>6533</v>
      </c>
      <c r="F602" s="12" t="s">
        <v>805</v>
      </c>
      <c r="G602" s="12"/>
      <c r="H602" s="12"/>
      <c r="I602" s="12"/>
      <c r="J602" s="12" t="s">
        <v>749</v>
      </c>
      <c r="K602" s="12" t="s">
        <v>270</v>
      </c>
      <c r="L602" s="12" t="s">
        <v>948</v>
      </c>
      <c r="M602" s="12"/>
    </row>
    <row r="603" spans="1:13" x14ac:dyDescent="0.3">
      <c r="A603" s="12" t="s">
        <v>206</v>
      </c>
      <c r="B603" s="12" t="s">
        <v>637</v>
      </c>
      <c r="C603" s="12" t="s">
        <v>5928</v>
      </c>
      <c r="D603" s="12" t="s">
        <v>271</v>
      </c>
      <c r="E603" s="12" t="s">
        <v>6534</v>
      </c>
      <c r="F603" s="12"/>
      <c r="G603" s="12">
        <v>306.72582021436352</v>
      </c>
      <c r="H603" s="12">
        <v>1963.0838574520219</v>
      </c>
      <c r="I603" s="12">
        <v>30</v>
      </c>
      <c r="J603" s="12"/>
      <c r="K603" s="12" t="s">
        <v>270</v>
      </c>
      <c r="L603" s="12" t="s">
        <v>948</v>
      </c>
      <c r="M603" s="12"/>
    </row>
    <row r="604" spans="1:13" x14ac:dyDescent="0.3">
      <c r="A604" s="12" t="s">
        <v>206</v>
      </c>
      <c r="B604" s="12" t="s">
        <v>637</v>
      </c>
      <c r="C604" s="12" t="s">
        <v>5928</v>
      </c>
      <c r="D604" s="12" t="s">
        <v>272</v>
      </c>
      <c r="E604" s="12" t="s">
        <v>6533</v>
      </c>
      <c r="F604" s="12" t="s">
        <v>799</v>
      </c>
      <c r="G604" s="12"/>
      <c r="H604" s="12"/>
      <c r="I604" s="12"/>
      <c r="J604" s="12" t="s">
        <v>749</v>
      </c>
      <c r="K604" s="12" t="s">
        <v>273</v>
      </c>
      <c r="L604" s="12" t="s">
        <v>948</v>
      </c>
      <c r="M604" s="12"/>
    </row>
    <row r="605" spans="1:13" x14ac:dyDescent="0.3">
      <c r="A605" s="12" t="s">
        <v>206</v>
      </c>
      <c r="B605" s="12" t="s">
        <v>637</v>
      </c>
      <c r="C605" s="12" t="s">
        <v>5928</v>
      </c>
      <c r="D605" s="12" t="s">
        <v>282</v>
      </c>
      <c r="E605" s="12" t="s">
        <v>6533</v>
      </c>
      <c r="F605" s="12" t="s">
        <v>800</v>
      </c>
      <c r="G605" s="12"/>
      <c r="H605" s="12"/>
      <c r="I605" s="12"/>
      <c r="J605" s="12" t="s">
        <v>749</v>
      </c>
      <c r="K605" s="12" t="s">
        <v>283</v>
      </c>
      <c r="L605" s="12" t="s">
        <v>948</v>
      </c>
      <c r="M605" s="12"/>
    </row>
    <row r="606" spans="1:13" x14ac:dyDescent="0.3">
      <c r="A606" s="12" t="s">
        <v>206</v>
      </c>
      <c r="B606" s="12" t="s">
        <v>637</v>
      </c>
      <c r="C606" s="12" t="s">
        <v>5928</v>
      </c>
      <c r="D606" s="12" t="s">
        <v>1875</v>
      </c>
      <c r="E606" s="12" t="s">
        <v>6533</v>
      </c>
      <c r="F606" s="12" t="s">
        <v>755</v>
      </c>
      <c r="G606" s="12"/>
      <c r="H606" s="12"/>
      <c r="I606" s="12"/>
      <c r="J606" s="12" t="s">
        <v>749</v>
      </c>
      <c r="K606" s="12" t="s">
        <v>273</v>
      </c>
      <c r="L606" s="12" t="s">
        <v>948</v>
      </c>
      <c r="M606" s="12"/>
    </row>
    <row r="607" spans="1:13" x14ac:dyDescent="0.3">
      <c r="A607" s="12" t="s">
        <v>206</v>
      </c>
      <c r="B607" s="12" t="s">
        <v>637</v>
      </c>
      <c r="C607" s="12" t="s">
        <v>5928</v>
      </c>
      <c r="D607" s="12" t="s">
        <v>1876</v>
      </c>
      <c r="E607" s="12" t="s">
        <v>6533</v>
      </c>
      <c r="F607" s="12" t="s">
        <v>757</v>
      </c>
      <c r="G607" s="12"/>
      <c r="H607" s="12"/>
      <c r="I607" s="12"/>
      <c r="J607" s="12" t="s">
        <v>749</v>
      </c>
      <c r="K607" s="12" t="s">
        <v>273</v>
      </c>
      <c r="L607" s="12" t="s">
        <v>948</v>
      </c>
      <c r="M607" s="12"/>
    </row>
    <row r="608" spans="1:13" x14ac:dyDescent="0.3">
      <c r="A608" s="12" t="s">
        <v>206</v>
      </c>
      <c r="B608" s="12" t="s">
        <v>637</v>
      </c>
      <c r="C608" s="12" t="s">
        <v>5928</v>
      </c>
      <c r="D608" s="12" t="s">
        <v>1877</v>
      </c>
      <c r="E608" s="12" t="s">
        <v>6533</v>
      </c>
      <c r="F608" s="12" t="s">
        <v>755</v>
      </c>
      <c r="G608" s="12"/>
      <c r="H608" s="12"/>
      <c r="I608" s="12"/>
      <c r="J608" s="12" t="s">
        <v>749</v>
      </c>
      <c r="K608" s="12" t="s">
        <v>273</v>
      </c>
      <c r="L608" s="12" t="s">
        <v>948</v>
      </c>
      <c r="M608" s="12"/>
    </row>
    <row r="609" spans="1:13" x14ac:dyDescent="0.3">
      <c r="A609" s="12" t="s">
        <v>206</v>
      </c>
      <c r="B609" s="12" t="s">
        <v>637</v>
      </c>
      <c r="C609" s="12" t="s">
        <v>5928</v>
      </c>
      <c r="D609" s="12" t="s">
        <v>1878</v>
      </c>
      <c r="E609" s="12" t="s">
        <v>6533</v>
      </c>
      <c r="F609" s="12" t="s">
        <v>757</v>
      </c>
      <c r="G609" s="12"/>
      <c r="H609" s="12"/>
      <c r="I609" s="12"/>
      <c r="J609" s="12" t="s">
        <v>749</v>
      </c>
      <c r="K609" s="12" t="s">
        <v>273</v>
      </c>
      <c r="L609" s="12" t="s">
        <v>948</v>
      </c>
      <c r="M609" s="12"/>
    </row>
    <row r="610" spans="1:13" x14ac:dyDescent="0.3">
      <c r="A610" s="12" t="s">
        <v>206</v>
      </c>
      <c r="B610" s="12" t="s">
        <v>637</v>
      </c>
      <c r="C610" s="12" t="s">
        <v>5928</v>
      </c>
      <c r="D610" s="12" t="s">
        <v>1879</v>
      </c>
      <c r="E610" s="12" t="s">
        <v>6533</v>
      </c>
      <c r="F610" s="12" t="s">
        <v>801</v>
      </c>
      <c r="G610" s="12"/>
      <c r="H610" s="12"/>
      <c r="I610" s="12"/>
      <c r="J610" s="12" t="s">
        <v>749</v>
      </c>
      <c r="K610" s="12" t="s">
        <v>273</v>
      </c>
      <c r="L610" s="12" t="s">
        <v>948</v>
      </c>
      <c r="M610" s="12"/>
    </row>
    <row r="611" spans="1:13" x14ac:dyDescent="0.3">
      <c r="A611" s="12" t="s">
        <v>206</v>
      </c>
      <c r="B611" s="12" t="s">
        <v>637</v>
      </c>
      <c r="C611" s="12" t="s">
        <v>5928</v>
      </c>
      <c r="D611" s="12" t="s">
        <v>1880</v>
      </c>
      <c r="E611" s="12" t="s">
        <v>6534</v>
      </c>
      <c r="F611" s="12"/>
      <c r="G611" s="12">
        <v>278.40614917411369</v>
      </c>
      <c r="H611" s="12">
        <v>303.23472607972838</v>
      </c>
      <c r="I611" s="12">
        <v>30</v>
      </c>
      <c r="J611" s="12"/>
      <c r="K611" s="12" t="s">
        <v>275</v>
      </c>
      <c r="L611" s="12" t="s">
        <v>948</v>
      </c>
      <c r="M611" s="12"/>
    </row>
    <row r="612" spans="1:13" x14ac:dyDescent="0.3">
      <c r="A612" s="12" t="s">
        <v>206</v>
      </c>
      <c r="B612" s="12" t="s">
        <v>637</v>
      </c>
      <c r="C612" s="12" t="s">
        <v>5928</v>
      </c>
      <c r="D612" s="12" t="s">
        <v>67</v>
      </c>
      <c r="E612" s="12" t="s">
        <v>6533</v>
      </c>
      <c r="F612" s="12" t="s">
        <v>804</v>
      </c>
      <c r="G612" s="12"/>
      <c r="H612" s="12"/>
      <c r="I612" s="12"/>
      <c r="J612" s="12"/>
      <c r="K612" s="12" t="s">
        <v>273</v>
      </c>
      <c r="L612" s="12" t="s">
        <v>948</v>
      </c>
      <c r="M612" s="12"/>
    </row>
    <row r="613" spans="1:13" x14ac:dyDescent="0.3">
      <c r="A613" s="12" t="s">
        <v>206</v>
      </c>
      <c r="B613" s="12" t="s">
        <v>641</v>
      </c>
      <c r="C613" s="12" t="s">
        <v>5959</v>
      </c>
      <c r="D613" s="12" t="s">
        <v>274</v>
      </c>
      <c r="E613" s="12" t="s">
        <v>6534</v>
      </c>
      <c r="F613" s="12"/>
      <c r="G613" s="12">
        <v>380.09015234039629</v>
      </c>
      <c r="H613" s="12">
        <v>515.81654445291599</v>
      </c>
      <c r="I613" s="12">
        <v>30</v>
      </c>
      <c r="J613" s="12"/>
      <c r="K613" s="12" t="s">
        <v>275</v>
      </c>
      <c r="L613" s="12" t="s">
        <v>948</v>
      </c>
      <c r="M613" s="12"/>
    </row>
    <row r="614" spans="1:13" x14ac:dyDescent="0.3">
      <c r="A614" s="12" t="s">
        <v>206</v>
      </c>
      <c r="B614" s="12" t="s">
        <v>641</v>
      </c>
      <c r="C614" s="12" t="s">
        <v>5959</v>
      </c>
      <c r="D614" s="12" t="s">
        <v>276</v>
      </c>
      <c r="E614" s="12" t="s">
        <v>6534</v>
      </c>
      <c r="F614" s="12"/>
      <c r="G614" s="12">
        <v>278.21949304554062</v>
      </c>
      <c r="H614" s="12">
        <v>303.19585303740013</v>
      </c>
      <c r="I614" s="12">
        <v>30</v>
      </c>
      <c r="J614" s="12"/>
      <c r="K614" s="12" t="s">
        <v>275</v>
      </c>
      <c r="L614" s="12" t="s">
        <v>948</v>
      </c>
      <c r="M614" s="12"/>
    </row>
    <row r="615" spans="1:13" x14ac:dyDescent="0.3">
      <c r="A615" s="12" t="s">
        <v>206</v>
      </c>
      <c r="B615" s="12" t="s">
        <v>641</v>
      </c>
      <c r="C615" s="12" t="s">
        <v>5959</v>
      </c>
      <c r="D615" s="12" t="s">
        <v>269</v>
      </c>
      <c r="E615" s="12" t="s">
        <v>6533</v>
      </c>
      <c r="F615" s="12" t="s">
        <v>805</v>
      </c>
      <c r="G615" s="12"/>
      <c r="H615" s="12"/>
      <c r="I615" s="12"/>
      <c r="J615" s="12" t="s">
        <v>749</v>
      </c>
      <c r="K615" s="12" t="s">
        <v>270</v>
      </c>
      <c r="L615" s="12" t="s">
        <v>948</v>
      </c>
      <c r="M615" s="12"/>
    </row>
    <row r="616" spans="1:13" x14ac:dyDescent="0.3">
      <c r="A616" s="12" t="s">
        <v>206</v>
      </c>
      <c r="B616" s="12" t="s">
        <v>641</v>
      </c>
      <c r="C616" s="12" t="s">
        <v>5959</v>
      </c>
      <c r="D616" s="12" t="s">
        <v>271</v>
      </c>
      <c r="E616" s="12" t="s">
        <v>6533</v>
      </c>
      <c r="F616" s="12" t="s">
        <v>798</v>
      </c>
      <c r="G616" s="12"/>
      <c r="H616" s="12"/>
      <c r="I616" s="12"/>
      <c r="J616" s="12" t="s">
        <v>749</v>
      </c>
      <c r="K616" s="12" t="s">
        <v>270</v>
      </c>
      <c r="L616" s="12" t="s">
        <v>948</v>
      </c>
      <c r="M616" s="12"/>
    </row>
    <row r="617" spans="1:13" x14ac:dyDescent="0.3">
      <c r="A617" s="12" t="s">
        <v>206</v>
      </c>
      <c r="B617" s="12" t="s">
        <v>641</v>
      </c>
      <c r="C617" s="12" t="s">
        <v>5959</v>
      </c>
      <c r="D617" s="12" t="s">
        <v>272</v>
      </c>
      <c r="E617" s="12" t="s">
        <v>6533</v>
      </c>
      <c r="F617" s="12" t="s">
        <v>799</v>
      </c>
      <c r="G617" s="12"/>
      <c r="H617" s="12"/>
      <c r="I617" s="12"/>
      <c r="J617" s="12" t="s">
        <v>749</v>
      </c>
      <c r="K617" s="12" t="s">
        <v>273</v>
      </c>
      <c r="L617" s="12" t="s">
        <v>948</v>
      </c>
      <c r="M617" s="12"/>
    </row>
    <row r="618" spans="1:13" x14ac:dyDescent="0.3">
      <c r="A618" s="12" t="s">
        <v>206</v>
      </c>
      <c r="B618" s="12" t="s">
        <v>641</v>
      </c>
      <c r="C618" s="12" t="s">
        <v>5959</v>
      </c>
      <c r="D618" s="12" t="s">
        <v>282</v>
      </c>
      <c r="E618" s="12" t="s">
        <v>6533</v>
      </c>
      <c r="F618" s="12" t="s">
        <v>800</v>
      </c>
      <c r="G618" s="12"/>
      <c r="H618" s="12"/>
      <c r="I618" s="12"/>
      <c r="J618" s="12" t="s">
        <v>749</v>
      </c>
      <c r="K618" s="12" t="s">
        <v>283</v>
      </c>
      <c r="L618" s="12" t="s">
        <v>948</v>
      </c>
      <c r="M618" s="12"/>
    </row>
    <row r="619" spans="1:13" x14ac:dyDescent="0.3">
      <c r="A619" s="12" t="s">
        <v>206</v>
      </c>
      <c r="B619" s="12" t="s">
        <v>641</v>
      </c>
      <c r="C619" s="12" t="s">
        <v>5959</v>
      </c>
      <c r="D619" s="12" t="s">
        <v>1875</v>
      </c>
      <c r="E619" s="12" t="s">
        <v>6534</v>
      </c>
      <c r="F619" s="12"/>
      <c r="G619" s="12">
        <v>0.40814246939995807</v>
      </c>
      <c r="H619" s="12">
        <v>0.94995876314272465</v>
      </c>
      <c r="I619" s="12">
        <v>30</v>
      </c>
      <c r="J619" s="12"/>
      <c r="K619" s="12" t="s">
        <v>273</v>
      </c>
      <c r="L619" s="12" t="s">
        <v>948</v>
      </c>
      <c r="M619" s="12"/>
    </row>
    <row r="620" spans="1:13" x14ac:dyDescent="0.3">
      <c r="A620" s="12" t="s">
        <v>206</v>
      </c>
      <c r="B620" s="12" t="s">
        <v>641</v>
      </c>
      <c r="C620" s="12" t="s">
        <v>5959</v>
      </c>
      <c r="D620" s="12" t="s">
        <v>1876</v>
      </c>
      <c r="E620" s="12" t="s">
        <v>6534</v>
      </c>
      <c r="F620" s="12"/>
      <c r="G620" s="12">
        <v>0.41112031731032411</v>
      </c>
      <c r="H620" s="12">
        <v>0.9421701664446096</v>
      </c>
      <c r="I620" s="12">
        <v>30</v>
      </c>
      <c r="J620" s="12"/>
      <c r="K620" s="12" t="s">
        <v>273</v>
      </c>
      <c r="L620" s="12" t="s">
        <v>948</v>
      </c>
      <c r="M620" s="12"/>
    </row>
    <row r="621" spans="1:13" x14ac:dyDescent="0.3">
      <c r="A621" s="12" t="s">
        <v>206</v>
      </c>
      <c r="B621" s="12" t="s">
        <v>641</v>
      </c>
      <c r="C621" s="12" t="s">
        <v>5959</v>
      </c>
      <c r="D621" s="12" t="s">
        <v>1877</v>
      </c>
      <c r="E621" s="12" t="s">
        <v>6534</v>
      </c>
      <c r="F621" s="12"/>
      <c r="G621" s="12">
        <v>0.4111959148797098</v>
      </c>
      <c r="H621" s="12">
        <v>0.93654147462887838</v>
      </c>
      <c r="I621" s="12">
        <v>30</v>
      </c>
      <c r="J621" s="12"/>
      <c r="K621" s="12" t="s">
        <v>273</v>
      </c>
      <c r="L621" s="12" t="s">
        <v>948</v>
      </c>
      <c r="M621" s="12"/>
    </row>
    <row r="622" spans="1:13" x14ac:dyDescent="0.3">
      <c r="A622" s="12" t="s">
        <v>206</v>
      </c>
      <c r="B622" s="12" t="s">
        <v>641</v>
      </c>
      <c r="C622" s="12" t="s">
        <v>5959</v>
      </c>
      <c r="D622" s="12" t="s">
        <v>1878</v>
      </c>
      <c r="E622" s="12" t="s">
        <v>6534</v>
      </c>
      <c r="F622" s="12"/>
      <c r="G622" s="12">
        <v>0.41069188858204331</v>
      </c>
      <c r="H622" s="12">
        <v>0.93977909837783957</v>
      </c>
      <c r="I622" s="12">
        <v>30</v>
      </c>
      <c r="J622" s="12"/>
      <c r="K622" s="12" t="s">
        <v>273</v>
      </c>
      <c r="L622" s="12" t="s">
        <v>948</v>
      </c>
      <c r="M622" s="12"/>
    </row>
    <row r="623" spans="1:13" x14ac:dyDescent="0.3">
      <c r="A623" s="12" t="s">
        <v>206</v>
      </c>
      <c r="B623" s="12" t="s">
        <v>641</v>
      </c>
      <c r="C623" s="12" t="s">
        <v>5959</v>
      </c>
      <c r="D623" s="12" t="s">
        <v>1879</v>
      </c>
      <c r="E623" s="12" t="s">
        <v>6534</v>
      </c>
      <c r="F623" s="12"/>
      <c r="G623" s="12">
        <v>0.41308904548580849</v>
      </c>
      <c r="H623" s="12">
        <v>0.94806307014581437</v>
      </c>
      <c r="I623" s="12">
        <v>30</v>
      </c>
      <c r="J623" s="12"/>
      <c r="K623" s="12" t="s">
        <v>273</v>
      </c>
      <c r="L623" s="12" t="s">
        <v>948</v>
      </c>
      <c r="M623" s="12"/>
    </row>
    <row r="624" spans="1:13" x14ac:dyDescent="0.3">
      <c r="A624" s="12" t="s">
        <v>206</v>
      </c>
      <c r="B624" s="12" t="s">
        <v>641</v>
      </c>
      <c r="C624" s="12" t="s">
        <v>5959</v>
      </c>
      <c r="D624" s="12" t="s">
        <v>1880</v>
      </c>
      <c r="E624" s="12" t="s">
        <v>6534</v>
      </c>
      <c r="F624" s="12"/>
      <c r="G624" s="12">
        <v>278.21949304554062</v>
      </c>
      <c r="H624" s="12">
        <v>303.19585303740013</v>
      </c>
      <c r="I624" s="12">
        <v>30</v>
      </c>
      <c r="J624" s="12"/>
      <c r="K624" s="12" t="s">
        <v>275</v>
      </c>
      <c r="L624" s="12" t="s">
        <v>948</v>
      </c>
      <c r="M624" s="12"/>
    </row>
    <row r="625" spans="1:13" x14ac:dyDescent="0.3">
      <c r="A625" s="12" t="s">
        <v>206</v>
      </c>
      <c r="B625" s="12" t="s">
        <v>641</v>
      </c>
      <c r="C625" s="12" t="s">
        <v>5959</v>
      </c>
      <c r="D625" s="12" t="s">
        <v>67</v>
      </c>
      <c r="E625" s="12" t="s">
        <v>6533</v>
      </c>
      <c r="F625" s="12" t="s">
        <v>804</v>
      </c>
      <c r="G625" s="12"/>
      <c r="H625" s="12"/>
      <c r="I625" s="12"/>
      <c r="J625" s="12"/>
      <c r="K625" s="12" t="s">
        <v>273</v>
      </c>
      <c r="L625" s="12" t="s">
        <v>948</v>
      </c>
      <c r="M625" s="12"/>
    </row>
    <row r="626" spans="1:13" x14ac:dyDescent="0.3">
      <c r="A626" s="12" t="s">
        <v>206</v>
      </c>
      <c r="B626" s="12" t="s">
        <v>649</v>
      </c>
      <c r="C626" s="12" t="s">
        <v>5990</v>
      </c>
      <c r="D626" s="12" t="s">
        <v>274</v>
      </c>
      <c r="E626" s="12" t="s">
        <v>6534</v>
      </c>
      <c r="F626" s="12"/>
      <c r="G626" s="12">
        <v>383.94958706647299</v>
      </c>
      <c r="H626" s="12">
        <v>517.81925273170737</v>
      </c>
      <c r="I626" s="12">
        <v>30</v>
      </c>
      <c r="J626" s="12"/>
      <c r="K626" s="12" t="s">
        <v>275</v>
      </c>
      <c r="L626" s="12" t="s">
        <v>948</v>
      </c>
      <c r="M626" s="12"/>
    </row>
    <row r="627" spans="1:13" x14ac:dyDescent="0.3">
      <c r="A627" s="12" t="s">
        <v>206</v>
      </c>
      <c r="B627" s="12" t="s">
        <v>649</v>
      </c>
      <c r="C627" s="12" t="s">
        <v>5990</v>
      </c>
      <c r="D627" s="12" t="s">
        <v>276</v>
      </c>
      <c r="E627" s="12" t="s">
        <v>6533</v>
      </c>
      <c r="F627" s="12" t="s">
        <v>795</v>
      </c>
      <c r="G627" s="12"/>
      <c r="H627" s="12"/>
      <c r="I627" s="12"/>
      <c r="J627" s="12" t="s">
        <v>749</v>
      </c>
      <c r="K627" s="12" t="s">
        <v>275</v>
      </c>
      <c r="L627" s="12" t="s">
        <v>948</v>
      </c>
      <c r="M627" s="12"/>
    </row>
    <row r="628" spans="1:13" x14ac:dyDescent="0.3">
      <c r="A628" s="12" t="s">
        <v>206</v>
      </c>
      <c r="B628" s="12" t="s">
        <v>649</v>
      </c>
      <c r="C628" s="12" t="s">
        <v>5990</v>
      </c>
      <c r="D628" s="12" t="s">
        <v>269</v>
      </c>
      <c r="E628" s="12" t="s">
        <v>6533</v>
      </c>
      <c r="F628" s="12" t="s">
        <v>805</v>
      </c>
      <c r="G628" s="12"/>
      <c r="H628" s="12"/>
      <c r="I628" s="12"/>
      <c r="J628" s="12" t="s">
        <v>749</v>
      </c>
      <c r="K628" s="12" t="s">
        <v>270</v>
      </c>
      <c r="L628" s="12" t="s">
        <v>948</v>
      </c>
      <c r="M628" s="12"/>
    </row>
    <row r="629" spans="1:13" x14ac:dyDescent="0.3">
      <c r="A629" s="12" t="s">
        <v>206</v>
      </c>
      <c r="B629" s="12" t="s">
        <v>649</v>
      </c>
      <c r="C629" s="12" t="s">
        <v>5990</v>
      </c>
      <c r="D629" s="12" t="s">
        <v>271</v>
      </c>
      <c r="E629" s="12" t="s">
        <v>6534</v>
      </c>
      <c r="F629" s="12"/>
      <c r="G629" s="12">
        <v>338.07553384159581</v>
      </c>
      <c r="H629" s="12">
        <v>1944.9514791328411</v>
      </c>
      <c r="I629" s="12">
        <v>30</v>
      </c>
      <c r="J629" s="12"/>
      <c r="K629" s="12" t="s">
        <v>270</v>
      </c>
      <c r="L629" s="12" t="s">
        <v>948</v>
      </c>
      <c r="M629" s="12"/>
    </row>
    <row r="630" spans="1:13" x14ac:dyDescent="0.3">
      <c r="A630" s="12" t="s">
        <v>206</v>
      </c>
      <c r="B630" s="12" t="s">
        <v>649</v>
      </c>
      <c r="C630" s="12" t="s">
        <v>5990</v>
      </c>
      <c r="D630" s="12" t="s">
        <v>272</v>
      </c>
      <c r="E630" s="12" t="s">
        <v>6533</v>
      </c>
      <c r="F630" s="12" t="s">
        <v>799</v>
      </c>
      <c r="G630" s="12"/>
      <c r="H630" s="12"/>
      <c r="I630" s="12"/>
      <c r="J630" s="12" t="s">
        <v>749</v>
      </c>
      <c r="K630" s="12" t="s">
        <v>273</v>
      </c>
      <c r="L630" s="12" t="s">
        <v>948</v>
      </c>
      <c r="M630" s="12"/>
    </row>
    <row r="631" spans="1:13" x14ac:dyDescent="0.3">
      <c r="A631" s="12" t="s">
        <v>206</v>
      </c>
      <c r="B631" s="12" t="s">
        <v>649</v>
      </c>
      <c r="C631" s="12" t="s">
        <v>5990</v>
      </c>
      <c r="D631" s="12" t="s">
        <v>282</v>
      </c>
      <c r="E631" s="12" t="s">
        <v>6533</v>
      </c>
      <c r="F631" s="12" t="s">
        <v>800</v>
      </c>
      <c r="G631" s="12"/>
      <c r="H631" s="12"/>
      <c r="I631" s="12"/>
      <c r="J631" s="12" t="s">
        <v>749</v>
      </c>
      <c r="K631" s="12" t="s">
        <v>283</v>
      </c>
      <c r="L631" s="12" t="s">
        <v>948</v>
      </c>
      <c r="M631" s="12"/>
    </row>
    <row r="632" spans="1:13" x14ac:dyDescent="0.3">
      <c r="A632" s="12" t="s">
        <v>206</v>
      </c>
      <c r="B632" s="12" t="s">
        <v>649</v>
      </c>
      <c r="C632" s="12" t="s">
        <v>5990</v>
      </c>
      <c r="D632" s="12" t="s">
        <v>1875</v>
      </c>
      <c r="E632" s="12" t="s">
        <v>6534</v>
      </c>
      <c r="F632" s="12"/>
      <c r="G632" s="12">
        <v>0.40779744118354139</v>
      </c>
      <c r="H632" s="12">
        <v>0.93531984051739359</v>
      </c>
      <c r="I632" s="12">
        <v>30</v>
      </c>
      <c r="J632" s="12"/>
      <c r="K632" s="12" t="s">
        <v>273</v>
      </c>
      <c r="L632" s="12" t="s">
        <v>948</v>
      </c>
      <c r="M632" s="12"/>
    </row>
    <row r="633" spans="1:13" x14ac:dyDescent="0.3">
      <c r="A633" s="12" t="s">
        <v>206</v>
      </c>
      <c r="B633" s="12" t="s">
        <v>649</v>
      </c>
      <c r="C633" s="12" t="s">
        <v>5990</v>
      </c>
      <c r="D633" s="12" t="s">
        <v>1876</v>
      </c>
      <c r="E633" s="12" t="s">
        <v>6534</v>
      </c>
      <c r="F633" s="12"/>
      <c r="G633" s="12">
        <v>0.41591676685223139</v>
      </c>
      <c r="H633" s="12">
        <v>0.94182841348666979</v>
      </c>
      <c r="I633" s="12">
        <v>30</v>
      </c>
      <c r="J633" s="12"/>
      <c r="K633" s="12" t="s">
        <v>273</v>
      </c>
      <c r="L633" s="12" t="s">
        <v>948</v>
      </c>
      <c r="M633" s="12"/>
    </row>
    <row r="634" spans="1:13" x14ac:dyDescent="0.3">
      <c r="A634" s="12" t="s">
        <v>206</v>
      </c>
      <c r="B634" s="12" t="s">
        <v>649</v>
      </c>
      <c r="C634" s="12" t="s">
        <v>5990</v>
      </c>
      <c r="D634" s="12" t="s">
        <v>1877</v>
      </c>
      <c r="E634" s="12" t="s">
        <v>6534</v>
      </c>
      <c r="F634" s="12"/>
      <c r="G634" s="12">
        <v>0.40867538318633911</v>
      </c>
      <c r="H634" s="12">
        <v>0.94822701932917897</v>
      </c>
      <c r="I634" s="12">
        <v>30</v>
      </c>
      <c r="J634" s="12"/>
      <c r="K634" s="12" t="s">
        <v>273</v>
      </c>
      <c r="L634" s="12" t="s">
        <v>948</v>
      </c>
      <c r="M634" s="12"/>
    </row>
    <row r="635" spans="1:13" x14ac:dyDescent="0.3">
      <c r="A635" s="12" t="s">
        <v>206</v>
      </c>
      <c r="B635" s="12" t="s">
        <v>649</v>
      </c>
      <c r="C635" s="12" t="s">
        <v>5990</v>
      </c>
      <c r="D635" s="12" t="s">
        <v>1878</v>
      </c>
      <c r="E635" s="12" t="s">
        <v>6534</v>
      </c>
      <c r="F635" s="12"/>
      <c r="G635" s="12">
        <v>0.40765396045770569</v>
      </c>
      <c r="H635" s="12">
        <v>0.93658163850728082</v>
      </c>
      <c r="I635" s="12">
        <v>30</v>
      </c>
      <c r="J635" s="12"/>
      <c r="K635" s="12" t="s">
        <v>273</v>
      </c>
      <c r="L635" s="12" t="s">
        <v>948</v>
      </c>
      <c r="M635" s="12"/>
    </row>
    <row r="636" spans="1:13" x14ac:dyDescent="0.3">
      <c r="A636" s="12" t="s">
        <v>206</v>
      </c>
      <c r="B636" s="12" t="s">
        <v>649</v>
      </c>
      <c r="C636" s="12" t="s">
        <v>5990</v>
      </c>
      <c r="D636" s="12" t="s">
        <v>1879</v>
      </c>
      <c r="E636" s="12" t="s">
        <v>6534</v>
      </c>
      <c r="F636" s="12"/>
      <c r="G636" s="12">
        <v>0.4159510664154849</v>
      </c>
      <c r="H636" s="12">
        <v>0.93778864268667617</v>
      </c>
      <c r="I636" s="12">
        <v>30</v>
      </c>
      <c r="J636" s="12"/>
      <c r="K636" s="12" t="s">
        <v>273</v>
      </c>
      <c r="L636" s="12" t="s">
        <v>948</v>
      </c>
      <c r="M636" s="12"/>
    </row>
    <row r="637" spans="1:13" x14ac:dyDescent="0.3">
      <c r="A637" s="12" t="s">
        <v>206</v>
      </c>
      <c r="B637" s="12" t="s">
        <v>649</v>
      </c>
      <c r="C637" s="12" t="s">
        <v>5990</v>
      </c>
      <c r="D637" s="12" t="s">
        <v>1880</v>
      </c>
      <c r="E637" s="12" t="s">
        <v>6533</v>
      </c>
      <c r="F637" s="12" t="s">
        <v>795</v>
      </c>
      <c r="G637" s="12"/>
      <c r="H637" s="12"/>
      <c r="I637" s="12"/>
      <c r="J637" s="12" t="s">
        <v>749</v>
      </c>
      <c r="K637" s="12" t="s">
        <v>275</v>
      </c>
      <c r="L637" s="12" t="s">
        <v>948</v>
      </c>
      <c r="M637" s="12"/>
    </row>
    <row r="638" spans="1:13" x14ac:dyDescent="0.3">
      <c r="A638" s="12" t="s">
        <v>206</v>
      </c>
      <c r="B638" s="12" t="s">
        <v>649</v>
      </c>
      <c r="C638" s="12" t="s">
        <v>5990</v>
      </c>
      <c r="D638" s="12" t="s">
        <v>67</v>
      </c>
      <c r="E638" s="12" t="s">
        <v>6533</v>
      </c>
      <c r="F638" s="12" t="s">
        <v>804</v>
      </c>
      <c r="G638" s="12"/>
      <c r="H638" s="12"/>
      <c r="I638" s="12"/>
      <c r="J638" s="12"/>
      <c r="K638" s="12" t="s">
        <v>273</v>
      </c>
      <c r="L638" s="12" t="s">
        <v>948</v>
      </c>
      <c r="M638" s="12"/>
    </row>
    <row r="639" spans="1:13" x14ac:dyDescent="0.3">
      <c r="A639" s="12" t="s">
        <v>206</v>
      </c>
      <c r="B639" s="12" t="s">
        <v>657</v>
      </c>
      <c r="C639" s="12" t="s">
        <v>6021</v>
      </c>
      <c r="D639" s="12" t="s">
        <v>274</v>
      </c>
      <c r="E639" s="12" t="s">
        <v>6533</v>
      </c>
      <c r="F639" s="12" t="s">
        <v>794</v>
      </c>
      <c r="G639" s="12"/>
      <c r="H639" s="12"/>
      <c r="I639" s="12"/>
      <c r="J639" s="12" t="s">
        <v>749</v>
      </c>
      <c r="K639" s="12" t="s">
        <v>275</v>
      </c>
      <c r="L639" s="12" t="s">
        <v>948</v>
      </c>
      <c r="M639" s="12"/>
    </row>
    <row r="640" spans="1:13" x14ac:dyDescent="0.3">
      <c r="A640" s="12" t="s">
        <v>206</v>
      </c>
      <c r="B640" s="12" t="s">
        <v>657</v>
      </c>
      <c r="C640" s="12" t="s">
        <v>6021</v>
      </c>
      <c r="D640" s="12" t="s">
        <v>276</v>
      </c>
      <c r="E640" s="12" t="s">
        <v>6534</v>
      </c>
      <c r="F640" s="12"/>
      <c r="G640" s="12">
        <v>278.66895332507983</v>
      </c>
      <c r="H640" s="12">
        <v>303.44349828928898</v>
      </c>
      <c r="I640" s="12">
        <v>30</v>
      </c>
      <c r="J640" s="12"/>
      <c r="K640" s="12" t="s">
        <v>275</v>
      </c>
      <c r="L640" s="12" t="s">
        <v>948</v>
      </c>
      <c r="M640" s="12"/>
    </row>
    <row r="641" spans="1:13" x14ac:dyDescent="0.3">
      <c r="A641" s="12" t="s">
        <v>206</v>
      </c>
      <c r="B641" s="12" t="s">
        <v>657</v>
      </c>
      <c r="C641" s="12" t="s">
        <v>6021</v>
      </c>
      <c r="D641" s="12" t="s">
        <v>269</v>
      </c>
      <c r="E641" s="12" t="s">
        <v>6533</v>
      </c>
      <c r="F641" s="12" t="s">
        <v>805</v>
      </c>
      <c r="G641" s="12"/>
      <c r="H641" s="12"/>
      <c r="I641" s="12"/>
      <c r="J641" s="12" t="s">
        <v>749</v>
      </c>
      <c r="K641" s="12" t="s">
        <v>270</v>
      </c>
      <c r="L641" s="12" t="s">
        <v>948</v>
      </c>
      <c r="M641" s="12"/>
    </row>
    <row r="642" spans="1:13" x14ac:dyDescent="0.3">
      <c r="A642" s="12" t="s">
        <v>206</v>
      </c>
      <c r="B642" s="12" t="s">
        <v>657</v>
      </c>
      <c r="C642" s="12" t="s">
        <v>6021</v>
      </c>
      <c r="D642" s="12" t="s">
        <v>271</v>
      </c>
      <c r="E642" s="12" t="s">
        <v>6534</v>
      </c>
      <c r="F642" s="12"/>
      <c r="G642" s="12">
        <v>317.02652133409651</v>
      </c>
      <c r="H642" s="12">
        <v>1948.2919863689481</v>
      </c>
      <c r="I642" s="12">
        <v>30</v>
      </c>
      <c r="J642" s="12"/>
      <c r="K642" s="12" t="s">
        <v>270</v>
      </c>
      <c r="L642" s="12" t="s">
        <v>948</v>
      </c>
      <c r="M642" s="12"/>
    </row>
    <row r="643" spans="1:13" x14ac:dyDescent="0.3">
      <c r="A643" s="12" t="s">
        <v>206</v>
      </c>
      <c r="B643" s="12" t="s">
        <v>657</v>
      </c>
      <c r="C643" s="12" t="s">
        <v>6021</v>
      </c>
      <c r="D643" s="12" t="s">
        <v>272</v>
      </c>
      <c r="E643" s="12" t="s">
        <v>6533</v>
      </c>
      <c r="F643" s="12" t="s">
        <v>799</v>
      </c>
      <c r="G643" s="12"/>
      <c r="H643" s="12"/>
      <c r="I643" s="12"/>
      <c r="J643" s="12" t="s">
        <v>749</v>
      </c>
      <c r="K643" s="12" t="s">
        <v>273</v>
      </c>
      <c r="L643" s="12" t="s">
        <v>948</v>
      </c>
      <c r="M643" s="12"/>
    </row>
    <row r="644" spans="1:13" x14ac:dyDescent="0.3">
      <c r="A644" s="12" t="s">
        <v>206</v>
      </c>
      <c r="B644" s="12" t="s">
        <v>657</v>
      </c>
      <c r="C644" s="12" t="s">
        <v>6021</v>
      </c>
      <c r="D644" s="12" t="s">
        <v>282</v>
      </c>
      <c r="E644" s="12" t="s">
        <v>6533</v>
      </c>
      <c r="F644" s="12" t="s">
        <v>800</v>
      </c>
      <c r="G644" s="12"/>
      <c r="H644" s="12"/>
      <c r="I644" s="12"/>
      <c r="J644" s="12" t="s">
        <v>749</v>
      </c>
      <c r="K644" s="12" t="s">
        <v>283</v>
      </c>
      <c r="L644" s="12" t="s">
        <v>948</v>
      </c>
      <c r="M644" s="12"/>
    </row>
    <row r="645" spans="1:13" x14ac:dyDescent="0.3">
      <c r="A645" s="12" t="s">
        <v>206</v>
      </c>
      <c r="B645" s="12" t="s">
        <v>657</v>
      </c>
      <c r="C645" s="12" t="s">
        <v>6021</v>
      </c>
      <c r="D645" s="12" t="s">
        <v>1875</v>
      </c>
      <c r="E645" s="12" t="s">
        <v>6533</v>
      </c>
      <c r="F645" s="12" t="s">
        <v>755</v>
      </c>
      <c r="G645" s="12"/>
      <c r="H645" s="12"/>
      <c r="I645" s="12"/>
      <c r="J645" s="12" t="s">
        <v>749</v>
      </c>
      <c r="K645" s="12" t="s">
        <v>273</v>
      </c>
      <c r="L645" s="12" t="s">
        <v>948</v>
      </c>
      <c r="M645" s="12"/>
    </row>
    <row r="646" spans="1:13" x14ac:dyDescent="0.3">
      <c r="A646" s="12" t="s">
        <v>206</v>
      </c>
      <c r="B646" s="12" t="s">
        <v>657</v>
      </c>
      <c r="C646" s="12" t="s">
        <v>6021</v>
      </c>
      <c r="D646" s="12" t="s">
        <v>1876</v>
      </c>
      <c r="E646" s="12" t="s">
        <v>6533</v>
      </c>
      <c r="F646" s="12" t="s">
        <v>757</v>
      </c>
      <c r="G646" s="12"/>
      <c r="H646" s="12"/>
      <c r="I646" s="12"/>
      <c r="J646" s="12" t="s">
        <v>749</v>
      </c>
      <c r="K646" s="12" t="s">
        <v>273</v>
      </c>
      <c r="L646" s="12" t="s">
        <v>948</v>
      </c>
      <c r="M646" s="12"/>
    </row>
    <row r="647" spans="1:13" x14ac:dyDescent="0.3">
      <c r="A647" s="12" t="s">
        <v>206</v>
      </c>
      <c r="B647" s="12" t="s">
        <v>657</v>
      </c>
      <c r="C647" s="12" t="s">
        <v>6021</v>
      </c>
      <c r="D647" s="12" t="s">
        <v>1877</v>
      </c>
      <c r="E647" s="12" t="s">
        <v>6533</v>
      </c>
      <c r="F647" s="12" t="s">
        <v>755</v>
      </c>
      <c r="G647" s="12"/>
      <c r="H647" s="12"/>
      <c r="I647" s="12"/>
      <c r="J647" s="12" t="s">
        <v>749</v>
      </c>
      <c r="K647" s="12" t="s">
        <v>273</v>
      </c>
      <c r="L647" s="12" t="s">
        <v>948</v>
      </c>
      <c r="M647" s="12"/>
    </row>
    <row r="648" spans="1:13" x14ac:dyDescent="0.3">
      <c r="A648" s="12" t="s">
        <v>206</v>
      </c>
      <c r="B648" s="12" t="s">
        <v>657</v>
      </c>
      <c r="C648" s="12" t="s">
        <v>6021</v>
      </c>
      <c r="D648" s="12" t="s">
        <v>1878</v>
      </c>
      <c r="E648" s="12" t="s">
        <v>6533</v>
      </c>
      <c r="F648" s="12" t="s">
        <v>757</v>
      </c>
      <c r="G648" s="12"/>
      <c r="H648" s="12"/>
      <c r="I648" s="12"/>
      <c r="J648" s="12" t="s">
        <v>749</v>
      </c>
      <c r="K648" s="12" t="s">
        <v>273</v>
      </c>
      <c r="L648" s="12" t="s">
        <v>948</v>
      </c>
      <c r="M648" s="12"/>
    </row>
    <row r="649" spans="1:13" x14ac:dyDescent="0.3">
      <c r="A649" s="12" t="s">
        <v>206</v>
      </c>
      <c r="B649" s="12" t="s">
        <v>657</v>
      </c>
      <c r="C649" s="12" t="s">
        <v>6021</v>
      </c>
      <c r="D649" s="12" t="s">
        <v>1879</v>
      </c>
      <c r="E649" s="12" t="s">
        <v>6533</v>
      </c>
      <c r="F649" s="12" t="s">
        <v>801</v>
      </c>
      <c r="G649" s="12"/>
      <c r="H649" s="12"/>
      <c r="I649" s="12"/>
      <c r="J649" s="12" t="s">
        <v>749</v>
      </c>
      <c r="K649" s="12" t="s">
        <v>273</v>
      </c>
      <c r="L649" s="12" t="s">
        <v>948</v>
      </c>
      <c r="M649" s="12"/>
    </row>
    <row r="650" spans="1:13" x14ac:dyDescent="0.3">
      <c r="A650" s="12" t="s">
        <v>206</v>
      </c>
      <c r="B650" s="12" t="s">
        <v>657</v>
      </c>
      <c r="C650" s="12" t="s">
        <v>6021</v>
      </c>
      <c r="D650" s="12" t="s">
        <v>1880</v>
      </c>
      <c r="E650" s="12" t="s">
        <v>6534</v>
      </c>
      <c r="F650" s="12"/>
      <c r="G650" s="12">
        <v>278.66895332507983</v>
      </c>
      <c r="H650" s="12">
        <v>303.44349828928898</v>
      </c>
      <c r="I650" s="12">
        <v>30</v>
      </c>
      <c r="J650" s="12"/>
      <c r="K650" s="12" t="s">
        <v>275</v>
      </c>
      <c r="L650" s="12" t="s">
        <v>948</v>
      </c>
      <c r="M650" s="12"/>
    </row>
    <row r="651" spans="1:13" x14ac:dyDescent="0.3">
      <c r="A651" s="12" t="s">
        <v>206</v>
      </c>
      <c r="B651" s="12" t="s">
        <v>657</v>
      </c>
      <c r="C651" s="12" t="s">
        <v>6021</v>
      </c>
      <c r="D651" s="12" t="s">
        <v>67</v>
      </c>
      <c r="E651" s="12" t="s">
        <v>6533</v>
      </c>
      <c r="F651" s="12" t="s">
        <v>804</v>
      </c>
      <c r="G651" s="12"/>
      <c r="H651" s="12"/>
      <c r="I651" s="12"/>
      <c r="J651" s="12"/>
      <c r="K651" s="12" t="s">
        <v>273</v>
      </c>
      <c r="L651" s="12" t="s">
        <v>948</v>
      </c>
      <c r="M651" s="12"/>
    </row>
    <row r="652" spans="1:13" x14ac:dyDescent="0.3">
      <c r="A652" s="12" t="s">
        <v>206</v>
      </c>
      <c r="B652" s="12" t="s">
        <v>660</v>
      </c>
      <c r="C652" s="12" t="s">
        <v>738</v>
      </c>
      <c r="D652" s="12" t="s">
        <v>274</v>
      </c>
      <c r="E652" s="12" t="s">
        <v>6534</v>
      </c>
      <c r="F652" s="12"/>
      <c r="G652" s="12">
        <v>384.24048843907792</v>
      </c>
      <c r="H652" s="12">
        <v>519.84195531004866</v>
      </c>
      <c r="I652" s="12">
        <v>30</v>
      </c>
      <c r="J652" s="12"/>
      <c r="K652" s="12" t="s">
        <v>275</v>
      </c>
      <c r="L652" s="12" t="s">
        <v>948</v>
      </c>
      <c r="M652" s="12"/>
    </row>
    <row r="653" spans="1:13" x14ac:dyDescent="0.3">
      <c r="A653" s="12" t="s">
        <v>206</v>
      </c>
      <c r="B653" s="12" t="s">
        <v>660</v>
      </c>
      <c r="C653" s="12" t="s">
        <v>738</v>
      </c>
      <c r="D653" s="12" t="s">
        <v>276</v>
      </c>
      <c r="E653" s="12" t="s">
        <v>6534</v>
      </c>
      <c r="F653" s="12"/>
      <c r="G653" s="12">
        <v>278.20579290335428</v>
      </c>
      <c r="H653" s="12">
        <v>303.38437697405101</v>
      </c>
      <c r="I653" s="12">
        <v>30</v>
      </c>
      <c r="J653" s="12"/>
      <c r="K653" s="12" t="s">
        <v>275</v>
      </c>
      <c r="L653" s="12" t="s">
        <v>948</v>
      </c>
      <c r="M653" s="12"/>
    </row>
    <row r="654" spans="1:13" x14ac:dyDescent="0.3">
      <c r="A654" s="12" t="s">
        <v>206</v>
      </c>
      <c r="B654" s="12" t="s">
        <v>660</v>
      </c>
      <c r="C654" s="12" t="s">
        <v>738</v>
      </c>
      <c r="D654" s="12" t="s">
        <v>269</v>
      </c>
      <c r="E654" s="12" t="s">
        <v>6533</v>
      </c>
      <c r="F654" s="12" t="s">
        <v>805</v>
      </c>
      <c r="G654" s="12"/>
      <c r="H654" s="12"/>
      <c r="I654" s="12"/>
      <c r="J654" s="12" t="s">
        <v>749</v>
      </c>
      <c r="K654" s="12" t="s">
        <v>270</v>
      </c>
      <c r="L654" s="12" t="s">
        <v>948</v>
      </c>
      <c r="M654" s="12"/>
    </row>
    <row r="655" spans="1:13" x14ac:dyDescent="0.3">
      <c r="A655" s="12" t="s">
        <v>206</v>
      </c>
      <c r="B655" s="12" t="s">
        <v>660</v>
      </c>
      <c r="C655" s="12" t="s">
        <v>738</v>
      </c>
      <c r="D655" s="12" t="s">
        <v>271</v>
      </c>
      <c r="E655" s="12" t="s">
        <v>6533</v>
      </c>
      <c r="F655" s="12" t="s">
        <v>798</v>
      </c>
      <c r="G655" s="12"/>
      <c r="H655" s="12"/>
      <c r="I655" s="12"/>
      <c r="J655" s="12" t="s">
        <v>749</v>
      </c>
      <c r="K655" s="12" t="s">
        <v>270</v>
      </c>
      <c r="L655" s="12" t="s">
        <v>948</v>
      </c>
      <c r="M655" s="12"/>
    </row>
    <row r="656" spans="1:13" x14ac:dyDescent="0.3">
      <c r="A656" s="12" t="s">
        <v>206</v>
      </c>
      <c r="B656" s="12" t="s">
        <v>660</v>
      </c>
      <c r="C656" s="12" t="s">
        <v>738</v>
      </c>
      <c r="D656" s="12" t="s">
        <v>272</v>
      </c>
      <c r="E656" s="12" t="s">
        <v>6533</v>
      </c>
      <c r="F656" s="12" t="s">
        <v>799</v>
      </c>
      <c r="G656" s="12"/>
      <c r="H656" s="12"/>
      <c r="I656" s="12"/>
      <c r="J656" s="12" t="s">
        <v>749</v>
      </c>
      <c r="K656" s="12" t="s">
        <v>273</v>
      </c>
      <c r="L656" s="12" t="s">
        <v>948</v>
      </c>
      <c r="M656" s="12"/>
    </row>
    <row r="657" spans="1:13" x14ac:dyDescent="0.3">
      <c r="A657" s="12" t="s">
        <v>206</v>
      </c>
      <c r="B657" s="12" t="s">
        <v>660</v>
      </c>
      <c r="C657" s="12" t="s">
        <v>738</v>
      </c>
      <c r="D657" s="12" t="s">
        <v>282</v>
      </c>
      <c r="E657" s="12" t="s">
        <v>6533</v>
      </c>
      <c r="F657" s="12" t="s">
        <v>800</v>
      </c>
      <c r="G657" s="12"/>
      <c r="H657" s="12"/>
      <c r="I657" s="12"/>
      <c r="J657" s="12" t="s">
        <v>749</v>
      </c>
      <c r="K657" s="12" t="s">
        <v>283</v>
      </c>
      <c r="L657" s="12" t="s">
        <v>948</v>
      </c>
      <c r="M657" s="12"/>
    </row>
    <row r="658" spans="1:13" x14ac:dyDescent="0.3">
      <c r="A658" s="12" t="s">
        <v>206</v>
      </c>
      <c r="B658" s="12" t="s">
        <v>660</v>
      </c>
      <c r="C658" s="12" t="s">
        <v>738</v>
      </c>
      <c r="D658" s="12" t="s">
        <v>1875</v>
      </c>
      <c r="E658" s="12" t="s">
        <v>6533</v>
      </c>
      <c r="F658" s="12" t="s">
        <v>755</v>
      </c>
      <c r="G658" s="12"/>
      <c r="H658" s="12"/>
      <c r="I658" s="12"/>
      <c r="J658" s="12" t="s">
        <v>749</v>
      </c>
      <c r="K658" s="12" t="s">
        <v>273</v>
      </c>
      <c r="L658" s="12" t="s">
        <v>948</v>
      </c>
      <c r="M658" s="12"/>
    </row>
    <row r="659" spans="1:13" x14ac:dyDescent="0.3">
      <c r="A659" s="12" t="s">
        <v>206</v>
      </c>
      <c r="B659" s="12" t="s">
        <v>660</v>
      </c>
      <c r="C659" s="12" t="s">
        <v>738</v>
      </c>
      <c r="D659" s="12" t="s">
        <v>1876</v>
      </c>
      <c r="E659" s="12" t="s">
        <v>6533</v>
      </c>
      <c r="F659" s="12" t="s">
        <v>757</v>
      </c>
      <c r="G659" s="12"/>
      <c r="H659" s="12"/>
      <c r="I659" s="12"/>
      <c r="J659" s="12" t="s">
        <v>749</v>
      </c>
      <c r="K659" s="12" t="s">
        <v>273</v>
      </c>
      <c r="L659" s="12" t="s">
        <v>948</v>
      </c>
      <c r="M659" s="12"/>
    </row>
    <row r="660" spans="1:13" x14ac:dyDescent="0.3">
      <c r="A660" s="12" t="s">
        <v>206</v>
      </c>
      <c r="B660" s="12" t="s">
        <v>660</v>
      </c>
      <c r="C660" s="12" t="s">
        <v>738</v>
      </c>
      <c r="D660" s="12" t="s">
        <v>1877</v>
      </c>
      <c r="E660" s="12" t="s">
        <v>6533</v>
      </c>
      <c r="F660" s="12" t="s">
        <v>755</v>
      </c>
      <c r="G660" s="12"/>
      <c r="H660" s="12"/>
      <c r="I660" s="12"/>
      <c r="J660" s="12" t="s">
        <v>749</v>
      </c>
      <c r="K660" s="12" t="s">
        <v>273</v>
      </c>
      <c r="L660" s="12" t="s">
        <v>948</v>
      </c>
      <c r="M660" s="12"/>
    </row>
    <row r="661" spans="1:13" x14ac:dyDescent="0.3">
      <c r="A661" s="12" t="s">
        <v>206</v>
      </c>
      <c r="B661" s="12" t="s">
        <v>660</v>
      </c>
      <c r="C661" s="12" t="s">
        <v>738</v>
      </c>
      <c r="D661" s="12" t="s">
        <v>1878</v>
      </c>
      <c r="E661" s="12" t="s">
        <v>6533</v>
      </c>
      <c r="F661" s="12" t="s">
        <v>757</v>
      </c>
      <c r="G661" s="12"/>
      <c r="H661" s="12"/>
      <c r="I661" s="12"/>
      <c r="J661" s="12" t="s">
        <v>749</v>
      </c>
      <c r="K661" s="12" t="s">
        <v>273</v>
      </c>
      <c r="L661" s="12" t="s">
        <v>948</v>
      </c>
      <c r="M661" s="12"/>
    </row>
    <row r="662" spans="1:13" x14ac:dyDescent="0.3">
      <c r="A662" s="12" t="s">
        <v>206</v>
      </c>
      <c r="B662" s="12" t="s">
        <v>660</v>
      </c>
      <c r="C662" s="12" t="s">
        <v>738</v>
      </c>
      <c r="D662" s="12" t="s">
        <v>1879</v>
      </c>
      <c r="E662" s="12" t="s">
        <v>6533</v>
      </c>
      <c r="F662" s="12" t="s">
        <v>801</v>
      </c>
      <c r="G662" s="12"/>
      <c r="H662" s="12"/>
      <c r="I662" s="12"/>
      <c r="J662" s="12" t="s">
        <v>749</v>
      </c>
      <c r="K662" s="12" t="s">
        <v>273</v>
      </c>
      <c r="L662" s="12" t="s">
        <v>948</v>
      </c>
      <c r="M662" s="12"/>
    </row>
    <row r="663" spans="1:13" x14ac:dyDescent="0.3">
      <c r="A663" s="12" t="s">
        <v>206</v>
      </c>
      <c r="B663" s="12" t="s">
        <v>660</v>
      </c>
      <c r="C663" s="12" t="s">
        <v>738</v>
      </c>
      <c r="D663" s="12" t="s">
        <v>1880</v>
      </c>
      <c r="E663" s="12" t="s">
        <v>6534</v>
      </c>
      <c r="F663" s="12"/>
      <c r="G663" s="12">
        <v>278.20579290335428</v>
      </c>
      <c r="H663" s="12">
        <v>303.38437697405101</v>
      </c>
      <c r="I663" s="12">
        <v>30</v>
      </c>
      <c r="J663" s="12"/>
      <c r="K663" s="12" t="s">
        <v>275</v>
      </c>
      <c r="L663" s="12" t="s">
        <v>948</v>
      </c>
      <c r="M663" s="12"/>
    </row>
    <row r="664" spans="1:13" x14ac:dyDescent="0.3">
      <c r="A664" s="12" t="s">
        <v>206</v>
      </c>
      <c r="B664" s="12" t="s">
        <v>660</v>
      </c>
      <c r="C664" s="12" t="s">
        <v>738</v>
      </c>
      <c r="D664" s="12" t="s">
        <v>67</v>
      </c>
      <c r="E664" s="12" t="s">
        <v>6533</v>
      </c>
      <c r="F664" s="12" t="s">
        <v>804</v>
      </c>
      <c r="G664" s="12"/>
      <c r="H664" s="12"/>
      <c r="I664" s="12"/>
      <c r="J664" s="12"/>
      <c r="K664" s="12" t="s">
        <v>273</v>
      </c>
      <c r="L664" s="12" t="s">
        <v>948</v>
      </c>
      <c r="M664" s="12"/>
    </row>
    <row r="665" spans="1:13" x14ac:dyDescent="0.3">
      <c r="A665" s="12" t="s">
        <v>206</v>
      </c>
      <c r="B665" s="12" t="s">
        <v>663</v>
      </c>
      <c r="C665" s="12" t="s">
        <v>6082</v>
      </c>
      <c r="D665" s="12" t="s">
        <v>274</v>
      </c>
      <c r="E665" s="12" t="s">
        <v>6534</v>
      </c>
      <c r="F665" s="12"/>
      <c r="G665" s="12">
        <v>381.61984503591469</v>
      </c>
      <c r="H665" s="12">
        <v>516.04285391295889</v>
      </c>
      <c r="I665" s="12">
        <v>30</v>
      </c>
      <c r="J665" s="12"/>
      <c r="K665" s="12" t="s">
        <v>275</v>
      </c>
      <c r="L665" s="12" t="s">
        <v>948</v>
      </c>
      <c r="M665" s="12"/>
    </row>
    <row r="666" spans="1:13" x14ac:dyDescent="0.3">
      <c r="A666" s="12" t="s">
        <v>206</v>
      </c>
      <c r="B666" s="12" t="s">
        <v>663</v>
      </c>
      <c r="C666" s="12" t="s">
        <v>6082</v>
      </c>
      <c r="D666" s="12" t="s">
        <v>276</v>
      </c>
      <c r="E666" s="12" t="s">
        <v>6533</v>
      </c>
      <c r="F666" s="12" t="s">
        <v>795</v>
      </c>
      <c r="G666" s="12"/>
      <c r="H666" s="12"/>
      <c r="I666" s="12"/>
      <c r="J666" s="12" t="s">
        <v>749</v>
      </c>
      <c r="K666" s="12" t="s">
        <v>275</v>
      </c>
      <c r="L666" s="12" t="s">
        <v>948</v>
      </c>
      <c r="M666" s="12"/>
    </row>
    <row r="667" spans="1:13" x14ac:dyDescent="0.3">
      <c r="A667" s="12" t="s">
        <v>206</v>
      </c>
      <c r="B667" s="12" t="s">
        <v>663</v>
      </c>
      <c r="C667" s="12" t="s">
        <v>6082</v>
      </c>
      <c r="D667" s="12" t="s">
        <v>269</v>
      </c>
      <c r="E667" s="12" t="s">
        <v>6533</v>
      </c>
      <c r="F667" s="12" t="s">
        <v>805</v>
      </c>
      <c r="G667" s="12"/>
      <c r="H667" s="12"/>
      <c r="I667" s="12"/>
      <c r="J667" s="12" t="s">
        <v>749</v>
      </c>
      <c r="K667" s="12" t="s">
        <v>270</v>
      </c>
      <c r="L667" s="12" t="s">
        <v>948</v>
      </c>
      <c r="M667" s="12"/>
    </row>
    <row r="668" spans="1:13" x14ac:dyDescent="0.3">
      <c r="A668" s="12" t="s">
        <v>206</v>
      </c>
      <c r="B668" s="12" t="s">
        <v>663</v>
      </c>
      <c r="C668" s="12" t="s">
        <v>6082</v>
      </c>
      <c r="D668" s="12" t="s">
        <v>271</v>
      </c>
      <c r="E668" s="12" t="s">
        <v>6534</v>
      </c>
      <c r="F668" s="12"/>
      <c r="G668" s="12">
        <v>333.58644668693711</v>
      </c>
      <c r="H668" s="12">
        <v>1956.2505281319859</v>
      </c>
      <c r="I668" s="12">
        <v>30</v>
      </c>
      <c r="J668" s="12"/>
      <c r="K668" s="12" t="s">
        <v>270</v>
      </c>
      <c r="L668" s="12" t="s">
        <v>948</v>
      </c>
      <c r="M668" s="12"/>
    </row>
    <row r="669" spans="1:13" x14ac:dyDescent="0.3">
      <c r="A669" s="12" t="s">
        <v>206</v>
      </c>
      <c r="B669" s="12" t="s">
        <v>663</v>
      </c>
      <c r="C669" s="12" t="s">
        <v>6082</v>
      </c>
      <c r="D669" s="12" t="s">
        <v>272</v>
      </c>
      <c r="E669" s="12" t="s">
        <v>6533</v>
      </c>
      <c r="F669" s="12" t="s">
        <v>799</v>
      </c>
      <c r="G669" s="12"/>
      <c r="H669" s="12"/>
      <c r="I669" s="12"/>
      <c r="J669" s="12" t="s">
        <v>749</v>
      </c>
      <c r="K669" s="12" t="s">
        <v>273</v>
      </c>
      <c r="L669" s="12" t="s">
        <v>948</v>
      </c>
      <c r="M669" s="12"/>
    </row>
    <row r="670" spans="1:13" x14ac:dyDescent="0.3">
      <c r="A670" s="12" t="s">
        <v>206</v>
      </c>
      <c r="B670" s="12" t="s">
        <v>663</v>
      </c>
      <c r="C670" s="12" t="s">
        <v>6082</v>
      </c>
      <c r="D670" s="12" t="s">
        <v>282</v>
      </c>
      <c r="E670" s="12" t="s">
        <v>6533</v>
      </c>
      <c r="F670" s="12" t="s">
        <v>800</v>
      </c>
      <c r="G670" s="12"/>
      <c r="H670" s="12"/>
      <c r="I670" s="12"/>
      <c r="J670" s="12" t="s">
        <v>749</v>
      </c>
      <c r="K670" s="12" t="s">
        <v>283</v>
      </c>
      <c r="L670" s="12" t="s">
        <v>948</v>
      </c>
      <c r="M670" s="12"/>
    </row>
    <row r="671" spans="1:13" x14ac:dyDescent="0.3">
      <c r="A671" s="12" t="s">
        <v>206</v>
      </c>
      <c r="B671" s="12" t="s">
        <v>663</v>
      </c>
      <c r="C671" s="12" t="s">
        <v>6082</v>
      </c>
      <c r="D671" s="12" t="s">
        <v>1875</v>
      </c>
      <c r="E671" s="12" t="s">
        <v>6533</v>
      </c>
      <c r="F671" s="12" t="s">
        <v>755</v>
      </c>
      <c r="G671" s="12"/>
      <c r="H671" s="12"/>
      <c r="I671" s="12"/>
      <c r="J671" s="12" t="s">
        <v>749</v>
      </c>
      <c r="K671" s="12" t="s">
        <v>273</v>
      </c>
      <c r="L671" s="12" t="s">
        <v>948</v>
      </c>
      <c r="M671" s="12"/>
    </row>
    <row r="672" spans="1:13" x14ac:dyDescent="0.3">
      <c r="A672" s="12" t="s">
        <v>206</v>
      </c>
      <c r="B672" s="12" t="s">
        <v>663</v>
      </c>
      <c r="C672" s="12" t="s">
        <v>6082</v>
      </c>
      <c r="D672" s="12" t="s">
        <v>1876</v>
      </c>
      <c r="E672" s="12" t="s">
        <v>6533</v>
      </c>
      <c r="F672" s="12" t="s">
        <v>757</v>
      </c>
      <c r="G672" s="12"/>
      <c r="H672" s="12"/>
      <c r="I672" s="12"/>
      <c r="J672" s="12" t="s">
        <v>749</v>
      </c>
      <c r="K672" s="12" t="s">
        <v>273</v>
      </c>
      <c r="L672" s="12" t="s">
        <v>948</v>
      </c>
      <c r="M672" s="12"/>
    </row>
    <row r="673" spans="1:13" x14ac:dyDescent="0.3">
      <c r="A673" s="12" t="s">
        <v>206</v>
      </c>
      <c r="B673" s="12" t="s">
        <v>663</v>
      </c>
      <c r="C673" s="12" t="s">
        <v>6082</v>
      </c>
      <c r="D673" s="12" t="s">
        <v>1877</v>
      </c>
      <c r="E673" s="12" t="s">
        <v>6533</v>
      </c>
      <c r="F673" s="12" t="s">
        <v>755</v>
      </c>
      <c r="G673" s="12"/>
      <c r="H673" s="12"/>
      <c r="I673" s="12"/>
      <c r="J673" s="12" t="s">
        <v>749</v>
      </c>
      <c r="K673" s="12" t="s">
        <v>273</v>
      </c>
      <c r="L673" s="12" t="s">
        <v>948</v>
      </c>
      <c r="M673" s="12"/>
    </row>
    <row r="674" spans="1:13" x14ac:dyDescent="0.3">
      <c r="A674" s="12" t="s">
        <v>206</v>
      </c>
      <c r="B674" s="12" t="s">
        <v>663</v>
      </c>
      <c r="C674" s="12" t="s">
        <v>6082</v>
      </c>
      <c r="D674" s="12" t="s">
        <v>1878</v>
      </c>
      <c r="E674" s="12" t="s">
        <v>6533</v>
      </c>
      <c r="F674" s="12" t="s">
        <v>757</v>
      </c>
      <c r="G674" s="12"/>
      <c r="H674" s="12"/>
      <c r="I674" s="12"/>
      <c r="J674" s="12" t="s">
        <v>749</v>
      </c>
      <c r="K674" s="12" t="s">
        <v>273</v>
      </c>
      <c r="L674" s="12" t="s">
        <v>948</v>
      </c>
      <c r="M674" s="12"/>
    </row>
    <row r="675" spans="1:13" x14ac:dyDescent="0.3">
      <c r="A675" s="12" t="s">
        <v>206</v>
      </c>
      <c r="B675" s="12" t="s">
        <v>663</v>
      </c>
      <c r="C675" s="12" t="s">
        <v>6082</v>
      </c>
      <c r="D675" s="12" t="s">
        <v>1879</v>
      </c>
      <c r="E675" s="12" t="s">
        <v>6533</v>
      </c>
      <c r="F675" s="12" t="s">
        <v>801</v>
      </c>
      <c r="G675" s="12"/>
      <c r="H675" s="12"/>
      <c r="I675" s="12"/>
      <c r="J675" s="12" t="s">
        <v>749</v>
      </c>
      <c r="K675" s="12" t="s">
        <v>273</v>
      </c>
      <c r="L675" s="12" t="s">
        <v>948</v>
      </c>
      <c r="M675" s="12"/>
    </row>
    <row r="676" spans="1:13" x14ac:dyDescent="0.3">
      <c r="A676" s="12" t="s">
        <v>206</v>
      </c>
      <c r="B676" s="12" t="s">
        <v>663</v>
      </c>
      <c r="C676" s="12" t="s">
        <v>6082</v>
      </c>
      <c r="D676" s="12" t="s">
        <v>1880</v>
      </c>
      <c r="E676" s="12" t="s">
        <v>6533</v>
      </c>
      <c r="F676" s="12" t="s">
        <v>795</v>
      </c>
      <c r="G676" s="12"/>
      <c r="H676" s="12"/>
      <c r="I676" s="12"/>
      <c r="J676" s="12" t="s">
        <v>749</v>
      </c>
      <c r="K676" s="12" t="s">
        <v>275</v>
      </c>
      <c r="L676" s="12" t="s">
        <v>948</v>
      </c>
      <c r="M676" s="12"/>
    </row>
    <row r="677" spans="1:13" x14ac:dyDescent="0.3">
      <c r="A677" s="12" t="s">
        <v>206</v>
      </c>
      <c r="B677" s="12" t="s">
        <v>663</v>
      </c>
      <c r="C677" s="12" t="s">
        <v>6082</v>
      </c>
      <c r="D677" s="12" t="s">
        <v>67</v>
      </c>
      <c r="E677" s="12" t="s">
        <v>6533</v>
      </c>
      <c r="F677" s="12" t="s">
        <v>804</v>
      </c>
      <c r="G677" s="12"/>
      <c r="H677" s="12"/>
      <c r="I677" s="12"/>
      <c r="J677" s="12"/>
      <c r="K677" s="12" t="s">
        <v>273</v>
      </c>
      <c r="L677" s="12" t="s">
        <v>948</v>
      </c>
      <c r="M677" s="12"/>
    </row>
    <row r="678" spans="1:13" x14ac:dyDescent="0.3">
      <c r="A678" s="12" t="s">
        <v>206</v>
      </c>
      <c r="B678" s="12" t="s">
        <v>666</v>
      </c>
      <c r="C678" s="12" t="s">
        <v>6113</v>
      </c>
      <c r="D678" s="12" t="s">
        <v>274</v>
      </c>
      <c r="E678" s="12" t="s">
        <v>6533</v>
      </c>
      <c r="F678" s="12" t="s">
        <v>1540</v>
      </c>
      <c r="G678" s="12"/>
      <c r="H678" s="12"/>
      <c r="I678" s="12"/>
      <c r="J678" s="12" t="s">
        <v>948</v>
      </c>
      <c r="K678" s="12" t="s">
        <v>275</v>
      </c>
      <c r="L678" s="12" t="s">
        <v>948</v>
      </c>
      <c r="M678" s="12"/>
    </row>
    <row r="679" spans="1:13" x14ac:dyDescent="0.3">
      <c r="A679" s="12" t="s">
        <v>206</v>
      </c>
      <c r="B679" s="12" t="s">
        <v>666</v>
      </c>
      <c r="C679" s="12" t="s">
        <v>6113</v>
      </c>
      <c r="D679" s="12" t="s">
        <v>276</v>
      </c>
      <c r="E679" s="12" t="s">
        <v>6533</v>
      </c>
      <c r="F679" s="12" t="s">
        <v>1541</v>
      </c>
      <c r="G679" s="12"/>
      <c r="H679" s="12"/>
      <c r="I679" s="12"/>
      <c r="J679" s="12" t="s">
        <v>948</v>
      </c>
      <c r="K679" s="12" t="s">
        <v>275</v>
      </c>
      <c r="L679" s="12" t="s">
        <v>948</v>
      </c>
      <c r="M679" s="12"/>
    </row>
    <row r="680" spans="1:13" x14ac:dyDescent="0.3">
      <c r="A680" s="12" t="s">
        <v>206</v>
      </c>
      <c r="B680" s="12" t="s">
        <v>666</v>
      </c>
      <c r="C680" s="12" t="s">
        <v>6113</v>
      </c>
      <c r="D680" s="12" t="s">
        <v>269</v>
      </c>
      <c r="E680" s="12" t="s">
        <v>6533</v>
      </c>
      <c r="F680" s="12" t="s">
        <v>1542</v>
      </c>
      <c r="G680" s="12"/>
      <c r="H680" s="12"/>
      <c r="I680" s="12"/>
      <c r="J680" s="12" t="s">
        <v>948</v>
      </c>
      <c r="K680" s="12" t="s">
        <v>270</v>
      </c>
      <c r="L680" s="12" t="s">
        <v>948</v>
      </c>
      <c r="M680" s="12"/>
    </row>
    <row r="681" spans="1:13" x14ac:dyDescent="0.3">
      <c r="A681" s="12" t="s">
        <v>206</v>
      </c>
      <c r="B681" s="12" t="s">
        <v>666</v>
      </c>
      <c r="C681" s="12" t="s">
        <v>6113</v>
      </c>
      <c r="D681" s="12" t="s">
        <v>271</v>
      </c>
      <c r="E681" s="12" t="s">
        <v>6534</v>
      </c>
      <c r="F681" s="12"/>
      <c r="G681" s="12">
        <v>500</v>
      </c>
      <c r="H681" s="12">
        <v>1000</v>
      </c>
      <c r="I681" s="12">
        <v>12</v>
      </c>
      <c r="J681" s="12"/>
      <c r="K681" s="12" t="s">
        <v>270</v>
      </c>
      <c r="L681" s="12" t="s">
        <v>948</v>
      </c>
      <c r="M681" s="12"/>
    </row>
    <row r="682" spans="1:13" x14ac:dyDescent="0.3">
      <c r="A682" s="12" t="s">
        <v>206</v>
      </c>
      <c r="B682" s="12" t="s">
        <v>666</v>
      </c>
      <c r="C682" s="12" t="s">
        <v>6113</v>
      </c>
      <c r="D682" s="12" t="s">
        <v>272</v>
      </c>
      <c r="E682" s="12" t="s">
        <v>6533</v>
      </c>
      <c r="F682" s="12" t="s">
        <v>1544</v>
      </c>
      <c r="G682" s="12"/>
      <c r="H682" s="12"/>
      <c r="I682" s="12"/>
      <c r="J682" s="12" t="s">
        <v>948</v>
      </c>
      <c r="K682" s="12" t="s">
        <v>273</v>
      </c>
      <c r="L682" s="12" t="s">
        <v>948</v>
      </c>
      <c r="M682" s="12"/>
    </row>
    <row r="683" spans="1:13" x14ac:dyDescent="0.3">
      <c r="A683" s="12" t="s">
        <v>206</v>
      </c>
      <c r="B683" s="12" t="s">
        <v>666</v>
      </c>
      <c r="C683" s="12" t="s">
        <v>6113</v>
      </c>
      <c r="D683" s="12" t="s">
        <v>282</v>
      </c>
      <c r="E683" s="12" t="s">
        <v>6533</v>
      </c>
      <c r="F683" s="12" t="s">
        <v>800</v>
      </c>
      <c r="G683" s="12"/>
      <c r="H683" s="12"/>
      <c r="I683" s="12"/>
      <c r="J683" s="12" t="s">
        <v>749</v>
      </c>
      <c r="K683" s="12" t="s">
        <v>283</v>
      </c>
      <c r="L683" s="12" t="s">
        <v>948</v>
      </c>
      <c r="M683" s="12"/>
    </row>
    <row r="684" spans="1:13" x14ac:dyDescent="0.3">
      <c r="A684" s="12" t="s">
        <v>206</v>
      </c>
      <c r="B684" s="12" t="s">
        <v>666</v>
      </c>
      <c r="C684" s="12" t="s">
        <v>6113</v>
      </c>
      <c r="D684" s="12" t="s">
        <v>1875</v>
      </c>
      <c r="E684" s="12" t="s">
        <v>6533</v>
      </c>
      <c r="F684" s="12" t="s">
        <v>1545</v>
      </c>
      <c r="G684" s="12"/>
      <c r="H684" s="12"/>
      <c r="I684" s="12"/>
      <c r="J684" s="12" t="s">
        <v>948</v>
      </c>
      <c r="K684" s="12" t="s">
        <v>273</v>
      </c>
      <c r="L684" s="12" t="s">
        <v>948</v>
      </c>
      <c r="M684" s="12"/>
    </row>
    <row r="685" spans="1:13" x14ac:dyDescent="0.3">
      <c r="A685" s="12" t="s">
        <v>206</v>
      </c>
      <c r="B685" s="12" t="s">
        <v>666</v>
      </c>
      <c r="C685" s="12" t="s">
        <v>6113</v>
      </c>
      <c r="D685" s="12" t="s">
        <v>1876</v>
      </c>
      <c r="E685" s="12" t="s">
        <v>6533</v>
      </c>
      <c r="F685" s="12" t="s">
        <v>801</v>
      </c>
      <c r="G685" s="12"/>
      <c r="H685" s="12"/>
      <c r="I685" s="12"/>
      <c r="J685" s="12" t="s">
        <v>948</v>
      </c>
      <c r="K685" s="12" t="s">
        <v>273</v>
      </c>
      <c r="L685" s="12" t="s">
        <v>948</v>
      </c>
      <c r="M685" s="12"/>
    </row>
    <row r="686" spans="1:13" x14ac:dyDescent="0.3">
      <c r="A686" s="12" t="s">
        <v>206</v>
      </c>
      <c r="B686" s="12" t="s">
        <v>666</v>
      </c>
      <c r="C686" s="12" t="s">
        <v>6113</v>
      </c>
      <c r="D686" s="12" t="s">
        <v>1877</v>
      </c>
      <c r="E686" s="12" t="s">
        <v>6533</v>
      </c>
      <c r="F686" s="12" t="s">
        <v>755</v>
      </c>
      <c r="G686" s="12"/>
      <c r="H686" s="12"/>
      <c r="I686" s="12"/>
      <c r="J686" s="12" t="s">
        <v>749</v>
      </c>
      <c r="K686" s="12" t="s">
        <v>273</v>
      </c>
      <c r="L686" s="12" t="s">
        <v>948</v>
      </c>
      <c r="M686" s="12"/>
    </row>
    <row r="687" spans="1:13" x14ac:dyDescent="0.3">
      <c r="A687" s="12" t="s">
        <v>206</v>
      </c>
      <c r="B687" s="12" t="s">
        <v>666</v>
      </c>
      <c r="C687" s="12" t="s">
        <v>6113</v>
      </c>
      <c r="D687" s="12" t="s">
        <v>1878</v>
      </c>
      <c r="E687" s="12" t="s">
        <v>6533</v>
      </c>
      <c r="F687" s="12" t="s">
        <v>757</v>
      </c>
      <c r="G687" s="12"/>
      <c r="H687" s="12"/>
      <c r="I687" s="12"/>
      <c r="J687" s="12" t="s">
        <v>749</v>
      </c>
      <c r="K687" s="12" t="s">
        <v>273</v>
      </c>
      <c r="L687" s="12" t="s">
        <v>948</v>
      </c>
      <c r="M687" s="12"/>
    </row>
    <row r="688" spans="1:13" x14ac:dyDescent="0.3">
      <c r="A688" s="12" t="s">
        <v>206</v>
      </c>
      <c r="B688" s="12" t="s">
        <v>666</v>
      </c>
      <c r="C688" s="12" t="s">
        <v>6113</v>
      </c>
      <c r="D688" s="12" t="s">
        <v>1879</v>
      </c>
      <c r="E688" s="12" t="s">
        <v>6533</v>
      </c>
      <c r="F688" s="12" t="s">
        <v>1546</v>
      </c>
      <c r="G688" s="12"/>
      <c r="H688" s="12"/>
      <c r="I688" s="12"/>
      <c r="J688" s="12" t="s">
        <v>948</v>
      </c>
      <c r="K688" s="12" t="s">
        <v>273</v>
      </c>
      <c r="L688" s="12" t="s">
        <v>948</v>
      </c>
      <c r="M688" s="12"/>
    </row>
    <row r="689" spans="1:13" x14ac:dyDescent="0.3">
      <c r="A689" s="12" t="s">
        <v>206</v>
      </c>
      <c r="B689" s="12" t="s">
        <v>666</v>
      </c>
      <c r="C689" s="12" t="s">
        <v>6113</v>
      </c>
      <c r="D689" s="12" t="s">
        <v>1880</v>
      </c>
      <c r="E689" s="12" t="s">
        <v>6534</v>
      </c>
      <c r="F689" s="12"/>
      <c r="G689" s="12">
        <v>278.14999999999998</v>
      </c>
      <c r="H689" s="12">
        <v>283.14999999999998</v>
      </c>
      <c r="I689" s="12">
        <v>2</v>
      </c>
      <c r="J689" s="12"/>
      <c r="K689" s="12" t="s">
        <v>275</v>
      </c>
      <c r="L689" s="12" t="s">
        <v>948</v>
      </c>
      <c r="M689" s="12"/>
    </row>
    <row r="690" spans="1:13" x14ac:dyDescent="0.3">
      <c r="A690" s="12" t="s">
        <v>206</v>
      </c>
      <c r="B690" s="12" t="s">
        <v>666</v>
      </c>
      <c r="C690" s="12" t="s">
        <v>6113</v>
      </c>
      <c r="D690" s="12" t="s">
        <v>67</v>
      </c>
      <c r="E690" s="12" t="s">
        <v>6533</v>
      </c>
      <c r="F690" s="12" t="s">
        <v>804</v>
      </c>
      <c r="G690" s="12"/>
      <c r="H690" s="12"/>
      <c r="I690" s="12"/>
      <c r="J690" s="12"/>
      <c r="K690" s="12" t="s">
        <v>273</v>
      </c>
      <c r="L690" s="12" t="s">
        <v>948</v>
      </c>
      <c r="M690" s="12"/>
    </row>
    <row r="691" spans="1:13" x14ac:dyDescent="0.3">
      <c r="A691" s="12" t="s">
        <v>206</v>
      </c>
      <c r="B691" s="12" t="s">
        <v>676</v>
      </c>
      <c r="C691" s="12" t="s">
        <v>189</v>
      </c>
      <c r="D691" s="12" t="s">
        <v>274</v>
      </c>
      <c r="E691" s="12" t="s">
        <v>6534</v>
      </c>
      <c r="F691" s="12"/>
      <c r="G691" s="12">
        <v>394.15</v>
      </c>
      <c r="H691" s="12">
        <v>415</v>
      </c>
      <c r="I691" s="12">
        <v>3</v>
      </c>
      <c r="J691" s="12"/>
      <c r="K691" s="12" t="s">
        <v>275</v>
      </c>
      <c r="L691" s="12" t="s">
        <v>948</v>
      </c>
      <c r="M691" s="12"/>
    </row>
    <row r="692" spans="1:13" x14ac:dyDescent="0.3">
      <c r="A692" s="12" t="s">
        <v>206</v>
      </c>
      <c r="B692" s="12" t="s">
        <v>676</v>
      </c>
      <c r="C692" s="12" t="s">
        <v>189</v>
      </c>
      <c r="D692" s="12" t="s">
        <v>276</v>
      </c>
      <c r="E692" s="12" t="s">
        <v>6534</v>
      </c>
      <c r="F692" s="12"/>
      <c r="G692" s="12">
        <v>278.14999999999998</v>
      </c>
      <c r="H692" s="12">
        <v>300.032917</v>
      </c>
      <c r="I692" s="12">
        <v>2</v>
      </c>
      <c r="J692" s="12"/>
      <c r="K692" s="12" t="s">
        <v>275</v>
      </c>
      <c r="L692" s="12" t="s">
        <v>948</v>
      </c>
      <c r="M692" s="12"/>
    </row>
    <row r="693" spans="1:13" x14ac:dyDescent="0.3">
      <c r="A693" s="12" t="s">
        <v>206</v>
      </c>
      <c r="B693" s="12" t="s">
        <v>676</v>
      </c>
      <c r="C693" s="12" t="s">
        <v>189</v>
      </c>
      <c r="D693" s="12" t="s">
        <v>269</v>
      </c>
      <c r="E693" s="12" t="s">
        <v>6534</v>
      </c>
      <c r="F693" s="12"/>
      <c r="G693" s="12">
        <v>3000</v>
      </c>
      <c r="H693" s="12">
        <v>3300</v>
      </c>
      <c r="I693" s="12">
        <v>2</v>
      </c>
      <c r="J693" s="12"/>
      <c r="K693" s="12" t="s">
        <v>270</v>
      </c>
      <c r="L693" s="12" t="s">
        <v>948</v>
      </c>
      <c r="M693" s="12"/>
    </row>
    <row r="694" spans="1:13" x14ac:dyDescent="0.3">
      <c r="A694" s="12" t="s">
        <v>206</v>
      </c>
      <c r="B694" s="12" t="s">
        <v>676</v>
      </c>
      <c r="C694" s="12" t="s">
        <v>189</v>
      </c>
      <c r="D694" s="12" t="s">
        <v>271</v>
      </c>
      <c r="E694" s="12" t="s">
        <v>6534</v>
      </c>
      <c r="F694" s="12"/>
      <c r="G694" s="12">
        <v>400</v>
      </c>
      <c r="H694" s="12">
        <v>690</v>
      </c>
      <c r="I694" s="12">
        <v>3</v>
      </c>
      <c r="J694" s="12"/>
      <c r="K694" s="12" t="s">
        <v>270</v>
      </c>
      <c r="L694" s="12" t="s">
        <v>948</v>
      </c>
      <c r="M694" s="12"/>
    </row>
    <row r="695" spans="1:13" x14ac:dyDescent="0.3">
      <c r="A695" s="12" t="s">
        <v>206</v>
      </c>
      <c r="B695" s="12" t="s">
        <v>676</v>
      </c>
      <c r="C695" s="12" t="s">
        <v>189</v>
      </c>
      <c r="D695" s="12" t="s">
        <v>272</v>
      </c>
      <c r="E695" s="12" t="s">
        <v>6534</v>
      </c>
      <c r="F695" s="12"/>
      <c r="G695" s="12">
        <v>0.5</v>
      </c>
      <c r="H695" s="12">
        <v>0.82</v>
      </c>
      <c r="I695" s="12">
        <v>2</v>
      </c>
      <c r="J695" s="12"/>
      <c r="K695" s="12" t="s">
        <v>273</v>
      </c>
      <c r="L695" s="12" t="s">
        <v>948</v>
      </c>
      <c r="M695" s="12"/>
    </row>
    <row r="696" spans="1:13" x14ac:dyDescent="0.3">
      <c r="A696" s="12" t="s">
        <v>206</v>
      </c>
      <c r="B696" s="12" t="s">
        <v>676</v>
      </c>
      <c r="C696" s="12" t="s">
        <v>189</v>
      </c>
      <c r="D696" s="12" t="s">
        <v>282</v>
      </c>
      <c r="E696" s="12" t="s">
        <v>6533</v>
      </c>
      <c r="F696" s="12" t="s">
        <v>800</v>
      </c>
      <c r="G696" s="12"/>
      <c r="H696" s="12"/>
      <c r="I696" s="12"/>
      <c r="J696" s="12" t="s">
        <v>749</v>
      </c>
      <c r="K696" s="12" t="s">
        <v>283</v>
      </c>
      <c r="L696" s="12" t="s">
        <v>948</v>
      </c>
      <c r="M696" s="12"/>
    </row>
    <row r="697" spans="1:13" x14ac:dyDescent="0.3">
      <c r="A697" s="12" t="s">
        <v>206</v>
      </c>
      <c r="B697" s="12" t="s">
        <v>676</v>
      </c>
      <c r="C697" s="12" t="s">
        <v>189</v>
      </c>
      <c r="D697" s="12" t="s">
        <v>1875</v>
      </c>
      <c r="E697" s="12" t="s">
        <v>6534</v>
      </c>
      <c r="F697" s="12"/>
      <c r="G697" s="12">
        <v>0.85</v>
      </c>
      <c r="H697" s="12">
        <v>0.95</v>
      </c>
      <c r="I697" s="12">
        <v>3</v>
      </c>
      <c r="J697" s="12"/>
      <c r="K697" s="12" t="s">
        <v>273</v>
      </c>
      <c r="L697" s="12" t="s">
        <v>948</v>
      </c>
      <c r="M697" s="12"/>
    </row>
    <row r="698" spans="1:13" x14ac:dyDescent="0.3">
      <c r="A698" s="12" t="s">
        <v>206</v>
      </c>
      <c r="B698" s="12" t="s">
        <v>676</v>
      </c>
      <c r="C698" s="12" t="s">
        <v>189</v>
      </c>
      <c r="D698" s="12" t="s">
        <v>1876</v>
      </c>
      <c r="E698" s="12" t="s">
        <v>6534</v>
      </c>
      <c r="F698" s="12"/>
      <c r="G698" s="12">
        <v>0.75</v>
      </c>
      <c r="H698" s="12">
        <v>0.80499999999999994</v>
      </c>
      <c r="I698" s="12">
        <v>3</v>
      </c>
      <c r="J698" s="12"/>
      <c r="K698" s="12" t="s">
        <v>273</v>
      </c>
      <c r="L698" s="12" t="s">
        <v>948</v>
      </c>
      <c r="M698" s="12"/>
    </row>
    <row r="699" spans="1:13" x14ac:dyDescent="0.3">
      <c r="A699" s="12" t="s">
        <v>206</v>
      </c>
      <c r="B699" s="12" t="s">
        <v>676</v>
      </c>
      <c r="C699" s="12" t="s">
        <v>189</v>
      </c>
      <c r="D699" s="12" t="s">
        <v>1877</v>
      </c>
      <c r="E699" s="12" t="s">
        <v>6534</v>
      </c>
      <c r="F699" s="12"/>
      <c r="G699" s="12">
        <v>0.85</v>
      </c>
      <c r="H699" s="12">
        <v>0.95</v>
      </c>
      <c r="I699" s="12">
        <v>2</v>
      </c>
      <c r="J699" s="12"/>
      <c r="K699" s="12" t="s">
        <v>273</v>
      </c>
      <c r="L699" s="12" t="s">
        <v>948</v>
      </c>
      <c r="M699" s="12"/>
    </row>
    <row r="700" spans="1:13" x14ac:dyDescent="0.3">
      <c r="A700" s="12" t="s">
        <v>206</v>
      </c>
      <c r="B700" s="12" t="s">
        <v>676</v>
      </c>
      <c r="C700" s="12" t="s">
        <v>189</v>
      </c>
      <c r="D700" s="12" t="s">
        <v>1878</v>
      </c>
      <c r="E700" s="12" t="s">
        <v>6534</v>
      </c>
      <c r="F700" s="12"/>
      <c r="G700" s="12">
        <v>0.75</v>
      </c>
      <c r="H700" s="12">
        <v>0.95</v>
      </c>
      <c r="I700" s="12">
        <v>2</v>
      </c>
      <c r="J700" s="12"/>
      <c r="K700" s="12" t="s">
        <v>273</v>
      </c>
      <c r="L700" s="12" t="s">
        <v>948</v>
      </c>
      <c r="M700" s="12"/>
    </row>
    <row r="701" spans="1:13" x14ac:dyDescent="0.3">
      <c r="A701" s="12" t="s">
        <v>206</v>
      </c>
      <c r="B701" s="12" t="s">
        <v>676</v>
      </c>
      <c r="C701" s="12" t="s">
        <v>189</v>
      </c>
      <c r="D701" s="12" t="s">
        <v>1879</v>
      </c>
      <c r="E701" s="12" t="s">
        <v>6534</v>
      </c>
      <c r="F701" s="12"/>
      <c r="G701" s="12">
        <v>0.8</v>
      </c>
      <c r="H701" s="12">
        <v>0.95</v>
      </c>
      <c r="I701" s="12">
        <v>2</v>
      </c>
      <c r="J701" s="12"/>
      <c r="K701" s="12" t="s">
        <v>273</v>
      </c>
      <c r="L701" s="12" t="s">
        <v>948</v>
      </c>
      <c r="M701" s="12"/>
    </row>
    <row r="702" spans="1:13" x14ac:dyDescent="0.3">
      <c r="A702" s="12" t="s">
        <v>206</v>
      </c>
      <c r="B702" s="12" t="s">
        <v>676</v>
      </c>
      <c r="C702" s="12" t="s">
        <v>189</v>
      </c>
      <c r="D702" s="12" t="s">
        <v>1880</v>
      </c>
      <c r="E702" s="12" t="s">
        <v>6534</v>
      </c>
      <c r="F702" s="12"/>
      <c r="G702" s="12">
        <v>283.14999999999998</v>
      </c>
      <c r="H702" s="12">
        <v>300.032917</v>
      </c>
      <c r="I702" s="12">
        <v>2</v>
      </c>
      <c r="J702" s="12"/>
      <c r="K702" s="12" t="s">
        <v>275</v>
      </c>
      <c r="L702" s="12" t="s">
        <v>948</v>
      </c>
      <c r="M702" s="12"/>
    </row>
    <row r="703" spans="1:13" x14ac:dyDescent="0.3">
      <c r="A703" s="12" t="s">
        <v>206</v>
      </c>
      <c r="B703" s="12" t="s">
        <v>676</v>
      </c>
      <c r="C703" s="12" t="s">
        <v>189</v>
      </c>
      <c r="D703" s="12" t="s">
        <v>67</v>
      </c>
      <c r="E703" s="12" t="s">
        <v>6533</v>
      </c>
      <c r="F703" s="12" t="s">
        <v>1555</v>
      </c>
      <c r="G703" s="12"/>
      <c r="H703" s="12"/>
      <c r="I703" s="12"/>
      <c r="J703" s="12"/>
      <c r="K703" s="12" t="s">
        <v>273</v>
      </c>
      <c r="L703" s="12" t="s">
        <v>948</v>
      </c>
      <c r="M703" s="12"/>
    </row>
    <row r="704" spans="1:13" x14ac:dyDescent="0.3">
      <c r="A704" s="12" t="s">
        <v>217</v>
      </c>
      <c r="B704" s="12" t="s">
        <v>685</v>
      </c>
      <c r="C704" s="12" t="s">
        <v>223</v>
      </c>
      <c r="D704" s="12" t="s">
        <v>274</v>
      </c>
      <c r="E704" s="12" t="s">
        <v>6533</v>
      </c>
      <c r="F704" s="12" t="s">
        <v>1540</v>
      </c>
      <c r="G704" s="12"/>
      <c r="H704" s="12"/>
      <c r="I704" s="12"/>
      <c r="J704" s="12" t="s">
        <v>948</v>
      </c>
      <c r="K704" s="12" t="s">
        <v>275</v>
      </c>
      <c r="L704" s="12" t="s">
        <v>948</v>
      </c>
      <c r="M704" s="12"/>
    </row>
    <row r="705" spans="1:13" x14ac:dyDescent="0.3">
      <c r="A705" s="12" t="s">
        <v>217</v>
      </c>
      <c r="B705" s="12" t="s">
        <v>685</v>
      </c>
      <c r="C705" s="12" t="s">
        <v>223</v>
      </c>
      <c r="D705" s="12" t="s">
        <v>276</v>
      </c>
      <c r="E705" s="12" t="s">
        <v>6533</v>
      </c>
      <c r="F705" s="12" t="s">
        <v>1541</v>
      </c>
      <c r="G705" s="12"/>
      <c r="H705" s="12"/>
      <c r="I705" s="12"/>
      <c r="J705" s="12" t="s">
        <v>948</v>
      </c>
      <c r="K705" s="12" t="s">
        <v>275</v>
      </c>
      <c r="L705" s="12" t="s">
        <v>948</v>
      </c>
      <c r="M705" s="12"/>
    </row>
    <row r="706" spans="1:13" x14ac:dyDescent="0.3">
      <c r="A706" s="12" t="s">
        <v>217</v>
      </c>
      <c r="B706" s="12" t="s">
        <v>685</v>
      </c>
      <c r="C706" s="12" t="s">
        <v>223</v>
      </c>
      <c r="D706" s="12" t="s">
        <v>269</v>
      </c>
      <c r="E706" s="12" t="s">
        <v>6534</v>
      </c>
      <c r="F706" s="12"/>
      <c r="G706" s="12">
        <v>3300</v>
      </c>
      <c r="H706" s="12">
        <v>3500</v>
      </c>
      <c r="I706" s="12">
        <v>3</v>
      </c>
      <c r="J706" s="12"/>
      <c r="K706" s="12" t="s">
        <v>270</v>
      </c>
      <c r="L706" s="12" t="s">
        <v>948</v>
      </c>
      <c r="M706" s="12"/>
    </row>
    <row r="707" spans="1:13" x14ac:dyDescent="0.3">
      <c r="A707" s="12" t="s">
        <v>217</v>
      </c>
      <c r="B707" s="12" t="s">
        <v>685</v>
      </c>
      <c r="C707" s="12" t="s">
        <v>223</v>
      </c>
      <c r="D707" s="12" t="s">
        <v>271</v>
      </c>
      <c r="E707" s="12" t="s">
        <v>6534</v>
      </c>
      <c r="F707" s="12"/>
      <c r="G707" s="12">
        <v>670</v>
      </c>
      <c r="H707" s="12">
        <v>1500</v>
      </c>
      <c r="I707" s="12">
        <v>40</v>
      </c>
      <c r="J707" s="12"/>
      <c r="K707" s="12" t="s">
        <v>270</v>
      </c>
      <c r="L707" s="12" t="s">
        <v>948</v>
      </c>
      <c r="M707" s="12"/>
    </row>
    <row r="708" spans="1:13" x14ac:dyDescent="0.3">
      <c r="A708" s="12" t="s">
        <v>217</v>
      </c>
      <c r="B708" s="12" t="s">
        <v>685</v>
      </c>
      <c r="C708" s="12" t="s">
        <v>223</v>
      </c>
      <c r="D708" s="12" t="s">
        <v>272</v>
      </c>
      <c r="E708" s="12" t="s">
        <v>6534</v>
      </c>
      <c r="F708" s="12"/>
      <c r="G708" s="12">
        <v>0.78</v>
      </c>
      <c r="H708" s="12">
        <v>0.83333333330000003</v>
      </c>
      <c r="I708" s="12">
        <v>6</v>
      </c>
      <c r="J708" s="12"/>
      <c r="K708" s="12" t="s">
        <v>273</v>
      </c>
      <c r="L708" s="12" t="s">
        <v>948</v>
      </c>
      <c r="M708" s="12"/>
    </row>
    <row r="709" spans="1:13" x14ac:dyDescent="0.3">
      <c r="A709" s="12" t="s">
        <v>217</v>
      </c>
      <c r="B709" s="12" t="s">
        <v>685</v>
      </c>
      <c r="C709" s="12" t="s">
        <v>223</v>
      </c>
      <c r="D709" s="12" t="s">
        <v>282</v>
      </c>
      <c r="E709" s="12" t="s">
        <v>6533</v>
      </c>
      <c r="F709" s="12" t="s">
        <v>800</v>
      </c>
      <c r="G709" s="12"/>
      <c r="H709" s="12"/>
      <c r="I709" s="12"/>
      <c r="J709" s="12" t="s">
        <v>749</v>
      </c>
      <c r="K709" s="12" t="s">
        <v>283</v>
      </c>
      <c r="L709" s="12" t="s">
        <v>948</v>
      </c>
      <c r="M709" s="12"/>
    </row>
    <row r="710" spans="1:13" x14ac:dyDescent="0.3">
      <c r="A710" s="12" t="s">
        <v>217</v>
      </c>
      <c r="B710" s="12" t="s">
        <v>685</v>
      </c>
      <c r="C710" s="12" t="s">
        <v>223</v>
      </c>
      <c r="D710" s="12" t="s">
        <v>1875</v>
      </c>
      <c r="E710" s="12" t="s">
        <v>6534</v>
      </c>
      <c r="F710" s="12"/>
      <c r="G710" s="12">
        <v>0.85</v>
      </c>
      <c r="H710" s="12">
        <v>0.98</v>
      </c>
      <c r="I710" s="12">
        <v>8</v>
      </c>
      <c r="J710" s="12"/>
      <c r="K710" s="12" t="s">
        <v>273</v>
      </c>
      <c r="L710" s="12" t="s">
        <v>948</v>
      </c>
      <c r="M710" s="12"/>
    </row>
    <row r="711" spans="1:13" x14ac:dyDescent="0.3">
      <c r="A711" s="12" t="s">
        <v>217</v>
      </c>
      <c r="B711" s="12" t="s">
        <v>685</v>
      </c>
      <c r="C711" s="12" t="s">
        <v>223</v>
      </c>
      <c r="D711" s="12" t="s">
        <v>1876</v>
      </c>
      <c r="E711" s="12" t="s">
        <v>6533</v>
      </c>
      <c r="F711" s="12" t="s">
        <v>801</v>
      </c>
      <c r="G711" s="12"/>
      <c r="H711" s="12"/>
      <c r="I711" s="12"/>
      <c r="J711" s="12" t="s">
        <v>948</v>
      </c>
      <c r="K711" s="12" t="s">
        <v>273</v>
      </c>
      <c r="L711" s="12" t="s">
        <v>948</v>
      </c>
      <c r="M711" s="12"/>
    </row>
    <row r="712" spans="1:13" x14ac:dyDescent="0.3">
      <c r="A712" s="12" t="s">
        <v>217</v>
      </c>
      <c r="B712" s="12" t="s">
        <v>685</v>
      </c>
      <c r="C712" s="12" t="s">
        <v>223</v>
      </c>
      <c r="D712" s="12" t="s">
        <v>1877</v>
      </c>
      <c r="E712" s="12" t="s">
        <v>6533</v>
      </c>
      <c r="F712" s="12" t="s">
        <v>755</v>
      </c>
      <c r="G712" s="12"/>
      <c r="H712" s="12"/>
      <c r="I712" s="12"/>
      <c r="J712" s="12" t="s">
        <v>749</v>
      </c>
      <c r="K712" s="12" t="s">
        <v>273</v>
      </c>
      <c r="L712" s="12" t="s">
        <v>948</v>
      </c>
      <c r="M712" s="12"/>
    </row>
    <row r="713" spans="1:13" x14ac:dyDescent="0.3">
      <c r="A713" s="12" t="s">
        <v>217</v>
      </c>
      <c r="B713" s="12" t="s">
        <v>685</v>
      </c>
      <c r="C713" s="12" t="s">
        <v>223</v>
      </c>
      <c r="D713" s="12" t="s">
        <v>1878</v>
      </c>
      <c r="E713" s="12" t="s">
        <v>6534</v>
      </c>
      <c r="F713" s="12"/>
      <c r="G713" s="12">
        <v>0.75</v>
      </c>
      <c r="H713" s="12">
        <v>0.95</v>
      </c>
      <c r="I713" s="12">
        <v>12</v>
      </c>
      <c r="J713" s="12"/>
      <c r="K713" s="12" t="s">
        <v>273</v>
      </c>
      <c r="L713" s="12" t="s">
        <v>948</v>
      </c>
      <c r="M713" s="12"/>
    </row>
    <row r="714" spans="1:13" x14ac:dyDescent="0.3">
      <c r="A714" s="12" t="s">
        <v>217</v>
      </c>
      <c r="B714" s="12" t="s">
        <v>685</v>
      </c>
      <c r="C714" s="12" t="s">
        <v>223</v>
      </c>
      <c r="D714" s="12" t="s">
        <v>1879</v>
      </c>
      <c r="E714" s="12" t="s">
        <v>6534</v>
      </c>
      <c r="F714" s="12"/>
      <c r="G714" s="12">
        <v>0.95</v>
      </c>
      <c r="H714" s="12">
        <v>0.99</v>
      </c>
      <c r="I714" s="12">
        <v>5</v>
      </c>
      <c r="J714" s="12"/>
      <c r="K714" s="12" t="s">
        <v>273</v>
      </c>
      <c r="L714" s="12" t="s">
        <v>948</v>
      </c>
      <c r="M714" s="12"/>
    </row>
    <row r="715" spans="1:13" x14ac:dyDescent="0.3">
      <c r="A715" s="12" t="s">
        <v>217</v>
      </c>
      <c r="B715" s="12" t="s">
        <v>685</v>
      </c>
      <c r="C715" s="12" t="s">
        <v>223</v>
      </c>
      <c r="D715" s="12" t="s">
        <v>1880</v>
      </c>
      <c r="E715" s="12" t="s">
        <v>6534</v>
      </c>
      <c r="F715" s="12"/>
      <c r="G715" s="12">
        <v>283.14999999999998</v>
      </c>
      <c r="H715" s="12">
        <v>303.55</v>
      </c>
      <c r="I715" s="12">
        <v>2</v>
      </c>
      <c r="J715" s="12"/>
      <c r="K715" s="12" t="s">
        <v>275</v>
      </c>
      <c r="L715" s="12" t="s">
        <v>948</v>
      </c>
      <c r="M715" s="12"/>
    </row>
    <row r="716" spans="1:13" x14ac:dyDescent="0.3">
      <c r="A716" s="12" t="s">
        <v>217</v>
      </c>
      <c r="B716" s="12" t="s">
        <v>685</v>
      </c>
      <c r="C716" s="12" t="s">
        <v>223</v>
      </c>
      <c r="D716" s="12" t="s">
        <v>67</v>
      </c>
      <c r="E716" s="12" t="s">
        <v>6533</v>
      </c>
      <c r="F716" s="12" t="s">
        <v>804</v>
      </c>
      <c r="G716" s="12"/>
      <c r="H716" s="12"/>
      <c r="I716" s="12"/>
      <c r="J716" s="12"/>
      <c r="K716" s="12" t="s">
        <v>273</v>
      </c>
      <c r="L716" s="12" t="s">
        <v>948</v>
      </c>
      <c r="M716" s="12"/>
    </row>
    <row r="717" spans="1:13" x14ac:dyDescent="0.3">
      <c r="A717" s="12" t="s">
        <v>217</v>
      </c>
      <c r="B717" s="12" t="s">
        <v>691</v>
      </c>
      <c r="C717" s="12" t="s">
        <v>226</v>
      </c>
      <c r="D717" s="12" t="s">
        <v>274</v>
      </c>
      <c r="E717" s="12" t="s">
        <v>6534</v>
      </c>
      <c r="F717" s="12"/>
      <c r="G717" s="12">
        <v>380</v>
      </c>
      <c r="H717" s="12">
        <v>430</v>
      </c>
      <c r="I717" s="12">
        <v>16</v>
      </c>
      <c r="J717" s="12"/>
      <c r="K717" s="12" t="s">
        <v>275</v>
      </c>
      <c r="L717" s="12" t="s">
        <v>749</v>
      </c>
      <c r="M717" s="12">
        <v>394.15</v>
      </c>
    </row>
    <row r="718" spans="1:13" x14ac:dyDescent="0.3">
      <c r="A718" s="12" t="s">
        <v>217</v>
      </c>
      <c r="B718" s="12" t="s">
        <v>691</v>
      </c>
      <c r="C718" s="12" t="s">
        <v>226</v>
      </c>
      <c r="D718" s="12" t="s">
        <v>276</v>
      </c>
      <c r="E718" s="12" t="s">
        <v>6534</v>
      </c>
      <c r="F718" s="12"/>
      <c r="G718" s="12">
        <v>273.14999999999998</v>
      </c>
      <c r="H718" s="12">
        <v>293.14999999999998</v>
      </c>
      <c r="I718" s="12">
        <v>16</v>
      </c>
      <c r="J718" s="12"/>
      <c r="K718" s="12" t="s">
        <v>275</v>
      </c>
      <c r="L718" s="12" t="s">
        <v>749</v>
      </c>
      <c r="M718" s="12">
        <v>278.14999999999998</v>
      </c>
    </row>
    <row r="719" spans="1:13" x14ac:dyDescent="0.3">
      <c r="A719" s="12" t="s">
        <v>217</v>
      </c>
      <c r="B719" s="12" t="s">
        <v>691</v>
      </c>
      <c r="C719" s="12" t="s">
        <v>226</v>
      </c>
      <c r="D719" s="12" t="s">
        <v>269</v>
      </c>
      <c r="E719" s="12" t="s">
        <v>6534</v>
      </c>
      <c r="F719" s="12"/>
      <c r="G719" s="12">
        <v>2500</v>
      </c>
      <c r="H719" s="12">
        <v>4000</v>
      </c>
      <c r="I719" s="12">
        <v>16</v>
      </c>
      <c r="J719" s="12"/>
      <c r="K719" s="12" t="s">
        <v>270</v>
      </c>
      <c r="L719" s="12" t="s">
        <v>749</v>
      </c>
      <c r="M719" s="12">
        <v>3300</v>
      </c>
    </row>
    <row r="720" spans="1:13" x14ac:dyDescent="0.3">
      <c r="A720" s="12" t="s">
        <v>217</v>
      </c>
      <c r="B720" s="12" t="s">
        <v>691</v>
      </c>
      <c r="C720" s="12" t="s">
        <v>226</v>
      </c>
      <c r="D720" s="12" t="s">
        <v>271</v>
      </c>
      <c r="E720" s="12" t="s">
        <v>6534</v>
      </c>
      <c r="F720" s="12"/>
      <c r="G720" s="12">
        <v>500</v>
      </c>
      <c r="H720" s="12">
        <v>1200</v>
      </c>
      <c r="I720" s="12">
        <v>16</v>
      </c>
      <c r="J720" s="12"/>
      <c r="K720" s="12" t="s">
        <v>270</v>
      </c>
      <c r="L720" s="12" t="s">
        <v>749</v>
      </c>
      <c r="M720" s="12">
        <v>690</v>
      </c>
    </row>
    <row r="721" spans="1:13" x14ac:dyDescent="0.3">
      <c r="A721" s="12" t="s">
        <v>217</v>
      </c>
      <c r="B721" s="12" t="s">
        <v>691</v>
      </c>
      <c r="C721" s="12" t="s">
        <v>226</v>
      </c>
      <c r="D721" s="12" t="s">
        <v>272</v>
      </c>
      <c r="E721" s="12" t="s">
        <v>6534</v>
      </c>
      <c r="F721" s="12"/>
      <c r="G721" s="12">
        <v>0.6</v>
      </c>
      <c r="H721" s="12">
        <v>0.95</v>
      </c>
      <c r="I721" s="12">
        <v>16</v>
      </c>
      <c r="J721" s="12"/>
      <c r="K721" s="12" t="s">
        <v>273</v>
      </c>
      <c r="L721" s="12" t="s">
        <v>749</v>
      </c>
      <c r="M721" s="12">
        <v>0.82</v>
      </c>
    </row>
    <row r="722" spans="1:13" x14ac:dyDescent="0.3">
      <c r="A722" s="12" t="s">
        <v>217</v>
      </c>
      <c r="B722" s="12" t="s">
        <v>691</v>
      </c>
      <c r="C722" s="12" t="s">
        <v>226</v>
      </c>
      <c r="D722" s="12" t="s">
        <v>282</v>
      </c>
      <c r="E722" s="12" t="s">
        <v>6533</v>
      </c>
      <c r="F722" s="12" t="s">
        <v>800</v>
      </c>
      <c r="G722" s="12"/>
      <c r="H722" s="12"/>
      <c r="I722" s="12"/>
      <c r="J722" s="12" t="s">
        <v>749</v>
      </c>
      <c r="K722" s="12" t="s">
        <v>283</v>
      </c>
      <c r="L722" s="12" t="s">
        <v>749</v>
      </c>
      <c r="M722" s="12">
        <v>1</v>
      </c>
    </row>
    <row r="723" spans="1:13" x14ac:dyDescent="0.3">
      <c r="A723" s="12" t="s">
        <v>217</v>
      </c>
      <c r="B723" s="12" t="s">
        <v>691</v>
      </c>
      <c r="C723" s="12" t="s">
        <v>226</v>
      </c>
      <c r="D723" s="12" t="s">
        <v>1875</v>
      </c>
      <c r="E723" s="12" t="s">
        <v>6534</v>
      </c>
      <c r="F723" s="12"/>
      <c r="G723" s="12">
        <v>0.75</v>
      </c>
      <c r="H723" s="12">
        <v>0.95</v>
      </c>
      <c r="I723" s="12">
        <v>16</v>
      </c>
      <c r="J723" s="12"/>
      <c r="K723" s="12" t="s">
        <v>273</v>
      </c>
      <c r="L723" s="12" t="s">
        <v>749</v>
      </c>
      <c r="M723" s="12">
        <v>0.9</v>
      </c>
    </row>
    <row r="724" spans="1:13" x14ac:dyDescent="0.3">
      <c r="A724" s="12" t="s">
        <v>217</v>
      </c>
      <c r="B724" s="12" t="s">
        <v>691</v>
      </c>
      <c r="C724" s="12" t="s">
        <v>226</v>
      </c>
      <c r="D724" s="12" t="s">
        <v>1876</v>
      </c>
      <c r="E724" s="12" t="s">
        <v>6534</v>
      </c>
      <c r="F724" s="12"/>
      <c r="G724" s="12">
        <v>0.6</v>
      </c>
      <c r="H724" s="12">
        <v>0.9</v>
      </c>
      <c r="I724" s="12">
        <v>16</v>
      </c>
      <c r="J724" s="12"/>
      <c r="K724" s="12" t="s">
        <v>273</v>
      </c>
      <c r="L724" s="12" t="s">
        <v>749</v>
      </c>
      <c r="M724" s="12">
        <v>0.8</v>
      </c>
    </row>
    <row r="725" spans="1:13" x14ac:dyDescent="0.3">
      <c r="A725" s="12" t="s">
        <v>217</v>
      </c>
      <c r="B725" s="12" t="s">
        <v>691</v>
      </c>
      <c r="C725" s="12" t="s">
        <v>226</v>
      </c>
      <c r="D725" s="12" t="s">
        <v>1877</v>
      </c>
      <c r="E725" s="12" t="s">
        <v>6534</v>
      </c>
      <c r="F725" s="12"/>
      <c r="G725" s="12">
        <v>0.6</v>
      </c>
      <c r="H725" s="12">
        <v>0.95</v>
      </c>
      <c r="I725" s="12">
        <v>15</v>
      </c>
      <c r="J725" s="12"/>
      <c r="K725" s="12" t="s">
        <v>273</v>
      </c>
      <c r="L725" s="12" t="s">
        <v>749</v>
      </c>
      <c r="M725" s="12">
        <v>0.85</v>
      </c>
    </row>
    <row r="726" spans="1:13" x14ac:dyDescent="0.3">
      <c r="A726" s="12" t="s">
        <v>217</v>
      </c>
      <c r="B726" s="12" t="s">
        <v>691</v>
      </c>
      <c r="C726" s="12" t="s">
        <v>226</v>
      </c>
      <c r="D726" s="12" t="s">
        <v>1878</v>
      </c>
      <c r="E726" s="12" t="s">
        <v>6534</v>
      </c>
      <c r="F726" s="12"/>
      <c r="G726" s="12">
        <v>0.4</v>
      </c>
      <c r="H726" s="12">
        <v>0.95</v>
      </c>
      <c r="I726" s="12">
        <v>16</v>
      </c>
      <c r="J726" s="12"/>
      <c r="K726" s="12" t="s">
        <v>273</v>
      </c>
      <c r="L726" s="12" t="s">
        <v>749</v>
      </c>
      <c r="M726" s="12">
        <v>0.75</v>
      </c>
    </row>
    <row r="727" spans="1:13" x14ac:dyDescent="0.3">
      <c r="A727" s="12" t="s">
        <v>217</v>
      </c>
      <c r="B727" s="12" t="s">
        <v>691</v>
      </c>
      <c r="C727" s="12" t="s">
        <v>226</v>
      </c>
      <c r="D727" s="12" t="s">
        <v>1879</v>
      </c>
      <c r="E727" s="12" t="s">
        <v>6534</v>
      </c>
      <c r="F727" s="12"/>
      <c r="G727" s="12">
        <v>0.7</v>
      </c>
      <c r="H727" s="12">
        <v>0.95</v>
      </c>
      <c r="I727" s="12">
        <v>15</v>
      </c>
      <c r="J727" s="12"/>
      <c r="K727" s="12" t="s">
        <v>273</v>
      </c>
      <c r="L727" s="12" t="s">
        <v>749</v>
      </c>
      <c r="M727" s="12">
        <v>0.95</v>
      </c>
    </row>
    <row r="728" spans="1:13" x14ac:dyDescent="0.3">
      <c r="A728" s="12" t="s">
        <v>217</v>
      </c>
      <c r="B728" s="12" t="s">
        <v>691</v>
      </c>
      <c r="C728" s="12" t="s">
        <v>226</v>
      </c>
      <c r="D728" s="12" t="s">
        <v>1880</v>
      </c>
      <c r="E728" s="12" t="s">
        <v>6533</v>
      </c>
      <c r="F728" s="12" t="s">
        <v>1634</v>
      </c>
      <c r="G728" s="12"/>
      <c r="H728" s="12"/>
      <c r="I728" s="12"/>
      <c r="J728" s="12" t="s">
        <v>948</v>
      </c>
      <c r="K728" s="12" t="s">
        <v>275</v>
      </c>
      <c r="L728" s="12" t="s">
        <v>749</v>
      </c>
      <c r="M728" s="12">
        <v>283.14999999999998</v>
      </c>
    </row>
    <row r="729" spans="1:13" x14ac:dyDescent="0.3">
      <c r="A729" s="12" t="s">
        <v>217</v>
      </c>
      <c r="B729" s="12" t="s">
        <v>691</v>
      </c>
      <c r="C729" s="12" t="s">
        <v>226</v>
      </c>
      <c r="D729" s="12" t="s">
        <v>67</v>
      </c>
      <c r="E729" s="12" t="s">
        <v>6533</v>
      </c>
      <c r="F729" s="12" t="s">
        <v>804</v>
      </c>
      <c r="G729" s="12"/>
      <c r="H729" s="12"/>
      <c r="I729" s="12"/>
      <c r="J729" s="12"/>
      <c r="K729" s="12" t="s">
        <v>273</v>
      </c>
      <c r="L729" s="12" t="s">
        <v>749</v>
      </c>
      <c r="M729" s="12"/>
    </row>
    <row r="730" spans="1:13" x14ac:dyDescent="0.3">
      <c r="A730" s="12" t="s">
        <v>217</v>
      </c>
      <c r="B730" s="12" t="s">
        <v>700</v>
      </c>
      <c r="C730" s="12" t="s">
        <v>235</v>
      </c>
      <c r="D730" s="12" t="s">
        <v>274</v>
      </c>
      <c r="E730" s="12" t="s">
        <v>6533</v>
      </c>
      <c r="F730" s="12" t="s">
        <v>1540</v>
      </c>
      <c r="G730" s="12"/>
      <c r="H730" s="12"/>
      <c r="I730" s="12"/>
      <c r="J730" s="12" t="s">
        <v>948</v>
      </c>
      <c r="K730" s="12" t="s">
        <v>275</v>
      </c>
      <c r="L730" s="12" t="s">
        <v>948</v>
      </c>
      <c r="M730" s="12"/>
    </row>
    <row r="731" spans="1:13" x14ac:dyDescent="0.3">
      <c r="A731" s="12" t="s">
        <v>217</v>
      </c>
      <c r="B731" s="12" t="s">
        <v>700</v>
      </c>
      <c r="C731" s="12" t="s">
        <v>235</v>
      </c>
      <c r="D731" s="12" t="s">
        <v>276</v>
      </c>
      <c r="E731" s="12" t="s">
        <v>6533</v>
      </c>
      <c r="F731" s="12" t="s">
        <v>1541</v>
      </c>
      <c r="G731" s="12"/>
      <c r="H731" s="12"/>
      <c r="I731" s="12"/>
      <c r="J731" s="12" t="s">
        <v>948</v>
      </c>
      <c r="K731" s="12" t="s">
        <v>275</v>
      </c>
      <c r="L731" s="12" t="s">
        <v>948</v>
      </c>
      <c r="M731" s="12"/>
    </row>
    <row r="732" spans="1:13" x14ac:dyDescent="0.3">
      <c r="A732" s="12" t="s">
        <v>217</v>
      </c>
      <c r="B732" s="12" t="s">
        <v>700</v>
      </c>
      <c r="C732" s="12" t="s">
        <v>235</v>
      </c>
      <c r="D732" s="12" t="s">
        <v>269</v>
      </c>
      <c r="E732" s="12" t="s">
        <v>6533</v>
      </c>
      <c r="F732" s="12" t="s">
        <v>1542</v>
      </c>
      <c r="G732" s="12"/>
      <c r="H732" s="12"/>
      <c r="I732" s="12"/>
      <c r="J732" s="12" t="s">
        <v>948</v>
      </c>
      <c r="K732" s="12" t="s">
        <v>270</v>
      </c>
      <c r="L732" s="12" t="s">
        <v>948</v>
      </c>
      <c r="M732" s="12"/>
    </row>
    <row r="733" spans="1:13" x14ac:dyDescent="0.3">
      <c r="A733" s="12" t="s">
        <v>217</v>
      </c>
      <c r="B733" s="12" t="s">
        <v>700</v>
      </c>
      <c r="C733" s="12" t="s">
        <v>235</v>
      </c>
      <c r="D733" s="12" t="s">
        <v>271</v>
      </c>
      <c r="E733" s="12" t="s">
        <v>6534</v>
      </c>
      <c r="F733" s="12"/>
      <c r="G733" s="12">
        <v>500</v>
      </c>
      <c r="H733" s="12">
        <v>1200</v>
      </c>
      <c r="I733" s="12">
        <v>8</v>
      </c>
      <c r="J733" s="12"/>
      <c r="K733" s="12" t="s">
        <v>270</v>
      </c>
      <c r="L733" s="12" t="s">
        <v>948</v>
      </c>
      <c r="M733" s="12"/>
    </row>
    <row r="734" spans="1:13" x14ac:dyDescent="0.3">
      <c r="A734" s="12" t="s">
        <v>217</v>
      </c>
      <c r="B734" s="12" t="s">
        <v>700</v>
      </c>
      <c r="C734" s="12" t="s">
        <v>235</v>
      </c>
      <c r="D734" s="12" t="s">
        <v>272</v>
      </c>
      <c r="E734" s="12" t="s">
        <v>6534</v>
      </c>
      <c r="F734" s="12"/>
      <c r="G734" s="12">
        <v>0.7</v>
      </c>
      <c r="H734" s="12">
        <v>0.91</v>
      </c>
      <c r="I734" s="12">
        <v>8</v>
      </c>
      <c r="J734" s="12"/>
      <c r="K734" s="12" t="s">
        <v>273</v>
      </c>
      <c r="L734" s="12" t="s">
        <v>948</v>
      </c>
      <c r="M734" s="12"/>
    </row>
    <row r="735" spans="1:13" x14ac:dyDescent="0.3">
      <c r="A735" s="12" t="s">
        <v>217</v>
      </c>
      <c r="B735" s="12" t="s">
        <v>700</v>
      </c>
      <c r="C735" s="12" t="s">
        <v>235</v>
      </c>
      <c r="D735" s="12" t="s">
        <v>282</v>
      </c>
      <c r="E735" s="12" t="s">
        <v>6533</v>
      </c>
      <c r="F735" s="12" t="s">
        <v>800</v>
      </c>
      <c r="G735" s="12"/>
      <c r="H735" s="12"/>
      <c r="I735" s="12"/>
      <c r="J735" s="12" t="s">
        <v>749</v>
      </c>
      <c r="K735" s="12" t="s">
        <v>283</v>
      </c>
      <c r="L735" s="12" t="s">
        <v>948</v>
      </c>
      <c r="M735" s="12"/>
    </row>
    <row r="736" spans="1:13" x14ac:dyDescent="0.3">
      <c r="A736" s="12" t="s">
        <v>217</v>
      </c>
      <c r="B736" s="12" t="s">
        <v>700</v>
      </c>
      <c r="C736" s="12" t="s">
        <v>235</v>
      </c>
      <c r="D736" s="12" t="s">
        <v>1875</v>
      </c>
      <c r="E736" s="12" t="s">
        <v>6533</v>
      </c>
      <c r="F736" s="12" t="s">
        <v>1545</v>
      </c>
      <c r="G736" s="12"/>
      <c r="H736" s="12"/>
      <c r="I736" s="12"/>
      <c r="J736" s="12" t="s">
        <v>948</v>
      </c>
      <c r="K736" s="12" t="s">
        <v>273</v>
      </c>
      <c r="L736" s="12" t="s">
        <v>948</v>
      </c>
      <c r="M736" s="12"/>
    </row>
    <row r="737" spans="1:13" x14ac:dyDescent="0.3">
      <c r="A737" s="12" t="s">
        <v>217</v>
      </c>
      <c r="B737" s="12" t="s">
        <v>700</v>
      </c>
      <c r="C737" s="12" t="s">
        <v>235</v>
      </c>
      <c r="D737" s="12" t="s">
        <v>1876</v>
      </c>
      <c r="E737" s="12" t="s">
        <v>6533</v>
      </c>
      <c r="F737" s="12" t="s">
        <v>801</v>
      </c>
      <c r="G737" s="12"/>
      <c r="H737" s="12"/>
      <c r="I737" s="12"/>
      <c r="J737" s="12" t="s">
        <v>948</v>
      </c>
      <c r="K737" s="12" t="s">
        <v>273</v>
      </c>
      <c r="L737" s="12" t="s">
        <v>948</v>
      </c>
      <c r="M737" s="12"/>
    </row>
    <row r="738" spans="1:13" x14ac:dyDescent="0.3">
      <c r="A738" s="12" t="s">
        <v>217</v>
      </c>
      <c r="B738" s="12" t="s">
        <v>700</v>
      </c>
      <c r="C738" s="12" t="s">
        <v>235</v>
      </c>
      <c r="D738" s="12" t="s">
        <v>1877</v>
      </c>
      <c r="E738" s="12" t="s">
        <v>6533</v>
      </c>
      <c r="F738" s="12" t="s">
        <v>755</v>
      </c>
      <c r="G738" s="12"/>
      <c r="H738" s="12"/>
      <c r="I738" s="12"/>
      <c r="J738" s="12" t="s">
        <v>749</v>
      </c>
      <c r="K738" s="12" t="s">
        <v>273</v>
      </c>
      <c r="L738" s="12" t="s">
        <v>948</v>
      </c>
      <c r="M738" s="12"/>
    </row>
    <row r="739" spans="1:13" x14ac:dyDescent="0.3">
      <c r="A739" s="12" t="s">
        <v>217</v>
      </c>
      <c r="B739" s="12" t="s">
        <v>700</v>
      </c>
      <c r="C739" s="12" t="s">
        <v>235</v>
      </c>
      <c r="D739" s="12" t="s">
        <v>1878</v>
      </c>
      <c r="E739" s="12" t="s">
        <v>6533</v>
      </c>
      <c r="F739" s="12" t="s">
        <v>757</v>
      </c>
      <c r="G739" s="12"/>
      <c r="H739" s="12"/>
      <c r="I739" s="12"/>
      <c r="J739" s="12" t="s">
        <v>749</v>
      </c>
      <c r="K739" s="12" t="s">
        <v>273</v>
      </c>
      <c r="L739" s="12" t="s">
        <v>948</v>
      </c>
      <c r="M739" s="12"/>
    </row>
    <row r="740" spans="1:13" x14ac:dyDescent="0.3">
      <c r="A740" s="12" t="s">
        <v>217</v>
      </c>
      <c r="B740" s="12" t="s">
        <v>700</v>
      </c>
      <c r="C740" s="12" t="s">
        <v>235</v>
      </c>
      <c r="D740" s="12" t="s">
        <v>1879</v>
      </c>
      <c r="E740" s="12" t="s">
        <v>6533</v>
      </c>
      <c r="F740" s="12" t="s">
        <v>1546</v>
      </c>
      <c r="G740" s="12"/>
      <c r="H740" s="12"/>
      <c r="I740" s="12"/>
      <c r="J740" s="12" t="s">
        <v>948</v>
      </c>
      <c r="K740" s="12" t="s">
        <v>273</v>
      </c>
      <c r="L740" s="12" t="s">
        <v>948</v>
      </c>
      <c r="M740" s="12"/>
    </row>
    <row r="741" spans="1:13" x14ac:dyDescent="0.3">
      <c r="A741" s="12" t="s">
        <v>217</v>
      </c>
      <c r="B741" s="12" t="s">
        <v>700</v>
      </c>
      <c r="C741" s="12" t="s">
        <v>235</v>
      </c>
      <c r="D741" s="12" t="s">
        <v>1880</v>
      </c>
      <c r="E741" s="12" t="s">
        <v>6533</v>
      </c>
      <c r="F741" s="12" t="s">
        <v>1634</v>
      </c>
      <c r="G741" s="12"/>
      <c r="H741" s="12"/>
      <c r="I741" s="12"/>
      <c r="J741" s="12" t="s">
        <v>948</v>
      </c>
      <c r="K741" s="12" t="s">
        <v>275</v>
      </c>
      <c r="L741" s="12" t="s">
        <v>948</v>
      </c>
      <c r="M741" s="12"/>
    </row>
    <row r="742" spans="1:13" x14ac:dyDescent="0.3">
      <c r="A742" s="12" t="s">
        <v>217</v>
      </c>
      <c r="B742" s="12" t="s">
        <v>700</v>
      </c>
      <c r="C742" s="12" t="s">
        <v>235</v>
      </c>
      <c r="D742" s="12" t="s">
        <v>67</v>
      </c>
      <c r="E742" s="12" t="s">
        <v>6533</v>
      </c>
      <c r="F742" s="12" t="s">
        <v>804</v>
      </c>
      <c r="G742" s="12"/>
      <c r="H742" s="12"/>
      <c r="I742" s="12"/>
      <c r="J742" s="12"/>
      <c r="K742" s="12" t="s">
        <v>273</v>
      </c>
      <c r="L742" s="12" t="s">
        <v>948</v>
      </c>
      <c r="M742" s="12"/>
    </row>
    <row r="743" spans="1:13" x14ac:dyDescent="0.3">
      <c r="A743" s="12" t="s">
        <v>229</v>
      </c>
      <c r="B743" s="12" t="s">
        <v>702</v>
      </c>
      <c r="C743" s="12" t="s">
        <v>6453</v>
      </c>
      <c r="D743" s="12" t="s">
        <v>274</v>
      </c>
      <c r="E743" s="12" t="s">
        <v>6533</v>
      </c>
      <c r="F743" s="12" t="s">
        <v>1540</v>
      </c>
      <c r="G743" s="12"/>
      <c r="H743" s="12"/>
      <c r="I743" s="12"/>
      <c r="J743" s="12" t="s">
        <v>948</v>
      </c>
      <c r="K743" s="12" t="s">
        <v>275</v>
      </c>
      <c r="L743" s="12" t="s">
        <v>749</v>
      </c>
      <c r="M743" s="12">
        <v>394.15</v>
      </c>
    </row>
    <row r="744" spans="1:13" x14ac:dyDescent="0.3">
      <c r="A744" s="12" t="s">
        <v>229</v>
      </c>
      <c r="B744" s="12" t="s">
        <v>702</v>
      </c>
      <c r="C744" s="12" t="s">
        <v>6453</v>
      </c>
      <c r="D744" s="12" t="s">
        <v>276</v>
      </c>
      <c r="E744" s="12" t="s">
        <v>6533</v>
      </c>
      <c r="F744" s="12" t="s">
        <v>1541</v>
      </c>
      <c r="G744" s="12"/>
      <c r="H744" s="12"/>
      <c r="I744" s="12"/>
      <c r="J744" s="12" t="s">
        <v>948</v>
      </c>
      <c r="K744" s="12" t="s">
        <v>275</v>
      </c>
      <c r="L744" s="12" t="s">
        <v>749</v>
      </c>
      <c r="M744" s="12">
        <v>278.14999999999998</v>
      </c>
    </row>
    <row r="745" spans="1:13" x14ac:dyDescent="0.3">
      <c r="A745" s="12" t="s">
        <v>229</v>
      </c>
      <c r="B745" s="12" t="s">
        <v>702</v>
      </c>
      <c r="C745" s="12" t="s">
        <v>6453</v>
      </c>
      <c r="D745" s="12" t="s">
        <v>269</v>
      </c>
      <c r="E745" s="12" t="s">
        <v>6533</v>
      </c>
      <c r="F745" s="12" t="s">
        <v>1542</v>
      </c>
      <c r="G745" s="12"/>
      <c r="H745" s="12"/>
      <c r="I745" s="12"/>
      <c r="J745" s="12" t="s">
        <v>948</v>
      </c>
      <c r="K745" s="12" t="s">
        <v>270</v>
      </c>
      <c r="L745" s="12" t="s">
        <v>749</v>
      </c>
      <c r="M745" s="12">
        <v>3300</v>
      </c>
    </row>
    <row r="746" spans="1:13" x14ac:dyDescent="0.3">
      <c r="A746" s="12" t="s">
        <v>229</v>
      </c>
      <c r="B746" s="12" t="s">
        <v>702</v>
      </c>
      <c r="C746" s="12" t="s">
        <v>6453</v>
      </c>
      <c r="D746" s="12" t="s">
        <v>271</v>
      </c>
      <c r="E746" s="12" t="s">
        <v>6533</v>
      </c>
      <c r="F746" s="12" t="s">
        <v>1688</v>
      </c>
      <c r="G746" s="12"/>
      <c r="H746" s="12"/>
      <c r="I746" s="12"/>
      <c r="J746" s="12" t="s">
        <v>948</v>
      </c>
      <c r="K746" s="12" t="s">
        <v>270</v>
      </c>
      <c r="L746" s="12" t="s">
        <v>749</v>
      </c>
      <c r="M746" s="12">
        <v>690</v>
      </c>
    </row>
    <row r="747" spans="1:13" x14ac:dyDescent="0.3">
      <c r="A747" s="12" t="s">
        <v>229</v>
      </c>
      <c r="B747" s="12" t="s">
        <v>702</v>
      </c>
      <c r="C747" s="12" t="s">
        <v>6453</v>
      </c>
      <c r="D747" s="12" t="s">
        <v>272</v>
      </c>
      <c r="E747" s="12" t="s">
        <v>6534</v>
      </c>
      <c r="F747" s="12"/>
      <c r="G747" s="12">
        <v>0.3</v>
      </c>
      <c r="H747" s="12">
        <v>0.7</v>
      </c>
      <c r="I747" s="12">
        <v>17</v>
      </c>
      <c r="J747" s="12"/>
      <c r="K747" s="12" t="s">
        <v>273</v>
      </c>
      <c r="L747" s="12" t="s">
        <v>749</v>
      </c>
      <c r="M747" s="12">
        <v>0.3</v>
      </c>
    </row>
    <row r="748" spans="1:13" x14ac:dyDescent="0.3">
      <c r="A748" s="12" t="s">
        <v>229</v>
      </c>
      <c r="B748" s="12" t="s">
        <v>702</v>
      </c>
      <c r="C748" s="12" t="s">
        <v>6453</v>
      </c>
      <c r="D748" s="12" t="s">
        <v>282</v>
      </c>
      <c r="E748" s="12" t="s">
        <v>6533</v>
      </c>
      <c r="F748" s="12" t="s">
        <v>800</v>
      </c>
      <c r="G748" s="12"/>
      <c r="H748" s="12"/>
      <c r="I748" s="12"/>
      <c r="J748" s="12" t="s">
        <v>749</v>
      </c>
      <c r="K748" s="12" t="s">
        <v>283</v>
      </c>
      <c r="L748" s="12" t="s">
        <v>749</v>
      </c>
      <c r="M748" s="12">
        <v>1</v>
      </c>
    </row>
    <row r="749" spans="1:13" x14ac:dyDescent="0.3">
      <c r="A749" s="12" t="s">
        <v>229</v>
      </c>
      <c r="B749" s="12" t="s">
        <v>702</v>
      </c>
      <c r="C749" s="12" t="s">
        <v>6453</v>
      </c>
      <c r="D749" s="12" t="s">
        <v>1875</v>
      </c>
      <c r="E749" s="12" t="s">
        <v>6533</v>
      </c>
      <c r="F749" s="12" t="s">
        <v>1545</v>
      </c>
      <c r="G749" s="12"/>
      <c r="H749" s="12"/>
      <c r="I749" s="12"/>
      <c r="J749" s="12" t="s">
        <v>948</v>
      </c>
      <c r="K749" s="12" t="s">
        <v>273</v>
      </c>
      <c r="L749" s="12" t="s">
        <v>749</v>
      </c>
      <c r="M749" s="12">
        <v>0.9</v>
      </c>
    </row>
    <row r="750" spans="1:13" x14ac:dyDescent="0.3">
      <c r="A750" s="12" t="s">
        <v>229</v>
      </c>
      <c r="B750" s="12" t="s">
        <v>702</v>
      </c>
      <c r="C750" s="12" t="s">
        <v>6453</v>
      </c>
      <c r="D750" s="12" t="s">
        <v>1876</v>
      </c>
      <c r="E750" s="12" t="s">
        <v>6533</v>
      </c>
      <c r="F750" s="12" t="s">
        <v>801</v>
      </c>
      <c r="G750" s="12"/>
      <c r="H750" s="12"/>
      <c r="I750" s="12"/>
      <c r="J750" s="12" t="s">
        <v>948</v>
      </c>
      <c r="K750" s="12" t="s">
        <v>273</v>
      </c>
      <c r="L750" s="12" t="s">
        <v>749</v>
      </c>
      <c r="M750" s="12">
        <v>0.8</v>
      </c>
    </row>
    <row r="751" spans="1:13" x14ac:dyDescent="0.3">
      <c r="A751" s="12" t="s">
        <v>229</v>
      </c>
      <c r="B751" s="12" t="s">
        <v>702</v>
      </c>
      <c r="C751" s="12" t="s">
        <v>6453</v>
      </c>
      <c r="D751" s="12" t="s">
        <v>1877</v>
      </c>
      <c r="E751" s="12" t="s">
        <v>6533</v>
      </c>
      <c r="F751" s="12" t="s">
        <v>755</v>
      </c>
      <c r="G751" s="12"/>
      <c r="H751" s="12"/>
      <c r="I751" s="12"/>
      <c r="J751" s="12" t="s">
        <v>749</v>
      </c>
      <c r="K751" s="12" t="s">
        <v>273</v>
      </c>
      <c r="L751" s="12" t="s">
        <v>749</v>
      </c>
      <c r="M751" s="12">
        <v>0.85</v>
      </c>
    </row>
    <row r="752" spans="1:13" x14ac:dyDescent="0.3">
      <c r="A752" s="12" t="s">
        <v>229</v>
      </c>
      <c r="B752" s="12" t="s">
        <v>702</v>
      </c>
      <c r="C752" s="12" t="s">
        <v>6453</v>
      </c>
      <c r="D752" s="12" t="s">
        <v>1878</v>
      </c>
      <c r="E752" s="12" t="s">
        <v>6533</v>
      </c>
      <c r="F752" s="12" t="s">
        <v>757</v>
      </c>
      <c r="G752" s="12"/>
      <c r="H752" s="12"/>
      <c r="I752" s="12"/>
      <c r="J752" s="12" t="s">
        <v>749</v>
      </c>
      <c r="K752" s="12" t="s">
        <v>273</v>
      </c>
      <c r="L752" s="12" t="s">
        <v>749</v>
      </c>
      <c r="M752" s="12">
        <v>0.75</v>
      </c>
    </row>
    <row r="753" spans="1:13" x14ac:dyDescent="0.3">
      <c r="A753" s="12" t="s">
        <v>229</v>
      </c>
      <c r="B753" s="12" t="s">
        <v>702</v>
      </c>
      <c r="C753" s="12" t="s">
        <v>6453</v>
      </c>
      <c r="D753" s="12" t="s">
        <v>1879</v>
      </c>
      <c r="E753" s="12" t="s">
        <v>6533</v>
      </c>
      <c r="F753" s="12" t="s">
        <v>1546</v>
      </c>
      <c r="G753" s="12"/>
      <c r="H753" s="12"/>
      <c r="I753" s="12"/>
      <c r="J753" s="12" t="s">
        <v>948</v>
      </c>
      <c r="K753" s="12" t="s">
        <v>273</v>
      </c>
      <c r="L753" s="12" t="s">
        <v>749</v>
      </c>
      <c r="M753" s="12">
        <v>0.95</v>
      </c>
    </row>
    <row r="754" spans="1:13" x14ac:dyDescent="0.3">
      <c r="A754" s="12" t="s">
        <v>229</v>
      </c>
      <c r="B754" s="12" t="s">
        <v>702</v>
      </c>
      <c r="C754" s="12" t="s">
        <v>6453</v>
      </c>
      <c r="D754" s="12" t="s">
        <v>1880</v>
      </c>
      <c r="E754" s="12" t="s">
        <v>6533</v>
      </c>
      <c r="F754" s="12" t="s">
        <v>1634</v>
      </c>
      <c r="G754" s="12"/>
      <c r="H754" s="12"/>
      <c r="I754" s="12"/>
      <c r="J754" s="12" t="s">
        <v>948</v>
      </c>
      <c r="K754" s="12" t="s">
        <v>275</v>
      </c>
      <c r="L754" s="12" t="s">
        <v>749</v>
      </c>
      <c r="M754" s="12">
        <v>283.14999999999998</v>
      </c>
    </row>
    <row r="755" spans="1:13" x14ac:dyDescent="0.3">
      <c r="A755" s="12" t="s">
        <v>229</v>
      </c>
      <c r="B755" s="12" t="s">
        <v>702</v>
      </c>
      <c r="C755" s="12" t="s">
        <v>6453</v>
      </c>
      <c r="D755" s="12" t="s">
        <v>67</v>
      </c>
      <c r="E755" s="12" t="s">
        <v>6533</v>
      </c>
      <c r="F755" s="12" t="s">
        <v>804</v>
      </c>
      <c r="G755" s="12"/>
      <c r="H755" s="12"/>
      <c r="I755" s="12"/>
      <c r="J755" s="12"/>
      <c r="K755" s="12" t="s">
        <v>273</v>
      </c>
      <c r="L755" s="12" t="s">
        <v>749</v>
      </c>
      <c r="M755" s="12"/>
    </row>
    <row r="756" spans="1:13" x14ac:dyDescent="0.3">
      <c r="A756" s="12" t="s">
        <v>229</v>
      </c>
      <c r="B756" s="12" t="s">
        <v>705</v>
      </c>
      <c r="C756" s="12" t="s">
        <v>235</v>
      </c>
      <c r="D756" s="12" t="s">
        <v>274</v>
      </c>
      <c r="E756" s="12" t="s">
        <v>6533</v>
      </c>
      <c r="F756" s="12" t="s">
        <v>1540</v>
      </c>
      <c r="G756" s="12"/>
      <c r="H756" s="12"/>
      <c r="I756" s="12"/>
      <c r="J756" s="12" t="s">
        <v>948</v>
      </c>
      <c r="K756" s="12" t="s">
        <v>275</v>
      </c>
      <c r="L756" s="12" t="s">
        <v>948</v>
      </c>
      <c r="M756" s="12"/>
    </row>
    <row r="757" spans="1:13" x14ac:dyDescent="0.3">
      <c r="A757" s="12" t="s">
        <v>229</v>
      </c>
      <c r="B757" s="12" t="s">
        <v>705</v>
      </c>
      <c r="C757" s="12" t="s">
        <v>235</v>
      </c>
      <c r="D757" s="12" t="s">
        <v>276</v>
      </c>
      <c r="E757" s="12" t="s">
        <v>6533</v>
      </c>
      <c r="F757" s="12" t="s">
        <v>1541</v>
      </c>
      <c r="G757" s="12"/>
      <c r="H757" s="12"/>
      <c r="I757" s="12"/>
      <c r="J757" s="12" t="s">
        <v>948</v>
      </c>
      <c r="K757" s="12" t="s">
        <v>275</v>
      </c>
      <c r="L757" s="12" t="s">
        <v>948</v>
      </c>
      <c r="M757" s="12"/>
    </row>
    <row r="758" spans="1:13" x14ac:dyDescent="0.3">
      <c r="A758" s="12" t="s">
        <v>229</v>
      </c>
      <c r="B758" s="12" t="s">
        <v>705</v>
      </c>
      <c r="C758" s="12" t="s">
        <v>235</v>
      </c>
      <c r="D758" s="12" t="s">
        <v>269</v>
      </c>
      <c r="E758" s="12" t="s">
        <v>6533</v>
      </c>
      <c r="F758" s="12" t="s">
        <v>1542</v>
      </c>
      <c r="G758" s="12"/>
      <c r="H758" s="12"/>
      <c r="I758" s="12"/>
      <c r="J758" s="12" t="s">
        <v>948</v>
      </c>
      <c r="K758" s="12" t="s">
        <v>270</v>
      </c>
      <c r="L758" s="12" t="s">
        <v>948</v>
      </c>
      <c r="M758" s="12"/>
    </row>
    <row r="759" spans="1:13" x14ac:dyDescent="0.3">
      <c r="A759" s="12" t="s">
        <v>229</v>
      </c>
      <c r="B759" s="12" t="s">
        <v>705</v>
      </c>
      <c r="C759" s="12" t="s">
        <v>235</v>
      </c>
      <c r="D759" s="12" t="s">
        <v>271</v>
      </c>
      <c r="E759" s="12" t="s">
        <v>6534</v>
      </c>
      <c r="F759" s="12"/>
      <c r="G759" s="12">
        <v>200</v>
      </c>
      <c r="H759" s="12">
        <v>700</v>
      </c>
      <c r="I759" s="12">
        <v>6</v>
      </c>
      <c r="J759" s="12"/>
      <c r="K759" s="12" t="s">
        <v>270</v>
      </c>
      <c r="L759" s="12" t="s">
        <v>948</v>
      </c>
      <c r="M759" s="12"/>
    </row>
    <row r="760" spans="1:13" x14ac:dyDescent="0.3">
      <c r="A760" s="12" t="s">
        <v>229</v>
      </c>
      <c r="B760" s="12" t="s">
        <v>705</v>
      </c>
      <c r="C760" s="12" t="s">
        <v>235</v>
      </c>
      <c r="D760" s="12" t="s">
        <v>272</v>
      </c>
      <c r="E760" s="12" t="s">
        <v>6534</v>
      </c>
      <c r="F760" s="12"/>
      <c r="G760" s="12">
        <v>0.3</v>
      </c>
      <c r="H760" s="12">
        <v>0.7</v>
      </c>
      <c r="I760" s="12">
        <v>9</v>
      </c>
      <c r="J760" s="12"/>
      <c r="K760" s="12" t="s">
        <v>273</v>
      </c>
      <c r="L760" s="12" t="s">
        <v>948</v>
      </c>
      <c r="M760" s="12"/>
    </row>
    <row r="761" spans="1:13" x14ac:dyDescent="0.3">
      <c r="A761" s="12" t="s">
        <v>229</v>
      </c>
      <c r="B761" s="12" t="s">
        <v>705</v>
      </c>
      <c r="C761" s="12" t="s">
        <v>235</v>
      </c>
      <c r="D761" s="12" t="s">
        <v>282</v>
      </c>
      <c r="E761" s="12" t="s">
        <v>6533</v>
      </c>
      <c r="F761" s="12" t="s">
        <v>800</v>
      </c>
      <c r="G761" s="12"/>
      <c r="H761" s="12"/>
      <c r="I761" s="12"/>
      <c r="J761" s="12" t="s">
        <v>749</v>
      </c>
      <c r="K761" s="12" t="s">
        <v>283</v>
      </c>
      <c r="L761" s="12" t="s">
        <v>948</v>
      </c>
      <c r="M761" s="12"/>
    </row>
    <row r="762" spans="1:13" x14ac:dyDescent="0.3">
      <c r="A762" s="12" t="s">
        <v>229</v>
      </c>
      <c r="B762" s="12" t="s">
        <v>705</v>
      </c>
      <c r="C762" s="12" t="s">
        <v>235</v>
      </c>
      <c r="D762" s="12" t="s">
        <v>1875</v>
      </c>
      <c r="E762" s="12" t="s">
        <v>6533</v>
      </c>
      <c r="F762" s="12" t="s">
        <v>1545</v>
      </c>
      <c r="G762" s="12"/>
      <c r="H762" s="12"/>
      <c r="I762" s="12"/>
      <c r="J762" s="12" t="s">
        <v>948</v>
      </c>
      <c r="K762" s="12" t="s">
        <v>273</v>
      </c>
      <c r="L762" s="12" t="s">
        <v>948</v>
      </c>
      <c r="M762" s="12"/>
    </row>
    <row r="763" spans="1:13" x14ac:dyDescent="0.3">
      <c r="A763" s="12" t="s">
        <v>229</v>
      </c>
      <c r="B763" s="12" t="s">
        <v>705</v>
      </c>
      <c r="C763" s="12" t="s">
        <v>235</v>
      </c>
      <c r="D763" s="12" t="s">
        <v>1876</v>
      </c>
      <c r="E763" s="12" t="s">
        <v>6533</v>
      </c>
      <c r="F763" s="12" t="s">
        <v>801</v>
      </c>
      <c r="G763" s="12"/>
      <c r="H763" s="12"/>
      <c r="I763" s="12"/>
      <c r="J763" s="12" t="s">
        <v>948</v>
      </c>
      <c r="K763" s="12" t="s">
        <v>273</v>
      </c>
      <c r="L763" s="12" t="s">
        <v>948</v>
      </c>
      <c r="M763" s="12"/>
    </row>
    <row r="764" spans="1:13" x14ac:dyDescent="0.3">
      <c r="A764" s="12" t="s">
        <v>229</v>
      </c>
      <c r="B764" s="12" t="s">
        <v>705</v>
      </c>
      <c r="C764" s="12" t="s">
        <v>235</v>
      </c>
      <c r="D764" s="12" t="s">
        <v>1877</v>
      </c>
      <c r="E764" s="12" t="s">
        <v>6533</v>
      </c>
      <c r="F764" s="12" t="s">
        <v>755</v>
      </c>
      <c r="G764" s="12"/>
      <c r="H764" s="12"/>
      <c r="I764" s="12"/>
      <c r="J764" s="12" t="s">
        <v>749</v>
      </c>
      <c r="K764" s="12" t="s">
        <v>273</v>
      </c>
      <c r="L764" s="12" t="s">
        <v>948</v>
      </c>
      <c r="M764" s="12"/>
    </row>
    <row r="765" spans="1:13" x14ac:dyDescent="0.3">
      <c r="A765" s="12" t="s">
        <v>229</v>
      </c>
      <c r="B765" s="12" t="s">
        <v>705</v>
      </c>
      <c r="C765" s="12" t="s">
        <v>235</v>
      </c>
      <c r="D765" s="12" t="s">
        <v>1878</v>
      </c>
      <c r="E765" s="12" t="s">
        <v>6533</v>
      </c>
      <c r="F765" s="12" t="s">
        <v>757</v>
      </c>
      <c r="G765" s="12"/>
      <c r="H765" s="12"/>
      <c r="I765" s="12"/>
      <c r="J765" s="12" t="s">
        <v>749</v>
      </c>
      <c r="K765" s="12" t="s">
        <v>273</v>
      </c>
      <c r="L765" s="12" t="s">
        <v>948</v>
      </c>
      <c r="M765" s="12"/>
    </row>
    <row r="766" spans="1:13" x14ac:dyDescent="0.3">
      <c r="A766" s="12" t="s">
        <v>229</v>
      </c>
      <c r="B766" s="12" t="s">
        <v>705</v>
      </c>
      <c r="C766" s="12" t="s">
        <v>235</v>
      </c>
      <c r="D766" s="12" t="s">
        <v>1879</v>
      </c>
      <c r="E766" s="12" t="s">
        <v>6533</v>
      </c>
      <c r="F766" s="12" t="s">
        <v>1546</v>
      </c>
      <c r="G766" s="12"/>
      <c r="H766" s="12"/>
      <c r="I766" s="12"/>
      <c r="J766" s="12" t="s">
        <v>948</v>
      </c>
      <c r="K766" s="12" t="s">
        <v>273</v>
      </c>
      <c r="L766" s="12" t="s">
        <v>948</v>
      </c>
      <c r="M766" s="12"/>
    </row>
    <row r="767" spans="1:13" x14ac:dyDescent="0.3">
      <c r="A767" s="12" t="s">
        <v>229</v>
      </c>
      <c r="B767" s="12" t="s">
        <v>705</v>
      </c>
      <c r="C767" s="12" t="s">
        <v>235</v>
      </c>
      <c r="D767" s="12" t="s">
        <v>1880</v>
      </c>
      <c r="E767" s="12" t="s">
        <v>6533</v>
      </c>
      <c r="F767" s="12" t="s">
        <v>1634</v>
      </c>
      <c r="G767" s="12"/>
      <c r="H767" s="12"/>
      <c r="I767" s="12"/>
      <c r="J767" s="12" t="s">
        <v>948</v>
      </c>
      <c r="K767" s="12" t="s">
        <v>275</v>
      </c>
      <c r="L767" s="12" t="s">
        <v>948</v>
      </c>
      <c r="M767" s="12"/>
    </row>
    <row r="768" spans="1:13" x14ac:dyDescent="0.3">
      <c r="A768" s="12" t="s">
        <v>229</v>
      </c>
      <c r="B768" s="12" t="s">
        <v>705</v>
      </c>
      <c r="C768" s="12" t="s">
        <v>235</v>
      </c>
      <c r="D768" s="12" t="s">
        <v>67</v>
      </c>
      <c r="E768" s="12" t="s">
        <v>6533</v>
      </c>
      <c r="F768" s="12" t="s">
        <v>804</v>
      </c>
      <c r="G768" s="12"/>
      <c r="H768" s="12"/>
      <c r="I768" s="12"/>
      <c r="J768" s="12"/>
      <c r="K768" s="12" t="s">
        <v>273</v>
      </c>
      <c r="L768" s="12" t="s">
        <v>948</v>
      </c>
      <c r="M768" s="12"/>
    </row>
  </sheetData>
  <autoFilter ref="A1:M768" xr:uid="{00000000-0009-0000-0000-00004E000000}"/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G52"/>
  <sheetViews>
    <sheetView workbookViewId="0"/>
  </sheetViews>
  <sheetFormatPr baseColWidth="10" defaultColWidth="8.88671875" defaultRowHeight="14.4" x14ac:dyDescent="0.3"/>
  <sheetData>
    <row r="1" spans="1:7" x14ac:dyDescent="0.3">
      <c r="A1" s="14" t="s">
        <v>1867</v>
      </c>
      <c r="B1" s="14" t="s">
        <v>6538</v>
      </c>
      <c r="C1" s="14" t="s">
        <v>6539</v>
      </c>
      <c r="D1" s="14" t="s">
        <v>6540</v>
      </c>
      <c r="E1" s="14" t="s">
        <v>6541</v>
      </c>
      <c r="F1" s="14" t="s">
        <v>6542</v>
      </c>
      <c r="G1" s="14" t="s">
        <v>6543</v>
      </c>
    </row>
    <row r="2" spans="1:7" x14ac:dyDescent="0.3">
      <c r="A2" s="12" t="s">
        <v>29</v>
      </c>
      <c r="B2" s="12" t="s">
        <v>6544</v>
      </c>
      <c r="C2" s="12">
        <v>42</v>
      </c>
      <c r="D2" s="12" t="s">
        <v>6545</v>
      </c>
      <c r="E2" s="12" t="s">
        <v>948</v>
      </c>
      <c r="F2" s="12" t="s">
        <v>6546</v>
      </c>
      <c r="G2" s="12"/>
    </row>
    <row r="3" spans="1:7" x14ac:dyDescent="0.3">
      <c r="A3" s="12" t="s">
        <v>97</v>
      </c>
      <c r="B3" s="12" t="s">
        <v>96</v>
      </c>
      <c r="C3" s="12">
        <v>132</v>
      </c>
      <c r="D3" s="12" t="s">
        <v>6547</v>
      </c>
      <c r="E3" s="12" t="s">
        <v>749</v>
      </c>
      <c r="F3" s="12"/>
      <c r="G3" s="12"/>
    </row>
    <row r="4" spans="1:7" x14ac:dyDescent="0.3">
      <c r="A4" s="12" t="s">
        <v>2066</v>
      </c>
      <c r="B4" s="12" t="s">
        <v>379</v>
      </c>
      <c r="C4" s="12">
        <v>36</v>
      </c>
      <c r="D4" s="12" t="s">
        <v>6548</v>
      </c>
      <c r="E4" s="12" t="s">
        <v>749</v>
      </c>
      <c r="F4" s="12"/>
      <c r="G4" s="12"/>
    </row>
    <row r="5" spans="1:7" x14ac:dyDescent="0.3">
      <c r="A5" s="12" t="s">
        <v>2103</v>
      </c>
      <c r="B5" s="12" t="s">
        <v>382</v>
      </c>
      <c r="C5" s="12">
        <v>144</v>
      </c>
      <c r="D5" s="12" t="s">
        <v>6549</v>
      </c>
      <c r="E5" s="12" t="s">
        <v>749</v>
      </c>
      <c r="F5" s="12"/>
      <c r="G5" s="12"/>
    </row>
    <row r="6" spans="1:7" x14ac:dyDescent="0.3">
      <c r="A6" s="12" t="s">
        <v>2248</v>
      </c>
      <c r="B6" s="12" t="s">
        <v>384</v>
      </c>
      <c r="C6" s="12">
        <v>80</v>
      </c>
      <c r="D6" s="12" t="s">
        <v>6550</v>
      </c>
      <c r="E6" s="12" t="s">
        <v>749</v>
      </c>
      <c r="F6" s="12"/>
      <c r="G6" s="12"/>
    </row>
    <row r="7" spans="1:7" x14ac:dyDescent="0.3">
      <c r="A7" s="12" t="s">
        <v>2329</v>
      </c>
      <c r="B7" s="12" t="s">
        <v>386</v>
      </c>
      <c r="C7" s="12">
        <v>60</v>
      </c>
      <c r="D7" s="12" t="s">
        <v>6551</v>
      </c>
      <c r="E7" s="12" t="s">
        <v>749</v>
      </c>
      <c r="F7" s="12"/>
      <c r="G7" s="12"/>
    </row>
    <row r="8" spans="1:7" x14ac:dyDescent="0.3">
      <c r="A8" s="12" t="s">
        <v>2390</v>
      </c>
      <c r="B8" s="12" t="s">
        <v>388</v>
      </c>
      <c r="C8" s="12">
        <v>64</v>
      </c>
      <c r="D8" s="12" t="s">
        <v>6552</v>
      </c>
      <c r="E8" s="12" t="s">
        <v>749</v>
      </c>
      <c r="F8" s="12"/>
      <c r="G8" s="12"/>
    </row>
    <row r="9" spans="1:7" x14ac:dyDescent="0.3">
      <c r="A9" s="12" t="s">
        <v>2455</v>
      </c>
      <c r="B9" s="12" t="s">
        <v>389</v>
      </c>
      <c r="C9" s="12">
        <v>21</v>
      </c>
      <c r="D9" s="12" t="s">
        <v>6553</v>
      </c>
      <c r="E9" s="12" t="s">
        <v>749</v>
      </c>
      <c r="F9" s="12"/>
      <c r="G9" s="12"/>
    </row>
    <row r="10" spans="1:7" x14ac:dyDescent="0.3">
      <c r="A10" s="12" t="s">
        <v>2478</v>
      </c>
      <c r="B10" s="12" t="s">
        <v>392</v>
      </c>
      <c r="C10" s="12">
        <v>90</v>
      </c>
      <c r="D10" s="12" t="s">
        <v>6554</v>
      </c>
      <c r="E10" s="12" t="s">
        <v>749</v>
      </c>
      <c r="F10" s="12"/>
      <c r="G10" s="12"/>
    </row>
    <row r="11" spans="1:7" x14ac:dyDescent="0.3">
      <c r="A11" s="12" t="s">
        <v>2530</v>
      </c>
      <c r="B11" s="12" t="s">
        <v>395</v>
      </c>
      <c r="C11" s="12">
        <v>90</v>
      </c>
      <c r="D11" s="12" t="s">
        <v>6555</v>
      </c>
      <c r="E11" s="12" t="s">
        <v>749</v>
      </c>
      <c r="F11" s="12"/>
      <c r="G11" s="12"/>
    </row>
    <row r="12" spans="1:7" x14ac:dyDescent="0.3">
      <c r="A12" s="12" t="s">
        <v>2581</v>
      </c>
      <c r="B12" s="12" t="s">
        <v>397</v>
      </c>
      <c r="C12" s="12">
        <v>90</v>
      </c>
      <c r="D12" s="12" t="s">
        <v>6556</v>
      </c>
      <c r="E12" s="12" t="s">
        <v>749</v>
      </c>
      <c r="F12" s="12"/>
      <c r="G12" s="12"/>
    </row>
    <row r="13" spans="1:7" x14ac:dyDescent="0.3">
      <c r="A13" s="12" t="s">
        <v>2632</v>
      </c>
      <c r="B13" s="12" t="s">
        <v>399</v>
      </c>
      <c r="C13" s="12">
        <v>50</v>
      </c>
      <c r="D13" s="12" t="s">
        <v>6557</v>
      </c>
      <c r="E13" s="12" t="s">
        <v>749</v>
      </c>
      <c r="F13" s="12"/>
      <c r="G13" s="12"/>
    </row>
    <row r="14" spans="1:7" x14ac:dyDescent="0.3">
      <c r="A14" s="12" t="s">
        <v>129</v>
      </c>
      <c r="B14" s="12" t="s">
        <v>128</v>
      </c>
      <c r="C14" s="12">
        <v>171</v>
      </c>
      <c r="D14" s="12" t="s">
        <v>6558</v>
      </c>
      <c r="E14" s="12" t="s">
        <v>749</v>
      </c>
      <c r="F14" s="12"/>
      <c r="G14" s="12"/>
    </row>
    <row r="15" spans="1:7" x14ac:dyDescent="0.3">
      <c r="A15" s="12" t="s">
        <v>137</v>
      </c>
      <c r="B15" s="12" t="s">
        <v>6559</v>
      </c>
      <c r="C15" s="12">
        <v>500</v>
      </c>
      <c r="D15" s="12" t="s">
        <v>6560</v>
      </c>
      <c r="E15" s="12" t="s">
        <v>749</v>
      </c>
      <c r="F15" s="12"/>
      <c r="G15" s="12" t="s">
        <v>6561</v>
      </c>
    </row>
    <row r="16" spans="1:7" x14ac:dyDescent="0.3">
      <c r="A16" s="12" t="s">
        <v>161</v>
      </c>
      <c r="B16" s="12" t="s">
        <v>160</v>
      </c>
      <c r="C16" s="12">
        <v>150</v>
      </c>
      <c r="D16" s="12" t="s">
        <v>6562</v>
      </c>
      <c r="E16" s="12" t="s">
        <v>749</v>
      </c>
      <c r="F16" s="12"/>
      <c r="G16" s="12"/>
    </row>
    <row r="17" spans="1:7" x14ac:dyDescent="0.3">
      <c r="A17" s="12" t="s">
        <v>721</v>
      </c>
      <c r="B17" s="12" t="s">
        <v>430</v>
      </c>
      <c r="C17" s="12">
        <v>120</v>
      </c>
      <c r="D17" s="12" t="s">
        <v>6563</v>
      </c>
      <c r="E17" s="12" t="s">
        <v>749</v>
      </c>
      <c r="F17" s="12"/>
      <c r="G17" s="12"/>
    </row>
    <row r="18" spans="1:7" x14ac:dyDescent="0.3">
      <c r="A18" s="12" t="s">
        <v>724</v>
      </c>
      <c r="B18" s="12" t="s">
        <v>439</v>
      </c>
      <c r="C18" s="12">
        <v>120</v>
      </c>
      <c r="D18" s="12" t="s">
        <v>6564</v>
      </c>
      <c r="E18" s="12" t="s">
        <v>749</v>
      </c>
      <c r="F18" s="12"/>
      <c r="G18" s="12"/>
    </row>
    <row r="19" spans="1:7" x14ac:dyDescent="0.3">
      <c r="A19" s="12" t="s">
        <v>728</v>
      </c>
      <c r="B19" s="12" t="s">
        <v>448</v>
      </c>
      <c r="C19" s="12">
        <v>120</v>
      </c>
      <c r="D19" s="12" t="s">
        <v>6565</v>
      </c>
      <c r="E19" s="12" t="s">
        <v>749</v>
      </c>
      <c r="F19" s="12"/>
      <c r="G19" s="12"/>
    </row>
    <row r="20" spans="1:7" x14ac:dyDescent="0.3">
      <c r="A20" s="12" t="s">
        <v>731</v>
      </c>
      <c r="B20" s="12" t="s">
        <v>456</v>
      </c>
      <c r="C20" s="12">
        <v>120</v>
      </c>
      <c r="D20" s="12" t="s">
        <v>6566</v>
      </c>
      <c r="E20" s="12" t="s">
        <v>749</v>
      </c>
      <c r="F20" s="12"/>
      <c r="G20" s="12"/>
    </row>
    <row r="21" spans="1:7" x14ac:dyDescent="0.3">
      <c r="A21" s="12" t="s">
        <v>734</v>
      </c>
      <c r="B21" s="12" t="s">
        <v>464</v>
      </c>
      <c r="C21" s="12">
        <v>120</v>
      </c>
      <c r="D21" s="12" t="s">
        <v>6567</v>
      </c>
      <c r="E21" s="12" t="s">
        <v>749</v>
      </c>
      <c r="F21" s="12"/>
      <c r="G21" s="12"/>
    </row>
    <row r="22" spans="1:7" x14ac:dyDescent="0.3">
      <c r="A22" s="12" t="s">
        <v>181</v>
      </c>
      <c r="B22" s="12" t="s">
        <v>180</v>
      </c>
      <c r="C22" s="12">
        <v>165</v>
      </c>
      <c r="D22" s="12" t="s">
        <v>6568</v>
      </c>
      <c r="E22" s="12" t="s">
        <v>749</v>
      </c>
      <c r="F22" s="12"/>
      <c r="G22" s="12"/>
    </row>
    <row r="23" spans="1:7" x14ac:dyDescent="0.3">
      <c r="A23" s="12" t="s">
        <v>4402</v>
      </c>
      <c r="B23" s="12" t="s">
        <v>474</v>
      </c>
      <c r="C23" s="12">
        <v>117</v>
      </c>
      <c r="D23" s="12" t="s">
        <v>6569</v>
      </c>
      <c r="E23" s="12" t="s">
        <v>749</v>
      </c>
      <c r="F23" s="12"/>
      <c r="G23" s="12"/>
    </row>
    <row r="24" spans="1:7" x14ac:dyDescent="0.3">
      <c r="A24" s="12" t="s">
        <v>4521</v>
      </c>
      <c r="B24" s="12" t="s">
        <v>485</v>
      </c>
      <c r="C24" s="12">
        <v>105</v>
      </c>
      <c r="D24" s="12" t="s">
        <v>6570</v>
      </c>
      <c r="E24" s="12" t="s">
        <v>749</v>
      </c>
      <c r="F24" s="12"/>
      <c r="G24" s="12"/>
    </row>
    <row r="25" spans="1:7" x14ac:dyDescent="0.3">
      <c r="A25" s="12" t="s">
        <v>4627</v>
      </c>
      <c r="B25" s="12" t="s">
        <v>496</v>
      </c>
      <c r="C25" s="12">
        <v>112</v>
      </c>
      <c r="D25" s="12" t="s">
        <v>6571</v>
      </c>
      <c r="E25" s="12" t="s">
        <v>749</v>
      </c>
      <c r="F25" s="12"/>
      <c r="G25" s="12"/>
    </row>
    <row r="26" spans="1:7" x14ac:dyDescent="0.3">
      <c r="A26" s="12" t="s">
        <v>4740</v>
      </c>
      <c r="B26" s="12" t="s">
        <v>505</v>
      </c>
      <c r="C26" s="12">
        <v>113</v>
      </c>
      <c r="D26" s="12" t="s">
        <v>6572</v>
      </c>
      <c r="E26" s="12" t="s">
        <v>749</v>
      </c>
      <c r="F26" s="12"/>
      <c r="G26" s="12"/>
    </row>
    <row r="27" spans="1:7" x14ac:dyDescent="0.3">
      <c r="A27" s="12" t="s">
        <v>4854</v>
      </c>
      <c r="B27" s="12" t="s">
        <v>509</v>
      </c>
      <c r="C27" s="12">
        <v>113</v>
      </c>
      <c r="D27" s="12" t="s">
        <v>6573</v>
      </c>
      <c r="E27" s="12" t="s">
        <v>749</v>
      </c>
      <c r="F27" s="12"/>
      <c r="G27" s="12"/>
    </row>
    <row r="28" spans="1:7" x14ac:dyDescent="0.3">
      <c r="A28" s="12" t="s">
        <v>189</v>
      </c>
      <c r="B28" s="12" t="s">
        <v>6574</v>
      </c>
      <c r="C28" s="12">
        <v>170</v>
      </c>
      <c r="D28" s="12" t="s">
        <v>6575</v>
      </c>
      <c r="E28" s="12" t="s">
        <v>948</v>
      </c>
      <c r="F28" s="12" t="s">
        <v>6576</v>
      </c>
      <c r="G28" s="12" t="s">
        <v>6577</v>
      </c>
    </row>
    <row r="29" spans="1:7" x14ac:dyDescent="0.3">
      <c r="A29" s="12" t="s">
        <v>5237</v>
      </c>
      <c r="B29" s="12" t="s">
        <v>542</v>
      </c>
      <c r="C29" s="12">
        <v>100</v>
      </c>
      <c r="D29" s="12" t="s">
        <v>6578</v>
      </c>
      <c r="E29" s="12" t="s">
        <v>749</v>
      </c>
      <c r="F29" s="12"/>
      <c r="G29" s="12"/>
    </row>
    <row r="30" spans="1:7" x14ac:dyDescent="0.3">
      <c r="A30" s="12" t="s">
        <v>6113</v>
      </c>
      <c r="B30" s="12" t="s">
        <v>666</v>
      </c>
      <c r="C30" s="12">
        <v>24</v>
      </c>
      <c r="D30" s="12" t="s">
        <v>6579</v>
      </c>
      <c r="E30" s="12" t="s">
        <v>749</v>
      </c>
      <c r="F30" s="12"/>
      <c r="G30" s="12"/>
    </row>
    <row r="31" spans="1:7" x14ac:dyDescent="0.3">
      <c r="A31" s="12" t="s">
        <v>5335</v>
      </c>
      <c r="B31" s="12" t="s">
        <v>548</v>
      </c>
      <c r="C31" s="12">
        <v>100</v>
      </c>
      <c r="D31" s="12" t="s">
        <v>6580</v>
      </c>
      <c r="E31" s="12" t="s">
        <v>749</v>
      </c>
      <c r="F31" s="12"/>
      <c r="G31" s="12"/>
    </row>
    <row r="32" spans="1:7" x14ac:dyDescent="0.3">
      <c r="A32" s="12" t="s">
        <v>5438</v>
      </c>
      <c r="B32" s="12" t="s">
        <v>558</v>
      </c>
      <c r="C32" s="12">
        <v>100</v>
      </c>
      <c r="D32" s="12" t="s">
        <v>6581</v>
      </c>
      <c r="E32" s="12" t="s">
        <v>749</v>
      </c>
      <c r="F32" s="12"/>
      <c r="G32" s="12"/>
    </row>
    <row r="33" spans="1:7" x14ac:dyDescent="0.3">
      <c r="A33" s="12" t="s">
        <v>5136</v>
      </c>
      <c r="B33" s="12" t="s">
        <v>532</v>
      </c>
      <c r="C33" s="12">
        <v>100</v>
      </c>
      <c r="D33" s="12" t="s">
        <v>6582</v>
      </c>
      <c r="E33" s="12" t="s">
        <v>749</v>
      </c>
      <c r="F33" s="12"/>
      <c r="G33" s="12"/>
    </row>
    <row r="34" spans="1:7" x14ac:dyDescent="0.3">
      <c r="A34" s="12" t="s">
        <v>5538</v>
      </c>
      <c r="B34" s="12" t="s">
        <v>568</v>
      </c>
      <c r="C34" s="12">
        <v>100</v>
      </c>
      <c r="D34" s="12" t="s">
        <v>6583</v>
      </c>
      <c r="E34" s="12" t="s">
        <v>749</v>
      </c>
      <c r="F34" s="12"/>
      <c r="G34" s="12"/>
    </row>
    <row r="35" spans="1:7" x14ac:dyDescent="0.3">
      <c r="A35" s="12" t="s">
        <v>5640</v>
      </c>
      <c r="B35" s="12" t="s">
        <v>578</v>
      </c>
      <c r="C35" s="12">
        <v>100</v>
      </c>
      <c r="D35" s="12" t="s">
        <v>6584</v>
      </c>
      <c r="E35" s="12" t="s">
        <v>749</v>
      </c>
      <c r="F35" s="12"/>
      <c r="G35" s="12"/>
    </row>
    <row r="36" spans="1:7" x14ac:dyDescent="0.3">
      <c r="A36" s="12" t="s">
        <v>5773</v>
      </c>
      <c r="B36" s="12" t="s">
        <v>597</v>
      </c>
      <c r="C36" s="12">
        <v>30</v>
      </c>
      <c r="D36" s="12" t="s">
        <v>6585</v>
      </c>
      <c r="E36" s="12" t="s">
        <v>749</v>
      </c>
      <c r="F36" s="12"/>
      <c r="G36" s="12"/>
    </row>
    <row r="37" spans="1:7" x14ac:dyDescent="0.3">
      <c r="A37" s="12" t="s">
        <v>5804</v>
      </c>
      <c r="B37" s="12" t="s">
        <v>602</v>
      </c>
      <c r="C37" s="12">
        <v>30</v>
      </c>
      <c r="D37" s="12" t="s">
        <v>6586</v>
      </c>
      <c r="E37" s="12" t="s">
        <v>749</v>
      </c>
      <c r="F37" s="12"/>
      <c r="G37" s="12"/>
    </row>
    <row r="38" spans="1:7" x14ac:dyDescent="0.3">
      <c r="A38" s="12" t="s">
        <v>5928</v>
      </c>
      <c r="B38" s="12" t="s">
        <v>637</v>
      </c>
      <c r="C38" s="12">
        <v>30</v>
      </c>
      <c r="D38" s="12" t="s">
        <v>6587</v>
      </c>
      <c r="E38" s="12" t="s">
        <v>749</v>
      </c>
      <c r="F38" s="12"/>
      <c r="G38" s="12"/>
    </row>
    <row r="39" spans="1:7" x14ac:dyDescent="0.3">
      <c r="A39" s="12" t="s">
        <v>738</v>
      </c>
      <c r="B39" s="12" t="s">
        <v>660</v>
      </c>
      <c r="C39" s="12">
        <v>30</v>
      </c>
      <c r="D39" s="12" t="s">
        <v>6588</v>
      </c>
      <c r="E39" s="12" t="s">
        <v>749</v>
      </c>
      <c r="F39" s="12"/>
      <c r="G39" s="12"/>
    </row>
    <row r="40" spans="1:7" x14ac:dyDescent="0.3">
      <c r="A40" s="12" t="s">
        <v>6021</v>
      </c>
      <c r="B40" s="12" t="s">
        <v>657</v>
      </c>
      <c r="C40" s="12">
        <v>30</v>
      </c>
      <c r="D40" s="12" t="s">
        <v>6589</v>
      </c>
      <c r="E40" s="12" t="s">
        <v>749</v>
      </c>
      <c r="F40" s="12"/>
      <c r="G40" s="12"/>
    </row>
    <row r="41" spans="1:7" x14ac:dyDescent="0.3">
      <c r="A41" s="12" t="s">
        <v>6082</v>
      </c>
      <c r="B41" s="12" t="s">
        <v>663</v>
      </c>
      <c r="C41" s="12">
        <v>30</v>
      </c>
      <c r="D41" s="12" t="s">
        <v>6590</v>
      </c>
      <c r="E41" s="12" t="s">
        <v>749</v>
      </c>
      <c r="F41" s="12"/>
      <c r="G41" s="12"/>
    </row>
    <row r="42" spans="1:7" x14ac:dyDescent="0.3">
      <c r="A42" s="12" t="s">
        <v>5959</v>
      </c>
      <c r="B42" s="12" t="s">
        <v>641</v>
      </c>
      <c r="C42" s="12">
        <v>30</v>
      </c>
      <c r="D42" s="12" t="s">
        <v>6591</v>
      </c>
      <c r="E42" s="12" t="s">
        <v>749</v>
      </c>
      <c r="F42" s="12"/>
      <c r="G42" s="12"/>
    </row>
    <row r="43" spans="1:7" x14ac:dyDescent="0.3">
      <c r="A43" s="12" t="s">
        <v>5897</v>
      </c>
      <c r="B43" s="12" t="s">
        <v>629</v>
      </c>
      <c r="C43" s="12">
        <v>30</v>
      </c>
      <c r="D43" s="12" t="s">
        <v>6592</v>
      </c>
      <c r="E43" s="12" t="s">
        <v>749</v>
      </c>
      <c r="F43" s="12"/>
      <c r="G43" s="12"/>
    </row>
    <row r="44" spans="1:7" x14ac:dyDescent="0.3">
      <c r="A44" s="12" t="s">
        <v>5990</v>
      </c>
      <c r="B44" s="12" t="s">
        <v>649</v>
      </c>
      <c r="C44" s="12">
        <v>30</v>
      </c>
      <c r="D44" s="12" t="s">
        <v>6593</v>
      </c>
      <c r="E44" s="12" t="s">
        <v>749</v>
      </c>
      <c r="F44" s="12"/>
      <c r="G44" s="12"/>
    </row>
    <row r="45" spans="1:7" x14ac:dyDescent="0.3">
      <c r="A45" s="12" t="s">
        <v>5835</v>
      </c>
      <c r="B45" s="12" t="s">
        <v>611</v>
      </c>
      <c r="C45" s="12">
        <v>30</v>
      </c>
      <c r="D45" s="12" t="s">
        <v>6594</v>
      </c>
      <c r="E45" s="12" t="s">
        <v>749</v>
      </c>
      <c r="F45" s="12"/>
      <c r="G45" s="12"/>
    </row>
    <row r="46" spans="1:7" x14ac:dyDescent="0.3">
      <c r="A46" s="12" t="s">
        <v>5742</v>
      </c>
      <c r="B46" s="12" t="s">
        <v>588</v>
      </c>
      <c r="C46" s="12">
        <v>30</v>
      </c>
      <c r="D46" s="12" t="s">
        <v>6595</v>
      </c>
      <c r="E46" s="12" t="s">
        <v>749</v>
      </c>
      <c r="F46" s="12"/>
      <c r="G46" s="12"/>
    </row>
    <row r="47" spans="1:7" x14ac:dyDescent="0.3">
      <c r="A47" s="12" t="s">
        <v>5866</v>
      </c>
      <c r="B47" s="12" t="s">
        <v>620</v>
      </c>
      <c r="C47" s="12">
        <v>30</v>
      </c>
      <c r="D47" s="12" t="s">
        <v>6596</v>
      </c>
      <c r="E47" s="12" t="s">
        <v>749</v>
      </c>
      <c r="F47" s="12"/>
      <c r="G47" s="12"/>
    </row>
    <row r="48" spans="1:7" x14ac:dyDescent="0.3">
      <c r="A48" s="12" t="s">
        <v>223</v>
      </c>
      <c r="B48" s="12" t="s">
        <v>685</v>
      </c>
      <c r="C48" s="12">
        <v>97</v>
      </c>
      <c r="D48" s="12" t="s">
        <v>6597</v>
      </c>
      <c r="E48" s="12" t="s">
        <v>749</v>
      </c>
      <c r="F48" s="12"/>
      <c r="G48" s="12"/>
    </row>
    <row r="49" spans="1:7" x14ac:dyDescent="0.3">
      <c r="A49" s="12" t="s">
        <v>235</v>
      </c>
      <c r="B49" s="12" t="s">
        <v>6598</v>
      </c>
      <c r="C49" s="12">
        <v>118</v>
      </c>
      <c r="D49" s="12" t="s">
        <v>6599</v>
      </c>
      <c r="E49" s="12" t="s">
        <v>749</v>
      </c>
      <c r="F49" s="12"/>
      <c r="G49" s="12" t="s">
        <v>6600</v>
      </c>
    </row>
    <row r="50" spans="1:7" x14ac:dyDescent="0.3">
      <c r="A50" s="12" t="s">
        <v>226</v>
      </c>
      <c r="B50" s="12" t="s">
        <v>691</v>
      </c>
      <c r="C50" s="12">
        <v>150</v>
      </c>
      <c r="D50" s="12" t="s">
        <v>6601</v>
      </c>
      <c r="E50" s="12" t="s">
        <v>749</v>
      </c>
      <c r="F50" s="12"/>
      <c r="G50" s="12"/>
    </row>
    <row r="51" spans="1:7" x14ac:dyDescent="0.3">
      <c r="A51" s="12" t="s">
        <v>6453</v>
      </c>
      <c r="B51" s="12" t="s">
        <v>702</v>
      </c>
      <c r="C51" s="12">
        <v>17</v>
      </c>
      <c r="D51" s="12" t="s">
        <v>6602</v>
      </c>
      <c r="E51" s="12" t="s">
        <v>749</v>
      </c>
      <c r="F51" s="12"/>
      <c r="G51" s="12"/>
    </row>
    <row r="52" spans="1:7" x14ac:dyDescent="0.3">
      <c r="A52" s="12" t="s">
        <v>6537</v>
      </c>
      <c r="B52" s="12" t="s">
        <v>6536</v>
      </c>
      <c r="C52" s="12">
        <v>160</v>
      </c>
      <c r="D52" s="12" t="s">
        <v>6603</v>
      </c>
      <c r="E52" s="12" t="s">
        <v>749</v>
      </c>
      <c r="F52" s="12"/>
      <c r="G52" s="12"/>
    </row>
  </sheetData>
  <autoFilter ref="A1:G52" xr:uid="{00000000-0009-0000-0000-00004F000000}"/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AY33"/>
  <sheetViews>
    <sheetView workbookViewId="0"/>
  </sheetViews>
  <sheetFormatPr baseColWidth="10" defaultColWidth="8.88671875" defaultRowHeight="14.4" x14ac:dyDescent="0.3"/>
  <sheetData>
    <row r="1" spans="1:51" x14ac:dyDescent="0.3">
      <c r="A1" t="s">
        <v>6604</v>
      </c>
      <c r="B1" t="s">
        <v>29</v>
      </c>
      <c r="C1" t="s">
        <v>97</v>
      </c>
      <c r="D1" t="s">
        <v>2066</v>
      </c>
      <c r="E1" t="s">
        <v>2103</v>
      </c>
      <c r="F1" t="s">
        <v>2248</v>
      </c>
      <c r="G1" t="s">
        <v>2329</v>
      </c>
      <c r="H1" t="s">
        <v>2390</v>
      </c>
      <c r="I1" t="s">
        <v>2455</v>
      </c>
      <c r="J1" t="s">
        <v>2478</v>
      </c>
      <c r="K1" t="s">
        <v>2530</v>
      </c>
      <c r="L1" t="s">
        <v>2581</v>
      </c>
      <c r="M1" t="s">
        <v>2632</v>
      </c>
      <c r="N1" t="s">
        <v>129</v>
      </c>
      <c r="O1" t="s">
        <v>137</v>
      </c>
      <c r="P1" t="s">
        <v>161</v>
      </c>
      <c r="Q1" t="s">
        <v>721</v>
      </c>
      <c r="R1" t="s">
        <v>724</v>
      </c>
      <c r="S1" t="s">
        <v>728</v>
      </c>
      <c r="T1" t="s">
        <v>731</v>
      </c>
      <c r="U1" t="s">
        <v>734</v>
      </c>
      <c r="V1" t="s">
        <v>181</v>
      </c>
      <c r="W1" t="s">
        <v>4402</v>
      </c>
      <c r="X1" t="s">
        <v>4521</v>
      </c>
      <c r="Y1" t="s">
        <v>4627</v>
      </c>
      <c r="Z1" t="s">
        <v>4740</v>
      </c>
      <c r="AA1" t="s">
        <v>4854</v>
      </c>
      <c r="AB1" t="s">
        <v>189</v>
      </c>
      <c r="AC1" t="s">
        <v>5136</v>
      </c>
      <c r="AD1" t="s">
        <v>5237</v>
      </c>
      <c r="AE1" t="s">
        <v>5335</v>
      </c>
      <c r="AF1" t="s">
        <v>5438</v>
      </c>
      <c r="AG1" t="s">
        <v>5538</v>
      </c>
      <c r="AH1" t="s">
        <v>5640</v>
      </c>
      <c r="AI1" t="s">
        <v>5742</v>
      </c>
      <c r="AJ1" t="s">
        <v>5773</v>
      </c>
      <c r="AK1" t="s">
        <v>5804</v>
      </c>
      <c r="AL1" t="s">
        <v>5835</v>
      </c>
      <c r="AM1" t="s">
        <v>5866</v>
      </c>
      <c r="AN1" t="s">
        <v>5897</v>
      </c>
      <c r="AO1" t="s">
        <v>5928</v>
      </c>
      <c r="AP1" t="s">
        <v>5959</v>
      </c>
      <c r="AQ1" t="s">
        <v>5990</v>
      </c>
      <c r="AR1" t="s">
        <v>6021</v>
      </c>
      <c r="AS1" t="s">
        <v>738</v>
      </c>
      <c r="AT1" t="s">
        <v>6082</v>
      </c>
      <c r="AU1" t="s">
        <v>6113</v>
      </c>
      <c r="AV1" t="s">
        <v>223</v>
      </c>
      <c r="AW1" t="s">
        <v>226</v>
      </c>
      <c r="AX1" t="s">
        <v>235</v>
      </c>
      <c r="AY1" t="s">
        <v>6453</v>
      </c>
    </row>
    <row r="2" spans="1:51" x14ac:dyDescent="0.3">
      <c r="A2" t="s">
        <v>6605</v>
      </c>
      <c r="B2">
        <v>42</v>
      </c>
      <c r="C2">
        <v>132</v>
      </c>
      <c r="D2">
        <v>36</v>
      </c>
      <c r="E2">
        <v>144</v>
      </c>
      <c r="F2">
        <v>80</v>
      </c>
      <c r="G2">
        <v>60</v>
      </c>
      <c r="H2">
        <v>64</v>
      </c>
      <c r="I2">
        <v>21</v>
      </c>
      <c r="J2">
        <v>90</v>
      </c>
      <c r="K2">
        <v>90</v>
      </c>
      <c r="L2">
        <v>90</v>
      </c>
      <c r="M2">
        <v>50</v>
      </c>
      <c r="N2">
        <v>171</v>
      </c>
      <c r="O2">
        <v>500</v>
      </c>
      <c r="P2">
        <v>150</v>
      </c>
      <c r="Q2">
        <v>120</v>
      </c>
      <c r="R2">
        <v>120</v>
      </c>
      <c r="S2">
        <v>120</v>
      </c>
      <c r="T2">
        <v>120</v>
      </c>
      <c r="U2">
        <v>120</v>
      </c>
      <c r="V2">
        <v>165</v>
      </c>
      <c r="W2">
        <v>117</v>
      </c>
      <c r="X2">
        <v>105</v>
      </c>
      <c r="Y2">
        <v>112</v>
      </c>
      <c r="Z2">
        <v>113</v>
      </c>
      <c r="AA2">
        <v>113</v>
      </c>
      <c r="AB2">
        <v>170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30</v>
      </c>
      <c r="AJ2">
        <v>30</v>
      </c>
      <c r="AK2">
        <v>30</v>
      </c>
      <c r="AL2">
        <v>30</v>
      </c>
      <c r="AM2">
        <v>30</v>
      </c>
      <c r="AN2">
        <v>30</v>
      </c>
      <c r="AO2">
        <v>30</v>
      </c>
      <c r="AP2">
        <v>30</v>
      </c>
      <c r="AQ2">
        <v>30</v>
      </c>
      <c r="AR2">
        <v>30</v>
      </c>
      <c r="AS2">
        <v>30</v>
      </c>
      <c r="AT2">
        <v>30</v>
      </c>
      <c r="AU2">
        <v>24</v>
      </c>
      <c r="AV2">
        <v>97</v>
      </c>
      <c r="AW2">
        <v>150</v>
      </c>
      <c r="AX2">
        <v>118</v>
      </c>
      <c r="AY2">
        <v>17</v>
      </c>
    </row>
    <row r="3" spans="1:51" x14ac:dyDescent="0.3">
      <c r="A3" t="s">
        <v>6606</v>
      </c>
      <c r="B3">
        <v>0</v>
      </c>
      <c r="C3">
        <v>15</v>
      </c>
      <c r="D3">
        <v>36</v>
      </c>
      <c r="E3">
        <v>129</v>
      </c>
      <c r="F3">
        <v>24</v>
      </c>
      <c r="G3">
        <v>48</v>
      </c>
      <c r="H3">
        <v>62</v>
      </c>
      <c r="I3">
        <v>20</v>
      </c>
      <c r="J3">
        <v>90</v>
      </c>
      <c r="K3">
        <v>90</v>
      </c>
      <c r="L3">
        <v>89</v>
      </c>
      <c r="M3">
        <v>0</v>
      </c>
      <c r="N3">
        <v>148</v>
      </c>
      <c r="O3">
        <v>452</v>
      </c>
      <c r="P3">
        <v>120</v>
      </c>
      <c r="Q3">
        <v>59</v>
      </c>
      <c r="R3">
        <v>95</v>
      </c>
      <c r="S3">
        <v>84</v>
      </c>
      <c r="T3">
        <v>62</v>
      </c>
      <c r="U3">
        <v>82</v>
      </c>
      <c r="V3">
        <v>149</v>
      </c>
      <c r="W3">
        <v>117</v>
      </c>
      <c r="X3">
        <v>104</v>
      </c>
      <c r="Y3">
        <v>105</v>
      </c>
      <c r="Z3">
        <v>113</v>
      </c>
      <c r="AA3">
        <v>110</v>
      </c>
      <c r="AB3">
        <v>154</v>
      </c>
      <c r="AC3">
        <v>60</v>
      </c>
      <c r="AD3">
        <v>88</v>
      </c>
      <c r="AE3">
        <v>88</v>
      </c>
      <c r="AF3">
        <v>85</v>
      </c>
      <c r="AG3">
        <v>87</v>
      </c>
      <c r="AH3">
        <v>85</v>
      </c>
      <c r="AI3">
        <v>20</v>
      </c>
      <c r="AJ3">
        <v>26</v>
      </c>
      <c r="AK3">
        <v>28</v>
      </c>
      <c r="AL3">
        <v>27</v>
      </c>
      <c r="AM3">
        <v>26</v>
      </c>
      <c r="AN3">
        <v>19</v>
      </c>
      <c r="AO3">
        <v>28</v>
      </c>
      <c r="AP3">
        <v>28</v>
      </c>
      <c r="AQ3">
        <v>27</v>
      </c>
      <c r="AR3">
        <v>0</v>
      </c>
      <c r="AS3">
        <v>28</v>
      </c>
      <c r="AT3">
        <v>29</v>
      </c>
      <c r="AU3">
        <v>24</v>
      </c>
      <c r="AV3">
        <v>97</v>
      </c>
      <c r="AW3">
        <v>148</v>
      </c>
      <c r="AX3">
        <v>94</v>
      </c>
      <c r="AY3">
        <v>8</v>
      </c>
    </row>
    <row r="4" spans="1:51" x14ac:dyDescent="0.3">
      <c r="A4" t="s">
        <v>6607</v>
      </c>
      <c r="B4">
        <v>0</v>
      </c>
      <c r="C4">
        <v>0</v>
      </c>
      <c r="D4">
        <v>0</v>
      </c>
      <c r="E4">
        <v>59</v>
      </c>
      <c r="F4">
        <v>0</v>
      </c>
      <c r="G4">
        <v>0</v>
      </c>
      <c r="H4">
        <v>19</v>
      </c>
      <c r="I4">
        <v>1</v>
      </c>
      <c r="J4">
        <v>59</v>
      </c>
      <c r="K4">
        <v>60</v>
      </c>
      <c r="L4">
        <v>34</v>
      </c>
      <c r="M4">
        <v>0</v>
      </c>
      <c r="N4">
        <v>86</v>
      </c>
      <c r="O4">
        <v>121</v>
      </c>
      <c r="P4">
        <v>75</v>
      </c>
      <c r="Q4">
        <v>4</v>
      </c>
      <c r="R4">
        <v>0</v>
      </c>
      <c r="S4">
        <v>0</v>
      </c>
      <c r="T4">
        <v>6</v>
      </c>
      <c r="U4">
        <v>10</v>
      </c>
      <c r="V4">
        <v>104</v>
      </c>
      <c r="W4">
        <v>102</v>
      </c>
      <c r="X4">
        <v>63</v>
      </c>
      <c r="Y4">
        <v>91</v>
      </c>
      <c r="Z4">
        <v>80</v>
      </c>
      <c r="AA4">
        <v>83</v>
      </c>
      <c r="AB4">
        <v>145</v>
      </c>
      <c r="AC4">
        <v>7</v>
      </c>
      <c r="AD4">
        <v>13</v>
      </c>
      <c r="AE4">
        <v>19</v>
      </c>
      <c r="AF4">
        <v>1</v>
      </c>
      <c r="AG4">
        <v>17</v>
      </c>
      <c r="AH4">
        <v>29</v>
      </c>
      <c r="AI4">
        <v>2</v>
      </c>
      <c r="AJ4">
        <v>11</v>
      </c>
      <c r="AK4">
        <v>11</v>
      </c>
      <c r="AL4">
        <v>4</v>
      </c>
      <c r="AM4">
        <v>9</v>
      </c>
      <c r="AN4">
        <v>3</v>
      </c>
      <c r="AO4">
        <v>13</v>
      </c>
      <c r="AP4">
        <v>2</v>
      </c>
      <c r="AQ4">
        <v>8</v>
      </c>
      <c r="AR4">
        <v>0</v>
      </c>
      <c r="AS4">
        <v>5</v>
      </c>
      <c r="AT4">
        <v>6</v>
      </c>
      <c r="AU4">
        <v>18</v>
      </c>
      <c r="AV4">
        <v>97</v>
      </c>
      <c r="AW4">
        <v>107</v>
      </c>
      <c r="AX4">
        <v>70</v>
      </c>
      <c r="AY4">
        <v>8</v>
      </c>
    </row>
    <row r="5" spans="1:51" x14ac:dyDescent="0.3">
      <c r="A5" t="s">
        <v>6608</v>
      </c>
      <c r="B5">
        <v>0</v>
      </c>
      <c r="C5">
        <v>0</v>
      </c>
      <c r="D5">
        <v>0</v>
      </c>
      <c r="E5">
        <v>48</v>
      </c>
      <c r="F5">
        <v>0</v>
      </c>
      <c r="G5">
        <v>0</v>
      </c>
      <c r="H5">
        <v>0</v>
      </c>
      <c r="I5">
        <v>1</v>
      </c>
      <c r="J5">
        <v>59</v>
      </c>
      <c r="K5">
        <v>60</v>
      </c>
      <c r="L5">
        <v>0</v>
      </c>
      <c r="M5">
        <v>0</v>
      </c>
      <c r="N5">
        <v>86</v>
      </c>
      <c r="O5">
        <v>83</v>
      </c>
      <c r="P5">
        <v>45</v>
      </c>
      <c r="Q5">
        <v>2</v>
      </c>
      <c r="R5">
        <v>0</v>
      </c>
      <c r="S5">
        <v>0</v>
      </c>
      <c r="T5">
        <v>0</v>
      </c>
      <c r="U5">
        <v>0</v>
      </c>
      <c r="V5">
        <v>104</v>
      </c>
      <c r="W5">
        <v>98</v>
      </c>
      <c r="X5">
        <v>63</v>
      </c>
      <c r="Y5">
        <v>90</v>
      </c>
      <c r="Z5">
        <v>80</v>
      </c>
      <c r="AA5">
        <v>0</v>
      </c>
      <c r="AB5">
        <v>140</v>
      </c>
      <c r="AC5">
        <v>0</v>
      </c>
      <c r="AD5">
        <v>11</v>
      </c>
      <c r="AE5">
        <v>12</v>
      </c>
      <c r="AF5">
        <v>1</v>
      </c>
      <c r="AG5">
        <v>13</v>
      </c>
      <c r="AH5">
        <v>15</v>
      </c>
      <c r="AI5">
        <v>0</v>
      </c>
      <c r="AJ5">
        <v>6</v>
      </c>
      <c r="AK5">
        <v>7</v>
      </c>
      <c r="AL5">
        <v>3</v>
      </c>
      <c r="AM5">
        <v>5</v>
      </c>
      <c r="AN5">
        <v>0</v>
      </c>
      <c r="AO5">
        <v>7</v>
      </c>
      <c r="AP5">
        <v>2</v>
      </c>
      <c r="AQ5">
        <v>6</v>
      </c>
      <c r="AR5">
        <v>0</v>
      </c>
      <c r="AS5">
        <v>5</v>
      </c>
      <c r="AT5">
        <v>4</v>
      </c>
      <c r="AU5">
        <v>18</v>
      </c>
      <c r="AV5">
        <v>83</v>
      </c>
      <c r="AW5">
        <v>107</v>
      </c>
      <c r="AX5">
        <v>70</v>
      </c>
      <c r="AY5">
        <v>8</v>
      </c>
    </row>
    <row r="6" spans="1:51" x14ac:dyDescent="0.3">
      <c r="A6" t="s">
        <v>6609</v>
      </c>
      <c r="E6">
        <v>9.15</v>
      </c>
      <c r="H6">
        <v>6.27</v>
      </c>
      <c r="I6">
        <v>9.5</v>
      </c>
      <c r="J6">
        <v>10.41</v>
      </c>
      <c r="K6">
        <v>11.91</v>
      </c>
      <c r="L6">
        <v>9.69</v>
      </c>
      <c r="N6">
        <v>10.96</v>
      </c>
      <c r="O6">
        <v>12.3</v>
      </c>
      <c r="P6">
        <v>8.35</v>
      </c>
      <c r="Q6">
        <v>9.2899999999999991</v>
      </c>
      <c r="T6">
        <v>6.72</v>
      </c>
      <c r="U6">
        <v>8.4600000000000009</v>
      </c>
      <c r="V6">
        <v>10.81</v>
      </c>
      <c r="W6">
        <v>14.98</v>
      </c>
      <c r="X6">
        <v>15.48</v>
      </c>
      <c r="Y6">
        <v>12.74</v>
      </c>
      <c r="Z6">
        <v>15.6</v>
      </c>
      <c r="AA6">
        <v>11.09</v>
      </c>
      <c r="AB6">
        <v>15.6</v>
      </c>
      <c r="AC6">
        <v>12.3</v>
      </c>
      <c r="AD6">
        <v>9.43</v>
      </c>
      <c r="AE6">
        <v>7.87</v>
      </c>
      <c r="AF6">
        <v>9.15</v>
      </c>
      <c r="AG6">
        <v>7.37</v>
      </c>
      <c r="AH6">
        <v>11.6</v>
      </c>
      <c r="AI6">
        <v>7.56</v>
      </c>
      <c r="AJ6">
        <v>9.76</v>
      </c>
      <c r="AK6">
        <v>6.53</v>
      </c>
      <c r="AL6">
        <v>6.72</v>
      </c>
      <c r="AM6">
        <v>8.0399999999999991</v>
      </c>
      <c r="AN6">
        <v>3.82</v>
      </c>
      <c r="AO6">
        <v>7.58</v>
      </c>
      <c r="AP6">
        <v>8.33</v>
      </c>
      <c r="AQ6">
        <v>5.5</v>
      </c>
      <c r="AS6">
        <v>10.61</v>
      </c>
      <c r="AT6">
        <v>8.14</v>
      </c>
      <c r="AU6">
        <v>13.75</v>
      </c>
      <c r="AV6">
        <v>13.46</v>
      </c>
      <c r="AW6">
        <v>13.6</v>
      </c>
      <c r="AX6">
        <v>13.31</v>
      </c>
      <c r="AY6">
        <v>11.23</v>
      </c>
    </row>
    <row r="7" spans="1:51" x14ac:dyDescent="0.3">
      <c r="A7" t="s">
        <v>6610</v>
      </c>
      <c r="B7" t="s">
        <v>74</v>
      </c>
      <c r="C7" t="s">
        <v>1268</v>
      </c>
      <c r="D7" t="s">
        <v>1268</v>
      </c>
      <c r="E7" t="s">
        <v>1268</v>
      </c>
      <c r="F7" t="s">
        <v>1268</v>
      </c>
      <c r="G7" t="s">
        <v>1268</v>
      </c>
      <c r="H7" t="s">
        <v>1268</v>
      </c>
      <c r="I7" t="s">
        <v>1268</v>
      </c>
      <c r="J7" t="s">
        <v>1268</v>
      </c>
      <c r="K7" t="s">
        <v>1268</v>
      </c>
      <c r="L7" t="s">
        <v>1268</v>
      </c>
      <c r="M7" t="s">
        <v>74</v>
      </c>
      <c r="N7" t="s">
        <v>1268</v>
      </c>
      <c r="O7" t="s">
        <v>1268</v>
      </c>
      <c r="P7" t="s">
        <v>1268</v>
      </c>
      <c r="Q7" t="s">
        <v>1268</v>
      </c>
      <c r="R7" t="s">
        <v>1268</v>
      </c>
      <c r="S7" t="s">
        <v>1268</v>
      </c>
      <c r="T7" t="s">
        <v>1268</v>
      </c>
      <c r="U7" t="s">
        <v>1268</v>
      </c>
      <c r="V7" t="s">
        <v>1268</v>
      </c>
      <c r="W7" t="s">
        <v>1268</v>
      </c>
      <c r="X7" t="s">
        <v>1268</v>
      </c>
      <c r="Y7" t="s">
        <v>1268</v>
      </c>
      <c r="Z7" t="s">
        <v>1268</v>
      </c>
      <c r="AA7" t="s">
        <v>3096</v>
      </c>
      <c r="AB7" t="s">
        <v>1268</v>
      </c>
      <c r="AC7" t="s">
        <v>1268</v>
      </c>
      <c r="AD7" t="s">
        <v>1268</v>
      </c>
      <c r="AE7" t="s">
        <v>1268</v>
      </c>
      <c r="AF7" t="s">
        <v>1268</v>
      </c>
      <c r="AG7" t="s">
        <v>1268</v>
      </c>
      <c r="AH7" t="s">
        <v>1268</v>
      </c>
      <c r="AI7" t="s">
        <v>1268</v>
      </c>
      <c r="AJ7" t="s">
        <v>1268</v>
      </c>
      <c r="AK7" t="s">
        <v>1268</v>
      </c>
      <c r="AL7" t="s">
        <v>1268</v>
      </c>
      <c r="AM7" t="s">
        <v>1268</v>
      </c>
      <c r="AN7" t="s">
        <v>1268</v>
      </c>
      <c r="AO7" t="s">
        <v>1268</v>
      </c>
      <c r="AP7" t="s">
        <v>1268</v>
      </c>
      <c r="AQ7" t="s">
        <v>1268</v>
      </c>
      <c r="AR7" t="s">
        <v>74</v>
      </c>
      <c r="AS7" t="s">
        <v>1268</v>
      </c>
      <c r="AT7" t="s">
        <v>1268</v>
      </c>
      <c r="AU7" t="s">
        <v>1268</v>
      </c>
      <c r="AV7" t="s">
        <v>74</v>
      </c>
      <c r="AW7" t="s">
        <v>1268</v>
      </c>
      <c r="AX7" t="s">
        <v>1268</v>
      </c>
      <c r="AY7" t="s">
        <v>74</v>
      </c>
    </row>
    <row r="8" spans="1:51" x14ac:dyDescent="0.3">
      <c r="A8" t="s">
        <v>6611</v>
      </c>
      <c r="B8" t="s">
        <v>53</v>
      </c>
      <c r="C8" t="s">
        <v>53</v>
      </c>
      <c r="D8" t="s">
        <v>54</v>
      </c>
      <c r="E8" t="s">
        <v>54</v>
      </c>
      <c r="F8" t="s">
        <v>65</v>
      </c>
      <c r="G8" t="s">
        <v>65</v>
      </c>
      <c r="H8" t="s">
        <v>54</v>
      </c>
      <c r="I8" t="s">
        <v>49</v>
      </c>
      <c r="J8" t="s">
        <v>54</v>
      </c>
      <c r="K8" t="s">
        <v>54</v>
      </c>
      <c r="L8" t="s">
        <v>54</v>
      </c>
      <c r="M8" t="s">
        <v>54</v>
      </c>
      <c r="N8" t="s">
        <v>53</v>
      </c>
      <c r="O8" t="s">
        <v>53</v>
      </c>
      <c r="P8" t="s">
        <v>53</v>
      </c>
      <c r="Q8" t="s">
        <v>53</v>
      </c>
      <c r="R8" t="s">
        <v>49</v>
      </c>
      <c r="S8" t="s">
        <v>49</v>
      </c>
      <c r="T8" t="s">
        <v>54</v>
      </c>
      <c r="U8" t="s">
        <v>53</v>
      </c>
      <c r="V8" t="s">
        <v>49</v>
      </c>
      <c r="W8" t="s">
        <v>53</v>
      </c>
      <c r="X8" t="s">
        <v>53</v>
      </c>
      <c r="Y8" t="s">
        <v>53</v>
      </c>
      <c r="Z8" t="s">
        <v>49</v>
      </c>
      <c r="AA8" t="s">
        <v>53</v>
      </c>
      <c r="AB8" t="s">
        <v>53</v>
      </c>
      <c r="AC8" t="s">
        <v>53</v>
      </c>
      <c r="AD8" t="s">
        <v>53</v>
      </c>
      <c r="AE8" t="s">
        <v>54</v>
      </c>
      <c r="AF8" t="s">
        <v>53</v>
      </c>
      <c r="AG8" t="s">
        <v>53</v>
      </c>
      <c r="AH8" t="s">
        <v>53</v>
      </c>
      <c r="AI8" t="s">
        <v>53</v>
      </c>
      <c r="AJ8" t="s">
        <v>53</v>
      </c>
      <c r="AK8" t="s">
        <v>54</v>
      </c>
      <c r="AL8" t="s">
        <v>53</v>
      </c>
      <c r="AM8" t="s">
        <v>53</v>
      </c>
      <c r="AN8" t="s">
        <v>54</v>
      </c>
      <c r="AO8" t="s">
        <v>54</v>
      </c>
      <c r="AP8" t="s">
        <v>49</v>
      </c>
      <c r="AQ8" t="s">
        <v>54</v>
      </c>
      <c r="AR8" t="s">
        <v>54</v>
      </c>
      <c r="AS8" t="s">
        <v>49</v>
      </c>
      <c r="AT8" t="s">
        <v>54</v>
      </c>
      <c r="AU8" t="s">
        <v>54</v>
      </c>
      <c r="AV8" t="s">
        <v>53</v>
      </c>
      <c r="AW8" t="s">
        <v>53</v>
      </c>
      <c r="AX8" t="s">
        <v>54</v>
      </c>
      <c r="AY8" t="s">
        <v>55</v>
      </c>
    </row>
    <row r="9" spans="1:51" x14ac:dyDescent="0.3">
      <c r="A9" t="s">
        <v>6612</v>
      </c>
      <c r="B9" t="s">
        <v>55</v>
      </c>
      <c r="C9" t="s">
        <v>1414</v>
      </c>
      <c r="D9" t="s">
        <v>63</v>
      </c>
      <c r="E9" t="s">
        <v>49</v>
      </c>
      <c r="F9" t="s">
        <v>63</v>
      </c>
      <c r="G9" t="s">
        <v>63</v>
      </c>
      <c r="H9" t="s">
        <v>63</v>
      </c>
      <c r="I9" t="s">
        <v>65</v>
      </c>
      <c r="J9" t="s">
        <v>51</v>
      </c>
      <c r="K9" t="s">
        <v>51</v>
      </c>
      <c r="L9" t="s">
        <v>51</v>
      </c>
      <c r="M9" t="s">
        <v>51</v>
      </c>
      <c r="N9" t="s">
        <v>1414</v>
      </c>
      <c r="O9" t="s">
        <v>54</v>
      </c>
      <c r="P9" t="s">
        <v>54</v>
      </c>
      <c r="Q9" t="s">
        <v>54</v>
      </c>
      <c r="R9" t="s">
        <v>55</v>
      </c>
      <c r="S9" t="s">
        <v>55</v>
      </c>
      <c r="T9" t="s">
        <v>55</v>
      </c>
      <c r="U9" t="s">
        <v>54</v>
      </c>
      <c r="V9" t="s">
        <v>65</v>
      </c>
      <c r="W9" t="s">
        <v>54</v>
      </c>
      <c r="X9" t="s">
        <v>54</v>
      </c>
      <c r="Y9" t="s">
        <v>54</v>
      </c>
      <c r="Z9" t="s">
        <v>55</v>
      </c>
      <c r="AA9" t="s">
        <v>54</v>
      </c>
      <c r="AB9" t="s">
        <v>54</v>
      </c>
      <c r="AC9" t="s">
        <v>54</v>
      </c>
      <c r="AD9" t="s">
        <v>54</v>
      </c>
      <c r="AE9" t="s">
        <v>49</v>
      </c>
      <c r="AF9" t="s">
        <v>49</v>
      </c>
      <c r="AG9" t="s">
        <v>54</v>
      </c>
      <c r="AH9" t="s">
        <v>54</v>
      </c>
      <c r="AI9" t="s">
        <v>54</v>
      </c>
      <c r="AJ9" t="s">
        <v>54</v>
      </c>
      <c r="AK9" t="s">
        <v>49</v>
      </c>
      <c r="AL9" t="s">
        <v>49</v>
      </c>
      <c r="AM9" t="s">
        <v>54</v>
      </c>
      <c r="AN9" t="s">
        <v>65</v>
      </c>
      <c r="AO9" t="s">
        <v>49</v>
      </c>
      <c r="AP9" t="s">
        <v>65</v>
      </c>
      <c r="AQ9" t="s">
        <v>49</v>
      </c>
      <c r="AR9" t="s">
        <v>51</v>
      </c>
      <c r="AS9" t="s">
        <v>51</v>
      </c>
      <c r="AT9" t="s">
        <v>49</v>
      </c>
      <c r="AU9" t="s">
        <v>1414</v>
      </c>
      <c r="AV9" t="s">
        <v>54</v>
      </c>
      <c r="AW9" t="s">
        <v>1414</v>
      </c>
      <c r="AX9" t="s">
        <v>55</v>
      </c>
      <c r="AY9" t="s">
        <v>1414</v>
      </c>
    </row>
    <row r="10" spans="1:51" x14ac:dyDescent="0.3">
      <c r="A10" t="s">
        <v>6613</v>
      </c>
      <c r="B10" t="s">
        <v>6614</v>
      </c>
      <c r="C10" t="s">
        <v>6615</v>
      </c>
      <c r="D10" t="s">
        <v>6616</v>
      </c>
      <c r="E10" t="s">
        <v>6617</v>
      </c>
      <c r="F10" t="s">
        <v>6618</v>
      </c>
      <c r="G10" t="s">
        <v>6619</v>
      </c>
      <c r="H10" t="s">
        <v>6620</v>
      </c>
      <c r="I10" t="s">
        <v>6621</v>
      </c>
      <c r="J10" t="s">
        <v>6622</v>
      </c>
      <c r="K10" t="s">
        <v>6623</v>
      </c>
      <c r="L10" t="s">
        <v>6624</v>
      </c>
      <c r="M10" t="s">
        <v>6625</v>
      </c>
      <c r="N10" t="s">
        <v>6626</v>
      </c>
      <c r="O10" t="s">
        <v>6627</v>
      </c>
      <c r="P10" t="s">
        <v>6628</v>
      </c>
      <c r="Q10" t="s">
        <v>6629</v>
      </c>
      <c r="R10" t="s">
        <v>6630</v>
      </c>
      <c r="S10" t="s">
        <v>6631</v>
      </c>
      <c r="T10" t="s">
        <v>6632</v>
      </c>
      <c r="U10" t="s">
        <v>6633</v>
      </c>
      <c r="V10" t="s">
        <v>6634</v>
      </c>
      <c r="W10" t="s">
        <v>6635</v>
      </c>
      <c r="X10" t="s">
        <v>6636</v>
      </c>
      <c r="Y10" t="s">
        <v>6637</v>
      </c>
      <c r="Z10" t="s">
        <v>6638</v>
      </c>
      <c r="AA10" t="s">
        <v>6639</v>
      </c>
      <c r="AB10" t="s">
        <v>6640</v>
      </c>
      <c r="AC10" t="s">
        <v>6641</v>
      </c>
      <c r="AD10" t="s">
        <v>6642</v>
      </c>
      <c r="AE10" t="s">
        <v>6643</v>
      </c>
      <c r="AF10" t="s">
        <v>6644</v>
      </c>
      <c r="AG10" t="s">
        <v>6645</v>
      </c>
      <c r="AH10" t="s">
        <v>6646</v>
      </c>
      <c r="AI10" t="s">
        <v>6647</v>
      </c>
      <c r="AJ10" t="s">
        <v>6648</v>
      </c>
      <c r="AK10" t="s">
        <v>6649</v>
      </c>
      <c r="AL10" t="s">
        <v>6650</v>
      </c>
      <c r="AM10" t="s">
        <v>6651</v>
      </c>
      <c r="AN10" t="s">
        <v>6652</v>
      </c>
      <c r="AO10" t="s">
        <v>6653</v>
      </c>
      <c r="AP10" t="s">
        <v>6654</v>
      </c>
      <c r="AQ10" t="s">
        <v>6655</v>
      </c>
      <c r="AR10" t="s">
        <v>6656</v>
      </c>
      <c r="AS10" t="s">
        <v>6657</v>
      </c>
      <c r="AT10" t="s">
        <v>6658</v>
      </c>
      <c r="AU10" t="s">
        <v>6659</v>
      </c>
      <c r="AV10" t="s">
        <v>6660</v>
      </c>
      <c r="AW10" t="s">
        <v>6661</v>
      </c>
      <c r="AX10" t="s">
        <v>6662</v>
      </c>
      <c r="AY10" t="s">
        <v>6663</v>
      </c>
    </row>
    <row r="11" spans="1:51" x14ac:dyDescent="0.3">
      <c r="A11" t="s">
        <v>6664</v>
      </c>
      <c r="B11" t="s">
        <v>6665</v>
      </c>
      <c r="C11" t="s">
        <v>96</v>
      </c>
      <c r="D11" t="s">
        <v>379</v>
      </c>
      <c r="E11" t="s">
        <v>382</v>
      </c>
      <c r="F11" t="s">
        <v>384</v>
      </c>
      <c r="G11" t="s">
        <v>386</v>
      </c>
      <c r="H11" t="s">
        <v>388</v>
      </c>
      <c r="I11" t="s">
        <v>389</v>
      </c>
      <c r="J11" t="s">
        <v>392</v>
      </c>
      <c r="K11" t="s">
        <v>395</v>
      </c>
      <c r="L11" t="s">
        <v>397</v>
      </c>
      <c r="M11" t="s">
        <v>399</v>
      </c>
      <c r="N11" t="s">
        <v>128</v>
      </c>
      <c r="O11" t="s">
        <v>6666</v>
      </c>
      <c r="P11" t="s">
        <v>160</v>
      </c>
      <c r="Q11" t="s">
        <v>430</v>
      </c>
      <c r="R11" t="s">
        <v>439</v>
      </c>
      <c r="S11" t="s">
        <v>448</v>
      </c>
      <c r="T11" t="s">
        <v>456</v>
      </c>
      <c r="U11" t="s">
        <v>464</v>
      </c>
      <c r="V11" t="s">
        <v>180</v>
      </c>
      <c r="W11" t="s">
        <v>474</v>
      </c>
      <c r="X11" t="s">
        <v>485</v>
      </c>
      <c r="Y11" t="s">
        <v>496</v>
      </c>
      <c r="Z11" t="s">
        <v>505</v>
      </c>
      <c r="AA11" t="s">
        <v>509</v>
      </c>
      <c r="AB11" t="s">
        <v>6667</v>
      </c>
      <c r="AC11" t="s">
        <v>532</v>
      </c>
      <c r="AD11" t="s">
        <v>542</v>
      </c>
      <c r="AE11" t="s">
        <v>548</v>
      </c>
      <c r="AF11" t="s">
        <v>558</v>
      </c>
      <c r="AG11" t="s">
        <v>568</v>
      </c>
      <c r="AH11" t="s">
        <v>578</v>
      </c>
      <c r="AI11" t="s">
        <v>588</v>
      </c>
      <c r="AJ11" t="s">
        <v>597</v>
      </c>
      <c r="AK11" t="s">
        <v>602</v>
      </c>
      <c r="AL11" t="s">
        <v>611</v>
      </c>
      <c r="AM11" t="s">
        <v>620</v>
      </c>
      <c r="AN11" t="s">
        <v>629</v>
      </c>
      <c r="AO11" t="s">
        <v>637</v>
      </c>
      <c r="AP11" t="s">
        <v>641</v>
      </c>
      <c r="AQ11" t="s">
        <v>649</v>
      </c>
      <c r="AR11" t="s">
        <v>657</v>
      </c>
      <c r="AS11" t="s">
        <v>660</v>
      </c>
      <c r="AT11" t="s">
        <v>663</v>
      </c>
      <c r="AU11" t="s">
        <v>666</v>
      </c>
      <c r="AV11" t="s">
        <v>685</v>
      </c>
      <c r="AW11" t="s">
        <v>691</v>
      </c>
      <c r="AX11" t="s">
        <v>6668</v>
      </c>
      <c r="AY11" t="s">
        <v>702</v>
      </c>
    </row>
    <row r="12" spans="1:51" x14ac:dyDescent="0.3">
      <c r="A12" t="s">
        <v>6669</v>
      </c>
      <c r="B12">
        <v>0</v>
      </c>
      <c r="C12">
        <v>0</v>
      </c>
      <c r="D12">
        <v>0</v>
      </c>
      <c r="E12">
        <v>59</v>
      </c>
      <c r="F12">
        <v>0</v>
      </c>
      <c r="G12">
        <v>0</v>
      </c>
      <c r="H12">
        <v>19</v>
      </c>
      <c r="I12">
        <v>1</v>
      </c>
      <c r="J12">
        <v>59</v>
      </c>
      <c r="K12">
        <v>60</v>
      </c>
      <c r="L12">
        <v>34</v>
      </c>
      <c r="M12">
        <v>0</v>
      </c>
      <c r="N12">
        <v>86</v>
      </c>
      <c r="O12">
        <v>121</v>
      </c>
      <c r="P12">
        <v>75</v>
      </c>
      <c r="Q12">
        <v>4</v>
      </c>
      <c r="R12">
        <v>0</v>
      </c>
      <c r="S12">
        <v>0</v>
      </c>
      <c r="T12">
        <v>6</v>
      </c>
      <c r="U12">
        <v>10</v>
      </c>
      <c r="V12">
        <v>104</v>
      </c>
      <c r="W12">
        <v>102</v>
      </c>
      <c r="X12">
        <v>63</v>
      </c>
      <c r="Y12">
        <v>91</v>
      </c>
      <c r="Z12">
        <v>80</v>
      </c>
      <c r="AA12">
        <v>83</v>
      </c>
      <c r="AB12">
        <v>145</v>
      </c>
      <c r="AC12">
        <v>7</v>
      </c>
      <c r="AD12">
        <v>13</v>
      </c>
      <c r="AE12">
        <v>19</v>
      </c>
      <c r="AF12">
        <v>1</v>
      </c>
      <c r="AG12">
        <v>17</v>
      </c>
      <c r="AH12">
        <v>29</v>
      </c>
      <c r="AI12">
        <v>2</v>
      </c>
      <c r="AJ12">
        <v>11</v>
      </c>
      <c r="AK12">
        <v>11</v>
      </c>
      <c r="AL12">
        <v>4</v>
      </c>
      <c r="AM12">
        <v>9</v>
      </c>
      <c r="AN12">
        <v>3</v>
      </c>
      <c r="AO12">
        <v>13</v>
      </c>
      <c r="AP12">
        <v>2</v>
      </c>
      <c r="AQ12">
        <v>8</v>
      </c>
      <c r="AR12">
        <v>0</v>
      </c>
      <c r="AS12">
        <v>5</v>
      </c>
      <c r="AT12">
        <v>6</v>
      </c>
      <c r="AU12">
        <v>18</v>
      </c>
      <c r="AV12">
        <v>97</v>
      </c>
      <c r="AW12">
        <v>107</v>
      </c>
      <c r="AX12">
        <v>70</v>
      </c>
      <c r="AY12">
        <v>8</v>
      </c>
    </row>
    <row r="13" spans="1:51" x14ac:dyDescent="0.3">
      <c r="A13" t="s">
        <v>6670</v>
      </c>
      <c r="B13">
        <v>0</v>
      </c>
      <c r="C13">
        <v>13</v>
      </c>
      <c r="D13">
        <v>36</v>
      </c>
      <c r="E13">
        <v>70</v>
      </c>
      <c r="F13">
        <v>24</v>
      </c>
      <c r="G13">
        <v>48</v>
      </c>
      <c r="H13">
        <v>43</v>
      </c>
      <c r="I13">
        <v>18</v>
      </c>
      <c r="J13">
        <v>29</v>
      </c>
      <c r="K13">
        <v>29</v>
      </c>
      <c r="L13">
        <v>55</v>
      </c>
      <c r="M13">
        <v>0</v>
      </c>
      <c r="N13">
        <v>57</v>
      </c>
      <c r="O13">
        <v>308</v>
      </c>
      <c r="P13">
        <v>43</v>
      </c>
      <c r="Q13">
        <v>40</v>
      </c>
      <c r="R13">
        <v>57</v>
      </c>
      <c r="S13">
        <v>29</v>
      </c>
      <c r="T13">
        <v>38</v>
      </c>
      <c r="U13">
        <v>55</v>
      </c>
      <c r="V13">
        <v>30</v>
      </c>
      <c r="W13">
        <v>15</v>
      </c>
      <c r="X13">
        <v>41</v>
      </c>
      <c r="Y13">
        <v>14</v>
      </c>
      <c r="Z13">
        <v>33</v>
      </c>
      <c r="AA13">
        <v>27</v>
      </c>
      <c r="AB13">
        <v>9</v>
      </c>
      <c r="AC13">
        <v>44</v>
      </c>
      <c r="AD13">
        <v>72</v>
      </c>
      <c r="AE13">
        <v>51</v>
      </c>
      <c r="AF13">
        <v>44</v>
      </c>
      <c r="AG13">
        <v>39</v>
      </c>
      <c r="AH13">
        <v>37</v>
      </c>
      <c r="AI13">
        <v>15</v>
      </c>
      <c r="AJ13">
        <v>15</v>
      </c>
      <c r="AK13">
        <v>15</v>
      </c>
      <c r="AL13">
        <v>20</v>
      </c>
      <c r="AM13">
        <v>12</v>
      </c>
      <c r="AN13">
        <v>13</v>
      </c>
      <c r="AO13">
        <v>14</v>
      </c>
      <c r="AP13">
        <v>20</v>
      </c>
      <c r="AQ13">
        <v>15</v>
      </c>
      <c r="AR13">
        <v>0</v>
      </c>
      <c r="AS13">
        <v>22</v>
      </c>
      <c r="AT13">
        <v>21</v>
      </c>
      <c r="AU13">
        <v>6</v>
      </c>
      <c r="AV13">
        <v>0</v>
      </c>
      <c r="AW13">
        <v>41</v>
      </c>
      <c r="AX13">
        <v>24</v>
      </c>
      <c r="AY13">
        <v>0</v>
      </c>
    </row>
    <row r="14" spans="1:51" x14ac:dyDescent="0.3">
      <c r="A14" t="s">
        <v>6671</v>
      </c>
      <c r="B14">
        <v>0</v>
      </c>
      <c r="C14">
        <v>2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2</v>
      </c>
      <c r="K14">
        <v>1</v>
      </c>
      <c r="L14">
        <v>0</v>
      </c>
      <c r="M14">
        <v>0</v>
      </c>
      <c r="N14">
        <v>5</v>
      </c>
      <c r="O14">
        <v>23</v>
      </c>
      <c r="P14">
        <v>2</v>
      </c>
      <c r="Q14">
        <v>15</v>
      </c>
      <c r="R14">
        <v>38</v>
      </c>
      <c r="S14">
        <v>55</v>
      </c>
      <c r="T14">
        <v>18</v>
      </c>
      <c r="U14">
        <v>17</v>
      </c>
      <c r="V14">
        <v>15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9</v>
      </c>
      <c r="AD14">
        <v>3</v>
      </c>
      <c r="AE14">
        <v>18</v>
      </c>
      <c r="AF14">
        <v>40</v>
      </c>
      <c r="AG14">
        <v>31</v>
      </c>
      <c r="AH14">
        <v>19</v>
      </c>
      <c r="AI14">
        <v>3</v>
      </c>
      <c r="AJ14">
        <v>0</v>
      </c>
      <c r="AK14">
        <v>2</v>
      </c>
      <c r="AL14">
        <v>3</v>
      </c>
      <c r="AM14">
        <v>5</v>
      </c>
      <c r="AN14">
        <v>3</v>
      </c>
      <c r="AO14">
        <v>1</v>
      </c>
      <c r="AP14">
        <v>6</v>
      </c>
      <c r="AQ14">
        <v>4</v>
      </c>
      <c r="AR14">
        <v>0</v>
      </c>
      <c r="AS14">
        <v>1</v>
      </c>
      <c r="AT14">
        <v>2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6672</v>
      </c>
      <c r="B15">
        <v>42</v>
      </c>
      <c r="C15">
        <v>96</v>
      </c>
      <c r="D15">
        <v>0</v>
      </c>
      <c r="E15">
        <v>3</v>
      </c>
      <c r="F15">
        <v>52</v>
      </c>
      <c r="G15">
        <v>12</v>
      </c>
      <c r="H15">
        <v>2</v>
      </c>
      <c r="I15">
        <v>1</v>
      </c>
      <c r="J15">
        <v>0</v>
      </c>
      <c r="K15">
        <v>0</v>
      </c>
      <c r="L15">
        <v>1</v>
      </c>
      <c r="M15">
        <v>50</v>
      </c>
      <c r="N15">
        <v>17</v>
      </c>
      <c r="O15">
        <v>35</v>
      </c>
      <c r="P15">
        <v>9</v>
      </c>
      <c r="Q15">
        <v>58</v>
      </c>
      <c r="R15">
        <v>23</v>
      </c>
      <c r="S15">
        <v>30</v>
      </c>
      <c r="T15">
        <v>56</v>
      </c>
      <c r="U15">
        <v>37</v>
      </c>
      <c r="V15">
        <v>1</v>
      </c>
      <c r="W15">
        <v>0</v>
      </c>
      <c r="X15">
        <v>1</v>
      </c>
      <c r="Y15">
        <v>7</v>
      </c>
      <c r="Z15">
        <v>0</v>
      </c>
      <c r="AA15">
        <v>2</v>
      </c>
      <c r="AB15">
        <v>16</v>
      </c>
      <c r="AC15">
        <v>38</v>
      </c>
      <c r="AD15">
        <v>7</v>
      </c>
      <c r="AE15">
        <v>11</v>
      </c>
      <c r="AF15">
        <v>14</v>
      </c>
      <c r="AG15">
        <v>12</v>
      </c>
      <c r="AH15">
        <v>9</v>
      </c>
      <c r="AI15">
        <v>9</v>
      </c>
      <c r="AJ15">
        <v>1</v>
      </c>
      <c r="AK15">
        <v>1</v>
      </c>
      <c r="AL15">
        <v>1</v>
      </c>
      <c r="AM15">
        <v>2</v>
      </c>
      <c r="AN15">
        <v>11</v>
      </c>
      <c r="AO15">
        <v>1</v>
      </c>
      <c r="AP15">
        <v>0</v>
      </c>
      <c r="AQ15">
        <v>0</v>
      </c>
      <c r="AR15">
        <v>30</v>
      </c>
      <c r="AS15">
        <v>1</v>
      </c>
      <c r="AT15">
        <v>0</v>
      </c>
      <c r="AU15">
        <v>0</v>
      </c>
      <c r="AV15">
        <v>0</v>
      </c>
      <c r="AW15">
        <v>2</v>
      </c>
      <c r="AX15">
        <v>12</v>
      </c>
      <c r="AY15">
        <v>5</v>
      </c>
    </row>
    <row r="16" spans="1:51" x14ac:dyDescent="0.3">
      <c r="A16" t="s">
        <v>6673</v>
      </c>
      <c r="B16">
        <v>0</v>
      </c>
      <c r="C16">
        <v>21</v>
      </c>
      <c r="D16">
        <v>0</v>
      </c>
      <c r="E16">
        <v>12</v>
      </c>
      <c r="F16">
        <v>4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6</v>
      </c>
      <c r="O16">
        <v>13</v>
      </c>
      <c r="P16">
        <v>6</v>
      </c>
      <c r="Q16">
        <v>2</v>
      </c>
      <c r="R16">
        <v>2</v>
      </c>
      <c r="S16">
        <v>6</v>
      </c>
      <c r="T16">
        <v>2</v>
      </c>
      <c r="U16">
        <v>0</v>
      </c>
      <c r="V16">
        <v>15</v>
      </c>
      <c r="W16">
        <v>0</v>
      </c>
      <c r="X16">
        <v>0</v>
      </c>
      <c r="Y16">
        <v>0</v>
      </c>
      <c r="Z16">
        <v>0</v>
      </c>
      <c r="AA16">
        <v>1</v>
      </c>
      <c r="AB16">
        <v>0</v>
      </c>
      <c r="AC16">
        <v>2</v>
      </c>
      <c r="AD16">
        <v>4</v>
      </c>
      <c r="AE16">
        <v>1</v>
      </c>
      <c r="AF16">
        <v>1</v>
      </c>
      <c r="AG16">
        <v>0</v>
      </c>
      <c r="AH16">
        <v>5</v>
      </c>
      <c r="AI16">
        <v>0</v>
      </c>
      <c r="AJ16">
        <v>3</v>
      </c>
      <c r="AK16">
        <v>1</v>
      </c>
      <c r="AL16">
        <v>2</v>
      </c>
      <c r="AM16">
        <v>2</v>
      </c>
      <c r="AN16">
        <v>0</v>
      </c>
      <c r="AO16">
        <v>1</v>
      </c>
      <c r="AP16">
        <v>2</v>
      </c>
      <c r="AQ16">
        <v>3</v>
      </c>
      <c r="AR16">
        <v>0</v>
      </c>
      <c r="AS16">
        <v>1</v>
      </c>
      <c r="AT16">
        <v>1</v>
      </c>
      <c r="AU16">
        <v>0</v>
      </c>
      <c r="AV16">
        <v>0</v>
      </c>
      <c r="AW16">
        <v>0</v>
      </c>
      <c r="AX16">
        <v>12</v>
      </c>
      <c r="AY16">
        <v>4</v>
      </c>
    </row>
    <row r="17" spans="1:51" x14ac:dyDescent="0.3">
      <c r="A17" t="s">
        <v>6674</v>
      </c>
      <c r="B17">
        <v>0</v>
      </c>
      <c r="C17">
        <v>11</v>
      </c>
      <c r="D17">
        <v>3</v>
      </c>
      <c r="E17">
        <v>2</v>
      </c>
      <c r="F17">
        <v>4</v>
      </c>
      <c r="G17">
        <v>8</v>
      </c>
      <c r="H17">
        <v>0</v>
      </c>
      <c r="I17">
        <v>5</v>
      </c>
      <c r="J17">
        <v>0</v>
      </c>
      <c r="K17">
        <v>5</v>
      </c>
      <c r="L17">
        <v>9</v>
      </c>
      <c r="M17">
        <v>0</v>
      </c>
      <c r="N17">
        <v>0</v>
      </c>
      <c r="O17">
        <v>21</v>
      </c>
      <c r="P17">
        <v>0</v>
      </c>
      <c r="Q17">
        <v>3</v>
      </c>
      <c r="R17">
        <v>8</v>
      </c>
      <c r="S17">
        <v>3</v>
      </c>
      <c r="T17">
        <v>1</v>
      </c>
      <c r="U17">
        <v>5</v>
      </c>
      <c r="V17">
        <v>0</v>
      </c>
      <c r="W17">
        <v>0</v>
      </c>
      <c r="X17">
        <v>8</v>
      </c>
      <c r="Y17">
        <v>0</v>
      </c>
      <c r="Z17">
        <v>0</v>
      </c>
      <c r="AA17">
        <v>21</v>
      </c>
      <c r="AB17">
        <v>0</v>
      </c>
      <c r="AC17">
        <v>2</v>
      </c>
      <c r="AD17">
        <v>3</v>
      </c>
      <c r="AE17">
        <v>0</v>
      </c>
      <c r="AF17">
        <v>5</v>
      </c>
      <c r="AG17">
        <v>0</v>
      </c>
      <c r="AH17">
        <v>4</v>
      </c>
      <c r="AI17">
        <v>1</v>
      </c>
      <c r="AJ17">
        <v>3</v>
      </c>
      <c r="AK17">
        <v>0</v>
      </c>
      <c r="AL17">
        <v>5</v>
      </c>
      <c r="AM17">
        <v>2</v>
      </c>
      <c r="AN17">
        <v>1</v>
      </c>
      <c r="AO17">
        <v>0</v>
      </c>
      <c r="AP17">
        <v>3</v>
      </c>
      <c r="AQ17">
        <v>0</v>
      </c>
      <c r="AR17">
        <v>0</v>
      </c>
      <c r="AS17">
        <v>1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3">
      <c r="A18" t="s">
        <v>6675</v>
      </c>
      <c r="B18">
        <v>0</v>
      </c>
      <c r="C18">
        <v>15</v>
      </c>
      <c r="D18">
        <v>36</v>
      </c>
      <c r="E18">
        <v>70</v>
      </c>
      <c r="F18">
        <v>24</v>
      </c>
      <c r="G18">
        <v>48</v>
      </c>
      <c r="H18">
        <v>43</v>
      </c>
      <c r="I18">
        <v>19</v>
      </c>
      <c r="J18">
        <v>31</v>
      </c>
      <c r="K18">
        <v>30</v>
      </c>
      <c r="L18">
        <v>55</v>
      </c>
      <c r="M18">
        <v>0</v>
      </c>
      <c r="N18">
        <v>61</v>
      </c>
      <c r="O18">
        <v>324</v>
      </c>
      <c r="P18">
        <v>44</v>
      </c>
      <c r="Q18">
        <v>55</v>
      </c>
      <c r="R18">
        <v>95</v>
      </c>
      <c r="S18">
        <v>84</v>
      </c>
      <c r="T18">
        <v>56</v>
      </c>
      <c r="U18">
        <v>72</v>
      </c>
      <c r="V18">
        <v>30</v>
      </c>
      <c r="W18">
        <v>15</v>
      </c>
      <c r="X18">
        <v>41</v>
      </c>
      <c r="Y18">
        <v>14</v>
      </c>
      <c r="Z18">
        <v>33</v>
      </c>
      <c r="AA18">
        <v>11</v>
      </c>
      <c r="AB18">
        <v>9</v>
      </c>
      <c r="AC18">
        <v>53</v>
      </c>
      <c r="AD18">
        <v>75</v>
      </c>
      <c r="AE18">
        <v>69</v>
      </c>
      <c r="AF18">
        <v>84</v>
      </c>
      <c r="AG18">
        <v>68</v>
      </c>
      <c r="AH18">
        <v>51</v>
      </c>
      <c r="AI18">
        <v>18</v>
      </c>
      <c r="AJ18">
        <v>15</v>
      </c>
      <c r="AK18">
        <v>17</v>
      </c>
      <c r="AL18">
        <v>23</v>
      </c>
      <c r="AM18">
        <v>16</v>
      </c>
      <c r="AN18">
        <v>16</v>
      </c>
      <c r="AO18">
        <v>14</v>
      </c>
      <c r="AP18">
        <v>26</v>
      </c>
      <c r="AQ18">
        <v>19</v>
      </c>
      <c r="AR18">
        <v>0</v>
      </c>
      <c r="AS18">
        <v>22</v>
      </c>
      <c r="AT18">
        <v>21</v>
      </c>
      <c r="AU18">
        <v>6</v>
      </c>
      <c r="AV18">
        <v>0</v>
      </c>
      <c r="AW18">
        <v>41</v>
      </c>
      <c r="AX18">
        <v>24</v>
      </c>
      <c r="AY18">
        <v>0</v>
      </c>
    </row>
    <row r="19" spans="1:51" x14ac:dyDescent="0.3">
      <c r="A19" t="s">
        <v>6676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2</v>
      </c>
      <c r="K19">
        <v>1</v>
      </c>
      <c r="L19">
        <v>0</v>
      </c>
      <c r="M19">
        <v>0</v>
      </c>
      <c r="N19">
        <v>4</v>
      </c>
      <c r="O19">
        <v>22</v>
      </c>
      <c r="P19">
        <v>1</v>
      </c>
      <c r="Q19">
        <v>14</v>
      </c>
      <c r="R19">
        <v>38</v>
      </c>
      <c r="S19">
        <v>55</v>
      </c>
      <c r="T19">
        <v>18</v>
      </c>
      <c r="U19">
        <v>17</v>
      </c>
      <c r="V19">
        <v>15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9</v>
      </c>
      <c r="AD19">
        <v>3</v>
      </c>
      <c r="AE19">
        <v>18</v>
      </c>
      <c r="AF19">
        <v>40</v>
      </c>
      <c r="AG19">
        <v>31</v>
      </c>
      <c r="AH19">
        <v>19</v>
      </c>
      <c r="AI19">
        <v>3</v>
      </c>
      <c r="AJ19">
        <v>0</v>
      </c>
      <c r="AK19">
        <v>2</v>
      </c>
      <c r="AL19">
        <v>3</v>
      </c>
      <c r="AM19">
        <v>5</v>
      </c>
      <c r="AN19">
        <v>3</v>
      </c>
      <c r="AO19">
        <v>1</v>
      </c>
      <c r="AP19">
        <v>6</v>
      </c>
      <c r="AQ19">
        <v>4</v>
      </c>
      <c r="AR19">
        <v>0</v>
      </c>
      <c r="AS19">
        <v>1</v>
      </c>
      <c r="AT19">
        <v>1</v>
      </c>
      <c r="AU19">
        <v>0</v>
      </c>
      <c r="AV19">
        <v>0</v>
      </c>
      <c r="AW19">
        <v>0</v>
      </c>
      <c r="AX19">
        <v>0</v>
      </c>
      <c r="AY19">
        <v>0</v>
      </c>
    </row>
    <row r="20" spans="1:51" x14ac:dyDescent="0.3">
      <c r="A20" t="s">
        <v>6677</v>
      </c>
      <c r="B20">
        <v>0</v>
      </c>
      <c r="C20">
        <v>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1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6678</v>
      </c>
      <c r="B21" t="s">
        <v>6679</v>
      </c>
      <c r="C21" t="s">
        <v>6680</v>
      </c>
      <c r="D21" t="s">
        <v>6679</v>
      </c>
      <c r="E21" t="s">
        <v>6681</v>
      </c>
      <c r="F21" t="s">
        <v>6679</v>
      </c>
      <c r="G21" t="s">
        <v>6679</v>
      </c>
      <c r="H21" t="s">
        <v>6679</v>
      </c>
      <c r="I21" t="s">
        <v>6682</v>
      </c>
      <c r="J21" t="s">
        <v>6683</v>
      </c>
      <c r="K21" t="s">
        <v>6684</v>
      </c>
      <c r="L21" t="s">
        <v>6679</v>
      </c>
      <c r="M21" t="s">
        <v>6679</v>
      </c>
      <c r="N21" t="s">
        <v>6685</v>
      </c>
      <c r="O21" t="s">
        <v>6686</v>
      </c>
      <c r="P21" t="s">
        <v>6687</v>
      </c>
      <c r="Q21" t="s">
        <v>6679</v>
      </c>
      <c r="R21" t="s">
        <v>6688</v>
      </c>
      <c r="S21" t="s">
        <v>6689</v>
      </c>
      <c r="T21" t="s">
        <v>6679</v>
      </c>
      <c r="U21" t="s">
        <v>6679</v>
      </c>
      <c r="V21" t="s">
        <v>6690</v>
      </c>
      <c r="W21" t="s">
        <v>6691</v>
      </c>
      <c r="X21" t="s">
        <v>6692</v>
      </c>
      <c r="Y21" t="s">
        <v>6679</v>
      </c>
      <c r="Z21" t="s">
        <v>6693</v>
      </c>
      <c r="AA21" t="s">
        <v>6679</v>
      </c>
      <c r="AB21" t="s">
        <v>6694</v>
      </c>
      <c r="AC21" t="s">
        <v>6679</v>
      </c>
      <c r="AD21" t="s">
        <v>6695</v>
      </c>
      <c r="AE21" t="s">
        <v>6696</v>
      </c>
      <c r="AF21" t="s">
        <v>6697</v>
      </c>
      <c r="AG21" t="s">
        <v>6698</v>
      </c>
      <c r="AH21" t="s">
        <v>6699</v>
      </c>
      <c r="AI21" t="s">
        <v>6679</v>
      </c>
      <c r="AJ21" t="s">
        <v>6700</v>
      </c>
      <c r="AK21" t="s">
        <v>6701</v>
      </c>
      <c r="AL21" t="s">
        <v>6702</v>
      </c>
      <c r="AM21" t="s">
        <v>6703</v>
      </c>
      <c r="AN21" t="s">
        <v>6679</v>
      </c>
      <c r="AO21" t="s">
        <v>6704</v>
      </c>
      <c r="AP21" t="s">
        <v>6705</v>
      </c>
      <c r="AQ21" t="s">
        <v>6706</v>
      </c>
      <c r="AR21" t="s">
        <v>6679</v>
      </c>
      <c r="AS21" t="s">
        <v>6707</v>
      </c>
      <c r="AT21" t="s">
        <v>6708</v>
      </c>
      <c r="AU21" t="s">
        <v>6709</v>
      </c>
      <c r="AV21" t="s">
        <v>6709</v>
      </c>
      <c r="AW21" t="s">
        <v>6710</v>
      </c>
      <c r="AX21" t="s">
        <v>6709</v>
      </c>
      <c r="AY21" t="s">
        <v>6709</v>
      </c>
    </row>
    <row r="22" spans="1:51" x14ac:dyDescent="0.3">
      <c r="A22" t="s">
        <v>6711</v>
      </c>
      <c r="B22" t="s">
        <v>6694</v>
      </c>
      <c r="C22" t="s">
        <v>6712</v>
      </c>
      <c r="D22" t="s">
        <v>6713</v>
      </c>
      <c r="E22" t="s">
        <v>6713</v>
      </c>
      <c r="F22" t="s">
        <v>6713</v>
      </c>
      <c r="G22" t="s">
        <v>6713</v>
      </c>
      <c r="H22" t="s">
        <v>6713</v>
      </c>
      <c r="I22" t="s">
        <v>6713</v>
      </c>
      <c r="J22" t="s">
        <v>6714</v>
      </c>
      <c r="K22" t="s">
        <v>6714</v>
      </c>
      <c r="L22" t="s">
        <v>6714</v>
      </c>
      <c r="M22" t="s">
        <v>6714</v>
      </c>
      <c r="N22" t="s">
        <v>6712</v>
      </c>
      <c r="O22" t="s">
        <v>6715</v>
      </c>
      <c r="P22" t="s">
        <v>6716</v>
      </c>
      <c r="Q22" t="s">
        <v>6713</v>
      </c>
      <c r="R22" t="s">
        <v>6717</v>
      </c>
      <c r="S22" t="s">
        <v>6713</v>
      </c>
      <c r="T22" t="s">
        <v>6713</v>
      </c>
      <c r="U22" t="s">
        <v>6718</v>
      </c>
      <c r="V22" t="s">
        <v>6714</v>
      </c>
      <c r="W22" t="s">
        <v>6719</v>
      </c>
      <c r="X22" t="s">
        <v>6720</v>
      </c>
      <c r="Y22" t="s">
        <v>6713</v>
      </c>
      <c r="Z22" t="s">
        <v>6713</v>
      </c>
      <c r="AA22" t="s">
        <v>6721</v>
      </c>
      <c r="AB22" t="s">
        <v>6694</v>
      </c>
      <c r="AC22" t="s">
        <v>6722</v>
      </c>
      <c r="AD22" t="s">
        <v>6723</v>
      </c>
      <c r="AE22" t="s">
        <v>6724</v>
      </c>
      <c r="AF22" t="s">
        <v>6725</v>
      </c>
      <c r="AG22" t="s">
        <v>6713</v>
      </c>
      <c r="AH22" t="s">
        <v>6726</v>
      </c>
      <c r="AI22" t="s">
        <v>6727</v>
      </c>
      <c r="AJ22" t="s">
        <v>6728</v>
      </c>
      <c r="AK22" t="s">
        <v>6729</v>
      </c>
      <c r="AL22" t="s">
        <v>6730</v>
      </c>
      <c r="AM22" t="s">
        <v>6713</v>
      </c>
      <c r="AN22" t="s">
        <v>6731</v>
      </c>
      <c r="AO22" t="s">
        <v>6732</v>
      </c>
      <c r="AP22" t="s">
        <v>6733</v>
      </c>
      <c r="AQ22" t="s">
        <v>6713</v>
      </c>
      <c r="AR22" t="s">
        <v>6734</v>
      </c>
      <c r="AS22" t="s">
        <v>6735</v>
      </c>
      <c r="AT22" t="s">
        <v>6713</v>
      </c>
      <c r="AU22" t="s">
        <v>6736</v>
      </c>
      <c r="AV22" t="s">
        <v>6736</v>
      </c>
      <c r="AW22" t="s">
        <v>6737</v>
      </c>
      <c r="AX22" t="s">
        <v>6736</v>
      </c>
      <c r="AY22" t="s">
        <v>6736</v>
      </c>
    </row>
    <row r="23" spans="1:51" x14ac:dyDescent="0.3">
      <c r="A23" t="s">
        <v>6738</v>
      </c>
      <c r="B23" t="s">
        <v>6694</v>
      </c>
      <c r="C23" t="s">
        <v>6739</v>
      </c>
      <c r="D23" t="s">
        <v>6740</v>
      </c>
      <c r="E23" t="s">
        <v>6740</v>
      </c>
      <c r="F23" t="s">
        <v>6740</v>
      </c>
      <c r="G23" t="s">
        <v>6740</v>
      </c>
      <c r="H23" t="s">
        <v>6740</v>
      </c>
      <c r="I23" t="s">
        <v>6740</v>
      </c>
      <c r="J23" t="s">
        <v>6740</v>
      </c>
      <c r="K23" t="s">
        <v>6740</v>
      </c>
      <c r="L23" t="s">
        <v>6740</v>
      </c>
      <c r="M23" t="s">
        <v>6740</v>
      </c>
      <c r="N23" t="s">
        <v>6739</v>
      </c>
      <c r="O23" t="s">
        <v>6741</v>
      </c>
      <c r="P23" t="s">
        <v>6742</v>
      </c>
      <c r="Q23" t="s">
        <v>6743</v>
      </c>
      <c r="R23" t="s">
        <v>6740</v>
      </c>
      <c r="S23" t="s">
        <v>6740</v>
      </c>
      <c r="T23" t="s">
        <v>6740</v>
      </c>
      <c r="U23" t="s">
        <v>6744</v>
      </c>
      <c r="V23" t="s">
        <v>6740</v>
      </c>
      <c r="W23" t="s">
        <v>6745</v>
      </c>
      <c r="X23" t="s">
        <v>6746</v>
      </c>
      <c r="Y23" t="s">
        <v>6747</v>
      </c>
      <c r="Z23" t="s">
        <v>6740</v>
      </c>
      <c r="AA23" t="s">
        <v>6748</v>
      </c>
      <c r="AB23" t="s">
        <v>6694</v>
      </c>
      <c r="AC23" t="s">
        <v>6749</v>
      </c>
      <c r="AD23" t="s">
        <v>6750</v>
      </c>
      <c r="AE23" t="s">
        <v>6740</v>
      </c>
      <c r="AF23" t="s">
        <v>6751</v>
      </c>
      <c r="AG23" t="s">
        <v>6752</v>
      </c>
      <c r="AH23" t="s">
        <v>6753</v>
      </c>
      <c r="AI23" t="s">
        <v>6754</v>
      </c>
      <c r="AJ23" t="s">
        <v>6755</v>
      </c>
      <c r="AK23" t="s">
        <v>6740</v>
      </c>
      <c r="AL23" t="s">
        <v>6756</v>
      </c>
      <c r="AM23" t="s">
        <v>6757</v>
      </c>
      <c r="AN23" t="s">
        <v>6740</v>
      </c>
      <c r="AO23" t="s">
        <v>6740</v>
      </c>
      <c r="AP23" t="s">
        <v>6740</v>
      </c>
      <c r="AQ23" t="s">
        <v>6740</v>
      </c>
      <c r="AR23" t="s">
        <v>6740</v>
      </c>
      <c r="AS23" t="s">
        <v>6740</v>
      </c>
      <c r="AT23" t="s">
        <v>6740</v>
      </c>
      <c r="AU23" t="s">
        <v>6758</v>
      </c>
      <c r="AV23" t="s">
        <v>6759</v>
      </c>
      <c r="AW23" t="s">
        <v>6760</v>
      </c>
      <c r="AX23" t="s">
        <v>6758</v>
      </c>
      <c r="AY23" t="s">
        <v>6758</v>
      </c>
    </row>
    <row r="24" spans="1:51" x14ac:dyDescent="0.3">
      <c r="A24" t="s">
        <v>6761</v>
      </c>
      <c r="B24" t="s">
        <v>6762</v>
      </c>
      <c r="C24" t="s">
        <v>6763</v>
      </c>
      <c r="D24" t="s">
        <v>6764</v>
      </c>
      <c r="E24" t="s">
        <v>6764</v>
      </c>
      <c r="F24" t="s">
        <v>6762</v>
      </c>
      <c r="G24" t="s">
        <v>6762</v>
      </c>
      <c r="H24" t="s">
        <v>6764</v>
      </c>
      <c r="I24" t="s">
        <v>6762</v>
      </c>
      <c r="J24" t="s">
        <v>6765</v>
      </c>
      <c r="K24" t="s">
        <v>6765</v>
      </c>
      <c r="L24" t="s">
        <v>6765</v>
      </c>
      <c r="M24" t="s">
        <v>6765</v>
      </c>
      <c r="N24" t="s">
        <v>6766</v>
      </c>
      <c r="O24" t="s">
        <v>6767</v>
      </c>
      <c r="P24" t="s">
        <v>6768</v>
      </c>
      <c r="Q24" t="s">
        <v>6769</v>
      </c>
      <c r="R24" t="s">
        <v>6762</v>
      </c>
      <c r="S24" t="s">
        <v>6762</v>
      </c>
      <c r="T24" t="s">
        <v>6770</v>
      </c>
      <c r="U24" t="s">
        <v>6771</v>
      </c>
      <c r="V24" t="s">
        <v>6762</v>
      </c>
      <c r="W24" t="s">
        <v>6772</v>
      </c>
      <c r="X24" t="s">
        <v>6773</v>
      </c>
      <c r="Y24" t="s">
        <v>6774</v>
      </c>
      <c r="Z24" t="s">
        <v>6762</v>
      </c>
      <c r="AA24" t="s">
        <v>6775</v>
      </c>
      <c r="AB24" t="s">
        <v>6776</v>
      </c>
      <c r="AC24" t="s">
        <v>6777</v>
      </c>
      <c r="AD24" t="s">
        <v>6778</v>
      </c>
      <c r="AE24" t="s">
        <v>6779</v>
      </c>
      <c r="AF24" t="s">
        <v>6762</v>
      </c>
      <c r="AG24" t="s">
        <v>6780</v>
      </c>
      <c r="AH24" t="s">
        <v>6781</v>
      </c>
      <c r="AI24" t="s">
        <v>6782</v>
      </c>
      <c r="AJ24" t="s">
        <v>6783</v>
      </c>
      <c r="AK24" t="s">
        <v>6784</v>
      </c>
      <c r="AL24" t="s">
        <v>6762</v>
      </c>
      <c r="AM24" t="s">
        <v>6785</v>
      </c>
      <c r="AN24" t="s">
        <v>6786</v>
      </c>
      <c r="AO24" t="s">
        <v>6787</v>
      </c>
      <c r="AP24" t="s">
        <v>6762</v>
      </c>
      <c r="AQ24" t="s">
        <v>6788</v>
      </c>
      <c r="AR24" t="s">
        <v>6789</v>
      </c>
      <c r="AS24" t="s">
        <v>6762</v>
      </c>
      <c r="AT24" t="s">
        <v>6790</v>
      </c>
      <c r="AU24" t="s">
        <v>6791</v>
      </c>
      <c r="AV24" t="s">
        <v>6792</v>
      </c>
      <c r="AW24" t="s">
        <v>6793</v>
      </c>
      <c r="AX24" t="s">
        <v>6794</v>
      </c>
      <c r="AY24" t="s">
        <v>6795</v>
      </c>
    </row>
    <row r="25" spans="1:51" x14ac:dyDescent="0.3">
      <c r="A25" t="s">
        <v>6796</v>
      </c>
      <c r="B25" t="s">
        <v>6694</v>
      </c>
      <c r="C25" t="s">
        <v>6797</v>
      </c>
      <c r="D25" t="s">
        <v>6798</v>
      </c>
      <c r="E25" t="s">
        <v>6798</v>
      </c>
      <c r="F25" t="s">
        <v>6798</v>
      </c>
      <c r="G25" t="s">
        <v>6798</v>
      </c>
      <c r="H25" t="s">
        <v>6798</v>
      </c>
      <c r="I25" t="s">
        <v>6798</v>
      </c>
      <c r="J25" t="s">
        <v>6798</v>
      </c>
      <c r="K25" t="s">
        <v>6798</v>
      </c>
      <c r="L25" t="s">
        <v>6798</v>
      </c>
      <c r="M25" t="s">
        <v>6798</v>
      </c>
      <c r="N25" t="s">
        <v>6797</v>
      </c>
      <c r="O25" t="s">
        <v>6799</v>
      </c>
      <c r="P25" t="s">
        <v>6800</v>
      </c>
      <c r="Q25" t="s">
        <v>6801</v>
      </c>
      <c r="R25" t="s">
        <v>6802</v>
      </c>
      <c r="S25" t="s">
        <v>6803</v>
      </c>
      <c r="T25" t="s">
        <v>6804</v>
      </c>
      <c r="U25" t="s">
        <v>6798</v>
      </c>
      <c r="V25" t="s">
        <v>6798</v>
      </c>
      <c r="W25" t="s">
        <v>6805</v>
      </c>
      <c r="X25" t="s">
        <v>6806</v>
      </c>
      <c r="Y25" t="s">
        <v>6807</v>
      </c>
      <c r="Z25" t="s">
        <v>6806</v>
      </c>
      <c r="AA25" t="s">
        <v>6798</v>
      </c>
      <c r="AB25" t="s">
        <v>6694</v>
      </c>
      <c r="AC25" t="s">
        <v>6808</v>
      </c>
      <c r="AD25" t="s">
        <v>6809</v>
      </c>
      <c r="AE25" t="s">
        <v>6810</v>
      </c>
      <c r="AF25" t="s">
        <v>6811</v>
      </c>
      <c r="AG25" t="s">
        <v>6812</v>
      </c>
      <c r="AH25" t="s">
        <v>6798</v>
      </c>
      <c r="AI25" t="s">
        <v>6798</v>
      </c>
      <c r="AJ25" t="s">
        <v>6798</v>
      </c>
      <c r="AK25" t="s">
        <v>6798</v>
      </c>
      <c r="AL25" t="s">
        <v>6798</v>
      </c>
      <c r="AM25" t="s">
        <v>6798</v>
      </c>
      <c r="AN25" t="s">
        <v>6798</v>
      </c>
      <c r="AO25" t="s">
        <v>6798</v>
      </c>
      <c r="AP25" t="s">
        <v>6798</v>
      </c>
      <c r="AQ25" t="s">
        <v>6798</v>
      </c>
      <c r="AR25" t="s">
        <v>6798</v>
      </c>
      <c r="AS25" t="s">
        <v>6798</v>
      </c>
      <c r="AT25" t="s">
        <v>6798</v>
      </c>
      <c r="AU25" t="s">
        <v>6813</v>
      </c>
      <c r="AV25" t="s">
        <v>6814</v>
      </c>
      <c r="AW25" t="s">
        <v>6815</v>
      </c>
      <c r="AX25" t="s">
        <v>6816</v>
      </c>
      <c r="AY25" t="s">
        <v>6817</v>
      </c>
    </row>
    <row r="26" spans="1:51" x14ac:dyDescent="0.3">
      <c r="A26" t="s">
        <v>6818</v>
      </c>
      <c r="B26" t="s">
        <v>6819</v>
      </c>
      <c r="C26" t="s">
        <v>6819</v>
      </c>
      <c r="D26" t="s">
        <v>6819</v>
      </c>
      <c r="E26" t="s">
        <v>6819</v>
      </c>
      <c r="F26" t="s">
        <v>6819</v>
      </c>
      <c r="G26" t="s">
        <v>6819</v>
      </c>
      <c r="H26" t="s">
        <v>6819</v>
      </c>
      <c r="I26" t="s">
        <v>6819</v>
      </c>
      <c r="J26" t="s">
        <v>6819</v>
      </c>
      <c r="K26" t="s">
        <v>6819</v>
      </c>
      <c r="L26" t="s">
        <v>6819</v>
      </c>
      <c r="M26" t="s">
        <v>6819</v>
      </c>
      <c r="N26" t="s">
        <v>6819</v>
      </c>
      <c r="O26" t="s">
        <v>6819</v>
      </c>
      <c r="P26" t="s">
        <v>6819</v>
      </c>
      <c r="Q26" t="s">
        <v>6819</v>
      </c>
      <c r="R26" t="s">
        <v>6819</v>
      </c>
      <c r="S26" t="s">
        <v>6819</v>
      </c>
      <c r="T26" t="s">
        <v>6819</v>
      </c>
      <c r="U26" t="s">
        <v>6819</v>
      </c>
      <c r="V26" t="s">
        <v>6819</v>
      </c>
      <c r="W26" t="s">
        <v>6819</v>
      </c>
      <c r="X26" t="s">
        <v>6819</v>
      </c>
      <c r="Y26" t="s">
        <v>6819</v>
      </c>
      <c r="Z26" t="s">
        <v>6819</v>
      </c>
      <c r="AA26" t="s">
        <v>6819</v>
      </c>
      <c r="AB26" t="s">
        <v>6694</v>
      </c>
      <c r="AC26" t="s">
        <v>6819</v>
      </c>
      <c r="AD26" t="s">
        <v>6819</v>
      </c>
      <c r="AE26" t="s">
        <v>6819</v>
      </c>
      <c r="AF26" t="s">
        <v>6819</v>
      </c>
      <c r="AG26" t="s">
        <v>6819</v>
      </c>
      <c r="AH26" t="s">
        <v>6819</v>
      </c>
      <c r="AI26" t="s">
        <v>6819</v>
      </c>
      <c r="AJ26" t="s">
        <v>6819</v>
      </c>
      <c r="AK26" t="s">
        <v>6819</v>
      </c>
      <c r="AL26" t="s">
        <v>6819</v>
      </c>
      <c r="AM26" t="s">
        <v>6819</v>
      </c>
      <c r="AN26" t="s">
        <v>6819</v>
      </c>
      <c r="AO26" t="s">
        <v>6819</v>
      </c>
      <c r="AP26" t="s">
        <v>6819</v>
      </c>
      <c r="AQ26" t="s">
        <v>6819</v>
      </c>
      <c r="AR26" t="s">
        <v>6819</v>
      </c>
      <c r="AS26" t="s">
        <v>6819</v>
      </c>
      <c r="AT26" t="s">
        <v>6819</v>
      </c>
      <c r="AU26" t="s">
        <v>6819</v>
      </c>
      <c r="AV26" t="s">
        <v>6819</v>
      </c>
      <c r="AW26" t="s">
        <v>6819</v>
      </c>
      <c r="AX26" t="s">
        <v>6819</v>
      </c>
      <c r="AY26" t="s">
        <v>6819</v>
      </c>
    </row>
    <row r="27" spans="1:51" x14ac:dyDescent="0.3">
      <c r="A27" t="s">
        <v>6820</v>
      </c>
      <c r="B27" t="s">
        <v>6821</v>
      </c>
      <c r="C27" t="s">
        <v>6822</v>
      </c>
      <c r="D27" t="s">
        <v>6821</v>
      </c>
      <c r="E27" t="s">
        <v>6821</v>
      </c>
      <c r="F27" t="s">
        <v>6823</v>
      </c>
      <c r="G27" t="s">
        <v>6821</v>
      </c>
      <c r="H27" t="s">
        <v>6821</v>
      </c>
      <c r="I27" t="s">
        <v>6821</v>
      </c>
      <c r="J27" t="s">
        <v>6821</v>
      </c>
      <c r="K27" t="s">
        <v>6821</v>
      </c>
      <c r="L27" t="s">
        <v>6821</v>
      </c>
      <c r="M27" t="s">
        <v>6821</v>
      </c>
      <c r="N27" t="s">
        <v>6824</v>
      </c>
      <c r="O27" t="s">
        <v>6825</v>
      </c>
      <c r="P27" t="s">
        <v>6826</v>
      </c>
      <c r="Q27" t="s">
        <v>6827</v>
      </c>
      <c r="R27" t="s">
        <v>6828</v>
      </c>
      <c r="S27" t="s">
        <v>6829</v>
      </c>
      <c r="T27" t="s">
        <v>6830</v>
      </c>
      <c r="U27" t="s">
        <v>6831</v>
      </c>
      <c r="V27" t="s">
        <v>6821</v>
      </c>
      <c r="W27" t="s">
        <v>6832</v>
      </c>
      <c r="X27" t="s">
        <v>6833</v>
      </c>
      <c r="Y27" t="s">
        <v>6834</v>
      </c>
      <c r="Z27" t="s">
        <v>6833</v>
      </c>
      <c r="AA27" t="s">
        <v>6835</v>
      </c>
      <c r="AB27" t="s">
        <v>6694</v>
      </c>
      <c r="AC27" t="s">
        <v>6836</v>
      </c>
      <c r="AD27" t="s">
        <v>6821</v>
      </c>
      <c r="AE27" t="s">
        <v>6837</v>
      </c>
      <c r="AF27" t="s">
        <v>6838</v>
      </c>
      <c r="AG27" t="s">
        <v>6839</v>
      </c>
      <c r="AH27" t="s">
        <v>6840</v>
      </c>
      <c r="AI27" t="s">
        <v>6841</v>
      </c>
      <c r="AJ27" t="s">
        <v>6821</v>
      </c>
      <c r="AK27" t="s">
        <v>6842</v>
      </c>
      <c r="AL27" t="s">
        <v>6843</v>
      </c>
      <c r="AM27" t="s">
        <v>6844</v>
      </c>
      <c r="AN27" t="s">
        <v>6845</v>
      </c>
      <c r="AO27" t="s">
        <v>6821</v>
      </c>
      <c r="AP27" t="s">
        <v>6846</v>
      </c>
      <c r="AQ27" t="s">
        <v>6847</v>
      </c>
      <c r="AR27" t="s">
        <v>6821</v>
      </c>
      <c r="AS27" t="s">
        <v>6821</v>
      </c>
      <c r="AT27" t="s">
        <v>6821</v>
      </c>
      <c r="AU27" t="s">
        <v>6848</v>
      </c>
      <c r="AV27" t="s">
        <v>6849</v>
      </c>
      <c r="AW27" t="s">
        <v>6850</v>
      </c>
      <c r="AX27" t="s">
        <v>6848</v>
      </c>
      <c r="AY27" t="s">
        <v>6848</v>
      </c>
    </row>
    <row r="28" spans="1:51" x14ac:dyDescent="0.3">
      <c r="A28" t="s">
        <v>6851</v>
      </c>
      <c r="B28" t="s">
        <v>6852</v>
      </c>
      <c r="C28" t="s">
        <v>6853</v>
      </c>
      <c r="D28" t="s">
        <v>6852</v>
      </c>
      <c r="E28" t="s">
        <v>6852</v>
      </c>
      <c r="F28" t="s">
        <v>6823</v>
      </c>
      <c r="G28" t="s">
        <v>6852</v>
      </c>
      <c r="H28" t="s">
        <v>6852</v>
      </c>
      <c r="I28" t="s">
        <v>6852</v>
      </c>
      <c r="J28" t="s">
        <v>6852</v>
      </c>
      <c r="K28" t="s">
        <v>6852</v>
      </c>
      <c r="L28" t="s">
        <v>6852</v>
      </c>
      <c r="M28" t="s">
        <v>6852</v>
      </c>
      <c r="N28" t="s">
        <v>6854</v>
      </c>
      <c r="O28" t="s">
        <v>6855</v>
      </c>
      <c r="P28" t="s">
        <v>6856</v>
      </c>
      <c r="Q28" t="s">
        <v>6857</v>
      </c>
      <c r="R28" t="s">
        <v>6858</v>
      </c>
      <c r="S28" t="s">
        <v>6859</v>
      </c>
      <c r="T28" t="s">
        <v>6860</v>
      </c>
      <c r="U28" t="s">
        <v>6861</v>
      </c>
      <c r="V28" t="s">
        <v>6852</v>
      </c>
      <c r="W28" t="s">
        <v>6862</v>
      </c>
      <c r="X28" t="s">
        <v>6863</v>
      </c>
      <c r="Y28" t="s">
        <v>6864</v>
      </c>
      <c r="Z28" t="s">
        <v>6865</v>
      </c>
      <c r="AA28" t="s">
        <v>6866</v>
      </c>
      <c r="AB28" t="s">
        <v>6694</v>
      </c>
      <c r="AC28" t="s">
        <v>6867</v>
      </c>
      <c r="AD28" t="s">
        <v>6852</v>
      </c>
      <c r="AE28" t="s">
        <v>6868</v>
      </c>
      <c r="AF28" t="s">
        <v>6869</v>
      </c>
      <c r="AG28" t="s">
        <v>6870</v>
      </c>
      <c r="AH28" t="s">
        <v>6871</v>
      </c>
      <c r="AI28" t="s">
        <v>6872</v>
      </c>
      <c r="AJ28" t="s">
        <v>6852</v>
      </c>
      <c r="AK28" t="s">
        <v>6873</v>
      </c>
      <c r="AL28" t="s">
        <v>6874</v>
      </c>
      <c r="AM28" t="s">
        <v>6875</v>
      </c>
      <c r="AN28" t="s">
        <v>6876</v>
      </c>
      <c r="AO28" t="s">
        <v>6852</v>
      </c>
      <c r="AP28" t="s">
        <v>6877</v>
      </c>
      <c r="AQ28" t="s">
        <v>6878</v>
      </c>
      <c r="AR28" t="s">
        <v>6852</v>
      </c>
      <c r="AS28" t="s">
        <v>6852</v>
      </c>
      <c r="AT28" t="s">
        <v>6852</v>
      </c>
      <c r="AU28" t="s">
        <v>6879</v>
      </c>
      <c r="AV28" t="s">
        <v>6879</v>
      </c>
      <c r="AW28" t="s">
        <v>6880</v>
      </c>
      <c r="AX28" t="s">
        <v>6879</v>
      </c>
      <c r="AY28" t="s">
        <v>6879</v>
      </c>
    </row>
    <row r="29" spans="1:51" x14ac:dyDescent="0.3">
      <c r="A29" t="s">
        <v>6881</v>
      </c>
      <c r="B29" t="s">
        <v>6821</v>
      </c>
      <c r="C29" t="s">
        <v>6882</v>
      </c>
      <c r="D29" t="s">
        <v>6883</v>
      </c>
      <c r="E29" t="s">
        <v>6821</v>
      </c>
      <c r="F29" t="s">
        <v>6823</v>
      </c>
      <c r="G29" t="s">
        <v>6884</v>
      </c>
      <c r="H29" t="s">
        <v>6885</v>
      </c>
      <c r="I29" t="s">
        <v>6821</v>
      </c>
      <c r="J29" t="s">
        <v>6821</v>
      </c>
      <c r="K29" t="s">
        <v>6821</v>
      </c>
      <c r="L29" t="s">
        <v>6886</v>
      </c>
      <c r="M29" t="s">
        <v>6821</v>
      </c>
      <c r="N29" t="s">
        <v>6824</v>
      </c>
      <c r="O29" t="s">
        <v>6887</v>
      </c>
      <c r="P29" t="s">
        <v>6888</v>
      </c>
      <c r="Q29" t="s">
        <v>6889</v>
      </c>
      <c r="R29" t="s">
        <v>6890</v>
      </c>
      <c r="S29" t="s">
        <v>6891</v>
      </c>
      <c r="T29" t="s">
        <v>6892</v>
      </c>
      <c r="U29" t="s">
        <v>6893</v>
      </c>
      <c r="V29" t="s">
        <v>6821</v>
      </c>
      <c r="W29" t="s">
        <v>6894</v>
      </c>
      <c r="X29" t="s">
        <v>6895</v>
      </c>
      <c r="Y29" t="s">
        <v>6896</v>
      </c>
      <c r="Z29" t="s">
        <v>6833</v>
      </c>
      <c r="AA29" t="s">
        <v>6897</v>
      </c>
      <c r="AB29" t="s">
        <v>6694</v>
      </c>
      <c r="AC29" t="s">
        <v>6898</v>
      </c>
      <c r="AD29" t="s">
        <v>6821</v>
      </c>
      <c r="AE29" t="s">
        <v>6899</v>
      </c>
      <c r="AF29" t="s">
        <v>6900</v>
      </c>
      <c r="AG29" t="s">
        <v>6901</v>
      </c>
      <c r="AH29" t="s">
        <v>6902</v>
      </c>
      <c r="AI29" t="s">
        <v>6903</v>
      </c>
      <c r="AJ29" t="s">
        <v>6821</v>
      </c>
      <c r="AK29" t="s">
        <v>6904</v>
      </c>
      <c r="AL29" t="s">
        <v>6905</v>
      </c>
      <c r="AM29" t="s">
        <v>6906</v>
      </c>
      <c r="AN29" t="s">
        <v>6907</v>
      </c>
      <c r="AO29" t="s">
        <v>6821</v>
      </c>
      <c r="AP29" t="s">
        <v>6908</v>
      </c>
      <c r="AQ29" t="s">
        <v>6909</v>
      </c>
      <c r="AR29" t="s">
        <v>6821</v>
      </c>
      <c r="AS29" t="s">
        <v>6821</v>
      </c>
      <c r="AT29" t="s">
        <v>6821</v>
      </c>
      <c r="AU29" t="s">
        <v>6821</v>
      </c>
      <c r="AV29" t="s">
        <v>6821</v>
      </c>
      <c r="AW29" t="s">
        <v>6910</v>
      </c>
      <c r="AX29" t="s">
        <v>6821</v>
      </c>
      <c r="AY29" t="s">
        <v>6821</v>
      </c>
    </row>
    <row r="30" spans="1:51" x14ac:dyDescent="0.3">
      <c r="A30" t="s">
        <v>6911</v>
      </c>
      <c r="B30" t="s">
        <v>6852</v>
      </c>
      <c r="C30" t="s">
        <v>6912</v>
      </c>
      <c r="D30" t="s">
        <v>6852</v>
      </c>
      <c r="E30" t="s">
        <v>6852</v>
      </c>
      <c r="F30" t="s">
        <v>6823</v>
      </c>
      <c r="G30" t="s">
        <v>6852</v>
      </c>
      <c r="H30" t="s">
        <v>6852</v>
      </c>
      <c r="I30" t="s">
        <v>6852</v>
      </c>
      <c r="J30" t="s">
        <v>6852</v>
      </c>
      <c r="K30" t="s">
        <v>6852</v>
      </c>
      <c r="L30" t="s">
        <v>6852</v>
      </c>
      <c r="M30" t="s">
        <v>6852</v>
      </c>
      <c r="N30" t="s">
        <v>6854</v>
      </c>
      <c r="O30" t="s">
        <v>6913</v>
      </c>
      <c r="P30" t="s">
        <v>6914</v>
      </c>
      <c r="Q30" t="s">
        <v>6915</v>
      </c>
      <c r="R30" t="s">
        <v>6916</v>
      </c>
      <c r="S30" t="s">
        <v>6917</v>
      </c>
      <c r="T30" t="s">
        <v>6918</v>
      </c>
      <c r="U30" t="s">
        <v>6919</v>
      </c>
      <c r="V30" t="s">
        <v>6852</v>
      </c>
      <c r="W30" t="s">
        <v>6920</v>
      </c>
      <c r="X30" t="s">
        <v>6921</v>
      </c>
      <c r="Y30" t="s">
        <v>6922</v>
      </c>
      <c r="Z30" t="s">
        <v>6921</v>
      </c>
      <c r="AA30" t="s">
        <v>6923</v>
      </c>
      <c r="AB30" t="s">
        <v>6694</v>
      </c>
      <c r="AC30" t="s">
        <v>6924</v>
      </c>
      <c r="AD30" t="s">
        <v>6852</v>
      </c>
      <c r="AE30" t="s">
        <v>6925</v>
      </c>
      <c r="AF30" t="s">
        <v>6926</v>
      </c>
      <c r="AG30" t="s">
        <v>6927</v>
      </c>
      <c r="AH30" t="s">
        <v>6928</v>
      </c>
      <c r="AI30" t="s">
        <v>6929</v>
      </c>
      <c r="AJ30" t="s">
        <v>6852</v>
      </c>
      <c r="AK30" t="s">
        <v>6930</v>
      </c>
      <c r="AL30" t="s">
        <v>6931</v>
      </c>
      <c r="AM30" t="s">
        <v>6932</v>
      </c>
      <c r="AN30" t="s">
        <v>6933</v>
      </c>
      <c r="AO30" t="s">
        <v>6852</v>
      </c>
      <c r="AP30" t="s">
        <v>6934</v>
      </c>
      <c r="AQ30" t="s">
        <v>6935</v>
      </c>
      <c r="AR30" t="s">
        <v>6852</v>
      </c>
      <c r="AS30" t="s">
        <v>6852</v>
      </c>
      <c r="AT30" t="s">
        <v>6852</v>
      </c>
      <c r="AU30" t="s">
        <v>6852</v>
      </c>
      <c r="AV30" t="s">
        <v>6936</v>
      </c>
      <c r="AW30" t="s">
        <v>6854</v>
      </c>
      <c r="AX30" t="s">
        <v>6852</v>
      </c>
      <c r="AY30" t="s">
        <v>6852</v>
      </c>
    </row>
    <row r="31" spans="1:51" x14ac:dyDescent="0.3">
      <c r="A31" t="s">
        <v>6937</v>
      </c>
      <c r="B31" t="s">
        <v>6879</v>
      </c>
      <c r="C31" t="s">
        <v>6938</v>
      </c>
      <c r="D31" t="s">
        <v>6879</v>
      </c>
      <c r="E31" t="s">
        <v>6879</v>
      </c>
      <c r="F31" t="s">
        <v>6823</v>
      </c>
      <c r="G31" t="s">
        <v>6823</v>
      </c>
      <c r="H31" t="s">
        <v>6879</v>
      </c>
      <c r="I31" t="s">
        <v>6939</v>
      </c>
      <c r="J31" t="s">
        <v>6879</v>
      </c>
      <c r="K31" t="s">
        <v>6879</v>
      </c>
      <c r="L31" t="s">
        <v>6879</v>
      </c>
      <c r="M31" t="s">
        <v>6879</v>
      </c>
      <c r="N31" t="s">
        <v>6940</v>
      </c>
      <c r="O31" t="s">
        <v>6941</v>
      </c>
      <c r="P31" t="s">
        <v>6942</v>
      </c>
      <c r="Q31" t="s">
        <v>6943</v>
      </c>
      <c r="R31" t="s">
        <v>6944</v>
      </c>
      <c r="S31" t="s">
        <v>6945</v>
      </c>
      <c r="T31" t="s">
        <v>6946</v>
      </c>
      <c r="U31" t="s">
        <v>6947</v>
      </c>
      <c r="V31" t="s">
        <v>6939</v>
      </c>
      <c r="W31" t="s">
        <v>6948</v>
      </c>
      <c r="X31" t="s">
        <v>6949</v>
      </c>
      <c r="Y31" t="s">
        <v>6950</v>
      </c>
      <c r="Z31" t="s">
        <v>6951</v>
      </c>
      <c r="AA31" t="s">
        <v>6952</v>
      </c>
      <c r="AB31" t="s">
        <v>6694</v>
      </c>
      <c r="AC31" t="s">
        <v>6953</v>
      </c>
      <c r="AD31" t="s">
        <v>6879</v>
      </c>
      <c r="AE31" t="s">
        <v>6954</v>
      </c>
      <c r="AF31" t="s">
        <v>6955</v>
      </c>
      <c r="AG31" t="s">
        <v>6956</v>
      </c>
      <c r="AH31" t="s">
        <v>6957</v>
      </c>
      <c r="AI31" t="s">
        <v>6958</v>
      </c>
      <c r="AJ31" t="s">
        <v>6879</v>
      </c>
      <c r="AK31" t="s">
        <v>6959</v>
      </c>
      <c r="AL31" t="s">
        <v>6960</v>
      </c>
      <c r="AM31" t="s">
        <v>6961</v>
      </c>
      <c r="AN31" t="s">
        <v>6962</v>
      </c>
      <c r="AO31" t="s">
        <v>6879</v>
      </c>
      <c r="AP31" t="s">
        <v>6963</v>
      </c>
      <c r="AQ31" t="s">
        <v>6964</v>
      </c>
      <c r="AR31" t="s">
        <v>6879</v>
      </c>
      <c r="AS31" t="s">
        <v>6879</v>
      </c>
      <c r="AT31" t="s">
        <v>6879</v>
      </c>
      <c r="AU31" t="s">
        <v>6965</v>
      </c>
      <c r="AV31" t="s">
        <v>6966</v>
      </c>
      <c r="AW31" t="s">
        <v>6967</v>
      </c>
      <c r="AX31" t="s">
        <v>6965</v>
      </c>
      <c r="AY31" t="s">
        <v>6965</v>
      </c>
    </row>
    <row r="32" spans="1:51" x14ac:dyDescent="0.3">
      <c r="A32" t="s">
        <v>6968</v>
      </c>
      <c r="B32" t="s">
        <v>6969</v>
      </c>
      <c r="C32" t="s">
        <v>6969</v>
      </c>
      <c r="D32" t="s">
        <v>6969</v>
      </c>
      <c r="E32" t="s">
        <v>6969</v>
      </c>
      <c r="F32" t="s">
        <v>6969</v>
      </c>
      <c r="G32" t="s">
        <v>6969</v>
      </c>
      <c r="H32" t="s">
        <v>6969</v>
      </c>
      <c r="I32" t="s">
        <v>6969</v>
      </c>
      <c r="J32" t="s">
        <v>6714</v>
      </c>
      <c r="K32" t="s">
        <v>6714</v>
      </c>
      <c r="L32" t="s">
        <v>6714</v>
      </c>
      <c r="M32" t="s">
        <v>6714</v>
      </c>
      <c r="N32" t="s">
        <v>6969</v>
      </c>
      <c r="O32" t="s">
        <v>6715</v>
      </c>
      <c r="P32" t="s">
        <v>6716</v>
      </c>
      <c r="Q32" t="s">
        <v>6713</v>
      </c>
      <c r="R32" t="s">
        <v>6717</v>
      </c>
      <c r="S32" t="s">
        <v>6713</v>
      </c>
      <c r="T32" t="s">
        <v>6713</v>
      </c>
      <c r="U32" t="s">
        <v>6718</v>
      </c>
      <c r="V32" t="s">
        <v>6714</v>
      </c>
      <c r="W32" t="s">
        <v>6719</v>
      </c>
      <c r="X32" t="s">
        <v>6720</v>
      </c>
      <c r="Y32" t="s">
        <v>6713</v>
      </c>
      <c r="Z32" t="s">
        <v>6713</v>
      </c>
      <c r="AA32" t="s">
        <v>6721</v>
      </c>
      <c r="AB32" t="s">
        <v>6694</v>
      </c>
      <c r="AC32" t="s">
        <v>6722</v>
      </c>
      <c r="AD32" t="s">
        <v>6723</v>
      </c>
      <c r="AE32" t="s">
        <v>6724</v>
      </c>
      <c r="AF32" t="s">
        <v>6725</v>
      </c>
      <c r="AG32" t="s">
        <v>6713</v>
      </c>
      <c r="AH32" t="s">
        <v>6726</v>
      </c>
      <c r="AI32" t="s">
        <v>6727</v>
      </c>
      <c r="AJ32" t="s">
        <v>6728</v>
      </c>
      <c r="AK32" t="s">
        <v>6729</v>
      </c>
      <c r="AL32" t="s">
        <v>6730</v>
      </c>
      <c r="AM32" t="s">
        <v>6713</v>
      </c>
      <c r="AN32" t="s">
        <v>6731</v>
      </c>
      <c r="AO32" t="s">
        <v>6732</v>
      </c>
      <c r="AP32" t="s">
        <v>6733</v>
      </c>
      <c r="AQ32" t="s">
        <v>6713</v>
      </c>
      <c r="AR32" t="s">
        <v>6734</v>
      </c>
      <c r="AS32" t="s">
        <v>6735</v>
      </c>
      <c r="AT32" t="s">
        <v>6713</v>
      </c>
      <c r="AU32" t="s">
        <v>6970</v>
      </c>
      <c r="AV32" t="s">
        <v>6971</v>
      </c>
      <c r="AW32" t="s">
        <v>6972</v>
      </c>
      <c r="AX32" t="s">
        <v>6972</v>
      </c>
      <c r="AY32" t="s">
        <v>6972</v>
      </c>
    </row>
    <row r="33" spans="1:51" x14ac:dyDescent="0.3">
      <c r="A33" t="s">
        <v>6973</v>
      </c>
      <c r="B33" t="s">
        <v>6694</v>
      </c>
      <c r="C33" t="s">
        <v>6974</v>
      </c>
      <c r="D33" t="s">
        <v>6974</v>
      </c>
      <c r="E33" t="s">
        <v>6974</v>
      </c>
      <c r="F33" t="s">
        <v>6974</v>
      </c>
      <c r="G33" t="s">
        <v>6974</v>
      </c>
      <c r="H33" t="s">
        <v>6974</v>
      </c>
      <c r="I33" t="s">
        <v>6974</v>
      </c>
      <c r="J33" t="s">
        <v>6974</v>
      </c>
      <c r="K33" t="s">
        <v>6974</v>
      </c>
      <c r="L33" t="s">
        <v>6974</v>
      </c>
      <c r="M33" t="s">
        <v>6974</v>
      </c>
      <c r="N33" t="s">
        <v>6974</v>
      </c>
      <c r="O33" t="s">
        <v>6974</v>
      </c>
      <c r="P33" t="s">
        <v>6974</v>
      </c>
      <c r="Q33" t="s">
        <v>6974</v>
      </c>
      <c r="R33" t="s">
        <v>6974</v>
      </c>
      <c r="S33" t="s">
        <v>6974</v>
      </c>
      <c r="T33" t="s">
        <v>6974</v>
      </c>
      <c r="U33" t="s">
        <v>6974</v>
      </c>
      <c r="V33" t="s">
        <v>6974</v>
      </c>
      <c r="W33" t="s">
        <v>6974</v>
      </c>
      <c r="X33" t="s">
        <v>6974</v>
      </c>
      <c r="Y33" t="s">
        <v>6974</v>
      </c>
      <c r="Z33" t="s">
        <v>6974</v>
      </c>
      <c r="AA33" t="s">
        <v>6974</v>
      </c>
      <c r="AB33" t="s">
        <v>6694</v>
      </c>
      <c r="AC33" t="s">
        <v>6974</v>
      </c>
      <c r="AD33" t="s">
        <v>6974</v>
      </c>
      <c r="AE33" t="s">
        <v>6974</v>
      </c>
      <c r="AF33" t="s">
        <v>6974</v>
      </c>
      <c r="AG33" t="s">
        <v>6974</v>
      </c>
      <c r="AH33" t="s">
        <v>6974</v>
      </c>
      <c r="AI33" t="s">
        <v>6974</v>
      </c>
      <c r="AJ33" t="s">
        <v>6974</v>
      </c>
      <c r="AK33" t="s">
        <v>6974</v>
      </c>
      <c r="AL33" t="s">
        <v>6974</v>
      </c>
      <c r="AM33" t="s">
        <v>6974</v>
      </c>
      <c r="AN33" t="s">
        <v>6974</v>
      </c>
      <c r="AO33" t="s">
        <v>6974</v>
      </c>
      <c r="AP33" t="s">
        <v>6974</v>
      </c>
      <c r="AQ33" t="s">
        <v>6974</v>
      </c>
      <c r="AR33" t="s">
        <v>6974</v>
      </c>
      <c r="AS33" t="s">
        <v>6974</v>
      </c>
      <c r="AT33" t="s">
        <v>6974</v>
      </c>
      <c r="AU33" t="s">
        <v>6974</v>
      </c>
      <c r="AV33" t="s">
        <v>6974</v>
      </c>
      <c r="AW33" t="s">
        <v>6974</v>
      </c>
      <c r="AX33" t="s">
        <v>6974</v>
      </c>
      <c r="AY33" t="s">
        <v>6974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OJ309"/>
  <sheetViews>
    <sheetView workbookViewId="0"/>
  </sheetViews>
  <sheetFormatPr baseColWidth="10" defaultColWidth="8.88671875" defaultRowHeight="14.4" x14ac:dyDescent="0.3"/>
  <sheetData>
    <row r="1" spans="1:400" x14ac:dyDescent="0.3">
      <c r="A1" t="s">
        <v>6975</v>
      </c>
      <c r="B1" t="s">
        <v>6976</v>
      </c>
      <c r="C1" t="s">
        <v>6977</v>
      </c>
      <c r="D1" t="s">
        <v>6978</v>
      </c>
      <c r="E1" t="s">
        <v>6979</v>
      </c>
      <c r="F1" t="s">
        <v>6980</v>
      </c>
      <c r="G1" t="s">
        <v>6981</v>
      </c>
      <c r="H1" t="s">
        <v>6982</v>
      </c>
      <c r="I1" t="s">
        <v>6983</v>
      </c>
      <c r="J1" t="s">
        <v>6984</v>
      </c>
      <c r="K1" t="s">
        <v>6985</v>
      </c>
      <c r="L1" t="s">
        <v>6986</v>
      </c>
      <c r="M1" t="s">
        <v>6987</v>
      </c>
      <c r="N1" t="s">
        <v>6988</v>
      </c>
      <c r="O1" t="s">
        <v>6989</v>
      </c>
      <c r="P1" t="s">
        <v>6990</v>
      </c>
      <c r="Q1" t="s">
        <v>6991</v>
      </c>
      <c r="R1" t="s">
        <v>6992</v>
      </c>
      <c r="S1" t="s">
        <v>6993</v>
      </c>
      <c r="T1" t="s">
        <v>6994</v>
      </c>
      <c r="U1" t="s">
        <v>6995</v>
      </c>
      <c r="V1" t="s">
        <v>6996</v>
      </c>
      <c r="W1" t="s">
        <v>6997</v>
      </c>
      <c r="X1" t="s">
        <v>6998</v>
      </c>
      <c r="Y1" t="s">
        <v>6999</v>
      </c>
      <c r="Z1" t="s">
        <v>7000</v>
      </c>
      <c r="AA1" t="s">
        <v>7001</v>
      </c>
      <c r="AB1" t="s">
        <v>7002</v>
      </c>
      <c r="AC1" t="s">
        <v>7003</v>
      </c>
      <c r="AD1" t="s">
        <v>7004</v>
      </c>
      <c r="AE1" t="s">
        <v>7005</v>
      </c>
      <c r="AF1" t="s">
        <v>7006</v>
      </c>
      <c r="AG1" t="s">
        <v>7007</v>
      </c>
      <c r="AH1" t="s">
        <v>7008</v>
      </c>
      <c r="AI1" t="s">
        <v>7009</v>
      </c>
      <c r="AJ1" t="s">
        <v>7010</v>
      </c>
      <c r="AK1" t="s">
        <v>7011</v>
      </c>
      <c r="AL1" t="s">
        <v>7012</v>
      </c>
      <c r="AM1" t="s">
        <v>7013</v>
      </c>
      <c r="AN1" t="s">
        <v>7014</v>
      </c>
      <c r="AO1" t="s">
        <v>7015</v>
      </c>
      <c r="AP1" t="s">
        <v>7016</v>
      </c>
      <c r="AQ1" t="s">
        <v>7017</v>
      </c>
      <c r="AR1" t="s">
        <v>7018</v>
      </c>
      <c r="AS1" t="s">
        <v>7019</v>
      </c>
      <c r="AT1" t="s">
        <v>7020</v>
      </c>
      <c r="AU1" t="s">
        <v>7021</v>
      </c>
      <c r="AV1" t="s">
        <v>7022</v>
      </c>
      <c r="AW1" t="s">
        <v>7023</v>
      </c>
      <c r="AX1" t="s">
        <v>7024</v>
      </c>
      <c r="AY1" t="s">
        <v>7025</v>
      </c>
      <c r="AZ1" t="s">
        <v>7026</v>
      </c>
      <c r="BA1" t="s">
        <v>7027</v>
      </c>
      <c r="BB1" t="s">
        <v>7028</v>
      </c>
      <c r="BC1" t="s">
        <v>7029</v>
      </c>
      <c r="BD1" t="s">
        <v>7030</v>
      </c>
      <c r="BE1" t="s">
        <v>7031</v>
      </c>
      <c r="BF1" t="s">
        <v>7032</v>
      </c>
      <c r="BG1" t="s">
        <v>7033</v>
      </c>
      <c r="BH1" t="s">
        <v>7034</v>
      </c>
      <c r="BI1" t="s">
        <v>7035</v>
      </c>
      <c r="BJ1" t="s">
        <v>7036</v>
      </c>
      <c r="BK1" t="s">
        <v>7037</v>
      </c>
      <c r="BL1" t="s">
        <v>7038</v>
      </c>
      <c r="BM1" t="s">
        <v>7039</v>
      </c>
      <c r="BN1" t="s">
        <v>7040</v>
      </c>
      <c r="BO1" t="s">
        <v>7041</v>
      </c>
      <c r="BP1" t="s">
        <v>7042</v>
      </c>
      <c r="BQ1" t="s">
        <v>7043</v>
      </c>
      <c r="BR1" t="s">
        <v>7044</v>
      </c>
      <c r="BS1" t="s">
        <v>7045</v>
      </c>
      <c r="BT1" t="s">
        <v>7046</v>
      </c>
      <c r="BU1" t="s">
        <v>7047</v>
      </c>
      <c r="BV1" t="s">
        <v>7048</v>
      </c>
      <c r="BW1" t="s">
        <v>7049</v>
      </c>
      <c r="BX1" t="s">
        <v>7050</v>
      </c>
      <c r="BY1" t="s">
        <v>7051</v>
      </c>
      <c r="BZ1" t="s">
        <v>7052</v>
      </c>
      <c r="CA1" t="s">
        <v>7053</v>
      </c>
      <c r="CB1" t="s">
        <v>7054</v>
      </c>
      <c r="CC1" t="s">
        <v>7055</v>
      </c>
      <c r="CD1" t="s">
        <v>7056</v>
      </c>
      <c r="CE1" t="s">
        <v>7057</v>
      </c>
      <c r="CF1" t="s">
        <v>7058</v>
      </c>
      <c r="CG1" t="s">
        <v>7059</v>
      </c>
      <c r="CH1" t="s">
        <v>7060</v>
      </c>
      <c r="CI1" t="s">
        <v>7061</v>
      </c>
      <c r="CJ1" t="s">
        <v>7062</v>
      </c>
      <c r="CK1" t="s">
        <v>7063</v>
      </c>
      <c r="CL1" t="s">
        <v>7064</v>
      </c>
      <c r="CM1" t="s">
        <v>7065</v>
      </c>
      <c r="CN1" t="s">
        <v>7066</v>
      </c>
      <c r="CO1" t="s">
        <v>7067</v>
      </c>
      <c r="CP1" t="s">
        <v>7068</v>
      </c>
      <c r="CQ1" t="s">
        <v>7069</v>
      </c>
      <c r="CR1" t="s">
        <v>7070</v>
      </c>
      <c r="CS1" t="s">
        <v>7071</v>
      </c>
      <c r="CT1" t="s">
        <v>7072</v>
      </c>
      <c r="CU1" t="s">
        <v>7073</v>
      </c>
      <c r="CV1" t="s">
        <v>7074</v>
      </c>
      <c r="CW1" t="s">
        <v>7075</v>
      </c>
      <c r="CX1" t="s">
        <v>7076</v>
      </c>
      <c r="CY1" t="s">
        <v>7077</v>
      </c>
      <c r="CZ1" t="s">
        <v>7078</v>
      </c>
      <c r="DA1" t="s">
        <v>7079</v>
      </c>
      <c r="DB1" t="s">
        <v>7080</v>
      </c>
      <c r="DC1" t="s">
        <v>7081</v>
      </c>
      <c r="DD1" t="s">
        <v>7082</v>
      </c>
      <c r="DE1" t="s">
        <v>7083</v>
      </c>
      <c r="DF1" t="s">
        <v>7084</v>
      </c>
      <c r="DG1" t="s">
        <v>7085</v>
      </c>
      <c r="DH1" t="s">
        <v>7086</v>
      </c>
      <c r="DI1" t="s">
        <v>7087</v>
      </c>
      <c r="DJ1" t="s">
        <v>7088</v>
      </c>
      <c r="DK1" t="s">
        <v>7089</v>
      </c>
      <c r="DL1" t="s">
        <v>7090</v>
      </c>
      <c r="DM1" t="s">
        <v>7091</v>
      </c>
      <c r="DN1" t="s">
        <v>7092</v>
      </c>
      <c r="DO1" t="s">
        <v>7093</v>
      </c>
      <c r="DP1" t="s">
        <v>7094</v>
      </c>
      <c r="DQ1" t="s">
        <v>7095</v>
      </c>
      <c r="DR1" t="s">
        <v>7096</v>
      </c>
      <c r="DS1" t="s">
        <v>7097</v>
      </c>
      <c r="DT1" t="s">
        <v>7098</v>
      </c>
      <c r="DU1" t="s">
        <v>7099</v>
      </c>
      <c r="DV1" t="s">
        <v>7100</v>
      </c>
      <c r="DW1" t="s">
        <v>7101</v>
      </c>
      <c r="DX1" t="s">
        <v>7102</v>
      </c>
      <c r="DY1" t="s">
        <v>7103</v>
      </c>
      <c r="DZ1" t="s">
        <v>7104</v>
      </c>
      <c r="EA1" t="s">
        <v>7105</v>
      </c>
      <c r="EB1" t="s">
        <v>7106</v>
      </c>
      <c r="EC1" t="s">
        <v>7107</v>
      </c>
      <c r="ED1" t="s">
        <v>7108</v>
      </c>
      <c r="EE1" t="s">
        <v>7109</v>
      </c>
      <c r="EF1" t="s">
        <v>7110</v>
      </c>
      <c r="EG1" t="s">
        <v>7111</v>
      </c>
      <c r="EH1" t="s">
        <v>7112</v>
      </c>
      <c r="EI1" t="s">
        <v>7113</v>
      </c>
      <c r="EJ1" t="s">
        <v>7114</v>
      </c>
      <c r="EK1" t="s">
        <v>7115</v>
      </c>
      <c r="EL1" t="s">
        <v>7116</v>
      </c>
      <c r="EM1" t="s">
        <v>7117</v>
      </c>
      <c r="EN1" t="s">
        <v>7118</v>
      </c>
      <c r="EO1" t="s">
        <v>7119</v>
      </c>
      <c r="EP1" t="s">
        <v>7120</v>
      </c>
      <c r="EQ1" t="s">
        <v>7121</v>
      </c>
      <c r="ER1" t="s">
        <v>7122</v>
      </c>
      <c r="ES1" t="s">
        <v>7123</v>
      </c>
      <c r="ET1" t="s">
        <v>7124</v>
      </c>
      <c r="EU1" t="s">
        <v>7125</v>
      </c>
      <c r="EV1" t="s">
        <v>7126</v>
      </c>
      <c r="EW1" t="s">
        <v>7127</v>
      </c>
      <c r="EX1" t="s">
        <v>7128</v>
      </c>
      <c r="EY1" t="s">
        <v>7129</v>
      </c>
      <c r="EZ1" t="s">
        <v>7130</v>
      </c>
      <c r="FA1" t="s">
        <v>7131</v>
      </c>
      <c r="FB1" t="s">
        <v>7132</v>
      </c>
      <c r="FC1" t="s">
        <v>7133</v>
      </c>
      <c r="FD1" t="s">
        <v>7134</v>
      </c>
      <c r="FE1" t="s">
        <v>7135</v>
      </c>
      <c r="FF1" t="s">
        <v>7136</v>
      </c>
      <c r="FG1" t="s">
        <v>7137</v>
      </c>
      <c r="FH1" t="s">
        <v>7138</v>
      </c>
      <c r="FI1" t="s">
        <v>7139</v>
      </c>
      <c r="FJ1" t="s">
        <v>7140</v>
      </c>
      <c r="FK1" t="s">
        <v>7141</v>
      </c>
      <c r="FL1" t="s">
        <v>7142</v>
      </c>
      <c r="FM1" t="s">
        <v>7143</v>
      </c>
      <c r="FN1" t="s">
        <v>7144</v>
      </c>
      <c r="FO1" t="s">
        <v>7145</v>
      </c>
      <c r="FP1" t="s">
        <v>7146</v>
      </c>
      <c r="FQ1" t="s">
        <v>7147</v>
      </c>
      <c r="FR1" t="s">
        <v>7148</v>
      </c>
      <c r="FS1" t="s">
        <v>7149</v>
      </c>
      <c r="FT1" t="s">
        <v>7150</v>
      </c>
      <c r="FU1" t="s">
        <v>7151</v>
      </c>
      <c r="FV1" t="s">
        <v>7152</v>
      </c>
      <c r="FW1" t="s">
        <v>7153</v>
      </c>
      <c r="FX1" t="s">
        <v>7154</v>
      </c>
      <c r="FY1" t="s">
        <v>7155</v>
      </c>
      <c r="FZ1" t="s">
        <v>7156</v>
      </c>
      <c r="GA1" t="s">
        <v>7157</v>
      </c>
      <c r="GB1" t="s">
        <v>7158</v>
      </c>
      <c r="GC1" t="s">
        <v>7159</v>
      </c>
      <c r="GD1" t="s">
        <v>7160</v>
      </c>
      <c r="GE1" t="s">
        <v>7161</v>
      </c>
      <c r="GF1" t="s">
        <v>7162</v>
      </c>
      <c r="GG1" t="s">
        <v>7163</v>
      </c>
      <c r="GH1" t="s">
        <v>7164</v>
      </c>
      <c r="GI1" t="s">
        <v>7165</v>
      </c>
      <c r="GJ1" t="s">
        <v>7166</v>
      </c>
      <c r="GK1" t="s">
        <v>7167</v>
      </c>
      <c r="GL1" t="s">
        <v>7168</v>
      </c>
      <c r="GM1" t="s">
        <v>7169</v>
      </c>
      <c r="GN1" t="s">
        <v>7170</v>
      </c>
      <c r="GO1" t="s">
        <v>7171</v>
      </c>
      <c r="GP1" t="s">
        <v>7172</v>
      </c>
      <c r="GQ1" t="s">
        <v>7173</v>
      </c>
      <c r="GR1" t="s">
        <v>7174</v>
      </c>
      <c r="GS1" t="s">
        <v>7175</v>
      </c>
      <c r="GT1" t="s">
        <v>7176</v>
      </c>
      <c r="GU1" t="s">
        <v>7177</v>
      </c>
      <c r="GV1" t="s">
        <v>7178</v>
      </c>
      <c r="GW1" t="s">
        <v>7179</v>
      </c>
      <c r="GX1" t="s">
        <v>7180</v>
      </c>
      <c r="GY1" t="s">
        <v>7181</v>
      </c>
      <c r="GZ1" t="s">
        <v>7182</v>
      </c>
      <c r="HA1" t="s">
        <v>7183</v>
      </c>
      <c r="HB1" t="s">
        <v>7184</v>
      </c>
      <c r="HC1" t="s">
        <v>7185</v>
      </c>
      <c r="HD1" t="s">
        <v>7186</v>
      </c>
      <c r="HE1" t="s">
        <v>7187</v>
      </c>
      <c r="HF1" t="s">
        <v>7188</v>
      </c>
      <c r="HG1" t="s">
        <v>7189</v>
      </c>
      <c r="HH1" t="s">
        <v>7190</v>
      </c>
      <c r="HI1" t="s">
        <v>7191</v>
      </c>
      <c r="HJ1" t="s">
        <v>7192</v>
      </c>
      <c r="HK1" t="s">
        <v>7193</v>
      </c>
      <c r="HL1" t="s">
        <v>7194</v>
      </c>
      <c r="HM1" t="s">
        <v>7195</v>
      </c>
      <c r="HN1" t="s">
        <v>7196</v>
      </c>
      <c r="HO1" t="s">
        <v>7197</v>
      </c>
      <c r="HP1" t="s">
        <v>7198</v>
      </c>
      <c r="HQ1" t="s">
        <v>7199</v>
      </c>
      <c r="HR1" t="s">
        <v>7200</v>
      </c>
      <c r="HS1" t="s">
        <v>7201</v>
      </c>
      <c r="HT1" t="s">
        <v>7202</v>
      </c>
      <c r="HU1" t="s">
        <v>7203</v>
      </c>
      <c r="HV1" t="s">
        <v>7204</v>
      </c>
      <c r="HW1" t="s">
        <v>7205</v>
      </c>
      <c r="HX1" t="s">
        <v>7206</v>
      </c>
      <c r="HY1" t="s">
        <v>7207</v>
      </c>
      <c r="HZ1" t="s">
        <v>7208</v>
      </c>
      <c r="IA1" t="s">
        <v>7209</v>
      </c>
      <c r="IB1" t="s">
        <v>7210</v>
      </c>
      <c r="IC1" t="s">
        <v>7211</v>
      </c>
      <c r="ID1" t="s">
        <v>7212</v>
      </c>
      <c r="IE1" t="s">
        <v>7213</v>
      </c>
      <c r="IF1" t="s">
        <v>7214</v>
      </c>
      <c r="IG1" t="s">
        <v>7215</v>
      </c>
      <c r="IH1" t="s">
        <v>7216</v>
      </c>
      <c r="II1" t="s">
        <v>7217</v>
      </c>
      <c r="IJ1" t="s">
        <v>7218</v>
      </c>
      <c r="IK1" t="s">
        <v>7219</v>
      </c>
      <c r="IL1" t="s">
        <v>7220</v>
      </c>
      <c r="IM1" t="s">
        <v>7221</v>
      </c>
      <c r="IN1" t="s">
        <v>7222</v>
      </c>
      <c r="IO1" t="s">
        <v>7223</v>
      </c>
      <c r="IP1" t="s">
        <v>7224</v>
      </c>
      <c r="IQ1" t="s">
        <v>7225</v>
      </c>
      <c r="IR1" t="s">
        <v>7226</v>
      </c>
      <c r="IS1" t="s">
        <v>7227</v>
      </c>
      <c r="IT1" t="s">
        <v>7228</v>
      </c>
      <c r="IU1" t="s">
        <v>7229</v>
      </c>
      <c r="IV1" t="s">
        <v>7230</v>
      </c>
      <c r="IW1" t="s">
        <v>7231</v>
      </c>
      <c r="IX1" t="s">
        <v>7232</v>
      </c>
      <c r="IY1" t="s">
        <v>7233</v>
      </c>
      <c r="IZ1" t="s">
        <v>7234</v>
      </c>
      <c r="JA1" t="s">
        <v>7235</v>
      </c>
      <c r="JB1" t="s">
        <v>7236</v>
      </c>
      <c r="JC1" t="s">
        <v>7237</v>
      </c>
      <c r="JD1" t="s">
        <v>7238</v>
      </c>
      <c r="JE1" t="s">
        <v>7239</v>
      </c>
      <c r="JF1" t="s">
        <v>7240</v>
      </c>
      <c r="JG1" t="s">
        <v>7241</v>
      </c>
      <c r="JH1" t="s">
        <v>7242</v>
      </c>
      <c r="JI1" t="s">
        <v>7243</v>
      </c>
      <c r="JJ1" t="s">
        <v>7244</v>
      </c>
      <c r="JK1" t="s">
        <v>7245</v>
      </c>
      <c r="JL1" t="s">
        <v>7246</v>
      </c>
      <c r="JM1" t="s">
        <v>7247</v>
      </c>
      <c r="JN1" t="s">
        <v>7248</v>
      </c>
      <c r="JO1" t="s">
        <v>7249</v>
      </c>
      <c r="JP1" t="s">
        <v>7250</v>
      </c>
      <c r="JQ1" t="s">
        <v>7251</v>
      </c>
      <c r="JR1" t="s">
        <v>7252</v>
      </c>
      <c r="JS1" t="s">
        <v>7253</v>
      </c>
      <c r="JT1" t="s">
        <v>7254</v>
      </c>
      <c r="JU1" t="s">
        <v>7255</v>
      </c>
      <c r="JV1" t="s">
        <v>7256</v>
      </c>
      <c r="JW1" t="s">
        <v>7257</v>
      </c>
      <c r="JX1" t="s">
        <v>7258</v>
      </c>
      <c r="JY1" t="s">
        <v>7259</v>
      </c>
      <c r="JZ1" t="s">
        <v>7260</v>
      </c>
      <c r="KA1" t="s">
        <v>7261</v>
      </c>
      <c r="KB1" t="s">
        <v>7262</v>
      </c>
      <c r="KC1" t="s">
        <v>7263</v>
      </c>
      <c r="KD1" t="s">
        <v>7264</v>
      </c>
      <c r="KE1" t="s">
        <v>7265</v>
      </c>
      <c r="KF1" t="s">
        <v>7266</v>
      </c>
      <c r="KG1" t="s">
        <v>7267</v>
      </c>
      <c r="KH1" t="s">
        <v>7268</v>
      </c>
      <c r="KI1" t="s">
        <v>7269</v>
      </c>
      <c r="KJ1" t="s">
        <v>7270</v>
      </c>
      <c r="KK1" t="s">
        <v>7271</v>
      </c>
      <c r="KL1" t="s">
        <v>7272</v>
      </c>
      <c r="KM1" t="s">
        <v>7273</v>
      </c>
      <c r="KN1" t="s">
        <v>7274</v>
      </c>
      <c r="KO1" t="s">
        <v>7275</v>
      </c>
      <c r="KP1" t="s">
        <v>7276</v>
      </c>
      <c r="KQ1" t="s">
        <v>7277</v>
      </c>
      <c r="KR1" t="s">
        <v>7278</v>
      </c>
      <c r="KS1" t="s">
        <v>7279</v>
      </c>
      <c r="KT1" t="s">
        <v>7280</v>
      </c>
      <c r="KU1" t="s">
        <v>7281</v>
      </c>
      <c r="KV1" t="s">
        <v>7282</v>
      </c>
      <c r="KW1" t="s">
        <v>7283</v>
      </c>
      <c r="KX1" t="s">
        <v>7284</v>
      </c>
      <c r="KY1" t="s">
        <v>7285</v>
      </c>
      <c r="KZ1" t="s">
        <v>7286</v>
      </c>
      <c r="LA1" t="s">
        <v>7287</v>
      </c>
      <c r="LB1" t="s">
        <v>7288</v>
      </c>
      <c r="LC1" t="s">
        <v>7289</v>
      </c>
      <c r="LD1" t="s">
        <v>7290</v>
      </c>
      <c r="LE1" t="s">
        <v>7291</v>
      </c>
      <c r="LF1" t="s">
        <v>7292</v>
      </c>
      <c r="LG1" t="s">
        <v>7293</v>
      </c>
      <c r="LH1" t="s">
        <v>7294</v>
      </c>
      <c r="LI1" t="s">
        <v>7295</v>
      </c>
      <c r="LJ1" t="s">
        <v>7296</v>
      </c>
      <c r="LK1" t="s">
        <v>7297</v>
      </c>
      <c r="LL1" t="s">
        <v>7298</v>
      </c>
      <c r="LM1" t="s">
        <v>7299</v>
      </c>
      <c r="LN1" t="s">
        <v>7300</v>
      </c>
      <c r="LO1" t="s">
        <v>7301</v>
      </c>
      <c r="LP1" t="s">
        <v>7302</v>
      </c>
      <c r="LQ1" t="s">
        <v>7303</v>
      </c>
      <c r="LR1" t="s">
        <v>7304</v>
      </c>
      <c r="LS1" t="s">
        <v>7305</v>
      </c>
      <c r="LT1" t="s">
        <v>7306</v>
      </c>
      <c r="LU1" t="s">
        <v>7307</v>
      </c>
      <c r="LV1" t="s">
        <v>7308</v>
      </c>
      <c r="LW1" t="s">
        <v>7309</v>
      </c>
      <c r="LX1" t="s">
        <v>7310</v>
      </c>
      <c r="LY1" t="s">
        <v>7311</v>
      </c>
      <c r="LZ1" t="s">
        <v>7312</v>
      </c>
      <c r="MA1" t="s">
        <v>7313</v>
      </c>
      <c r="MB1" t="s">
        <v>7314</v>
      </c>
      <c r="MC1" t="s">
        <v>7315</v>
      </c>
      <c r="MD1" t="s">
        <v>7316</v>
      </c>
      <c r="ME1" t="s">
        <v>7317</v>
      </c>
      <c r="MF1" t="s">
        <v>7318</v>
      </c>
      <c r="MG1" t="s">
        <v>7319</v>
      </c>
      <c r="MH1" t="s">
        <v>7320</v>
      </c>
      <c r="MI1" t="s">
        <v>7321</v>
      </c>
      <c r="MJ1" t="s">
        <v>7322</v>
      </c>
      <c r="MK1" t="s">
        <v>7323</v>
      </c>
      <c r="ML1" t="s">
        <v>7324</v>
      </c>
      <c r="MM1" t="s">
        <v>7325</v>
      </c>
      <c r="MN1" t="s">
        <v>7326</v>
      </c>
      <c r="MO1" t="s">
        <v>7327</v>
      </c>
      <c r="MP1" t="s">
        <v>7328</v>
      </c>
      <c r="MQ1" t="s">
        <v>7329</v>
      </c>
      <c r="MR1" t="s">
        <v>7330</v>
      </c>
      <c r="MS1" t="s">
        <v>7331</v>
      </c>
      <c r="MT1" t="s">
        <v>7332</v>
      </c>
      <c r="MU1" t="s">
        <v>7333</v>
      </c>
      <c r="MV1" t="s">
        <v>7334</v>
      </c>
      <c r="MW1" t="s">
        <v>7335</v>
      </c>
      <c r="MX1" t="s">
        <v>7336</v>
      </c>
      <c r="MY1" t="s">
        <v>7337</v>
      </c>
      <c r="MZ1" t="s">
        <v>7338</v>
      </c>
      <c r="NA1" t="s">
        <v>7339</v>
      </c>
      <c r="NB1" t="s">
        <v>7340</v>
      </c>
      <c r="NC1" t="s">
        <v>7341</v>
      </c>
      <c r="ND1" t="s">
        <v>7342</v>
      </c>
      <c r="NE1" t="s">
        <v>7343</v>
      </c>
      <c r="NF1" t="s">
        <v>7344</v>
      </c>
      <c r="NG1" t="s">
        <v>7345</v>
      </c>
      <c r="NH1" t="s">
        <v>7346</v>
      </c>
      <c r="NI1" t="s">
        <v>7347</v>
      </c>
      <c r="NJ1" t="s">
        <v>7348</v>
      </c>
      <c r="NK1" t="s">
        <v>7349</v>
      </c>
      <c r="NL1" t="s">
        <v>7350</v>
      </c>
      <c r="NM1" t="s">
        <v>7351</v>
      </c>
      <c r="NN1" t="s">
        <v>7352</v>
      </c>
      <c r="NO1" t="s">
        <v>7353</v>
      </c>
      <c r="NP1" t="s">
        <v>7354</v>
      </c>
      <c r="NQ1" t="s">
        <v>7355</v>
      </c>
      <c r="NR1" t="s">
        <v>7356</v>
      </c>
      <c r="NS1" t="s">
        <v>7357</v>
      </c>
      <c r="NT1" t="s">
        <v>7358</v>
      </c>
      <c r="NU1" t="s">
        <v>7359</v>
      </c>
      <c r="NV1" t="s">
        <v>7360</v>
      </c>
      <c r="NW1" t="s">
        <v>7361</v>
      </c>
      <c r="NX1" t="s">
        <v>7362</v>
      </c>
      <c r="NY1" t="s">
        <v>7363</v>
      </c>
      <c r="NZ1" t="s">
        <v>7364</v>
      </c>
      <c r="OA1" t="s">
        <v>7365</v>
      </c>
      <c r="OB1" t="s">
        <v>7366</v>
      </c>
      <c r="OC1" t="s">
        <v>7367</v>
      </c>
      <c r="OD1" t="s">
        <v>7368</v>
      </c>
      <c r="OE1" t="s">
        <v>7369</v>
      </c>
      <c r="OF1" t="s">
        <v>7370</v>
      </c>
      <c r="OG1" t="s">
        <v>7371</v>
      </c>
      <c r="OH1" t="s">
        <v>7372</v>
      </c>
      <c r="OI1" t="s">
        <v>7373</v>
      </c>
      <c r="OJ1" t="s">
        <v>7374</v>
      </c>
    </row>
    <row r="2" spans="1:400" x14ac:dyDescent="0.3">
      <c r="G2">
        <v>2750</v>
      </c>
      <c r="H2">
        <v>0.5</v>
      </c>
      <c r="O2">
        <v>6000</v>
      </c>
      <c r="P2">
        <v>22.89861918349116</v>
      </c>
      <c r="S2">
        <v>400</v>
      </c>
      <c r="T2">
        <v>0.75</v>
      </c>
      <c r="Y2">
        <v>545.4545454545455</v>
      </c>
      <c r="Z2">
        <v>390</v>
      </c>
      <c r="AA2">
        <v>400</v>
      </c>
      <c r="AB2">
        <v>390</v>
      </c>
      <c r="AE2">
        <v>400</v>
      </c>
      <c r="AF2">
        <v>380</v>
      </c>
      <c r="AI2">
        <v>0.8</v>
      </c>
      <c r="AJ2">
        <v>0.6</v>
      </c>
      <c r="AM2">
        <v>0.8</v>
      </c>
      <c r="AN2">
        <v>0.5</v>
      </c>
      <c r="AQ2">
        <v>0.4</v>
      </c>
      <c r="AR2">
        <v>0.4</v>
      </c>
      <c r="AU2">
        <v>0.8</v>
      </c>
      <c r="AV2">
        <v>0.5</v>
      </c>
      <c r="AW2">
        <v>1418.181818181818</v>
      </c>
      <c r="AX2">
        <v>0.4</v>
      </c>
      <c r="AY2">
        <v>400</v>
      </c>
      <c r="AZ2">
        <v>0.4</v>
      </c>
      <c r="BC2">
        <v>400</v>
      </c>
      <c r="BD2">
        <v>0.5</v>
      </c>
      <c r="BE2">
        <v>403</v>
      </c>
      <c r="BF2">
        <v>0.95</v>
      </c>
      <c r="BG2">
        <v>403</v>
      </c>
      <c r="BH2">
        <v>0.9</v>
      </c>
      <c r="BI2">
        <v>420</v>
      </c>
      <c r="BJ2">
        <v>0.9</v>
      </c>
      <c r="BK2">
        <v>497</v>
      </c>
      <c r="BL2">
        <v>0.9</v>
      </c>
      <c r="BM2">
        <v>300</v>
      </c>
      <c r="BN2">
        <v>278.14999999999998</v>
      </c>
      <c r="BO2">
        <v>150</v>
      </c>
      <c r="BP2">
        <v>278.14999999999998</v>
      </c>
      <c r="BQ2">
        <v>150</v>
      </c>
      <c r="BR2">
        <v>293.14999999999998</v>
      </c>
      <c r="BU2">
        <v>450</v>
      </c>
      <c r="BV2">
        <v>278.14999999999998</v>
      </c>
      <c r="BW2">
        <v>150</v>
      </c>
      <c r="BX2">
        <v>278.14999999999998</v>
      </c>
      <c r="BY2">
        <v>150</v>
      </c>
      <c r="BZ2">
        <v>300.032917</v>
      </c>
      <c r="CC2">
        <v>750</v>
      </c>
      <c r="CD2">
        <v>278.14999999999998</v>
      </c>
      <c r="CE2">
        <v>150</v>
      </c>
      <c r="CF2">
        <v>278.14999999999998</v>
      </c>
      <c r="CI2">
        <v>300</v>
      </c>
      <c r="CJ2">
        <v>278.14999999999998</v>
      </c>
      <c r="CQ2">
        <v>150</v>
      </c>
      <c r="CR2">
        <v>278.14999999999998</v>
      </c>
      <c r="CS2">
        <v>3571.428571428572</v>
      </c>
      <c r="CT2">
        <v>4.6550373737321404</v>
      </c>
      <c r="CU2">
        <v>1000</v>
      </c>
      <c r="CV2">
        <v>4.0475656046749799</v>
      </c>
      <c r="CY2">
        <v>4214.2857142857138</v>
      </c>
      <c r="CZ2">
        <v>-23.13140974075618</v>
      </c>
      <c r="DA2">
        <v>4011.0372940846132</v>
      </c>
      <c r="DB2">
        <v>1460.7125851451451</v>
      </c>
      <c r="DC2">
        <v>3665.962676103748</v>
      </c>
      <c r="DD2">
        <v>662.41031193744834</v>
      </c>
      <c r="DE2">
        <v>2805.7997396632072</v>
      </c>
      <c r="DF2">
        <v>395.24024168871722</v>
      </c>
      <c r="DG2">
        <v>4932.9941049818726</v>
      </c>
      <c r="DH2">
        <v>405.24034988169097</v>
      </c>
      <c r="DI2">
        <v>2916.061184773991</v>
      </c>
      <c r="DJ2">
        <v>2096.1816814280851</v>
      </c>
      <c r="DK2">
        <v>3520.1720276887522</v>
      </c>
      <c r="DL2">
        <v>1790.6892480516799</v>
      </c>
      <c r="DM2">
        <v>3159.1552193598641</v>
      </c>
      <c r="DN2">
        <v>2205.413747149867</v>
      </c>
      <c r="DO2">
        <v>3432.3890708026611</v>
      </c>
      <c r="DP2">
        <v>2446.0426621261422</v>
      </c>
      <c r="DQ2">
        <v>3905.950043184831</v>
      </c>
      <c r="DR2">
        <v>1359.5567020080759</v>
      </c>
      <c r="DS2">
        <v>3882.966114501743</v>
      </c>
      <c r="DT2">
        <v>641.705417603971</v>
      </c>
      <c r="DU2">
        <v>2226.6090759620479</v>
      </c>
      <c r="DV2">
        <v>1736.317338473599</v>
      </c>
      <c r="DW2">
        <v>2511.3317796086549</v>
      </c>
      <c r="DX2">
        <v>1714.1356685979979</v>
      </c>
      <c r="EA2">
        <v>413.42092850499682</v>
      </c>
      <c r="EB2">
        <v>0.54671976871802064</v>
      </c>
      <c r="EC2">
        <v>581.6667809300933</v>
      </c>
      <c r="ED2">
        <v>0.62069936420153582</v>
      </c>
      <c r="EE2">
        <v>497.19890464505391</v>
      </c>
      <c r="EF2">
        <v>0.83046565972192266</v>
      </c>
      <c r="EI2">
        <v>518.457465398208</v>
      </c>
      <c r="EJ2">
        <v>0.65563335577155413</v>
      </c>
      <c r="EK2">
        <v>405.82572243121899</v>
      </c>
      <c r="EL2">
        <v>0.58651115483454608</v>
      </c>
      <c r="EM2">
        <v>543.29523370687764</v>
      </c>
      <c r="EN2">
        <v>0.8418107283277434</v>
      </c>
      <c r="EO2">
        <v>1912.454775916088</v>
      </c>
      <c r="EP2">
        <v>0.57014862897281027</v>
      </c>
      <c r="EQ2">
        <v>717.49765607468464</v>
      </c>
      <c r="ER2">
        <v>0.70744907017138159</v>
      </c>
      <c r="ES2">
        <v>1603.6227697890411</v>
      </c>
      <c r="ET2">
        <v>0.72451586307410309</v>
      </c>
      <c r="EU2">
        <v>277.73249598963008</v>
      </c>
      <c r="EV2">
        <v>0.83342711013974169</v>
      </c>
      <c r="EW2">
        <v>2581.218399638949</v>
      </c>
      <c r="EX2">
        <v>1452.540849569594</v>
      </c>
      <c r="EY2">
        <v>3850.822822006674</v>
      </c>
      <c r="EZ2">
        <v>417.94093331748007</v>
      </c>
      <c r="FA2">
        <v>4134.7489664125242</v>
      </c>
      <c r="FB2">
        <v>689.60208419368189</v>
      </c>
      <c r="FC2">
        <v>3696.521691421201</v>
      </c>
      <c r="FD2">
        <v>1623.3333340506231</v>
      </c>
      <c r="FE2">
        <v>400</v>
      </c>
      <c r="FF2">
        <v>0.85</v>
      </c>
      <c r="FG2">
        <v>410</v>
      </c>
      <c r="FH2">
        <v>0.85</v>
      </c>
      <c r="FI2">
        <v>387.5</v>
      </c>
      <c r="FJ2">
        <v>0.85</v>
      </c>
      <c r="FK2">
        <v>410</v>
      </c>
      <c r="FL2">
        <v>0.85</v>
      </c>
      <c r="FM2">
        <v>3481.8230245237678</v>
      </c>
      <c r="FN2">
        <v>808.34025773909616</v>
      </c>
      <c r="FO2">
        <v>3481.8230245237678</v>
      </c>
      <c r="FP2">
        <v>808.34025773909616</v>
      </c>
      <c r="FU2">
        <v>3000</v>
      </c>
      <c r="FV2">
        <v>393.75</v>
      </c>
      <c r="FW2">
        <v>3000</v>
      </c>
      <c r="FX2">
        <v>393.75</v>
      </c>
      <c r="GA2">
        <v>3000</v>
      </c>
      <c r="GB2">
        <v>393.75</v>
      </c>
      <c r="GC2">
        <v>3905.950043184831</v>
      </c>
      <c r="GD2">
        <v>1359.5567020080759</v>
      </c>
      <c r="GE2">
        <v>3905.950043184831</v>
      </c>
      <c r="GF2">
        <v>1139.5567020080771</v>
      </c>
      <c r="GI2">
        <v>3905.950043184831</v>
      </c>
      <c r="GJ2">
        <v>1359.5567020080759</v>
      </c>
      <c r="GK2">
        <v>403</v>
      </c>
      <c r="GL2">
        <v>0.5</v>
      </c>
      <c r="GM2">
        <v>415</v>
      </c>
      <c r="GN2">
        <v>0.5</v>
      </c>
      <c r="GS2">
        <v>4808.3419580395002</v>
      </c>
      <c r="GT2">
        <v>1242.2743898072649</v>
      </c>
      <c r="GU2">
        <v>4808.3419580395002</v>
      </c>
      <c r="GV2">
        <v>1022.274389807265</v>
      </c>
      <c r="GY2">
        <v>4808.3419580395002</v>
      </c>
      <c r="GZ2">
        <v>1242.2743898072649</v>
      </c>
      <c r="HA2">
        <v>3000</v>
      </c>
      <c r="HB2">
        <v>400</v>
      </c>
      <c r="HC2">
        <v>3000</v>
      </c>
      <c r="HD2">
        <v>563.63636363636374</v>
      </c>
      <c r="HG2">
        <v>3000</v>
      </c>
      <c r="HH2">
        <v>736.36363636399994</v>
      </c>
      <c r="HI2">
        <v>2864.874245178099</v>
      </c>
      <c r="HJ2">
        <v>1829.6188492964709</v>
      </c>
      <c r="HK2">
        <v>4417.572942369412</v>
      </c>
      <c r="HL2">
        <v>1513.504865631809</v>
      </c>
      <c r="HM2">
        <v>4960.1321118925516</v>
      </c>
      <c r="HN2">
        <v>373.2525081237647</v>
      </c>
      <c r="HO2">
        <v>2249.0753571397759</v>
      </c>
      <c r="HP2">
        <v>624.17182897011367</v>
      </c>
      <c r="HQ2">
        <v>3279.1669450439872</v>
      </c>
      <c r="HR2">
        <v>1881.0861804245951</v>
      </c>
      <c r="HS2">
        <v>2509.1118007331552</v>
      </c>
      <c r="HT2">
        <v>601.04727933828667</v>
      </c>
      <c r="HU2">
        <v>4966.4352092063746</v>
      </c>
      <c r="HV2">
        <v>569.75058786089369</v>
      </c>
      <c r="HW2">
        <v>3079.6643301532199</v>
      </c>
      <c r="HX2">
        <v>409.32368814172071</v>
      </c>
      <c r="HY2">
        <v>489.36212844153607</v>
      </c>
      <c r="HZ2">
        <v>426.55637830565121</v>
      </c>
      <c r="IA2">
        <v>396.54982757782631</v>
      </c>
      <c r="IB2">
        <v>425.60479184697721</v>
      </c>
      <c r="IC2">
        <v>1835.731613707424</v>
      </c>
      <c r="ID2">
        <v>467.3929355047112</v>
      </c>
      <c r="IE2">
        <v>968.31953666971003</v>
      </c>
      <c r="IF2">
        <v>441.57286987503232</v>
      </c>
      <c r="IG2">
        <v>3657.201478148193</v>
      </c>
      <c r="IH2">
        <v>395.60194040107808</v>
      </c>
      <c r="II2">
        <v>2265.3583748168789</v>
      </c>
      <c r="IJ2">
        <v>480.64444451139138</v>
      </c>
      <c r="IK2">
        <v>4146.1839691762943</v>
      </c>
      <c r="IL2">
        <v>420.05944762864289</v>
      </c>
      <c r="IM2">
        <v>3773.2425087290362</v>
      </c>
      <c r="IN2">
        <v>393.14518716883163</v>
      </c>
      <c r="IO2">
        <v>4852.0824115249379</v>
      </c>
      <c r="IP2">
        <v>1140.1084129767969</v>
      </c>
      <c r="IQ2">
        <v>4122.9445775824861</v>
      </c>
      <c r="IR2">
        <v>1291.4063128037481</v>
      </c>
      <c r="IS2">
        <v>2444.5500050029382</v>
      </c>
      <c r="IT2">
        <v>993.95720667687442</v>
      </c>
      <c r="IU2">
        <v>3636.1587327394732</v>
      </c>
      <c r="IV2">
        <v>1770.4490393887261</v>
      </c>
      <c r="IW2">
        <v>2739.555769119961</v>
      </c>
      <c r="IX2">
        <v>1998.763234628464</v>
      </c>
      <c r="IY2">
        <v>3196.5209956455251</v>
      </c>
      <c r="IZ2">
        <v>353.20792711845058</v>
      </c>
      <c r="JA2">
        <v>3681.4724605256952</v>
      </c>
      <c r="JB2">
        <v>1832.6907452922931</v>
      </c>
      <c r="JC2">
        <v>2566.0941746460749</v>
      </c>
      <c r="JD2">
        <v>634.01447239353138</v>
      </c>
      <c r="JE2">
        <v>4838.7946403275246</v>
      </c>
      <c r="JF2">
        <v>1691.4757189033851</v>
      </c>
      <c r="JG2">
        <v>4119.4527533257788</v>
      </c>
      <c r="JH2">
        <v>1718.1420227970621</v>
      </c>
      <c r="JI2">
        <v>4944.1282627078581</v>
      </c>
      <c r="JJ2">
        <v>1153.962499217281</v>
      </c>
      <c r="JK2">
        <v>3023.887851124528</v>
      </c>
      <c r="JL2">
        <v>1036.985138163303</v>
      </c>
      <c r="JM2">
        <v>4538.2043862927276</v>
      </c>
      <c r="JN2">
        <v>897.25469633368027</v>
      </c>
      <c r="JO2">
        <v>3811.7849308461191</v>
      </c>
      <c r="JP2">
        <v>455.3787606252119</v>
      </c>
      <c r="JS2">
        <v>4236.2263514841343</v>
      </c>
      <c r="JT2">
        <v>1006.937147624862</v>
      </c>
      <c r="JU2">
        <v>631.28329344521171</v>
      </c>
      <c r="JV2">
        <v>391.19397922888402</v>
      </c>
      <c r="JW2">
        <v>478.915945231107</v>
      </c>
      <c r="JX2">
        <v>401.03663753905931</v>
      </c>
      <c r="JY2">
        <v>437.61294524039948</v>
      </c>
      <c r="JZ2">
        <v>457.82411740878678</v>
      </c>
      <c r="KA2">
        <v>1926.41261285158</v>
      </c>
      <c r="KB2">
        <v>382.59967763038321</v>
      </c>
      <c r="KC2">
        <v>2965.6130715740742</v>
      </c>
      <c r="KD2">
        <v>403.91846900031442</v>
      </c>
      <c r="KE2">
        <v>4986.7713804567829</v>
      </c>
      <c r="KF2">
        <v>460.22960859612419</v>
      </c>
      <c r="KG2">
        <v>3329.4375929655698</v>
      </c>
      <c r="KH2">
        <v>466.75937623719682</v>
      </c>
      <c r="KI2">
        <v>3922.8787762220381</v>
      </c>
      <c r="KJ2">
        <v>399.70720678174632</v>
      </c>
      <c r="KK2">
        <v>2887.7973990544101</v>
      </c>
      <c r="KL2">
        <v>1612.1624236947009</v>
      </c>
      <c r="KM2">
        <v>4501.1765486501254</v>
      </c>
      <c r="KN2">
        <v>946.54489351667837</v>
      </c>
      <c r="KO2">
        <v>4482.9324981479422</v>
      </c>
      <c r="KP2">
        <v>1557.7718289208581</v>
      </c>
      <c r="KQ2">
        <v>2916.2383703550991</v>
      </c>
      <c r="KR2">
        <v>854.72482152286011</v>
      </c>
      <c r="KS2">
        <v>1815.6946430586879</v>
      </c>
      <c r="KT2">
        <v>0.81237119348926079</v>
      </c>
      <c r="KU2">
        <v>1974.733538765139</v>
      </c>
      <c r="KV2">
        <v>0.70784842340948129</v>
      </c>
      <c r="KW2">
        <v>1048.034598468812</v>
      </c>
      <c r="KX2">
        <v>0.62616200567601721</v>
      </c>
      <c r="KY2">
        <v>1140.577524497842</v>
      </c>
      <c r="KZ2">
        <v>0.56647302202256</v>
      </c>
      <c r="LA2">
        <v>1343.409792866931</v>
      </c>
      <c r="LB2">
        <v>433.6578582413249</v>
      </c>
      <c r="LC2">
        <v>755.14299411779393</v>
      </c>
      <c r="LD2">
        <v>466.72317434063848</v>
      </c>
      <c r="LE2">
        <v>1899.235386585173</v>
      </c>
      <c r="LF2">
        <v>387.85077930872171</v>
      </c>
      <c r="LG2">
        <v>897.23621550499695</v>
      </c>
      <c r="LH2">
        <v>401.83374107249068</v>
      </c>
      <c r="LI2">
        <v>426.26265913266951</v>
      </c>
      <c r="LJ2">
        <v>0.94806307014581437</v>
      </c>
      <c r="LK2">
        <v>439.50219578573939</v>
      </c>
      <c r="LL2">
        <v>0.84345963919045719</v>
      </c>
      <c r="LM2">
        <v>514.42072740054618</v>
      </c>
      <c r="LN2">
        <v>0.58612766455085785</v>
      </c>
      <c r="LO2">
        <v>385.18320506050247</v>
      </c>
      <c r="LP2">
        <v>0.89438197156795773</v>
      </c>
      <c r="LQ2">
        <v>1123.4569310431059</v>
      </c>
      <c r="LR2">
        <v>414.66757334340582</v>
      </c>
      <c r="LS2">
        <v>481.72546243068939</v>
      </c>
      <c r="LT2">
        <v>444.23293725435389</v>
      </c>
      <c r="LU2">
        <v>1022.332192204083</v>
      </c>
      <c r="LV2">
        <v>427.9805782050725</v>
      </c>
      <c r="LW2">
        <v>1592.2269791784449</v>
      </c>
      <c r="LX2">
        <v>386.8608990276125</v>
      </c>
      <c r="ME2">
        <v>1572.724430308208</v>
      </c>
      <c r="MF2">
        <v>299.0121287190874</v>
      </c>
      <c r="MG2">
        <v>406.88016922955171</v>
      </c>
      <c r="MH2">
        <v>284.31311198568721</v>
      </c>
      <c r="MI2">
        <v>466.00499544011342</v>
      </c>
      <c r="MJ2">
        <v>290.64631593574251</v>
      </c>
      <c r="MK2">
        <v>386.85610185436178</v>
      </c>
      <c r="ML2">
        <v>294.11677804928422</v>
      </c>
      <c r="MM2">
        <v>384.24048843907792</v>
      </c>
      <c r="MN2">
        <v>292.29719579343629</v>
      </c>
      <c r="MO2">
        <v>801.50933570239204</v>
      </c>
      <c r="MP2">
        <v>413.89383699508647</v>
      </c>
      <c r="MQ2">
        <v>1173.2279967909919</v>
      </c>
      <c r="MR2">
        <v>497.44399854123287</v>
      </c>
      <c r="MS2">
        <v>1582.8573541543219</v>
      </c>
      <c r="MT2">
        <v>388.45229702035061</v>
      </c>
      <c r="MU2">
        <v>1920.010247429293</v>
      </c>
      <c r="MV2">
        <v>381.61984503591469</v>
      </c>
      <c r="MW2">
        <v>650</v>
      </c>
      <c r="MX2">
        <v>13.170444446252681</v>
      </c>
      <c r="MY2">
        <v>550</v>
      </c>
      <c r="MZ2">
        <v>14.377204281446151</v>
      </c>
      <c r="NE2">
        <v>3300</v>
      </c>
      <c r="NF2">
        <v>1400</v>
      </c>
      <c r="NM2">
        <v>2821.428571428572</v>
      </c>
      <c r="NN2">
        <v>11.83568349674035</v>
      </c>
      <c r="NO2">
        <v>2500</v>
      </c>
      <c r="NP2">
        <v>11.053305647164899</v>
      </c>
      <c r="NU2">
        <v>800</v>
      </c>
      <c r="NV2">
        <v>0.7</v>
      </c>
      <c r="NW2">
        <v>500</v>
      </c>
      <c r="NX2">
        <v>0.73</v>
      </c>
      <c r="OA2">
        <v>200</v>
      </c>
      <c r="OB2">
        <v>0.3</v>
      </c>
      <c r="OC2">
        <v>0.54999999999999993</v>
      </c>
      <c r="OD2">
        <v>6.3228945306369706</v>
      </c>
      <c r="OI2">
        <v>0.4499999999999999</v>
      </c>
      <c r="OJ2">
        <v>-29.36581867739449</v>
      </c>
    </row>
    <row r="3" spans="1:400" x14ac:dyDescent="0.3">
      <c r="G3">
        <v>2250</v>
      </c>
      <c r="H3">
        <v>0.5</v>
      </c>
      <c r="O3">
        <v>7000</v>
      </c>
      <c r="P3">
        <v>22.02460917195469</v>
      </c>
      <c r="S3">
        <v>545.4545454545455</v>
      </c>
      <c r="T3">
        <v>0.75</v>
      </c>
      <c r="Y3">
        <v>836.36363636363637</v>
      </c>
      <c r="Z3">
        <v>390</v>
      </c>
      <c r="AA3">
        <v>400</v>
      </c>
      <c r="AB3">
        <v>403</v>
      </c>
      <c r="AE3">
        <v>1127.2727272727279</v>
      </c>
      <c r="AF3">
        <v>380</v>
      </c>
      <c r="AI3">
        <v>0.8</v>
      </c>
      <c r="AJ3">
        <v>0.4</v>
      </c>
      <c r="AM3">
        <v>0.8</v>
      </c>
      <c r="AN3">
        <v>0.89999999999999991</v>
      </c>
      <c r="AQ3">
        <v>0.55000000000000004</v>
      </c>
      <c r="AR3">
        <v>0.4</v>
      </c>
      <c r="AU3">
        <v>0.4</v>
      </c>
      <c r="AV3">
        <v>0.7</v>
      </c>
      <c r="AW3">
        <v>1563.636363636364</v>
      </c>
      <c r="AX3">
        <v>0.4</v>
      </c>
      <c r="AY3">
        <v>545.4545454545455</v>
      </c>
      <c r="AZ3">
        <v>0.4</v>
      </c>
      <c r="BC3">
        <v>836.36363636363637</v>
      </c>
      <c r="BD3">
        <v>0.5</v>
      </c>
      <c r="BG3">
        <v>403</v>
      </c>
      <c r="BH3">
        <v>0.85</v>
      </c>
      <c r="BM3">
        <v>450</v>
      </c>
      <c r="BN3">
        <v>278.14999999999998</v>
      </c>
      <c r="BO3">
        <v>150</v>
      </c>
      <c r="BP3">
        <v>283.14999999999998</v>
      </c>
      <c r="BQ3">
        <v>150</v>
      </c>
      <c r="BR3">
        <v>300.032917</v>
      </c>
      <c r="BU3">
        <v>600</v>
      </c>
      <c r="BV3">
        <v>278.14999999999998</v>
      </c>
      <c r="BW3">
        <v>300</v>
      </c>
      <c r="BX3">
        <v>278.14999999999998</v>
      </c>
      <c r="CC3">
        <v>1050</v>
      </c>
      <c r="CD3">
        <v>278.14999999999998</v>
      </c>
      <c r="CE3">
        <v>450</v>
      </c>
      <c r="CF3">
        <v>278.14999999999998</v>
      </c>
      <c r="CQ3">
        <v>300</v>
      </c>
      <c r="CR3">
        <v>278.14999999999998</v>
      </c>
      <c r="CS3">
        <v>3090</v>
      </c>
      <c r="CT3">
        <v>8.1524347787986304</v>
      </c>
      <c r="CU3">
        <v>2285.7142857142858</v>
      </c>
      <c r="CV3">
        <v>9.1922357201553702</v>
      </c>
      <c r="CY3">
        <v>4857.1428571428569</v>
      </c>
      <c r="CZ3">
        <v>-99.24457646427112</v>
      </c>
      <c r="DA3">
        <v>2967.685564843559</v>
      </c>
      <c r="DB3">
        <v>885.59006331456192</v>
      </c>
      <c r="DC3">
        <v>4020.0570555647082</v>
      </c>
      <c r="DD3">
        <v>1483.107052397032</v>
      </c>
      <c r="DE3">
        <v>4344.1781891148576</v>
      </c>
      <c r="DF3">
        <v>347.13542630991373</v>
      </c>
      <c r="DG3">
        <v>3466.398943143784</v>
      </c>
      <c r="DH3">
        <v>1350.2081524096679</v>
      </c>
      <c r="DI3">
        <v>3080.1430643595459</v>
      </c>
      <c r="DJ3">
        <v>1604.636210125756</v>
      </c>
      <c r="DK3">
        <v>3719.5669791269629</v>
      </c>
      <c r="DL3">
        <v>1523.799278985118</v>
      </c>
      <c r="DM3">
        <v>3457.2811652620539</v>
      </c>
      <c r="DN3">
        <v>1674.8049376698591</v>
      </c>
      <c r="DO3">
        <v>4944.4260668487914</v>
      </c>
      <c r="DP3">
        <v>1972.3683403358179</v>
      </c>
      <c r="DQ3">
        <v>3207.5192377314611</v>
      </c>
      <c r="DR3">
        <v>1965.6210847776449</v>
      </c>
      <c r="DS3">
        <v>3787.564501720889</v>
      </c>
      <c r="DT3">
        <v>934.08408169163738</v>
      </c>
      <c r="DU3">
        <v>3193.3347924182631</v>
      </c>
      <c r="DV3">
        <v>755.94732973170017</v>
      </c>
      <c r="DW3">
        <v>3259.9230274503079</v>
      </c>
      <c r="DX3">
        <v>257.70407658169597</v>
      </c>
      <c r="EA3">
        <v>479.26013938846057</v>
      </c>
      <c r="EB3">
        <v>0.56394520594648612</v>
      </c>
      <c r="EC3">
        <v>396.95683267994082</v>
      </c>
      <c r="ED3">
        <v>0.6487265564028224</v>
      </c>
      <c r="EE3">
        <v>565.63231634089698</v>
      </c>
      <c r="EF3">
        <v>0.70318689692717662</v>
      </c>
      <c r="EI3">
        <v>507.09485430448223</v>
      </c>
      <c r="EJ3">
        <v>0.73796925063046637</v>
      </c>
      <c r="EK3">
        <v>572.75272974187601</v>
      </c>
      <c r="EL3">
        <v>0.81782692774062915</v>
      </c>
      <c r="EM3">
        <v>512.45782474410726</v>
      </c>
      <c r="EN3">
        <v>0.59429004705693544</v>
      </c>
      <c r="EO3">
        <v>1932.6666732727331</v>
      </c>
      <c r="EP3">
        <v>0.62145524900639881</v>
      </c>
      <c r="EQ3">
        <v>1985.5685830750249</v>
      </c>
      <c r="ER3">
        <v>0.66748528230148152</v>
      </c>
      <c r="ES3">
        <v>437.28537169327842</v>
      </c>
      <c r="ET3">
        <v>0.72988515941546839</v>
      </c>
      <c r="EU3">
        <v>658.48729043467495</v>
      </c>
      <c r="EV3">
        <v>0.78081462524155221</v>
      </c>
      <c r="EW3">
        <v>4808.3419580395002</v>
      </c>
      <c r="EX3">
        <v>1242.2743898072649</v>
      </c>
      <c r="EY3">
        <v>4954.9351047237542</v>
      </c>
      <c r="EZ3">
        <v>300.78468468562818</v>
      </c>
      <c r="FA3">
        <v>4547.9978017276799</v>
      </c>
      <c r="FB3">
        <v>437.41919159985281</v>
      </c>
      <c r="FC3">
        <v>4259.7354851577074</v>
      </c>
      <c r="FD3">
        <v>1333.8122038909471</v>
      </c>
      <c r="FE3">
        <v>397.5</v>
      </c>
      <c r="FF3">
        <v>0.85</v>
      </c>
      <c r="FG3">
        <v>390</v>
      </c>
      <c r="FH3">
        <v>0.85</v>
      </c>
      <c r="FI3">
        <v>387.5</v>
      </c>
      <c r="FJ3">
        <v>0.875</v>
      </c>
      <c r="FK3">
        <v>385</v>
      </c>
      <c r="FL3">
        <v>0.85</v>
      </c>
      <c r="FM3">
        <v>3481.8230245237678</v>
      </c>
      <c r="FN3">
        <v>808.34025773909616</v>
      </c>
      <c r="FO3">
        <v>3481.8230245237678</v>
      </c>
      <c r="FP3">
        <v>588.34025773909616</v>
      </c>
      <c r="FU3">
        <v>3000</v>
      </c>
      <c r="FV3">
        <v>393.75</v>
      </c>
      <c r="FW3">
        <v>3000</v>
      </c>
      <c r="FX3">
        <v>393.75</v>
      </c>
      <c r="GC3">
        <v>4205.950043184831</v>
      </c>
      <c r="GD3">
        <v>1359.5567020080759</v>
      </c>
      <c r="GE3">
        <v>3905.950043184831</v>
      </c>
      <c r="GF3">
        <v>1359.5567020080759</v>
      </c>
      <c r="GI3">
        <v>3905.950043184831</v>
      </c>
      <c r="GJ3">
        <v>1359.5567020080759</v>
      </c>
      <c r="GK3">
        <v>391</v>
      </c>
      <c r="GL3">
        <v>0.5</v>
      </c>
      <c r="GM3">
        <v>403</v>
      </c>
      <c r="GN3">
        <v>0.53500000000000003</v>
      </c>
      <c r="GS3">
        <v>4808.3419580395002</v>
      </c>
      <c r="GT3">
        <v>1242.2743898072649</v>
      </c>
      <c r="GU3">
        <v>4808.3419580395002</v>
      </c>
      <c r="GV3">
        <v>1022.274389807265</v>
      </c>
      <c r="GY3">
        <v>4808.3419580395002</v>
      </c>
      <c r="GZ3">
        <v>802.27438980726458</v>
      </c>
      <c r="HA3">
        <v>3000</v>
      </c>
      <c r="HB3">
        <v>400</v>
      </c>
      <c r="HC3">
        <v>3000</v>
      </c>
      <c r="HD3">
        <v>400</v>
      </c>
      <c r="HG3">
        <v>3000</v>
      </c>
      <c r="HH3">
        <v>400</v>
      </c>
      <c r="HI3">
        <v>3667.3592454363552</v>
      </c>
      <c r="HJ3">
        <v>1288.964926104858</v>
      </c>
      <c r="HK3">
        <v>3818.4974390039979</v>
      </c>
      <c r="HL3">
        <v>1463.898791773516</v>
      </c>
      <c r="HM3">
        <v>2166.4524864434161</v>
      </c>
      <c r="HN3">
        <v>1858.5467153204399</v>
      </c>
      <c r="HO3">
        <v>4856.4792089329158</v>
      </c>
      <c r="HP3">
        <v>562.67867216980198</v>
      </c>
      <c r="HQ3">
        <v>4388.1350344871043</v>
      </c>
      <c r="HR3">
        <v>496.43061021704892</v>
      </c>
      <c r="HS3">
        <v>2082.367266100714</v>
      </c>
      <c r="HT3">
        <v>1416.236445321354</v>
      </c>
      <c r="HU3">
        <v>4312.6069797028586</v>
      </c>
      <c r="HV3">
        <v>369.96125367989413</v>
      </c>
      <c r="HW3">
        <v>4901.5862348364881</v>
      </c>
      <c r="HX3">
        <v>784.69800487733937</v>
      </c>
      <c r="HY3">
        <v>1976.343340407803</v>
      </c>
      <c r="HZ3">
        <v>412.23894832347457</v>
      </c>
      <c r="IA3">
        <v>1279.569153355726</v>
      </c>
      <c r="IB3">
        <v>389.85859517935307</v>
      </c>
      <c r="IC3">
        <v>699.4973435513092</v>
      </c>
      <c r="ID3">
        <v>413.89313210858109</v>
      </c>
      <c r="IE3">
        <v>1324.8430334173549</v>
      </c>
      <c r="IF3">
        <v>508.42913293791543</v>
      </c>
      <c r="II3">
        <v>4863.1365222289478</v>
      </c>
      <c r="IJ3">
        <v>478.54060068048562</v>
      </c>
      <c r="IK3">
        <v>4727.9768489218932</v>
      </c>
      <c r="IL3">
        <v>501.11226995720142</v>
      </c>
      <c r="IM3">
        <v>2399.465869978575</v>
      </c>
      <c r="IN3">
        <v>423.75264844960572</v>
      </c>
      <c r="IO3">
        <v>3031.9292166302139</v>
      </c>
      <c r="IP3">
        <v>1364.643778895836</v>
      </c>
      <c r="IQ3">
        <v>3440.4767365313678</v>
      </c>
      <c r="IR3">
        <v>1623.6795826532029</v>
      </c>
      <c r="IS3">
        <v>4884.7848446223006</v>
      </c>
      <c r="IT3">
        <v>363.72507980582861</v>
      </c>
      <c r="IU3">
        <v>4925.3965933788013</v>
      </c>
      <c r="IV3">
        <v>817.05994368760309</v>
      </c>
      <c r="IW3">
        <v>2609.9750399517761</v>
      </c>
      <c r="IX3">
        <v>1737.227288078959</v>
      </c>
      <c r="IY3">
        <v>2930.2542598372638</v>
      </c>
      <c r="IZ3">
        <v>1381.7818794498</v>
      </c>
      <c r="JA3">
        <v>4154.5262870063962</v>
      </c>
      <c r="JB3">
        <v>370.74751977476973</v>
      </c>
      <c r="JC3">
        <v>4440.2069745006993</v>
      </c>
      <c r="JD3">
        <v>971.27418401019395</v>
      </c>
      <c r="JE3">
        <v>4706.9246544998878</v>
      </c>
      <c r="JF3">
        <v>1896.6676965987681</v>
      </c>
      <c r="JG3">
        <v>4311.8577188260751</v>
      </c>
      <c r="JH3">
        <v>906.73166166679175</v>
      </c>
      <c r="JI3">
        <v>3207.9965074324969</v>
      </c>
      <c r="JJ3">
        <v>663.31012189775493</v>
      </c>
      <c r="JK3">
        <v>2888.405024885868</v>
      </c>
      <c r="JL3">
        <v>1300.695137811615</v>
      </c>
      <c r="JM3">
        <v>2818.4777514964189</v>
      </c>
      <c r="JN3">
        <v>1273.827186847795</v>
      </c>
      <c r="JO3">
        <v>2378.3178893573722</v>
      </c>
      <c r="JP3">
        <v>694.76513973153419</v>
      </c>
      <c r="JS3">
        <v>4852.2701921920416</v>
      </c>
      <c r="JT3">
        <v>1541.825708075567</v>
      </c>
      <c r="JU3">
        <v>1386.5847572427381</v>
      </c>
      <c r="JV3">
        <v>432.6853245083326</v>
      </c>
      <c r="JW3">
        <v>1657.487498922877</v>
      </c>
      <c r="JX3">
        <v>500.07907617990787</v>
      </c>
      <c r="JY3">
        <v>732.32397372930177</v>
      </c>
      <c r="JZ3">
        <v>463.13836577658282</v>
      </c>
      <c r="KA3">
        <v>1752.4689782636519</v>
      </c>
      <c r="KB3">
        <v>387.90266385210072</v>
      </c>
      <c r="KC3">
        <v>2790.381293608908</v>
      </c>
      <c r="KD3">
        <v>398.06891895385138</v>
      </c>
      <c r="KE3">
        <v>2074.9220386467819</v>
      </c>
      <c r="KF3">
        <v>383.99781412105801</v>
      </c>
      <c r="KG3">
        <v>4734.8792933732866</v>
      </c>
      <c r="KH3">
        <v>438.3676109197898</v>
      </c>
      <c r="KI3">
        <v>3138.894388235572</v>
      </c>
      <c r="KJ3">
        <v>389.22981053392112</v>
      </c>
      <c r="KK3">
        <v>3274.463034061931</v>
      </c>
      <c r="KL3">
        <v>1662.220150683911</v>
      </c>
      <c r="KM3">
        <v>2246.1657568839719</v>
      </c>
      <c r="KN3">
        <v>1167.9223958848499</v>
      </c>
      <c r="KO3">
        <v>2196.4112865279531</v>
      </c>
      <c r="KP3">
        <v>544.06613908388226</v>
      </c>
      <c r="KQ3">
        <v>4845.1351468643106</v>
      </c>
      <c r="KR3">
        <v>1006.4987119715551</v>
      </c>
      <c r="KS3">
        <v>1830.205145779677</v>
      </c>
      <c r="KT3">
        <v>0.94609805646721157</v>
      </c>
      <c r="KU3">
        <v>1292.696340970301</v>
      </c>
      <c r="KV3">
        <v>0.73719014063873822</v>
      </c>
      <c r="KW3">
        <v>835.89294985112383</v>
      </c>
      <c r="KX3">
        <v>0.55201120323066599</v>
      </c>
      <c r="KY3">
        <v>703.21038495534776</v>
      </c>
      <c r="KZ3">
        <v>0.88890006215167927</v>
      </c>
      <c r="LA3">
        <v>1807.931266362591</v>
      </c>
      <c r="LB3">
        <v>411.2669845760941</v>
      </c>
      <c r="LC3">
        <v>1022.88203346673</v>
      </c>
      <c r="LD3">
        <v>488.50039394696017</v>
      </c>
      <c r="LG3">
        <v>402.31120347060153</v>
      </c>
      <c r="LH3">
        <v>381.65444096150651</v>
      </c>
      <c r="LI3">
        <v>397.87452149174362</v>
      </c>
      <c r="LJ3">
        <v>0.89952057062341706</v>
      </c>
      <c r="LK3">
        <v>413.22149181439232</v>
      </c>
      <c r="LL3">
        <v>0.41308904548580849</v>
      </c>
      <c r="LM3">
        <v>407.41130297211367</v>
      </c>
      <c r="LN3">
        <v>0.47614285498327741</v>
      </c>
      <c r="LO3">
        <v>380.09015234039629</v>
      </c>
      <c r="LP3">
        <v>0.79375045292668611</v>
      </c>
      <c r="LQ3">
        <v>1491.9808701259039</v>
      </c>
      <c r="LR3">
        <v>484.62144826462048</v>
      </c>
      <c r="LS3">
        <v>655.91354536342192</v>
      </c>
      <c r="LT3">
        <v>517.81925273170737</v>
      </c>
      <c r="LU3">
        <v>610.47462148021441</v>
      </c>
      <c r="LV3">
        <v>432.49680239538952</v>
      </c>
      <c r="LW3">
        <v>338.07553384159581</v>
      </c>
      <c r="LX3">
        <v>508.29647047689292</v>
      </c>
      <c r="ME3">
        <v>1827.147165757031</v>
      </c>
      <c r="MF3">
        <v>278.66895332507983</v>
      </c>
      <c r="MG3">
        <v>397.2277947321104</v>
      </c>
      <c r="MH3">
        <v>279.85745898754362</v>
      </c>
      <c r="MI3">
        <v>434.58565119996479</v>
      </c>
      <c r="MJ3">
        <v>294.65091754602969</v>
      </c>
      <c r="MM3">
        <v>497.69010346667568</v>
      </c>
      <c r="MN3">
        <v>288.7483487925129</v>
      </c>
      <c r="MO3">
        <v>1659.698122145435</v>
      </c>
      <c r="MP3">
        <v>400.05289944673018</v>
      </c>
      <c r="MQ3">
        <v>390.71492961695321</v>
      </c>
      <c r="MR3">
        <v>450.3494469470607</v>
      </c>
      <c r="MS3">
        <v>1956.2505281319859</v>
      </c>
      <c r="MT3">
        <v>403.84900191681561</v>
      </c>
      <c r="MW3">
        <v>600</v>
      </c>
      <c r="MX3">
        <v>13.75268677295411</v>
      </c>
      <c r="MY3">
        <v>550</v>
      </c>
      <c r="MZ3">
        <v>14.377204281446151</v>
      </c>
      <c r="NE3">
        <v>3300</v>
      </c>
      <c r="NF3">
        <v>1300</v>
      </c>
      <c r="NM3">
        <v>2928.571428571428</v>
      </c>
      <c r="NN3">
        <v>12.06149842836869</v>
      </c>
      <c r="NO3">
        <v>2607.1428571428569</v>
      </c>
      <c r="NP3">
        <v>11.3330600317638</v>
      </c>
      <c r="NU3">
        <v>700</v>
      </c>
      <c r="NV3">
        <v>0.7</v>
      </c>
      <c r="NW3">
        <v>500</v>
      </c>
      <c r="NX3">
        <v>0.76</v>
      </c>
      <c r="OA3">
        <v>400</v>
      </c>
      <c r="OB3">
        <v>0.3</v>
      </c>
      <c r="OC3">
        <v>0.5</v>
      </c>
      <c r="OD3">
        <v>7.803175622828E-2</v>
      </c>
      <c r="OI3">
        <v>0.42499999999999999</v>
      </c>
      <c r="OJ3">
        <v>-53.067937981580322</v>
      </c>
    </row>
    <row r="4" spans="1:400" x14ac:dyDescent="0.3">
      <c r="G4">
        <v>2500</v>
      </c>
      <c r="H4">
        <v>0.5</v>
      </c>
      <c r="O4">
        <v>9000</v>
      </c>
      <c r="P4">
        <v>22.18236104809014</v>
      </c>
      <c r="S4">
        <v>690.90909090909099</v>
      </c>
      <c r="T4">
        <v>0.75</v>
      </c>
      <c r="Y4">
        <v>981.81818181818198</v>
      </c>
      <c r="Z4">
        <v>390</v>
      </c>
      <c r="AA4">
        <v>545.4545454545455</v>
      </c>
      <c r="AB4">
        <v>403</v>
      </c>
      <c r="AE4">
        <v>545.4545454545455</v>
      </c>
      <c r="AF4">
        <v>380</v>
      </c>
      <c r="AI4">
        <v>0.8</v>
      </c>
      <c r="AJ4">
        <v>0.55000000000000004</v>
      </c>
      <c r="AM4">
        <v>0.8</v>
      </c>
      <c r="AN4">
        <v>0.95</v>
      </c>
      <c r="AQ4">
        <v>0.5</v>
      </c>
      <c r="AR4">
        <v>0.4</v>
      </c>
      <c r="AU4">
        <v>0.45</v>
      </c>
      <c r="AV4">
        <v>0.7</v>
      </c>
      <c r="AW4">
        <v>1709.090909090909</v>
      </c>
      <c r="AX4">
        <v>0.4</v>
      </c>
      <c r="AY4">
        <v>690.90909090909099</v>
      </c>
      <c r="AZ4">
        <v>0.4</v>
      </c>
      <c r="BG4">
        <v>420</v>
      </c>
      <c r="BH4">
        <v>0.95</v>
      </c>
      <c r="BM4">
        <v>750</v>
      </c>
      <c r="BN4">
        <v>278.14999999999998</v>
      </c>
      <c r="BO4">
        <v>300</v>
      </c>
      <c r="BP4">
        <v>283.14999999999998</v>
      </c>
      <c r="BU4">
        <v>750</v>
      </c>
      <c r="BV4">
        <v>278.14999999999998</v>
      </c>
      <c r="BW4">
        <v>150</v>
      </c>
      <c r="BX4">
        <v>283.14999999999998</v>
      </c>
      <c r="CC4">
        <v>900</v>
      </c>
      <c r="CD4">
        <v>278.14999999999998</v>
      </c>
      <c r="CE4">
        <v>600</v>
      </c>
      <c r="CF4">
        <v>278.14999999999998</v>
      </c>
      <c r="CQ4">
        <v>450</v>
      </c>
      <c r="CR4">
        <v>278.14999999999998</v>
      </c>
      <c r="CU4">
        <v>2928.571428571428</v>
      </c>
      <c r="CV4">
        <v>8.6959099750911495</v>
      </c>
      <c r="DA4">
        <v>2367.2023772947241</v>
      </c>
      <c r="DB4">
        <v>1372.2307387663011</v>
      </c>
      <c r="DC4">
        <v>3440.0100955242892</v>
      </c>
      <c r="DD4">
        <v>1334.2338684319161</v>
      </c>
      <c r="DE4">
        <v>4275.300864904254</v>
      </c>
      <c r="DF4">
        <v>782.52545153384744</v>
      </c>
      <c r="DG4">
        <v>3885.3970774790569</v>
      </c>
      <c r="DH4">
        <v>490.84358744158521</v>
      </c>
      <c r="DI4">
        <v>3931.1978747045659</v>
      </c>
      <c r="DJ4">
        <v>2143.7895169055009</v>
      </c>
      <c r="DK4">
        <v>2467.9384219602462</v>
      </c>
      <c r="DL4">
        <v>1785.646256258532</v>
      </c>
      <c r="DO4">
        <v>4859.2279151764114</v>
      </c>
      <c r="DP4">
        <v>2166.6451027457242</v>
      </c>
      <c r="DQ4">
        <v>2102.1987016533749</v>
      </c>
      <c r="DR4">
        <v>1591.9647958138869</v>
      </c>
      <c r="DS4">
        <v>3497.2603113745322</v>
      </c>
      <c r="DT4">
        <v>955.74260065658677</v>
      </c>
      <c r="DU4">
        <v>4003.360745790174</v>
      </c>
      <c r="DV4">
        <v>1169.543677446062</v>
      </c>
      <c r="DW4">
        <v>3051.570071415058</v>
      </c>
      <c r="DX4">
        <v>1373.1686249731081</v>
      </c>
      <c r="EA4">
        <v>545.04147996965071</v>
      </c>
      <c r="EB4">
        <v>0.58684940112142903</v>
      </c>
      <c r="EC4">
        <v>480.15852434812871</v>
      </c>
      <c r="ED4">
        <v>0.71780882090030984</v>
      </c>
      <c r="EE4">
        <v>605.22765330639606</v>
      </c>
      <c r="EF4">
        <v>0.56531800349648054</v>
      </c>
      <c r="EI4">
        <v>590.46188992077271</v>
      </c>
      <c r="EJ4">
        <v>0.52639807054318355</v>
      </c>
      <c r="EK4">
        <v>475.28121849647238</v>
      </c>
      <c r="EL4">
        <v>0.69046301186466918</v>
      </c>
      <c r="EM4">
        <v>600.78403148276834</v>
      </c>
      <c r="EN4">
        <v>0.55440172352314743</v>
      </c>
      <c r="EO4">
        <v>1564.5774499356071</v>
      </c>
      <c r="EP4">
        <v>0.52171967635703898</v>
      </c>
      <c r="EQ4">
        <v>1294.9319706275751</v>
      </c>
      <c r="ER4">
        <v>0.59833794342131263</v>
      </c>
      <c r="ES4">
        <v>1870.145025266477</v>
      </c>
      <c r="ET4">
        <v>0.59082193380124393</v>
      </c>
      <c r="EU4">
        <v>1689.3700736307101</v>
      </c>
      <c r="EV4">
        <v>0.79931333513456071</v>
      </c>
      <c r="EW4">
        <v>4753.3451451620222</v>
      </c>
      <c r="EX4">
        <v>1482.1204041787539</v>
      </c>
      <c r="EY4">
        <v>3375.5572293165328</v>
      </c>
      <c r="EZ4">
        <v>1918.0919845881469</v>
      </c>
      <c r="FA4">
        <v>3280.6646797063681</v>
      </c>
      <c r="FB4">
        <v>1504.0078626409979</v>
      </c>
      <c r="FC4">
        <v>2398.9007336073232</v>
      </c>
      <c r="FD4">
        <v>1999.256496404628</v>
      </c>
      <c r="FE4">
        <v>395</v>
      </c>
      <c r="FF4">
        <v>0.85</v>
      </c>
      <c r="FG4">
        <v>392.5</v>
      </c>
      <c r="FH4">
        <v>0.85</v>
      </c>
      <c r="FI4">
        <v>387.5</v>
      </c>
      <c r="FJ4">
        <v>0.9</v>
      </c>
      <c r="FK4">
        <v>385</v>
      </c>
      <c r="FL4">
        <v>0.875</v>
      </c>
      <c r="FM4">
        <v>3481.8230245237678</v>
      </c>
      <c r="FN4">
        <v>808.34025773909616</v>
      </c>
      <c r="FO4">
        <v>3481.8230245237678</v>
      </c>
      <c r="FP4">
        <v>808.34025773909616</v>
      </c>
      <c r="FU4">
        <v>3300</v>
      </c>
      <c r="FV4">
        <v>393.75</v>
      </c>
      <c r="FW4">
        <v>2700</v>
      </c>
      <c r="FX4">
        <v>393.75</v>
      </c>
      <c r="GC4">
        <v>3605.950043184831</v>
      </c>
      <c r="GD4">
        <v>1359.5567020080759</v>
      </c>
      <c r="GE4">
        <v>3905.950043184831</v>
      </c>
      <c r="GF4">
        <v>1139.5567020080771</v>
      </c>
      <c r="GI4">
        <v>3905.950043184831</v>
      </c>
      <c r="GJ4">
        <v>1359.5567020080759</v>
      </c>
      <c r="GK4">
        <v>403</v>
      </c>
      <c r="GL4">
        <v>0.5</v>
      </c>
      <c r="GM4">
        <v>403</v>
      </c>
      <c r="GN4">
        <v>0.5</v>
      </c>
      <c r="GS4">
        <v>4808.3419580395002</v>
      </c>
      <c r="GT4">
        <v>1242.2743898072649</v>
      </c>
      <c r="GU4">
        <v>5000</v>
      </c>
      <c r="GV4">
        <v>1022.274389807265</v>
      </c>
      <c r="GY4">
        <v>4808.3419580395002</v>
      </c>
      <c r="GZ4">
        <v>1022.274389807265</v>
      </c>
      <c r="HA4">
        <v>3000</v>
      </c>
      <c r="HB4">
        <v>563.63636363636374</v>
      </c>
      <c r="HC4">
        <v>3000</v>
      </c>
      <c r="HD4">
        <v>736.36363636399994</v>
      </c>
      <c r="HG4">
        <v>3000</v>
      </c>
      <c r="HH4">
        <v>563.63636363636374</v>
      </c>
      <c r="HI4">
        <v>2443.4127445325421</v>
      </c>
      <c r="HJ4">
        <v>905.21204025768839</v>
      </c>
      <c r="HK4">
        <v>4262.2008802706468</v>
      </c>
      <c r="HL4">
        <v>1372.352633531222</v>
      </c>
      <c r="HM4">
        <v>4296.7591432517593</v>
      </c>
      <c r="HN4">
        <v>1671.4840290274931</v>
      </c>
      <c r="HO4">
        <v>4047.6724602487702</v>
      </c>
      <c r="HP4">
        <v>1806.2990320297399</v>
      </c>
      <c r="HQ4">
        <v>3982.1183722334158</v>
      </c>
      <c r="HR4">
        <v>1927.1274621936</v>
      </c>
      <c r="HS4">
        <v>4267.6837207705121</v>
      </c>
      <c r="HT4">
        <v>1796.5321347496049</v>
      </c>
      <c r="HU4">
        <v>4126.1546429010014</v>
      </c>
      <c r="HV4">
        <v>354.25006593116223</v>
      </c>
      <c r="HW4">
        <v>4620.0235391825699</v>
      </c>
      <c r="HX4">
        <v>1614.0950845743139</v>
      </c>
      <c r="HY4">
        <v>1125.3525864817441</v>
      </c>
      <c r="HZ4">
        <v>403.35802195088951</v>
      </c>
      <c r="IA4">
        <v>1682.6023503158499</v>
      </c>
      <c r="IB4">
        <v>491.09765876797547</v>
      </c>
      <c r="IC4">
        <v>886.37742356643457</v>
      </c>
      <c r="ID4">
        <v>480.18086333290398</v>
      </c>
      <c r="IE4">
        <v>681.58748737375572</v>
      </c>
      <c r="IF4">
        <v>515.72655332192699</v>
      </c>
      <c r="II4">
        <v>2428.86504331177</v>
      </c>
      <c r="IJ4">
        <v>463.61974416858709</v>
      </c>
      <c r="IK4">
        <v>3462.048224466078</v>
      </c>
      <c r="IL4">
        <v>397.77589643073668</v>
      </c>
      <c r="IM4">
        <v>2575.431332105853</v>
      </c>
      <c r="IN4">
        <v>506.57042710373003</v>
      </c>
      <c r="IO4">
        <v>4819.2376710023073</v>
      </c>
      <c r="IP4">
        <v>1285.732391221921</v>
      </c>
      <c r="IQ4">
        <v>3235.7287641959929</v>
      </c>
      <c r="IR4">
        <v>607.14606758153639</v>
      </c>
      <c r="IS4">
        <v>3218.394021491596</v>
      </c>
      <c r="IT4">
        <v>844.56724071598489</v>
      </c>
      <c r="IU4">
        <v>2463.7237619507391</v>
      </c>
      <c r="IV4">
        <v>306.34044515490189</v>
      </c>
      <c r="IW4">
        <v>3370.1730048739842</v>
      </c>
      <c r="IX4">
        <v>1559.660938862371</v>
      </c>
      <c r="IY4">
        <v>2486.0038546263499</v>
      </c>
      <c r="IZ4">
        <v>472.31574499258761</v>
      </c>
      <c r="JA4">
        <v>4177.7728246081988</v>
      </c>
      <c r="JB4">
        <v>1193.1600262845141</v>
      </c>
      <c r="JC4">
        <v>2895.374923962102</v>
      </c>
      <c r="JD4">
        <v>1862.6456542779531</v>
      </c>
      <c r="JG4">
        <v>3344.0920292827</v>
      </c>
      <c r="JH4">
        <v>1841.4851566564539</v>
      </c>
      <c r="JI4">
        <v>2695.4725913848129</v>
      </c>
      <c r="JJ4">
        <v>1022.176402623704</v>
      </c>
      <c r="JK4">
        <v>3559.1701331594359</v>
      </c>
      <c r="JL4">
        <v>758.03303535927751</v>
      </c>
      <c r="JM4">
        <v>2748.3426122775891</v>
      </c>
      <c r="JN4">
        <v>525.39174059008667</v>
      </c>
      <c r="JO4">
        <v>2992.789413231787</v>
      </c>
      <c r="JP4">
        <v>1726.788529672536</v>
      </c>
      <c r="JS4">
        <v>3650.5903098750359</v>
      </c>
      <c r="JT4">
        <v>1920.7694574288701</v>
      </c>
      <c r="JU4">
        <v>1049.213514645438</v>
      </c>
      <c r="JV4">
        <v>396.07379033781211</v>
      </c>
      <c r="JW4">
        <v>841.98422592668521</v>
      </c>
      <c r="JX4">
        <v>511.50707833447291</v>
      </c>
      <c r="KC4">
        <v>4275.7268390735526</v>
      </c>
      <c r="KD4">
        <v>434.6955987443896</v>
      </c>
      <c r="KE4">
        <v>3863.2275897974368</v>
      </c>
      <c r="KF4">
        <v>449.37722612824467</v>
      </c>
      <c r="KG4">
        <v>3501.8491614537829</v>
      </c>
      <c r="KH4">
        <v>516.48849367929438</v>
      </c>
      <c r="KI4">
        <v>4095.4945385581382</v>
      </c>
      <c r="KJ4">
        <v>392.98141107112411</v>
      </c>
      <c r="KK4">
        <v>2760.8152417827541</v>
      </c>
      <c r="KL4">
        <v>522.48397629363626</v>
      </c>
      <c r="KM4">
        <v>3713.7813202859502</v>
      </c>
      <c r="KN4">
        <v>1518.859616816866</v>
      </c>
      <c r="KO4">
        <v>3143.6630470106002</v>
      </c>
      <c r="KP4">
        <v>1921.6710774315609</v>
      </c>
      <c r="KQ4">
        <v>3027.925706310089</v>
      </c>
      <c r="KR4">
        <v>1465.1575640178869</v>
      </c>
      <c r="KS4">
        <v>1400.378800273782</v>
      </c>
      <c r="KT4">
        <v>0.82739806024715878</v>
      </c>
      <c r="KU4">
        <v>1475.918512447287</v>
      </c>
      <c r="KV4">
        <v>0.59864159521609273</v>
      </c>
      <c r="KW4">
        <v>1701.9457032898761</v>
      </c>
      <c r="KX4">
        <v>0.46343620647107681</v>
      </c>
      <c r="KY4">
        <v>600.44099733423263</v>
      </c>
      <c r="KZ4">
        <v>0.53900046889833708</v>
      </c>
      <c r="LA4">
        <v>1451.024042359099</v>
      </c>
      <c r="LB4">
        <v>428.9337945361774</v>
      </c>
      <c r="LC4">
        <v>466.07975956922922</v>
      </c>
      <c r="LD4">
        <v>500.33452035815611</v>
      </c>
      <c r="LK4">
        <v>476.67564934423058</v>
      </c>
      <c r="LL4">
        <v>0.54466735711434211</v>
      </c>
      <c r="LM4">
        <v>455.16683941293422</v>
      </c>
      <c r="LN4">
        <v>0.47144497163610538</v>
      </c>
      <c r="LQ4">
        <v>1944.9514791328411</v>
      </c>
      <c r="LR4">
        <v>393.05784601158882</v>
      </c>
      <c r="LS4">
        <v>929.39340250635155</v>
      </c>
      <c r="LT4">
        <v>422.62046801051332</v>
      </c>
      <c r="LU4">
        <v>418.52568257802551</v>
      </c>
      <c r="LV4">
        <v>500.71568100101058</v>
      </c>
      <c r="LW4">
        <v>1301.498025468956</v>
      </c>
      <c r="LX4">
        <v>383.94958706647299</v>
      </c>
      <c r="ME4">
        <v>433.82457310145611</v>
      </c>
      <c r="MF4">
        <v>302.47503068264609</v>
      </c>
      <c r="MG4">
        <v>399.36706913895227</v>
      </c>
      <c r="MH4">
        <v>285.7384376903907</v>
      </c>
      <c r="MI4">
        <v>492.04899909017621</v>
      </c>
      <c r="MJ4">
        <v>291.1177401389877</v>
      </c>
      <c r="MO4">
        <v>1269.881171969826</v>
      </c>
      <c r="MP4">
        <v>444.41836332428932</v>
      </c>
      <c r="MQ4">
        <v>500.801256009008</v>
      </c>
      <c r="MR4">
        <v>426.4233676950571</v>
      </c>
      <c r="MW4">
        <v>690</v>
      </c>
      <c r="MX4">
        <v>12.731864501081271</v>
      </c>
      <c r="MY4">
        <v>500</v>
      </c>
      <c r="MZ4">
        <v>15.0409968815438</v>
      </c>
      <c r="NE4">
        <v>3300</v>
      </c>
      <c r="NF4">
        <v>1300</v>
      </c>
      <c r="NM4">
        <v>3035.7142857142858</v>
      </c>
      <c r="NN4">
        <v>12.27197794772116</v>
      </c>
      <c r="NO4">
        <v>2714.2857142857142</v>
      </c>
      <c r="NP4">
        <v>11.59332997056927</v>
      </c>
      <c r="NU4">
        <v>600</v>
      </c>
      <c r="NV4">
        <v>0.7</v>
      </c>
      <c r="NW4">
        <v>600</v>
      </c>
      <c r="NX4">
        <v>0.79</v>
      </c>
      <c r="OA4">
        <v>300</v>
      </c>
      <c r="OB4">
        <v>0.3</v>
      </c>
      <c r="OC4">
        <v>0.52499999999999991</v>
      </c>
      <c r="OD4">
        <v>4.09051500965343</v>
      </c>
      <c r="OI4">
        <v>0.39999999999999991</v>
      </c>
      <c r="OJ4">
        <v>-99.419037529797606</v>
      </c>
    </row>
    <row r="5" spans="1:400" x14ac:dyDescent="0.3">
      <c r="G5">
        <v>3000</v>
      </c>
      <c r="H5">
        <v>0.5</v>
      </c>
      <c r="O5">
        <v>8000</v>
      </c>
      <c r="P5">
        <v>21.961398751624841</v>
      </c>
      <c r="S5">
        <v>981.81818181818198</v>
      </c>
      <c r="T5">
        <v>0.75</v>
      </c>
      <c r="Y5">
        <v>1127.2727272727279</v>
      </c>
      <c r="Z5">
        <v>390</v>
      </c>
      <c r="AA5">
        <v>400</v>
      </c>
      <c r="AB5">
        <v>420</v>
      </c>
      <c r="AE5">
        <v>836.36363636363637</v>
      </c>
      <c r="AF5">
        <v>380</v>
      </c>
      <c r="AI5">
        <v>0.8</v>
      </c>
      <c r="AJ5">
        <v>0.45</v>
      </c>
      <c r="AM5">
        <v>0.8</v>
      </c>
      <c r="AN5">
        <v>0.85</v>
      </c>
      <c r="AQ5">
        <v>0.45</v>
      </c>
      <c r="AR5">
        <v>0.4</v>
      </c>
      <c r="AU5">
        <v>0.5</v>
      </c>
      <c r="AV5">
        <v>0.7</v>
      </c>
      <c r="AW5">
        <v>1854.545454545455</v>
      </c>
      <c r="AX5">
        <v>0.4</v>
      </c>
      <c r="AY5">
        <v>836.36363636363637</v>
      </c>
      <c r="AZ5">
        <v>0.4</v>
      </c>
      <c r="BG5">
        <v>420</v>
      </c>
      <c r="BH5">
        <v>0.85</v>
      </c>
      <c r="BM5">
        <v>600</v>
      </c>
      <c r="BN5">
        <v>278.14999999999998</v>
      </c>
      <c r="BO5">
        <v>300</v>
      </c>
      <c r="BP5">
        <v>288.14999999999998</v>
      </c>
      <c r="BU5">
        <v>900</v>
      </c>
      <c r="BV5">
        <v>278.14999999999998</v>
      </c>
      <c r="BW5">
        <v>300</v>
      </c>
      <c r="BX5">
        <v>283.14999999999998</v>
      </c>
      <c r="CC5">
        <v>1200</v>
      </c>
      <c r="CD5">
        <v>278.14999999999998</v>
      </c>
      <c r="CE5">
        <v>300</v>
      </c>
      <c r="CF5">
        <v>283.14999999999998</v>
      </c>
      <c r="CQ5">
        <v>600</v>
      </c>
      <c r="CR5">
        <v>278.14999999999998</v>
      </c>
      <c r="CU5">
        <v>1642.8571428571429</v>
      </c>
      <c r="CV5">
        <v>7.73560545666684</v>
      </c>
      <c r="DA5">
        <v>3682.6179643924288</v>
      </c>
      <c r="DB5">
        <v>1434.311362270726</v>
      </c>
      <c r="DC5">
        <v>3659.8997462232151</v>
      </c>
      <c r="DD5">
        <v>1152.0911325165939</v>
      </c>
      <c r="DE5">
        <v>3022.8216603286228</v>
      </c>
      <c r="DF5">
        <v>388.3976991566941</v>
      </c>
      <c r="DG5">
        <v>4631.0351358272801</v>
      </c>
      <c r="DH5">
        <v>1377.5145963458781</v>
      </c>
      <c r="DI5">
        <v>2694.6641904987032</v>
      </c>
      <c r="DJ5">
        <v>1981.397269808512</v>
      </c>
      <c r="DK5">
        <v>4689.3982416483077</v>
      </c>
      <c r="DL5">
        <v>1766.2951574869489</v>
      </c>
      <c r="DO5">
        <v>4766.0646084197497</v>
      </c>
      <c r="DP5">
        <v>2061.5856458251978</v>
      </c>
      <c r="DQ5">
        <v>4719.6773890534396</v>
      </c>
      <c r="DR5">
        <v>1879.350696110967</v>
      </c>
      <c r="DS5">
        <v>3943.3302381233789</v>
      </c>
      <c r="DT5">
        <v>1253.143857069151</v>
      </c>
      <c r="DU5">
        <v>3038.1124234767881</v>
      </c>
      <c r="DV5">
        <v>424.87524523048648</v>
      </c>
      <c r="DW5">
        <v>4414.5098926984574</v>
      </c>
      <c r="DX5">
        <v>858.82421908959827</v>
      </c>
      <c r="EA5">
        <v>531.40863723418909</v>
      </c>
      <c r="EB5">
        <v>0.59622433752561177</v>
      </c>
      <c r="EC5">
        <v>438.1549755980534</v>
      </c>
      <c r="ED5">
        <v>0.60528945255084143</v>
      </c>
      <c r="EE5">
        <v>592.56785175048071</v>
      </c>
      <c r="EF5">
        <v>0.66102791909204961</v>
      </c>
      <c r="EI5">
        <v>551.00908429314654</v>
      </c>
      <c r="EJ5">
        <v>0.63900201783947641</v>
      </c>
      <c r="EK5">
        <v>568.24473711013059</v>
      </c>
      <c r="EL5">
        <v>0.79323949891569767</v>
      </c>
      <c r="EM5">
        <v>556.57310435850991</v>
      </c>
      <c r="EN5">
        <v>0.77860920115714538</v>
      </c>
      <c r="EO5">
        <v>1901.5702917430101</v>
      </c>
      <c r="EP5">
        <v>0.67228893140282153</v>
      </c>
      <c r="EQ5">
        <v>1389.4417941046049</v>
      </c>
      <c r="ER5">
        <v>0.69590442031010069</v>
      </c>
      <c r="ES5">
        <v>1855.9109619085441</v>
      </c>
      <c r="ET5">
        <v>0.51304542732066238</v>
      </c>
      <c r="EU5">
        <v>1644.8681932368729</v>
      </c>
      <c r="EV5">
        <v>0.77958950991192122</v>
      </c>
      <c r="EW5">
        <v>2523.4186201739399</v>
      </c>
      <c r="EX5">
        <v>1318.3171169146381</v>
      </c>
      <c r="EY5">
        <v>2660.445962270247</v>
      </c>
      <c r="EZ5">
        <v>1765.702530021576</v>
      </c>
      <c r="FA5">
        <v>2881.6161930208809</v>
      </c>
      <c r="FB5">
        <v>1063.7013208656419</v>
      </c>
      <c r="FC5">
        <v>3898.3140407682449</v>
      </c>
      <c r="FD5">
        <v>482.25144750581683</v>
      </c>
      <c r="FE5">
        <v>392.5</v>
      </c>
      <c r="FF5">
        <v>0.85</v>
      </c>
      <c r="FG5">
        <v>395</v>
      </c>
      <c r="FH5">
        <v>0.85</v>
      </c>
      <c r="FI5">
        <v>387.5</v>
      </c>
      <c r="FJ5">
        <v>0.92500000000000004</v>
      </c>
      <c r="FK5">
        <v>385</v>
      </c>
      <c r="FL5">
        <v>0.9</v>
      </c>
      <c r="FM5">
        <v>3481.8230245237678</v>
      </c>
      <c r="FN5">
        <v>808.34025773909616</v>
      </c>
      <c r="FO5">
        <v>3781.8230245237678</v>
      </c>
      <c r="FP5">
        <v>588.34025773909616</v>
      </c>
      <c r="FU5">
        <v>3000</v>
      </c>
      <c r="FV5">
        <v>613.75</v>
      </c>
      <c r="FW5">
        <v>3000</v>
      </c>
      <c r="FX5">
        <v>300</v>
      </c>
      <c r="GC5">
        <v>3905.950043184831</v>
      </c>
      <c r="GD5">
        <v>1579.5567020080759</v>
      </c>
      <c r="GE5">
        <v>3905.950043184831</v>
      </c>
      <c r="GF5">
        <v>1359.5567020080759</v>
      </c>
      <c r="GI5">
        <v>4205.950043184831</v>
      </c>
      <c r="GJ5">
        <v>1359.5567020080759</v>
      </c>
      <c r="GK5">
        <v>403</v>
      </c>
      <c r="GL5">
        <v>0.5</v>
      </c>
      <c r="GM5">
        <v>415</v>
      </c>
      <c r="GN5">
        <v>0.5</v>
      </c>
      <c r="GS5">
        <v>5000</v>
      </c>
      <c r="GT5">
        <v>1242.2743898072649</v>
      </c>
      <c r="GU5">
        <v>4808.3419580395002</v>
      </c>
      <c r="GV5">
        <v>802.27438980726458</v>
      </c>
      <c r="HA5">
        <v>3000</v>
      </c>
      <c r="HB5">
        <v>736.36363636399994</v>
      </c>
      <c r="HC5">
        <v>3000</v>
      </c>
      <c r="HD5">
        <v>400</v>
      </c>
      <c r="HG5">
        <v>4381.8230245237683</v>
      </c>
      <c r="HH5">
        <v>808.34025773909616</v>
      </c>
      <c r="HI5">
        <v>4679.3342118382898</v>
      </c>
      <c r="HJ5">
        <v>739.95240418746585</v>
      </c>
      <c r="HK5">
        <v>4734.7345995021551</v>
      </c>
      <c r="HL5">
        <v>1620.2020197994791</v>
      </c>
      <c r="HM5">
        <v>3907.4235230408949</v>
      </c>
      <c r="HN5">
        <v>930.35754847682858</v>
      </c>
      <c r="HO5">
        <v>3544.8194226526371</v>
      </c>
      <c r="HP5">
        <v>443.92297861393229</v>
      </c>
      <c r="HQ5">
        <v>2976.8800729972909</v>
      </c>
      <c r="HR5">
        <v>1696.2539737374391</v>
      </c>
      <c r="HS5">
        <v>2627.07507803935</v>
      </c>
      <c r="HT5">
        <v>327.02787070545071</v>
      </c>
      <c r="HW5">
        <v>3766.496186434566</v>
      </c>
      <c r="HX5">
        <v>1979.0998131336301</v>
      </c>
      <c r="HY5">
        <v>1379.7646596899151</v>
      </c>
      <c r="HZ5">
        <v>471.9191035778756</v>
      </c>
      <c r="IA5">
        <v>631.56037491903976</v>
      </c>
      <c r="IB5">
        <v>396.04868378092698</v>
      </c>
      <c r="IC5">
        <v>653.71020029055626</v>
      </c>
      <c r="ID5">
        <v>387.52117473238661</v>
      </c>
      <c r="IE5">
        <v>1317.2251126364811</v>
      </c>
      <c r="IF5">
        <v>493.16042735911918</v>
      </c>
      <c r="II5">
        <v>4584.7702255589138</v>
      </c>
      <c r="IJ5">
        <v>509.56233165627418</v>
      </c>
      <c r="IK5">
        <v>2850.1548309868822</v>
      </c>
      <c r="IL5">
        <v>436.97764839186311</v>
      </c>
      <c r="IM5">
        <v>4978.3501705747876</v>
      </c>
      <c r="IN5">
        <v>407.34510893238212</v>
      </c>
      <c r="IO5">
        <v>2245.4285314542908</v>
      </c>
      <c r="IP5">
        <v>1724.0292914503741</v>
      </c>
      <c r="IQ5">
        <v>3674.1532415600032</v>
      </c>
      <c r="IR5">
        <v>1184.1929017826651</v>
      </c>
      <c r="IS5">
        <v>3085.0547119548819</v>
      </c>
      <c r="IT5">
        <v>760.11314919786332</v>
      </c>
      <c r="IU5">
        <v>4624.241781461732</v>
      </c>
      <c r="IV5">
        <v>1754.246164229103</v>
      </c>
      <c r="IW5">
        <v>2022.351969408076</v>
      </c>
      <c r="IX5">
        <v>940.78903414119759</v>
      </c>
      <c r="IY5">
        <v>2272.6758873210042</v>
      </c>
      <c r="IZ5">
        <v>1111.358711995267</v>
      </c>
      <c r="JA5">
        <v>2868.288792076371</v>
      </c>
      <c r="JB5">
        <v>414.6014243836683</v>
      </c>
      <c r="JC5">
        <v>4102.8208967462178</v>
      </c>
      <c r="JD5">
        <v>622.09674075056341</v>
      </c>
      <c r="JG5">
        <v>3832.934765698853</v>
      </c>
      <c r="JH5">
        <v>1551.3996514870721</v>
      </c>
      <c r="JK5">
        <v>2286.2894492805408</v>
      </c>
      <c r="JL5">
        <v>1221.7926030998251</v>
      </c>
      <c r="JM5">
        <v>3227.5722308224022</v>
      </c>
      <c r="JN5">
        <v>1342.1434325800051</v>
      </c>
      <c r="JO5">
        <v>4717.5516802447692</v>
      </c>
      <c r="JP5">
        <v>1406.741141638304</v>
      </c>
      <c r="JS5">
        <v>4961.2738671343359</v>
      </c>
      <c r="JT5">
        <v>605.64036422132676</v>
      </c>
      <c r="JU5">
        <v>1549.2375779329161</v>
      </c>
      <c r="JV5">
        <v>474.57763564791418</v>
      </c>
      <c r="JW5">
        <v>361.37912550219443</v>
      </c>
      <c r="JX5">
        <v>479.64300355787839</v>
      </c>
      <c r="KC5">
        <v>2605.8988454926771</v>
      </c>
      <c r="KD5">
        <v>417.63577051497037</v>
      </c>
      <c r="KE5">
        <v>3671.2987106604669</v>
      </c>
      <c r="KF5">
        <v>450.37126043676977</v>
      </c>
      <c r="KK5">
        <v>4210.5026791545879</v>
      </c>
      <c r="KL5">
        <v>1280.7247503753049</v>
      </c>
      <c r="KM5">
        <v>4342.4551098384154</v>
      </c>
      <c r="KN5">
        <v>1789.442453228495</v>
      </c>
      <c r="KO5">
        <v>2083.4293154443731</v>
      </c>
      <c r="KP5">
        <v>1038.825391615323</v>
      </c>
      <c r="KQ5">
        <v>4193.8942872911921</v>
      </c>
      <c r="KR5">
        <v>911.63640879871718</v>
      </c>
      <c r="KU5">
        <v>422.77087578100378</v>
      </c>
      <c r="KV5">
        <v>0.85235477486629507</v>
      </c>
      <c r="KY5">
        <v>982.47236904963518</v>
      </c>
      <c r="KZ5">
        <v>0.92818752803029159</v>
      </c>
      <c r="LA5">
        <v>673.25568725840753</v>
      </c>
      <c r="LB5">
        <v>403.75398334525488</v>
      </c>
      <c r="LC5">
        <v>575.93740803419939</v>
      </c>
      <c r="LD5">
        <v>469.29389487555318</v>
      </c>
      <c r="LK5">
        <v>505.91689914050937</v>
      </c>
      <c r="LL5">
        <v>0.80456537694770081</v>
      </c>
      <c r="LM5">
        <v>485.89901887576929</v>
      </c>
      <c r="LN5">
        <v>0.4428971614299726</v>
      </c>
      <c r="LQ5">
        <v>1606.8569498524439</v>
      </c>
      <c r="LR5">
        <v>412.5342522232894</v>
      </c>
      <c r="LS5">
        <v>1686.6882251357731</v>
      </c>
      <c r="LT5">
        <v>495.44209742760268</v>
      </c>
      <c r="LU5">
        <v>745.09009518157757</v>
      </c>
      <c r="LV5">
        <v>446.1527734130886</v>
      </c>
      <c r="ME5">
        <v>1940.7031954267261</v>
      </c>
      <c r="MF5">
        <v>288.19717844876948</v>
      </c>
      <c r="MG5">
        <v>390.90048043346798</v>
      </c>
      <c r="MH5">
        <v>292.93565308043583</v>
      </c>
      <c r="MI5">
        <v>443.57547574760179</v>
      </c>
      <c r="MJ5">
        <v>278.20579290335428</v>
      </c>
      <c r="MO5">
        <v>1020.616023891988</v>
      </c>
      <c r="MP5">
        <v>417.4299271364909</v>
      </c>
      <c r="MQ5">
        <v>333.58644668693711</v>
      </c>
      <c r="MR5">
        <v>396.94188334038222</v>
      </c>
      <c r="MW5">
        <v>690</v>
      </c>
      <c r="MX5">
        <v>12.731864501081271</v>
      </c>
      <c r="MY5">
        <v>500</v>
      </c>
      <c r="MZ5">
        <v>15.0409968815438</v>
      </c>
      <c r="NE5">
        <v>3300</v>
      </c>
      <c r="NF5">
        <v>1100</v>
      </c>
      <c r="NM5">
        <v>3142.8571428571431</v>
      </c>
      <c r="NN5">
        <v>12.46816263017079</v>
      </c>
      <c r="NU5">
        <v>900</v>
      </c>
      <c r="NV5">
        <v>0.7</v>
      </c>
      <c r="NW5">
        <v>500</v>
      </c>
      <c r="NX5">
        <v>0.79</v>
      </c>
      <c r="OA5">
        <v>500</v>
      </c>
      <c r="OB5">
        <v>0.3</v>
      </c>
      <c r="OC5">
        <v>0.6</v>
      </c>
      <c r="OD5">
        <v>8.816445146584611</v>
      </c>
      <c r="OI5">
        <v>0.47499999999999998</v>
      </c>
      <c r="OJ5">
        <v>-14.848683624326959</v>
      </c>
    </row>
    <row r="6" spans="1:400" x14ac:dyDescent="0.3">
      <c r="G6">
        <v>2000</v>
      </c>
      <c r="H6">
        <v>0.5</v>
      </c>
      <c r="O6">
        <v>5500</v>
      </c>
      <c r="P6">
        <v>24.144660433744491</v>
      </c>
      <c r="S6">
        <v>836.36363636363637</v>
      </c>
      <c r="T6">
        <v>0.75</v>
      </c>
      <c r="Y6">
        <v>690.90909090909099</v>
      </c>
      <c r="Z6">
        <v>390</v>
      </c>
      <c r="AA6">
        <v>545.4545454545455</v>
      </c>
      <c r="AB6">
        <v>420</v>
      </c>
      <c r="AE6">
        <v>981.81818181818198</v>
      </c>
      <c r="AF6">
        <v>380</v>
      </c>
      <c r="AI6">
        <v>0.8</v>
      </c>
      <c r="AJ6">
        <v>0.65</v>
      </c>
      <c r="AM6">
        <v>0.8</v>
      </c>
      <c r="AN6">
        <v>0.7</v>
      </c>
      <c r="AQ6">
        <v>0.6</v>
      </c>
      <c r="AR6">
        <v>0.4</v>
      </c>
      <c r="AU6">
        <v>0.4</v>
      </c>
      <c r="AV6">
        <v>0.8</v>
      </c>
      <c r="AW6">
        <v>2000</v>
      </c>
      <c r="AX6">
        <v>0.4</v>
      </c>
      <c r="AY6">
        <v>981.81818181818198</v>
      </c>
      <c r="AZ6">
        <v>0.4</v>
      </c>
      <c r="BG6">
        <v>434</v>
      </c>
      <c r="BH6">
        <v>0.85</v>
      </c>
      <c r="BM6">
        <v>900</v>
      </c>
      <c r="BN6">
        <v>278.14999999999998</v>
      </c>
      <c r="BO6">
        <v>150</v>
      </c>
      <c r="BP6">
        <v>288.14999999999998</v>
      </c>
      <c r="BU6">
        <v>1050</v>
      </c>
      <c r="BV6">
        <v>278.14999999999998</v>
      </c>
      <c r="BW6">
        <v>450</v>
      </c>
      <c r="BX6">
        <v>283.14999999999998</v>
      </c>
      <c r="CC6">
        <v>1350</v>
      </c>
      <c r="CD6">
        <v>278.14999999999998</v>
      </c>
      <c r="CE6">
        <v>150</v>
      </c>
      <c r="CF6">
        <v>283.14999999999998</v>
      </c>
      <c r="CQ6">
        <v>1050</v>
      </c>
      <c r="CR6">
        <v>278.14999999999998</v>
      </c>
      <c r="CU6">
        <v>2910</v>
      </c>
      <c r="CV6">
        <v>8.7450763409786898</v>
      </c>
      <c r="DA6">
        <v>3558.4432046992929</v>
      </c>
      <c r="DB6">
        <v>668.3467653773705</v>
      </c>
      <c r="DC6">
        <v>2317.767297101228</v>
      </c>
      <c r="DD6">
        <v>1489.610249973807</v>
      </c>
      <c r="DE6">
        <v>4866.2286470012423</v>
      </c>
      <c r="DF6">
        <v>463.53699324956199</v>
      </c>
      <c r="DG6">
        <v>4629.4250474273622</v>
      </c>
      <c r="DH6">
        <v>473.45227107083252</v>
      </c>
      <c r="DI6">
        <v>4185.4749059129354</v>
      </c>
      <c r="DJ6">
        <v>1628.785266354178</v>
      </c>
      <c r="DK6">
        <v>3738.773385672755</v>
      </c>
      <c r="DL6">
        <v>2101.5120080467291</v>
      </c>
      <c r="DO6">
        <v>4259.6496858576256</v>
      </c>
      <c r="DP6">
        <v>2118.4309167005222</v>
      </c>
      <c r="DS6">
        <v>4513.9973433807081</v>
      </c>
      <c r="DT6">
        <v>343.52641303737693</v>
      </c>
      <c r="DU6">
        <v>2350.886432513078</v>
      </c>
      <c r="DV6">
        <v>990.15000075526723</v>
      </c>
      <c r="DW6">
        <v>3425.0932647520358</v>
      </c>
      <c r="DX6">
        <v>1815.5791228306341</v>
      </c>
      <c r="EA6">
        <v>520.06747828813002</v>
      </c>
      <c r="EB6">
        <v>0.62296030828493176</v>
      </c>
      <c r="EC6">
        <v>387.11693445952147</v>
      </c>
      <c r="ED6">
        <v>0.69318861514187202</v>
      </c>
      <c r="EE6">
        <v>553.44113165670615</v>
      </c>
      <c r="EF6">
        <v>0.64346255048124557</v>
      </c>
      <c r="EI6">
        <v>553.80820390528072</v>
      </c>
      <c r="EJ6">
        <v>0.54470043267073587</v>
      </c>
      <c r="EK6">
        <v>491.4082682154102</v>
      </c>
      <c r="EL6">
        <v>0.65959866172021409</v>
      </c>
      <c r="EM6">
        <v>594.17324603531767</v>
      </c>
      <c r="EN6">
        <v>0.720992218261994</v>
      </c>
      <c r="EO6">
        <v>955.2858388867096</v>
      </c>
      <c r="EP6">
        <v>0.54429868285052929</v>
      </c>
      <c r="EQ6">
        <v>634.73010691149636</v>
      </c>
      <c r="ER6">
        <v>0.53808781431731612</v>
      </c>
      <c r="ES6">
        <v>1516.723891032618</v>
      </c>
      <c r="ET6">
        <v>0.62618869730516158</v>
      </c>
      <c r="EU6">
        <v>311.9501833670746</v>
      </c>
      <c r="EV6">
        <v>0.60189273011043265</v>
      </c>
      <c r="EW6">
        <v>2932.4110364673661</v>
      </c>
      <c r="EX6">
        <v>1174.954452581969</v>
      </c>
      <c r="EY6">
        <v>4216.0812910319091</v>
      </c>
      <c r="EZ6">
        <v>1470.4748041985331</v>
      </c>
      <c r="FA6">
        <v>3112.0881760106331</v>
      </c>
      <c r="FB6">
        <v>463.01121867217262</v>
      </c>
      <c r="FC6">
        <v>3703.5246019328852</v>
      </c>
      <c r="FD6">
        <v>1293.7537955694479</v>
      </c>
      <c r="FE6">
        <v>390</v>
      </c>
      <c r="FF6">
        <v>0.85</v>
      </c>
      <c r="FG6">
        <v>397.5</v>
      </c>
      <c r="FH6">
        <v>0.85</v>
      </c>
      <c r="FI6">
        <v>387.5</v>
      </c>
      <c r="FJ6">
        <v>0.95</v>
      </c>
      <c r="FK6">
        <v>385</v>
      </c>
      <c r="FL6">
        <v>0.92500000000000004</v>
      </c>
      <c r="FM6">
        <v>3781.8230245237678</v>
      </c>
      <c r="FN6">
        <v>808.34025773909616</v>
      </c>
      <c r="FO6">
        <v>3781.8230245237678</v>
      </c>
      <c r="FP6">
        <v>808.34025773909616</v>
      </c>
      <c r="FU6">
        <v>3000</v>
      </c>
      <c r="FV6">
        <v>393.75</v>
      </c>
      <c r="FW6">
        <v>3000</v>
      </c>
      <c r="FX6">
        <v>393.75</v>
      </c>
      <c r="GC6">
        <v>3905.950043184831</v>
      </c>
      <c r="GD6">
        <v>1359.5567020080759</v>
      </c>
      <c r="GE6">
        <v>3905.950043184831</v>
      </c>
      <c r="GF6">
        <v>1139.5567020080771</v>
      </c>
      <c r="GI6">
        <v>4505.950043184831</v>
      </c>
      <c r="GJ6">
        <v>1359.5567020080759</v>
      </c>
      <c r="GK6">
        <v>403</v>
      </c>
      <c r="GL6">
        <v>0.5</v>
      </c>
      <c r="GM6">
        <v>403</v>
      </c>
      <c r="GN6">
        <v>0.53500000000000003</v>
      </c>
      <c r="GS6">
        <v>4508.3419580395002</v>
      </c>
      <c r="GT6">
        <v>1242.2743898072649</v>
      </c>
      <c r="GU6">
        <v>4808.3419580395002</v>
      </c>
      <c r="GV6">
        <v>1022.274389807265</v>
      </c>
      <c r="HA6">
        <v>4381.8230245237683</v>
      </c>
      <c r="HB6">
        <v>808.34025773909616</v>
      </c>
      <c r="HC6">
        <v>4381.8230245237683</v>
      </c>
      <c r="HD6">
        <v>808.34025773909616</v>
      </c>
      <c r="HG6">
        <v>3000</v>
      </c>
      <c r="HH6">
        <v>393.75</v>
      </c>
      <c r="HI6">
        <v>3171.6843970419218</v>
      </c>
      <c r="HJ6">
        <v>1731.5040559818869</v>
      </c>
      <c r="HK6">
        <v>4901.0612235191547</v>
      </c>
      <c r="HL6">
        <v>351.5925808025371</v>
      </c>
      <c r="HM6">
        <v>4832.2589427689763</v>
      </c>
      <c r="HN6">
        <v>1150.3884102600341</v>
      </c>
      <c r="HO6">
        <v>3341.4978644556782</v>
      </c>
      <c r="HP6">
        <v>1645.1543595446769</v>
      </c>
      <c r="HQ6">
        <v>3594.9759843436182</v>
      </c>
      <c r="HR6">
        <v>1945.984061674744</v>
      </c>
      <c r="HS6">
        <v>2431.1275717819699</v>
      </c>
      <c r="HT6">
        <v>475.57627427470908</v>
      </c>
      <c r="HW6">
        <v>3496.2217078662338</v>
      </c>
      <c r="HX6">
        <v>1833.6570349119941</v>
      </c>
      <c r="HY6">
        <v>1463.177714606448</v>
      </c>
      <c r="HZ6">
        <v>460.8730875481204</v>
      </c>
      <c r="IA6">
        <v>769.90779266861807</v>
      </c>
      <c r="IB6">
        <v>431.98027670257488</v>
      </c>
      <c r="IC6">
        <v>375.46744346554073</v>
      </c>
      <c r="ID6">
        <v>392.89123395100182</v>
      </c>
      <c r="IE6">
        <v>1400.349394132309</v>
      </c>
      <c r="IF6">
        <v>494.53415738908859</v>
      </c>
      <c r="II6">
        <v>4032.278483595841</v>
      </c>
      <c r="IJ6">
        <v>514.98497388713383</v>
      </c>
      <c r="IK6">
        <v>4460.2783008968336</v>
      </c>
      <c r="IL6">
        <v>430.50955097436321</v>
      </c>
      <c r="IM6">
        <v>4678.8932437608391</v>
      </c>
      <c r="IN6">
        <v>498.54763788777979</v>
      </c>
      <c r="IO6">
        <v>4076.5412984209538</v>
      </c>
      <c r="IP6">
        <v>1503.0147753294921</v>
      </c>
      <c r="IQ6">
        <v>2713.4411480434478</v>
      </c>
      <c r="IR6">
        <v>1579.7840482175011</v>
      </c>
      <c r="IS6">
        <v>4152.327090375511</v>
      </c>
      <c r="IT6">
        <v>591.72527028438583</v>
      </c>
      <c r="IU6">
        <v>4375.8038087322584</v>
      </c>
      <c r="IV6">
        <v>404.65403891940178</v>
      </c>
      <c r="IW6">
        <v>4374.0828821008927</v>
      </c>
      <c r="IX6">
        <v>1219.513693321903</v>
      </c>
      <c r="IY6">
        <v>2076.8492989110991</v>
      </c>
      <c r="IZ6">
        <v>515.04592848326774</v>
      </c>
      <c r="JA6">
        <v>4340.3201095691184</v>
      </c>
      <c r="JB6">
        <v>795.20656493453987</v>
      </c>
      <c r="JC6">
        <v>2104.8639645003241</v>
      </c>
      <c r="JD6">
        <v>674.92585775830764</v>
      </c>
      <c r="JG6">
        <v>3135.1843347553722</v>
      </c>
      <c r="JH6">
        <v>1956.5687996522611</v>
      </c>
      <c r="JK6">
        <v>2789.943982846316</v>
      </c>
      <c r="JL6">
        <v>472.26146906016379</v>
      </c>
      <c r="JM6">
        <v>2506.9035902215369</v>
      </c>
      <c r="JN6">
        <v>1594.4914235886649</v>
      </c>
      <c r="JO6">
        <v>2186.1977279045432</v>
      </c>
      <c r="JP6">
        <v>753.56163615305991</v>
      </c>
      <c r="JU6">
        <v>1852.3052654297401</v>
      </c>
      <c r="JV6">
        <v>410.0080573216207</v>
      </c>
      <c r="JW6">
        <v>784.22649254601549</v>
      </c>
      <c r="JX6">
        <v>508.40583256959809</v>
      </c>
      <c r="KE6">
        <v>4883.145640595545</v>
      </c>
      <c r="KF6">
        <v>499.12258942215959</v>
      </c>
      <c r="KK6">
        <v>3990.481090263972</v>
      </c>
      <c r="KL6">
        <v>1410.3584586846059</v>
      </c>
      <c r="KM6">
        <v>3669.2550296611362</v>
      </c>
      <c r="KN6">
        <v>440.56905128227862</v>
      </c>
      <c r="KO6">
        <v>3851.045000982725</v>
      </c>
      <c r="KP6">
        <v>312.4090999729699</v>
      </c>
      <c r="KU6">
        <v>1905.4587152000099</v>
      </c>
      <c r="KV6">
        <v>0.80071877763467914</v>
      </c>
      <c r="KY6">
        <v>399.02319989281727</v>
      </c>
      <c r="KZ6">
        <v>0.91303050848787204</v>
      </c>
      <c r="LA6">
        <v>1596.9698209825401</v>
      </c>
      <c r="LB6">
        <v>391.37219758261881</v>
      </c>
      <c r="LC6">
        <v>604.34611334055035</v>
      </c>
      <c r="LD6">
        <v>508.39929522575733</v>
      </c>
      <c r="LK6">
        <v>501.1473437422768</v>
      </c>
      <c r="LL6">
        <v>0.83871188823348719</v>
      </c>
      <c r="LM6">
        <v>508.07308067957132</v>
      </c>
      <c r="LN6">
        <v>0.52108448868946611</v>
      </c>
      <c r="LQ6">
        <v>1174.169053044774</v>
      </c>
      <c r="LR6">
        <v>401.38901533738988</v>
      </c>
      <c r="LS6">
        <v>1401.5637975586219</v>
      </c>
      <c r="LT6">
        <v>468.73809803914969</v>
      </c>
      <c r="ME6">
        <v>1264.300778110286</v>
      </c>
      <c r="MF6">
        <v>285.98603819750332</v>
      </c>
      <c r="MG6">
        <v>409.2543787655303</v>
      </c>
      <c r="MH6">
        <v>282.70538637802758</v>
      </c>
      <c r="MI6">
        <v>463.84533571915171</v>
      </c>
      <c r="MJ6">
        <v>299.8576823408128</v>
      </c>
      <c r="MO6">
        <v>1751.0109408897119</v>
      </c>
      <c r="MP6">
        <v>445.59618415139317</v>
      </c>
      <c r="MQ6">
        <v>1421.3964324499971</v>
      </c>
      <c r="MR6">
        <v>501.99302253014412</v>
      </c>
      <c r="MW6">
        <v>700</v>
      </c>
      <c r="MX6">
        <v>12.581314446066379</v>
      </c>
      <c r="MY6">
        <v>650</v>
      </c>
      <c r="MZ6">
        <v>13.170444446252681</v>
      </c>
      <c r="NE6">
        <v>3300</v>
      </c>
      <c r="NF6">
        <v>1200</v>
      </c>
      <c r="NM6">
        <v>3250</v>
      </c>
      <c r="NN6">
        <v>12.65094109088577</v>
      </c>
      <c r="NU6">
        <v>1000</v>
      </c>
      <c r="NV6">
        <v>0.7</v>
      </c>
      <c r="NW6">
        <v>500</v>
      </c>
      <c r="NX6">
        <v>0.82</v>
      </c>
      <c r="OA6">
        <v>600</v>
      </c>
      <c r="OB6">
        <v>0.3</v>
      </c>
      <c r="OC6">
        <v>0.57499999999999996</v>
      </c>
      <c r="OD6">
        <v>7.7754024647053406</v>
      </c>
    </row>
    <row r="7" spans="1:400" x14ac:dyDescent="0.3">
      <c r="G7">
        <v>3250</v>
      </c>
      <c r="H7">
        <v>0.5</v>
      </c>
      <c r="O7">
        <v>9500</v>
      </c>
      <c r="P7">
        <v>22.348476680005589</v>
      </c>
      <c r="S7">
        <v>1127.2727272727279</v>
      </c>
      <c r="T7">
        <v>0.75</v>
      </c>
      <c r="Y7">
        <v>1272.727272727273</v>
      </c>
      <c r="Z7">
        <v>390</v>
      </c>
      <c r="AA7">
        <v>690.90909090909099</v>
      </c>
      <c r="AB7">
        <v>420</v>
      </c>
      <c r="AE7">
        <v>690.90909090909099</v>
      </c>
      <c r="AF7">
        <v>380</v>
      </c>
      <c r="AI7">
        <v>0.8</v>
      </c>
      <c r="AJ7">
        <v>0.75</v>
      </c>
      <c r="AM7">
        <v>0.8</v>
      </c>
      <c r="AN7">
        <v>0.85</v>
      </c>
      <c r="AQ7">
        <v>0.65</v>
      </c>
      <c r="AR7">
        <v>0.4</v>
      </c>
      <c r="AU7">
        <v>0.45</v>
      </c>
      <c r="AV7">
        <v>0.8</v>
      </c>
      <c r="AW7">
        <v>1854.545454545455</v>
      </c>
      <c r="AX7">
        <v>0.5</v>
      </c>
      <c r="AY7">
        <v>1127.2727272727279</v>
      </c>
      <c r="AZ7">
        <v>0.4</v>
      </c>
      <c r="BG7">
        <v>434</v>
      </c>
      <c r="BH7">
        <v>0.9</v>
      </c>
      <c r="BM7">
        <v>1050</v>
      </c>
      <c r="BN7">
        <v>278.14999999999998</v>
      </c>
      <c r="BO7">
        <v>300</v>
      </c>
      <c r="BP7">
        <v>293.14999999999998</v>
      </c>
      <c r="BU7">
        <v>1200</v>
      </c>
      <c r="BV7">
        <v>278.14999999999998</v>
      </c>
      <c r="BW7">
        <v>150</v>
      </c>
      <c r="BX7">
        <v>288.14999999999998</v>
      </c>
      <c r="CC7">
        <v>1500</v>
      </c>
      <c r="CD7">
        <v>278.14999999999998</v>
      </c>
      <c r="CE7">
        <v>450</v>
      </c>
      <c r="CF7">
        <v>283.14999999999998</v>
      </c>
      <c r="CQ7">
        <v>750</v>
      </c>
      <c r="CR7">
        <v>278.14999999999998</v>
      </c>
      <c r="DA7">
        <v>3600.2437005479292</v>
      </c>
      <c r="DB7">
        <v>1228.609862350464</v>
      </c>
      <c r="DC7">
        <v>2081.421554425518</v>
      </c>
      <c r="DD7">
        <v>366.23079889621209</v>
      </c>
      <c r="DE7">
        <v>2724.514536180277</v>
      </c>
      <c r="DF7">
        <v>314.73215967940439</v>
      </c>
      <c r="DG7">
        <v>2851.532116984768</v>
      </c>
      <c r="DH7">
        <v>790.34816799795499</v>
      </c>
      <c r="DI7">
        <v>3752.0533374971719</v>
      </c>
      <c r="DJ7">
        <v>1655.5133671419669</v>
      </c>
      <c r="DK7">
        <v>2840.5723908073069</v>
      </c>
      <c r="DL7">
        <v>1575.0030174508461</v>
      </c>
      <c r="DO7">
        <v>4004.0104728467008</v>
      </c>
      <c r="DP7">
        <v>2034.619829969995</v>
      </c>
      <c r="DS7">
        <v>3522.0527527975041</v>
      </c>
      <c r="DT7">
        <v>1009.088868917098</v>
      </c>
      <c r="DU7">
        <v>4588.4618524778034</v>
      </c>
      <c r="DV7">
        <v>914.86920989947441</v>
      </c>
      <c r="DW7">
        <v>4621.8590884989044</v>
      </c>
      <c r="DX7">
        <v>680.4407400432583</v>
      </c>
      <c r="EA7">
        <v>612.16005710929983</v>
      </c>
      <c r="EB7">
        <v>0.62614540037292277</v>
      </c>
      <c r="EC7">
        <v>381.6092851157166</v>
      </c>
      <c r="ED7">
        <v>0.8280857294522489</v>
      </c>
      <c r="EE7">
        <v>597.49145336307856</v>
      </c>
      <c r="EF7">
        <v>0.78575116134755696</v>
      </c>
      <c r="EI7">
        <v>443.5165061523125</v>
      </c>
      <c r="EJ7">
        <v>0.65365344751174825</v>
      </c>
      <c r="EK7">
        <v>609.10638082513947</v>
      </c>
      <c r="EL7">
        <v>0.61169806900184076</v>
      </c>
      <c r="EM7">
        <v>537.16135826369202</v>
      </c>
      <c r="EN7">
        <v>0.74247004451377629</v>
      </c>
      <c r="EO7">
        <v>1105.0222509409191</v>
      </c>
      <c r="EP7">
        <v>0.52010647705356261</v>
      </c>
      <c r="EQ7">
        <v>613.73547788105714</v>
      </c>
      <c r="ER7">
        <v>0.70625141138347003</v>
      </c>
      <c r="ES7">
        <v>743.84906965584776</v>
      </c>
      <c r="ET7">
        <v>0.72073907874265819</v>
      </c>
      <c r="EU7">
        <v>1735.891137527924</v>
      </c>
      <c r="EV7">
        <v>0.80294672081252572</v>
      </c>
      <c r="EW7">
        <v>4163.6042610773366</v>
      </c>
      <c r="EX7">
        <v>1723.9220227702169</v>
      </c>
      <c r="EY7">
        <v>2642.853838582022</v>
      </c>
      <c r="EZ7">
        <v>331.0852826081823</v>
      </c>
      <c r="FA7">
        <v>3541.3895908071399</v>
      </c>
      <c r="FB7">
        <v>1708.0071453584869</v>
      </c>
      <c r="FC7">
        <v>2763.2480233489291</v>
      </c>
      <c r="FD7">
        <v>843.01113013602867</v>
      </c>
      <c r="FE7">
        <v>405</v>
      </c>
      <c r="FF7">
        <v>0.85</v>
      </c>
      <c r="FG7">
        <v>400</v>
      </c>
      <c r="FH7">
        <v>0.85</v>
      </c>
      <c r="FI7">
        <v>387.5</v>
      </c>
      <c r="FJ7">
        <v>0.85</v>
      </c>
      <c r="FK7">
        <v>385</v>
      </c>
      <c r="FL7">
        <v>0.95</v>
      </c>
      <c r="FM7">
        <v>3181.8230245237678</v>
      </c>
      <c r="FN7">
        <v>808.34025773909616</v>
      </c>
      <c r="FO7">
        <v>3781.8230245237678</v>
      </c>
      <c r="FP7">
        <v>588.34025773909616</v>
      </c>
      <c r="FU7">
        <v>3000</v>
      </c>
      <c r="FV7">
        <v>393.75</v>
      </c>
      <c r="FW7">
        <v>3000</v>
      </c>
      <c r="FX7">
        <v>393.75</v>
      </c>
      <c r="GC7">
        <v>3905.950043184831</v>
      </c>
      <c r="GD7">
        <v>1359.5567020080759</v>
      </c>
      <c r="GE7">
        <v>3905.950043184831</v>
      </c>
      <c r="GF7">
        <v>1359.5567020080759</v>
      </c>
      <c r="GI7">
        <v>4805.950043184831</v>
      </c>
      <c r="GJ7">
        <v>1359.5567020080759</v>
      </c>
      <c r="GK7">
        <v>403</v>
      </c>
      <c r="GL7">
        <v>0.5</v>
      </c>
      <c r="GM7">
        <v>403</v>
      </c>
      <c r="GN7">
        <v>0.5</v>
      </c>
      <c r="GS7">
        <v>4808.3419580395002</v>
      </c>
      <c r="GT7">
        <v>1462.2743898072649</v>
      </c>
      <c r="GU7">
        <v>4808.3419580395002</v>
      </c>
      <c r="GV7">
        <v>1022.274389807265</v>
      </c>
      <c r="HA7">
        <v>3000</v>
      </c>
      <c r="HB7">
        <v>393.75</v>
      </c>
      <c r="HC7">
        <v>3000</v>
      </c>
      <c r="HD7">
        <v>393.75</v>
      </c>
      <c r="HG7">
        <v>5000</v>
      </c>
      <c r="HH7">
        <v>1359.5567020080759</v>
      </c>
      <c r="HI7">
        <v>4437.477885379416</v>
      </c>
      <c r="HJ7">
        <v>1139.110604868654</v>
      </c>
      <c r="HK7">
        <v>3979.7697645374542</v>
      </c>
      <c r="HL7">
        <v>1913.689364019559</v>
      </c>
      <c r="HM7">
        <v>4218.9776843259733</v>
      </c>
      <c r="HN7">
        <v>1721.07184235145</v>
      </c>
      <c r="HO7">
        <v>4122.7048632959522</v>
      </c>
      <c r="HP7">
        <v>1583.4251911752431</v>
      </c>
      <c r="HQ7">
        <v>3121.5259299028871</v>
      </c>
      <c r="HR7">
        <v>767.00871405375085</v>
      </c>
      <c r="HS7">
        <v>3372.529864140196</v>
      </c>
      <c r="HT7">
        <v>1128.54482183143</v>
      </c>
      <c r="HW7">
        <v>4860.4047795530532</v>
      </c>
      <c r="HX7">
        <v>957.58009406847577</v>
      </c>
      <c r="HY7">
        <v>1258.690948473032</v>
      </c>
      <c r="HZ7">
        <v>441.97524604528701</v>
      </c>
      <c r="IA7">
        <v>853.83073497845578</v>
      </c>
      <c r="IB7">
        <v>449.89673108785991</v>
      </c>
      <c r="IC7">
        <v>1416.6786039097531</v>
      </c>
      <c r="ID7">
        <v>410.61687404743748</v>
      </c>
      <c r="IE7">
        <v>1880.773939492396</v>
      </c>
      <c r="IF7">
        <v>487.52677947340919</v>
      </c>
      <c r="II7">
        <v>3599.1269962686551</v>
      </c>
      <c r="IJ7">
        <v>444.10928563161531</v>
      </c>
      <c r="IK7">
        <v>2150.7389389358868</v>
      </c>
      <c r="IL7">
        <v>422.37256144641742</v>
      </c>
      <c r="IM7">
        <v>3858.676571114248</v>
      </c>
      <c r="IN7">
        <v>387.76183862033088</v>
      </c>
      <c r="IO7">
        <v>2925.5871669238659</v>
      </c>
      <c r="IP7">
        <v>1453.3128775296891</v>
      </c>
      <c r="IQ7">
        <v>2403.8027020951081</v>
      </c>
      <c r="IR7">
        <v>1346.3114216699989</v>
      </c>
      <c r="IS7">
        <v>3117.364505904794</v>
      </c>
      <c r="IT7">
        <v>1132.6473617682291</v>
      </c>
      <c r="IU7">
        <v>2007.3456126635731</v>
      </c>
      <c r="IV7">
        <v>1457.055131111071</v>
      </c>
      <c r="IW7">
        <v>3714.727554813297</v>
      </c>
      <c r="IX7">
        <v>1485.803598736095</v>
      </c>
      <c r="IY7">
        <v>2522.00879492392</v>
      </c>
      <c r="IZ7">
        <v>655.86437957892304</v>
      </c>
      <c r="JA7">
        <v>4511.6087619242007</v>
      </c>
      <c r="JB7">
        <v>1508.4963700322289</v>
      </c>
      <c r="JC7">
        <v>4935.2740529149432</v>
      </c>
      <c r="JD7">
        <v>1027.902038670843</v>
      </c>
      <c r="JG7">
        <v>2521.2492550858351</v>
      </c>
      <c r="JH7">
        <v>410.81361995002032</v>
      </c>
      <c r="JK7">
        <v>3626.1393601110171</v>
      </c>
      <c r="JL7">
        <v>614.34576707165274</v>
      </c>
      <c r="JM7">
        <v>3145.2656798183029</v>
      </c>
      <c r="JN7">
        <v>1123.6316661755641</v>
      </c>
      <c r="JO7">
        <v>3427.9168609883018</v>
      </c>
      <c r="JP7">
        <v>955.46570963686918</v>
      </c>
      <c r="JU7">
        <v>1014.680125357152</v>
      </c>
      <c r="JV7">
        <v>438.93274264838681</v>
      </c>
      <c r="JW7">
        <v>342.08624499729552</v>
      </c>
      <c r="JX7">
        <v>464.71575462053028</v>
      </c>
      <c r="KE7">
        <v>2820.7029658828142</v>
      </c>
      <c r="KF7">
        <v>471.86036440283749</v>
      </c>
      <c r="KK7">
        <v>2423.9543691015929</v>
      </c>
      <c r="KL7">
        <v>734.8909794561439</v>
      </c>
      <c r="KM7">
        <v>2695.387689718927</v>
      </c>
      <c r="KN7">
        <v>1143.6392888648861</v>
      </c>
      <c r="KU7">
        <v>1569.145839222811</v>
      </c>
      <c r="KV7">
        <v>0.71607541274033348</v>
      </c>
      <c r="KY7">
        <v>311.1661409391682</v>
      </c>
      <c r="KZ7">
        <v>0.77489646035006132</v>
      </c>
      <c r="LA7">
        <v>1734.821217933898</v>
      </c>
      <c r="LB7">
        <v>424.90445725162931</v>
      </c>
      <c r="LC7">
        <v>750.87629411973376</v>
      </c>
      <c r="LD7">
        <v>485.9509311934093</v>
      </c>
      <c r="LK7">
        <v>468.93561870060103</v>
      </c>
      <c r="LL7">
        <v>0.92442059868538795</v>
      </c>
      <c r="LM7">
        <v>451.95599182155132</v>
      </c>
      <c r="LN7">
        <v>0.43584431407495627</v>
      </c>
      <c r="LQ7">
        <v>1043.647808884989</v>
      </c>
      <c r="LR7">
        <v>459.873221686048</v>
      </c>
      <c r="LS7">
        <v>1327.362530348222</v>
      </c>
      <c r="LT7">
        <v>487.35677384772248</v>
      </c>
      <c r="ME7">
        <v>317.02652133409651</v>
      </c>
      <c r="MF7">
        <v>296.32947309980358</v>
      </c>
      <c r="MI7">
        <v>468.70475792241001</v>
      </c>
      <c r="MJ7">
        <v>301.7535370295663</v>
      </c>
      <c r="MO7">
        <v>587.39377720689276</v>
      </c>
      <c r="MP7">
        <v>392.02733934532</v>
      </c>
      <c r="MQ7">
        <v>1083.3317354138169</v>
      </c>
      <c r="MR7">
        <v>479.14649203304731</v>
      </c>
      <c r="MW7">
        <v>700</v>
      </c>
      <c r="MX7">
        <v>12.581314446066379</v>
      </c>
      <c r="MY7">
        <v>600</v>
      </c>
      <c r="MZ7">
        <v>13.75268677295411</v>
      </c>
      <c r="NE7">
        <v>3300</v>
      </c>
      <c r="NF7">
        <v>1300</v>
      </c>
      <c r="NM7">
        <v>3357.1428571428569</v>
      </c>
      <c r="NN7">
        <v>12.821058319728531</v>
      </c>
      <c r="NU7">
        <v>500</v>
      </c>
      <c r="NV7">
        <v>0.7</v>
      </c>
      <c r="NW7">
        <v>600</v>
      </c>
      <c r="NX7">
        <v>0.82</v>
      </c>
      <c r="OA7">
        <v>700</v>
      </c>
      <c r="OB7">
        <v>0.3</v>
      </c>
      <c r="OC7">
        <v>0.64999999999999991</v>
      </c>
      <c r="OD7">
        <v>10.25180677128446</v>
      </c>
    </row>
    <row r="8" spans="1:400" x14ac:dyDescent="0.3">
      <c r="G8">
        <v>3500</v>
      </c>
      <c r="H8">
        <v>0.5</v>
      </c>
      <c r="O8">
        <v>5437.5</v>
      </c>
      <c r="P8">
        <v>24.333860570990161</v>
      </c>
      <c r="S8">
        <v>1418.181818181818</v>
      </c>
      <c r="T8">
        <v>0.75</v>
      </c>
      <c r="Y8">
        <v>1418.181818181818</v>
      </c>
      <c r="Z8">
        <v>390</v>
      </c>
      <c r="AA8">
        <v>400</v>
      </c>
      <c r="AB8">
        <v>434</v>
      </c>
      <c r="AE8">
        <v>1272.727272727273</v>
      </c>
      <c r="AF8">
        <v>380</v>
      </c>
      <c r="AI8">
        <v>0.8</v>
      </c>
      <c r="AJ8">
        <v>0.8</v>
      </c>
      <c r="AM8">
        <v>0.8</v>
      </c>
      <c r="AN8">
        <v>0.85</v>
      </c>
      <c r="AQ8">
        <v>0.8</v>
      </c>
      <c r="AR8">
        <v>0.4</v>
      </c>
      <c r="AU8">
        <v>0.55000000000000004</v>
      </c>
      <c r="AV8">
        <v>0.8</v>
      </c>
      <c r="AW8">
        <v>2000</v>
      </c>
      <c r="AX8">
        <v>0.5</v>
      </c>
      <c r="AY8">
        <v>1272.727272727273</v>
      </c>
      <c r="AZ8">
        <v>0.4</v>
      </c>
      <c r="BG8">
        <v>434</v>
      </c>
      <c r="BH8">
        <v>0.95</v>
      </c>
      <c r="BM8">
        <v>1200</v>
      </c>
      <c r="BN8">
        <v>278.14999999999998</v>
      </c>
      <c r="BO8">
        <v>450</v>
      </c>
      <c r="BP8">
        <v>293.14999999999998</v>
      </c>
      <c r="BU8">
        <v>1350</v>
      </c>
      <c r="BV8">
        <v>278.14999999999998</v>
      </c>
      <c r="BW8">
        <v>300</v>
      </c>
      <c r="BX8">
        <v>288.14999999999998</v>
      </c>
      <c r="CC8">
        <v>900</v>
      </c>
      <c r="CD8">
        <v>283.14999999999998</v>
      </c>
      <c r="CE8">
        <v>600</v>
      </c>
      <c r="CF8">
        <v>283.14999999999998</v>
      </c>
      <c r="CQ8">
        <v>900</v>
      </c>
      <c r="CR8">
        <v>278.14999999999998</v>
      </c>
      <c r="DA8">
        <v>4841.7770826055921</v>
      </c>
      <c r="DB8">
        <v>1106.6535202822031</v>
      </c>
      <c r="DC8">
        <v>3959.4110726562189</v>
      </c>
      <c r="DD8">
        <v>551.55033902060268</v>
      </c>
      <c r="DE8">
        <v>2984.8245512269091</v>
      </c>
      <c r="DF8">
        <v>498.46904100200231</v>
      </c>
      <c r="DG8">
        <v>2791.884670335216</v>
      </c>
      <c r="DH8">
        <v>1344.8912614436899</v>
      </c>
      <c r="DI8">
        <v>2802.8097607420768</v>
      </c>
      <c r="DJ8">
        <v>2423.0186315981368</v>
      </c>
      <c r="DK8">
        <v>2335.081504417939</v>
      </c>
      <c r="DL8">
        <v>1572.751589231709</v>
      </c>
      <c r="DO8">
        <v>4995.7578338505673</v>
      </c>
      <c r="DP8">
        <v>1530.663174893521</v>
      </c>
      <c r="DS8">
        <v>4364.2983752583114</v>
      </c>
      <c r="DT8">
        <v>888.02863922215488</v>
      </c>
      <c r="DU8">
        <v>4556.6254645829122</v>
      </c>
      <c r="DV8">
        <v>267.99083606100612</v>
      </c>
      <c r="DW8">
        <v>2172.751910283414</v>
      </c>
      <c r="DX8">
        <v>397.63843524985691</v>
      </c>
      <c r="EA8">
        <v>473.7371693257702</v>
      </c>
      <c r="EB8">
        <v>0.71026279796047398</v>
      </c>
      <c r="EC8">
        <v>405.48937597249591</v>
      </c>
      <c r="ED8">
        <v>0.76244894291175458</v>
      </c>
      <c r="EE8">
        <v>523.24929485428561</v>
      </c>
      <c r="EF8">
        <v>0.77976201105766862</v>
      </c>
      <c r="EI8">
        <v>474.97579015001787</v>
      </c>
      <c r="EJ8">
        <v>0.52993425880614276</v>
      </c>
      <c r="EK8">
        <v>532.67510810646581</v>
      </c>
      <c r="EL8">
        <v>0.61472451075386092</v>
      </c>
      <c r="EM8">
        <v>439.63264632872182</v>
      </c>
      <c r="EN8">
        <v>0.83954564628285366</v>
      </c>
      <c r="EQ8">
        <v>857.4331502762775</v>
      </c>
      <c r="ER8">
        <v>0.66530636198378601</v>
      </c>
      <c r="ES8">
        <v>248.95915732771991</v>
      </c>
      <c r="ET8">
        <v>0.59458349481043826</v>
      </c>
      <c r="EU8">
        <v>1138.3181276292539</v>
      </c>
      <c r="EV8">
        <v>0.64561818976637475</v>
      </c>
      <c r="EW8">
        <v>3976.4935991862671</v>
      </c>
      <c r="EX8">
        <v>1810.585321724594</v>
      </c>
      <c r="EY8">
        <v>2982.6058302238789</v>
      </c>
      <c r="EZ8">
        <v>1019.5043147904061</v>
      </c>
      <c r="FA8">
        <v>2693.8799259506059</v>
      </c>
      <c r="FB8">
        <v>1080.9642673817709</v>
      </c>
      <c r="FC8">
        <v>2307.164343100957</v>
      </c>
      <c r="FD8">
        <v>1892.756759088737</v>
      </c>
      <c r="FE8">
        <v>402.5</v>
      </c>
      <c r="FF8">
        <v>0.85</v>
      </c>
      <c r="FG8">
        <v>407.5</v>
      </c>
      <c r="FH8">
        <v>0.85</v>
      </c>
      <c r="FI8">
        <v>387.5</v>
      </c>
      <c r="FJ8">
        <v>0.875</v>
      </c>
      <c r="FK8">
        <v>385</v>
      </c>
      <c r="FL8">
        <v>0.85</v>
      </c>
      <c r="FM8">
        <v>3481.8230245237678</v>
      </c>
      <c r="FN8">
        <v>1028.3402577390959</v>
      </c>
      <c r="FO8">
        <v>3781.8230245237678</v>
      </c>
      <c r="FP8">
        <v>808.34025773909616</v>
      </c>
      <c r="FU8">
        <v>3000</v>
      </c>
      <c r="FV8">
        <v>393.75</v>
      </c>
      <c r="FW8">
        <v>3000</v>
      </c>
      <c r="FX8">
        <v>393.75</v>
      </c>
      <c r="GC8">
        <v>3905.950043184831</v>
      </c>
      <c r="GD8">
        <v>1359.5567020080759</v>
      </c>
      <c r="GE8">
        <v>4205.950043184831</v>
      </c>
      <c r="GF8">
        <v>1139.5567020080771</v>
      </c>
      <c r="GI8">
        <v>5000</v>
      </c>
      <c r="GJ8">
        <v>1359.5567020080759</v>
      </c>
      <c r="GK8">
        <v>403</v>
      </c>
      <c r="GL8">
        <v>0.5</v>
      </c>
      <c r="GM8">
        <v>403</v>
      </c>
      <c r="GN8">
        <v>0.53500000000000003</v>
      </c>
      <c r="GS8">
        <v>4808.3419580395002</v>
      </c>
      <c r="GT8">
        <v>1022.274389807265</v>
      </c>
      <c r="GU8">
        <v>4808.3419580395002</v>
      </c>
      <c r="GV8">
        <v>1022.274389807265</v>
      </c>
      <c r="HA8">
        <v>5000</v>
      </c>
      <c r="HB8">
        <v>1359.5567020080759</v>
      </c>
      <c r="HC8">
        <v>3000</v>
      </c>
      <c r="HD8">
        <v>400</v>
      </c>
      <c r="HG8">
        <v>4808.3419580395002</v>
      </c>
      <c r="HH8">
        <v>1022.274389807265</v>
      </c>
      <c r="HI8">
        <v>3788.9407172169458</v>
      </c>
      <c r="HJ8">
        <v>965.45742397982758</v>
      </c>
      <c r="HK8">
        <v>4070.8587077965331</v>
      </c>
      <c r="HL8">
        <v>1489.72064604664</v>
      </c>
      <c r="HM8">
        <v>4771.0072398305729</v>
      </c>
      <c r="HN8">
        <v>1323.993703260858</v>
      </c>
      <c r="HO8">
        <v>2066.316847956331</v>
      </c>
      <c r="HP8">
        <v>855.91342883005916</v>
      </c>
      <c r="HQ8">
        <v>3338.2075117805739</v>
      </c>
      <c r="HR8">
        <v>1955.0188380918401</v>
      </c>
      <c r="HS8">
        <v>2106.6403329251821</v>
      </c>
      <c r="HT8">
        <v>1065.9187733051081</v>
      </c>
      <c r="HW8">
        <v>4822.4969085839684</v>
      </c>
      <c r="HX8">
        <v>728.81241524478651</v>
      </c>
      <c r="HY8">
        <v>1030.5232099761361</v>
      </c>
      <c r="HZ8">
        <v>408.79929121435953</v>
      </c>
      <c r="IA8">
        <v>331.61076440652658</v>
      </c>
      <c r="IB8">
        <v>506.2984890548546</v>
      </c>
      <c r="IC8">
        <v>1190.998801588401</v>
      </c>
      <c r="ID8">
        <v>499.8395481029666</v>
      </c>
      <c r="IE8">
        <v>835.73551451338426</v>
      </c>
      <c r="IF8">
        <v>483.59633962544791</v>
      </c>
      <c r="II8">
        <v>2235.513518177474</v>
      </c>
      <c r="IJ8">
        <v>391.8691847652085</v>
      </c>
      <c r="IK8">
        <v>3722.837931473714</v>
      </c>
      <c r="IL8">
        <v>441.02550116277678</v>
      </c>
      <c r="IM8">
        <v>2508.3429646340142</v>
      </c>
      <c r="IN8">
        <v>488.78895347925891</v>
      </c>
      <c r="IO8">
        <v>4163.5101841721007</v>
      </c>
      <c r="IP8">
        <v>1510.943457621157</v>
      </c>
      <c r="IQ8">
        <v>2650.0585392348171</v>
      </c>
      <c r="IR8">
        <v>705.82634294316722</v>
      </c>
      <c r="IS8">
        <v>4849.3909046209556</v>
      </c>
      <c r="IT8">
        <v>457.32284095667939</v>
      </c>
      <c r="IU8">
        <v>4756.5883560205202</v>
      </c>
      <c r="IV8">
        <v>1920.6413354449489</v>
      </c>
      <c r="IW8">
        <v>3883.6102916147852</v>
      </c>
      <c r="IX8">
        <v>1662.3879406177141</v>
      </c>
      <c r="IY8">
        <v>4229.5103707838443</v>
      </c>
      <c r="IZ8">
        <v>1431.2943539989001</v>
      </c>
      <c r="JA8">
        <v>3460.320880252862</v>
      </c>
      <c r="JB8">
        <v>1918.2122892582061</v>
      </c>
      <c r="JC8">
        <v>3504.5891893021389</v>
      </c>
      <c r="JD8">
        <v>1651.1448741394979</v>
      </c>
      <c r="JG8">
        <v>3492.8263978633422</v>
      </c>
      <c r="JH8">
        <v>564.50313323253931</v>
      </c>
      <c r="JK8">
        <v>4595.0585113607294</v>
      </c>
      <c r="JL8">
        <v>928.80332279112361</v>
      </c>
      <c r="JM8">
        <v>3005.4607994641001</v>
      </c>
      <c r="JN8">
        <v>1157.865344444537</v>
      </c>
      <c r="JO8">
        <v>3992.9378066697741</v>
      </c>
      <c r="JP8">
        <v>1089.5947835362349</v>
      </c>
      <c r="JU8">
        <v>545.161308938704</v>
      </c>
      <c r="JV8">
        <v>415.60651823296001</v>
      </c>
      <c r="JW8">
        <v>1989.509694549336</v>
      </c>
      <c r="JX8">
        <v>441.86298700122421</v>
      </c>
      <c r="KE8">
        <v>4378.1319957540372</v>
      </c>
      <c r="KF8">
        <v>444.44216885999418</v>
      </c>
      <c r="KK8">
        <v>4923.7804392742428</v>
      </c>
      <c r="KL8">
        <v>1833.74756282359</v>
      </c>
      <c r="KM8">
        <v>2399.9213657542668</v>
      </c>
      <c r="KN8">
        <v>588.75452381033676</v>
      </c>
      <c r="KU8">
        <v>916.87445011445323</v>
      </c>
      <c r="KV8">
        <v>0.43784924779736639</v>
      </c>
      <c r="KY8">
        <v>1230.6900586802301</v>
      </c>
      <c r="KZ8">
        <v>0.410205388194882</v>
      </c>
      <c r="LA8">
        <v>1393.4306341028871</v>
      </c>
      <c r="LB8">
        <v>441.2164437020428</v>
      </c>
      <c r="LC8">
        <v>856.34256450627367</v>
      </c>
      <c r="LD8">
        <v>495.79916960336152</v>
      </c>
      <c r="LK8">
        <v>390.99179064759852</v>
      </c>
      <c r="LL8">
        <v>0.60534139672204823</v>
      </c>
      <c r="LQ8">
        <v>904.31504006295495</v>
      </c>
      <c r="LR8">
        <v>398.19842402241329</v>
      </c>
      <c r="LS8">
        <v>1752.676154610713</v>
      </c>
      <c r="LT8">
        <v>451.07188019215539</v>
      </c>
      <c r="ME8">
        <v>661.46770634181757</v>
      </c>
      <c r="MF8">
        <v>303.44349828928898</v>
      </c>
      <c r="MI8">
        <v>507.31641185725522</v>
      </c>
      <c r="MJ8">
        <v>279.16398696138742</v>
      </c>
      <c r="MQ8">
        <v>934.29569138347904</v>
      </c>
      <c r="MR8">
        <v>506.60844066239213</v>
      </c>
      <c r="MW8">
        <v>750</v>
      </c>
      <c r="MX8">
        <v>12.11344297884353</v>
      </c>
      <c r="NE8">
        <v>3300</v>
      </c>
      <c r="NF8">
        <v>1500</v>
      </c>
      <c r="NM8">
        <v>3892.8571428571431</v>
      </c>
      <c r="NN8">
        <v>13.498787347132851</v>
      </c>
      <c r="NU8">
        <v>1100</v>
      </c>
      <c r="NV8">
        <v>0.7</v>
      </c>
      <c r="NW8">
        <v>500</v>
      </c>
      <c r="NX8">
        <v>0.85</v>
      </c>
      <c r="OA8">
        <v>200</v>
      </c>
      <c r="OB8">
        <v>0.35</v>
      </c>
      <c r="OC8">
        <v>0.67499999999999993</v>
      </c>
      <c r="OD8">
        <v>10.781595749116279</v>
      </c>
    </row>
    <row r="9" spans="1:400" x14ac:dyDescent="0.3">
      <c r="G9">
        <v>3000</v>
      </c>
      <c r="H9">
        <v>0.5</v>
      </c>
      <c r="O9">
        <v>9562.5</v>
      </c>
      <c r="P9">
        <v>22.371071745471632</v>
      </c>
      <c r="S9">
        <v>1272.727272727273</v>
      </c>
      <c r="T9">
        <v>0.75</v>
      </c>
      <c r="Y9">
        <v>1563.636363636364</v>
      </c>
      <c r="Z9">
        <v>390</v>
      </c>
      <c r="AA9">
        <v>545.4545454545455</v>
      </c>
      <c r="AB9">
        <v>434</v>
      </c>
      <c r="AE9">
        <v>1418.181818181818</v>
      </c>
      <c r="AF9">
        <v>380</v>
      </c>
      <c r="AI9">
        <v>0.8</v>
      </c>
      <c r="AJ9">
        <v>0.72499999999999998</v>
      </c>
      <c r="AM9">
        <v>0.8</v>
      </c>
      <c r="AN9">
        <v>0.85</v>
      </c>
      <c r="AQ9">
        <v>0.85</v>
      </c>
      <c r="AR9">
        <v>0.4</v>
      </c>
      <c r="AU9">
        <v>0.6</v>
      </c>
      <c r="AV9">
        <v>0.8</v>
      </c>
      <c r="AW9">
        <v>1345.454545454545</v>
      </c>
      <c r="AX9">
        <v>0.4</v>
      </c>
      <c r="AY9">
        <v>545.4545454545455</v>
      </c>
      <c r="AZ9">
        <v>0.5</v>
      </c>
      <c r="BG9">
        <v>466</v>
      </c>
      <c r="BH9">
        <v>0.9</v>
      </c>
      <c r="BM9">
        <v>1350</v>
      </c>
      <c r="BN9">
        <v>278.14999999999998</v>
      </c>
      <c r="BO9">
        <v>300</v>
      </c>
      <c r="BP9">
        <v>300.032917</v>
      </c>
      <c r="BU9">
        <v>1500</v>
      </c>
      <c r="BV9">
        <v>278.14999999999998</v>
      </c>
      <c r="BW9">
        <v>450</v>
      </c>
      <c r="BX9">
        <v>288.14999999999998</v>
      </c>
      <c r="CC9">
        <v>1050</v>
      </c>
      <c r="CD9">
        <v>283.14999999999998</v>
      </c>
      <c r="CE9">
        <v>750</v>
      </c>
      <c r="CF9">
        <v>283.14999999999998</v>
      </c>
      <c r="CQ9">
        <v>1200</v>
      </c>
      <c r="CR9">
        <v>278.14999999999998</v>
      </c>
      <c r="DA9">
        <v>4160.6852918196446</v>
      </c>
      <c r="DB9">
        <v>1168.545778067049</v>
      </c>
      <c r="DC9">
        <v>4074.3852917683948</v>
      </c>
      <c r="DD9">
        <v>752.45039440498363</v>
      </c>
      <c r="DE9">
        <v>3126.873834830641</v>
      </c>
      <c r="DF9">
        <v>1247.611980786854</v>
      </c>
      <c r="DG9">
        <v>4669.085636046515</v>
      </c>
      <c r="DH9">
        <v>1082.7540516489121</v>
      </c>
      <c r="DI9">
        <v>4887.819971582242</v>
      </c>
      <c r="DJ9">
        <v>2482.3574971776261</v>
      </c>
      <c r="DK9">
        <v>2925.261605772082</v>
      </c>
      <c r="DL9">
        <v>2233.233944296735</v>
      </c>
      <c r="DO9">
        <v>4875.6039411736328</v>
      </c>
      <c r="DP9">
        <v>1668.5307500576109</v>
      </c>
      <c r="DS9">
        <v>4153.5937530817946</v>
      </c>
      <c r="DT9">
        <v>1563.2807048180921</v>
      </c>
      <c r="DU9">
        <v>4324.3518189810384</v>
      </c>
      <c r="DV9">
        <v>572.2184244159414</v>
      </c>
      <c r="DW9">
        <v>4399.5373831666748</v>
      </c>
      <c r="DX9">
        <v>1043.7881249224879</v>
      </c>
      <c r="EA9">
        <v>492.02216833928412</v>
      </c>
      <c r="EB9">
        <v>0.63427467064941823</v>
      </c>
      <c r="EC9">
        <v>542.90149199609311</v>
      </c>
      <c r="ED9">
        <v>0.54185283786323035</v>
      </c>
      <c r="EE9">
        <v>599.95278401568555</v>
      </c>
      <c r="EF9">
        <v>0.5270755204081925</v>
      </c>
      <c r="EI9">
        <v>455.43375306717979</v>
      </c>
      <c r="EJ9">
        <v>0.59824961095272911</v>
      </c>
      <c r="EK9">
        <v>412.94615419908803</v>
      </c>
      <c r="EL9">
        <v>0.72677988336340416</v>
      </c>
      <c r="EM9">
        <v>606.71878499640513</v>
      </c>
      <c r="EN9">
        <v>0.67464817155970014</v>
      </c>
      <c r="EQ9">
        <v>534.62023011747669</v>
      </c>
      <c r="ER9">
        <v>0.54945094533079752</v>
      </c>
      <c r="ES9">
        <v>761.77879072772521</v>
      </c>
      <c r="ET9">
        <v>0.52680184983860634</v>
      </c>
      <c r="EU9">
        <v>1660.614434685504</v>
      </c>
      <c r="EV9">
        <v>0.82422042469470569</v>
      </c>
      <c r="EW9">
        <v>4623.7628862233723</v>
      </c>
      <c r="EX9">
        <v>1594.8984118004039</v>
      </c>
      <c r="EY9">
        <v>3744.982058753154</v>
      </c>
      <c r="EZ9">
        <v>1439.657166970303</v>
      </c>
      <c r="FA9">
        <v>2402.8867477266799</v>
      </c>
      <c r="FB9">
        <v>729.9780860451657</v>
      </c>
      <c r="FC9">
        <v>2023.003329493351</v>
      </c>
      <c r="FD9">
        <v>398.00124030770269</v>
      </c>
      <c r="FE9">
        <v>407.5</v>
      </c>
      <c r="FF9">
        <v>0.85</v>
      </c>
      <c r="FG9">
        <v>402.5</v>
      </c>
      <c r="FH9">
        <v>0.85</v>
      </c>
      <c r="FI9">
        <v>387.5</v>
      </c>
      <c r="FJ9">
        <v>0.9</v>
      </c>
      <c r="FK9">
        <v>385</v>
      </c>
      <c r="FL9">
        <v>0.875</v>
      </c>
      <c r="FM9">
        <v>3481.8230245237678</v>
      </c>
      <c r="FN9">
        <v>808.34025773909616</v>
      </c>
      <c r="FO9">
        <v>4081.8230245237678</v>
      </c>
      <c r="FP9">
        <v>588.34025773909616</v>
      </c>
      <c r="FU9">
        <v>3000</v>
      </c>
      <c r="FV9">
        <v>393.75</v>
      </c>
      <c r="FW9">
        <v>3000</v>
      </c>
      <c r="FX9">
        <v>393.75</v>
      </c>
      <c r="GC9">
        <v>3905.950043184831</v>
      </c>
      <c r="GD9">
        <v>1359.5567020080759</v>
      </c>
      <c r="GE9">
        <v>4205.950043184831</v>
      </c>
      <c r="GF9">
        <v>1359.5567020080759</v>
      </c>
      <c r="GK9">
        <v>403</v>
      </c>
      <c r="GL9">
        <v>0.5</v>
      </c>
      <c r="GM9">
        <v>403</v>
      </c>
      <c r="GN9">
        <v>0.5</v>
      </c>
      <c r="GS9">
        <v>4808.3419580395002</v>
      </c>
      <c r="GT9">
        <v>1242.2743898072649</v>
      </c>
      <c r="GU9">
        <v>5000</v>
      </c>
      <c r="GV9">
        <v>1022.274389807265</v>
      </c>
      <c r="HA9">
        <v>3000</v>
      </c>
      <c r="HB9">
        <v>400</v>
      </c>
      <c r="HC9">
        <v>3481.8230245237678</v>
      </c>
      <c r="HD9">
        <v>808.34025773909616</v>
      </c>
      <c r="HG9">
        <v>3481.8230245237678</v>
      </c>
      <c r="HH9">
        <v>808.34025773909616</v>
      </c>
      <c r="HK9">
        <v>2028.570774216978</v>
      </c>
      <c r="HL9">
        <v>1430.2711088073941</v>
      </c>
      <c r="HM9">
        <v>2649.6247104509798</v>
      </c>
      <c r="HN9">
        <v>1638.1967123512929</v>
      </c>
      <c r="HO9">
        <v>3396.178542909995</v>
      </c>
      <c r="HP9">
        <v>349.53430769420089</v>
      </c>
      <c r="HQ9">
        <v>4601.4868444168533</v>
      </c>
      <c r="HR9">
        <v>1400.1523980387931</v>
      </c>
      <c r="HS9">
        <v>3505.3061082988079</v>
      </c>
      <c r="HT9">
        <v>1375.6701750232719</v>
      </c>
      <c r="HW9">
        <v>4939.8654165873932</v>
      </c>
      <c r="HX9">
        <v>1742.938832602282</v>
      </c>
      <c r="HY9">
        <v>1428.8413708330791</v>
      </c>
      <c r="HZ9">
        <v>470.26669200032882</v>
      </c>
      <c r="IA9">
        <v>1717.216386859179</v>
      </c>
      <c r="IB9">
        <v>495.08769404623263</v>
      </c>
      <c r="IC9">
        <v>478.32961061227883</v>
      </c>
      <c r="ID9">
        <v>459.61285676825457</v>
      </c>
      <c r="IE9">
        <v>1166.4164117642511</v>
      </c>
      <c r="IF9">
        <v>481.20860174564882</v>
      </c>
      <c r="II9">
        <v>3759.404590764645</v>
      </c>
      <c r="IJ9">
        <v>390.08952307317719</v>
      </c>
      <c r="IK9">
        <v>4336.828916082919</v>
      </c>
      <c r="IL9">
        <v>415.81212328079317</v>
      </c>
      <c r="IM9">
        <v>2036.6668386023671</v>
      </c>
      <c r="IN9">
        <v>503.54123505333018</v>
      </c>
      <c r="IO9">
        <v>4425.1985869558957</v>
      </c>
      <c r="IP9">
        <v>1955.3144758325061</v>
      </c>
      <c r="IQ9">
        <v>2195.4919360814888</v>
      </c>
      <c r="IR9">
        <v>1268.5256974779611</v>
      </c>
      <c r="IS9">
        <v>4287.3819259463562</v>
      </c>
      <c r="IT9">
        <v>798.45201310653033</v>
      </c>
      <c r="IU9">
        <v>4783.5422022815483</v>
      </c>
      <c r="IV9">
        <v>421.13799736280339</v>
      </c>
      <c r="IW9">
        <v>3240.370344284258</v>
      </c>
      <c r="IX9">
        <v>557.04328069925396</v>
      </c>
      <c r="IY9">
        <v>2205.9403009754742</v>
      </c>
      <c r="IZ9">
        <v>1787.007410191793</v>
      </c>
      <c r="JA9">
        <v>3765.2298275220019</v>
      </c>
      <c r="JB9">
        <v>831.85095766872803</v>
      </c>
      <c r="JC9">
        <v>4867.4409168919283</v>
      </c>
      <c r="JD9">
        <v>1778.5977592654119</v>
      </c>
      <c r="JG9">
        <v>3735.82872772568</v>
      </c>
      <c r="JH9">
        <v>1363.4770177545961</v>
      </c>
      <c r="JK9">
        <v>3903.1507750094038</v>
      </c>
      <c r="JL9">
        <v>749.88626246183833</v>
      </c>
      <c r="JM9">
        <v>2490.9482916310999</v>
      </c>
      <c r="JN9">
        <v>1472.476000377402</v>
      </c>
      <c r="JO9">
        <v>2287.3979325895339</v>
      </c>
      <c r="JP9">
        <v>570.67951250039914</v>
      </c>
      <c r="JU9">
        <v>1821.9307756205189</v>
      </c>
      <c r="JV9">
        <v>482.82903995325142</v>
      </c>
      <c r="JW9">
        <v>1349.8297334325589</v>
      </c>
      <c r="JX9">
        <v>518.06543687485123</v>
      </c>
      <c r="KE9">
        <v>4514.6177595317049</v>
      </c>
      <c r="KF9">
        <v>425.93126623341072</v>
      </c>
      <c r="KK9">
        <v>3350.6717719192479</v>
      </c>
      <c r="KL9">
        <v>1729.406777851075</v>
      </c>
      <c r="KM9">
        <v>4609.5283371149126</v>
      </c>
      <c r="KN9">
        <v>652.14907219166787</v>
      </c>
      <c r="KU9">
        <v>545.02251466672919</v>
      </c>
      <c r="KV9">
        <v>0.87498360748177917</v>
      </c>
      <c r="KY9">
        <v>507.6488705062842</v>
      </c>
      <c r="KZ9">
        <v>0.50752682898798429</v>
      </c>
      <c r="LA9">
        <v>1252.4668806980551</v>
      </c>
      <c r="LB9">
        <v>415.09853795506882</v>
      </c>
      <c r="LC9">
        <v>306.72582021436352</v>
      </c>
      <c r="LD9">
        <v>438.32894142049258</v>
      </c>
      <c r="LK9">
        <v>446.03358508968358</v>
      </c>
      <c r="LL9">
        <v>0.77044113499341227</v>
      </c>
      <c r="LQ9">
        <v>1812.0645220088829</v>
      </c>
      <c r="LR9">
        <v>436.5928736533113</v>
      </c>
      <c r="LS9">
        <v>1206.983221728553</v>
      </c>
      <c r="LT9">
        <v>456.64020712730468</v>
      </c>
      <c r="ME9">
        <v>1054.389547786611</v>
      </c>
      <c r="MF9">
        <v>280.94958211204943</v>
      </c>
      <c r="MI9">
        <v>454.35360018931851</v>
      </c>
      <c r="MJ9">
        <v>303.38437697405101</v>
      </c>
      <c r="MQ9">
        <v>1435.9553578011969</v>
      </c>
      <c r="MR9">
        <v>455.64702439793388</v>
      </c>
      <c r="MW9">
        <v>750</v>
      </c>
      <c r="MX9">
        <v>12.11344297884353</v>
      </c>
      <c r="NE9">
        <v>3300</v>
      </c>
      <c r="NF9">
        <v>1200</v>
      </c>
      <c r="NM9">
        <v>3785.7142857142858</v>
      </c>
      <c r="NN9">
        <v>13.3852549291339</v>
      </c>
      <c r="NU9">
        <v>1200</v>
      </c>
      <c r="NV9">
        <v>0.7</v>
      </c>
      <c r="NW9">
        <v>700</v>
      </c>
      <c r="NX9">
        <v>0.85</v>
      </c>
      <c r="OA9">
        <v>600</v>
      </c>
      <c r="OB9">
        <v>0.35</v>
      </c>
      <c r="OC9">
        <v>0.7</v>
      </c>
      <c r="OD9">
        <v>11.23217741708438</v>
      </c>
    </row>
    <row r="10" spans="1:400" x14ac:dyDescent="0.3">
      <c r="G10">
        <v>3750</v>
      </c>
      <c r="H10">
        <v>0.5</v>
      </c>
      <c r="O10">
        <v>9593.75</v>
      </c>
      <c r="P10">
        <v>22.38250510573555</v>
      </c>
      <c r="S10">
        <v>1709.090909090909</v>
      </c>
      <c r="T10">
        <v>0.75</v>
      </c>
      <c r="Y10">
        <v>1709.090909090909</v>
      </c>
      <c r="Z10">
        <v>390</v>
      </c>
      <c r="AA10">
        <v>690.90909090909099</v>
      </c>
      <c r="AB10">
        <v>434</v>
      </c>
      <c r="AE10">
        <v>1563.636363636364</v>
      </c>
      <c r="AF10">
        <v>380</v>
      </c>
      <c r="AI10">
        <v>0.8</v>
      </c>
      <c r="AJ10">
        <v>0.47499999999999998</v>
      </c>
      <c r="AM10">
        <v>0.8</v>
      </c>
      <c r="AN10">
        <v>0.85</v>
      </c>
      <c r="AQ10">
        <v>0.7</v>
      </c>
      <c r="AR10">
        <v>0.4</v>
      </c>
      <c r="AU10">
        <v>0.5</v>
      </c>
      <c r="AV10">
        <v>0.8</v>
      </c>
      <c r="AW10">
        <v>1345.454545454545</v>
      </c>
      <c r="AX10">
        <v>0.4</v>
      </c>
      <c r="AY10">
        <v>690.90909090909099</v>
      </c>
      <c r="AZ10">
        <v>0.5</v>
      </c>
      <c r="BG10">
        <v>466</v>
      </c>
      <c r="BH10">
        <v>0.85</v>
      </c>
      <c r="BM10">
        <v>1500</v>
      </c>
      <c r="BN10">
        <v>278.14999999999998</v>
      </c>
      <c r="BO10">
        <v>450</v>
      </c>
      <c r="BP10">
        <v>300.032917</v>
      </c>
      <c r="BU10">
        <v>600</v>
      </c>
      <c r="BV10">
        <v>283.14999999999998</v>
      </c>
      <c r="BW10">
        <v>300</v>
      </c>
      <c r="BX10">
        <v>293.14999999999998</v>
      </c>
      <c r="CC10">
        <v>1200</v>
      </c>
      <c r="CD10">
        <v>283.14999999999998</v>
      </c>
      <c r="CE10">
        <v>300</v>
      </c>
      <c r="CF10">
        <v>288.14999999999998</v>
      </c>
      <c r="CQ10">
        <v>1350</v>
      </c>
      <c r="CR10">
        <v>278.14999999999998</v>
      </c>
      <c r="DA10">
        <v>3732.0690323904792</v>
      </c>
      <c r="DB10">
        <v>858.71851834016627</v>
      </c>
      <c r="DC10">
        <v>4887.5967029197154</v>
      </c>
      <c r="DD10">
        <v>1145.6968651424461</v>
      </c>
      <c r="DE10">
        <v>4221.2709021404407</v>
      </c>
      <c r="DF10">
        <v>417.49418257396292</v>
      </c>
      <c r="DG10">
        <v>4333.1156789015231</v>
      </c>
      <c r="DH10">
        <v>398.5432911679855</v>
      </c>
      <c r="DI10">
        <v>4909.5960244343532</v>
      </c>
      <c r="DJ10">
        <v>2406.8677034200819</v>
      </c>
      <c r="DK10">
        <v>3483.2700715220581</v>
      </c>
      <c r="DL10">
        <v>1808.053371215052</v>
      </c>
      <c r="DO10">
        <v>3623.8746057876701</v>
      </c>
      <c r="DP10">
        <v>2257.2319154274119</v>
      </c>
      <c r="DS10">
        <v>3767.5371996639169</v>
      </c>
      <c r="DT10">
        <v>1927.8763965249991</v>
      </c>
      <c r="DU10">
        <v>4119.2945345377893</v>
      </c>
      <c r="DV10">
        <v>457.14303078273218</v>
      </c>
      <c r="DW10">
        <v>3836.4381922866692</v>
      </c>
      <c r="DX10">
        <v>662.985062927439</v>
      </c>
      <c r="EA10">
        <v>385.1452257523793</v>
      </c>
      <c r="EB10">
        <v>0.658296632405728</v>
      </c>
      <c r="EC10">
        <v>486.71119117593929</v>
      </c>
      <c r="ED10">
        <v>0.6164214389587741</v>
      </c>
      <c r="EE10">
        <v>593.77476234538199</v>
      </c>
      <c r="EF10">
        <v>0.67295674435636932</v>
      </c>
      <c r="EI10">
        <v>469.93266254693663</v>
      </c>
      <c r="EJ10">
        <v>0.58840729337959485</v>
      </c>
      <c r="EK10">
        <v>390.60563403731862</v>
      </c>
      <c r="EL10">
        <v>0.63594384184923869</v>
      </c>
      <c r="EM10">
        <v>500.51430313310141</v>
      </c>
      <c r="EN10">
        <v>0.50600844488981356</v>
      </c>
      <c r="EQ10">
        <v>550.60355430147877</v>
      </c>
      <c r="ER10">
        <v>0.61531975399832317</v>
      </c>
      <c r="ES10">
        <v>326.76899043148308</v>
      </c>
      <c r="ET10">
        <v>0.69074576491882667</v>
      </c>
      <c r="EU10">
        <v>1705.63498112856</v>
      </c>
      <c r="EV10">
        <v>0.75407331106703301</v>
      </c>
      <c r="EW10">
        <v>3634.0038787952658</v>
      </c>
      <c r="EX10">
        <v>654.55302031238375</v>
      </c>
      <c r="EY10">
        <v>4356.2972937429577</v>
      </c>
      <c r="EZ10">
        <v>1545.0069741552541</v>
      </c>
      <c r="FA10">
        <v>3418.4110681208581</v>
      </c>
      <c r="FB10">
        <v>666.5971493891202</v>
      </c>
      <c r="FC10">
        <v>4414.9417031704479</v>
      </c>
      <c r="FD10">
        <v>633.33883396056558</v>
      </c>
      <c r="FE10">
        <v>390</v>
      </c>
      <c r="FF10">
        <v>0.875</v>
      </c>
      <c r="FG10">
        <v>405</v>
      </c>
      <c r="FH10">
        <v>0.85</v>
      </c>
      <c r="FI10">
        <v>387.5</v>
      </c>
      <c r="FJ10">
        <v>0.92500000000000004</v>
      </c>
      <c r="FK10">
        <v>385</v>
      </c>
      <c r="FL10">
        <v>0.9</v>
      </c>
      <c r="FM10">
        <v>3481.8230245237678</v>
      </c>
      <c r="FN10">
        <v>808.34025773909616</v>
      </c>
      <c r="FO10">
        <v>4081.8230245237678</v>
      </c>
      <c r="FP10">
        <v>808.34025773909616</v>
      </c>
      <c r="FU10">
        <v>3000</v>
      </c>
      <c r="FV10">
        <v>393.75</v>
      </c>
      <c r="FW10">
        <v>3000</v>
      </c>
      <c r="FX10">
        <v>393.75</v>
      </c>
      <c r="GC10">
        <v>3905.950043184831</v>
      </c>
      <c r="GD10">
        <v>1359.5567020080759</v>
      </c>
      <c r="GE10">
        <v>4505.950043184831</v>
      </c>
      <c r="GF10">
        <v>1139.5567020080771</v>
      </c>
      <c r="GK10">
        <v>403</v>
      </c>
      <c r="GL10">
        <v>0.5</v>
      </c>
      <c r="GM10">
        <v>427</v>
      </c>
      <c r="GN10">
        <v>0.5</v>
      </c>
      <c r="GS10">
        <v>4808.3419580395002</v>
      </c>
      <c r="GT10">
        <v>1242.2743898072649</v>
      </c>
      <c r="GU10">
        <v>4808.3419580395002</v>
      </c>
      <c r="GV10">
        <v>802.27438980726458</v>
      </c>
      <c r="HA10">
        <v>3481.8230245237678</v>
      </c>
      <c r="HB10">
        <v>808.34025773909616</v>
      </c>
      <c r="HC10">
        <v>3000</v>
      </c>
      <c r="HD10">
        <v>1318.1818181819999</v>
      </c>
      <c r="HG10">
        <v>3655.0315704537861</v>
      </c>
      <c r="HH10">
        <v>2494.5286687783441</v>
      </c>
      <c r="HK10">
        <v>2107.512844541744</v>
      </c>
      <c r="HL10">
        <v>1176.3686312509039</v>
      </c>
      <c r="HM10">
        <v>2308.085894579523</v>
      </c>
      <c r="HN10">
        <v>1935.692557992732</v>
      </c>
      <c r="HO10">
        <v>2387.5983081317572</v>
      </c>
      <c r="HP10">
        <v>544.72442390306367</v>
      </c>
      <c r="HQ10">
        <v>3674.7318772216199</v>
      </c>
      <c r="HR10">
        <v>1815.0962295815771</v>
      </c>
      <c r="HS10">
        <v>4489.9457432255449</v>
      </c>
      <c r="HT10">
        <v>987.91525417713717</v>
      </c>
      <c r="HW10">
        <v>4415.1955860840208</v>
      </c>
      <c r="HX10">
        <v>1653.695772292054</v>
      </c>
      <c r="HY10">
        <v>1092.3128686222749</v>
      </c>
      <c r="HZ10">
        <v>404.77881297823978</v>
      </c>
      <c r="IA10">
        <v>350.22836707093433</v>
      </c>
      <c r="IB10">
        <v>451.04498866630922</v>
      </c>
      <c r="IC10">
        <v>1929.225042620832</v>
      </c>
      <c r="ID10">
        <v>509.18120186791441</v>
      </c>
      <c r="IE10">
        <v>302.71289768408792</v>
      </c>
      <c r="IF10">
        <v>503.44552021782391</v>
      </c>
      <c r="II10">
        <v>4946.6774455291206</v>
      </c>
      <c r="IJ10">
        <v>483.43372152801658</v>
      </c>
      <c r="IK10">
        <v>2466.907748164555</v>
      </c>
      <c r="IL10">
        <v>457.33555733833867</v>
      </c>
      <c r="IM10">
        <v>4765.0821022706932</v>
      </c>
      <c r="IN10">
        <v>394.38118693284798</v>
      </c>
      <c r="IO10">
        <v>4246.3224205174884</v>
      </c>
      <c r="IP10">
        <v>1840.9338107802121</v>
      </c>
      <c r="IQ10">
        <v>2828.9437398214782</v>
      </c>
      <c r="IR10">
        <v>1990.6992416712881</v>
      </c>
      <c r="IS10">
        <v>2661.4055794697229</v>
      </c>
      <c r="IT10">
        <v>644.62522435564165</v>
      </c>
      <c r="IU10">
        <v>4356.8933463805097</v>
      </c>
      <c r="IV10">
        <v>687.9954060397788</v>
      </c>
      <c r="IW10">
        <v>2308.137026417804</v>
      </c>
      <c r="IX10">
        <v>1536.473901970503</v>
      </c>
      <c r="IY10">
        <v>2468.4465168705879</v>
      </c>
      <c r="IZ10">
        <v>875.13493560331358</v>
      </c>
      <c r="JA10">
        <v>2977.9378243248002</v>
      </c>
      <c r="JB10">
        <v>399.69896133432508</v>
      </c>
      <c r="JC10">
        <v>3846.933534288125</v>
      </c>
      <c r="JD10">
        <v>1495.740809695129</v>
      </c>
      <c r="JG10">
        <v>4271.3451573060011</v>
      </c>
      <c r="JH10">
        <v>828.5603230612337</v>
      </c>
      <c r="JK10">
        <v>2969.0213876434559</v>
      </c>
      <c r="JL10">
        <v>1517.0053654218041</v>
      </c>
      <c r="JM10">
        <v>4470.2381346443417</v>
      </c>
      <c r="JN10">
        <v>1800.946415453315</v>
      </c>
      <c r="JO10">
        <v>2057.9085859223119</v>
      </c>
      <c r="JP10">
        <v>721.21389442713621</v>
      </c>
      <c r="JU10">
        <v>1711.4534447326971</v>
      </c>
      <c r="JV10">
        <v>423.3797511890549</v>
      </c>
      <c r="JW10">
        <v>1526.818086185177</v>
      </c>
      <c r="JX10">
        <v>502.55271123358671</v>
      </c>
      <c r="KE10">
        <v>3436.1653030458428</v>
      </c>
      <c r="KF10">
        <v>503.15568167879252</v>
      </c>
      <c r="KK10">
        <v>2525.130236666977</v>
      </c>
      <c r="KL10">
        <v>1972.60965678394</v>
      </c>
      <c r="KM10">
        <v>4736.1731246547952</v>
      </c>
      <c r="KN10">
        <v>1328.232405360023</v>
      </c>
      <c r="KU10">
        <v>651.33415184073488</v>
      </c>
      <c r="KV10">
        <v>0.52437265278361656</v>
      </c>
      <c r="KY10">
        <v>935.29646353585156</v>
      </c>
      <c r="KZ10">
        <v>0.48399210372347778</v>
      </c>
      <c r="LA10">
        <v>1284.2530804505291</v>
      </c>
      <c r="LB10">
        <v>453.42593656051912</v>
      </c>
      <c r="LC10">
        <v>1102.8570822707411</v>
      </c>
      <c r="LD10">
        <v>458.21940744331482</v>
      </c>
      <c r="LK10">
        <v>400.9754404426368</v>
      </c>
      <c r="LL10">
        <v>0.68610624668727216</v>
      </c>
      <c r="LS10">
        <v>562.98871487019289</v>
      </c>
      <c r="LT10">
        <v>407.71467896506891</v>
      </c>
      <c r="ME10">
        <v>1433.576399765768</v>
      </c>
      <c r="MF10">
        <v>285.6970446584283</v>
      </c>
      <c r="MI10">
        <v>431.10423996098251</v>
      </c>
      <c r="MJ10">
        <v>283.81920327662891</v>
      </c>
      <c r="MQ10">
        <v>1099.966423481563</v>
      </c>
      <c r="MR10">
        <v>484.23868124896808</v>
      </c>
      <c r="MW10">
        <v>800</v>
      </c>
      <c r="MX10">
        <v>11.62985863251361</v>
      </c>
      <c r="NE10">
        <v>3300</v>
      </c>
      <c r="NF10">
        <v>1150</v>
      </c>
      <c r="NM10">
        <v>4000</v>
      </c>
      <c r="NN10">
        <v>13.60155540212271</v>
      </c>
      <c r="NU10">
        <v>700</v>
      </c>
      <c r="NV10">
        <v>0.73</v>
      </c>
      <c r="NW10">
        <v>600</v>
      </c>
      <c r="NX10">
        <v>0.85</v>
      </c>
      <c r="OA10">
        <v>400</v>
      </c>
      <c r="OB10">
        <v>0.35</v>
      </c>
    </row>
    <row r="11" spans="1:400" x14ac:dyDescent="0.3">
      <c r="G11">
        <v>3000</v>
      </c>
      <c r="H11">
        <v>0.4</v>
      </c>
      <c r="O11">
        <v>5421.875</v>
      </c>
      <c r="P11">
        <v>24.384604785706369</v>
      </c>
      <c r="S11">
        <v>1563.636363636364</v>
      </c>
      <c r="T11">
        <v>0.75</v>
      </c>
      <c r="Y11">
        <v>1854.545454545455</v>
      </c>
      <c r="Z11">
        <v>390</v>
      </c>
      <c r="AA11">
        <v>836.36363636363637</v>
      </c>
      <c r="AB11">
        <v>434</v>
      </c>
      <c r="AE11">
        <v>1854.545454545455</v>
      </c>
      <c r="AF11">
        <v>380</v>
      </c>
      <c r="AI11">
        <v>0.8</v>
      </c>
      <c r="AJ11">
        <v>0.52500000000000002</v>
      </c>
      <c r="AM11">
        <v>0.8</v>
      </c>
      <c r="AN11">
        <v>0.85</v>
      </c>
      <c r="AQ11">
        <v>0.75</v>
      </c>
      <c r="AR11">
        <v>0.4</v>
      </c>
      <c r="AU11">
        <v>0.65</v>
      </c>
      <c r="AV11">
        <v>0.8</v>
      </c>
      <c r="AW11">
        <v>1781.818181818182</v>
      </c>
      <c r="AX11">
        <v>0.5</v>
      </c>
      <c r="AY11">
        <v>981.81818181818198</v>
      </c>
      <c r="AZ11">
        <v>0.5</v>
      </c>
      <c r="BG11">
        <v>466</v>
      </c>
      <c r="BH11">
        <v>0.95</v>
      </c>
      <c r="BM11">
        <v>450</v>
      </c>
      <c r="BN11">
        <v>283.14999999999998</v>
      </c>
      <c r="BO11">
        <v>375</v>
      </c>
      <c r="BP11">
        <v>288.14999999999998</v>
      </c>
      <c r="BU11">
        <v>750</v>
      </c>
      <c r="BV11">
        <v>283.14999999999998</v>
      </c>
      <c r="BW11">
        <v>450</v>
      </c>
      <c r="BX11">
        <v>293.14999999999998</v>
      </c>
      <c r="CC11">
        <v>1350</v>
      </c>
      <c r="CD11">
        <v>283.14999999999998</v>
      </c>
      <c r="CE11">
        <v>150</v>
      </c>
      <c r="CF11">
        <v>288.14999999999998</v>
      </c>
      <c r="CQ11">
        <v>1500</v>
      </c>
      <c r="CR11">
        <v>278.14999999999998</v>
      </c>
      <c r="DA11">
        <v>3160.356416844596</v>
      </c>
      <c r="DB11">
        <v>930.49414987767796</v>
      </c>
      <c r="DC11">
        <v>3368.976964654717</v>
      </c>
      <c r="DD11">
        <v>853.35442767123982</v>
      </c>
      <c r="DE11">
        <v>4986.5635957990344</v>
      </c>
      <c r="DF11">
        <v>1254.520050129621</v>
      </c>
      <c r="DG11">
        <v>2882.245216868926</v>
      </c>
      <c r="DH11">
        <v>1296.884032185822</v>
      </c>
      <c r="DI11">
        <v>3056.7037323199179</v>
      </c>
      <c r="DJ11">
        <v>2342.8778239904518</v>
      </c>
      <c r="DK11">
        <v>2878.595434131244</v>
      </c>
      <c r="DL11">
        <v>2175.3866568247349</v>
      </c>
      <c r="DO11">
        <v>3397.186060079769</v>
      </c>
      <c r="DP11">
        <v>1688.08311954695</v>
      </c>
      <c r="DS11">
        <v>3161.9950305429411</v>
      </c>
      <c r="DT11">
        <v>1610.4523326951839</v>
      </c>
      <c r="DU11">
        <v>2342.9523307605332</v>
      </c>
      <c r="DV11">
        <v>1136.0496655919201</v>
      </c>
      <c r="DW11">
        <v>4062.5786916976908</v>
      </c>
      <c r="DX11">
        <v>244.36318747548921</v>
      </c>
      <c r="EA11">
        <v>580.47844662147099</v>
      </c>
      <c r="EB11">
        <v>0.57300015214688516</v>
      </c>
      <c r="EC11">
        <v>563.52126352390428</v>
      </c>
      <c r="ED11">
        <v>0.63856159714324612</v>
      </c>
      <c r="EE11">
        <v>518.0648900131556</v>
      </c>
      <c r="EF11">
        <v>0.81031266075053676</v>
      </c>
      <c r="EI11">
        <v>461.50440625822051</v>
      </c>
      <c r="EJ11">
        <v>0.5660666384587838</v>
      </c>
      <c r="EK11">
        <v>425.00564053262377</v>
      </c>
      <c r="EL11">
        <v>0.8122892861893598</v>
      </c>
      <c r="EM11">
        <v>486.35540685896638</v>
      </c>
      <c r="EN11">
        <v>0.83508385409119756</v>
      </c>
      <c r="EQ11">
        <v>1265.4304229482609</v>
      </c>
      <c r="ER11">
        <v>0.8164712982669472</v>
      </c>
      <c r="ES11">
        <v>1336.5946334101279</v>
      </c>
      <c r="ET11">
        <v>0.51570317577898384</v>
      </c>
      <c r="EU11">
        <v>1465.4850472286871</v>
      </c>
      <c r="EV11">
        <v>0.61331140159843112</v>
      </c>
      <c r="EW11">
        <v>4186.2545848627014</v>
      </c>
      <c r="EX11">
        <v>1421.8869426174369</v>
      </c>
      <c r="EY11">
        <v>2497.5607377003271</v>
      </c>
      <c r="EZ11">
        <v>285.35293835911472</v>
      </c>
      <c r="FA11">
        <v>3172.4968286513158</v>
      </c>
      <c r="FB11">
        <v>1085.807565682524</v>
      </c>
      <c r="FC11">
        <v>3039.543245538026</v>
      </c>
      <c r="FD11">
        <v>1394.9557496090999</v>
      </c>
      <c r="FE11">
        <v>392.5</v>
      </c>
      <c r="FF11">
        <v>0.875</v>
      </c>
      <c r="FG11">
        <v>410</v>
      </c>
      <c r="FH11">
        <v>0.85</v>
      </c>
      <c r="FI11">
        <v>387.5</v>
      </c>
      <c r="FJ11">
        <v>0.95</v>
      </c>
      <c r="FK11">
        <v>385</v>
      </c>
      <c r="FL11">
        <v>0.92500000000000004</v>
      </c>
      <c r="FM11">
        <v>3481.8230245237678</v>
      </c>
      <c r="FN11">
        <v>808.34025773909616</v>
      </c>
      <c r="FO11">
        <v>4081.8230245237678</v>
      </c>
      <c r="FP11">
        <v>808.34025773909616</v>
      </c>
      <c r="FU11">
        <v>3000</v>
      </c>
      <c r="FV11">
        <v>393.75</v>
      </c>
      <c r="FW11">
        <v>3000</v>
      </c>
      <c r="FX11">
        <v>393.75</v>
      </c>
      <c r="GC11">
        <v>3905.950043184831</v>
      </c>
      <c r="GD11">
        <v>1359.5567020080759</v>
      </c>
      <c r="GE11">
        <v>4505.950043184831</v>
      </c>
      <c r="GF11">
        <v>1359.5567020080759</v>
      </c>
      <c r="GK11">
        <v>403</v>
      </c>
      <c r="GL11">
        <v>0.5</v>
      </c>
      <c r="GM11">
        <v>415</v>
      </c>
      <c r="GN11">
        <v>0.53500000000000003</v>
      </c>
      <c r="GS11">
        <v>4808.3419580395002</v>
      </c>
      <c r="GT11">
        <v>1242.2743898072649</v>
      </c>
      <c r="GU11">
        <v>4808.3419580395002</v>
      </c>
      <c r="GV11">
        <v>1022.274389807265</v>
      </c>
      <c r="HA11">
        <v>4808.3419580395002</v>
      </c>
      <c r="HB11">
        <v>1022.274389807265</v>
      </c>
      <c r="HG11">
        <v>3000</v>
      </c>
      <c r="HH11">
        <v>1318.1818181819999</v>
      </c>
      <c r="HK11">
        <v>4921.2129027236324</v>
      </c>
      <c r="HL11">
        <v>320.64661635935562</v>
      </c>
      <c r="HO11">
        <v>2474.0000767846009</v>
      </c>
      <c r="HP11">
        <v>1223.655609521988</v>
      </c>
      <c r="HQ11">
        <v>3811.2245628980809</v>
      </c>
      <c r="HR11">
        <v>966.39121786351041</v>
      </c>
      <c r="HS11">
        <v>3543.780861703975</v>
      </c>
      <c r="HT11">
        <v>1715.244346295611</v>
      </c>
      <c r="HW11">
        <v>4020.449262482321</v>
      </c>
      <c r="HX11">
        <v>1542.466273107116</v>
      </c>
      <c r="HY11">
        <v>1798.984795601752</v>
      </c>
      <c r="HZ11">
        <v>407.7667500192025</v>
      </c>
      <c r="IA11">
        <v>1047.416439501432</v>
      </c>
      <c r="IB11">
        <v>398.27134190694892</v>
      </c>
      <c r="IC11">
        <v>592.45910792898269</v>
      </c>
      <c r="ID11">
        <v>388.44453221806452</v>
      </c>
      <c r="IE11">
        <v>417.17433799760312</v>
      </c>
      <c r="IF11">
        <v>447.91063995152871</v>
      </c>
      <c r="II11">
        <v>2526.6366896237</v>
      </c>
      <c r="IJ11">
        <v>513.34682715917575</v>
      </c>
      <c r="IK11">
        <v>2970.3863407074709</v>
      </c>
      <c r="IL11">
        <v>435.9910030599853</v>
      </c>
      <c r="IM11">
        <v>2021.508121351221</v>
      </c>
      <c r="IN11">
        <v>484.98221113969993</v>
      </c>
      <c r="IO11">
        <v>3002.00503465358</v>
      </c>
      <c r="IP11">
        <v>1793.8445780566319</v>
      </c>
      <c r="IQ11">
        <v>2381.021492644335</v>
      </c>
      <c r="IR11">
        <v>1699.9370559695381</v>
      </c>
      <c r="IS11">
        <v>3855.725565587139</v>
      </c>
      <c r="IT11">
        <v>788.40779163458978</v>
      </c>
      <c r="IU11">
        <v>3552.1255295117412</v>
      </c>
      <c r="IV11">
        <v>631.23983652441768</v>
      </c>
      <c r="IW11">
        <v>4617.9499225635673</v>
      </c>
      <c r="IX11">
        <v>1754.1527424897879</v>
      </c>
      <c r="IY11">
        <v>2823.603678942809</v>
      </c>
      <c r="IZ11">
        <v>1455.196008746562</v>
      </c>
      <c r="JA11">
        <v>4941.4000355220523</v>
      </c>
      <c r="JB11">
        <v>1467.3776646495039</v>
      </c>
      <c r="JC11">
        <v>4295.1920371096294</v>
      </c>
      <c r="JD11">
        <v>1704.947611062481</v>
      </c>
      <c r="JG11">
        <v>4024.0538518058102</v>
      </c>
      <c r="JH11">
        <v>1478.717686865702</v>
      </c>
      <c r="JM11">
        <v>4641.7758577099721</v>
      </c>
      <c r="JN11">
        <v>845.54255438439702</v>
      </c>
      <c r="JO11">
        <v>4031.7814336133229</v>
      </c>
      <c r="JP11">
        <v>1881.8229639099361</v>
      </c>
      <c r="JU11">
        <v>1481.814736505255</v>
      </c>
      <c r="JV11">
        <v>452.51789046703539</v>
      </c>
      <c r="JW11">
        <v>688.37581306766981</v>
      </c>
      <c r="JX11">
        <v>430.02022179902792</v>
      </c>
      <c r="KE11">
        <v>4418.4461911610342</v>
      </c>
      <c r="KF11">
        <v>492.83619529695449</v>
      </c>
      <c r="KM11">
        <v>4027.2868218258441</v>
      </c>
      <c r="KN11">
        <v>1239.8178520481761</v>
      </c>
      <c r="KU11">
        <v>1637.133267781828</v>
      </c>
      <c r="KV11">
        <v>0.6692324581420136</v>
      </c>
      <c r="KY11">
        <v>1192.44490158747</v>
      </c>
      <c r="KZ11">
        <v>0.74859129411749503</v>
      </c>
      <c r="LA11">
        <v>1641.92395500055</v>
      </c>
      <c r="LB11">
        <v>462.0221652764215</v>
      </c>
      <c r="LC11">
        <v>1963.0838574520219</v>
      </c>
      <c r="LD11">
        <v>475.84240668023779</v>
      </c>
      <c r="LK11">
        <v>435.21597696026822</v>
      </c>
      <c r="LL11">
        <v>0.63422660971245437</v>
      </c>
      <c r="LS11">
        <v>376.45435854221557</v>
      </c>
      <c r="LT11">
        <v>418.90893699256731</v>
      </c>
      <c r="ME11">
        <v>1713.420922915609</v>
      </c>
      <c r="MF11">
        <v>299.91935981509619</v>
      </c>
      <c r="MI11">
        <v>504.45949034389741</v>
      </c>
      <c r="MJ11">
        <v>287.92724309313132</v>
      </c>
      <c r="MQ11">
        <v>1221.414050101934</v>
      </c>
      <c r="MR11">
        <v>488.91511609343729</v>
      </c>
      <c r="MW11">
        <v>800</v>
      </c>
      <c r="MX11">
        <v>11.62985863251361</v>
      </c>
      <c r="NE11">
        <v>3300</v>
      </c>
      <c r="NF11">
        <v>1200</v>
      </c>
      <c r="NM11">
        <v>3464.2857142857142</v>
      </c>
      <c r="NN11">
        <v>12.97912414602844</v>
      </c>
      <c r="NU11">
        <v>800</v>
      </c>
      <c r="NV11">
        <v>0.73</v>
      </c>
      <c r="NW11">
        <v>600</v>
      </c>
      <c r="NX11">
        <v>0.88</v>
      </c>
      <c r="OA11">
        <v>300</v>
      </c>
      <c r="OB11">
        <v>0.35</v>
      </c>
    </row>
    <row r="12" spans="1:400" x14ac:dyDescent="0.3">
      <c r="G12">
        <v>4000</v>
      </c>
      <c r="H12">
        <v>0.5</v>
      </c>
      <c r="O12">
        <v>9609.375</v>
      </c>
      <c r="P12">
        <v>22.388254855479701</v>
      </c>
      <c r="S12">
        <v>1854.545454545455</v>
      </c>
      <c r="T12">
        <v>0.75</v>
      </c>
      <c r="Y12">
        <v>2000</v>
      </c>
      <c r="Z12">
        <v>390</v>
      </c>
      <c r="AA12">
        <v>400</v>
      </c>
      <c r="AB12">
        <v>466</v>
      </c>
      <c r="AE12">
        <v>1709.090909090909</v>
      </c>
      <c r="AF12">
        <v>380</v>
      </c>
      <c r="AI12">
        <v>0.8</v>
      </c>
      <c r="AJ12">
        <v>0.8125</v>
      </c>
      <c r="AM12">
        <v>0.8</v>
      </c>
      <c r="AN12">
        <v>0.85</v>
      </c>
      <c r="AQ12">
        <v>0.89999999999999991</v>
      </c>
      <c r="AR12">
        <v>0.4</v>
      </c>
      <c r="AU12">
        <v>0.7</v>
      </c>
      <c r="AV12">
        <v>0.8</v>
      </c>
      <c r="AW12">
        <v>1781.818181818182</v>
      </c>
      <c r="AX12">
        <v>0.5</v>
      </c>
      <c r="AY12">
        <v>1127.2727272727279</v>
      </c>
      <c r="AZ12">
        <v>0.5</v>
      </c>
      <c r="BG12">
        <v>497</v>
      </c>
      <c r="BH12">
        <v>0.85</v>
      </c>
      <c r="BM12">
        <v>750</v>
      </c>
      <c r="BN12">
        <v>283.14999999999998</v>
      </c>
      <c r="BO12">
        <v>225</v>
      </c>
      <c r="BP12">
        <v>278.14999999999998</v>
      </c>
      <c r="BU12">
        <v>900</v>
      </c>
      <c r="BV12">
        <v>283.14999999999998</v>
      </c>
      <c r="BW12">
        <v>150</v>
      </c>
      <c r="BX12">
        <v>293.14999999999998</v>
      </c>
      <c r="CC12">
        <v>1500</v>
      </c>
      <c r="CD12">
        <v>283.14999999999998</v>
      </c>
      <c r="CE12">
        <v>450</v>
      </c>
      <c r="CF12">
        <v>288.14999999999998</v>
      </c>
      <c r="CQ12">
        <v>300</v>
      </c>
      <c r="CR12">
        <v>283.14999999999998</v>
      </c>
      <c r="DA12">
        <v>2867.3077316380732</v>
      </c>
      <c r="DB12">
        <v>683.16533660242283</v>
      </c>
      <c r="DC12">
        <v>2092.4793058098921</v>
      </c>
      <c r="DD12">
        <v>1165.1772642822559</v>
      </c>
      <c r="DE12">
        <v>4288.4784288729388</v>
      </c>
      <c r="DF12">
        <v>355.3037031327749</v>
      </c>
      <c r="DG12">
        <v>4672.0487492358943</v>
      </c>
      <c r="DH12">
        <v>383.19197587115201</v>
      </c>
      <c r="DI12">
        <v>4263.5324724644488</v>
      </c>
      <c r="DJ12">
        <v>1582.364931794596</v>
      </c>
      <c r="DK12">
        <v>2125.2187669636801</v>
      </c>
      <c r="DL12">
        <v>1753.1412430243849</v>
      </c>
      <c r="DO12">
        <v>3009.127671922412</v>
      </c>
      <c r="DP12">
        <v>2277.2690436394628</v>
      </c>
      <c r="DS12">
        <v>3588.1085940089679</v>
      </c>
      <c r="DT12">
        <v>490.29057995806511</v>
      </c>
      <c r="DU12">
        <v>4644.311816525058</v>
      </c>
      <c r="DV12">
        <v>1686.266109972614</v>
      </c>
      <c r="DW12">
        <v>4196.4934311734396</v>
      </c>
      <c r="DX12">
        <v>1838.6820288874089</v>
      </c>
      <c r="EA12">
        <v>481.74456532978422</v>
      </c>
      <c r="EB12">
        <v>0.51027615025923501</v>
      </c>
      <c r="EC12">
        <v>411.13254868204018</v>
      </c>
      <c r="ED12">
        <v>0.78289725701195134</v>
      </c>
      <c r="EE12">
        <v>548.86958920014649</v>
      </c>
      <c r="EF12">
        <v>0.84703819005729786</v>
      </c>
      <c r="EI12">
        <v>560.18792329992357</v>
      </c>
      <c r="EJ12">
        <v>0.60174763610673809</v>
      </c>
      <c r="EK12">
        <v>399.9921037351105</v>
      </c>
      <c r="EL12">
        <v>0.66696224799050585</v>
      </c>
      <c r="EM12">
        <v>580.5216256422342</v>
      </c>
      <c r="EN12">
        <v>0.78586637375092916</v>
      </c>
      <c r="EQ12">
        <v>916.06004469776997</v>
      </c>
      <c r="ER12">
        <v>0.74062595070103499</v>
      </c>
      <c r="ES12">
        <v>1200.7035918734091</v>
      </c>
      <c r="ET12">
        <v>0.76824894437186653</v>
      </c>
      <c r="EU12">
        <v>1977.7845400767901</v>
      </c>
      <c r="EV12">
        <v>0.54181172467028194</v>
      </c>
      <c r="EY12">
        <v>3550.099941914199</v>
      </c>
      <c r="EZ12">
        <v>1652.5372687303379</v>
      </c>
      <c r="FA12">
        <v>2143.916760886475</v>
      </c>
      <c r="FB12">
        <v>1207.7747526183009</v>
      </c>
      <c r="FC12">
        <v>4390.6197882503666</v>
      </c>
      <c r="FD12">
        <v>1508.955169217455</v>
      </c>
      <c r="FE12">
        <v>400</v>
      </c>
      <c r="FF12">
        <v>0.875</v>
      </c>
      <c r="FG12">
        <v>392.5</v>
      </c>
      <c r="FH12">
        <v>0.875</v>
      </c>
      <c r="FI12">
        <v>387.5</v>
      </c>
      <c r="FJ12">
        <v>0.85</v>
      </c>
      <c r="FK12">
        <v>385</v>
      </c>
      <c r="FL12">
        <v>0.95</v>
      </c>
      <c r="FM12">
        <v>3481.8230245237678</v>
      </c>
      <c r="FN12">
        <v>808.34025773909616</v>
      </c>
      <c r="FO12">
        <v>4081.8230245237678</v>
      </c>
      <c r="FP12">
        <v>588.34025773909616</v>
      </c>
      <c r="FU12">
        <v>3000</v>
      </c>
      <c r="FV12">
        <v>393.75</v>
      </c>
      <c r="FW12">
        <v>3000</v>
      </c>
      <c r="FX12">
        <v>393.75</v>
      </c>
      <c r="GC12">
        <v>3905.950043184831</v>
      </c>
      <c r="GD12">
        <v>1359.5567020080759</v>
      </c>
      <c r="GE12">
        <v>4805.950043184831</v>
      </c>
      <c r="GF12">
        <v>1139.5567020080771</v>
      </c>
      <c r="GK12">
        <v>391</v>
      </c>
      <c r="GL12">
        <v>0.5</v>
      </c>
      <c r="GM12">
        <v>415</v>
      </c>
      <c r="GN12">
        <v>0.5</v>
      </c>
      <c r="GS12">
        <v>4808.3419580395002</v>
      </c>
      <c r="GT12">
        <v>1242.2743898072649</v>
      </c>
      <c r="GU12">
        <v>4808.3419580395002</v>
      </c>
      <c r="GV12">
        <v>1022.274389807265</v>
      </c>
      <c r="HA12">
        <v>3655.0315704537861</v>
      </c>
      <c r="HB12">
        <v>2494.5286687783441</v>
      </c>
      <c r="HK12">
        <v>4726.0336528390308</v>
      </c>
      <c r="HL12">
        <v>754.64779542384872</v>
      </c>
      <c r="HO12">
        <v>2814.0238540745081</v>
      </c>
      <c r="HP12">
        <v>1986.5550700359749</v>
      </c>
      <c r="HQ12">
        <v>4670.3937608807018</v>
      </c>
      <c r="HR12">
        <v>1507.4372846893141</v>
      </c>
      <c r="HS12">
        <v>2546.427473513349</v>
      </c>
      <c r="HT12">
        <v>1231.0119360043691</v>
      </c>
      <c r="HW12">
        <v>2648.9790550570251</v>
      </c>
      <c r="HX12">
        <v>1025.9442831851891</v>
      </c>
      <c r="HY12">
        <v>1533.88130783315</v>
      </c>
      <c r="HZ12">
        <v>456.90392745101531</v>
      </c>
      <c r="IA12">
        <v>810.81648821928218</v>
      </c>
      <c r="IB12">
        <v>384.56948699366262</v>
      </c>
      <c r="IC12">
        <v>425.24221840449621</v>
      </c>
      <c r="ID12">
        <v>457.63754230217711</v>
      </c>
      <c r="IE12">
        <v>571.32666524077172</v>
      </c>
      <c r="IF12">
        <v>453.65596633868921</v>
      </c>
      <c r="II12">
        <v>3569.097971124022</v>
      </c>
      <c r="IJ12">
        <v>401.79162213896848</v>
      </c>
      <c r="IK12">
        <v>3967.2066902534211</v>
      </c>
      <c r="IL12">
        <v>412.8645710566837</v>
      </c>
      <c r="IM12">
        <v>4378.3262000454924</v>
      </c>
      <c r="IN12">
        <v>519.32045355292951</v>
      </c>
      <c r="IO12">
        <v>3058.337191580531</v>
      </c>
      <c r="IP12">
        <v>1593.0968380465611</v>
      </c>
      <c r="IQ12">
        <v>4021.3710618764871</v>
      </c>
      <c r="IR12">
        <v>1175.322466519521</v>
      </c>
      <c r="IS12">
        <v>3878.218830763285</v>
      </c>
      <c r="IT12">
        <v>672.30651431601211</v>
      </c>
      <c r="IU12">
        <v>2942.177081784665</v>
      </c>
      <c r="IV12">
        <v>997.79809313547719</v>
      </c>
      <c r="IW12">
        <v>3057.492396239742</v>
      </c>
      <c r="IX12">
        <v>339.62652259315041</v>
      </c>
      <c r="IY12">
        <v>3121.7269871908538</v>
      </c>
      <c r="IZ12">
        <v>1272.3913759234081</v>
      </c>
      <c r="JA12">
        <v>3219.1572302988752</v>
      </c>
      <c r="JB12">
        <v>316.78371652299069</v>
      </c>
      <c r="JC12">
        <v>4780.3262829173964</v>
      </c>
      <c r="JD12">
        <v>1118.445742127429</v>
      </c>
      <c r="JG12">
        <v>2159.0954523858172</v>
      </c>
      <c r="JH12">
        <v>433.95986287819437</v>
      </c>
      <c r="JM12">
        <v>4186.9919999449157</v>
      </c>
      <c r="JN12">
        <v>1943.5031899449</v>
      </c>
      <c r="JO12">
        <v>3357.9457017290379</v>
      </c>
      <c r="JP12">
        <v>1668.232065584594</v>
      </c>
      <c r="JU12">
        <v>1253.176525495383</v>
      </c>
      <c r="JV12">
        <v>419.73862331127037</v>
      </c>
      <c r="JW12">
        <v>1174.035676282562</v>
      </c>
      <c r="JX12">
        <v>491.11542791641762</v>
      </c>
      <c r="KE12">
        <v>2575.5381108431998</v>
      </c>
      <c r="KF12">
        <v>479.24122302110032</v>
      </c>
      <c r="KM12">
        <v>3551.8409429019512</v>
      </c>
      <c r="KN12">
        <v>753.41280933834037</v>
      </c>
      <c r="KU12">
        <v>1353.5580198455259</v>
      </c>
      <c r="KV12">
        <v>0.68851057355719858</v>
      </c>
      <c r="KY12">
        <v>1541.091075198467</v>
      </c>
      <c r="KZ12">
        <v>0.43138223758358363</v>
      </c>
      <c r="LA12">
        <v>1877.2491555205861</v>
      </c>
      <c r="LB12">
        <v>417.4916292043406</v>
      </c>
      <c r="LC12">
        <v>1037.3721032919759</v>
      </c>
      <c r="LD12">
        <v>505.52617166106518</v>
      </c>
      <c r="LK12">
        <v>419.76255714316972</v>
      </c>
      <c r="LL12">
        <v>0.71566171810765677</v>
      </c>
      <c r="LS12">
        <v>1867.0160337936061</v>
      </c>
      <c r="LT12">
        <v>478.76053013507652</v>
      </c>
      <c r="ME12">
        <v>1717.4740700424741</v>
      </c>
      <c r="MF12">
        <v>281.79047738185841</v>
      </c>
      <c r="MI12">
        <v>422.6088328668493</v>
      </c>
      <c r="MJ12">
        <v>295.82927841938368</v>
      </c>
      <c r="MQ12">
        <v>1673.7257177285351</v>
      </c>
      <c r="MR12">
        <v>459.98568761426083</v>
      </c>
      <c r="MW12">
        <v>850</v>
      </c>
      <c r="MX12">
        <v>11.17164861327897</v>
      </c>
      <c r="NE12">
        <v>3300</v>
      </c>
      <c r="NF12">
        <v>1250</v>
      </c>
      <c r="NM12">
        <v>3678.5714285714289</v>
      </c>
      <c r="NN12">
        <v>13.14655072772617</v>
      </c>
      <c r="NU12">
        <v>900</v>
      </c>
      <c r="NV12">
        <v>0.73</v>
      </c>
      <c r="NW12">
        <v>700</v>
      </c>
      <c r="NX12">
        <v>0.88</v>
      </c>
      <c r="OA12">
        <v>500</v>
      </c>
      <c r="OB12">
        <v>0.35</v>
      </c>
    </row>
    <row r="13" spans="1:400" x14ac:dyDescent="0.3">
      <c r="G13">
        <v>3000</v>
      </c>
      <c r="H13">
        <v>0.45</v>
      </c>
      <c r="O13">
        <v>5414.0625</v>
      </c>
      <c r="P13">
        <v>24.410557260938329</v>
      </c>
      <c r="S13">
        <v>2000</v>
      </c>
      <c r="T13">
        <v>0.75</v>
      </c>
      <c r="Y13">
        <v>690.90909090909099</v>
      </c>
      <c r="Z13">
        <v>403</v>
      </c>
      <c r="AA13">
        <v>545.4545454545455</v>
      </c>
      <c r="AB13">
        <v>466</v>
      </c>
      <c r="AE13">
        <v>2000</v>
      </c>
      <c r="AF13">
        <v>380</v>
      </c>
      <c r="AI13">
        <v>0.8</v>
      </c>
      <c r="AJ13">
        <v>0.71249999999999991</v>
      </c>
      <c r="AM13">
        <v>0.8</v>
      </c>
      <c r="AN13">
        <v>0.85</v>
      </c>
      <c r="AQ13">
        <v>0.95</v>
      </c>
      <c r="AR13">
        <v>0.4</v>
      </c>
      <c r="AU13">
        <v>0.95</v>
      </c>
      <c r="AV13">
        <v>0.8</v>
      </c>
      <c r="AW13">
        <v>1745.454545454545</v>
      </c>
      <c r="AX13">
        <v>0.5</v>
      </c>
      <c r="AY13">
        <v>1418.181818181818</v>
      </c>
      <c r="AZ13">
        <v>0.5</v>
      </c>
      <c r="BG13">
        <v>497</v>
      </c>
      <c r="BH13">
        <v>0.95</v>
      </c>
      <c r="BM13">
        <v>600</v>
      </c>
      <c r="BN13">
        <v>283.14999999999998</v>
      </c>
      <c r="BO13">
        <v>225</v>
      </c>
      <c r="BP13">
        <v>278.14999999999998</v>
      </c>
      <c r="BU13">
        <v>1050</v>
      </c>
      <c r="BV13">
        <v>283.14999999999998</v>
      </c>
      <c r="BW13">
        <v>600</v>
      </c>
      <c r="BX13">
        <v>293.14999999999998</v>
      </c>
      <c r="CC13">
        <v>1050</v>
      </c>
      <c r="CD13">
        <v>288.14999999999998</v>
      </c>
      <c r="CE13">
        <v>600</v>
      </c>
      <c r="CF13">
        <v>288.14999999999998</v>
      </c>
      <c r="CQ13">
        <v>150</v>
      </c>
      <c r="CR13">
        <v>283.14999999999998</v>
      </c>
      <c r="DA13">
        <v>2017.4898535705829</v>
      </c>
      <c r="DB13">
        <v>1032.6542947214091</v>
      </c>
      <c r="DC13">
        <v>4360.0740089428709</v>
      </c>
      <c r="DD13">
        <v>1363.5481735925921</v>
      </c>
      <c r="DE13">
        <v>2718.1615875074322</v>
      </c>
      <c r="DF13">
        <v>342.69578050168758</v>
      </c>
      <c r="DG13">
        <v>3791.1020076979848</v>
      </c>
      <c r="DH13">
        <v>534.84921037824859</v>
      </c>
      <c r="DI13">
        <v>3249.398768663742</v>
      </c>
      <c r="DJ13">
        <v>2388.2257836633289</v>
      </c>
      <c r="DK13">
        <v>3603.1482318366061</v>
      </c>
      <c r="DL13">
        <v>1554.4103131313909</v>
      </c>
      <c r="DO13">
        <v>4417.8626889536627</v>
      </c>
      <c r="DP13">
        <v>2364.1816914643769</v>
      </c>
      <c r="DS13">
        <v>4755.8144696435311</v>
      </c>
      <c r="DT13">
        <v>608.87070010766729</v>
      </c>
      <c r="DU13">
        <v>4131.499397817609</v>
      </c>
      <c r="DV13">
        <v>1523.7656013583189</v>
      </c>
      <c r="DW13">
        <v>2135.608310660421</v>
      </c>
      <c r="DX13">
        <v>1348.7364938803289</v>
      </c>
      <c r="EA13">
        <v>432.95427781061568</v>
      </c>
      <c r="EB13">
        <v>0.52028350625815523</v>
      </c>
      <c r="EC13">
        <v>523.98198563738583</v>
      </c>
      <c r="ED13">
        <v>0.80283037831474724</v>
      </c>
      <c r="EE13">
        <v>554.81087254867703</v>
      </c>
      <c r="EF13">
        <v>0.75246550741634488</v>
      </c>
      <c r="EI13">
        <v>622.40103948422188</v>
      </c>
      <c r="EJ13">
        <v>0.64191502600409389</v>
      </c>
      <c r="EK13">
        <v>511.65306483909569</v>
      </c>
      <c r="EL13">
        <v>0.54232930227896936</v>
      </c>
      <c r="EM13">
        <v>603.55879562576399</v>
      </c>
      <c r="EN13">
        <v>0.70725191270963805</v>
      </c>
      <c r="EQ13">
        <v>640.69837807788326</v>
      </c>
      <c r="ER13">
        <v>0.58470035172169965</v>
      </c>
      <c r="ES13">
        <v>580.17882946253792</v>
      </c>
      <c r="ET13">
        <v>0.70344384832675133</v>
      </c>
      <c r="EU13">
        <v>1838.875486340434</v>
      </c>
      <c r="EV13">
        <v>0.67616765454052241</v>
      </c>
      <c r="EY13">
        <v>2448.353776692386</v>
      </c>
      <c r="EZ13">
        <v>1180.8985655398919</v>
      </c>
      <c r="FA13">
        <v>2469.131631958141</v>
      </c>
      <c r="FB13">
        <v>206.1261602277809</v>
      </c>
      <c r="FC13">
        <v>4277.6389093380303</v>
      </c>
      <c r="FD13">
        <v>1607.875625516594</v>
      </c>
      <c r="FE13">
        <v>395</v>
      </c>
      <c r="FF13">
        <v>0.875</v>
      </c>
      <c r="FG13">
        <v>395</v>
      </c>
      <c r="FH13">
        <v>0.875</v>
      </c>
      <c r="FI13">
        <v>387.5</v>
      </c>
      <c r="FJ13">
        <v>0.875</v>
      </c>
      <c r="FK13">
        <v>385</v>
      </c>
      <c r="FL13">
        <v>0.85</v>
      </c>
      <c r="FM13">
        <v>3481.8230245237678</v>
      </c>
      <c r="FN13">
        <v>808.34025773909616</v>
      </c>
      <c r="FO13">
        <v>4081.8230245237678</v>
      </c>
      <c r="FP13">
        <v>808.34025773909616</v>
      </c>
      <c r="FU13">
        <v>3300</v>
      </c>
      <c r="FV13">
        <v>393.75</v>
      </c>
      <c r="FW13">
        <v>2700</v>
      </c>
      <c r="FX13">
        <v>393.75</v>
      </c>
      <c r="GC13">
        <v>3905.950043184831</v>
      </c>
      <c r="GD13">
        <v>1359.5567020080759</v>
      </c>
      <c r="GE13">
        <v>4805.950043184831</v>
      </c>
      <c r="GF13">
        <v>1359.5567020080759</v>
      </c>
      <c r="GK13">
        <v>403</v>
      </c>
      <c r="GL13">
        <v>0.5</v>
      </c>
      <c r="GM13">
        <v>415</v>
      </c>
      <c r="GN13">
        <v>0.5</v>
      </c>
      <c r="GS13">
        <v>4808.3419580395002</v>
      </c>
      <c r="GT13">
        <v>1242.2743898072649</v>
      </c>
      <c r="GU13">
        <v>4808.3419580395002</v>
      </c>
      <c r="GV13">
        <v>1022.274389807265</v>
      </c>
      <c r="HA13">
        <v>3000</v>
      </c>
      <c r="HB13">
        <v>1318.1818181819999</v>
      </c>
      <c r="HK13">
        <v>4249.3525202453347</v>
      </c>
      <c r="HL13">
        <v>791.57067278828367</v>
      </c>
      <c r="HO13">
        <v>4025.2375384594802</v>
      </c>
      <c r="HP13">
        <v>482.36889183814822</v>
      </c>
      <c r="HQ13">
        <v>4525.3301599913793</v>
      </c>
      <c r="HR13">
        <v>1172.6230082697521</v>
      </c>
      <c r="HS13">
        <v>3929.246794813761</v>
      </c>
      <c r="HT13">
        <v>449.77587608069462</v>
      </c>
      <c r="HY13">
        <v>1827.0032184370721</v>
      </c>
      <c r="HZ13">
        <v>466.0846911558333</v>
      </c>
      <c r="IA13">
        <v>1512.759760634953</v>
      </c>
      <c r="IB13">
        <v>476.93584115412352</v>
      </c>
      <c r="IC13">
        <v>930.36166443203194</v>
      </c>
      <c r="ID13">
        <v>419.09088162681121</v>
      </c>
      <c r="IE13">
        <v>1051.8216513618461</v>
      </c>
      <c r="IF13">
        <v>454.87165554803357</v>
      </c>
      <c r="II13">
        <v>2617.423527942186</v>
      </c>
      <c r="IJ13">
        <v>490.48818645162771</v>
      </c>
      <c r="IK13">
        <v>2128.9534653600649</v>
      </c>
      <c r="IL13">
        <v>432.2083811568599</v>
      </c>
      <c r="IM13">
        <v>4064.4430786715802</v>
      </c>
      <c r="IN13">
        <v>459.62042713617211</v>
      </c>
      <c r="IO13">
        <v>4472.8333899668778</v>
      </c>
      <c r="IP13">
        <v>1645.30079558632</v>
      </c>
      <c r="IQ13">
        <v>3896.677264534047</v>
      </c>
      <c r="IR13">
        <v>1238.918362388021</v>
      </c>
      <c r="IS13">
        <v>4650.5450321084954</v>
      </c>
      <c r="IT13">
        <v>1537.7336210072569</v>
      </c>
      <c r="IU13">
        <v>4045.936587590028</v>
      </c>
      <c r="IV13">
        <v>1062.208580356526</v>
      </c>
      <c r="IW13">
        <v>3484.970563642958</v>
      </c>
      <c r="IX13">
        <v>1360.982945596113</v>
      </c>
      <c r="IY13">
        <v>3552.9288600994469</v>
      </c>
      <c r="IZ13">
        <v>844.65241346949267</v>
      </c>
      <c r="JA13">
        <v>4572.4700873944294</v>
      </c>
      <c r="JB13">
        <v>1980.447283758768</v>
      </c>
      <c r="JC13">
        <v>4977.2502968546742</v>
      </c>
      <c r="JD13">
        <v>1318.1175094490841</v>
      </c>
      <c r="JG13">
        <v>4487.133998989706</v>
      </c>
      <c r="JH13">
        <v>340.40303697573518</v>
      </c>
      <c r="JO13">
        <v>4359.4729062028791</v>
      </c>
      <c r="JP13">
        <v>365.6025233828052</v>
      </c>
      <c r="JW13">
        <v>870.12085765052177</v>
      </c>
      <c r="JX13">
        <v>447.34968494704441</v>
      </c>
      <c r="KE13">
        <v>4161.037717792</v>
      </c>
      <c r="KF13">
        <v>427.1330725866992</v>
      </c>
      <c r="KM13">
        <v>3435.1915416260272</v>
      </c>
      <c r="KN13">
        <v>365.9291792650892</v>
      </c>
      <c r="KU13">
        <v>794.73288027543083</v>
      </c>
      <c r="KV13">
        <v>0.618385253579259</v>
      </c>
      <c r="LA13">
        <v>1168.972064652047</v>
      </c>
      <c r="LB13">
        <v>449.84685856317782</v>
      </c>
      <c r="LC13">
        <v>1708.643273353171</v>
      </c>
      <c r="LD13">
        <v>481.64446539617461</v>
      </c>
      <c r="LK13">
        <v>409.15810245881801</v>
      </c>
      <c r="LL13">
        <v>0.50516454418810885</v>
      </c>
      <c r="LS13">
        <v>786.89182309455055</v>
      </c>
      <c r="LT13">
        <v>511.78266638654583</v>
      </c>
      <c r="ME13">
        <v>1852.805994094304</v>
      </c>
      <c r="MF13">
        <v>298.42096223958282</v>
      </c>
      <c r="MI13">
        <v>486.4233726973992</v>
      </c>
      <c r="MJ13">
        <v>296.54575667677631</v>
      </c>
      <c r="MQ13">
        <v>1541.7851087582919</v>
      </c>
      <c r="MR13">
        <v>511.7636181699425</v>
      </c>
      <c r="MW13">
        <v>850</v>
      </c>
      <c r="MX13">
        <v>11.17164861327897</v>
      </c>
      <c r="NE13">
        <v>3300</v>
      </c>
      <c r="NF13">
        <v>1250</v>
      </c>
      <c r="NM13">
        <v>3571.428571428572</v>
      </c>
      <c r="NN13">
        <v>13.10002265725447</v>
      </c>
      <c r="NU13">
        <v>600</v>
      </c>
      <c r="NV13">
        <v>0.73</v>
      </c>
      <c r="NW13">
        <v>500</v>
      </c>
      <c r="NX13">
        <v>0.88</v>
      </c>
      <c r="OA13">
        <v>700</v>
      </c>
      <c r="OB13">
        <v>0.35</v>
      </c>
    </row>
    <row r="14" spans="1:400" x14ac:dyDescent="0.3">
      <c r="G14">
        <v>3000</v>
      </c>
      <c r="H14">
        <v>0.5</v>
      </c>
      <c r="O14">
        <v>9617.1875</v>
      </c>
      <c r="P14">
        <v>22.39113791258745</v>
      </c>
      <c r="S14">
        <v>400</v>
      </c>
      <c r="T14">
        <v>0.78</v>
      </c>
      <c r="Y14">
        <v>836.36363636363637</v>
      </c>
      <c r="Z14">
        <v>403</v>
      </c>
      <c r="AA14">
        <v>690.90909090909099</v>
      </c>
      <c r="AB14">
        <v>466</v>
      </c>
      <c r="AE14">
        <v>1854.545454545455</v>
      </c>
      <c r="AF14">
        <v>434</v>
      </c>
      <c r="AI14">
        <v>0.8</v>
      </c>
      <c r="AJ14">
        <v>0.66250000000000009</v>
      </c>
      <c r="AM14">
        <v>0.8</v>
      </c>
      <c r="AN14">
        <v>0.85</v>
      </c>
      <c r="AQ14">
        <v>0.45</v>
      </c>
      <c r="AR14">
        <v>0.5</v>
      </c>
      <c r="AW14">
        <v>1745.454545454545</v>
      </c>
      <c r="AX14">
        <v>0.5</v>
      </c>
      <c r="AY14">
        <v>1272.727272727273</v>
      </c>
      <c r="AZ14">
        <v>0.5</v>
      </c>
      <c r="BG14">
        <v>529</v>
      </c>
      <c r="BH14">
        <v>0.85</v>
      </c>
      <c r="BM14">
        <v>900</v>
      </c>
      <c r="BN14">
        <v>283.14999999999998</v>
      </c>
      <c r="BO14">
        <v>375</v>
      </c>
      <c r="BP14">
        <v>288.14999999999998</v>
      </c>
      <c r="BU14">
        <v>1200</v>
      </c>
      <c r="BV14">
        <v>283.14999999999998</v>
      </c>
      <c r="BW14">
        <v>450</v>
      </c>
      <c r="BX14">
        <v>300.032917</v>
      </c>
      <c r="CC14">
        <v>1200</v>
      </c>
      <c r="CD14">
        <v>288.14999999999998</v>
      </c>
      <c r="CE14">
        <v>750</v>
      </c>
      <c r="CF14">
        <v>288.14999999999998</v>
      </c>
      <c r="CQ14">
        <v>450</v>
      </c>
      <c r="CR14">
        <v>283.14999999999998</v>
      </c>
      <c r="DA14">
        <v>3704.873890662413</v>
      </c>
      <c r="DB14">
        <v>920.14145857205085</v>
      </c>
      <c r="DC14">
        <v>2419.5677954772191</v>
      </c>
      <c r="DD14">
        <v>376.82839650482282</v>
      </c>
      <c r="DE14">
        <v>4578.1609320619227</v>
      </c>
      <c r="DF14">
        <v>1366.330640150393</v>
      </c>
      <c r="DG14">
        <v>3094.0818694726422</v>
      </c>
      <c r="DH14">
        <v>1098.026134950806</v>
      </c>
      <c r="DI14">
        <v>4304.6515757148254</v>
      </c>
      <c r="DJ14">
        <v>1828.3869778256301</v>
      </c>
      <c r="DK14">
        <v>4044.6302743125748</v>
      </c>
      <c r="DL14">
        <v>1665.8999644388491</v>
      </c>
      <c r="DO14">
        <v>4140.2450177755691</v>
      </c>
      <c r="DP14">
        <v>1838.423774081167</v>
      </c>
      <c r="DS14">
        <v>3666.4066377897238</v>
      </c>
      <c r="DT14">
        <v>1028.4055409520649</v>
      </c>
      <c r="DU14">
        <v>4933.0203256811355</v>
      </c>
      <c r="DV14">
        <v>1753.3988631352399</v>
      </c>
      <c r="DW14">
        <v>4215.0666718714647</v>
      </c>
      <c r="DX14">
        <v>1569.905076069427</v>
      </c>
      <c r="EA14">
        <v>435.4917432016901</v>
      </c>
      <c r="EB14">
        <v>0.55481359334396851</v>
      </c>
      <c r="EC14">
        <v>394.83401234756047</v>
      </c>
      <c r="ED14">
        <v>0.83351907138803361</v>
      </c>
      <c r="EE14">
        <v>531.98714895608066</v>
      </c>
      <c r="EF14">
        <v>0.60233470320388782</v>
      </c>
      <c r="EI14">
        <v>457.22165774429737</v>
      </c>
      <c r="EJ14">
        <v>0.51712614583759731</v>
      </c>
      <c r="EK14">
        <v>408.91862767774683</v>
      </c>
      <c r="EL14">
        <v>0.84668273573527708</v>
      </c>
      <c r="EM14">
        <v>598.28449969767144</v>
      </c>
      <c r="EN14">
        <v>0.6473094900047327</v>
      </c>
      <c r="EQ14">
        <v>1632.870834697738</v>
      </c>
      <c r="ER14">
        <v>0.81434107163125402</v>
      </c>
      <c r="ES14">
        <v>812.50089306288385</v>
      </c>
      <c r="ET14">
        <v>0.57689010937210961</v>
      </c>
      <c r="EU14">
        <v>393.84924973180711</v>
      </c>
      <c r="EV14">
        <v>0.6531644423108921</v>
      </c>
      <c r="EY14">
        <v>4726.1064346450858</v>
      </c>
      <c r="EZ14">
        <v>308.33872276456037</v>
      </c>
      <c r="FA14">
        <v>3175.4446032415431</v>
      </c>
      <c r="FB14">
        <v>1831.3106001856779</v>
      </c>
      <c r="FC14">
        <v>3266.690846925424</v>
      </c>
      <c r="FD14">
        <v>1873.2646297852079</v>
      </c>
      <c r="FE14">
        <v>397.5</v>
      </c>
      <c r="FF14">
        <v>0.875</v>
      </c>
      <c r="FG14">
        <v>397.5</v>
      </c>
      <c r="FH14">
        <v>0.875</v>
      </c>
      <c r="FI14">
        <v>387.5</v>
      </c>
      <c r="FJ14">
        <v>0.9</v>
      </c>
      <c r="FK14">
        <v>385</v>
      </c>
      <c r="FL14">
        <v>0.875</v>
      </c>
      <c r="FM14">
        <v>3481.8230245237678</v>
      </c>
      <c r="FN14">
        <v>808.34025773909616</v>
      </c>
      <c r="FO14">
        <v>4081.8230245237678</v>
      </c>
      <c r="FP14">
        <v>808.34025773909616</v>
      </c>
      <c r="FU14">
        <v>3000</v>
      </c>
      <c r="FV14">
        <v>613.75</v>
      </c>
      <c r="FW14">
        <v>3000</v>
      </c>
      <c r="FX14">
        <v>300</v>
      </c>
      <c r="GC14">
        <v>3905.950043184831</v>
      </c>
      <c r="GD14">
        <v>1359.5567020080759</v>
      </c>
      <c r="GE14">
        <v>5000</v>
      </c>
      <c r="GF14">
        <v>1139.5567020080771</v>
      </c>
      <c r="GK14">
        <v>403</v>
      </c>
      <c r="GL14">
        <v>0.5</v>
      </c>
      <c r="GM14">
        <v>415</v>
      </c>
      <c r="GN14">
        <v>0.5</v>
      </c>
      <c r="GS14">
        <v>4808.3419580395002</v>
      </c>
      <c r="GT14">
        <v>1242.2743898072649</v>
      </c>
      <c r="GU14">
        <v>5000</v>
      </c>
      <c r="GV14">
        <v>1022.274389807265</v>
      </c>
      <c r="HA14">
        <v>3000</v>
      </c>
      <c r="HB14">
        <v>400</v>
      </c>
      <c r="HK14">
        <v>2192.9544056034752</v>
      </c>
      <c r="HL14">
        <v>843.53114145607015</v>
      </c>
      <c r="HO14">
        <v>3450.6127258391248</v>
      </c>
      <c r="HP14">
        <v>523.40485983025815</v>
      </c>
      <c r="HQ14">
        <v>4133.2582088883764</v>
      </c>
      <c r="HR14">
        <v>1776.0480171169529</v>
      </c>
      <c r="HS14">
        <v>2664.8525314194731</v>
      </c>
      <c r="HT14">
        <v>576.21618501103876</v>
      </c>
      <c r="HY14">
        <v>808.66706413004715</v>
      </c>
      <c r="HZ14">
        <v>451.89931682347287</v>
      </c>
      <c r="IA14">
        <v>619.3500639882202</v>
      </c>
      <c r="IB14">
        <v>434.3082040064433</v>
      </c>
      <c r="IC14">
        <v>1570.295423895149</v>
      </c>
      <c r="ID14">
        <v>437.97998304417888</v>
      </c>
      <c r="II14">
        <v>2194.537317821811</v>
      </c>
      <c r="IJ14">
        <v>496.80100190048182</v>
      </c>
      <c r="IK14">
        <v>4513.1413605808284</v>
      </c>
      <c r="IL14">
        <v>406.05819369533077</v>
      </c>
      <c r="IM14">
        <v>4125.8721004761264</v>
      </c>
      <c r="IN14">
        <v>416.62958650403721</v>
      </c>
      <c r="IO14">
        <v>2603.3927790537318</v>
      </c>
      <c r="IP14">
        <v>1732.970468452583</v>
      </c>
      <c r="IQ14">
        <v>4710.1332259643004</v>
      </c>
      <c r="IR14">
        <v>1096.1700841943671</v>
      </c>
      <c r="IS14">
        <v>2743.6778217183969</v>
      </c>
      <c r="IT14">
        <v>486.33626871447228</v>
      </c>
      <c r="IW14">
        <v>2210.3052831195591</v>
      </c>
      <c r="IX14">
        <v>1575.470974502311</v>
      </c>
      <c r="IY14">
        <v>3796.653703349325</v>
      </c>
      <c r="IZ14">
        <v>789.91938786553249</v>
      </c>
      <c r="JA14">
        <v>2136.7998107983749</v>
      </c>
      <c r="JB14">
        <v>1097.232491544368</v>
      </c>
      <c r="JC14">
        <v>4467.2112656417466</v>
      </c>
      <c r="JD14">
        <v>1178.8603755093491</v>
      </c>
      <c r="JG14">
        <v>4601.4397844003834</v>
      </c>
      <c r="JH14">
        <v>1122.1760505548471</v>
      </c>
      <c r="JO14">
        <v>2688.599849030285</v>
      </c>
      <c r="JP14">
        <v>1227.7110090909</v>
      </c>
      <c r="JW14">
        <v>1098.7192308645101</v>
      </c>
      <c r="JX14">
        <v>495.04206253369222</v>
      </c>
      <c r="KE14">
        <v>2447.9158398751838</v>
      </c>
      <c r="KF14">
        <v>513.13670136484768</v>
      </c>
      <c r="KU14">
        <v>1737.2900887103219</v>
      </c>
      <c r="KV14">
        <v>0.65434494801604148</v>
      </c>
      <c r="LA14">
        <v>518.21453144503437</v>
      </c>
      <c r="LB14">
        <v>397.22297950358592</v>
      </c>
      <c r="LC14">
        <v>927.7683686426742</v>
      </c>
      <c r="LD14">
        <v>512.83757412120463</v>
      </c>
      <c r="LK14">
        <v>430.6376396131223</v>
      </c>
      <c r="LL14">
        <v>0.64429036401987394</v>
      </c>
      <c r="LS14">
        <v>858.96731601190663</v>
      </c>
      <c r="LT14">
        <v>466.82057107170112</v>
      </c>
      <c r="ME14">
        <v>1208.48029957731</v>
      </c>
      <c r="MF14">
        <v>279.52755080988447</v>
      </c>
      <c r="MI14">
        <v>476.29188694560878</v>
      </c>
      <c r="MJ14">
        <v>289.413242244652</v>
      </c>
      <c r="MQ14">
        <v>717.23524261074022</v>
      </c>
      <c r="MR14">
        <v>433.55682824271292</v>
      </c>
      <c r="MW14">
        <v>900</v>
      </c>
      <c r="MX14">
        <v>10.73610439817951</v>
      </c>
      <c r="NE14">
        <v>3300</v>
      </c>
      <c r="NF14">
        <v>1200</v>
      </c>
      <c r="NU14">
        <v>1000</v>
      </c>
      <c r="NV14">
        <v>0.73</v>
      </c>
      <c r="NW14">
        <v>500</v>
      </c>
      <c r="NX14">
        <v>0.91</v>
      </c>
      <c r="OA14">
        <v>600</v>
      </c>
      <c r="OB14">
        <v>0.4</v>
      </c>
    </row>
    <row r="15" spans="1:400" x14ac:dyDescent="0.3">
      <c r="G15">
        <v>3000</v>
      </c>
      <c r="H15">
        <v>0.55000000000000004</v>
      </c>
      <c r="S15">
        <v>545.4545454545455</v>
      </c>
      <c r="T15">
        <v>0.78</v>
      </c>
      <c r="Y15">
        <v>981.81818181818198</v>
      </c>
      <c r="Z15">
        <v>403</v>
      </c>
      <c r="AA15">
        <v>836.36363636363637</v>
      </c>
      <c r="AB15">
        <v>466</v>
      </c>
      <c r="AE15">
        <v>2000</v>
      </c>
      <c r="AF15">
        <v>434</v>
      </c>
      <c r="AI15">
        <v>0.8</v>
      </c>
      <c r="AJ15">
        <v>0.51249999999999996</v>
      </c>
      <c r="AM15">
        <v>0.8</v>
      </c>
      <c r="AN15">
        <v>0.85</v>
      </c>
      <c r="AQ15">
        <v>0.5</v>
      </c>
      <c r="AR15">
        <v>0.5</v>
      </c>
      <c r="AW15">
        <v>1327.272727272727</v>
      </c>
      <c r="AX15">
        <v>0.4</v>
      </c>
      <c r="AY15">
        <v>1563.636363636364</v>
      </c>
      <c r="AZ15">
        <v>0.5</v>
      </c>
      <c r="BG15">
        <v>529</v>
      </c>
      <c r="BH15">
        <v>0.95</v>
      </c>
      <c r="BM15">
        <v>1050</v>
      </c>
      <c r="BN15">
        <v>283.14999999999998</v>
      </c>
      <c r="BO15">
        <v>525</v>
      </c>
      <c r="BP15">
        <v>300.032917</v>
      </c>
      <c r="BU15">
        <v>1350</v>
      </c>
      <c r="BV15">
        <v>283.14999999999998</v>
      </c>
      <c r="BW15">
        <v>300</v>
      </c>
      <c r="BX15">
        <v>300.032917</v>
      </c>
      <c r="CC15">
        <v>1350</v>
      </c>
      <c r="CD15">
        <v>288.14999999999998</v>
      </c>
      <c r="CE15">
        <v>900</v>
      </c>
      <c r="CF15">
        <v>288.14999999999998</v>
      </c>
      <c r="CQ15">
        <v>600</v>
      </c>
      <c r="CR15">
        <v>283.14999999999998</v>
      </c>
      <c r="DA15">
        <v>3850.0014830623049</v>
      </c>
      <c r="DB15">
        <v>1479.809375298441</v>
      </c>
      <c r="DC15">
        <v>4185.1408442010761</v>
      </c>
      <c r="DD15">
        <v>425.15595113974661</v>
      </c>
      <c r="DE15">
        <v>2697.1902563420481</v>
      </c>
      <c r="DF15">
        <v>335.24030954492889</v>
      </c>
      <c r="DG15">
        <v>4698.781225353001</v>
      </c>
      <c r="DH15">
        <v>826.73492297940311</v>
      </c>
      <c r="DI15">
        <v>2990.7113696382812</v>
      </c>
      <c r="DJ15">
        <v>1641.698527584877</v>
      </c>
      <c r="DK15">
        <v>2315.6882238405728</v>
      </c>
      <c r="DL15">
        <v>1563.936972237929</v>
      </c>
      <c r="DO15">
        <v>2522.3795691324699</v>
      </c>
      <c r="DP15">
        <v>1998.435127826524</v>
      </c>
      <c r="DS15">
        <v>3323.3369754558812</v>
      </c>
      <c r="DT15">
        <v>1307.691395215046</v>
      </c>
      <c r="DU15">
        <v>3706.4376180252571</v>
      </c>
      <c r="DV15">
        <v>202.1395101625765</v>
      </c>
      <c r="DW15">
        <v>2448.346429314513</v>
      </c>
      <c r="DX15">
        <v>331.10254336888289</v>
      </c>
      <c r="EA15">
        <v>526.02816518554141</v>
      </c>
      <c r="EB15">
        <v>0.71364646051864267</v>
      </c>
      <c r="EC15">
        <v>393.43663022883732</v>
      </c>
      <c r="ED15">
        <v>0.71986183848113061</v>
      </c>
      <c r="EE15">
        <v>618.85711179238001</v>
      </c>
      <c r="EF15">
        <v>0.52237502425346172</v>
      </c>
      <c r="EI15">
        <v>446.66109907770158</v>
      </c>
      <c r="EJ15">
        <v>0.71788815309833365</v>
      </c>
      <c r="EK15">
        <v>388.44108627587519</v>
      </c>
      <c r="EL15">
        <v>0.65114922626772564</v>
      </c>
      <c r="EM15">
        <v>619.53162227354744</v>
      </c>
      <c r="EN15">
        <v>0.84931577333408281</v>
      </c>
      <c r="EQ15">
        <v>1371.6732234206081</v>
      </c>
      <c r="ER15">
        <v>0.60257171626829886</v>
      </c>
      <c r="ES15">
        <v>1187.2513241313629</v>
      </c>
      <c r="ET15">
        <v>0.55122079058546469</v>
      </c>
      <c r="EU15">
        <v>784.40588109479859</v>
      </c>
      <c r="EV15">
        <v>0.79526251811667048</v>
      </c>
      <c r="EY15">
        <v>2241.170492303871</v>
      </c>
      <c r="EZ15">
        <v>1936.380869402984</v>
      </c>
      <c r="FA15">
        <v>4901.7469279369907</v>
      </c>
      <c r="FB15">
        <v>960.87012586224159</v>
      </c>
      <c r="FC15">
        <v>4349.5613789632089</v>
      </c>
      <c r="FD15">
        <v>511.99763645994261</v>
      </c>
      <c r="FE15">
        <v>405</v>
      </c>
      <c r="FF15">
        <v>0.875</v>
      </c>
      <c r="FG15">
        <v>400</v>
      </c>
      <c r="FH15">
        <v>0.875</v>
      </c>
      <c r="FI15">
        <v>387.5</v>
      </c>
      <c r="FJ15">
        <v>0.92500000000000004</v>
      </c>
      <c r="FK15">
        <v>385</v>
      </c>
      <c r="FL15">
        <v>0.9</v>
      </c>
      <c r="FM15">
        <v>3481.8230245237678</v>
      </c>
      <c r="FN15">
        <v>808.34025773909616</v>
      </c>
      <c r="FO15">
        <v>4381.8230245237683</v>
      </c>
      <c r="FP15">
        <v>588.34025773909616</v>
      </c>
      <c r="FU15">
        <v>3000</v>
      </c>
      <c r="FV15">
        <v>393.75</v>
      </c>
      <c r="FW15">
        <v>3000</v>
      </c>
      <c r="FX15">
        <v>393.75</v>
      </c>
      <c r="GC15">
        <v>3905.950043184831</v>
      </c>
      <c r="GD15">
        <v>1359.5567020080759</v>
      </c>
      <c r="GE15">
        <v>5000</v>
      </c>
      <c r="GF15">
        <v>1359.5567020080759</v>
      </c>
      <c r="GK15">
        <v>403</v>
      </c>
      <c r="GL15">
        <v>0.5</v>
      </c>
      <c r="GM15">
        <v>427</v>
      </c>
      <c r="GN15">
        <v>0.5</v>
      </c>
      <c r="GS15">
        <v>4808.3419580395002</v>
      </c>
      <c r="GT15">
        <v>1242.2743898072649</v>
      </c>
      <c r="GU15">
        <v>4808.3419580395002</v>
      </c>
      <c r="GV15">
        <v>802.27438980726458</v>
      </c>
      <c r="HA15">
        <v>3000</v>
      </c>
      <c r="HB15">
        <v>400</v>
      </c>
      <c r="HK15">
        <v>4163.8993885355467</v>
      </c>
      <c r="HL15">
        <v>1017.136905360568</v>
      </c>
      <c r="HO15">
        <v>3481.0463926763082</v>
      </c>
      <c r="HP15">
        <v>1342.5891173844391</v>
      </c>
      <c r="HS15">
        <v>2926.3331757871838</v>
      </c>
      <c r="HT15">
        <v>1359.493828179777</v>
      </c>
      <c r="HY15">
        <v>1604.7406616417661</v>
      </c>
      <c r="HZ15">
        <v>435.68651773155801</v>
      </c>
      <c r="IA15">
        <v>443.07367968021703</v>
      </c>
      <c r="IB15">
        <v>464.68069154939769</v>
      </c>
      <c r="IC15">
        <v>530.22667853384974</v>
      </c>
      <c r="ID15">
        <v>383.2534360903644</v>
      </c>
      <c r="II15">
        <v>3059.6588756431352</v>
      </c>
      <c r="IJ15">
        <v>472.02333162229871</v>
      </c>
      <c r="IK15">
        <v>3270.0599746638982</v>
      </c>
      <c r="IL15">
        <v>428.66011403413597</v>
      </c>
      <c r="IM15">
        <v>4363.9750879096591</v>
      </c>
      <c r="IN15">
        <v>467.64027828945422</v>
      </c>
      <c r="IO15">
        <v>4510.9334238942611</v>
      </c>
      <c r="IP15">
        <v>1320.4128241549961</v>
      </c>
      <c r="IQ15">
        <v>4197.6637512938833</v>
      </c>
      <c r="IR15">
        <v>1820.4971808169621</v>
      </c>
      <c r="IS15">
        <v>4530.0517311149833</v>
      </c>
      <c r="IT15">
        <v>578.59365496750388</v>
      </c>
      <c r="IW15">
        <v>2993.6472360646721</v>
      </c>
      <c r="IX15">
        <v>1681.313631994919</v>
      </c>
      <c r="IY15">
        <v>2369.4116858598391</v>
      </c>
      <c r="IZ15">
        <v>770.7413509224242</v>
      </c>
      <c r="JA15">
        <v>2572.0210553066659</v>
      </c>
      <c r="JB15">
        <v>1914.507463321838</v>
      </c>
      <c r="JC15">
        <v>3289.2353382700821</v>
      </c>
      <c r="JD15">
        <v>1944.0714154484101</v>
      </c>
      <c r="JG15">
        <v>2398.923215660549</v>
      </c>
      <c r="JH15">
        <v>1428.0863322412031</v>
      </c>
      <c r="JO15">
        <v>3715.219719637771</v>
      </c>
      <c r="JP15">
        <v>330.14537414915611</v>
      </c>
      <c r="JW15">
        <v>978.64440860576485</v>
      </c>
      <c r="JX15">
        <v>405.47166839930378</v>
      </c>
      <c r="KE15">
        <v>3234.741308356678</v>
      </c>
      <c r="KF15">
        <v>414.60801970922051</v>
      </c>
      <c r="LC15">
        <v>1535.216717011496</v>
      </c>
      <c r="LD15">
        <v>516.65081982384424</v>
      </c>
      <c r="LK15">
        <v>515.81654445291599</v>
      </c>
      <c r="LL15">
        <v>0.74311625663851921</v>
      </c>
      <c r="LS15">
        <v>1930.0131144537991</v>
      </c>
      <c r="LT15">
        <v>505.36837363210088</v>
      </c>
      <c r="ME15">
        <v>1624.1212479461351</v>
      </c>
      <c r="MF15">
        <v>300.8267118048708</v>
      </c>
      <c r="MI15">
        <v>421.85824980293057</v>
      </c>
      <c r="MJ15">
        <v>300.31223535120063</v>
      </c>
      <c r="MQ15">
        <v>1858.0403924617519</v>
      </c>
      <c r="MR15">
        <v>516.04285391295889</v>
      </c>
      <c r="MW15">
        <v>900</v>
      </c>
      <c r="MX15">
        <v>10.73610439817951</v>
      </c>
      <c r="NE15">
        <v>3300</v>
      </c>
      <c r="NF15">
        <v>1300</v>
      </c>
      <c r="NU15">
        <v>1100</v>
      </c>
      <c r="NV15">
        <v>0.73</v>
      </c>
      <c r="NW15">
        <v>600</v>
      </c>
      <c r="NX15">
        <v>0.91</v>
      </c>
      <c r="OA15">
        <v>700</v>
      </c>
      <c r="OB15">
        <v>0.4</v>
      </c>
    </row>
    <row r="16" spans="1:400" x14ac:dyDescent="0.3">
      <c r="G16">
        <v>3000</v>
      </c>
      <c r="H16">
        <v>0.6</v>
      </c>
      <c r="S16">
        <v>690.90909090909099</v>
      </c>
      <c r="T16">
        <v>0.78</v>
      </c>
      <c r="Y16">
        <v>1127.2727272727279</v>
      </c>
      <c r="Z16">
        <v>403</v>
      </c>
      <c r="AA16">
        <v>981.81818181818198</v>
      </c>
      <c r="AB16">
        <v>466</v>
      </c>
      <c r="AE16">
        <v>1836.363636363636</v>
      </c>
      <c r="AF16">
        <v>434</v>
      </c>
      <c r="AI16">
        <v>0.8</v>
      </c>
      <c r="AJ16">
        <v>0.48749999999999999</v>
      </c>
      <c r="AM16">
        <v>0.8</v>
      </c>
      <c r="AN16">
        <v>0.85</v>
      </c>
      <c r="AQ16">
        <v>0.4</v>
      </c>
      <c r="AR16">
        <v>0.5</v>
      </c>
      <c r="AW16">
        <v>1327.272727272727</v>
      </c>
      <c r="AX16">
        <v>0.4</v>
      </c>
      <c r="AY16">
        <v>1709.090909090909</v>
      </c>
      <c r="AZ16">
        <v>0.5</v>
      </c>
      <c r="BG16">
        <v>529</v>
      </c>
      <c r="BH16">
        <v>0.9</v>
      </c>
      <c r="BM16">
        <v>1200</v>
      </c>
      <c r="BN16">
        <v>283.14999999999998</v>
      </c>
      <c r="BO16">
        <v>525</v>
      </c>
      <c r="BP16">
        <v>300.032917</v>
      </c>
      <c r="BU16">
        <v>1500</v>
      </c>
      <c r="BV16">
        <v>283.14999999999998</v>
      </c>
      <c r="BW16">
        <v>600</v>
      </c>
      <c r="BX16">
        <v>300.032917</v>
      </c>
      <c r="CC16">
        <v>1500</v>
      </c>
      <c r="CD16">
        <v>288.14999999999998</v>
      </c>
      <c r="CE16">
        <v>150</v>
      </c>
      <c r="CF16">
        <v>293.14999999999998</v>
      </c>
      <c r="CQ16">
        <v>1050</v>
      </c>
      <c r="CR16">
        <v>283.14999999999998</v>
      </c>
      <c r="DA16">
        <v>4398.7095789565983</v>
      </c>
      <c r="DB16">
        <v>634.29698301898202</v>
      </c>
      <c r="DC16">
        <v>2596.9870283225532</v>
      </c>
      <c r="DD16">
        <v>1392.940294092044</v>
      </c>
      <c r="DE16">
        <v>3930.850673891649</v>
      </c>
      <c r="DF16">
        <v>1196.501615209263</v>
      </c>
      <c r="DG16">
        <v>4808.6258123185271</v>
      </c>
      <c r="DH16">
        <v>999.02813437823045</v>
      </c>
      <c r="DI16">
        <v>4070.854896157934</v>
      </c>
      <c r="DJ16">
        <v>2135.8252842246479</v>
      </c>
      <c r="DK16">
        <v>3222.2612410190291</v>
      </c>
      <c r="DL16">
        <v>2261.1829933567169</v>
      </c>
      <c r="DO16">
        <v>3672.8228234136532</v>
      </c>
      <c r="DP16">
        <v>2223.2722894705498</v>
      </c>
      <c r="DS16">
        <v>4229.8713196477647</v>
      </c>
      <c r="DT16">
        <v>804.46743440728301</v>
      </c>
      <c r="DU16">
        <v>2841.6571478536471</v>
      </c>
      <c r="DV16">
        <v>1989.7169217922819</v>
      </c>
      <c r="DW16">
        <v>2074.429700505631</v>
      </c>
      <c r="DX16">
        <v>453.88861908087853</v>
      </c>
      <c r="EA16">
        <v>465.04661619855068</v>
      </c>
      <c r="EB16">
        <v>0.59990812143731809</v>
      </c>
      <c r="EC16">
        <v>439.75303373080982</v>
      </c>
      <c r="ED16">
        <v>0.84022273539180403</v>
      </c>
      <c r="EE16">
        <v>573.96772965513355</v>
      </c>
      <c r="EF16">
        <v>0.84731540281172935</v>
      </c>
      <c r="EI16">
        <v>407.84617584397159</v>
      </c>
      <c r="EJ16">
        <v>0.56779030111230411</v>
      </c>
      <c r="EK16">
        <v>386.85322392000222</v>
      </c>
      <c r="EL16">
        <v>0.73970026077887552</v>
      </c>
      <c r="EM16">
        <v>468.41371532842049</v>
      </c>
      <c r="EN16">
        <v>0.80014165886112232</v>
      </c>
      <c r="EQ16">
        <v>1453.2527675756271</v>
      </c>
      <c r="ER16">
        <v>0.62531654123406266</v>
      </c>
      <c r="ES16">
        <v>1116.1464184310821</v>
      </c>
      <c r="ET16">
        <v>0.63744727170114779</v>
      </c>
      <c r="EU16">
        <v>1148.958789217814</v>
      </c>
      <c r="EV16">
        <v>0.76000065222236701</v>
      </c>
      <c r="EY16">
        <v>2956.5012670959941</v>
      </c>
      <c r="EZ16">
        <v>990.12072324071858</v>
      </c>
      <c r="FA16">
        <v>4786.7473616901489</v>
      </c>
      <c r="FB16">
        <v>1034.2649143604799</v>
      </c>
      <c r="FC16">
        <v>4997.4735065549557</v>
      </c>
      <c r="FD16">
        <v>490.81330897623332</v>
      </c>
      <c r="FE16">
        <v>402.5</v>
      </c>
      <c r="FF16">
        <v>0.875</v>
      </c>
      <c r="FG16">
        <v>405</v>
      </c>
      <c r="FH16">
        <v>0.875</v>
      </c>
      <c r="FI16">
        <v>387.5</v>
      </c>
      <c r="FJ16">
        <v>0.95</v>
      </c>
      <c r="FK16">
        <v>385</v>
      </c>
      <c r="FL16">
        <v>0.92500000000000004</v>
      </c>
      <c r="FM16">
        <v>3481.8230245237678</v>
      </c>
      <c r="FN16">
        <v>808.34025773909616</v>
      </c>
      <c r="FO16">
        <v>4381.8230245237683</v>
      </c>
      <c r="FP16">
        <v>808.34025773909616</v>
      </c>
      <c r="FU16">
        <v>3000</v>
      </c>
      <c r="FV16">
        <v>393.75</v>
      </c>
      <c r="FW16">
        <v>3000</v>
      </c>
      <c r="FX16">
        <v>393.75</v>
      </c>
      <c r="GC16">
        <v>4205.950043184831</v>
      </c>
      <c r="GD16">
        <v>1359.5567020080759</v>
      </c>
      <c r="GK16">
        <v>403</v>
      </c>
      <c r="GL16">
        <v>0.5</v>
      </c>
      <c r="GM16">
        <v>415</v>
      </c>
      <c r="GN16">
        <v>0.53500000000000003</v>
      </c>
      <c r="GS16">
        <v>4808.3419580395002</v>
      </c>
      <c r="GT16">
        <v>1242.2743898072649</v>
      </c>
      <c r="GU16">
        <v>4808.3419580395002</v>
      </c>
      <c r="GV16">
        <v>1022.274389807265</v>
      </c>
      <c r="HA16">
        <v>5000</v>
      </c>
      <c r="HB16">
        <v>1359.5567020080759</v>
      </c>
      <c r="HK16">
        <v>4549.4748413780471</v>
      </c>
      <c r="HL16">
        <v>1307.3508956627979</v>
      </c>
      <c r="HO16">
        <v>4974.7499984451561</v>
      </c>
      <c r="HP16">
        <v>467.29525518330428</v>
      </c>
      <c r="HS16">
        <v>4999.5174437342239</v>
      </c>
      <c r="HT16">
        <v>1260.6544759162041</v>
      </c>
      <c r="HY16">
        <v>1996.125013530389</v>
      </c>
      <c r="HZ16">
        <v>382.27826882852338</v>
      </c>
      <c r="IA16">
        <v>665.72041325087912</v>
      </c>
      <c r="IB16">
        <v>444.37100208101327</v>
      </c>
      <c r="IC16">
        <v>784.81729969301432</v>
      </c>
      <c r="ID16">
        <v>468.88600759022017</v>
      </c>
      <c r="II16">
        <v>4569.5702053044852</v>
      </c>
      <c r="IJ16">
        <v>499.87470814202061</v>
      </c>
      <c r="IK16">
        <v>4810.2414464814374</v>
      </c>
      <c r="IL16">
        <v>410.82373054083411</v>
      </c>
      <c r="IM16">
        <v>4410.7781145540484</v>
      </c>
      <c r="IN16">
        <v>510.3500375068445</v>
      </c>
      <c r="IO16">
        <v>3163.7964942558779</v>
      </c>
      <c r="IP16">
        <v>1031.9811831571019</v>
      </c>
      <c r="IQ16">
        <v>3485.7774983404561</v>
      </c>
      <c r="IR16">
        <v>1848.5717048388569</v>
      </c>
      <c r="IS16">
        <v>3187.275715191327</v>
      </c>
      <c r="IT16">
        <v>744.27279637891957</v>
      </c>
      <c r="IW16">
        <v>4650.5609292371246</v>
      </c>
      <c r="IX16">
        <v>1299.840651625487</v>
      </c>
      <c r="IY16">
        <v>3933.0219784961691</v>
      </c>
      <c r="IZ16">
        <v>436.95847927364059</v>
      </c>
      <c r="JA16">
        <v>3159.995641192314</v>
      </c>
      <c r="JB16">
        <v>331.66696392285888</v>
      </c>
      <c r="JG16">
        <v>2407.3699027724369</v>
      </c>
      <c r="JH16">
        <v>1628.860994557014</v>
      </c>
      <c r="JO16">
        <v>3510.3542929719661</v>
      </c>
      <c r="JP16">
        <v>1620.8233611234859</v>
      </c>
      <c r="JW16">
        <v>1316.3244053189781</v>
      </c>
      <c r="JX16">
        <v>469.35275192096162</v>
      </c>
      <c r="KE16">
        <v>2289.0071338016578</v>
      </c>
      <c r="KF16">
        <v>455.4798300422836</v>
      </c>
      <c r="LK16">
        <v>479.85937224096</v>
      </c>
      <c r="LL16">
        <v>0.55811850807970365</v>
      </c>
      <c r="LS16">
        <v>1461.3572746269799</v>
      </c>
      <c r="LT16">
        <v>477.49864940116822</v>
      </c>
      <c r="ME16">
        <v>1392.537862012769</v>
      </c>
      <c r="MF16">
        <v>295.53215726737619</v>
      </c>
      <c r="MI16">
        <v>447.34621662867301</v>
      </c>
      <c r="MJ16">
        <v>298.75944015087879</v>
      </c>
      <c r="MQ16">
        <v>1323.1349557925</v>
      </c>
      <c r="MR16">
        <v>465.97142101784323</v>
      </c>
      <c r="MW16">
        <v>950</v>
      </c>
      <c r="MX16">
        <v>10.32094550926344</v>
      </c>
      <c r="NE16">
        <v>3300</v>
      </c>
      <c r="NF16">
        <v>750</v>
      </c>
      <c r="NU16">
        <v>1200</v>
      </c>
      <c r="NV16">
        <v>0.73</v>
      </c>
      <c r="NW16">
        <v>700</v>
      </c>
      <c r="NX16">
        <v>0.91</v>
      </c>
      <c r="OA16">
        <v>500</v>
      </c>
      <c r="OB16">
        <v>0.4</v>
      </c>
    </row>
    <row r="17" spans="7:392" x14ac:dyDescent="0.3">
      <c r="G17">
        <v>3000</v>
      </c>
      <c r="H17">
        <v>0.65</v>
      </c>
      <c r="S17">
        <v>1127.2727272727279</v>
      </c>
      <c r="T17">
        <v>0.78</v>
      </c>
      <c r="Y17">
        <v>1272.727272727273</v>
      </c>
      <c r="Z17">
        <v>403</v>
      </c>
      <c r="AA17">
        <v>1127.2727272727279</v>
      </c>
      <c r="AB17">
        <v>466</v>
      </c>
      <c r="AI17">
        <v>0.8</v>
      </c>
      <c r="AJ17">
        <v>0.81874999999999998</v>
      </c>
      <c r="AM17">
        <v>0.8</v>
      </c>
      <c r="AN17">
        <v>0.85</v>
      </c>
      <c r="AQ17">
        <v>0.6</v>
      </c>
      <c r="AR17">
        <v>0.5</v>
      </c>
      <c r="AW17">
        <v>1318.181818181818</v>
      </c>
      <c r="AX17">
        <v>0.4</v>
      </c>
      <c r="AY17">
        <v>400</v>
      </c>
      <c r="AZ17">
        <v>0.6</v>
      </c>
      <c r="BG17">
        <v>560</v>
      </c>
      <c r="BH17">
        <v>0.85</v>
      </c>
      <c r="BM17">
        <v>1350</v>
      </c>
      <c r="BN17">
        <v>283.14999999999998</v>
      </c>
      <c r="BO17">
        <v>262.5</v>
      </c>
      <c r="BP17">
        <v>278.14999999999998</v>
      </c>
      <c r="BU17">
        <v>750</v>
      </c>
      <c r="BV17">
        <v>288.14999999999998</v>
      </c>
      <c r="BW17">
        <v>375</v>
      </c>
      <c r="BX17">
        <v>278.14999999999998</v>
      </c>
      <c r="CC17">
        <v>1200</v>
      </c>
      <c r="CD17">
        <v>293.14999999999998</v>
      </c>
      <c r="CE17">
        <v>300</v>
      </c>
      <c r="CF17">
        <v>293.14999999999998</v>
      </c>
      <c r="CQ17">
        <v>900</v>
      </c>
      <c r="CR17">
        <v>283.14999999999998</v>
      </c>
      <c r="DA17">
        <v>3723.2852900100111</v>
      </c>
      <c r="DB17">
        <v>1030.303377686404</v>
      </c>
      <c r="DC17">
        <v>3569.5788322650392</v>
      </c>
      <c r="DD17">
        <v>649.18546080007081</v>
      </c>
      <c r="DE17">
        <v>3678.498952336176</v>
      </c>
      <c r="DF17">
        <v>304.7409728147116</v>
      </c>
      <c r="DG17">
        <v>2579.4107798939558</v>
      </c>
      <c r="DH17">
        <v>1129.3774894379501</v>
      </c>
      <c r="DI17">
        <v>3411.888854052801</v>
      </c>
      <c r="DJ17">
        <v>1978.7569372631101</v>
      </c>
      <c r="DK17">
        <v>4106.0153901851681</v>
      </c>
      <c r="DL17">
        <v>2298.0538154567312</v>
      </c>
      <c r="DS17">
        <v>3818.851880522423</v>
      </c>
      <c r="DT17">
        <v>1488.6910757713449</v>
      </c>
      <c r="DW17">
        <v>3676.2897409722582</v>
      </c>
      <c r="DX17">
        <v>1059.918723065527</v>
      </c>
      <c r="EA17">
        <v>399.04622143462939</v>
      </c>
      <c r="EB17">
        <v>0.81397849897292429</v>
      </c>
      <c r="EC17">
        <v>512.38970393975296</v>
      </c>
      <c r="ED17">
        <v>0.50519511187764987</v>
      </c>
      <c r="EE17">
        <v>546.28619767822738</v>
      </c>
      <c r="EF17">
        <v>0.53122961637732824</v>
      </c>
      <c r="EI17">
        <v>472.9886584414233</v>
      </c>
      <c r="EJ17">
        <v>0.68181146399540538</v>
      </c>
      <c r="EK17">
        <v>447.96339849884851</v>
      </c>
      <c r="EL17">
        <v>0.62584611610063012</v>
      </c>
      <c r="EM17">
        <v>615.5396472523812</v>
      </c>
      <c r="EN17">
        <v>0.81036994424271103</v>
      </c>
      <c r="EQ17">
        <v>1401.1040022163429</v>
      </c>
      <c r="ER17">
        <v>0.51118226779122011</v>
      </c>
      <c r="ES17">
        <v>518.49350355066338</v>
      </c>
      <c r="ET17">
        <v>0.74231695223098582</v>
      </c>
      <c r="EU17">
        <v>940.52621610099743</v>
      </c>
      <c r="EV17">
        <v>0.84058475947863731</v>
      </c>
      <c r="EY17">
        <v>3015.7633963010762</v>
      </c>
      <c r="EZ17">
        <v>268.3560550221556</v>
      </c>
      <c r="FA17">
        <v>3802.571323382816</v>
      </c>
      <c r="FB17">
        <v>723.83436202449741</v>
      </c>
      <c r="FC17">
        <v>4048.8416849973169</v>
      </c>
      <c r="FD17">
        <v>1110.4172058461811</v>
      </c>
      <c r="FE17">
        <v>407.5</v>
      </c>
      <c r="FF17">
        <v>0.875</v>
      </c>
      <c r="FG17">
        <v>402.5</v>
      </c>
      <c r="FH17">
        <v>0.875</v>
      </c>
      <c r="FK17">
        <v>385</v>
      </c>
      <c r="FL17">
        <v>0.95</v>
      </c>
      <c r="FM17">
        <v>3481.8230245237678</v>
      </c>
      <c r="FN17">
        <v>808.34025773909616</v>
      </c>
      <c r="FU17">
        <v>3000</v>
      </c>
      <c r="FV17">
        <v>393.75</v>
      </c>
      <c r="FW17">
        <v>3000</v>
      </c>
      <c r="FX17">
        <v>393.75</v>
      </c>
      <c r="GC17">
        <v>3605.950043184831</v>
      </c>
      <c r="GD17">
        <v>1359.5567020080759</v>
      </c>
      <c r="GK17">
        <v>403</v>
      </c>
      <c r="GL17">
        <v>0.5</v>
      </c>
      <c r="GM17">
        <v>415</v>
      </c>
      <c r="GN17">
        <v>0.5</v>
      </c>
      <c r="GS17">
        <v>4808.3419580395002</v>
      </c>
      <c r="GT17">
        <v>1242.2743898072649</v>
      </c>
      <c r="GU17">
        <v>4808.3419580395002</v>
      </c>
      <c r="GV17">
        <v>1022.274389807265</v>
      </c>
      <c r="HA17">
        <v>4808.3419580395002</v>
      </c>
      <c r="HB17">
        <v>1022.274389807265</v>
      </c>
      <c r="HK17">
        <v>2226.354286417979</v>
      </c>
      <c r="HL17">
        <v>1189.939730375967</v>
      </c>
      <c r="HO17">
        <v>3931.7873677198072</v>
      </c>
      <c r="HP17">
        <v>694.17654222672104</v>
      </c>
      <c r="HS17">
        <v>4087.4772386982531</v>
      </c>
      <c r="HT17">
        <v>1571.230458428018</v>
      </c>
      <c r="HY17">
        <v>734.96046580678922</v>
      </c>
      <c r="HZ17">
        <v>431.01709647502889</v>
      </c>
      <c r="IA17">
        <v>1370.3032424427031</v>
      </c>
      <c r="IB17">
        <v>501.68881688652652</v>
      </c>
      <c r="IC17">
        <v>1643.063335728936</v>
      </c>
      <c r="ID17">
        <v>423.0335406563749</v>
      </c>
      <c r="II17">
        <v>2748.8280527890652</v>
      </c>
      <c r="IJ17">
        <v>487.26773447948568</v>
      </c>
      <c r="IK17">
        <v>2797.6629682982398</v>
      </c>
      <c r="IL17">
        <v>447.57245711878357</v>
      </c>
      <c r="IO17">
        <v>2861.5285223632559</v>
      </c>
      <c r="IP17">
        <v>1489.3732921294909</v>
      </c>
      <c r="IQ17">
        <v>2554.5588045595059</v>
      </c>
      <c r="IR17">
        <v>541.68404198934968</v>
      </c>
      <c r="IS17">
        <v>3989.620630201327</v>
      </c>
      <c r="IT17">
        <v>1807.756988112083</v>
      </c>
      <c r="IW17">
        <v>4711.9404871432753</v>
      </c>
      <c r="IX17">
        <v>948.68619878344805</v>
      </c>
      <c r="IY17">
        <v>4270.1387541048716</v>
      </c>
      <c r="IZ17">
        <v>1878.61083890706</v>
      </c>
      <c r="JA17">
        <v>2663.44206896164</v>
      </c>
      <c r="JB17">
        <v>547.01069939991828</v>
      </c>
      <c r="KE17">
        <v>4608.1731771230552</v>
      </c>
      <c r="KF17">
        <v>506.96147986030849</v>
      </c>
      <c r="LK17">
        <v>441.33688081382422</v>
      </c>
      <c r="LL17">
        <v>0.85917254793134457</v>
      </c>
      <c r="ME17">
        <v>1121.7345402227211</v>
      </c>
      <c r="MF17">
        <v>289.96061265159119</v>
      </c>
      <c r="MI17">
        <v>438.19507347169508</v>
      </c>
      <c r="MJ17">
        <v>286.85895713909599</v>
      </c>
      <c r="MQ17">
        <v>919.70002826239022</v>
      </c>
      <c r="MR17">
        <v>495.90223817616521</v>
      </c>
      <c r="MW17">
        <v>950</v>
      </c>
      <c r="MX17">
        <v>10.32094550926344</v>
      </c>
      <c r="NE17">
        <v>3300</v>
      </c>
      <c r="NF17">
        <v>770</v>
      </c>
      <c r="NU17">
        <v>800</v>
      </c>
      <c r="NV17">
        <v>0.76</v>
      </c>
      <c r="NW17">
        <v>200</v>
      </c>
      <c r="NX17">
        <v>0.55000000000000004</v>
      </c>
      <c r="OA17">
        <v>200</v>
      </c>
      <c r="OB17">
        <v>0.4</v>
      </c>
    </row>
    <row r="18" spans="7:392" x14ac:dyDescent="0.3">
      <c r="G18">
        <v>3000</v>
      </c>
      <c r="H18">
        <v>0.7</v>
      </c>
      <c r="S18">
        <v>836.36363636363637</v>
      </c>
      <c r="T18">
        <v>0.78</v>
      </c>
      <c r="Y18">
        <v>1418.181818181818</v>
      </c>
      <c r="Z18">
        <v>403</v>
      </c>
      <c r="AA18">
        <v>1272.727272727273</v>
      </c>
      <c r="AB18">
        <v>466</v>
      </c>
      <c r="AI18">
        <v>0.8</v>
      </c>
      <c r="AJ18">
        <v>0.70624999999999993</v>
      </c>
      <c r="AM18">
        <v>0.8</v>
      </c>
      <c r="AN18">
        <v>0.85</v>
      </c>
      <c r="AQ18">
        <v>0.55000000000000004</v>
      </c>
      <c r="AR18">
        <v>0.5</v>
      </c>
      <c r="AW18">
        <v>1318.181818181818</v>
      </c>
      <c r="AX18">
        <v>0.4</v>
      </c>
      <c r="AY18">
        <v>545.4545454545455</v>
      </c>
      <c r="AZ18">
        <v>0.6</v>
      </c>
      <c r="BG18">
        <v>560</v>
      </c>
      <c r="BH18">
        <v>0.95</v>
      </c>
      <c r="BM18">
        <v>1500</v>
      </c>
      <c r="BN18">
        <v>283.14999999999998</v>
      </c>
      <c r="BO18">
        <v>262.5</v>
      </c>
      <c r="BP18">
        <v>278.14999999999998</v>
      </c>
      <c r="BU18">
        <v>600</v>
      </c>
      <c r="BV18">
        <v>288.14999999999998</v>
      </c>
      <c r="BW18">
        <v>375</v>
      </c>
      <c r="BX18">
        <v>278.14999999999998</v>
      </c>
      <c r="CC18">
        <v>1350</v>
      </c>
      <c r="CD18">
        <v>293.14999999999998</v>
      </c>
      <c r="CE18">
        <v>450</v>
      </c>
      <c r="CF18">
        <v>293.14999999999998</v>
      </c>
      <c r="CQ18">
        <v>750</v>
      </c>
      <c r="CR18">
        <v>283.14999999999998</v>
      </c>
      <c r="DA18">
        <v>4594.5598944577014</v>
      </c>
      <c r="DB18">
        <v>1315.7871292156799</v>
      </c>
      <c r="DC18">
        <v>4430.8092664561082</v>
      </c>
      <c r="DD18">
        <v>440.89117872893138</v>
      </c>
      <c r="DE18">
        <v>3454.1609641972718</v>
      </c>
      <c r="DF18">
        <v>306.85918415783817</v>
      </c>
      <c r="DG18">
        <v>2022.172409622757</v>
      </c>
      <c r="DH18">
        <v>851.25298658896372</v>
      </c>
      <c r="DI18">
        <v>4677.0474558520091</v>
      </c>
      <c r="DJ18">
        <v>2282.4585432480771</v>
      </c>
      <c r="DK18">
        <v>2729.1446046052638</v>
      </c>
      <c r="DL18">
        <v>2130.3486493774012</v>
      </c>
      <c r="DS18">
        <v>3411.4154865030209</v>
      </c>
      <c r="DT18">
        <v>540.32768673923829</v>
      </c>
      <c r="DW18">
        <v>2528.2341278414051</v>
      </c>
      <c r="DX18">
        <v>1954.272502093258</v>
      </c>
      <c r="EA18">
        <v>391.15834678542791</v>
      </c>
      <c r="EB18">
        <v>0.70703950252119163</v>
      </c>
      <c r="EC18">
        <v>495.24745407003508</v>
      </c>
      <c r="ED18">
        <v>0.8244583404753234</v>
      </c>
      <c r="EE18">
        <v>417.55521469908621</v>
      </c>
      <c r="EF18">
        <v>0.73721678895579934</v>
      </c>
      <c r="EI18">
        <v>562.61069417123349</v>
      </c>
      <c r="EJ18">
        <v>0.55858689382844395</v>
      </c>
      <c r="EK18">
        <v>437.25725306514931</v>
      </c>
      <c r="EL18">
        <v>0.58049524251523787</v>
      </c>
      <c r="EM18">
        <v>566.3083206757484</v>
      </c>
      <c r="EN18">
        <v>0.69960696326475091</v>
      </c>
      <c r="EQ18">
        <v>1363.683993216255</v>
      </c>
      <c r="ER18">
        <v>0.71009774279764859</v>
      </c>
      <c r="ES18">
        <v>340.48056053274269</v>
      </c>
      <c r="ET18">
        <v>0.68508744005790456</v>
      </c>
      <c r="EU18">
        <v>697.41511069086664</v>
      </c>
      <c r="EV18">
        <v>0.81829187739818132</v>
      </c>
      <c r="EY18">
        <v>4689.4621166219722</v>
      </c>
      <c r="EZ18">
        <v>1898.977479582325</v>
      </c>
      <c r="FA18">
        <v>2341.3153084838282</v>
      </c>
      <c r="FB18">
        <v>1258.007650790563</v>
      </c>
      <c r="FC18">
        <v>2801.4623156303192</v>
      </c>
      <c r="FD18">
        <v>1137.7155945229199</v>
      </c>
      <c r="FE18">
        <v>410</v>
      </c>
      <c r="FF18">
        <v>0.875</v>
      </c>
      <c r="FG18">
        <v>407.5</v>
      </c>
      <c r="FH18">
        <v>0.875</v>
      </c>
      <c r="FM18">
        <v>3481.8230245237678</v>
      </c>
      <c r="FN18">
        <v>808.34025773909616</v>
      </c>
      <c r="FU18">
        <v>3000</v>
      </c>
      <c r="FV18">
        <v>393.75</v>
      </c>
      <c r="FW18">
        <v>3000</v>
      </c>
      <c r="FX18">
        <v>393.75</v>
      </c>
      <c r="GC18">
        <v>3905.950043184831</v>
      </c>
      <c r="GD18">
        <v>1579.5567020080759</v>
      </c>
      <c r="GK18">
        <v>403</v>
      </c>
      <c r="GL18">
        <v>0.5</v>
      </c>
      <c r="GM18">
        <v>415</v>
      </c>
      <c r="GN18">
        <v>0.5</v>
      </c>
      <c r="GS18">
        <v>4808.3419580395002</v>
      </c>
      <c r="GT18">
        <v>1022.274389807265</v>
      </c>
      <c r="GU18">
        <v>4808.3419580395002</v>
      </c>
      <c r="GV18">
        <v>1022.274389807265</v>
      </c>
      <c r="HA18">
        <v>3655.0315704537861</v>
      </c>
      <c r="HB18">
        <v>2494.5286687783441</v>
      </c>
      <c r="HK18">
        <v>4508.9383871018472</v>
      </c>
      <c r="HL18">
        <v>1038.9421862585741</v>
      </c>
      <c r="HO18">
        <v>2579.394207427144</v>
      </c>
      <c r="HP18">
        <v>1064.3513182211459</v>
      </c>
      <c r="HS18">
        <v>4194.916865812369</v>
      </c>
      <c r="HT18">
        <v>1905.3109130602199</v>
      </c>
      <c r="HY18">
        <v>1706.8088048137049</v>
      </c>
      <c r="HZ18">
        <v>461.28584989891039</v>
      </c>
      <c r="IA18">
        <v>1352.397765336264</v>
      </c>
      <c r="IB18">
        <v>489.80007750901041</v>
      </c>
      <c r="IC18">
        <v>539.0734201981877</v>
      </c>
      <c r="ID18">
        <v>511.06734772934988</v>
      </c>
      <c r="II18">
        <v>3868.287808380001</v>
      </c>
      <c r="IJ18">
        <v>414.23780710282131</v>
      </c>
      <c r="IK18">
        <v>3366.712110044311</v>
      </c>
      <c r="IL18">
        <v>494.15266841997408</v>
      </c>
      <c r="IO18">
        <v>4608.2834044632618</v>
      </c>
      <c r="IP18">
        <v>1642.780498256107</v>
      </c>
      <c r="IQ18">
        <v>2788.2092353619441</v>
      </c>
      <c r="IR18">
        <v>868.92098751219737</v>
      </c>
      <c r="IS18">
        <v>4272.6784448832668</v>
      </c>
      <c r="IT18">
        <v>520.06758606065932</v>
      </c>
      <c r="IW18">
        <v>3048.1817929878921</v>
      </c>
      <c r="IX18">
        <v>669.84509420540689</v>
      </c>
      <c r="IY18">
        <v>2036.174090582236</v>
      </c>
      <c r="IZ18">
        <v>1642.9712773824219</v>
      </c>
      <c r="JA18">
        <v>3594.038197801452</v>
      </c>
      <c r="JB18">
        <v>1053.3057753333981</v>
      </c>
      <c r="KE18">
        <v>3085.7442397403311</v>
      </c>
      <c r="KF18">
        <v>485.9156616355591</v>
      </c>
      <c r="LK18">
        <v>491.13867742711619</v>
      </c>
      <c r="LL18">
        <v>0.5773253115123167</v>
      </c>
      <c r="ME18">
        <v>817.92991596577258</v>
      </c>
      <c r="MF18">
        <v>294.74835666705098</v>
      </c>
      <c r="MI18">
        <v>482.4969425962064</v>
      </c>
      <c r="MJ18">
        <v>296.79093917258541</v>
      </c>
      <c r="MQ18">
        <v>437.59804910374208</v>
      </c>
      <c r="MR18">
        <v>412.38177984210722</v>
      </c>
      <c r="MW18">
        <v>1000</v>
      </c>
      <c r="MX18">
        <v>9.9242331125012608</v>
      </c>
      <c r="NE18">
        <v>3300</v>
      </c>
      <c r="NF18">
        <v>710</v>
      </c>
      <c r="NU18">
        <v>700</v>
      </c>
      <c r="NV18">
        <v>0.76</v>
      </c>
      <c r="NW18">
        <v>200</v>
      </c>
      <c r="NX18">
        <v>0.6</v>
      </c>
      <c r="OA18">
        <v>400</v>
      </c>
      <c r="OB18">
        <v>0.4</v>
      </c>
    </row>
    <row r="19" spans="7:392" x14ac:dyDescent="0.3">
      <c r="G19">
        <v>3000</v>
      </c>
      <c r="H19">
        <v>0.5</v>
      </c>
      <c r="S19">
        <v>981.81818181818198</v>
      </c>
      <c r="T19">
        <v>0.78</v>
      </c>
      <c r="Y19">
        <v>1854.545454545455</v>
      </c>
      <c r="Z19">
        <v>403</v>
      </c>
      <c r="AA19">
        <v>1418.181818181818</v>
      </c>
      <c r="AB19">
        <v>466</v>
      </c>
      <c r="AI19">
        <v>0.8</v>
      </c>
      <c r="AJ19">
        <v>0.66875000000000007</v>
      </c>
      <c r="AM19">
        <v>0.5</v>
      </c>
      <c r="AN19">
        <v>0.85</v>
      </c>
      <c r="AQ19">
        <v>0.65</v>
      </c>
      <c r="AR19">
        <v>0.5</v>
      </c>
      <c r="AW19">
        <v>1736.363636363636</v>
      </c>
      <c r="AX19">
        <v>0.5</v>
      </c>
      <c r="AY19">
        <v>690.90909090909099</v>
      </c>
      <c r="AZ19">
        <v>0.6</v>
      </c>
      <c r="BG19">
        <v>560</v>
      </c>
      <c r="BH19">
        <v>0.9</v>
      </c>
      <c r="BM19">
        <v>450</v>
      </c>
      <c r="BN19">
        <v>288.14999999999998</v>
      </c>
      <c r="BO19">
        <v>281.25</v>
      </c>
      <c r="BP19">
        <v>278.14999999999998</v>
      </c>
      <c r="BU19">
        <v>900</v>
      </c>
      <c r="BV19">
        <v>288.14999999999998</v>
      </c>
      <c r="BW19">
        <v>525</v>
      </c>
      <c r="BX19">
        <v>288.14999999999998</v>
      </c>
      <c r="CC19">
        <v>1500</v>
      </c>
      <c r="CD19">
        <v>293.14999999999998</v>
      </c>
      <c r="CE19">
        <v>600</v>
      </c>
      <c r="CF19">
        <v>293.14999999999998</v>
      </c>
      <c r="CQ19">
        <v>1200</v>
      </c>
      <c r="CR19">
        <v>283.14999999999998</v>
      </c>
      <c r="DA19">
        <v>3429.232588331723</v>
      </c>
      <c r="DB19">
        <v>1190.441137421511</v>
      </c>
      <c r="DC19">
        <v>2551.7393786212042</v>
      </c>
      <c r="DD19">
        <v>705.04323211145129</v>
      </c>
      <c r="DE19">
        <v>2771.6865619785408</v>
      </c>
      <c r="DF19">
        <v>367.77141340825159</v>
      </c>
      <c r="DG19">
        <v>4652.9592945739541</v>
      </c>
      <c r="DH19">
        <v>600.67212900421248</v>
      </c>
      <c r="DI19">
        <v>3562.7619811950999</v>
      </c>
      <c r="DJ19">
        <v>1541.368130664265</v>
      </c>
      <c r="DK19">
        <v>3117.8884416637252</v>
      </c>
      <c r="DL19">
        <v>2490.7972137766901</v>
      </c>
      <c r="DS19">
        <v>3358.3685752459028</v>
      </c>
      <c r="DT19">
        <v>829.18018042678943</v>
      </c>
      <c r="DW19">
        <v>3237.8035114396489</v>
      </c>
      <c r="DX19">
        <v>1880.5098189903799</v>
      </c>
      <c r="EA19">
        <v>619.49988337114337</v>
      </c>
      <c r="EB19">
        <v>0.5355129496544464</v>
      </c>
      <c r="EC19">
        <v>420.45743517585282</v>
      </c>
      <c r="ED19">
        <v>0.76341111242455428</v>
      </c>
      <c r="EE19">
        <v>601.04909419520959</v>
      </c>
      <c r="EF19">
        <v>0.60907026512657958</v>
      </c>
      <c r="EI19">
        <v>452.67255589245582</v>
      </c>
      <c r="EJ19">
        <v>0.58281149104380059</v>
      </c>
      <c r="EK19">
        <v>400.66316037582772</v>
      </c>
      <c r="EL19">
        <v>0.73018012047729863</v>
      </c>
      <c r="EM19">
        <v>515.14893502381824</v>
      </c>
      <c r="EN19">
        <v>0.8022618525749885</v>
      </c>
      <c r="EQ19">
        <v>1219.800534846232</v>
      </c>
      <c r="ER19">
        <v>0.80402974879328859</v>
      </c>
      <c r="ES19">
        <v>1092.779970317365</v>
      </c>
      <c r="ET19">
        <v>0.76531729295362738</v>
      </c>
      <c r="EU19">
        <v>1542.557353209985</v>
      </c>
      <c r="EV19">
        <v>0.55954695484709605</v>
      </c>
      <c r="EY19">
        <v>4444.1942595090131</v>
      </c>
      <c r="EZ19">
        <v>929.59995376861116</v>
      </c>
      <c r="FC19">
        <v>2858.0552235147629</v>
      </c>
      <c r="FD19">
        <v>602.06033520868755</v>
      </c>
      <c r="FE19">
        <v>390</v>
      </c>
      <c r="FF19">
        <v>0.9</v>
      </c>
      <c r="FG19">
        <v>410</v>
      </c>
      <c r="FH19">
        <v>0.875</v>
      </c>
      <c r="FM19">
        <v>3481.8230245237678</v>
      </c>
      <c r="FN19">
        <v>808.34025773909616</v>
      </c>
      <c r="FU19">
        <v>3000</v>
      </c>
      <c r="FV19">
        <v>393.75</v>
      </c>
      <c r="FW19">
        <v>3000</v>
      </c>
      <c r="FX19">
        <v>393.75</v>
      </c>
      <c r="GC19">
        <v>3905.950043184831</v>
      </c>
      <c r="GD19">
        <v>1359.5567020080759</v>
      </c>
      <c r="GK19">
        <v>403</v>
      </c>
      <c r="GL19">
        <v>0.5</v>
      </c>
      <c r="GM19">
        <v>427</v>
      </c>
      <c r="GN19">
        <v>0.5</v>
      </c>
      <c r="GS19">
        <v>4808.3419580395002</v>
      </c>
      <c r="GT19">
        <v>1022.274389807265</v>
      </c>
      <c r="GU19">
        <v>5000</v>
      </c>
      <c r="GV19">
        <v>1022.274389807265</v>
      </c>
      <c r="HA19">
        <v>3300</v>
      </c>
      <c r="HB19">
        <v>690</v>
      </c>
      <c r="HK19">
        <v>2889.43384974427</v>
      </c>
      <c r="HL19">
        <v>1964.4246381497769</v>
      </c>
      <c r="HO19">
        <v>3586.316408192994</v>
      </c>
      <c r="HP19">
        <v>1099.7280893317541</v>
      </c>
      <c r="HS19">
        <v>3777.0235761231629</v>
      </c>
      <c r="HT19">
        <v>1874.3583924927059</v>
      </c>
      <c r="HY19">
        <v>1765.044531111668</v>
      </c>
      <c r="HZ19">
        <v>439.08398682031742</v>
      </c>
      <c r="IA19">
        <v>1668.3688065958991</v>
      </c>
      <c r="IB19">
        <v>395.39257224014341</v>
      </c>
      <c r="IC19">
        <v>986.88560605489965</v>
      </c>
      <c r="ID19">
        <v>496.78943315259102</v>
      </c>
      <c r="II19">
        <v>2762.2104515471642</v>
      </c>
      <c r="IJ19">
        <v>460.7722725456436</v>
      </c>
      <c r="IK19">
        <v>3182.2555277015049</v>
      </c>
      <c r="IL19">
        <v>409.36300130341812</v>
      </c>
      <c r="IQ19">
        <v>3399.5669676025</v>
      </c>
      <c r="IR19">
        <v>1226.4065281947189</v>
      </c>
      <c r="IS19">
        <v>3783.3870989180068</v>
      </c>
      <c r="IT19">
        <v>733.97261943146725</v>
      </c>
      <c r="IW19">
        <v>2774.296346033062</v>
      </c>
      <c r="IX19">
        <v>982.78788768999846</v>
      </c>
      <c r="IY19">
        <v>4062.8899378947908</v>
      </c>
      <c r="IZ19">
        <v>1349.509401623143</v>
      </c>
      <c r="JA19">
        <v>4005.6070987733929</v>
      </c>
      <c r="JB19">
        <v>1420.5413678187881</v>
      </c>
      <c r="KE19">
        <v>2318.2243052035569</v>
      </c>
      <c r="KF19">
        <v>474.69475490988071</v>
      </c>
      <c r="LK19">
        <v>465.00208608253672</v>
      </c>
      <c r="LL19">
        <v>0.67271444054729068</v>
      </c>
      <c r="ME19">
        <v>581.41187666090241</v>
      </c>
      <c r="MF19">
        <v>287.12663112355648</v>
      </c>
      <c r="MI19">
        <v>455.15702489603802</v>
      </c>
      <c r="MJ19">
        <v>297.72139746591051</v>
      </c>
      <c r="MQ19">
        <v>826.58555037776807</v>
      </c>
      <c r="MR19">
        <v>436.61161806236743</v>
      </c>
      <c r="MW19">
        <v>1000</v>
      </c>
      <c r="MX19">
        <v>9.9242331125012608</v>
      </c>
      <c r="NE19">
        <v>3300</v>
      </c>
      <c r="NF19">
        <v>790</v>
      </c>
      <c r="NU19">
        <v>600</v>
      </c>
      <c r="NV19">
        <v>0.76</v>
      </c>
      <c r="NW19">
        <v>300</v>
      </c>
      <c r="NX19">
        <v>0.6</v>
      </c>
      <c r="OA19">
        <v>300</v>
      </c>
      <c r="OB19">
        <v>0.4</v>
      </c>
    </row>
    <row r="20" spans="7:392" x14ac:dyDescent="0.3">
      <c r="G20">
        <v>3000</v>
      </c>
      <c r="H20">
        <v>0.5</v>
      </c>
      <c r="S20">
        <v>1272.727272727273</v>
      </c>
      <c r="T20">
        <v>0.78</v>
      </c>
      <c r="Y20">
        <v>1709.090909090909</v>
      </c>
      <c r="Z20">
        <v>403</v>
      </c>
      <c r="AA20">
        <v>1563.636363636364</v>
      </c>
      <c r="AB20">
        <v>466</v>
      </c>
      <c r="AI20">
        <v>0.8</v>
      </c>
      <c r="AJ20">
        <v>0.50624999999999998</v>
      </c>
      <c r="AM20">
        <v>0.4</v>
      </c>
      <c r="AN20">
        <v>0.85</v>
      </c>
      <c r="AQ20">
        <v>0.7</v>
      </c>
      <c r="AR20">
        <v>0.5</v>
      </c>
      <c r="AW20">
        <v>1736.363636363636</v>
      </c>
      <c r="AX20">
        <v>0.5</v>
      </c>
      <c r="AY20">
        <v>836.36363636363637</v>
      </c>
      <c r="AZ20">
        <v>0.6</v>
      </c>
      <c r="BM20">
        <v>600</v>
      </c>
      <c r="BN20">
        <v>288.14999999999998</v>
      </c>
      <c r="BO20">
        <v>318.75</v>
      </c>
      <c r="BP20">
        <v>283.14999999999998</v>
      </c>
      <c r="BU20">
        <v>1050</v>
      </c>
      <c r="BV20">
        <v>288.14999999999998</v>
      </c>
      <c r="BW20">
        <v>525</v>
      </c>
      <c r="BX20">
        <v>288.14999999999998</v>
      </c>
      <c r="CC20">
        <v>1350</v>
      </c>
      <c r="CD20">
        <v>300.032917</v>
      </c>
      <c r="CE20">
        <v>900</v>
      </c>
      <c r="CF20">
        <v>293.14999999999998</v>
      </c>
      <c r="CQ20">
        <v>1350</v>
      </c>
      <c r="CR20">
        <v>283.14999999999998</v>
      </c>
      <c r="DA20">
        <v>4148.9677855173231</v>
      </c>
      <c r="DB20">
        <v>1026.5199091775389</v>
      </c>
      <c r="DC20">
        <v>3540.032699498654</v>
      </c>
      <c r="DD20">
        <v>665.93200053815008</v>
      </c>
      <c r="DE20">
        <v>4057.762868975783</v>
      </c>
      <c r="DF20">
        <v>443.7957771416111</v>
      </c>
      <c r="DG20">
        <v>4513.5865976184787</v>
      </c>
      <c r="DH20">
        <v>1176.425328460281</v>
      </c>
      <c r="DI20">
        <v>4835.8544621785022</v>
      </c>
      <c r="DJ20">
        <v>2239.9287193858131</v>
      </c>
      <c r="DK20">
        <v>2497.2774920542029</v>
      </c>
      <c r="DL20">
        <v>2124.2357546828598</v>
      </c>
      <c r="DS20">
        <v>4699.5621073220318</v>
      </c>
      <c r="DT20">
        <v>1861.4695625761731</v>
      </c>
      <c r="DW20">
        <v>2736.0798772012981</v>
      </c>
      <c r="DX20">
        <v>861.03575315996932</v>
      </c>
      <c r="EA20">
        <v>575.46626507455471</v>
      </c>
      <c r="EB20">
        <v>0.6710074648973734</v>
      </c>
      <c r="EC20">
        <v>425.89212479468182</v>
      </c>
      <c r="ED20">
        <v>0.72914318567654235</v>
      </c>
      <c r="EE20">
        <v>429.92521065109088</v>
      </c>
      <c r="EF20">
        <v>0.79682038104753961</v>
      </c>
      <c r="EI20">
        <v>524.44701181421476</v>
      </c>
      <c r="EJ20">
        <v>0.69803960155390843</v>
      </c>
      <c r="EK20">
        <v>504.2386608542011</v>
      </c>
      <c r="EL20">
        <v>0.78358183714889407</v>
      </c>
      <c r="EM20">
        <v>540.43375788941773</v>
      </c>
      <c r="EN20">
        <v>0.75471473181098703</v>
      </c>
      <c r="EQ20">
        <v>1038.5780192705261</v>
      </c>
      <c r="ER20">
        <v>0.65100512197262561</v>
      </c>
      <c r="EU20">
        <v>1532.097235550491</v>
      </c>
      <c r="EV20">
        <v>0.50226077958240245</v>
      </c>
      <c r="EY20">
        <v>2556.312813189159</v>
      </c>
      <c r="EZ20">
        <v>573.59047503824013</v>
      </c>
      <c r="FC20">
        <v>3138.1741803285622</v>
      </c>
      <c r="FD20">
        <v>705.59593013491599</v>
      </c>
      <c r="FE20">
        <v>392.5</v>
      </c>
      <c r="FF20">
        <v>0.9</v>
      </c>
      <c r="FG20">
        <v>395</v>
      </c>
      <c r="FH20">
        <v>0.9</v>
      </c>
      <c r="FM20">
        <v>3781.8230245237678</v>
      </c>
      <c r="FN20">
        <v>808.34025773909616</v>
      </c>
      <c r="FU20">
        <v>3000</v>
      </c>
      <c r="FV20">
        <v>393.75</v>
      </c>
      <c r="FW20">
        <v>3000</v>
      </c>
      <c r="FX20">
        <v>393.75</v>
      </c>
      <c r="GC20">
        <v>3905.950043184831</v>
      </c>
      <c r="GD20">
        <v>1359.5567020080759</v>
      </c>
      <c r="GK20">
        <v>403</v>
      </c>
      <c r="GL20">
        <v>0.5</v>
      </c>
      <c r="GM20">
        <v>415</v>
      </c>
      <c r="GN20">
        <v>0.53500000000000003</v>
      </c>
      <c r="GS20">
        <v>5000</v>
      </c>
      <c r="GT20">
        <v>1022.274389807265</v>
      </c>
      <c r="GU20">
        <v>4808.3419580395002</v>
      </c>
      <c r="GV20">
        <v>802.27438980726458</v>
      </c>
      <c r="HA20">
        <v>3000</v>
      </c>
      <c r="HB20">
        <v>400</v>
      </c>
      <c r="HK20">
        <v>2276.1821968596291</v>
      </c>
      <c r="HL20">
        <v>884.52305988972296</v>
      </c>
      <c r="HO20">
        <v>2482.5937466726268</v>
      </c>
      <c r="HP20">
        <v>389.14077276127358</v>
      </c>
      <c r="HS20">
        <v>2700.0959327211181</v>
      </c>
      <c r="HT20">
        <v>1585.1958650714171</v>
      </c>
      <c r="HY20">
        <v>863.59423854940485</v>
      </c>
      <c r="HZ20">
        <v>400.23900848396443</v>
      </c>
      <c r="IA20">
        <v>1482.1494233045121</v>
      </c>
      <c r="IB20">
        <v>517.40182463843212</v>
      </c>
      <c r="II20">
        <v>2377.4490574983938</v>
      </c>
      <c r="IJ20">
        <v>454.33060186667768</v>
      </c>
      <c r="IK20">
        <v>3016.9682078659471</v>
      </c>
      <c r="IL20">
        <v>380.17412310523622</v>
      </c>
      <c r="IQ20">
        <v>2115.3531418416651</v>
      </c>
      <c r="IR20">
        <v>1567.9328171477889</v>
      </c>
      <c r="IS20">
        <v>2342.332034309009</v>
      </c>
      <c r="IT20">
        <v>976.00198830363445</v>
      </c>
      <c r="IW20">
        <v>3643.202070305616</v>
      </c>
      <c r="IX20">
        <v>1264.8305205265319</v>
      </c>
      <c r="IY20">
        <v>3081.2227517996171</v>
      </c>
      <c r="IZ20">
        <v>882.45359696133471</v>
      </c>
      <c r="JA20">
        <v>4691.0498724145637</v>
      </c>
      <c r="JB20">
        <v>1206.0512101101519</v>
      </c>
      <c r="KE20">
        <v>3773.4904484132248</v>
      </c>
      <c r="KF20">
        <v>490.21628444536788</v>
      </c>
      <c r="LK20">
        <v>492.09792925348688</v>
      </c>
      <c r="LL20">
        <v>0.70447675083653816</v>
      </c>
      <c r="ME20">
        <v>1352.135459859742</v>
      </c>
      <c r="MF20">
        <v>284.82237969729618</v>
      </c>
      <c r="MI20">
        <v>519.84195531004866</v>
      </c>
      <c r="MJ20">
        <v>286.24097905725449</v>
      </c>
      <c r="MQ20">
        <v>1773.9561997578969</v>
      </c>
      <c r="MR20">
        <v>474.9940984443096</v>
      </c>
      <c r="NE20">
        <v>3300</v>
      </c>
      <c r="NF20">
        <v>670</v>
      </c>
      <c r="NU20">
        <v>900</v>
      </c>
      <c r="NV20">
        <v>0.76</v>
      </c>
      <c r="NW20">
        <v>300</v>
      </c>
      <c r="NX20">
        <v>0.65</v>
      </c>
      <c r="OA20">
        <v>200</v>
      </c>
      <c r="OB20">
        <v>0.45</v>
      </c>
    </row>
    <row r="21" spans="7:392" x14ac:dyDescent="0.3">
      <c r="G21">
        <v>3000</v>
      </c>
      <c r="H21">
        <v>0.5</v>
      </c>
      <c r="S21">
        <v>1418.181818181818</v>
      </c>
      <c r="T21">
        <v>0.78</v>
      </c>
      <c r="Y21">
        <v>1563.636363636364</v>
      </c>
      <c r="Z21">
        <v>403</v>
      </c>
      <c r="AA21">
        <v>1709.090909090909</v>
      </c>
      <c r="AB21">
        <v>466</v>
      </c>
      <c r="AI21">
        <v>0.8</v>
      </c>
      <c r="AJ21">
        <v>0.49375000000000002</v>
      </c>
      <c r="AM21">
        <v>0.45</v>
      </c>
      <c r="AN21">
        <v>0.85</v>
      </c>
      <c r="AQ21">
        <v>0.75</v>
      </c>
      <c r="AR21">
        <v>0.5</v>
      </c>
      <c r="AY21">
        <v>981.81818181818198</v>
      </c>
      <c r="AZ21">
        <v>0.6</v>
      </c>
      <c r="BM21">
        <v>750</v>
      </c>
      <c r="BN21">
        <v>288.14999999999998</v>
      </c>
      <c r="BO21">
        <v>318.75</v>
      </c>
      <c r="BP21">
        <v>283.14999999999998</v>
      </c>
      <c r="BU21">
        <v>1200</v>
      </c>
      <c r="BV21">
        <v>288.14999999999998</v>
      </c>
      <c r="BW21">
        <v>675</v>
      </c>
      <c r="BX21">
        <v>300.032917</v>
      </c>
      <c r="CC21">
        <v>1500</v>
      </c>
      <c r="CD21">
        <v>300.032917</v>
      </c>
      <c r="CE21">
        <v>750</v>
      </c>
      <c r="CF21">
        <v>293.14999999999998</v>
      </c>
      <c r="CQ21">
        <v>1500</v>
      </c>
      <c r="CR21">
        <v>283.14999999999998</v>
      </c>
      <c r="DA21">
        <v>2262.4701685262412</v>
      </c>
      <c r="DB21">
        <v>1454.83498234847</v>
      </c>
      <c r="DC21">
        <v>3206.4409362493971</v>
      </c>
      <c r="DD21">
        <v>577.37554436747882</v>
      </c>
      <c r="DE21">
        <v>4139.0756485346556</v>
      </c>
      <c r="DF21">
        <v>379.12659497671069</v>
      </c>
      <c r="DG21">
        <v>2171.2918927956262</v>
      </c>
      <c r="DH21">
        <v>962.64098893772598</v>
      </c>
      <c r="DI21">
        <v>3655.0315704537861</v>
      </c>
      <c r="DJ21">
        <v>2494.5286687783441</v>
      </c>
      <c r="DK21">
        <v>4027.3023236173381</v>
      </c>
      <c r="DL21">
        <v>2007.8300794441741</v>
      </c>
      <c r="DS21">
        <v>4453.2411436965631</v>
      </c>
      <c r="DT21">
        <v>481.31084552041091</v>
      </c>
      <c r="DW21">
        <v>3010.748483926257</v>
      </c>
      <c r="DX21">
        <v>1093.290578471443</v>
      </c>
      <c r="EA21">
        <v>566.44310063500461</v>
      </c>
      <c r="EB21">
        <v>0.54640245295365664</v>
      </c>
      <c r="EC21">
        <v>415.02068474468092</v>
      </c>
      <c r="ED21">
        <v>0.76671977759614962</v>
      </c>
      <c r="EE21">
        <v>569.31732118404807</v>
      </c>
      <c r="EF21">
        <v>0.80349739156606304</v>
      </c>
      <c r="EI21">
        <v>516.59468822510667</v>
      </c>
      <c r="EJ21">
        <v>0.5051627818746256</v>
      </c>
      <c r="EK21">
        <v>522.4346026969514</v>
      </c>
      <c r="EL21">
        <v>0.77500315068683967</v>
      </c>
      <c r="EM21">
        <v>547.08163262208984</v>
      </c>
      <c r="EN21">
        <v>0.75754808763655668</v>
      </c>
      <c r="EQ21">
        <v>304.45500055856502</v>
      </c>
      <c r="ER21">
        <v>0.53214547404164236</v>
      </c>
      <c r="EU21">
        <v>926.48801974819139</v>
      </c>
      <c r="EV21">
        <v>0.64680685769367996</v>
      </c>
      <c r="EY21">
        <v>2533.5867398280479</v>
      </c>
      <c r="EZ21">
        <v>1555.389057277024</v>
      </c>
      <c r="FC21">
        <v>3592.8487942407519</v>
      </c>
      <c r="FD21">
        <v>887.80968567785874</v>
      </c>
      <c r="FE21">
        <v>395</v>
      </c>
      <c r="FF21">
        <v>0.9</v>
      </c>
      <c r="FG21">
        <v>397.5</v>
      </c>
      <c r="FH21">
        <v>0.9</v>
      </c>
      <c r="FM21">
        <v>3781.8230245237678</v>
      </c>
      <c r="FN21">
        <v>808.34025773909616</v>
      </c>
      <c r="FU21">
        <v>3000</v>
      </c>
      <c r="FV21">
        <v>393.75</v>
      </c>
      <c r="FW21">
        <v>2700</v>
      </c>
      <c r="FX21">
        <v>393.75</v>
      </c>
      <c r="GC21">
        <v>3905.950043184831</v>
      </c>
      <c r="GD21">
        <v>1359.5567020080759</v>
      </c>
      <c r="GK21">
        <v>415</v>
      </c>
      <c r="GL21">
        <v>0.5</v>
      </c>
      <c r="GM21">
        <v>415</v>
      </c>
      <c r="GN21">
        <v>0.5</v>
      </c>
      <c r="GS21">
        <v>4508.3419580395002</v>
      </c>
      <c r="GT21">
        <v>1022.274389807265</v>
      </c>
      <c r="GU21">
        <v>4808.3419580395002</v>
      </c>
      <c r="GV21">
        <v>1022.274389807265</v>
      </c>
      <c r="HA21">
        <v>3000</v>
      </c>
      <c r="HB21">
        <v>563.63636363636374</v>
      </c>
      <c r="HK21">
        <v>4555.2780879880147</v>
      </c>
      <c r="HL21">
        <v>643.37594931989474</v>
      </c>
      <c r="HO21">
        <v>2680.201092388168</v>
      </c>
      <c r="HP21">
        <v>426.19411498846762</v>
      </c>
      <c r="HS21">
        <v>4297.3728630861606</v>
      </c>
      <c r="HT21">
        <v>616.78070849260848</v>
      </c>
      <c r="IA21">
        <v>466.06143880214478</v>
      </c>
      <c r="IB21">
        <v>419.2222620450907</v>
      </c>
      <c r="II21">
        <v>3492.7671265031631</v>
      </c>
      <c r="IJ21">
        <v>382.5336586213046</v>
      </c>
      <c r="IK21">
        <v>4894.258720133168</v>
      </c>
      <c r="IL21">
        <v>441.8202197720118</v>
      </c>
      <c r="IQ21">
        <v>3711.9446252511771</v>
      </c>
      <c r="IR21">
        <v>954.78604765241164</v>
      </c>
      <c r="IS21">
        <v>4458.1240482106186</v>
      </c>
      <c r="IT21">
        <v>1548.1507894490469</v>
      </c>
      <c r="IW21">
        <v>4072.3250226760342</v>
      </c>
      <c r="IX21">
        <v>713.33855221746342</v>
      </c>
      <c r="IY21">
        <v>2440.7725909530259</v>
      </c>
      <c r="IZ21">
        <v>1139.3686354659981</v>
      </c>
      <c r="KE21">
        <v>2174.8579228249359</v>
      </c>
      <c r="KF21">
        <v>408.60394889652912</v>
      </c>
      <c r="LK21">
        <v>459.64178535434257</v>
      </c>
      <c r="LL21">
        <v>0.75106688507819697</v>
      </c>
      <c r="ME21">
        <v>609.23307998306336</v>
      </c>
      <c r="MF21">
        <v>292.88078663022787</v>
      </c>
      <c r="MI21">
        <v>511.79844042403352</v>
      </c>
      <c r="MJ21">
        <v>280.80987072431662</v>
      </c>
      <c r="MQ21">
        <v>550.69506758378634</v>
      </c>
      <c r="MR21">
        <v>471.97301124330983</v>
      </c>
      <c r="NE21">
        <v>3300</v>
      </c>
      <c r="NF21">
        <v>730</v>
      </c>
      <c r="NU21">
        <v>1000</v>
      </c>
      <c r="NV21">
        <v>0.76</v>
      </c>
      <c r="NW21">
        <v>400</v>
      </c>
      <c r="NX21">
        <v>0.65</v>
      </c>
      <c r="OA21">
        <v>600</v>
      </c>
      <c r="OB21">
        <v>0.45</v>
      </c>
    </row>
    <row r="22" spans="7:392" x14ac:dyDescent="0.3">
      <c r="G22">
        <v>3000</v>
      </c>
      <c r="H22">
        <v>0.5</v>
      </c>
      <c r="S22">
        <v>1563.636363636364</v>
      </c>
      <c r="T22">
        <v>0.78</v>
      </c>
      <c r="Y22">
        <v>2000</v>
      </c>
      <c r="Z22">
        <v>403</v>
      </c>
      <c r="AA22">
        <v>1854.545454545455</v>
      </c>
      <c r="AB22">
        <v>466</v>
      </c>
      <c r="AI22">
        <v>0.8</v>
      </c>
      <c r="AJ22">
        <v>0.703125</v>
      </c>
      <c r="AM22">
        <v>0.55000000000000004</v>
      </c>
      <c r="AN22">
        <v>0.85</v>
      </c>
      <c r="AQ22">
        <v>0.85</v>
      </c>
      <c r="AR22">
        <v>0.5</v>
      </c>
      <c r="AY22">
        <v>1127.2727272727279</v>
      </c>
      <c r="AZ22">
        <v>0.6</v>
      </c>
      <c r="BM22">
        <v>900</v>
      </c>
      <c r="BN22">
        <v>288.14999999999998</v>
      </c>
      <c r="BO22">
        <v>281.25</v>
      </c>
      <c r="BP22">
        <v>278.14999999999998</v>
      </c>
      <c r="BU22">
        <v>1350</v>
      </c>
      <c r="BV22">
        <v>288.14999999999998</v>
      </c>
      <c r="BW22">
        <v>675</v>
      </c>
      <c r="BX22">
        <v>300.032917</v>
      </c>
      <c r="CC22">
        <v>1125</v>
      </c>
      <c r="CD22">
        <v>293.14999999999998</v>
      </c>
      <c r="CE22">
        <v>1050</v>
      </c>
      <c r="CF22">
        <v>293.14999999999998</v>
      </c>
      <c r="CQ22">
        <v>300</v>
      </c>
      <c r="CR22">
        <v>288.14999999999998</v>
      </c>
      <c r="DA22">
        <v>4908.5147002447429</v>
      </c>
      <c r="DB22">
        <v>1268.657707014368</v>
      </c>
      <c r="DC22">
        <v>3899.2251228320879</v>
      </c>
      <c r="DD22">
        <v>987.85461202038402</v>
      </c>
      <c r="DE22">
        <v>2081.0523578992979</v>
      </c>
      <c r="DF22">
        <v>401.85024446344028</v>
      </c>
      <c r="DG22">
        <v>4946.5693647241069</v>
      </c>
      <c r="DH22">
        <v>948.77538894936515</v>
      </c>
      <c r="DI22">
        <v>3192.6319059430089</v>
      </c>
      <c r="DJ22">
        <v>1878.6605680440571</v>
      </c>
      <c r="DK22">
        <v>3819.720033286515</v>
      </c>
      <c r="DL22">
        <v>1501.2621549128989</v>
      </c>
      <c r="DS22">
        <v>2085.1158458045138</v>
      </c>
      <c r="DT22">
        <v>976.77855636983804</v>
      </c>
      <c r="DW22">
        <v>4893.4643993845821</v>
      </c>
      <c r="DX22">
        <v>1786.4112878574911</v>
      </c>
      <c r="EA22">
        <v>621.7738417497867</v>
      </c>
      <c r="EB22">
        <v>0.61373771982853553</v>
      </c>
      <c r="EC22">
        <v>489.41416794950169</v>
      </c>
      <c r="ED22">
        <v>0.59085289460873647</v>
      </c>
      <c r="EE22">
        <v>557.19890213596727</v>
      </c>
      <c r="EF22">
        <v>0.83708714836608478</v>
      </c>
      <c r="EI22">
        <v>423.9356102567582</v>
      </c>
      <c r="EJ22">
        <v>0.51078497408459045</v>
      </c>
      <c r="EK22">
        <v>612.84750579547926</v>
      </c>
      <c r="EL22">
        <v>0.72273191232291734</v>
      </c>
      <c r="EM22">
        <v>432.51787924004702</v>
      </c>
      <c r="EN22">
        <v>0.78900355373942377</v>
      </c>
      <c r="EQ22">
        <v>403.1456792546187</v>
      </c>
      <c r="ER22">
        <v>0.60578176259434779</v>
      </c>
      <c r="EU22">
        <v>1244.77913727849</v>
      </c>
      <c r="EV22">
        <v>0.67108146578724082</v>
      </c>
      <c r="EY22">
        <v>2053.9324959287819</v>
      </c>
      <c r="EZ22">
        <v>1698.2690537172141</v>
      </c>
      <c r="FC22">
        <v>4597.2100868740736</v>
      </c>
      <c r="FD22">
        <v>1965.7826174441579</v>
      </c>
      <c r="FE22">
        <v>397.5</v>
      </c>
      <c r="FF22">
        <v>0.9</v>
      </c>
      <c r="FG22">
        <v>400</v>
      </c>
      <c r="FH22">
        <v>0.9</v>
      </c>
      <c r="FM22">
        <v>3781.8230245237678</v>
      </c>
      <c r="FN22">
        <v>808.34025773909616</v>
      </c>
      <c r="FU22">
        <v>3000</v>
      </c>
      <c r="FV22">
        <v>393.75</v>
      </c>
      <c r="FW22">
        <v>3000</v>
      </c>
      <c r="FX22">
        <v>300</v>
      </c>
      <c r="GC22">
        <v>3905.950043184831</v>
      </c>
      <c r="GD22">
        <v>1359.5567020080759</v>
      </c>
      <c r="GK22">
        <v>391</v>
      </c>
      <c r="GL22">
        <v>0.5</v>
      </c>
      <c r="GM22">
        <v>415</v>
      </c>
      <c r="GN22">
        <v>0.5</v>
      </c>
      <c r="GS22">
        <v>4808.3419580395002</v>
      </c>
      <c r="GT22">
        <v>1242.274389807264</v>
      </c>
      <c r="GU22">
        <v>4808.3419580395002</v>
      </c>
      <c r="GV22">
        <v>1022.274389807265</v>
      </c>
      <c r="HK22">
        <v>4652.1027285428318</v>
      </c>
      <c r="HL22">
        <v>1364.7292239732619</v>
      </c>
      <c r="HO22">
        <v>4386.7880762824043</v>
      </c>
      <c r="HP22">
        <v>1404.4876908163089</v>
      </c>
      <c r="HS22">
        <v>3095.3871091551141</v>
      </c>
      <c r="HT22">
        <v>1340.843494068004</v>
      </c>
      <c r="IA22">
        <v>1548.671522489014</v>
      </c>
      <c r="IB22">
        <v>485.83074589573192</v>
      </c>
      <c r="II22">
        <v>4239.4667640229763</v>
      </c>
      <c r="IJ22">
        <v>466.38189786401671</v>
      </c>
      <c r="IK22">
        <v>4837.3577598036809</v>
      </c>
      <c r="IL22">
        <v>482.11025366161158</v>
      </c>
      <c r="IQ22">
        <v>2495.5446955987259</v>
      </c>
      <c r="IR22">
        <v>1208.6702805883961</v>
      </c>
      <c r="IS22">
        <v>2176.774072315784</v>
      </c>
      <c r="IT22">
        <v>379.34369788350358</v>
      </c>
      <c r="IW22">
        <v>3900.1153175608461</v>
      </c>
      <c r="IX22">
        <v>1541.6979963214239</v>
      </c>
      <c r="IY22">
        <v>4606.8618854947163</v>
      </c>
      <c r="IZ22">
        <v>589.54497930537445</v>
      </c>
      <c r="ME22">
        <v>697.48676001964168</v>
      </c>
      <c r="MF22">
        <v>283.56255014977262</v>
      </c>
      <c r="MI22">
        <v>491.77747658693067</v>
      </c>
      <c r="MJ22">
        <v>282.06366562351701</v>
      </c>
      <c r="MQ22">
        <v>688.06351292759973</v>
      </c>
      <c r="MR22">
        <v>431.24022653987601</v>
      </c>
      <c r="NE22">
        <v>3300</v>
      </c>
      <c r="NF22">
        <v>690</v>
      </c>
      <c r="NU22">
        <v>1100</v>
      </c>
      <c r="NV22">
        <v>0.76</v>
      </c>
      <c r="NW22">
        <v>200</v>
      </c>
      <c r="NX22">
        <v>0.65</v>
      </c>
      <c r="OA22">
        <v>700</v>
      </c>
      <c r="OB22">
        <v>0.45</v>
      </c>
    </row>
    <row r="23" spans="7:392" x14ac:dyDescent="0.3">
      <c r="G23">
        <v>3000</v>
      </c>
      <c r="H23">
        <v>0.5</v>
      </c>
      <c r="S23">
        <v>1854.545454545455</v>
      </c>
      <c r="T23">
        <v>0.78</v>
      </c>
      <c r="Y23">
        <v>836.36363636363637</v>
      </c>
      <c r="Z23">
        <v>420</v>
      </c>
      <c r="AA23">
        <v>2000</v>
      </c>
      <c r="AB23">
        <v>466</v>
      </c>
      <c r="AI23">
        <v>0.8</v>
      </c>
      <c r="AJ23">
        <v>0.671875</v>
      </c>
      <c r="AM23">
        <v>0.6</v>
      </c>
      <c r="AN23">
        <v>0.85</v>
      </c>
      <c r="AQ23">
        <v>0.89999999999999991</v>
      </c>
      <c r="AR23">
        <v>0.5</v>
      </c>
      <c r="AY23">
        <v>1272.727272727273</v>
      </c>
      <c r="AZ23">
        <v>0.6</v>
      </c>
      <c r="BM23">
        <v>1350</v>
      </c>
      <c r="BN23">
        <v>288.14999999999998</v>
      </c>
      <c r="BO23">
        <v>543.75</v>
      </c>
      <c r="BP23">
        <v>300.032917</v>
      </c>
      <c r="BU23">
        <v>1500</v>
      </c>
      <c r="BV23">
        <v>288.14999999999998</v>
      </c>
      <c r="BW23">
        <v>712.5</v>
      </c>
      <c r="BX23">
        <v>300.032917</v>
      </c>
      <c r="CC23">
        <v>1125</v>
      </c>
      <c r="CD23">
        <v>293.14999999999998</v>
      </c>
      <c r="CE23">
        <v>150</v>
      </c>
      <c r="CF23">
        <v>300.032917</v>
      </c>
      <c r="CQ23">
        <v>150</v>
      </c>
      <c r="CR23">
        <v>288.14999999999998</v>
      </c>
      <c r="DA23">
        <v>3915.7974149588808</v>
      </c>
      <c r="DB23">
        <v>1047.0921937041351</v>
      </c>
      <c r="DC23">
        <v>3514.7013689886189</v>
      </c>
      <c r="DD23">
        <v>586.93843388817209</v>
      </c>
      <c r="DE23">
        <v>4824.7091835220554</v>
      </c>
      <c r="DF23">
        <v>340.16206457801002</v>
      </c>
      <c r="DG23">
        <v>4851.7531111188709</v>
      </c>
      <c r="DH23">
        <v>821.59959528053378</v>
      </c>
      <c r="DI23">
        <v>2825.2412429693331</v>
      </c>
      <c r="DJ23">
        <v>2184.5223140212051</v>
      </c>
      <c r="DK23">
        <v>3763.894804263703</v>
      </c>
      <c r="DL23">
        <v>1988.2223372834669</v>
      </c>
      <c r="DS23">
        <v>4278.9352897957579</v>
      </c>
      <c r="DT23">
        <v>1072.4232045456299</v>
      </c>
      <c r="DW23">
        <v>4918.1127765862821</v>
      </c>
      <c r="DX23">
        <v>1635.2715696706921</v>
      </c>
      <c r="EA23">
        <v>502.21927353802408</v>
      </c>
      <c r="EB23">
        <v>0.50632857667985032</v>
      </c>
      <c r="EC23">
        <v>510.8444477059914</v>
      </c>
      <c r="ED23">
        <v>0.73139701664439749</v>
      </c>
      <c r="EE23">
        <v>470.21055509050223</v>
      </c>
      <c r="EF23">
        <v>0.80913765372678881</v>
      </c>
      <c r="EI23">
        <v>587.85848894731032</v>
      </c>
      <c r="EJ23">
        <v>0.53519163068686737</v>
      </c>
      <c r="EK23">
        <v>460.41299915954812</v>
      </c>
      <c r="EL23">
        <v>0.80374957193040264</v>
      </c>
      <c r="EM23">
        <v>509.04920409439808</v>
      </c>
      <c r="EN23">
        <v>0.82185572016002251</v>
      </c>
      <c r="EQ23">
        <v>1168.2722221935619</v>
      </c>
      <c r="ER23">
        <v>0.78892957091959448</v>
      </c>
      <c r="EU23">
        <v>1443.808752355641</v>
      </c>
      <c r="EV23">
        <v>0.71797430889596192</v>
      </c>
      <c r="EY23">
        <v>2221.5808474651758</v>
      </c>
      <c r="EZ23">
        <v>1007.0137314659059</v>
      </c>
      <c r="FC23">
        <v>2717.2409486955312</v>
      </c>
      <c r="FD23">
        <v>1629.4517469263051</v>
      </c>
      <c r="FE23">
        <v>400</v>
      </c>
      <c r="FF23">
        <v>0.9</v>
      </c>
      <c r="FG23">
        <v>402.5</v>
      </c>
      <c r="FH23">
        <v>0.9</v>
      </c>
      <c r="FM23">
        <v>3781.8230245237678</v>
      </c>
      <c r="FN23">
        <v>808.34025773909616</v>
      </c>
      <c r="FU23">
        <v>3300</v>
      </c>
      <c r="FV23">
        <v>393.75</v>
      </c>
      <c r="FW23">
        <v>3000</v>
      </c>
      <c r="FX23">
        <v>393.75</v>
      </c>
      <c r="GC23">
        <v>3905.950043184831</v>
      </c>
      <c r="GD23">
        <v>1359.5567020080759</v>
      </c>
      <c r="GK23">
        <v>403</v>
      </c>
      <c r="GL23">
        <v>0.5</v>
      </c>
      <c r="GM23">
        <v>427</v>
      </c>
      <c r="GN23">
        <v>0.5</v>
      </c>
      <c r="GS23">
        <v>4808.3419580395002</v>
      </c>
      <c r="GT23">
        <v>1022.274389807265</v>
      </c>
      <c r="GU23">
        <v>4808.3419580395002</v>
      </c>
      <c r="GV23">
        <v>1022.274389807265</v>
      </c>
      <c r="HK23">
        <v>3718.5048944308101</v>
      </c>
      <c r="HL23">
        <v>508.9177783129735</v>
      </c>
      <c r="HO23">
        <v>2391.3444252070321</v>
      </c>
      <c r="HP23">
        <v>928.92842414346444</v>
      </c>
      <c r="HS23">
        <v>2812.895129703621</v>
      </c>
      <c r="HT23">
        <v>1469.8593625416991</v>
      </c>
      <c r="IA23">
        <v>1143.874309299714</v>
      </c>
      <c r="IB23">
        <v>488.94173612528982</v>
      </c>
      <c r="II23">
        <v>2939.6662682177162</v>
      </c>
      <c r="IJ23">
        <v>448.62998751017602</v>
      </c>
      <c r="IK23">
        <v>3309.9367252196271</v>
      </c>
      <c r="IL23">
        <v>426.15060690689791</v>
      </c>
      <c r="IQ23">
        <v>3759.1099931904009</v>
      </c>
      <c r="IR23">
        <v>1411.0891532950841</v>
      </c>
      <c r="IS23">
        <v>3501.844850064972</v>
      </c>
      <c r="IT23">
        <v>888.19440122953813</v>
      </c>
      <c r="IW23">
        <v>2342.97323951095</v>
      </c>
      <c r="IX23">
        <v>1816.8753192712061</v>
      </c>
      <c r="IY23">
        <v>2155.9627402589299</v>
      </c>
      <c r="IZ23">
        <v>1400.432978374904</v>
      </c>
      <c r="ME23">
        <v>517.96476594742478</v>
      </c>
      <c r="MF23">
        <v>290.34347471473421</v>
      </c>
      <c r="MI23">
        <v>417.07007118325549</v>
      </c>
      <c r="MJ23">
        <v>302.03806312500222</v>
      </c>
      <c r="NE23">
        <v>3300</v>
      </c>
      <c r="NF23">
        <v>870</v>
      </c>
      <c r="NU23">
        <v>1200</v>
      </c>
      <c r="NV23">
        <v>0.76</v>
      </c>
      <c r="NW23">
        <v>300</v>
      </c>
      <c r="NX23">
        <v>0.7</v>
      </c>
      <c r="OA23">
        <v>500</v>
      </c>
      <c r="OB23">
        <v>0.45</v>
      </c>
    </row>
    <row r="24" spans="7:392" x14ac:dyDescent="0.3">
      <c r="G24">
        <v>3000</v>
      </c>
      <c r="H24">
        <v>0.5</v>
      </c>
      <c r="S24">
        <v>1709.090909090909</v>
      </c>
      <c r="T24">
        <v>0.78</v>
      </c>
      <c r="Y24">
        <v>1127.2727272727279</v>
      </c>
      <c r="Z24">
        <v>420</v>
      </c>
      <c r="AA24">
        <v>400</v>
      </c>
      <c r="AB24">
        <v>497</v>
      </c>
      <c r="AI24">
        <v>0.8</v>
      </c>
      <c r="AJ24">
        <v>0.50312500000000004</v>
      </c>
      <c r="AM24">
        <v>0.7</v>
      </c>
      <c r="AN24">
        <v>0.85</v>
      </c>
      <c r="AQ24">
        <v>0.95</v>
      </c>
      <c r="AR24">
        <v>0.5</v>
      </c>
      <c r="AY24">
        <v>1418.181818181818</v>
      </c>
      <c r="AZ24">
        <v>0.6</v>
      </c>
      <c r="BM24">
        <v>1050</v>
      </c>
      <c r="BN24">
        <v>288.14999999999998</v>
      </c>
      <c r="BO24">
        <v>543.75</v>
      </c>
      <c r="BP24">
        <v>300.032917</v>
      </c>
      <c r="BU24">
        <v>750</v>
      </c>
      <c r="BV24">
        <v>293.14999999999998</v>
      </c>
      <c r="BW24">
        <v>712.5</v>
      </c>
      <c r="BX24">
        <v>300.032917</v>
      </c>
      <c r="CC24">
        <v>862.5</v>
      </c>
      <c r="CD24">
        <v>283.14999999999998</v>
      </c>
      <c r="CE24">
        <v>300</v>
      </c>
      <c r="CF24">
        <v>300.032917</v>
      </c>
      <c r="CQ24">
        <v>450</v>
      </c>
      <c r="CR24">
        <v>288.14999999999998</v>
      </c>
      <c r="DA24">
        <v>3349.66301260008</v>
      </c>
      <c r="DB24">
        <v>1354.066158881679</v>
      </c>
      <c r="DC24">
        <v>4546.3400131625676</v>
      </c>
      <c r="DD24">
        <v>495.37017408384202</v>
      </c>
      <c r="DE24">
        <v>2410.5086122380399</v>
      </c>
      <c r="DF24">
        <v>362.75858533845332</v>
      </c>
      <c r="DG24">
        <v>2753.6006857557418</v>
      </c>
      <c r="DH24">
        <v>1280.721496143582</v>
      </c>
      <c r="DI24">
        <v>3842.3588158538</v>
      </c>
      <c r="DJ24">
        <v>1741.88695844015</v>
      </c>
      <c r="DK24">
        <v>4388.9148204142766</v>
      </c>
      <c r="DL24">
        <v>2153.603666861276</v>
      </c>
      <c r="DS24">
        <v>2917.9898505253632</v>
      </c>
      <c r="DT24">
        <v>1215.632736319139</v>
      </c>
      <c r="DW24">
        <v>4963.5686201974167</v>
      </c>
      <c r="DX24">
        <v>700.60688950545796</v>
      </c>
      <c r="EA24">
        <v>541.36811716596605</v>
      </c>
      <c r="EB24">
        <v>0.57280179600700065</v>
      </c>
      <c r="EC24">
        <v>503.83652268951488</v>
      </c>
      <c r="ED24">
        <v>0.69793070738171026</v>
      </c>
      <c r="EE24">
        <v>585.21365528485887</v>
      </c>
      <c r="EF24">
        <v>0.82360195731640473</v>
      </c>
      <c r="EI24">
        <v>584.27327726778697</v>
      </c>
      <c r="EJ24">
        <v>0.57858931028801752</v>
      </c>
      <c r="EK24">
        <v>421.66968407926049</v>
      </c>
      <c r="EL24">
        <v>0.63043297661475772</v>
      </c>
      <c r="EM24">
        <v>489.28806415754462</v>
      </c>
      <c r="EN24">
        <v>0.73144094649813185</v>
      </c>
      <c r="EQ24">
        <v>693.36599155219608</v>
      </c>
      <c r="ER24">
        <v>0.73125292138063536</v>
      </c>
      <c r="EU24">
        <v>1721.464243854768</v>
      </c>
      <c r="EV24">
        <v>0.58097422057185621</v>
      </c>
      <c r="EY24">
        <v>4229.7026443505383</v>
      </c>
      <c r="EZ24">
        <v>788.28923071692464</v>
      </c>
      <c r="FC24">
        <v>3914.4647998363998</v>
      </c>
      <c r="FD24">
        <v>583.38897236680009</v>
      </c>
      <c r="FE24">
        <v>402.5</v>
      </c>
      <c r="FF24">
        <v>0.9</v>
      </c>
      <c r="FG24">
        <v>405</v>
      </c>
      <c r="FH24">
        <v>0.9</v>
      </c>
      <c r="FM24">
        <v>4081.8230245237678</v>
      </c>
      <c r="FN24">
        <v>808.34025773909616</v>
      </c>
      <c r="FU24">
        <v>3000</v>
      </c>
      <c r="FV24">
        <v>613.75</v>
      </c>
      <c r="FW24">
        <v>3000</v>
      </c>
      <c r="FX24">
        <v>393.75</v>
      </c>
      <c r="GC24">
        <v>3905.950043184831</v>
      </c>
      <c r="GD24">
        <v>1359.5567020080759</v>
      </c>
      <c r="GK24">
        <v>403</v>
      </c>
      <c r="GL24">
        <v>0.5</v>
      </c>
      <c r="GM24">
        <v>415</v>
      </c>
      <c r="GN24">
        <v>0.53500000000000003</v>
      </c>
      <c r="GS24">
        <v>4808.3419580395002</v>
      </c>
      <c r="GT24">
        <v>1022.274389807265</v>
      </c>
      <c r="GU24">
        <v>5000</v>
      </c>
      <c r="GV24">
        <v>1022.274389807265</v>
      </c>
      <c r="HK24">
        <v>3511.1155252934468</v>
      </c>
      <c r="HL24">
        <v>1241.100319129622</v>
      </c>
      <c r="HO24">
        <v>2611.2023076655641</v>
      </c>
      <c r="HP24">
        <v>1505.223808681337</v>
      </c>
      <c r="HS24">
        <v>3958.6663132225299</v>
      </c>
      <c r="HT24">
        <v>1041.1683180807011</v>
      </c>
      <c r="IA24">
        <v>749.40406035873866</v>
      </c>
      <c r="IB24">
        <v>386.66160149549069</v>
      </c>
      <c r="II24">
        <v>4637.3439789943877</v>
      </c>
      <c r="IJ24">
        <v>446.93694949662688</v>
      </c>
      <c r="IK24">
        <v>3636.7336440686222</v>
      </c>
      <c r="IL24">
        <v>419.10163018345452</v>
      </c>
      <c r="IQ24">
        <v>2764.591319773951</v>
      </c>
      <c r="IR24">
        <v>1155.5263250655221</v>
      </c>
      <c r="IS24">
        <v>3821.8371627493179</v>
      </c>
      <c r="IT24">
        <v>557.46726903843546</v>
      </c>
      <c r="IW24">
        <v>2718.760757600955</v>
      </c>
      <c r="IX24">
        <v>1895.182987385153</v>
      </c>
      <c r="IY24">
        <v>3294.0065627405861</v>
      </c>
      <c r="IZ24">
        <v>1001.571043316357</v>
      </c>
      <c r="ME24">
        <v>879.4684061067735</v>
      </c>
      <c r="MF24">
        <v>297.56496720060869</v>
      </c>
      <c r="NE24">
        <v>3300</v>
      </c>
      <c r="NF24">
        <v>890</v>
      </c>
      <c r="NU24">
        <v>700</v>
      </c>
      <c r="NV24">
        <v>0.79</v>
      </c>
      <c r="NW24">
        <v>200</v>
      </c>
      <c r="NX24">
        <v>0.7</v>
      </c>
      <c r="OA24">
        <v>400</v>
      </c>
      <c r="OB24">
        <v>0.45</v>
      </c>
    </row>
    <row r="25" spans="7:392" x14ac:dyDescent="0.3">
      <c r="G25">
        <v>3000</v>
      </c>
      <c r="H25">
        <v>0.5</v>
      </c>
      <c r="S25">
        <v>2000</v>
      </c>
      <c r="T25">
        <v>0.78</v>
      </c>
      <c r="Y25">
        <v>981.81818181818198</v>
      </c>
      <c r="Z25">
        <v>420</v>
      </c>
      <c r="AA25">
        <v>545.4545454545455</v>
      </c>
      <c r="AB25">
        <v>497</v>
      </c>
      <c r="AI25">
        <v>0.8</v>
      </c>
      <c r="AJ25">
        <v>0.49687500000000001</v>
      </c>
      <c r="AM25">
        <v>0.75</v>
      </c>
      <c r="AN25">
        <v>0.85</v>
      </c>
      <c r="AQ25">
        <v>0.4</v>
      </c>
      <c r="AR25">
        <v>0.6</v>
      </c>
      <c r="AY25">
        <v>1563.636363636364</v>
      </c>
      <c r="AZ25">
        <v>0.6</v>
      </c>
      <c r="BM25">
        <v>1500</v>
      </c>
      <c r="BN25">
        <v>288.14999999999998</v>
      </c>
      <c r="BO25">
        <v>384.375</v>
      </c>
      <c r="BP25">
        <v>288.14999999999998</v>
      </c>
      <c r="BU25">
        <v>900</v>
      </c>
      <c r="BV25">
        <v>293.14999999999998</v>
      </c>
      <c r="BW25">
        <v>731.25</v>
      </c>
      <c r="BX25">
        <v>300.032917</v>
      </c>
      <c r="CC25">
        <v>862.5</v>
      </c>
      <c r="CD25">
        <v>283.14999999999998</v>
      </c>
      <c r="CE25">
        <v>450</v>
      </c>
      <c r="CF25">
        <v>300.032917</v>
      </c>
      <c r="CQ25">
        <v>600</v>
      </c>
      <c r="CR25">
        <v>288.14999999999998</v>
      </c>
      <c r="DA25">
        <v>3672.889560886802</v>
      </c>
      <c r="DB25">
        <v>1143.9190762883941</v>
      </c>
      <c r="DC25">
        <v>2160.485723338179</v>
      </c>
      <c r="DD25">
        <v>451.18496691954749</v>
      </c>
      <c r="DG25">
        <v>4536.4543133991274</v>
      </c>
      <c r="DH25">
        <v>328.58436098782579</v>
      </c>
      <c r="DI25">
        <v>3888.4932927735949</v>
      </c>
      <c r="DJ25">
        <v>2023.6196367769039</v>
      </c>
      <c r="DK25">
        <v>4561.0031733543065</v>
      </c>
      <c r="DL25">
        <v>2000.448736805984</v>
      </c>
      <c r="DS25">
        <v>2281.4903904499838</v>
      </c>
      <c r="DT25">
        <v>1492.1548126823359</v>
      </c>
      <c r="DW25">
        <v>3743.7894630672322</v>
      </c>
      <c r="DX25">
        <v>1177.6895047512739</v>
      </c>
      <c r="EA25">
        <v>466.57956014236407</v>
      </c>
      <c r="EB25">
        <v>0.58430098632756966</v>
      </c>
      <c r="EC25">
        <v>603.54562119817967</v>
      </c>
      <c r="ED25">
        <v>0.50084274026185438</v>
      </c>
      <c r="EE25">
        <v>596.04316243164203</v>
      </c>
      <c r="EF25">
        <v>0.58117508114257099</v>
      </c>
      <c r="EI25">
        <v>398.18507032709613</v>
      </c>
      <c r="EJ25">
        <v>0.52388618315229663</v>
      </c>
      <c r="EK25">
        <v>613.96059935417043</v>
      </c>
      <c r="EL25">
        <v>0.62115555015666457</v>
      </c>
      <c r="EM25">
        <v>571.95577240864225</v>
      </c>
      <c r="EN25">
        <v>0.82964019971463165</v>
      </c>
      <c r="EQ25">
        <v>1417.0309684811509</v>
      </c>
      <c r="ER25">
        <v>0.60851033545627264</v>
      </c>
      <c r="EU25">
        <v>242.23288705667659</v>
      </c>
      <c r="EV25">
        <v>0.78721242607280284</v>
      </c>
      <c r="EY25">
        <v>4654.5595451602203</v>
      </c>
      <c r="EZ25">
        <v>1363.193773342409</v>
      </c>
      <c r="FC25">
        <v>4873.2433961331153</v>
      </c>
      <c r="FD25">
        <v>1850.891366576983</v>
      </c>
      <c r="FE25">
        <v>405</v>
      </c>
      <c r="FF25">
        <v>0.9</v>
      </c>
      <c r="FG25">
        <v>407.5</v>
      </c>
      <c r="FH25">
        <v>0.9</v>
      </c>
      <c r="FM25">
        <v>3481.8230245237678</v>
      </c>
      <c r="FN25">
        <v>808.34025773909616</v>
      </c>
      <c r="FU25">
        <v>3000</v>
      </c>
      <c r="FV25">
        <v>393.75</v>
      </c>
      <c r="FW25">
        <v>3000</v>
      </c>
      <c r="FX25">
        <v>393.75</v>
      </c>
      <c r="GC25">
        <v>3905.950043184831</v>
      </c>
      <c r="GD25">
        <v>1359.5567020080759</v>
      </c>
      <c r="GK25">
        <v>403</v>
      </c>
      <c r="GL25">
        <v>0.5</v>
      </c>
      <c r="GM25">
        <v>415</v>
      </c>
      <c r="GN25">
        <v>0.5</v>
      </c>
      <c r="GS25">
        <v>4808.3419580395002</v>
      </c>
      <c r="GT25">
        <v>1022.274389807265</v>
      </c>
      <c r="GU25">
        <v>4808.3419580395002</v>
      </c>
      <c r="GV25">
        <v>802.27438980726458</v>
      </c>
      <c r="HK25">
        <v>3705.4595286151189</v>
      </c>
      <c r="HL25">
        <v>598.76957976649157</v>
      </c>
      <c r="HO25">
        <v>2797.289610968453</v>
      </c>
      <c r="HP25">
        <v>1412.658312310471</v>
      </c>
      <c r="HS25">
        <v>3463.2260439914912</v>
      </c>
      <c r="HT25">
        <v>1011.05225480979</v>
      </c>
      <c r="IA25">
        <v>1006.755202959311</v>
      </c>
      <c r="IB25">
        <v>519.22544465137867</v>
      </c>
      <c r="II25">
        <v>3929.4704357926039</v>
      </c>
      <c r="IJ25">
        <v>477.91198661230402</v>
      </c>
      <c r="IK25">
        <v>3433.4216054365288</v>
      </c>
      <c r="IL25">
        <v>383.66584062375779</v>
      </c>
      <c r="IQ25">
        <v>2593.5819605569268</v>
      </c>
      <c r="IR25">
        <v>918.31903577510241</v>
      </c>
      <c r="IS25">
        <v>3433.368623997168</v>
      </c>
      <c r="IT25">
        <v>1382.373048894998</v>
      </c>
      <c r="IW25">
        <v>4897.1461135887939</v>
      </c>
      <c r="IX25">
        <v>825.84493030020417</v>
      </c>
      <c r="IY25">
        <v>4750.0274273257546</v>
      </c>
      <c r="IZ25">
        <v>1040.17912341992</v>
      </c>
      <c r="ME25">
        <v>1159.515589126964</v>
      </c>
      <c r="MF25">
        <v>280.628099726345</v>
      </c>
      <c r="NE25">
        <v>3300</v>
      </c>
      <c r="NF25">
        <v>810</v>
      </c>
      <c r="NU25">
        <v>800</v>
      </c>
      <c r="NV25">
        <v>0.79</v>
      </c>
      <c r="NW25">
        <v>400</v>
      </c>
      <c r="NX25">
        <v>0.7</v>
      </c>
      <c r="OA25">
        <v>300</v>
      </c>
      <c r="OB25">
        <v>0.45</v>
      </c>
    </row>
    <row r="26" spans="7:392" x14ac:dyDescent="0.3">
      <c r="G26">
        <v>3000</v>
      </c>
      <c r="H26">
        <v>0.5</v>
      </c>
      <c r="S26">
        <v>400</v>
      </c>
      <c r="T26">
        <v>0.81</v>
      </c>
      <c r="Y26">
        <v>1272.727272727273</v>
      </c>
      <c r="Z26">
        <v>420</v>
      </c>
      <c r="AA26">
        <v>690.90909090909099</v>
      </c>
      <c r="AB26">
        <v>497</v>
      </c>
      <c r="AM26">
        <v>0.65</v>
      </c>
      <c r="AN26">
        <v>0.85</v>
      </c>
      <c r="AQ26">
        <v>0.45</v>
      </c>
      <c r="AR26">
        <v>0.6</v>
      </c>
      <c r="AY26">
        <v>1709.090909090909</v>
      </c>
      <c r="AZ26">
        <v>0.6</v>
      </c>
      <c r="BM26">
        <v>1200</v>
      </c>
      <c r="BN26">
        <v>288.14999999999998</v>
      </c>
      <c r="BO26">
        <v>328.125</v>
      </c>
      <c r="BP26">
        <v>283.14999999999998</v>
      </c>
      <c r="BU26">
        <v>1050</v>
      </c>
      <c r="BV26">
        <v>293.14999999999998</v>
      </c>
      <c r="BW26">
        <v>731.25</v>
      </c>
      <c r="BX26">
        <v>300.032917</v>
      </c>
      <c r="CC26">
        <v>1012.5</v>
      </c>
      <c r="CD26">
        <v>288.14999999999998</v>
      </c>
      <c r="CE26">
        <v>600</v>
      </c>
      <c r="CF26">
        <v>300.032917</v>
      </c>
      <c r="CQ26">
        <v>750</v>
      </c>
      <c r="CR26">
        <v>288.14999999999998</v>
      </c>
      <c r="DA26">
        <v>2155.0565788625609</v>
      </c>
      <c r="DB26">
        <v>1187.0294111923299</v>
      </c>
      <c r="DC26">
        <v>4238.795622881742</v>
      </c>
      <c r="DD26">
        <v>1208.258783111841</v>
      </c>
      <c r="DG26">
        <v>2931.4705712881041</v>
      </c>
      <c r="DH26">
        <v>1223.3270620521289</v>
      </c>
      <c r="DI26">
        <v>2447.7326581244611</v>
      </c>
      <c r="DJ26">
        <v>1907.207517585249</v>
      </c>
      <c r="DK26">
        <v>2244.6492488026652</v>
      </c>
      <c r="DL26">
        <v>1858.6537850475349</v>
      </c>
      <c r="DS26">
        <v>2576.2668072982478</v>
      </c>
      <c r="DT26">
        <v>301.32416839733878</v>
      </c>
      <c r="DW26">
        <v>4674.0676638283448</v>
      </c>
      <c r="DX26">
        <v>1126.8867559930129</v>
      </c>
      <c r="EA26">
        <v>516.51537253024503</v>
      </c>
      <c r="EB26">
        <v>0.69019364122122484</v>
      </c>
      <c r="EC26">
        <v>408.79278112425942</v>
      </c>
      <c r="ED26">
        <v>0.74145424207032018</v>
      </c>
      <c r="EE26">
        <v>475.6980483654508</v>
      </c>
      <c r="EF26">
        <v>0.75408342887960855</v>
      </c>
      <c r="EI26">
        <v>412.10892515567701</v>
      </c>
      <c r="EJ26">
        <v>0.56331590913070384</v>
      </c>
      <c r="EK26">
        <v>592.09766944740738</v>
      </c>
      <c r="EL26">
        <v>0.66939218053061689</v>
      </c>
      <c r="EM26">
        <v>586.09273894960961</v>
      </c>
      <c r="EN26">
        <v>0.55227162905136007</v>
      </c>
      <c r="EQ26">
        <v>574.1498330490839</v>
      </c>
      <c r="ER26">
        <v>0.50472446966725149</v>
      </c>
      <c r="EU26">
        <v>1354.960781701227</v>
      </c>
      <c r="EV26">
        <v>0.75681390019218675</v>
      </c>
      <c r="EY26">
        <v>4642.2245574396911</v>
      </c>
      <c r="EZ26">
        <v>380.03069491222931</v>
      </c>
      <c r="FC26">
        <v>3609.8337794232239</v>
      </c>
      <c r="FD26">
        <v>640.33602155286655</v>
      </c>
      <c r="FE26">
        <v>407.5</v>
      </c>
      <c r="FF26">
        <v>0.9</v>
      </c>
      <c r="FG26">
        <v>410</v>
      </c>
      <c r="FH26">
        <v>0.9</v>
      </c>
      <c r="FM26">
        <v>3781.8230245237678</v>
      </c>
      <c r="FN26">
        <v>1028.3402577390959</v>
      </c>
      <c r="FU26">
        <v>3000</v>
      </c>
      <c r="FV26">
        <v>393.75</v>
      </c>
      <c r="FW26">
        <v>3000</v>
      </c>
      <c r="FX26">
        <v>393.75</v>
      </c>
      <c r="GC26">
        <v>3905.950043184831</v>
      </c>
      <c r="GD26">
        <v>1359.5567020080759</v>
      </c>
      <c r="GK26">
        <v>403</v>
      </c>
      <c r="GL26">
        <v>0.5</v>
      </c>
      <c r="GM26">
        <v>427</v>
      </c>
      <c r="GN26">
        <v>0.5</v>
      </c>
      <c r="GS26">
        <v>4808.3419580395002</v>
      </c>
      <c r="GT26">
        <v>1022.274389807265</v>
      </c>
      <c r="GU26">
        <v>4808.3419580395002</v>
      </c>
      <c r="GV26">
        <v>1022.274389807265</v>
      </c>
      <c r="HK26">
        <v>3273.705587787349</v>
      </c>
      <c r="HL26">
        <v>813.4598554704487</v>
      </c>
      <c r="HO26">
        <v>4802.001829474736</v>
      </c>
      <c r="HP26">
        <v>588.77070042723369</v>
      </c>
      <c r="HS26">
        <v>2386.906949143377</v>
      </c>
      <c r="HT26">
        <v>1442.4780598803729</v>
      </c>
      <c r="IA26">
        <v>1081.508132910307</v>
      </c>
      <c r="IB26">
        <v>415.19626599347998</v>
      </c>
      <c r="II26">
        <v>2543.991158250607</v>
      </c>
      <c r="IJ26">
        <v>470.31937240832218</v>
      </c>
      <c r="IK26">
        <v>2832.577281343034</v>
      </c>
      <c r="IL26">
        <v>384.22261591932983</v>
      </c>
      <c r="IQ26">
        <v>3935.2831073657858</v>
      </c>
      <c r="IR26">
        <v>1432.738228463194</v>
      </c>
      <c r="IS26">
        <v>2221.640114127998</v>
      </c>
      <c r="IT26">
        <v>528.8085837811293</v>
      </c>
      <c r="IW26">
        <v>3977.4673418463599</v>
      </c>
      <c r="IX26">
        <v>1074.5430421874901</v>
      </c>
      <c r="IY26">
        <v>2913.3647419325139</v>
      </c>
      <c r="IZ26">
        <v>1616.9728744329959</v>
      </c>
      <c r="ME26">
        <v>786.85422529636026</v>
      </c>
      <c r="MF26">
        <v>282.93258675835602</v>
      </c>
      <c r="NE26">
        <v>3300</v>
      </c>
      <c r="NF26">
        <v>950</v>
      </c>
      <c r="NU26">
        <v>900</v>
      </c>
      <c r="NV26">
        <v>0.79</v>
      </c>
    </row>
    <row r="27" spans="7:392" x14ac:dyDescent="0.3">
      <c r="G27">
        <v>3000</v>
      </c>
      <c r="H27">
        <v>0.5</v>
      </c>
      <c r="S27">
        <v>545.4545454545455</v>
      </c>
      <c r="T27">
        <v>0.81</v>
      </c>
      <c r="Y27">
        <v>1418.181818181818</v>
      </c>
      <c r="Z27">
        <v>420</v>
      </c>
      <c r="AA27">
        <v>836.36363636363637</v>
      </c>
      <c r="AB27">
        <v>497</v>
      </c>
      <c r="AM27">
        <v>0.8</v>
      </c>
      <c r="AN27">
        <v>0.85</v>
      </c>
      <c r="AQ27">
        <v>0.5</v>
      </c>
      <c r="AR27">
        <v>0.6</v>
      </c>
      <c r="AY27">
        <v>1854.545454545455</v>
      </c>
      <c r="AZ27">
        <v>0.6</v>
      </c>
      <c r="BM27">
        <v>600</v>
      </c>
      <c r="BN27">
        <v>293.14999999999998</v>
      </c>
      <c r="BO27">
        <v>328.125</v>
      </c>
      <c r="BP27">
        <v>283.14999999999998</v>
      </c>
      <c r="BU27">
        <v>1200</v>
      </c>
      <c r="BV27">
        <v>293.14999999999998</v>
      </c>
      <c r="BW27">
        <v>384.375</v>
      </c>
      <c r="BX27">
        <v>278.14999999999998</v>
      </c>
      <c r="CC27">
        <v>1012.5</v>
      </c>
      <c r="CD27">
        <v>288.14999999999998</v>
      </c>
      <c r="CE27">
        <v>750</v>
      </c>
      <c r="CF27">
        <v>300.032917</v>
      </c>
      <c r="CQ27">
        <v>1050</v>
      </c>
      <c r="CR27">
        <v>288.14999999999998</v>
      </c>
      <c r="DA27">
        <v>4615.2470220835476</v>
      </c>
      <c r="DB27">
        <v>1406.8932144172011</v>
      </c>
      <c r="DC27">
        <v>4680.8931842474076</v>
      </c>
      <c r="DD27">
        <v>1389.747100071894</v>
      </c>
      <c r="DG27">
        <v>4784.5106025892464</v>
      </c>
      <c r="DH27">
        <v>507.54537312511752</v>
      </c>
      <c r="DI27">
        <v>4608.0176387013344</v>
      </c>
      <c r="DJ27">
        <v>2069.9832516387942</v>
      </c>
      <c r="DK27">
        <v>3821.8460900889831</v>
      </c>
      <c r="DL27">
        <v>1697.526761536378</v>
      </c>
      <c r="DS27">
        <v>3471.4825750997111</v>
      </c>
      <c r="DT27">
        <v>1793.187018980638</v>
      </c>
      <c r="DW27">
        <v>2820.7482964229648</v>
      </c>
      <c r="DX27">
        <v>314.62968974670162</v>
      </c>
      <c r="EA27">
        <v>607.84431513036827</v>
      </c>
      <c r="EB27">
        <v>0.66912732605369207</v>
      </c>
      <c r="EC27">
        <v>446.00155831467731</v>
      </c>
      <c r="ED27">
        <v>0.67672397783718652</v>
      </c>
      <c r="EI27">
        <v>574.73264511376965</v>
      </c>
      <c r="EJ27">
        <v>0.52080470542183155</v>
      </c>
      <c r="EK27">
        <v>442.21304913984881</v>
      </c>
      <c r="EL27">
        <v>0.83600470589479259</v>
      </c>
      <c r="EM27">
        <v>384.39268332823377</v>
      </c>
      <c r="EN27">
        <v>0.80894176462188883</v>
      </c>
      <c r="EQ27">
        <v>1623.2849381842429</v>
      </c>
      <c r="ER27">
        <v>0.56499620980943999</v>
      </c>
      <c r="EU27">
        <v>984.78206921214917</v>
      </c>
      <c r="EV27">
        <v>0.82802266354813114</v>
      </c>
      <c r="EY27">
        <v>3085.144476148409</v>
      </c>
      <c r="EZ27">
        <v>1782.9854213850999</v>
      </c>
      <c r="FC27">
        <v>4115.1609226677592</v>
      </c>
      <c r="FD27">
        <v>1120.85803084535</v>
      </c>
      <c r="FE27">
        <v>410</v>
      </c>
      <c r="FF27">
        <v>0.9</v>
      </c>
      <c r="FG27">
        <v>400</v>
      </c>
      <c r="FH27">
        <v>0.92500000000000004</v>
      </c>
      <c r="FM27">
        <v>3781.8230245237678</v>
      </c>
      <c r="FN27">
        <v>808.34025773909616</v>
      </c>
      <c r="FU27">
        <v>3000</v>
      </c>
      <c r="FV27">
        <v>393.75</v>
      </c>
      <c r="FW27">
        <v>3000</v>
      </c>
      <c r="FX27">
        <v>393.75</v>
      </c>
      <c r="GC27">
        <v>3905.950043184831</v>
      </c>
      <c r="GD27">
        <v>1359.5567020080759</v>
      </c>
      <c r="GK27">
        <v>403</v>
      </c>
      <c r="GL27">
        <v>0.5</v>
      </c>
      <c r="GM27">
        <v>415</v>
      </c>
      <c r="GN27">
        <v>0.53500000000000003</v>
      </c>
      <c r="GS27">
        <v>4808.3419580395002</v>
      </c>
      <c r="GT27">
        <v>1022.274389807265</v>
      </c>
      <c r="GU27">
        <v>4808.3419580395002</v>
      </c>
      <c r="GV27">
        <v>1022.274389807265</v>
      </c>
      <c r="HK27">
        <v>4149.9036604892117</v>
      </c>
      <c r="HL27">
        <v>1094.9980095895371</v>
      </c>
      <c r="HO27">
        <v>2355.6532822413078</v>
      </c>
      <c r="HP27">
        <v>1896.6600370648721</v>
      </c>
      <c r="HS27">
        <v>4721.1741915917</v>
      </c>
      <c r="HT27">
        <v>1597.900792178647</v>
      </c>
      <c r="IA27">
        <v>1249.730318873912</v>
      </c>
      <c r="IB27">
        <v>504.63045055981252</v>
      </c>
      <c r="II27">
        <v>3138.0726652254839</v>
      </c>
      <c r="IJ27">
        <v>485.83804807786572</v>
      </c>
      <c r="IK27">
        <v>3801.8312147754418</v>
      </c>
      <c r="IL27">
        <v>517.16035269027384</v>
      </c>
      <c r="IQ27">
        <v>3588.8500445997379</v>
      </c>
      <c r="IR27">
        <v>1906.47152298078</v>
      </c>
      <c r="IS27">
        <v>2035.5704520060799</v>
      </c>
      <c r="IT27">
        <v>499.28579778687811</v>
      </c>
      <c r="IW27">
        <v>2789.0632931765508</v>
      </c>
      <c r="IX27">
        <v>1811.461374951889</v>
      </c>
      <c r="IY27">
        <v>2402.6072451870268</v>
      </c>
      <c r="IZ27">
        <v>490.73794529130032</v>
      </c>
      <c r="ME27">
        <v>998.03202148873038</v>
      </c>
      <c r="MF27">
        <v>293.8549438985649</v>
      </c>
      <c r="NE27">
        <v>3300</v>
      </c>
      <c r="NF27">
        <v>910</v>
      </c>
      <c r="NU27">
        <v>1000</v>
      </c>
      <c r="NV27">
        <v>0.79</v>
      </c>
    </row>
    <row r="28" spans="7:392" x14ac:dyDescent="0.3">
      <c r="G28">
        <v>3000</v>
      </c>
      <c r="H28">
        <v>0.5</v>
      </c>
      <c r="S28">
        <v>690.90909090909099</v>
      </c>
      <c r="T28">
        <v>0.81</v>
      </c>
      <c r="Y28">
        <v>1563.636363636364</v>
      </c>
      <c r="Z28">
        <v>420</v>
      </c>
      <c r="AA28">
        <v>981.81818181818198</v>
      </c>
      <c r="AB28">
        <v>497</v>
      </c>
      <c r="AM28">
        <v>0.85</v>
      </c>
      <c r="AN28">
        <v>0.85</v>
      </c>
      <c r="AQ28">
        <v>0.55000000000000004</v>
      </c>
      <c r="AR28">
        <v>0.6</v>
      </c>
      <c r="AY28">
        <v>2000</v>
      </c>
      <c r="AZ28">
        <v>0.6</v>
      </c>
      <c r="BM28">
        <v>750</v>
      </c>
      <c r="BN28">
        <v>293.14999999999998</v>
      </c>
      <c r="BO28">
        <v>384.375</v>
      </c>
      <c r="BP28">
        <v>288.14999999999998</v>
      </c>
      <c r="BU28">
        <v>1350</v>
      </c>
      <c r="BV28">
        <v>293.14999999999998</v>
      </c>
      <c r="BW28">
        <v>384.375</v>
      </c>
      <c r="BX28">
        <v>278.14999999999998</v>
      </c>
      <c r="CC28">
        <v>1312.5</v>
      </c>
      <c r="CD28">
        <v>300.032917</v>
      </c>
      <c r="CE28">
        <v>900</v>
      </c>
      <c r="CF28">
        <v>300.032917</v>
      </c>
      <c r="CQ28">
        <v>900</v>
      </c>
      <c r="CR28">
        <v>288.14999999999998</v>
      </c>
      <c r="DA28">
        <v>4111.4915617105562</v>
      </c>
      <c r="DB28">
        <v>1493.200032708748</v>
      </c>
      <c r="DC28">
        <v>4294.9672370021763</v>
      </c>
      <c r="DD28">
        <v>1497.9965048542119</v>
      </c>
      <c r="DG28">
        <v>3240.6004886381088</v>
      </c>
      <c r="DH28">
        <v>653.41981308364711</v>
      </c>
      <c r="DI28">
        <v>4550.8478904167741</v>
      </c>
      <c r="DJ28">
        <v>2449.312120001814</v>
      </c>
      <c r="DK28">
        <v>3304.55859925308</v>
      </c>
      <c r="DL28">
        <v>1902.764174137651</v>
      </c>
      <c r="DS28">
        <v>2044.1956790557761</v>
      </c>
      <c r="DT28">
        <v>576.26265014812168</v>
      </c>
      <c r="DW28">
        <v>3531.2922655746152</v>
      </c>
      <c r="DX28">
        <v>1662.0208720773489</v>
      </c>
      <c r="EA28">
        <v>404.25537762404372</v>
      </c>
      <c r="EB28">
        <v>0.66601729319683844</v>
      </c>
      <c r="EC28">
        <v>614.60725298957937</v>
      </c>
      <c r="ED28">
        <v>0.74725892163653573</v>
      </c>
      <c r="EI28">
        <v>427.8966608009917</v>
      </c>
      <c r="EJ28">
        <v>0.82464377075489259</v>
      </c>
      <c r="EK28">
        <v>429.7796200077704</v>
      </c>
      <c r="EL28">
        <v>0.70240822124519342</v>
      </c>
      <c r="EM28">
        <v>464.57063408720609</v>
      </c>
      <c r="EN28">
        <v>0.74587351350764353</v>
      </c>
      <c r="EQ28">
        <v>667.39373325066572</v>
      </c>
      <c r="ER28">
        <v>0.71558096032290075</v>
      </c>
      <c r="EU28">
        <v>379.95876982266623</v>
      </c>
      <c r="EV28">
        <v>0.78390776854018029</v>
      </c>
      <c r="EY28">
        <v>2037.930113333558</v>
      </c>
      <c r="EZ28">
        <v>941.28500656203323</v>
      </c>
      <c r="FC28">
        <v>3668.556329404948</v>
      </c>
      <c r="FD28">
        <v>554.01514512085896</v>
      </c>
      <c r="FE28">
        <v>390</v>
      </c>
      <c r="FF28">
        <v>0.92500000000000004</v>
      </c>
      <c r="FG28">
        <v>402.5</v>
      </c>
      <c r="FH28">
        <v>0.92500000000000004</v>
      </c>
      <c r="FM28">
        <v>3781.8230245237678</v>
      </c>
      <c r="FN28">
        <v>808.34025773909616</v>
      </c>
      <c r="FU28">
        <v>3000</v>
      </c>
      <c r="FV28">
        <v>393.75</v>
      </c>
      <c r="FW28">
        <v>3000</v>
      </c>
      <c r="FX28">
        <v>393.75</v>
      </c>
      <c r="GC28">
        <v>3905.950043184831</v>
      </c>
      <c r="GD28">
        <v>1359.5567020080759</v>
      </c>
      <c r="GK28">
        <v>403</v>
      </c>
      <c r="GL28">
        <v>0.5</v>
      </c>
      <c r="GM28">
        <v>415</v>
      </c>
      <c r="GN28">
        <v>0.5</v>
      </c>
      <c r="GS28">
        <v>4808.3419580395002</v>
      </c>
      <c r="GT28">
        <v>1022.274389807265</v>
      </c>
      <c r="GU28">
        <v>4808.3419580395002</v>
      </c>
      <c r="GV28">
        <v>1022.274389807265</v>
      </c>
      <c r="HK28">
        <v>3858.8692690335838</v>
      </c>
      <c r="HL28">
        <v>1065.534345890562</v>
      </c>
      <c r="HO28">
        <v>3619.001163880559</v>
      </c>
      <c r="HP28">
        <v>1782.1096454696631</v>
      </c>
      <c r="HS28">
        <v>3214.0297692585309</v>
      </c>
      <c r="HT28">
        <v>1289.4683865995121</v>
      </c>
      <c r="IA28">
        <v>1782.366810095572</v>
      </c>
      <c r="IB28">
        <v>401.80673007942181</v>
      </c>
      <c r="II28">
        <v>4070.0613898244578</v>
      </c>
      <c r="IJ28">
        <v>455.79239309094999</v>
      </c>
      <c r="IK28">
        <v>3501.5038040782269</v>
      </c>
      <c r="IL28">
        <v>433.21220615623213</v>
      </c>
      <c r="IQ28">
        <v>3285.861117934201</v>
      </c>
      <c r="IR28">
        <v>1305.4791826740441</v>
      </c>
      <c r="IS28">
        <v>3342.7362229425121</v>
      </c>
      <c r="IT28">
        <v>714.80675824351169</v>
      </c>
      <c r="IW28">
        <v>4216.5613628243991</v>
      </c>
      <c r="IX28">
        <v>1323.8033507990931</v>
      </c>
      <c r="IY28">
        <v>3331.1390152662971</v>
      </c>
      <c r="IZ28">
        <v>1606.5812484323169</v>
      </c>
      <c r="ME28">
        <v>1523.574747288488</v>
      </c>
      <c r="MF28">
        <v>291.68259329827612</v>
      </c>
      <c r="NE28">
        <v>3300</v>
      </c>
      <c r="NF28">
        <v>830</v>
      </c>
      <c r="NU28">
        <v>1100</v>
      </c>
      <c r="NV28">
        <v>0.79</v>
      </c>
    </row>
    <row r="29" spans="7:392" x14ac:dyDescent="0.3">
      <c r="G29">
        <v>3000</v>
      </c>
      <c r="H29">
        <v>0.5</v>
      </c>
      <c r="S29">
        <v>836.36363636363637</v>
      </c>
      <c r="T29">
        <v>0.81</v>
      </c>
      <c r="Y29">
        <v>1709.090909090909</v>
      </c>
      <c r="Z29">
        <v>420</v>
      </c>
      <c r="AA29">
        <v>1127.2727272727279</v>
      </c>
      <c r="AB29">
        <v>497</v>
      </c>
      <c r="AM29">
        <v>0.8</v>
      </c>
      <c r="AN29">
        <v>0.85</v>
      </c>
      <c r="AQ29">
        <v>0.6</v>
      </c>
      <c r="AR29">
        <v>0.6</v>
      </c>
      <c r="AY29">
        <v>400</v>
      </c>
      <c r="AZ29">
        <v>0.7</v>
      </c>
      <c r="BM29">
        <v>900</v>
      </c>
      <c r="BN29">
        <v>293.14999999999998</v>
      </c>
      <c r="BO29">
        <v>553.125</v>
      </c>
      <c r="BP29">
        <v>300.032917</v>
      </c>
      <c r="BU29">
        <v>1500</v>
      </c>
      <c r="BV29">
        <v>293.14999999999998</v>
      </c>
      <c r="BW29">
        <v>609.375</v>
      </c>
      <c r="BX29">
        <v>293.14999999999998</v>
      </c>
      <c r="CC29">
        <v>1312.5</v>
      </c>
      <c r="CD29">
        <v>300.032917</v>
      </c>
      <c r="CE29">
        <v>1050</v>
      </c>
      <c r="CF29">
        <v>300.032917</v>
      </c>
      <c r="CQ29">
        <v>1200</v>
      </c>
      <c r="CR29">
        <v>288.14999999999998</v>
      </c>
      <c r="DA29">
        <v>2583.2439378012932</v>
      </c>
      <c r="DB29">
        <v>1235.270961844453</v>
      </c>
      <c r="DC29">
        <v>4249.6334748563349</v>
      </c>
      <c r="DD29">
        <v>759.86308015841973</v>
      </c>
      <c r="DG29">
        <v>2706.7207150210079</v>
      </c>
      <c r="DH29">
        <v>306.72838758274241</v>
      </c>
      <c r="DI29">
        <v>4290.7960324633623</v>
      </c>
      <c r="DJ29">
        <v>2418.816917516489</v>
      </c>
      <c r="DK29">
        <v>2599.3012462460269</v>
      </c>
      <c r="DL29">
        <v>1815.583967107892</v>
      </c>
      <c r="DS29">
        <v>2859.1180891237491</v>
      </c>
      <c r="DT29">
        <v>383.60213310572698</v>
      </c>
      <c r="DW29">
        <v>4813.7012463992087</v>
      </c>
      <c r="DX29">
        <v>1414.3485262397601</v>
      </c>
      <c r="EA29">
        <v>507.71743931533831</v>
      </c>
      <c r="EB29">
        <v>0.69833919493513674</v>
      </c>
      <c r="EC29">
        <v>382.34577497964148</v>
      </c>
      <c r="ED29">
        <v>0.65060233282285573</v>
      </c>
      <c r="EI29">
        <v>528.12532835010757</v>
      </c>
      <c r="EJ29">
        <v>0.53315341197357713</v>
      </c>
      <c r="EK29">
        <v>494.3066263771658</v>
      </c>
      <c r="EL29">
        <v>0.77264115994106408</v>
      </c>
      <c r="EM29">
        <v>602.11234344341483</v>
      </c>
      <c r="EN29">
        <v>0.75198267728038137</v>
      </c>
      <c r="EQ29">
        <v>788.28462124752423</v>
      </c>
      <c r="ER29">
        <v>0.57436982396530256</v>
      </c>
      <c r="EU29">
        <v>1880.028816148849</v>
      </c>
      <c r="EV29">
        <v>0.72574937759465119</v>
      </c>
      <c r="EY29">
        <v>3954.2350852255781</v>
      </c>
      <c r="EZ29">
        <v>442.26242031171938</v>
      </c>
      <c r="FC29">
        <v>2775.6101154672779</v>
      </c>
      <c r="FD29">
        <v>614.20077660810512</v>
      </c>
      <c r="FE29">
        <v>392.5</v>
      </c>
      <c r="FF29">
        <v>0.92500000000000004</v>
      </c>
      <c r="FG29">
        <v>405</v>
      </c>
      <c r="FH29">
        <v>0.92500000000000004</v>
      </c>
      <c r="FM29">
        <v>3781.8230245237678</v>
      </c>
      <c r="FN29">
        <v>808.34025773909616</v>
      </c>
      <c r="FU29">
        <v>3000</v>
      </c>
      <c r="FV29">
        <v>393.75</v>
      </c>
      <c r="FW29">
        <v>2700</v>
      </c>
      <c r="FX29">
        <v>393.75</v>
      </c>
      <c r="GC29">
        <v>4205.950043184831</v>
      </c>
      <c r="GD29">
        <v>1359.5567020080759</v>
      </c>
      <c r="GK29">
        <v>403</v>
      </c>
      <c r="GL29">
        <v>0.5</v>
      </c>
      <c r="GM29">
        <v>427</v>
      </c>
      <c r="GN29">
        <v>0.5</v>
      </c>
      <c r="GS29">
        <v>4808.3419580395002</v>
      </c>
      <c r="GT29">
        <v>1022.274389807265</v>
      </c>
      <c r="HK29">
        <v>2518.6681855505021</v>
      </c>
      <c r="HL29">
        <v>1279.0422849177471</v>
      </c>
      <c r="HO29">
        <v>3224.8712218427381</v>
      </c>
      <c r="HP29">
        <v>1596.6549937480861</v>
      </c>
      <c r="HS29">
        <v>2220.6538442367728</v>
      </c>
      <c r="HT29">
        <v>718.95924297758268</v>
      </c>
      <c r="IA29">
        <v>1948.7686614296661</v>
      </c>
      <c r="IB29">
        <v>512.20817849917546</v>
      </c>
      <c r="II29">
        <v>2870.9788694741992</v>
      </c>
      <c r="IJ29">
        <v>517.94530599594259</v>
      </c>
      <c r="IK29">
        <v>2337.7895559962271</v>
      </c>
      <c r="IL29">
        <v>490.7472369273342</v>
      </c>
      <c r="IQ29">
        <v>2876.5965937648348</v>
      </c>
      <c r="IR29">
        <v>333.84435153376972</v>
      </c>
      <c r="IS29">
        <v>2270.7149236951359</v>
      </c>
      <c r="IT29">
        <v>437.54622237564217</v>
      </c>
      <c r="IW29">
        <v>2646.6735027440518</v>
      </c>
      <c r="IX29">
        <v>1712.2645693661229</v>
      </c>
      <c r="IY29">
        <v>4546.8668987702749</v>
      </c>
      <c r="IZ29">
        <v>534.73172028150464</v>
      </c>
      <c r="ME29">
        <v>959.00400395929557</v>
      </c>
      <c r="MF29">
        <v>301.21266039729551</v>
      </c>
      <c r="NE29">
        <v>3300</v>
      </c>
      <c r="NF29">
        <v>850</v>
      </c>
      <c r="NU29">
        <v>1200</v>
      </c>
      <c r="NV29">
        <v>0.79</v>
      </c>
    </row>
    <row r="30" spans="7:392" x14ac:dyDescent="0.3">
      <c r="G30">
        <v>3000</v>
      </c>
      <c r="H30">
        <v>0.5</v>
      </c>
      <c r="S30">
        <v>981.81818181818198</v>
      </c>
      <c r="T30">
        <v>0.81</v>
      </c>
      <c r="Y30">
        <v>1854.545454545455</v>
      </c>
      <c r="Z30">
        <v>420</v>
      </c>
      <c r="AA30">
        <v>1272.727272727273</v>
      </c>
      <c r="AB30">
        <v>497</v>
      </c>
      <c r="AM30">
        <v>0.8</v>
      </c>
      <c r="AN30">
        <v>0.85</v>
      </c>
      <c r="AQ30">
        <v>0.65</v>
      </c>
      <c r="AR30">
        <v>0.6</v>
      </c>
      <c r="AY30">
        <v>545.4545454545455</v>
      </c>
      <c r="AZ30">
        <v>0.7</v>
      </c>
      <c r="BM30">
        <v>1050</v>
      </c>
      <c r="BN30">
        <v>293.14999999999998</v>
      </c>
      <c r="BO30">
        <v>553.125</v>
      </c>
      <c r="BP30">
        <v>300.032917</v>
      </c>
      <c r="BU30">
        <v>750</v>
      </c>
      <c r="BV30">
        <v>300.032917</v>
      </c>
      <c r="BW30">
        <v>609.375</v>
      </c>
      <c r="BX30">
        <v>293.14999999999998</v>
      </c>
      <c r="CC30">
        <v>993.75</v>
      </c>
      <c r="CD30">
        <v>288.14999999999998</v>
      </c>
      <c r="CE30">
        <v>1200</v>
      </c>
      <c r="CF30">
        <v>300.032917</v>
      </c>
      <c r="CQ30">
        <v>1350</v>
      </c>
      <c r="CR30">
        <v>288.14999999999998</v>
      </c>
      <c r="DA30">
        <v>3961.4129565340641</v>
      </c>
      <c r="DB30">
        <v>889.99628330024234</v>
      </c>
      <c r="DC30">
        <v>4991.2342408864988</v>
      </c>
      <c r="DD30">
        <v>516.17986149170144</v>
      </c>
      <c r="DG30">
        <v>4557.9368490783618</v>
      </c>
      <c r="DH30">
        <v>846.28201304261927</v>
      </c>
      <c r="DI30">
        <v>3295.1624671572358</v>
      </c>
      <c r="DJ30">
        <v>1728.0559371610291</v>
      </c>
      <c r="DK30">
        <v>4171.579111762625</v>
      </c>
      <c r="DL30">
        <v>1724.2481855142371</v>
      </c>
      <c r="DS30">
        <v>4538.0031523353919</v>
      </c>
      <c r="DT30">
        <v>1240.3974833641321</v>
      </c>
      <c r="DW30">
        <v>3086.1250396980731</v>
      </c>
      <c r="DX30">
        <v>1223.093120281681</v>
      </c>
      <c r="EA30">
        <v>451.64778430061011</v>
      </c>
      <c r="EB30">
        <v>0.75778270249165236</v>
      </c>
      <c r="EC30">
        <v>561.0248394093602</v>
      </c>
      <c r="ED30">
        <v>0.70773028296476859</v>
      </c>
      <c r="EI30">
        <v>501.58385757203382</v>
      </c>
      <c r="EJ30">
        <v>0.73379949105084497</v>
      </c>
      <c r="EK30">
        <v>492.33751570517512</v>
      </c>
      <c r="EL30">
        <v>0.59199102715394358</v>
      </c>
      <c r="EM30">
        <v>568.55614935087704</v>
      </c>
      <c r="EN30">
        <v>0.68890318247978777</v>
      </c>
      <c r="EQ30">
        <v>491.52386714836649</v>
      </c>
      <c r="ER30">
        <v>0.68684892153944932</v>
      </c>
      <c r="EU30">
        <v>410.23803467196541</v>
      </c>
      <c r="EV30">
        <v>0.53036744144899028</v>
      </c>
      <c r="EY30">
        <v>4711.298436297966</v>
      </c>
      <c r="EZ30">
        <v>1675.8109269944739</v>
      </c>
      <c r="FC30">
        <v>2363.516210743458</v>
      </c>
      <c r="FD30">
        <v>531.23351156505225</v>
      </c>
      <c r="FE30">
        <v>395</v>
      </c>
      <c r="FF30">
        <v>0.92500000000000004</v>
      </c>
      <c r="FG30">
        <v>407.5</v>
      </c>
      <c r="FH30">
        <v>0.92500000000000004</v>
      </c>
      <c r="FM30">
        <v>3781.8230245237678</v>
      </c>
      <c r="FN30">
        <v>808.34025773909616</v>
      </c>
      <c r="FU30">
        <v>3000</v>
      </c>
      <c r="FV30">
        <v>393.75</v>
      </c>
      <c r="FW30">
        <v>3000</v>
      </c>
      <c r="FX30">
        <v>300</v>
      </c>
      <c r="GC30">
        <v>3605.950043184831</v>
      </c>
      <c r="GD30">
        <v>1359.5567020080759</v>
      </c>
      <c r="GK30">
        <v>403</v>
      </c>
      <c r="GL30">
        <v>0.5</v>
      </c>
      <c r="GM30">
        <v>415</v>
      </c>
      <c r="GN30">
        <v>0.53500000000000003</v>
      </c>
      <c r="GS30">
        <v>4808.3419580395002</v>
      </c>
      <c r="GT30">
        <v>1022.274389807265</v>
      </c>
      <c r="HK30">
        <v>4316.3875938018055</v>
      </c>
      <c r="HL30">
        <v>1567.8052811059531</v>
      </c>
      <c r="HO30">
        <v>2562.012774157251</v>
      </c>
      <c r="HP30">
        <v>500.77758789360371</v>
      </c>
      <c r="HS30">
        <v>2245.0647429099672</v>
      </c>
      <c r="HT30">
        <v>1477.62389661774</v>
      </c>
      <c r="IA30">
        <v>572.03265830202804</v>
      </c>
      <c r="IB30">
        <v>380.82834174402592</v>
      </c>
      <c r="II30">
        <v>2708.4438707285221</v>
      </c>
      <c r="IJ30">
        <v>461.45897691104142</v>
      </c>
      <c r="IK30">
        <v>2902.4670231301052</v>
      </c>
      <c r="IL30">
        <v>389.22905151492472</v>
      </c>
      <c r="IQ30">
        <v>3956.9987351469458</v>
      </c>
      <c r="IR30">
        <v>1402.728646335202</v>
      </c>
      <c r="IS30">
        <v>4940.004245973897</v>
      </c>
      <c r="IT30">
        <v>343.31147249925471</v>
      </c>
      <c r="IW30">
        <v>4036.769224291656</v>
      </c>
      <c r="IX30">
        <v>737.25198918836259</v>
      </c>
      <c r="IY30">
        <v>4833.4387699111767</v>
      </c>
      <c r="IZ30">
        <v>746.21419022375289</v>
      </c>
      <c r="ME30">
        <v>1948.2919863689481</v>
      </c>
      <c r="MF30">
        <v>288.96270823206021</v>
      </c>
      <c r="NE30">
        <v>3300</v>
      </c>
      <c r="NF30">
        <v>990</v>
      </c>
      <c r="NU30">
        <v>800</v>
      </c>
      <c r="NV30">
        <v>0.82</v>
      </c>
    </row>
    <row r="31" spans="7:392" x14ac:dyDescent="0.3">
      <c r="G31">
        <v>3000</v>
      </c>
      <c r="H31">
        <v>0.5</v>
      </c>
      <c r="S31">
        <v>1127.2727272727279</v>
      </c>
      <c r="T31">
        <v>0.81</v>
      </c>
      <c r="Y31">
        <v>2000</v>
      </c>
      <c r="Z31">
        <v>420</v>
      </c>
      <c r="AA31">
        <v>1418.181818181818</v>
      </c>
      <c r="AB31">
        <v>497</v>
      </c>
      <c r="AM31">
        <v>0.8</v>
      </c>
      <c r="AN31">
        <v>0.85</v>
      </c>
      <c r="AQ31">
        <v>0.7</v>
      </c>
      <c r="AR31">
        <v>0.6</v>
      </c>
      <c r="AY31">
        <v>690.90909090909099</v>
      </c>
      <c r="AZ31">
        <v>0.7</v>
      </c>
      <c r="BM31">
        <v>1200</v>
      </c>
      <c r="BN31">
        <v>293.14999999999998</v>
      </c>
      <c r="BU31">
        <v>900</v>
      </c>
      <c r="BV31">
        <v>300.032917</v>
      </c>
      <c r="CC31">
        <v>993.75</v>
      </c>
      <c r="CD31">
        <v>288.14999999999998</v>
      </c>
      <c r="CE31">
        <v>675</v>
      </c>
      <c r="CF31">
        <v>278.14999999999998</v>
      </c>
      <c r="CQ31">
        <v>1500</v>
      </c>
      <c r="CR31">
        <v>288.14999999999998</v>
      </c>
      <c r="DA31">
        <v>4960.8916703962677</v>
      </c>
      <c r="DB31">
        <v>1384.324537102322</v>
      </c>
      <c r="DC31">
        <v>3922.4585616753252</v>
      </c>
      <c r="DD31">
        <v>1248.24885800572</v>
      </c>
      <c r="DG31">
        <v>4762.457995218927</v>
      </c>
      <c r="DH31">
        <v>1418.5836332336439</v>
      </c>
      <c r="DI31">
        <v>2402.3973286781861</v>
      </c>
      <c r="DJ31">
        <v>1733.3488033332651</v>
      </c>
      <c r="DK31">
        <v>4964.802176677782</v>
      </c>
      <c r="DL31">
        <v>1612.7435642760181</v>
      </c>
      <c r="DS31">
        <v>4986.5809584552844</v>
      </c>
      <c r="DT31">
        <v>1979.5829147989909</v>
      </c>
      <c r="DW31">
        <v>2484.3314837722401</v>
      </c>
      <c r="DX31">
        <v>376.99807064192601</v>
      </c>
      <c r="EA31">
        <v>461.60229667701572</v>
      </c>
      <c r="EB31">
        <v>0.55000348182844938</v>
      </c>
      <c r="EC31">
        <v>388.99481467179089</v>
      </c>
      <c r="ED31">
        <v>0.74791713574754926</v>
      </c>
      <c r="EK31">
        <v>380.23379705491311</v>
      </c>
      <c r="EL31">
        <v>0.60358352499557</v>
      </c>
      <c r="EM31">
        <v>607.02673914744014</v>
      </c>
      <c r="EN31">
        <v>0.76917997479283773</v>
      </c>
      <c r="EQ31">
        <v>1250.8027658505639</v>
      </c>
      <c r="ER31">
        <v>0.8309115464628688</v>
      </c>
      <c r="EU31">
        <v>868.60651219772456</v>
      </c>
      <c r="EV31">
        <v>0.5691225270379997</v>
      </c>
      <c r="EY31">
        <v>3225.4038557023191</v>
      </c>
      <c r="EZ31">
        <v>767.52827241250418</v>
      </c>
      <c r="FC31">
        <v>4305.5790010917153</v>
      </c>
      <c r="FD31">
        <v>772.3960756385934</v>
      </c>
      <c r="FE31">
        <v>397.5</v>
      </c>
      <c r="FF31">
        <v>0.92500000000000004</v>
      </c>
      <c r="FG31">
        <v>410</v>
      </c>
      <c r="FH31">
        <v>0.92500000000000004</v>
      </c>
      <c r="FM31">
        <v>3781.8230245237678</v>
      </c>
      <c r="FN31">
        <v>808.34025773909616</v>
      </c>
      <c r="FU31">
        <v>3000</v>
      </c>
      <c r="FV31">
        <v>393.75</v>
      </c>
      <c r="FW31">
        <v>3000</v>
      </c>
      <c r="FX31">
        <v>393.75</v>
      </c>
      <c r="GC31">
        <v>3905.950043184831</v>
      </c>
      <c r="GD31">
        <v>1579.5567020080759</v>
      </c>
      <c r="GK31">
        <v>403</v>
      </c>
      <c r="GL31">
        <v>0.5</v>
      </c>
      <c r="GM31">
        <v>415</v>
      </c>
      <c r="GN31">
        <v>0.5</v>
      </c>
      <c r="GS31">
        <v>4808.3419580395002</v>
      </c>
      <c r="GT31">
        <v>1022.274389807265</v>
      </c>
      <c r="HK31">
        <v>3074.4024588998368</v>
      </c>
      <c r="HL31">
        <v>957.66952073672996</v>
      </c>
      <c r="HO31">
        <v>2033.36837504094</v>
      </c>
      <c r="HP31">
        <v>1203.633974024935</v>
      </c>
      <c r="HS31">
        <v>3861.8011474380819</v>
      </c>
      <c r="HT31">
        <v>310.67549346650509</v>
      </c>
      <c r="IA31">
        <v>1910.9387781419789</v>
      </c>
      <c r="IB31">
        <v>446.55800093051857</v>
      </c>
      <c r="II31">
        <v>2109.4400946380679</v>
      </c>
      <c r="IJ31">
        <v>495.95906449336383</v>
      </c>
      <c r="IK31">
        <v>4939.8993509618904</v>
      </c>
      <c r="IL31">
        <v>410.14432229945021</v>
      </c>
      <c r="IQ31">
        <v>2975.423467168941</v>
      </c>
      <c r="IR31">
        <v>843.10573274877174</v>
      </c>
      <c r="IS31">
        <v>4982.7542192155179</v>
      </c>
      <c r="IT31">
        <v>395.9395431108224</v>
      </c>
      <c r="IY31">
        <v>4335.200169692097</v>
      </c>
      <c r="IZ31">
        <v>898.68527353645732</v>
      </c>
      <c r="ME31">
        <v>376.84590511913939</v>
      </c>
      <c r="MF31">
        <v>291.81388999216171</v>
      </c>
      <c r="NE31">
        <v>3300</v>
      </c>
      <c r="NF31">
        <v>970</v>
      </c>
      <c r="NU31">
        <v>900</v>
      </c>
      <c r="NV31">
        <v>0.82</v>
      </c>
    </row>
    <row r="32" spans="7:392" x14ac:dyDescent="0.3">
      <c r="G32">
        <v>3000</v>
      </c>
      <c r="H32">
        <v>0.5</v>
      </c>
      <c r="S32">
        <v>1272.727272727273</v>
      </c>
      <c r="T32">
        <v>0.81</v>
      </c>
      <c r="Y32">
        <v>1272.727272727273</v>
      </c>
      <c r="Z32">
        <v>434</v>
      </c>
      <c r="AA32">
        <v>1563.636363636364</v>
      </c>
      <c r="AB32">
        <v>497</v>
      </c>
      <c r="AM32">
        <v>0.95</v>
      </c>
      <c r="AN32">
        <v>0.85</v>
      </c>
      <c r="AQ32">
        <v>0.75</v>
      </c>
      <c r="AR32">
        <v>0.6</v>
      </c>
      <c r="AY32">
        <v>836.36363636363637</v>
      </c>
      <c r="AZ32">
        <v>0.7</v>
      </c>
      <c r="BM32">
        <v>1350</v>
      </c>
      <c r="BN32">
        <v>293.14999999999998</v>
      </c>
      <c r="BU32">
        <v>1050</v>
      </c>
      <c r="BV32">
        <v>300.032917</v>
      </c>
      <c r="CC32">
        <v>984.375</v>
      </c>
      <c r="CD32">
        <v>288.14999999999998</v>
      </c>
      <c r="CE32">
        <v>675</v>
      </c>
      <c r="CF32">
        <v>278.14999999999998</v>
      </c>
      <c r="CQ32">
        <v>300</v>
      </c>
      <c r="CR32">
        <v>293.14999999999998</v>
      </c>
      <c r="DA32">
        <v>2032.2164942189361</v>
      </c>
      <c r="DB32">
        <v>912.8142076572916</v>
      </c>
      <c r="DC32">
        <v>3078.5799568712609</v>
      </c>
      <c r="DD32">
        <v>352.97752943221923</v>
      </c>
      <c r="DG32">
        <v>4374.2543917335888</v>
      </c>
      <c r="DH32">
        <v>1125.918556943843</v>
      </c>
      <c r="DI32">
        <v>4490.7694819822427</v>
      </c>
      <c r="DJ32">
        <v>1931.052982177544</v>
      </c>
      <c r="DK32">
        <v>3916.5703641234559</v>
      </c>
      <c r="DL32">
        <v>1766.927029301462</v>
      </c>
      <c r="DS32">
        <v>3573.8737340319458</v>
      </c>
      <c r="DT32">
        <v>1471.5215527779931</v>
      </c>
      <c r="DW32">
        <v>2774.908884424553</v>
      </c>
      <c r="DX32">
        <v>745.8991327141955</v>
      </c>
      <c r="EA32">
        <v>550.59100860337048</v>
      </c>
      <c r="EB32">
        <v>0.81888783463980919</v>
      </c>
      <c r="EC32">
        <v>426.704005403172</v>
      </c>
      <c r="ED32">
        <v>0.76838947483699183</v>
      </c>
      <c r="EK32">
        <v>420.10428772022982</v>
      </c>
      <c r="EL32">
        <v>0.66570315366114252</v>
      </c>
      <c r="EM32">
        <v>538.64106045800781</v>
      </c>
      <c r="EN32">
        <v>0.76035207146368533</v>
      </c>
      <c r="EQ32">
        <v>732.82340294424</v>
      </c>
      <c r="ER32">
        <v>0.74658766839822976</v>
      </c>
      <c r="EU32">
        <v>215.74974485984791</v>
      </c>
      <c r="EV32">
        <v>0.63144614691366807</v>
      </c>
      <c r="EY32">
        <v>2741.5050400331352</v>
      </c>
      <c r="EZ32">
        <v>1411.7108027182651</v>
      </c>
      <c r="FC32">
        <v>4513.291469633039</v>
      </c>
      <c r="FD32">
        <v>820.7067047694444</v>
      </c>
      <c r="FE32">
        <v>400</v>
      </c>
      <c r="FF32">
        <v>0.92500000000000004</v>
      </c>
      <c r="FM32">
        <v>3781.8230245237678</v>
      </c>
      <c r="FN32">
        <v>808.34025773909616</v>
      </c>
      <c r="FU32">
        <v>3300</v>
      </c>
      <c r="FV32">
        <v>393.75</v>
      </c>
      <c r="FW32">
        <v>3000</v>
      </c>
      <c r="FX32">
        <v>393.75</v>
      </c>
      <c r="GC32">
        <v>3905.950043184831</v>
      </c>
      <c r="GD32">
        <v>1359.5567020080759</v>
      </c>
      <c r="GK32">
        <v>415</v>
      </c>
      <c r="GL32">
        <v>0.5</v>
      </c>
      <c r="GM32">
        <v>427</v>
      </c>
      <c r="GN32">
        <v>0.5</v>
      </c>
      <c r="GS32">
        <v>4508.3419580395002</v>
      </c>
      <c r="GT32">
        <v>1022.274389807265</v>
      </c>
      <c r="HK32">
        <v>3243.711540412276</v>
      </c>
      <c r="HL32">
        <v>762.56805878465639</v>
      </c>
      <c r="HO32">
        <v>3153.1743072936351</v>
      </c>
      <c r="HP32">
        <v>877.57383646606388</v>
      </c>
      <c r="HS32">
        <v>2000.100902831723</v>
      </c>
      <c r="HT32">
        <v>639.33941843842808</v>
      </c>
      <c r="IA32">
        <v>1287.861912073163</v>
      </c>
      <c r="IB32">
        <v>513.80699224946522</v>
      </c>
      <c r="II32">
        <v>3982.337466454122</v>
      </c>
      <c r="IJ32">
        <v>445.59034872765409</v>
      </c>
      <c r="IK32">
        <v>2659.951857474573</v>
      </c>
      <c r="IL32">
        <v>421.28788782114327</v>
      </c>
      <c r="IQ32">
        <v>4335.0357474874236</v>
      </c>
      <c r="IR32">
        <v>1671.773081919895</v>
      </c>
      <c r="IS32">
        <v>2140.2837044127732</v>
      </c>
      <c r="IT32">
        <v>1014.7527916563949</v>
      </c>
      <c r="IY32">
        <v>4812.1017928298461</v>
      </c>
      <c r="IZ32">
        <v>694.90400829406235</v>
      </c>
      <c r="NE32">
        <v>3300</v>
      </c>
      <c r="NF32">
        <v>1030</v>
      </c>
      <c r="NU32">
        <v>700</v>
      </c>
      <c r="NV32">
        <v>0.82</v>
      </c>
    </row>
    <row r="33" spans="7:386" x14ac:dyDescent="0.3">
      <c r="G33">
        <v>3000</v>
      </c>
      <c r="H33">
        <v>0.5</v>
      </c>
      <c r="S33">
        <v>1418.181818181818</v>
      </c>
      <c r="T33">
        <v>0.81</v>
      </c>
      <c r="Y33">
        <v>1127.2727272727279</v>
      </c>
      <c r="Z33">
        <v>434</v>
      </c>
      <c r="AA33">
        <v>1709.090909090909</v>
      </c>
      <c r="AB33">
        <v>497</v>
      </c>
      <c r="AM33">
        <v>0.89999999999999991</v>
      </c>
      <c r="AN33">
        <v>0.85</v>
      </c>
      <c r="AQ33">
        <v>0.8</v>
      </c>
      <c r="AR33">
        <v>0.6</v>
      </c>
      <c r="AY33">
        <v>981.81818181818198</v>
      </c>
      <c r="AZ33">
        <v>0.7</v>
      </c>
      <c r="BM33">
        <v>1500</v>
      </c>
      <c r="BN33">
        <v>293.14999999999998</v>
      </c>
      <c r="BU33">
        <v>1200</v>
      </c>
      <c r="BV33">
        <v>300.032917</v>
      </c>
      <c r="CC33">
        <v>984.375</v>
      </c>
      <c r="CD33">
        <v>288.14999999999998</v>
      </c>
      <c r="CE33">
        <v>825</v>
      </c>
      <c r="CF33">
        <v>283.14999999999998</v>
      </c>
      <c r="CQ33">
        <v>150</v>
      </c>
      <c r="CR33">
        <v>293.14999999999998</v>
      </c>
      <c r="DA33">
        <v>4835.6491750485166</v>
      </c>
      <c r="DB33">
        <v>1403.6587964200589</v>
      </c>
      <c r="DC33">
        <v>2400.0708529909639</v>
      </c>
      <c r="DD33">
        <v>420.32728337968302</v>
      </c>
      <c r="DG33">
        <v>3904.2144688682488</v>
      </c>
      <c r="DH33">
        <v>1266.7706719379189</v>
      </c>
      <c r="DI33">
        <v>3260.063627665817</v>
      </c>
      <c r="DJ33">
        <v>1712.6364184071051</v>
      </c>
      <c r="DK33">
        <v>2504.20600520682</v>
      </c>
      <c r="DL33">
        <v>1516.8554419862</v>
      </c>
      <c r="DS33">
        <v>4484.3217009826258</v>
      </c>
      <c r="DT33">
        <v>1543.290566990481</v>
      </c>
      <c r="DW33">
        <v>2559.6658226555769</v>
      </c>
      <c r="DX33">
        <v>1386.2169145668099</v>
      </c>
      <c r="EA33">
        <v>455.52707300844918</v>
      </c>
      <c r="EB33">
        <v>0.57771127221448138</v>
      </c>
      <c r="EC33">
        <v>423.2946973235567</v>
      </c>
      <c r="ED33">
        <v>0.78621189325234142</v>
      </c>
      <c r="EK33">
        <v>485.28162173820061</v>
      </c>
      <c r="EL33">
        <v>0.74944589298266606</v>
      </c>
      <c r="EM33">
        <v>526.0791871154097</v>
      </c>
      <c r="EN33">
        <v>0.64456120493343561</v>
      </c>
      <c r="EQ33">
        <v>1481.0289434630431</v>
      </c>
      <c r="ER33">
        <v>0.55676919502812139</v>
      </c>
      <c r="EU33">
        <v>597.14312857495156</v>
      </c>
      <c r="EV33">
        <v>0.73592689572323877</v>
      </c>
      <c r="EY33">
        <v>2251.2930581187488</v>
      </c>
      <c r="EZ33">
        <v>223.2731954599453</v>
      </c>
      <c r="FC33">
        <v>4096.793341717359</v>
      </c>
      <c r="FD33">
        <v>1308.688046656212</v>
      </c>
      <c r="FE33">
        <v>402.5</v>
      </c>
      <c r="FF33">
        <v>0.92500000000000004</v>
      </c>
      <c r="FM33">
        <v>3781.8230245237678</v>
      </c>
      <c r="FN33">
        <v>808.34025773909616</v>
      </c>
      <c r="FU33">
        <v>3000</v>
      </c>
      <c r="FV33">
        <v>613.75</v>
      </c>
      <c r="FW33">
        <v>3000</v>
      </c>
      <c r="FX33">
        <v>393.75</v>
      </c>
      <c r="GC33">
        <v>3905.950043184831</v>
      </c>
      <c r="GD33">
        <v>1359.5567020080759</v>
      </c>
      <c r="GK33">
        <v>415</v>
      </c>
      <c r="GL33">
        <v>0.5</v>
      </c>
      <c r="GM33">
        <v>415</v>
      </c>
      <c r="GN33">
        <v>0.53500000000000003</v>
      </c>
      <c r="GS33">
        <v>4808.3419580395002</v>
      </c>
      <c r="GT33">
        <v>1242.274389807264</v>
      </c>
      <c r="HK33">
        <v>3011.3453536832772</v>
      </c>
      <c r="HL33">
        <v>1704.5617549403989</v>
      </c>
      <c r="HO33">
        <v>2143.828810243298</v>
      </c>
      <c r="HP33">
        <v>984.32835110971916</v>
      </c>
      <c r="HS33">
        <v>2879.332160475833</v>
      </c>
      <c r="HT33">
        <v>1111.9600032469821</v>
      </c>
      <c r="IA33">
        <v>1177.6058538099201</v>
      </c>
      <c r="IB33">
        <v>475.47146316996242</v>
      </c>
      <c r="II33">
        <v>3238.7458262568039</v>
      </c>
      <c r="IJ33">
        <v>469.23915444667711</v>
      </c>
      <c r="IK33">
        <v>4749.6451149595969</v>
      </c>
      <c r="IL33">
        <v>450.81328870477859</v>
      </c>
      <c r="IQ33">
        <v>2521.7214179639241</v>
      </c>
      <c r="IR33">
        <v>911.90238878756236</v>
      </c>
      <c r="IY33">
        <v>3822.52130262541</v>
      </c>
      <c r="IZ33">
        <v>427.16992170435481</v>
      </c>
      <c r="NE33">
        <v>3300</v>
      </c>
      <c r="NF33">
        <v>1010</v>
      </c>
      <c r="NU33">
        <v>1000</v>
      </c>
      <c r="NV33">
        <v>0.82</v>
      </c>
    </row>
    <row r="34" spans="7:386" x14ac:dyDescent="0.3">
      <c r="G34">
        <v>3000</v>
      </c>
      <c r="H34">
        <v>0.5</v>
      </c>
      <c r="S34">
        <v>1563.636363636364</v>
      </c>
      <c r="T34">
        <v>0.81</v>
      </c>
      <c r="Y34">
        <v>981.81818181818198</v>
      </c>
      <c r="Z34">
        <v>434</v>
      </c>
      <c r="AA34">
        <v>1854.545454545455</v>
      </c>
      <c r="AB34">
        <v>497</v>
      </c>
      <c r="AM34">
        <v>0.8</v>
      </c>
      <c r="AN34">
        <v>0.85</v>
      </c>
      <c r="AQ34">
        <v>0.95</v>
      </c>
      <c r="AR34">
        <v>0.6</v>
      </c>
      <c r="AY34">
        <v>1127.2727272727279</v>
      </c>
      <c r="AZ34">
        <v>0.7</v>
      </c>
      <c r="BM34">
        <v>600</v>
      </c>
      <c r="BN34">
        <v>300.032917</v>
      </c>
      <c r="BU34">
        <v>1350</v>
      </c>
      <c r="BV34">
        <v>300.032917</v>
      </c>
      <c r="CC34">
        <v>1115.625</v>
      </c>
      <c r="CD34">
        <v>293.14999999999998</v>
      </c>
      <c r="CE34">
        <v>825</v>
      </c>
      <c r="CF34">
        <v>283.14999999999998</v>
      </c>
      <c r="CQ34">
        <v>450</v>
      </c>
      <c r="CR34">
        <v>293.14999999999998</v>
      </c>
      <c r="DA34">
        <v>3500.262718794284</v>
      </c>
      <c r="DB34">
        <v>1263.6062808013539</v>
      </c>
      <c r="DC34">
        <v>3405.599188785769</v>
      </c>
      <c r="DD34">
        <v>360.80345072159372</v>
      </c>
      <c r="DG34">
        <v>2203.171124899518</v>
      </c>
      <c r="DH34">
        <v>938.90576560086004</v>
      </c>
      <c r="DI34">
        <v>4518.0762702706579</v>
      </c>
      <c r="DJ34">
        <v>1637.89169753281</v>
      </c>
      <c r="DK34">
        <v>3329.7529689680468</v>
      </c>
      <c r="DL34">
        <v>1799.2624347935671</v>
      </c>
      <c r="DS34">
        <v>3136.9064640869392</v>
      </c>
      <c r="DT34">
        <v>1720.241460276859</v>
      </c>
      <c r="DW34">
        <v>4729.6521810664108</v>
      </c>
      <c r="DX34">
        <v>621.49546668698667</v>
      </c>
      <c r="EA34">
        <v>460.4262103026266</v>
      </c>
      <c r="EB34">
        <v>0.65366879032247815</v>
      </c>
      <c r="EC34">
        <v>441.40671225527342</v>
      </c>
      <c r="ED34">
        <v>0.79078127593495817</v>
      </c>
      <c r="EK34">
        <v>415.63354957701051</v>
      </c>
      <c r="EL34">
        <v>0.78177856995806938</v>
      </c>
      <c r="EM34">
        <v>549.55919489674284</v>
      </c>
      <c r="EN34">
        <v>0.67679498488863543</v>
      </c>
      <c r="EQ34">
        <v>836.37435230652693</v>
      </c>
      <c r="ER34">
        <v>0.6550402161790907</v>
      </c>
      <c r="EU34">
        <v>211.4165689488047</v>
      </c>
      <c r="EV34">
        <v>0.50731792318938351</v>
      </c>
      <c r="EY34">
        <v>2101.2531700651889</v>
      </c>
      <c r="EZ34">
        <v>906.73836867701596</v>
      </c>
      <c r="FC34">
        <v>3503.4075898564338</v>
      </c>
      <c r="FD34">
        <v>1052.8638467769031</v>
      </c>
      <c r="FE34">
        <v>405</v>
      </c>
      <c r="FF34">
        <v>0.92500000000000004</v>
      </c>
      <c r="FM34">
        <v>3781.8230245237678</v>
      </c>
      <c r="FN34">
        <v>808.34025773909616</v>
      </c>
      <c r="FU34">
        <v>3000</v>
      </c>
      <c r="FV34">
        <v>393.75</v>
      </c>
      <c r="FW34">
        <v>3000</v>
      </c>
      <c r="FX34">
        <v>393.75</v>
      </c>
      <c r="GC34">
        <v>3905.950043184831</v>
      </c>
      <c r="GD34">
        <v>1359.5567020080759</v>
      </c>
      <c r="GK34">
        <v>415</v>
      </c>
      <c r="GL34">
        <v>0.5</v>
      </c>
      <c r="GM34">
        <v>415</v>
      </c>
      <c r="GN34">
        <v>0.5</v>
      </c>
      <c r="GS34">
        <v>4808.3419580395002</v>
      </c>
      <c r="GT34">
        <v>1022.274389807265</v>
      </c>
      <c r="HK34">
        <v>2962.3347719201802</v>
      </c>
      <c r="HL34">
        <v>1123.376047576045</v>
      </c>
      <c r="HO34">
        <v>4485.7240435563308</v>
      </c>
      <c r="HP34">
        <v>1916.257875981152</v>
      </c>
      <c r="HS34">
        <v>3168.4533336174909</v>
      </c>
      <c r="HT34">
        <v>1857.973125165069</v>
      </c>
      <c r="IA34">
        <v>1609.7623663502161</v>
      </c>
      <c r="IB34">
        <v>444.86563082709802</v>
      </c>
      <c r="II34">
        <v>2678.4015532162098</v>
      </c>
      <c r="IJ34">
        <v>502.52724079984858</v>
      </c>
      <c r="IK34">
        <v>3086.7018808987232</v>
      </c>
      <c r="IL34">
        <v>426.31775200507082</v>
      </c>
      <c r="IQ34">
        <v>4559.9723696885412</v>
      </c>
      <c r="IR34">
        <v>1111.227968025885</v>
      </c>
      <c r="IY34">
        <v>3567.956515740324</v>
      </c>
      <c r="IZ34">
        <v>1241.4051483837591</v>
      </c>
      <c r="NE34">
        <v>3300</v>
      </c>
      <c r="NF34">
        <v>930</v>
      </c>
      <c r="NU34">
        <v>1100</v>
      </c>
      <c r="NV34">
        <v>0.82</v>
      </c>
    </row>
    <row r="35" spans="7:386" x14ac:dyDescent="0.3">
      <c r="G35">
        <v>3000</v>
      </c>
      <c r="H35">
        <v>0.5</v>
      </c>
      <c r="S35">
        <v>1709.090909090909</v>
      </c>
      <c r="T35">
        <v>0.81</v>
      </c>
      <c r="Y35">
        <v>1418.181818181818</v>
      </c>
      <c r="Z35">
        <v>434</v>
      </c>
      <c r="AA35">
        <v>400</v>
      </c>
      <c r="AB35">
        <v>529</v>
      </c>
      <c r="AM35">
        <v>0.8</v>
      </c>
      <c r="AN35">
        <v>0.85</v>
      </c>
      <c r="AQ35">
        <v>0.89999999999999991</v>
      </c>
      <c r="AR35">
        <v>0.6</v>
      </c>
      <c r="AY35">
        <v>1272.727272727273</v>
      </c>
      <c r="AZ35">
        <v>0.7</v>
      </c>
      <c r="BM35">
        <v>750</v>
      </c>
      <c r="BN35">
        <v>300.032917</v>
      </c>
      <c r="BU35">
        <v>1500</v>
      </c>
      <c r="BV35">
        <v>300.032917</v>
      </c>
      <c r="CC35">
        <v>1115.625</v>
      </c>
      <c r="CD35">
        <v>293.14999999999998</v>
      </c>
      <c r="CE35">
        <v>975</v>
      </c>
      <c r="CF35">
        <v>288.14999999999998</v>
      </c>
      <c r="CQ35">
        <v>600</v>
      </c>
      <c r="CR35">
        <v>293.14999999999998</v>
      </c>
      <c r="DA35">
        <v>4127.8924198258019</v>
      </c>
      <c r="DB35">
        <v>882.80640309614409</v>
      </c>
      <c r="DC35">
        <v>2513.9998727900161</v>
      </c>
      <c r="DD35">
        <v>1369.5644733863919</v>
      </c>
      <c r="DG35">
        <v>4792.7421395355723</v>
      </c>
      <c r="DH35">
        <v>333.56397417930879</v>
      </c>
      <c r="DI35">
        <v>3342.764875777179</v>
      </c>
      <c r="DJ35">
        <v>2479.3589550311531</v>
      </c>
      <c r="DK35">
        <v>4325.8198147113326</v>
      </c>
      <c r="DL35">
        <v>1534.076609265747</v>
      </c>
      <c r="DS35">
        <v>3625.8740492182528</v>
      </c>
      <c r="DT35">
        <v>1517.0347020429469</v>
      </c>
      <c r="DW35">
        <v>3333.0941200475008</v>
      </c>
      <c r="DX35">
        <v>1430.7702948312169</v>
      </c>
      <c r="EA35">
        <v>448.82503694376612</v>
      </c>
      <c r="EB35">
        <v>0.55562745753183951</v>
      </c>
      <c r="EC35">
        <v>401.15735585519099</v>
      </c>
      <c r="ED35">
        <v>0.77694291706138285</v>
      </c>
      <c r="EK35">
        <v>535.18989469237886</v>
      </c>
      <c r="EL35">
        <v>0.70554479056381825</v>
      </c>
      <c r="EM35">
        <v>594.88441375083153</v>
      </c>
      <c r="EN35">
        <v>0.57501458842904363</v>
      </c>
      <c r="EQ35">
        <v>1774.563414524257</v>
      </c>
      <c r="ER35">
        <v>0.68318518351643687</v>
      </c>
      <c r="EU35">
        <v>1322.9138852525091</v>
      </c>
      <c r="EV35">
        <v>0.64217870307716085</v>
      </c>
      <c r="EY35">
        <v>3437.3042290855792</v>
      </c>
      <c r="EZ35">
        <v>850.41359455326631</v>
      </c>
      <c r="FC35">
        <v>3363.033421545289</v>
      </c>
      <c r="FD35">
        <v>968.35094044936159</v>
      </c>
      <c r="FE35">
        <v>407.5</v>
      </c>
      <c r="FF35">
        <v>0.92500000000000004</v>
      </c>
      <c r="FM35">
        <v>3781.8230245237678</v>
      </c>
      <c r="FN35">
        <v>808.34025773909616</v>
      </c>
      <c r="FU35">
        <v>3000</v>
      </c>
      <c r="FV35">
        <v>393.75</v>
      </c>
      <c r="FW35">
        <v>2700</v>
      </c>
      <c r="FX35">
        <v>393.75</v>
      </c>
      <c r="GC35">
        <v>3905.950043184831</v>
      </c>
      <c r="GD35">
        <v>1359.5567020080759</v>
      </c>
      <c r="GK35">
        <v>415</v>
      </c>
      <c r="GL35">
        <v>0.5</v>
      </c>
      <c r="GS35">
        <v>4808.3419580395002</v>
      </c>
      <c r="GT35">
        <v>1022.274389807265</v>
      </c>
      <c r="HK35">
        <v>3137.768653048317</v>
      </c>
      <c r="HL35">
        <v>1265.166286110094</v>
      </c>
      <c r="HO35">
        <v>3752.5883206191711</v>
      </c>
      <c r="HP35">
        <v>687.80474760469065</v>
      </c>
      <c r="HS35">
        <v>4661.6835286698233</v>
      </c>
      <c r="HT35">
        <v>922.97397836325763</v>
      </c>
      <c r="IA35">
        <v>516.69872650688023</v>
      </c>
      <c r="IB35">
        <v>417.47393085119359</v>
      </c>
      <c r="II35">
        <v>3166.2850680732622</v>
      </c>
      <c r="IJ35">
        <v>439.56601773241402</v>
      </c>
      <c r="IK35">
        <v>3901.007902164763</v>
      </c>
      <c r="IL35">
        <v>403.92440006100321</v>
      </c>
      <c r="IQ35">
        <v>4693.3788537165274</v>
      </c>
      <c r="IR35">
        <v>1866.456032087525</v>
      </c>
      <c r="IY35">
        <v>4421.056021958826</v>
      </c>
      <c r="IZ35">
        <v>1158.2245005175421</v>
      </c>
      <c r="NE35">
        <v>3300</v>
      </c>
      <c r="NF35">
        <v>1050</v>
      </c>
      <c r="NU35">
        <v>1200</v>
      </c>
      <c r="NV35">
        <v>0.82</v>
      </c>
    </row>
    <row r="36" spans="7:386" x14ac:dyDescent="0.3">
      <c r="G36">
        <v>3000</v>
      </c>
      <c r="H36">
        <v>0.5</v>
      </c>
      <c r="S36">
        <v>1854.545454545455</v>
      </c>
      <c r="T36">
        <v>0.81</v>
      </c>
      <c r="Y36">
        <v>1563.636363636364</v>
      </c>
      <c r="Z36">
        <v>434</v>
      </c>
      <c r="AA36">
        <v>2000</v>
      </c>
      <c r="AB36">
        <v>497</v>
      </c>
      <c r="AM36">
        <v>0.8</v>
      </c>
      <c r="AN36">
        <v>0.85</v>
      </c>
      <c r="AQ36">
        <v>0.85</v>
      </c>
      <c r="AR36">
        <v>0.6</v>
      </c>
      <c r="AY36">
        <v>1418.181818181818</v>
      </c>
      <c r="AZ36">
        <v>0.7</v>
      </c>
      <c r="BM36">
        <v>900</v>
      </c>
      <c r="BN36">
        <v>300.032917</v>
      </c>
      <c r="BU36">
        <v>525</v>
      </c>
      <c r="BV36">
        <v>283.14999999999998</v>
      </c>
      <c r="CE36">
        <v>975</v>
      </c>
      <c r="CF36">
        <v>288.14999999999998</v>
      </c>
      <c r="CQ36">
        <v>1050</v>
      </c>
      <c r="CR36">
        <v>293.14999999999998</v>
      </c>
      <c r="DA36">
        <v>3213.4260138138861</v>
      </c>
      <c r="DB36">
        <v>607.32915360145648</v>
      </c>
      <c r="DC36">
        <v>3030.7086873052458</v>
      </c>
      <c r="DD36">
        <v>646.8009595769654</v>
      </c>
      <c r="DG36">
        <v>4467.2329289926574</v>
      </c>
      <c r="DH36">
        <v>641.81456661137645</v>
      </c>
      <c r="DI36">
        <v>4460.0769572029194</v>
      </c>
      <c r="DJ36">
        <v>2272.0976529555169</v>
      </c>
      <c r="DK36">
        <v>3505.922650777025</v>
      </c>
      <c r="DL36">
        <v>1840.0066882050121</v>
      </c>
      <c r="DS36">
        <v>2944.813164884155</v>
      </c>
      <c r="DT36">
        <v>524.98762556535814</v>
      </c>
      <c r="DW36">
        <v>3965.7227335249208</v>
      </c>
      <c r="DX36">
        <v>1280.1866654652081</v>
      </c>
      <c r="EA36">
        <v>616.85286317373436</v>
      </c>
      <c r="EB36">
        <v>0.52574446344160852</v>
      </c>
      <c r="EC36">
        <v>453.62923912111012</v>
      </c>
      <c r="ED36">
        <v>0.80016488948043196</v>
      </c>
      <c r="EK36">
        <v>453.31810477144052</v>
      </c>
      <c r="EL36">
        <v>0.60854931858793693</v>
      </c>
      <c r="EM36">
        <v>617.23369632799665</v>
      </c>
      <c r="EN36">
        <v>0.79523267736071612</v>
      </c>
      <c r="EQ36">
        <v>1569.8582438253329</v>
      </c>
      <c r="ER36">
        <v>0.80988260145519386</v>
      </c>
      <c r="EU36">
        <v>1061.882493709157</v>
      </c>
      <c r="EV36">
        <v>0.77081819643033511</v>
      </c>
      <c r="EY36">
        <v>3215.8219494221298</v>
      </c>
      <c r="EZ36">
        <v>253.2073328472934</v>
      </c>
      <c r="FC36">
        <v>4569.9792399247162</v>
      </c>
      <c r="FD36">
        <v>1798.6269920365239</v>
      </c>
      <c r="FE36">
        <v>410</v>
      </c>
      <c r="FF36">
        <v>0.92500000000000004</v>
      </c>
      <c r="FM36">
        <v>3781.8230245237678</v>
      </c>
      <c r="FN36">
        <v>808.34025773909616</v>
      </c>
      <c r="FU36">
        <v>3000</v>
      </c>
      <c r="FV36">
        <v>393.75</v>
      </c>
      <c r="FW36">
        <v>3000</v>
      </c>
      <c r="FX36">
        <v>300</v>
      </c>
      <c r="GC36">
        <v>3905.950043184831</v>
      </c>
      <c r="GD36">
        <v>1359.5567020080759</v>
      </c>
      <c r="GK36">
        <v>415</v>
      </c>
      <c r="GL36">
        <v>0.5</v>
      </c>
      <c r="GS36">
        <v>4808.3419580395002</v>
      </c>
      <c r="GT36">
        <v>1022.274389807265</v>
      </c>
      <c r="HK36">
        <v>3420.2895195252531</v>
      </c>
      <c r="HL36">
        <v>711.36535717672643</v>
      </c>
      <c r="HO36">
        <v>3889.6223656331722</v>
      </c>
      <c r="HP36">
        <v>411.44554456963021</v>
      </c>
      <c r="HS36">
        <v>2147.9886732056411</v>
      </c>
      <c r="HT36">
        <v>754.8333463380402</v>
      </c>
      <c r="IA36">
        <v>1207.3585204440269</v>
      </c>
      <c r="IB36">
        <v>406.49127802056182</v>
      </c>
      <c r="II36">
        <v>3324.942165385844</v>
      </c>
      <c r="IJ36">
        <v>437.5025249612047</v>
      </c>
      <c r="IK36">
        <v>2271.5184494239838</v>
      </c>
      <c r="IL36">
        <v>493.36901741519341</v>
      </c>
      <c r="IQ36">
        <v>2323.8485941875952</v>
      </c>
      <c r="IR36">
        <v>933.9361342188364</v>
      </c>
      <c r="IY36">
        <v>3390.9310370048729</v>
      </c>
      <c r="IZ36">
        <v>457.3075351691075</v>
      </c>
      <c r="NE36">
        <v>3300</v>
      </c>
      <c r="NF36">
        <v>1070</v>
      </c>
      <c r="NU36">
        <v>900</v>
      </c>
      <c r="NV36">
        <v>0.85</v>
      </c>
    </row>
    <row r="37" spans="7:386" x14ac:dyDescent="0.3">
      <c r="G37">
        <v>3000</v>
      </c>
      <c r="H37">
        <v>0.5</v>
      </c>
      <c r="S37">
        <v>2000</v>
      </c>
      <c r="T37">
        <v>0.81</v>
      </c>
      <c r="Y37">
        <v>1709.090909090909</v>
      </c>
      <c r="Z37">
        <v>434</v>
      </c>
      <c r="AA37">
        <v>545.4545454545455</v>
      </c>
      <c r="AB37">
        <v>529</v>
      </c>
      <c r="AM37">
        <v>0.8</v>
      </c>
      <c r="AN37">
        <v>0.85</v>
      </c>
      <c r="AQ37">
        <v>0.6</v>
      </c>
      <c r="AR37">
        <v>0.7</v>
      </c>
      <c r="AY37">
        <v>1563.636363636364</v>
      </c>
      <c r="AZ37">
        <v>0.7</v>
      </c>
      <c r="BM37">
        <v>1050</v>
      </c>
      <c r="BN37">
        <v>300.032917</v>
      </c>
      <c r="BU37">
        <v>525</v>
      </c>
      <c r="BV37">
        <v>283.14999999999998</v>
      </c>
      <c r="CE37">
        <v>1275</v>
      </c>
      <c r="CF37">
        <v>300.032917</v>
      </c>
      <c r="CQ37">
        <v>1200</v>
      </c>
      <c r="CR37">
        <v>293.14999999999998</v>
      </c>
      <c r="DA37">
        <v>3942.2269758253569</v>
      </c>
      <c r="DB37">
        <v>1239.9385188619869</v>
      </c>
      <c r="DC37">
        <v>2450.9615500526988</v>
      </c>
      <c r="DD37">
        <v>558.53242026543444</v>
      </c>
      <c r="DG37">
        <v>2748.1891092757151</v>
      </c>
      <c r="DH37">
        <v>410.36577506406331</v>
      </c>
      <c r="DI37">
        <v>2613.3223792498502</v>
      </c>
      <c r="DJ37">
        <v>1550.510570027684</v>
      </c>
      <c r="DK37">
        <v>2656.921883777969</v>
      </c>
      <c r="DL37">
        <v>2215.0170606603001</v>
      </c>
      <c r="DS37">
        <v>2398.19249006572</v>
      </c>
      <c r="DT37">
        <v>724.92788439780691</v>
      </c>
      <c r="DW37">
        <v>4027.7327712390052</v>
      </c>
      <c r="DX37">
        <v>1267.927605355789</v>
      </c>
      <c r="EA37">
        <v>588.24921431409507</v>
      </c>
      <c r="EB37">
        <v>0.51700136879026615</v>
      </c>
      <c r="EC37">
        <v>432.51320802326921</v>
      </c>
      <c r="ED37">
        <v>0.84167161685928416</v>
      </c>
      <c r="EK37">
        <v>435.93044297262088</v>
      </c>
      <c r="EL37">
        <v>0.66069205414275711</v>
      </c>
      <c r="EM37">
        <v>499.19737627595367</v>
      </c>
      <c r="EN37">
        <v>0.71551325492532469</v>
      </c>
      <c r="EQ37">
        <v>1812.737713808277</v>
      </c>
      <c r="ER37">
        <v>0.83803326480463869</v>
      </c>
      <c r="EU37">
        <v>1781.454783781435</v>
      </c>
      <c r="EV37">
        <v>0.53785881557820714</v>
      </c>
      <c r="EY37">
        <v>4008.190899044529</v>
      </c>
      <c r="EZ37">
        <v>366.91104038818651</v>
      </c>
      <c r="FC37">
        <v>2156.5047433630411</v>
      </c>
      <c r="FD37">
        <v>1735.8106558117399</v>
      </c>
      <c r="FE37">
        <v>390</v>
      </c>
      <c r="FF37">
        <v>0.95</v>
      </c>
      <c r="FM37">
        <v>3781.8230245237678</v>
      </c>
      <c r="FN37">
        <v>808.34025773909616</v>
      </c>
      <c r="FU37">
        <v>3000</v>
      </c>
      <c r="FV37">
        <v>393.75</v>
      </c>
      <c r="FW37">
        <v>3000</v>
      </c>
      <c r="FX37">
        <v>393.75</v>
      </c>
      <c r="GC37">
        <v>3905.950043184831</v>
      </c>
      <c r="GD37">
        <v>1359.5567020080759</v>
      </c>
      <c r="GK37">
        <v>415</v>
      </c>
      <c r="GL37">
        <v>0.5</v>
      </c>
      <c r="GS37">
        <v>4808.3419580395002</v>
      </c>
      <c r="GT37">
        <v>1022.274389807265</v>
      </c>
      <c r="HK37">
        <v>3645.0148236238342</v>
      </c>
      <c r="HL37">
        <v>1009.620705087861</v>
      </c>
      <c r="HO37">
        <v>3356.686636381773</v>
      </c>
      <c r="HP37">
        <v>1968.9851288975581</v>
      </c>
      <c r="HS37">
        <v>4768.9847103643333</v>
      </c>
      <c r="HT37">
        <v>1093.785694089325</v>
      </c>
      <c r="IA37">
        <v>1642.0364774556281</v>
      </c>
      <c r="IB37">
        <v>472.4107030235399</v>
      </c>
      <c r="II37">
        <v>2315.00337289045</v>
      </c>
      <c r="IJ37">
        <v>505.73720797464961</v>
      </c>
      <c r="IK37">
        <v>3389.083384084056</v>
      </c>
      <c r="IL37">
        <v>386.76171952020479</v>
      </c>
      <c r="IQ37">
        <v>3680.937496561593</v>
      </c>
      <c r="IR37">
        <v>1080.0751641734921</v>
      </c>
      <c r="IY37">
        <v>3412.3855881297359</v>
      </c>
      <c r="IZ37">
        <v>923.71052076504361</v>
      </c>
      <c r="NE37">
        <v>3300</v>
      </c>
      <c r="NF37">
        <v>1090</v>
      </c>
      <c r="NU37">
        <v>800</v>
      </c>
      <c r="NV37">
        <v>0.85</v>
      </c>
    </row>
    <row r="38" spans="7:386" x14ac:dyDescent="0.3">
      <c r="G38">
        <v>3000</v>
      </c>
      <c r="H38">
        <v>0.5</v>
      </c>
      <c r="Y38">
        <v>618.18181818181824</v>
      </c>
      <c r="Z38">
        <v>403</v>
      </c>
      <c r="AA38">
        <v>690.90909090909099</v>
      </c>
      <c r="AB38">
        <v>529</v>
      </c>
      <c r="AM38">
        <v>0.8</v>
      </c>
      <c r="AN38">
        <v>0.85</v>
      </c>
      <c r="AQ38">
        <v>0.55000000000000004</v>
      </c>
      <c r="AR38">
        <v>0.7</v>
      </c>
      <c r="AY38">
        <v>1709.090909090909</v>
      </c>
      <c r="AZ38">
        <v>0.7</v>
      </c>
      <c r="BM38">
        <v>1200</v>
      </c>
      <c r="BN38">
        <v>300.032917</v>
      </c>
      <c r="BU38">
        <v>675</v>
      </c>
      <c r="BV38">
        <v>293.14999999999998</v>
      </c>
      <c r="CE38">
        <v>1275</v>
      </c>
      <c r="CF38">
        <v>300.032917</v>
      </c>
      <c r="CQ38">
        <v>750</v>
      </c>
      <c r="CR38">
        <v>293.14999999999998</v>
      </c>
      <c r="DA38">
        <v>2438.757091722845</v>
      </c>
      <c r="DB38">
        <v>1459.363534615464</v>
      </c>
      <c r="DC38">
        <v>2481.4397070734658</v>
      </c>
      <c r="DD38">
        <v>563.00659889068857</v>
      </c>
      <c r="DG38">
        <v>4432.8290325803346</v>
      </c>
      <c r="DH38">
        <v>806.09390228266875</v>
      </c>
      <c r="DI38">
        <v>2386.8500687968681</v>
      </c>
      <c r="DJ38">
        <v>1921.426537752159</v>
      </c>
      <c r="DK38">
        <v>4433.3512546788388</v>
      </c>
      <c r="DL38">
        <v>2393.6378093261301</v>
      </c>
      <c r="DS38">
        <v>3376.2539666928842</v>
      </c>
      <c r="DT38">
        <v>1761.009657813463</v>
      </c>
      <c r="DW38">
        <v>3615.6213288970248</v>
      </c>
      <c r="DX38">
        <v>899.15775650685055</v>
      </c>
      <c r="EA38">
        <v>536.71622129793479</v>
      </c>
      <c r="EB38">
        <v>0.61728733693420779</v>
      </c>
      <c r="EC38">
        <v>420.75872882161099</v>
      </c>
      <c r="ED38">
        <v>0.81597457936398032</v>
      </c>
      <c r="EK38">
        <v>416.48545800380788</v>
      </c>
      <c r="EL38">
        <v>0.60749645252751039</v>
      </c>
      <c r="EQ38">
        <v>1967.4206376207419</v>
      </c>
      <c r="ER38">
        <v>0.82084419975741552</v>
      </c>
      <c r="EU38">
        <v>264.98890171890719</v>
      </c>
      <c r="EV38">
        <v>0.62913142905474939</v>
      </c>
      <c r="EY38">
        <v>4070.499094943948</v>
      </c>
      <c r="EZ38">
        <v>1191.521270757587</v>
      </c>
      <c r="FC38">
        <v>2296.829804719318</v>
      </c>
      <c r="FD38">
        <v>1749.264719203607</v>
      </c>
      <c r="FE38">
        <v>392.5</v>
      </c>
      <c r="FF38">
        <v>0.95</v>
      </c>
      <c r="FM38">
        <v>3781.8230245237678</v>
      </c>
      <c r="FN38">
        <v>808.34025773909616</v>
      </c>
      <c r="FU38">
        <v>3000</v>
      </c>
      <c r="FV38">
        <v>393.75</v>
      </c>
      <c r="FW38">
        <v>3000</v>
      </c>
      <c r="FX38">
        <v>393.75</v>
      </c>
      <c r="GC38">
        <v>3905.950043184831</v>
      </c>
      <c r="GD38">
        <v>1359.5567020080759</v>
      </c>
      <c r="GK38">
        <v>403</v>
      </c>
      <c r="GL38">
        <v>0.5</v>
      </c>
      <c r="GS38">
        <v>4808.3419580395002</v>
      </c>
      <c r="GT38">
        <v>1022.274389807265</v>
      </c>
      <c r="HK38">
        <v>4005.2864622911989</v>
      </c>
      <c r="HL38">
        <v>1442.9968005398659</v>
      </c>
      <c r="HO38">
        <v>3303.4625495627561</v>
      </c>
      <c r="HP38">
        <v>1547.340801233267</v>
      </c>
      <c r="HS38">
        <v>4179.5373139206949</v>
      </c>
      <c r="HT38">
        <v>1686.20494730681</v>
      </c>
      <c r="IA38">
        <v>1734.0646890249971</v>
      </c>
      <c r="IB38">
        <v>502.77755458247572</v>
      </c>
      <c r="II38">
        <v>4287.9568577703394</v>
      </c>
      <c r="IJ38">
        <v>453.16094839950648</v>
      </c>
      <c r="IK38">
        <v>4170.1237734672268</v>
      </c>
      <c r="IL38">
        <v>398.89809182803168</v>
      </c>
      <c r="IQ38">
        <v>3372.833349609547</v>
      </c>
      <c r="IR38">
        <v>1978.0578423100731</v>
      </c>
      <c r="IY38">
        <v>3676.883827507017</v>
      </c>
      <c r="IZ38">
        <v>581.7623476027718</v>
      </c>
      <c r="NE38">
        <v>3300</v>
      </c>
      <c r="NF38">
        <v>1110</v>
      </c>
      <c r="NU38">
        <v>1000</v>
      </c>
      <c r="NV38">
        <v>0.85</v>
      </c>
    </row>
    <row r="39" spans="7:386" x14ac:dyDescent="0.3">
      <c r="G39">
        <v>3000</v>
      </c>
      <c r="H39">
        <v>0.5</v>
      </c>
      <c r="Y39">
        <v>618.18181818181824</v>
      </c>
      <c r="Z39">
        <v>403</v>
      </c>
      <c r="AA39">
        <v>836.36363636363637</v>
      </c>
      <c r="AB39">
        <v>529</v>
      </c>
      <c r="AM39">
        <v>0.8</v>
      </c>
      <c r="AN39">
        <v>0.85</v>
      </c>
      <c r="AQ39">
        <v>0.65</v>
      </c>
      <c r="AR39">
        <v>0.7</v>
      </c>
      <c r="AY39">
        <v>1854.545454545455</v>
      </c>
      <c r="AZ39">
        <v>0.7</v>
      </c>
      <c r="BM39">
        <v>1350</v>
      </c>
      <c r="BN39">
        <v>300.032917</v>
      </c>
      <c r="BU39">
        <v>675</v>
      </c>
      <c r="BV39">
        <v>293.14999999999998</v>
      </c>
      <c r="CE39">
        <v>712.5</v>
      </c>
      <c r="CF39">
        <v>278.14999999999998</v>
      </c>
      <c r="CQ39">
        <v>900</v>
      </c>
      <c r="CR39">
        <v>293.14999999999998</v>
      </c>
      <c r="DA39">
        <v>3778.7143996429581</v>
      </c>
      <c r="DB39">
        <v>1057.1053586906589</v>
      </c>
      <c r="DC39">
        <v>2443.769872928237</v>
      </c>
      <c r="DD39">
        <v>867.75388844891245</v>
      </c>
      <c r="DG39">
        <v>4393.1005855979838</v>
      </c>
      <c r="DH39">
        <v>1370.024784885569</v>
      </c>
      <c r="DI39">
        <v>3466.8463901290961</v>
      </c>
      <c r="DJ39">
        <v>1715.355498068953</v>
      </c>
      <c r="DK39">
        <v>3027.3304269021651</v>
      </c>
      <c r="DL39">
        <v>2376.5249286712969</v>
      </c>
      <c r="DS39">
        <v>2722.778835331379</v>
      </c>
      <c r="DT39">
        <v>1645.570825960443</v>
      </c>
      <c r="DW39">
        <v>4798.2442926640542</v>
      </c>
      <c r="DX39">
        <v>1194.619977855655</v>
      </c>
      <c r="EA39">
        <v>534.0815165655772</v>
      </c>
      <c r="EB39">
        <v>0.72307400465155336</v>
      </c>
      <c r="EC39">
        <v>498.13356719065638</v>
      </c>
      <c r="ED39">
        <v>0.55941724452175279</v>
      </c>
      <c r="EK39">
        <v>562.01258442987682</v>
      </c>
      <c r="EL39">
        <v>0.76736416714886158</v>
      </c>
      <c r="EQ39">
        <v>1046.3657156796489</v>
      </c>
      <c r="ER39">
        <v>0.67891782702462433</v>
      </c>
      <c r="EU39">
        <v>824.41864946174667</v>
      </c>
      <c r="EV39">
        <v>0.74871083722482168</v>
      </c>
      <c r="EY39">
        <v>3314.4008247885481</v>
      </c>
      <c r="EZ39">
        <v>1272.290929718981</v>
      </c>
      <c r="FE39">
        <v>395</v>
      </c>
      <c r="FF39">
        <v>0.95</v>
      </c>
      <c r="FM39">
        <v>3781.8230245237678</v>
      </c>
      <c r="FN39">
        <v>808.34025773909616</v>
      </c>
      <c r="FU39">
        <v>3000</v>
      </c>
      <c r="FV39">
        <v>393.75</v>
      </c>
      <c r="FW39">
        <v>3000</v>
      </c>
      <c r="FX39">
        <v>393.75</v>
      </c>
      <c r="GC39">
        <v>3905.950043184831</v>
      </c>
      <c r="GD39">
        <v>1359.5567020080759</v>
      </c>
      <c r="GK39">
        <v>415</v>
      </c>
      <c r="GL39">
        <v>0.5</v>
      </c>
      <c r="GS39">
        <v>4808.3419580395002</v>
      </c>
      <c r="GT39">
        <v>1022.274389807265</v>
      </c>
      <c r="HK39">
        <v>2951.481828266029</v>
      </c>
      <c r="HL39">
        <v>670.03879239137405</v>
      </c>
      <c r="HO39">
        <v>3030.4384890784449</v>
      </c>
      <c r="HP39">
        <v>1749.0061608234739</v>
      </c>
      <c r="HS39">
        <v>4564.6636425756897</v>
      </c>
      <c r="HT39">
        <v>689.06017813155154</v>
      </c>
      <c r="IA39">
        <v>352.96701008335782</v>
      </c>
      <c r="IB39">
        <v>391.36704236822521</v>
      </c>
      <c r="II39">
        <v>3037.2809897462571</v>
      </c>
      <c r="IJ39">
        <v>400.94894006593961</v>
      </c>
      <c r="IK39">
        <v>3216.0117477733502</v>
      </c>
      <c r="IL39">
        <v>403.69615208452097</v>
      </c>
      <c r="IQ39">
        <v>3308.0803707511282</v>
      </c>
      <c r="IR39">
        <v>1689.5469369477689</v>
      </c>
      <c r="NE39">
        <v>3300</v>
      </c>
      <c r="NF39">
        <v>1150</v>
      </c>
      <c r="NU39">
        <v>1100</v>
      </c>
      <c r="NV39">
        <v>0.85</v>
      </c>
    </row>
    <row r="40" spans="7:386" x14ac:dyDescent="0.3">
      <c r="G40">
        <v>3000</v>
      </c>
      <c r="H40">
        <v>0.5</v>
      </c>
      <c r="Y40">
        <v>472.7272727272728</v>
      </c>
      <c r="Z40">
        <v>390</v>
      </c>
      <c r="AA40">
        <v>981.81818181818198</v>
      </c>
      <c r="AB40">
        <v>529</v>
      </c>
      <c r="AM40">
        <v>0.8</v>
      </c>
      <c r="AN40">
        <v>0.85</v>
      </c>
      <c r="AQ40">
        <v>0.7</v>
      </c>
      <c r="AR40">
        <v>0.7</v>
      </c>
      <c r="AY40">
        <v>2000</v>
      </c>
      <c r="AZ40">
        <v>0.7</v>
      </c>
      <c r="BM40">
        <v>1500</v>
      </c>
      <c r="BN40">
        <v>300.032917</v>
      </c>
      <c r="BU40">
        <v>412.5</v>
      </c>
      <c r="BV40">
        <v>278.14999999999998</v>
      </c>
      <c r="CE40">
        <v>712.5</v>
      </c>
      <c r="CF40">
        <v>278.14999999999998</v>
      </c>
      <c r="CQ40">
        <v>1350</v>
      </c>
      <c r="CR40">
        <v>293.14999999999998</v>
      </c>
      <c r="DA40">
        <v>4493.2266060725988</v>
      </c>
      <c r="DB40">
        <v>983.01720182054078</v>
      </c>
      <c r="DC40">
        <v>4255.1398485510472</v>
      </c>
      <c r="DD40">
        <v>1356.4623282553241</v>
      </c>
      <c r="DG40">
        <v>4636.0960996746398</v>
      </c>
      <c r="DH40">
        <v>387.41923802042197</v>
      </c>
      <c r="DI40">
        <v>3998.6497073155929</v>
      </c>
      <c r="DJ40">
        <v>2312.1504843392358</v>
      </c>
      <c r="DK40">
        <v>3214.3693621988841</v>
      </c>
      <c r="DL40">
        <v>2028.3754944791469</v>
      </c>
      <c r="DS40">
        <v>4840.6600453590399</v>
      </c>
      <c r="DT40">
        <v>1104.2787357679661</v>
      </c>
      <c r="DW40">
        <v>2955.0200224440882</v>
      </c>
      <c r="DX40">
        <v>1023.011635302588</v>
      </c>
      <c r="EA40">
        <v>559.72628479505659</v>
      </c>
      <c r="EB40">
        <v>0.68326533007453949</v>
      </c>
      <c r="EK40">
        <v>382.64794445173771</v>
      </c>
      <c r="EL40">
        <v>0.55659909918657002</v>
      </c>
      <c r="EU40">
        <v>1297.39077862042</v>
      </c>
      <c r="EV40">
        <v>0.69863431842614099</v>
      </c>
      <c r="EY40">
        <v>3761.3471549453488</v>
      </c>
      <c r="EZ40">
        <v>1533.9062064953389</v>
      </c>
      <c r="FE40">
        <v>397.5</v>
      </c>
      <c r="FF40">
        <v>0.95</v>
      </c>
      <c r="FM40">
        <v>3781.8230245237678</v>
      </c>
      <c r="FN40">
        <v>808.34025773909616</v>
      </c>
      <c r="FU40">
        <v>3000</v>
      </c>
      <c r="FV40">
        <v>393.75</v>
      </c>
      <c r="FW40">
        <v>3000</v>
      </c>
      <c r="FX40">
        <v>300</v>
      </c>
      <c r="GC40">
        <v>3905.950043184831</v>
      </c>
      <c r="GD40">
        <v>1359.5567020080759</v>
      </c>
      <c r="GK40">
        <v>415</v>
      </c>
      <c r="GL40">
        <v>0.5</v>
      </c>
      <c r="GS40">
        <v>4808.3419580395002</v>
      </c>
      <c r="GT40">
        <v>1022.274389807265</v>
      </c>
      <c r="HK40">
        <v>4603.1064998073989</v>
      </c>
      <c r="HL40">
        <v>1865.4226013546449</v>
      </c>
      <c r="HO40">
        <v>4364.9832117882861</v>
      </c>
      <c r="HP40">
        <v>310.76100381092579</v>
      </c>
      <c r="HS40">
        <v>2274.9449956829039</v>
      </c>
      <c r="HT40">
        <v>1207.5523039001639</v>
      </c>
      <c r="IA40">
        <v>1113.435898165091</v>
      </c>
      <c r="IB40">
        <v>428.46090973647449</v>
      </c>
      <c r="II40">
        <v>4205.2361361716185</v>
      </c>
      <c r="IJ40">
        <v>472.62363372626879</v>
      </c>
      <c r="IK40">
        <v>4531.0181263499926</v>
      </c>
      <c r="IL40">
        <v>451.90329798210132</v>
      </c>
      <c r="IQ40">
        <v>3596.4637383111572</v>
      </c>
      <c r="IR40">
        <v>1888.7461989979081</v>
      </c>
      <c r="NE40">
        <v>3300</v>
      </c>
      <c r="NF40">
        <v>1130</v>
      </c>
      <c r="NU40">
        <v>1200</v>
      </c>
      <c r="NV40">
        <v>0.85</v>
      </c>
    </row>
    <row r="41" spans="7:386" x14ac:dyDescent="0.3">
      <c r="G41">
        <v>3000</v>
      </c>
      <c r="H41">
        <v>0.5</v>
      </c>
      <c r="Y41">
        <v>472.7272727272728</v>
      </c>
      <c r="Z41">
        <v>390</v>
      </c>
      <c r="AA41">
        <v>1127.2727272727279</v>
      </c>
      <c r="AB41">
        <v>529</v>
      </c>
      <c r="AM41">
        <v>0.8</v>
      </c>
      <c r="AN41">
        <v>0.85</v>
      </c>
      <c r="AQ41">
        <v>0.75</v>
      </c>
      <c r="AR41">
        <v>0.7</v>
      </c>
      <c r="AY41">
        <v>1309.090909090909</v>
      </c>
      <c r="AZ41">
        <v>0.4</v>
      </c>
      <c r="BM41">
        <v>375</v>
      </c>
      <c r="BN41">
        <v>283.14999999999998</v>
      </c>
      <c r="BU41">
        <v>412.5</v>
      </c>
      <c r="BV41">
        <v>278.14999999999998</v>
      </c>
      <c r="CE41">
        <v>1087.5</v>
      </c>
      <c r="CF41">
        <v>293.14999999999998</v>
      </c>
      <c r="CQ41">
        <v>1500</v>
      </c>
      <c r="CR41">
        <v>293.14999999999998</v>
      </c>
      <c r="DA41">
        <v>3478.2171267138501</v>
      </c>
      <c r="DB41">
        <v>935.60334638726977</v>
      </c>
      <c r="DC41">
        <v>3574.8374387542531</v>
      </c>
      <c r="DD41">
        <v>692.94504186664994</v>
      </c>
      <c r="DG41">
        <v>4732.2769043324506</v>
      </c>
      <c r="DH41">
        <v>947.20567007283955</v>
      </c>
      <c r="DI41">
        <v>4128.1639073304896</v>
      </c>
      <c r="DJ41">
        <v>1942.1302301885601</v>
      </c>
      <c r="DK41">
        <v>2787.9844131317968</v>
      </c>
      <c r="DL41">
        <v>2439.434749827305</v>
      </c>
      <c r="DS41">
        <v>2203.3715211215681</v>
      </c>
      <c r="DT41">
        <v>1311.578702812739</v>
      </c>
      <c r="DW41">
        <v>4334.2913017448254</v>
      </c>
      <c r="DX41">
        <v>1915.5735069014661</v>
      </c>
      <c r="EA41">
        <v>490.29665978829178</v>
      </c>
      <c r="EB41">
        <v>0.68811154390764706</v>
      </c>
      <c r="EK41">
        <v>495.97069586319861</v>
      </c>
      <c r="EL41">
        <v>0.82874942102979765</v>
      </c>
      <c r="EU41">
        <v>474.5501690374976</v>
      </c>
      <c r="EV41">
        <v>0.75238245717999708</v>
      </c>
      <c r="EY41">
        <v>3788.4118388261031</v>
      </c>
      <c r="EZ41">
        <v>353.25442524265208</v>
      </c>
      <c r="FE41">
        <v>400</v>
      </c>
      <c r="FF41">
        <v>0.95</v>
      </c>
      <c r="FM41">
        <v>3781.8230245237678</v>
      </c>
      <c r="FN41">
        <v>808.34025773909616</v>
      </c>
      <c r="FU41">
        <v>3000</v>
      </c>
      <c r="FV41">
        <v>393.75</v>
      </c>
      <c r="FW41">
        <v>3000</v>
      </c>
      <c r="FX41">
        <v>393.75</v>
      </c>
      <c r="GC41">
        <v>3905.950043184831</v>
      </c>
      <c r="GD41">
        <v>1359.5567020080759</v>
      </c>
      <c r="GK41">
        <v>415</v>
      </c>
      <c r="GL41">
        <v>0.5</v>
      </c>
      <c r="GS41">
        <v>4808.3419580395002</v>
      </c>
      <c r="GT41">
        <v>1022.274389807265</v>
      </c>
      <c r="HK41">
        <v>2733.6358331485271</v>
      </c>
      <c r="HL41">
        <v>794.31544050601576</v>
      </c>
      <c r="HO41">
        <v>2771.4599424546318</v>
      </c>
      <c r="HP41">
        <v>1846.4172320102959</v>
      </c>
      <c r="HS41">
        <v>3695.8519408174479</v>
      </c>
      <c r="HT41">
        <v>549.89905316033673</v>
      </c>
      <c r="IA41">
        <v>1745.5528878152861</v>
      </c>
      <c r="IB41">
        <v>411.61798744219033</v>
      </c>
      <c r="II41">
        <v>4651.2572674883813</v>
      </c>
      <c r="IJ41">
        <v>508.00260785656633</v>
      </c>
      <c r="IK41">
        <v>4274.7436063245659</v>
      </c>
      <c r="IL41">
        <v>475.43698728098462</v>
      </c>
      <c r="NE41">
        <v>3300</v>
      </c>
      <c r="NF41">
        <v>1170</v>
      </c>
      <c r="NU41">
        <v>800</v>
      </c>
      <c r="NV41">
        <v>0.88</v>
      </c>
    </row>
    <row r="42" spans="7:386" x14ac:dyDescent="0.3">
      <c r="G42">
        <v>3000</v>
      </c>
      <c r="H42">
        <v>0.5</v>
      </c>
      <c r="Y42">
        <v>763.63636363636374</v>
      </c>
      <c r="Z42">
        <v>420</v>
      </c>
      <c r="AA42">
        <v>1272.727272727273</v>
      </c>
      <c r="AB42">
        <v>529</v>
      </c>
      <c r="AM42">
        <v>0.8</v>
      </c>
      <c r="AN42">
        <v>0.85</v>
      </c>
      <c r="AQ42">
        <v>0.89999999999999991</v>
      </c>
      <c r="AR42">
        <v>0.7</v>
      </c>
      <c r="AY42">
        <v>1309.090909090909</v>
      </c>
      <c r="AZ42">
        <v>0.4</v>
      </c>
      <c r="BM42">
        <v>375</v>
      </c>
      <c r="BN42">
        <v>283.14999999999998</v>
      </c>
      <c r="BU42">
        <v>562.5</v>
      </c>
      <c r="BV42">
        <v>288.14999999999998</v>
      </c>
      <c r="CE42">
        <v>1087.5</v>
      </c>
      <c r="CF42">
        <v>293.14999999999998</v>
      </c>
      <c r="CQ42">
        <v>450</v>
      </c>
      <c r="CR42">
        <v>300.032917</v>
      </c>
      <c r="DA42">
        <v>4910.206466736995</v>
      </c>
      <c r="DB42">
        <v>1139.94078496408</v>
      </c>
      <c r="DC42">
        <v>3018.4333594799518</v>
      </c>
      <c r="DD42">
        <v>1078.9526693895129</v>
      </c>
      <c r="DG42">
        <v>2944.9293216149358</v>
      </c>
      <c r="DH42">
        <v>1208.291031742486</v>
      </c>
      <c r="DI42">
        <v>2884.3864790812422</v>
      </c>
      <c r="DJ42">
        <v>2107.6277110886108</v>
      </c>
      <c r="DK42">
        <v>4621.3115030148492</v>
      </c>
      <c r="DL42">
        <v>1680.7872741311289</v>
      </c>
      <c r="DW42">
        <v>2633.296027164602</v>
      </c>
      <c r="DX42">
        <v>1420.672726862932</v>
      </c>
      <c r="EA42">
        <v>458.05889656030593</v>
      </c>
      <c r="EB42">
        <v>0.6574687939591497</v>
      </c>
      <c r="EK42">
        <v>466.22481999362498</v>
      </c>
      <c r="EL42">
        <v>0.63220345439637282</v>
      </c>
      <c r="EU42">
        <v>1012.8466115997541</v>
      </c>
      <c r="EV42">
        <v>0.63450414388685061</v>
      </c>
      <c r="EY42">
        <v>3845.309923918609</v>
      </c>
      <c r="EZ42">
        <v>872.79649937010845</v>
      </c>
      <c r="FE42">
        <v>407.5</v>
      </c>
      <c r="FF42">
        <v>0.95</v>
      </c>
      <c r="FM42">
        <v>4081.8230245237678</v>
      </c>
      <c r="FN42">
        <v>808.34025773909616</v>
      </c>
      <c r="FU42">
        <v>3300</v>
      </c>
      <c r="FV42">
        <v>393.75</v>
      </c>
      <c r="FW42">
        <v>3000</v>
      </c>
      <c r="FX42">
        <v>393.75</v>
      </c>
      <c r="GC42">
        <v>4505.950043184831</v>
      </c>
      <c r="GD42">
        <v>1359.5567020080759</v>
      </c>
      <c r="GK42">
        <v>415</v>
      </c>
      <c r="GL42">
        <v>0.5</v>
      </c>
      <c r="GS42">
        <v>4808.3419580395002</v>
      </c>
      <c r="GT42">
        <v>1022.274389807265</v>
      </c>
      <c r="HK42">
        <v>2701.6308326279482</v>
      </c>
      <c r="HL42">
        <v>1688.8394368780421</v>
      </c>
      <c r="HS42">
        <v>4514.3854836806622</v>
      </c>
      <c r="HT42">
        <v>1243.030893886252</v>
      </c>
      <c r="IA42">
        <v>913.06228554421898</v>
      </c>
      <c r="IB42">
        <v>497.9605335833927</v>
      </c>
      <c r="II42">
        <v>3692.9442172576232</v>
      </c>
      <c r="IJ42">
        <v>474.17562100090612</v>
      </c>
      <c r="NE42">
        <v>3300</v>
      </c>
      <c r="NF42">
        <v>1190</v>
      </c>
      <c r="NU42">
        <v>900</v>
      </c>
      <c r="NV42">
        <v>0.88</v>
      </c>
    </row>
    <row r="43" spans="7:386" x14ac:dyDescent="0.3">
      <c r="G43">
        <v>3000</v>
      </c>
      <c r="H43">
        <v>0.5</v>
      </c>
      <c r="Y43">
        <v>763.63636363636374</v>
      </c>
      <c r="Z43">
        <v>420</v>
      </c>
      <c r="AA43">
        <v>1418.181818181818</v>
      </c>
      <c r="AB43">
        <v>529</v>
      </c>
      <c r="AM43">
        <v>0.8</v>
      </c>
      <c r="AN43">
        <v>0.85</v>
      </c>
      <c r="AQ43">
        <v>0.85</v>
      </c>
      <c r="AR43">
        <v>0.7</v>
      </c>
      <c r="AY43">
        <v>1727.2727272727279</v>
      </c>
      <c r="AZ43">
        <v>0.5</v>
      </c>
      <c r="BM43">
        <v>525</v>
      </c>
      <c r="BN43">
        <v>293.14999999999998</v>
      </c>
      <c r="BU43">
        <v>487.5</v>
      </c>
      <c r="BV43">
        <v>283.14999999999998</v>
      </c>
      <c r="CE43">
        <v>731.25</v>
      </c>
      <c r="CF43">
        <v>278.14999999999998</v>
      </c>
      <c r="CQ43">
        <v>300</v>
      </c>
      <c r="CR43">
        <v>300.032917</v>
      </c>
      <c r="DA43">
        <v>3648.122848450414</v>
      </c>
      <c r="DB43">
        <v>1303.645408011819</v>
      </c>
      <c r="DC43">
        <v>3281.0679180314919</v>
      </c>
      <c r="DD43">
        <v>817.33800223752814</v>
      </c>
      <c r="DG43">
        <v>4475.5589101845726</v>
      </c>
      <c r="DH43">
        <v>925.98910726832196</v>
      </c>
      <c r="DI43">
        <v>2972.540349518591</v>
      </c>
      <c r="DJ43">
        <v>2334.3730126520818</v>
      </c>
      <c r="DK43">
        <v>2714.7486146901701</v>
      </c>
      <c r="DL43">
        <v>1593.6272612806661</v>
      </c>
      <c r="DW43">
        <v>2401.477527370052</v>
      </c>
      <c r="DX43">
        <v>553.83370347515915</v>
      </c>
      <c r="EA43">
        <v>572.10966690996554</v>
      </c>
      <c r="EB43">
        <v>0.68506311609969539</v>
      </c>
      <c r="EK43">
        <v>554.84501806762455</v>
      </c>
      <c r="EL43">
        <v>0.57013189780327778</v>
      </c>
      <c r="EU43">
        <v>1944.788545631179</v>
      </c>
      <c r="EV43">
        <v>0.69381537208713207</v>
      </c>
      <c r="EY43">
        <v>3069.1943727159201</v>
      </c>
      <c r="EZ43">
        <v>1353.0666895390279</v>
      </c>
      <c r="FE43">
        <v>402.5</v>
      </c>
      <c r="FF43">
        <v>0.95</v>
      </c>
      <c r="FM43">
        <v>3481.8230245237678</v>
      </c>
      <c r="FN43">
        <v>808.34025773909616</v>
      </c>
      <c r="FU43">
        <v>3000</v>
      </c>
      <c r="FV43">
        <v>613.75</v>
      </c>
      <c r="GC43">
        <v>3905.950043184831</v>
      </c>
      <c r="GD43">
        <v>1359.5567020080759</v>
      </c>
      <c r="GK43">
        <v>415</v>
      </c>
      <c r="GL43">
        <v>0.5</v>
      </c>
      <c r="GS43">
        <v>4508.3419580395002</v>
      </c>
      <c r="GT43">
        <v>1022.274389807265</v>
      </c>
      <c r="HK43">
        <v>2926.7799280249769</v>
      </c>
      <c r="HL43">
        <v>1536.3514820151661</v>
      </c>
      <c r="HS43">
        <v>3647.5669534807862</v>
      </c>
      <c r="HT43">
        <v>536.06977028929475</v>
      </c>
      <c r="IA43">
        <v>1450.8499631879099</v>
      </c>
      <c r="IB43">
        <v>463.74345691892722</v>
      </c>
      <c r="II43">
        <v>2070.8046545543202</v>
      </c>
      <c r="IJ43">
        <v>429.61674916323142</v>
      </c>
      <c r="NE43">
        <v>3300</v>
      </c>
      <c r="NF43">
        <v>680</v>
      </c>
      <c r="NU43">
        <v>1000</v>
      </c>
      <c r="NV43">
        <v>0.88</v>
      </c>
    </row>
    <row r="44" spans="7:386" x14ac:dyDescent="0.3">
      <c r="Y44">
        <v>1781.818181818182</v>
      </c>
      <c r="Z44">
        <v>434</v>
      </c>
      <c r="AA44">
        <v>1563.636363636364</v>
      </c>
      <c r="AB44">
        <v>529</v>
      </c>
      <c r="AM44">
        <v>0.8</v>
      </c>
      <c r="AN44">
        <v>0.85</v>
      </c>
      <c r="AQ44">
        <v>0.8</v>
      </c>
      <c r="AR44">
        <v>0.7</v>
      </c>
      <c r="AY44">
        <v>1727.2727272727279</v>
      </c>
      <c r="AZ44">
        <v>0.5</v>
      </c>
      <c r="BM44">
        <v>525</v>
      </c>
      <c r="BN44">
        <v>293.14999999999998</v>
      </c>
      <c r="BU44">
        <v>487.5</v>
      </c>
      <c r="BV44">
        <v>283.14999999999998</v>
      </c>
      <c r="CE44">
        <v>731.25</v>
      </c>
      <c r="CF44">
        <v>278.14999999999998</v>
      </c>
      <c r="CQ44">
        <v>150</v>
      </c>
      <c r="CR44">
        <v>300.032917</v>
      </c>
      <c r="DA44">
        <v>4264.2593142801079</v>
      </c>
      <c r="DB44">
        <v>1277.817032372805</v>
      </c>
      <c r="DC44">
        <v>4005.086734735974</v>
      </c>
      <c r="DD44">
        <v>455.27469191456868</v>
      </c>
      <c r="DG44">
        <v>2421.900119820586</v>
      </c>
      <c r="DH44">
        <v>876.2542343533936</v>
      </c>
      <c r="DI44">
        <v>4369.2647667642268</v>
      </c>
      <c r="DJ44">
        <v>1864.259073243996</v>
      </c>
      <c r="DK44">
        <v>2754.7332631360318</v>
      </c>
      <c r="DL44">
        <v>2247.3779947730031</v>
      </c>
      <c r="DW44">
        <v>4872.5953378383219</v>
      </c>
      <c r="DX44">
        <v>1335.256319448823</v>
      </c>
      <c r="EA44">
        <v>505.72674089419331</v>
      </c>
      <c r="EB44">
        <v>0.64224646525905271</v>
      </c>
      <c r="EK44">
        <v>520.34088345665066</v>
      </c>
      <c r="EL44">
        <v>0.67861997200838753</v>
      </c>
      <c r="EU44">
        <v>998.57596618585842</v>
      </c>
      <c r="EV44">
        <v>0.7943290478947429</v>
      </c>
      <c r="EY44">
        <v>2923.8459890556928</v>
      </c>
      <c r="EZ44">
        <v>809.10072952384576</v>
      </c>
      <c r="FE44">
        <v>405</v>
      </c>
      <c r="FF44">
        <v>0.95</v>
      </c>
      <c r="FM44">
        <v>3781.8230245237678</v>
      </c>
      <c r="FN44">
        <v>1028.3402577390959</v>
      </c>
      <c r="FU44">
        <v>3000</v>
      </c>
      <c r="FV44">
        <v>393.75</v>
      </c>
      <c r="GC44">
        <v>4205.950043184831</v>
      </c>
      <c r="GD44">
        <v>1579.5567020080759</v>
      </c>
      <c r="GK44">
        <v>415</v>
      </c>
      <c r="GL44">
        <v>0.5</v>
      </c>
      <c r="GS44">
        <v>4808.3419580395002</v>
      </c>
      <c r="GT44">
        <v>1242.274389807264</v>
      </c>
      <c r="HK44">
        <v>3093.549445566448</v>
      </c>
      <c r="HL44">
        <v>1764.545055331969</v>
      </c>
      <c r="HS44">
        <v>4358.9111336343776</v>
      </c>
      <c r="HT44">
        <v>464.16186585243298</v>
      </c>
      <c r="IA44">
        <v>911.53309324786323</v>
      </c>
      <c r="IB44">
        <v>437.00694278317877</v>
      </c>
      <c r="II44">
        <v>4435.4453991579076</v>
      </c>
      <c r="IJ44">
        <v>512.66103604560544</v>
      </c>
      <c r="NE44">
        <v>3300</v>
      </c>
      <c r="NF44">
        <v>680</v>
      </c>
      <c r="NU44">
        <v>1100</v>
      </c>
      <c r="NV44">
        <v>0.88</v>
      </c>
    </row>
    <row r="45" spans="7:386" x14ac:dyDescent="0.3">
      <c r="Y45">
        <v>581.81818181818187</v>
      </c>
      <c r="Z45">
        <v>403</v>
      </c>
      <c r="AA45">
        <v>1709.090909090909</v>
      </c>
      <c r="AB45">
        <v>529</v>
      </c>
      <c r="AM45">
        <v>0.8</v>
      </c>
      <c r="AN45">
        <v>0.85</v>
      </c>
      <c r="AQ45">
        <v>0.95</v>
      </c>
      <c r="AR45">
        <v>0.7</v>
      </c>
      <c r="BM45">
        <v>337.5</v>
      </c>
      <c r="BN45">
        <v>283.14999999999998</v>
      </c>
      <c r="BU45">
        <v>562.5</v>
      </c>
      <c r="BV45">
        <v>288.14999999999998</v>
      </c>
      <c r="CE45">
        <v>843.75</v>
      </c>
      <c r="CF45">
        <v>283.14999999999998</v>
      </c>
      <c r="CQ45">
        <v>600</v>
      </c>
      <c r="CR45">
        <v>300.032917</v>
      </c>
      <c r="DA45">
        <v>2604.9446364231212</v>
      </c>
      <c r="DB45">
        <v>1241.446773162118</v>
      </c>
      <c r="DC45">
        <v>3228.7283343541671</v>
      </c>
      <c r="DD45">
        <v>905.05150523572115</v>
      </c>
      <c r="DG45">
        <v>4929.4334245506598</v>
      </c>
      <c r="DH45">
        <v>407.31624011368939</v>
      </c>
      <c r="DI45">
        <v>4921.1716040596084</v>
      </c>
      <c r="DJ45">
        <v>1620.8037890716259</v>
      </c>
      <c r="DW45">
        <v>2196.6390627249971</v>
      </c>
      <c r="DX45">
        <v>677.46804704846124</v>
      </c>
      <c r="EA45">
        <v>609.66623554292119</v>
      </c>
      <c r="EB45">
        <v>0.59831592118823596</v>
      </c>
      <c r="EK45">
        <v>581.89650593158467</v>
      </c>
      <c r="EL45">
        <v>0.68434088991053943</v>
      </c>
      <c r="EU45">
        <v>1746.6896656109179</v>
      </c>
      <c r="EV45">
        <v>0.58352086625342303</v>
      </c>
      <c r="EY45">
        <v>3479.4891550376169</v>
      </c>
      <c r="EZ45">
        <v>521.3504864564843</v>
      </c>
      <c r="FE45">
        <v>410</v>
      </c>
      <c r="FF45">
        <v>0.95</v>
      </c>
      <c r="FM45">
        <v>3781.8230245237678</v>
      </c>
      <c r="FN45">
        <v>808.34025773909616</v>
      </c>
      <c r="FU45">
        <v>3000</v>
      </c>
      <c r="FV45">
        <v>393.75</v>
      </c>
      <c r="GC45">
        <v>4205.950043184831</v>
      </c>
      <c r="GD45">
        <v>1359.5567020080759</v>
      </c>
      <c r="GK45">
        <v>415</v>
      </c>
      <c r="GL45">
        <v>0.5</v>
      </c>
      <c r="GS45">
        <v>4808.3419580395002</v>
      </c>
      <c r="GT45">
        <v>1022.274389807265</v>
      </c>
      <c r="HK45">
        <v>4626.7559133667928</v>
      </c>
      <c r="HL45">
        <v>607.39935341892078</v>
      </c>
      <c r="HS45">
        <v>2167.7189123117491</v>
      </c>
      <c r="HT45">
        <v>427.06621327627067</v>
      </c>
      <c r="IA45">
        <v>1585.8561228929191</v>
      </c>
      <c r="IB45">
        <v>478.21930376596362</v>
      </c>
      <c r="II45">
        <v>3548.2014590476911</v>
      </c>
      <c r="IJ45">
        <v>464.93319792998062</v>
      </c>
      <c r="NE45">
        <v>3300</v>
      </c>
      <c r="NF45">
        <v>680</v>
      </c>
      <c r="NU45">
        <v>1200</v>
      </c>
      <c r="NV45">
        <v>0.88</v>
      </c>
    </row>
    <row r="46" spans="7:386" x14ac:dyDescent="0.3">
      <c r="Y46">
        <v>581.81818181818187</v>
      </c>
      <c r="Z46">
        <v>403</v>
      </c>
      <c r="AA46">
        <v>400</v>
      </c>
      <c r="AB46">
        <v>560</v>
      </c>
      <c r="AM46">
        <v>0.8</v>
      </c>
      <c r="AN46">
        <v>0.85</v>
      </c>
      <c r="AQ46">
        <v>0.8</v>
      </c>
      <c r="AR46">
        <v>0.8</v>
      </c>
      <c r="BM46">
        <v>412.5</v>
      </c>
      <c r="BN46">
        <v>288.14999999999998</v>
      </c>
      <c r="BU46">
        <v>637.5</v>
      </c>
      <c r="BV46">
        <v>293.14999999999998</v>
      </c>
      <c r="CE46">
        <v>843.75</v>
      </c>
      <c r="CF46">
        <v>283.14999999999998</v>
      </c>
      <c r="CQ46">
        <v>1050</v>
      </c>
      <c r="CR46">
        <v>300.032917</v>
      </c>
      <c r="DA46">
        <v>2139.236516373478</v>
      </c>
      <c r="DB46">
        <v>1322.5478820211731</v>
      </c>
      <c r="DC46">
        <v>4928.0234379088861</v>
      </c>
      <c r="DD46">
        <v>642.78356589947543</v>
      </c>
      <c r="DG46">
        <v>4120.8665446055484</v>
      </c>
      <c r="DH46">
        <v>527.03133707969459</v>
      </c>
      <c r="DI46">
        <v>4814.5792994048543</v>
      </c>
      <c r="DJ46">
        <v>2328.4795059497251</v>
      </c>
      <c r="DW46">
        <v>2776.727436590294</v>
      </c>
      <c r="DX46">
        <v>439.75750084010292</v>
      </c>
      <c r="EA46">
        <v>529.08078960558726</v>
      </c>
      <c r="EB46">
        <v>0.58967506219590382</v>
      </c>
      <c r="EK46">
        <v>450.17171109409128</v>
      </c>
      <c r="EL46">
        <v>0.7119811496815095</v>
      </c>
      <c r="EU46">
        <v>358.8222479218133</v>
      </c>
      <c r="EV46">
        <v>0.73796159817506191</v>
      </c>
      <c r="EY46">
        <v>4826.0114461448247</v>
      </c>
      <c r="EZ46">
        <v>1837.459855400399</v>
      </c>
      <c r="FE46">
        <v>390</v>
      </c>
      <c r="FF46">
        <v>0.85</v>
      </c>
      <c r="FM46">
        <v>3781.8230245237678</v>
      </c>
      <c r="FN46">
        <v>808.34025773909616</v>
      </c>
      <c r="FU46">
        <v>3000</v>
      </c>
      <c r="FV46">
        <v>393.75</v>
      </c>
      <c r="GC46">
        <v>4205.950043184831</v>
      </c>
      <c r="GD46">
        <v>1359.5567020080759</v>
      </c>
      <c r="GK46">
        <v>403</v>
      </c>
      <c r="GL46">
        <v>0.5</v>
      </c>
      <c r="GS46">
        <v>4808.3419580395002</v>
      </c>
      <c r="GT46">
        <v>1022.274389807265</v>
      </c>
      <c r="HS46">
        <v>2465.5606767002332</v>
      </c>
      <c r="HT46">
        <v>1285.352935678214</v>
      </c>
      <c r="IA46">
        <v>1491.847296799245</v>
      </c>
      <c r="IB46">
        <v>397.78561099957699</v>
      </c>
      <c r="NE46">
        <v>3300</v>
      </c>
      <c r="NF46">
        <v>680</v>
      </c>
      <c r="NU46">
        <v>900</v>
      </c>
      <c r="NV46">
        <v>0.91</v>
      </c>
    </row>
    <row r="47" spans="7:386" x14ac:dyDescent="0.3">
      <c r="Y47">
        <v>945.45454545454561</v>
      </c>
      <c r="Z47">
        <v>434</v>
      </c>
      <c r="AA47">
        <v>1854.545454545455</v>
      </c>
      <c r="AB47">
        <v>529</v>
      </c>
      <c r="AM47">
        <v>0.8</v>
      </c>
      <c r="AN47">
        <v>0.85</v>
      </c>
      <c r="AQ47">
        <v>0.75</v>
      </c>
      <c r="AR47">
        <v>0.8</v>
      </c>
      <c r="BM47">
        <v>337.5</v>
      </c>
      <c r="BN47">
        <v>283.14999999999998</v>
      </c>
      <c r="BU47">
        <v>637.5</v>
      </c>
      <c r="BV47">
        <v>293.14999999999998</v>
      </c>
      <c r="CE47">
        <v>1106.25</v>
      </c>
      <c r="CF47">
        <v>293.14999999999998</v>
      </c>
      <c r="CQ47">
        <v>1200</v>
      </c>
      <c r="CR47">
        <v>300.032917</v>
      </c>
      <c r="DA47">
        <v>4178.30434766902</v>
      </c>
      <c r="DB47">
        <v>1182.62103642894</v>
      </c>
      <c r="DC47">
        <v>3303.8020977301112</v>
      </c>
      <c r="DD47">
        <v>1291.098246882884</v>
      </c>
      <c r="DG47">
        <v>4920.8803809184628</v>
      </c>
      <c r="DH47">
        <v>1032.970525554797</v>
      </c>
      <c r="DI47">
        <v>2575.7419112427519</v>
      </c>
      <c r="DJ47">
        <v>1593.044753827096</v>
      </c>
      <c r="DW47">
        <v>2884.7954406049612</v>
      </c>
      <c r="DX47">
        <v>726.31676841161914</v>
      </c>
      <c r="EA47">
        <v>582.67834635602037</v>
      </c>
      <c r="EB47">
        <v>0.51212602309062272</v>
      </c>
      <c r="EK47">
        <v>544.31570802291026</v>
      </c>
      <c r="EL47">
        <v>0.76350974576423036</v>
      </c>
      <c r="EU47">
        <v>1584.0063760563639</v>
      </c>
      <c r="EV47">
        <v>0.77267643990798596</v>
      </c>
      <c r="EY47">
        <v>2097.8080807033689</v>
      </c>
      <c r="EZ47">
        <v>240.565599861495</v>
      </c>
      <c r="FE47">
        <v>392.5</v>
      </c>
      <c r="FF47">
        <v>0.85</v>
      </c>
      <c r="FM47">
        <v>3781.8230245237678</v>
      </c>
      <c r="FN47">
        <v>808.34025773909616</v>
      </c>
      <c r="FU47">
        <v>3000</v>
      </c>
      <c r="FV47">
        <v>393.75</v>
      </c>
      <c r="GC47">
        <v>4205.950043184831</v>
      </c>
      <c r="GD47">
        <v>1359.5567020080759</v>
      </c>
      <c r="GK47">
        <v>415</v>
      </c>
      <c r="GL47">
        <v>0.5</v>
      </c>
      <c r="GS47">
        <v>4808.3419580395002</v>
      </c>
      <c r="GT47">
        <v>1022.274389807265</v>
      </c>
      <c r="HS47">
        <v>3719.696486678743</v>
      </c>
      <c r="HT47">
        <v>798.03844167024681</v>
      </c>
      <c r="IA47">
        <v>947.76021751638405</v>
      </c>
      <c r="IB47">
        <v>429.07913504802173</v>
      </c>
      <c r="NE47">
        <v>3300</v>
      </c>
      <c r="NF47">
        <v>720</v>
      </c>
      <c r="NU47">
        <v>800</v>
      </c>
      <c r="NV47">
        <v>0.91</v>
      </c>
    </row>
    <row r="48" spans="7:386" x14ac:dyDescent="0.3">
      <c r="Y48">
        <v>945.45454545454561</v>
      </c>
      <c r="Z48">
        <v>434</v>
      </c>
      <c r="AA48">
        <v>2000</v>
      </c>
      <c r="AB48">
        <v>529</v>
      </c>
      <c r="AM48">
        <v>0.8</v>
      </c>
      <c r="AN48">
        <v>0.85</v>
      </c>
      <c r="AQ48">
        <v>0.85</v>
      </c>
      <c r="AR48">
        <v>0.8</v>
      </c>
      <c r="BM48">
        <v>487.5</v>
      </c>
      <c r="BN48">
        <v>293.14999999999998</v>
      </c>
      <c r="BU48">
        <v>393.75</v>
      </c>
      <c r="BV48">
        <v>278.14999999999998</v>
      </c>
      <c r="CE48">
        <v>1293.75</v>
      </c>
      <c r="CF48">
        <v>300.032917</v>
      </c>
      <c r="CQ48">
        <v>900</v>
      </c>
      <c r="CR48">
        <v>300.032917</v>
      </c>
      <c r="DA48">
        <v>4734.3608776930996</v>
      </c>
      <c r="DB48">
        <v>1016.729934867299</v>
      </c>
      <c r="DC48">
        <v>2676.464074572325</v>
      </c>
      <c r="DD48">
        <v>872.20860390269002</v>
      </c>
      <c r="DG48">
        <v>4593.339295432349</v>
      </c>
      <c r="DH48">
        <v>1341.797200075589</v>
      </c>
      <c r="DI48">
        <v>2952.3071328675801</v>
      </c>
      <c r="DJ48">
        <v>2044.378449691666</v>
      </c>
      <c r="DW48">
        <v>2611.522347354427</v>
      </c>
      <c r="DX48">
        <v>222.47859140792281</v>
      </c>
      <c r="EA48">
        <v>468.32922473909559</v>
      </c>
      <c r="EB48">
        <v>0.63257483294843575</v>
      </c>
      <c r="EK48">
        <v>577.43546769458089</v>
      </c>
      <c r="EL48">
        <v>0.51996600445087515</v>
      </c>
      <c r="EU48">
        <v>1495.349823108638</v>
      </c>
      <c r="EV48">
        <v>0.58856812185684915</v>
      </c>
      <c r="EY48">
        <v>4483.9874639660939</v>
      </c>
      <c r="EZ48">
        <v>1660.2219786159519</v>
      </c>
      <c r="FE48">
        <v>397.5</v>
      </c>
      <c r="FF48">
        <v>0.85</v>
      </c>
      <c r="FM48">
        <v>3781.8230245237678</v>
      </c>
      <c r="FN48">
        <v>808.34025773909616</v>
      </c>
      <c r="FU48">
        <v>3000</v>
      </c>
      <c r="FV48">
        <v>393.75</v>
      </c>
      <c r="GC48">
        <v>4205.950043184831</v>
      </c>
      <c r="GD48">
        <v>1359.5567020080759</v>
      </c>
      <c r="GK48">
        <v>415</v>
      </c>
      <c r="GL48">
        <v>0.5</v>
      </c>
      <c r="GS48">
        <v>4808.3419580395002</v>
      </c>
      <c r="GT48">
        <v>1022.274389807265</v>
      </c>
      <c r="HS48">
        <v>3047.46461387508</v>
      </c>
      <c r="HT48">
        <v>1054.2088603964321</v>
      </c>
      <c r="IA48">
        <v>723.46700175109061</v>
      </c>
      <c r="IB48">
        <v>420.64246137350779</v>
      </c>
      <c r="NE48">
        <v>3300</v>
      </c>
      <c r="NF48">
        <v>680</v>
      </c>
      <c r="NU48">
        <v>1000</v>
      </c>
      <c r="NV48">
        <v>0.91</v>
      </c>
    </row>
    <row r="49" spans="25:386" x14ac:dyDescent="0.3">
      <c r="Y49">
        <v>1818.181818181818</v>
      </c>
      <c r="Z49">
        <v>434</v>
      </c>
      <c r="AA49">
        <v>545.4545454545455</v>
      </c>
      <c r="AB49">
        <v>560</v>
      </c>
      <c r="AM49">
        <v>0.8</v>
      </c>
      <c r="AN49">
        <v>0.85</v>
      </c>
      <c r="AQ49">
        <v>0.89999999999999991</v>
      </c>
      <c r="AR49">
        <v>0.8</v>
      </c>
      <c r="BM49">
        <v>487.5</v>
      </c>
      <c r="BN49">
        <v>293.14999999999998</v>
      </c>
      <c r="BU49">
        <v>393.75</v>
      </c>
      <c r="BV49">
        <v>278.14999999999998</v>
      </c>
      <c r="CE49">
        <v>1106.25</v>
      </c>
      <c r="CF49">
        <v>293.14999999999998</v>
      </c>
      <c r="CQ49">
        <v>750</v>
      </c>
      <c r="CR49">
        <v>300.032917</v>
      </c>
      <c r="DA49">
        <v>3353.2346775751012</v>
      </c>
      <c r="DB49">
        <v>1224.9496971742749</v>
      </c>
      <c r="DC49">
        <v>3316.5739454530558</v>
      </c>
      <c r="DD49">
        <v>356.23691745028071</v>
      </c>
      <c r="DG49">
        <v>4079.3051310880769</v>
      </c>
      <c r="DH49">
        <v>472.88901566860011</v>
      </c>
      <c r="DI49">
        <v>4719.9259082595181</v>
      </c>
      <c r="DJ49">
        <v>2383.637463910125</v>
      </c>
      <c r="DW49">
        <v>2270.238421742054</v>
      </c>
      <c r="DX49">
        <v>796.80535791092836</v>
      </c>
      <c r="EA49">
        <v>578.2386804758994</v>
      </c>
      <c r="EB49">
        <v>0.54017900498812443</v>
      </c>
      <c r="EK49">
        <v>530.09768766858747</v>
      </c>
      <c r="EL49">
        <v>0.82052574460529271</v>
      </c>
      <c r="EU49">
        <v>875.80031927500045</v>
      </c>
      <c r="EV49">
        <v>0.84451935292790692</v>
      </c>
      <c r="EY49">
        <v>3345.5467934611488</v>
      </c>
      <c r="EZ49">
        <v>1233.8873437627251</v>
      </c>
      <c r="FE49">
        <v>395</v>
      </c>
      <c r="FF49">
        <v>0.85</v>
      </c>
      <c r="FM49">
        <v>3781.8230245237678</v>
      </c>
      <c r="FN49">
        <v>808.34025773909616</v>
      </c>
      <c r="FU49">
        <v>3000</v>
      </c>
      <c r="FV49">
        <v>393.75</v>
      </c>
      <c r="GC49">
        <v>4205.950043184831</v>
      </c>
      <c r="GD49">
        <v>1359.5567020080759</v>
      </c>
      <c r="GK49">
        <v>415</v>
      </c>
      <c r="GL49">
        <v>0.5</v>
      </c>
      <c r="GS49">
        <v>4808.3419580395002</v>
      </c>
      <c r="GT49">
        <v>1022.274389807265</v>
      </c>
      <c r="HS49">
        <v>3306.2482558099541</v>
      </c>
      <c r="HT49">
        <v>647.98148514241348</v>
      </c>
      <c r="IA49">
        <v>1854.535804674304</v>
      </c>
      <c r="IB49">
        <v>424.6008788817287</v>
      </c>
      <c r="NE49">
        <v>3300</v>
      </c>
      <c r="NF49">
        <v>680</v>
      </c>
      <c r="NU49">
        <v>1100</v>
      </c>
      <c r="NV49">
        <v>0.91</v>
      </c>
    </row>
    <row r="50" spans="25:386" x14ac:dyDescent="0.3">
      <c r="Y50">
        <v>563.63636363636374</v>
      </c>
      <c r="Z50">
        <v>403</v>
      </c>
      <c r="AA50">
        <v>690.90909090909099</v>
      </c>
      <c r="AB50">
        <v>560</v>
      </c>
      <c r="AM50">
        <v>0.8</v>
      </c>
      <c r="AN50">
        <v>0.85</v>
      </c>
      <c r="BM50">
        <v>412.5</v>
      </c>
      <c r="BN50">
        <v>288.14999999999998</v>
      </c>
      <c r="BU50">
        <v>468.75</v>
      </c>
      <c r="BV50">
        <v>283.14999999999998</v>
      </c>
      <c r="CE50">
        <v>1293.75</v>
      </c>
      <c r="CF50">
        <v>300.032917</v>
      </c>
      <c r="CQ50">
        <v>1350</v>
      </c>
      <c r="CR50">
        <v>300.032917</v>
      </c>
      <c r="DA50">
        <v>3635.642214756188</v>
      </c>
      <c r="DB50">
        <v>1074.270243330533</v>
      </c>
      <c r="DC50">
        <v>2838.322250845551</v>
      </c>
      <c r="DD50">
        <v>686.17598792300953</v>
      </c>
      <c r="DI50">
        <v>3940.9169272955778</v>
      </c>
      <c r="DJ50">
        <v>2019.0749911328651</v>
      </c>
      <c r="DW50">
        <v>4094.9566647205888</v>
      </c>
      <c r="DX50">
        <v>780.69535184295637</v>
      </c>
      <c r="EA50">
        <v>450.66451020521242</v>
      </c>
      <c r="EB50">
        <v>0.77223966767653451</v>
      </c>
      <c r="EK50">
        <v>433.53039065993329</v>
      </c>
      <c r="EL50">
        <v>0.62349235225631017</v>
      </c>
      <c r="EU50">
        <v>508.9121396980824</v>
      </c>
      <c r="EV50">
        <v>0.56150296822458812</v>
      </c>
      <c r="EY50">
        <v>2842.222597328956</v>
      </c>
      <c r="EZ50">
        <v>348.3356244134676</v>
      </c>
      <c r="FE50">
        <v>400</v>
      </c>
      <c r="FF50">
        <v>0.85</v>
      </c>
      <c r="FM50">
        <v>3781.8230245237678</v>
      </c>
      <c r="FN50">
        <v>808.34025773909616</v>
      </c>
      <c r="FU50">
        <v>3000</v>
      </c>
      <c r="FV50">
        <v>393.75</v>
      </c>
      <c r="GC50">
        <v>4205.950043184831</v>
      </c>
      <c r="GD50">
        <v>1359.5567020080759</v>
      </c>
      <c r="GK50">
        <v>415</v>
      </c>
      <c r="GL50">
        <v>0.5</v>
      </c>
      <c r="GS50">
        <v>4808.3419580395002</v>
      </c>
      <c r="GT50">
        <v>1022.274389807265</v>
      </c>
      <c r="HS50">
        <v>3857.7918888547351</v>
      </c>
      <c r="HT50">
        <v>1986.9966072721411</v>
      </c>
      <c r="IA50">
        <v>1891.749251062399</v>
      </c>
      <c r="IB50">
        <v>474.5378082828941</v>
      </c>
      <c r="NE50">
        <v>3300</v>
      </c>
      <c r="NF50">
        <v>720</v>
      </c>
      <c r="NU50">
        <v>1200</v>
      </c>
      <c r="NV50">
        <v>0.91</v>
      </c>
    </row>
    <row r="51" spans="25:386" x14ac:dyDescent="0.3">
      <c r="Y51">
        <v>563.63636363636374</v>
      </c>
      <c r="Z51">
        <v>403</v>
      </c>
      <c r="AA51">
        <v>836.36363636363637</v>
      </c>
      <c r="AB51">
        <v>560</v>
      </c>
      <c r="AM51">
        <v>0.8</v>
      </c>
      <c r="AN51">
        <v>0.85</v>
      </c>
      <c r="BM51">
        <v>562.5</v>
      </c>
      <c r="BN51">
        <v>300.032917</v>
      </c>
      <c r="BU51">
        <v>543.75</v>
      </c>
      <c r="BV51">
        <v>288.14999999999998</v>
      </c>
      <c r="CE51">
        <v>740.625</v>
      </c>
      <c r="CF51">
        <v>278.14999999999998</v>
      </c>
      <c r="CQ51">
        <v>1500</v>
      </c>
      <c r="CR51">
        <v>300.032917</v>
      </c>
      <c r="DA51">
        <v>3985.9676927566779</v>
      </c>
      <c r="DB51">
        <v>946.08833318626057</v>
      </c>
      <c r="DC51">
        <v>3143.4102948421728</v>
      </c>
      <c r="DD51">
        <v>879.44979149559902</v>
      </c>
      <c r="DI51">
        <v>4090.0662917916602</v>
      </c>
      <c r="DJ51">
        <v>1896.9499833997011</v>
      </c>
      <c r="DW51">
        <v>3112.6688341816189</v>
      </c>
      <c r="DX51">
        <v>1896.9266868107779</v>
      </c>
      <c r="EA51">
        <v>471.6864310558455</v>
      </c>
      <c r="EB51">
        <v>0.73464219231860128</v>
      </c>
      <c r="EK51">
        <v>393.39180815852097</v>
      </c>
      <c r="EL51">
        <v>0.69386442556692418</v>
      </c>
      <c r="EU51">
        <v>1820.487842189958</v>
      </c>
      <c r="EV51">
        <v>0.61724596416677491</v>
      </c>
      <c r="EY51">
        <v>4890.4362412959854</v>
      </c>
      <c r="EZ51">
        <v>899.63899210198167</v>
      </c>
      <c r="FE51">
        <v>402.5</v>
      </c>
      <c r="FF51">
        <v>0.85</v>
      </c>
      <c r="FM51">
        <v>3781.8230245237678</v>
      </c>
      <c r="FN51">
        <v>808.34025773909616</v>
      </c>
      <c r="FU51">
        <v>3000</v>
      </c>
      <c r="FV51">
        <v>393.75</v>
      </c>
      <c r="GC51">
        <v>4205.950043184831</v>
      </c>
      <c r="GD51">
        <v>1359.5567020080759</v>
      </c>
      <c r="GK51">
        <v>415</v>
      </c>
      <c r="GL51">
        <v>0.5</v>
      </c>
      <c r="GS51">
        <v>4808.3419580395002</v>
      </c>
      <c r="GT51">
        <v>1022.274389807265</v>
      </c>
      <c r="HS51">
        <v>3576.1713730399788</v>
      </c>
      <c r="HT51">
        <v>832.25096466898106</v>
      </c>
      <c r="IA51">
        <v>1226.229261134544</v>
      </c>
      <c r="IB51">
        <v>516.57391086142275</v>
      </c>
      <c r="NE51">
        <v>3300</v>
      </c>
      <c r="NF51">
        <v>720</v>
      </c>
      <c r="NU51">
        <v>200</v>
      </c>
      <c r="NV51">
        <v>0.5</v>
      </c>
    </row>
    <row r="52" spans="25:386" x14ac:dyDescent="0.3">
      <c r="Y52">
        <v>454.54545454545462</v>
      </c>
      <c r="Z52">
        <v>390</v>
      </c>
      <c r="AA52">
        <v>1127.2727272727279</v>
      </c>
      <c r="AB52">
        <v>560</v>
      </c>
      <c r="AM52">
        <v>0.8</v>
      </c>
      <c r="AN52">
        <v>0.85</v>
      </c>
      <c r="BM52">
        <v>562.5</v>
      </c>
      <c r="BN52">
        <v>300.032917</v>
      </c>
      <c r="BU52">
        <v>468.75</v>
      </c>
      <c r="BV52">
        <v>283.14999999999998</v>
      </c>
      <c r="CE52">
        <v>740.625</v>
      </c>
      <c r="CF52">
        <v>278.14999999999998</v>
      </c>
      <c r="DA52">
        <v>2230.392431952534</v>
      </c>
      <c r="DB52">
        <v>1325.645944743025</v>
      </c>
      <c r="DC52">
        <v>2506.8360267557309</v>
      </c>
      <c r="DD52">
        <v>351.51524519365688</v>
      </c>
      <c r="DI52">
        <v>4232.2246975438993</v>
      </c>
      <c r="DJ52">
        <v>1958.97895330556</v>
      </c>
      <c r="DW52">
        <v>2979.3880036330202</v>
      </c>
      <c r="DX52">
        <v>508.00009975005651</v>
      </c>
      <c r="EA52">
        <v>538.48762033133971</v>
      </c>
      <c r="EB52">
        <v>0.6297012180869952</v>
      </c>
      <c r="EK52">
        <v>479.63862677562588</v>
      </c>
      <c r="EL52">
        <v>0.61843221783854441</v>
      </c>
      <c r="EU52">
        <v>893.06640696951501</v>
      </c>
      <c r="EV52">
        <v>0.66135043066693955</v>
      </c>
      <c r="EY52">
        <v>3936.1532367528371</v>
      </c>
      <c r="EZ52">
        <v>1577.8514694888829</v>
      </c>
      <c r="FE52">
        <v>407.5</v>
      </c>
      <c r="FF52">
        <v>0.85</v>
      </c>
      <c r="FM52">
        <v>3781.8230245237678</v>
      </c>
      <c r="FN52">
        <v>808.34025773909616</v>
      </c>
      <c r="FU52">
        <v>3000</v>
      </c>
      <c r="FV52">
        <v>393.75</v>
      </c>
      <c r="GC52">
        <v>4205.950043184831</v>
      </c>
      <c r="GD52">
        <v>1359.5567020080759</v>
      </c>
      <c r="GK52">
        <v>415</v>
      </c>
      <c r="GL52">
        <v>0.5</v>
      </c>
      <c r="GS52">
        <v>4808.3419580395002</v>
      </c>
      <c r="GT52">
        <v>1022.274389807265</v>
      </c>
      <c r="HS52">
        <v>2866.962602014089</v>
      </c>
      <c r="HT52">
        <v>1671.976663773145</v>
      </c>
      <c r="IA52">
        <v>1953.8706104364719</v>
      </c>
      <c r="IB52">
        <v>484.90398143373773</v>
      </c>
      <c r="NE52">
        <v>3300</v>
      </c>
      <c r="NF52">
        <v>720</v>
      </c>
      <c r="NU52">
        <v>300</v>
      </c>
      <c r="NV52">
        <v>0.5</v>
      </c>
    </row>
    <row r="53" spans="25:386" x14ac:dyDescent="0.3">
      <c r="Y53">
        <v>454.54545454545462</v>
      </c>
      <c r="Z53">
        <v>390</v>
      </c>
      <c r="AA53">
        <v>981.81818181818198</v>
      </c>
      <c r="AB53">
        <v>560</v>
      </c>
      <c r="AM53">
        <v>0.8</v>
      </c>
      <c r="AN53">
        <v>0.85</v>
      </c>
      <c r="BM53">
        <v>393.75</v>
      </c>
      <c r="BN53">
        <v>288.14999999999998</v>
      </c>
      <c r="BU53">
        <v>543.75</v>
      </c>
      <c r="BV53">
        <v>288.14999999999998</v>
      </c>
      <c r="CE53">
        <v>853.125</v>
      </c>
      <c r="CF53">
        <v>283.14999999999998</v>
      </c>
      <c r="DA53">
        <v>2646.096710846009</v>
      </c>
      <c r="DB53">
        <v>805.10400139102603</v>
      </c>
      <c r="DC53">
        <v>2650.571912221968</v>
      </c>
      <c r="DD53">
        <v>916.06358348158994</v>
      </c>
      <c r="DI53">
        <v>3790.927120985752</v>
      </c>
      <c r="DJ53">
        <v>1510.129263615873</v>
      </c>
      <c r="DW53">
        <v>4258.4414246327578</v>
      </c>
      <c r="DX53">
        <v>1153.1459118808541</v>
      </c>
      <c r="EA53">
        <v>443.68001648511188</v>
      </c>
      <c r="EB53">
        <v>0.53451225670163893</v>
      </c>
      <c r="EK53">
        <v>481.83361332595581</v>
      </c>
      <c r="EL53">
        <v>0.50023468124262538</v>
      </c>
      <c r="EU53">
        <v>969.11098839840236</v>
      </c>
      <c r="EV53">
        <v>0.84794134158988443</v>
      </c>
      <c r="EY53">
        <v>4927.0690120782401</v>
      </c>
      <c r="EZ53">
        <v>1950.31158710057</v>
      </c>
      <c r="FE53">
        <v>405</v>
      </c>
      <c r="FF53">
        <v>0.85</v>
      </c>
      <c r="FM53">
        <v>3781.8230245237678</v>
      </c>
      <c r="FN53">
        <v>808.34025773909616</v>
      </c>
      <c r="FU53">
        <v>3000</v>
      </c>
      <c r="FV53">
        <v>393.75</v>
      </c>
      <c r="GC53">
        <v>4205.950043184831</v>
      </c>
      <c r="GD53">
        <v>1359.5567020080759</v>
      </c>
      <c r="GK53">
        <v>403</v>
      </c>
      <c r="GL53">
        <v>0.5</v>
      </c>
      <c r="GS53">
        <v>4808.3419580395002</v>
      </c>
      <c r="GT53">
        <v>1022.274389807265</v>
      </c>
      <c r="HS53">
        <v>2746.746322140576</v>
      </c>
      <c r="HT53">
        <v>668.99875967280525</v>
      </c>
      <c r="NE53">
        <v>3300</v>
      </c>
      <c r="NF53">
        <v>760</v>
      </c>
      <c r="NU53">
        <v>700</v>
      </c>
      <c r="NV53">
        <v>0.5</v>
      </c>
    </row>
    <row r="54" spans="25:386" x14ac:dyDescent="0.3">
      <c r="Y54">
        <v>745.4545454545455</v>
      </c>
      <c r="Z54">
        <v>420</v>
      </c>
      <c r="AA54">
        <v>1272.727272727273</v>
      </c>
      <c r="AB54">
        <v>560</v>
      </c>
      <c r="AM54">
        <v>0.8</v>
      </c>
      <c r="AN54">
        <v>0.85</v>
      </c>
      <c r="BM54">
        <v>468.75</v>
      </c>
      <c r="BN54">
        <v>293.14999999999998</v>
      </c>
      <c r="BU54">
        <v>618.75</v>
      </c>
      <c r="BV54">
        <v>293.14999999999998</v>
      </c>
      <c r="CE54">
        <v>853.125</v>
      </c>
      <c r="CF54">
        <v>283.14999999999998</v>
      </c>
      <c r="DA54">
        <v>4312.3096074069481</v>
      </c>
      <c r="DB54">
        <v>691.77340073409539</v>
      </c>
      <c r="DC54">
        <v>2915.52601975683</v>
      </c>
      <c r="DD54">
        <v>1410.7019134577531</v>
      </c>
      <c r="DI54">
        <v>2666.6993931343491</v>
      </c>
      <c r="DJ54">
        <v>1868.4287607432409</v>
      </c>
      <c r="DW54">
        <v>2670.2140366660728</v>
      </c>
      <c r="DX54">
        <v>597.21508964360532</v>
      </c>
      <c r="EA54">
        <v>499.60190482529839</v>
      </c>
      <c r="EB54">
        <v>0.74357497892246027</v>
      </c>
      <c r="EK54">
        <v>477.4454846923756</v>
      </c>
      <c r="EL54">
        <v>0.51225258880407365</v>
      </c>
      <c r="EU54">
        <v>1231.2108518172799</v>
      </c>
      <c r="EV54">
        <v>0.84176658861814402</v>
      </c>
      <c r="EY54">
        <v>2615.3973673685318</v>
      </c>
      <c r="EZ54">
        <v>1382.20115223934</v>
      </c>
      <c r="FE54">
        <v>390</v>
      </c>
      <c r="FF54">
        <v>0.875</v>
      </c>
      <c r="FM54">
        <v>3781.8230245237678</v>
      </c>
      <c r="FN54">
        <v>808.34025773909616</v>
      </c>
      <c r="FU54">
        <v>3300</v>
      </c>
      <c r="FV54">
        <v>393.75</v>
      </c>
      <c r="GC54">
        <v>4205.950043184831</v>
      </c>
      <c r="GD54">
        <v>1359.5567020080759</v>
      </c>
      <c r="GK54">
        <v>415</v>
      </c>
      <c r="GL54">
        <v>0.5</v>
      </c>
      <c r="GS54">
        <v>4508.3419580395002</v>
      </c>
      <c r="GT54">
        <v>1022.274389807265</v>
      </c>
      <c r="HS54">
        <v>3002.1959957181148</v>
      </c>
      <c r="HT54">
        <v>881.76564968547518</v>
      </c>
      <c r="NE54">
        <v>3300</v>
      </c>
      <c r="NF54">
        <v>720</v>
      </c>
      <c r="NU54">
        <v>400</v>
      </c>
      <c r="NV54">
        <v>0.5</v>
      </c>
    </row>
    <row r="55" spans="25:386" x14ac:dyDescent="0.3">
      <c r="Y55">
        <v>745.4545454545455</v>
      </c>
      <c r="Z55">
        <v>420</v>
      </c>
      <c r="AA55">
        <v>1418.181818181818</v>
      </c>
      <c r="AB55">
        <v>560</v>
      </c>
      <c r="AM55">
        <v>0.8</v>
      </c>
      <c r="AN55">
        <v>0.67500000000000004</v>
      </c>
      <c r="BM55">
        <v>468.75</v>
      </c>
      <c r="BN55">
        <v>293.14999999999998</v>
      </c>
      <c r="BU55">
        <v>618.75</v>
      </c>
      <c r="BV55">
        <v>293.14999999999998</v>
      </c>
      <c r="CE55">
        <v>1303.125</v>
      </c>
      <c r="CF55">
        <v>300.032917</v>
      </c>
      <c r="DA55">
        <v>3272.744306362581</v>
      </c>
      <c r="DB55">
        <v>1274.8935478485951</v>
      </c>
      <c r="DC55">
        <v>2733.3136168459582</v>
      </c>
      <c r="DD55">
        <v>573.75054738810513</v>
      </c>
      <c r="DI55">
        <v>4213.4781974074076</v>
      </c>
      <c r="DJ55">
        <v>2292.551550175685</v>
      </c>
      <c r="DW55">
        <v>4440.0006621728153</v>
      </c>
      <c r="DX55">
        <v>1682.8471164232919</v>
      </c>
      <c r="EA55">
        <v>589.46987491276684</v>
      </c>
      <c r="EB55">
        <v>0.56751348212434216</v>
      </c>
      <c r="EK55">
        <v>402.75811047216803</v>
      </c>
      <c r="EL55">
        <v>0.54860337149408944</v>
      </c>
      <c r="EU55">
        <v>442.84815451284868</v>
      </c>
      <c r="EV55">
        <v>0.5244297991410477</v>
      </c>
      <c r="EY55">
        <v>4452.3228008327187</v>
      </c>
      <c r="EZ55">
        <v>1147.987597075097</v>
      </c>
      <c r="FE55">
        <v>397.5</v>
      </c>
      <c r="FF55">
        <v>0.875</v>
      </c>
      <c r="FM55">
        <v>4081.8230245237678</v>
      </c>
      <c r="FN55">
        <v>808.34025773909616</v>
      </c>
      <c r="FU55">
        <v>2700</v>
      </c>
      <c r="FV55">
        <v>393.75</v>
      </c>
      <c r="GC55">
        <v>4805.950043184831</v>
      </c>
      <c r="GD55">
        <v>1359.5567020080759</v>
      </c>
      <c r="GK55">
        <v>415</v>
      </c>
      <c r="GL55">
        <v>0.5</v>
      </c>
      <c r="GS55">
        <v>4808.3419580395002</v>
      </c>
      <c r="GT55">
        <v>1242.274389807264</v>
      </c>
      <c r="HS55">
        <v>2598.5073588188961</v>
      </c>
      <c r="HT55">
        <v>1193.6037652547459</v>
      </c>
      <c r="NE55">
        <v>3300</v>
      </c>
      <c r="NF55">
        <v>720</v>
      </c>
      <c r="NU55">
        <v>600</v>
      </c>
      <c r="NV55">
        <v>0.5</v>
      </c>
    </row>
    <row r="56" spans="25:386" x14ac:dyDescent="0.3">
      <c r="Y56">
        <v>445.4545454545455</v>
      </c>
      <c r="Z56">
        <v>390</v>
      </c>
      <c r="AA56">
        <v>1563.636363636364</v>
      </c>
      <c r="AB56">
        <v>560</v>
      </c>
      <c r="AM56">
        <v>0.8</v>
      </c>
      <c r="AN56">
        <v>0.82499999999999996</v>
      </c>
      <c r="BM56">
        <v>393.75</v>
      </c>
      <c r="BN56">
        <v>288.14999999999998</v>
      </c>
      <c r="BU56">
        <v>459.375</v>
      </c>
      <c r="BV56">
        <v>283.14999999999998</v>
      </c>
      <c r="CE56">
        <v>1303.125</v>
      </c>
      <c r="CF56">
        <v>300.032917</v>
      </c>
      <c r="DA56">
        <v>4500.9321557625108</v>
      </c>
      <c r="DB56">
        <v>715.19849393561185</v>
      </c>
      <c r="DC56">
        <v>4717.402847573444</v>
      </c>
      <c r="DD56">
        <v>1094.4390403641489</v>
      </c>
      <c r="DI56">
        <v>4455.1988645869415</v>
      </c>
      <c r="DJ56">
        <v>1891.5927878808409</v>
      </c>
      <c r="DW56">
        <v>2317.5183035960299</v>
      </c>
      <c r="DX56">
        <v>1447.740268610238</v>
      </c>
      <c r="EA56">
        <v>407.55318811460552</v>
      </c>
      <c r="EB56">
        <v>0.79319583396971671</v>
      </c>
      <c r="EK56">
        <v>395.13315270932378</v>
      </c>
      <c r="EL56">
        <v>0.5396409652587254</v>
      </c>
      <c r="EU56">
        <v>1801.3018866003281</v>
      </c>
      <c r="EV56">
        <v>0.80760915253804066</v>
      </c>
      <c r="EY56">
        <v>3469.3655058838581</v>
      </c>
      <c r="EZ56">
        <v>750.21412814444864</v>
      </c>
      <c r="FE56">
        <v>392.5</v>
      </c>
      <c r="FF56">
        <v>0.875</v>
      </c>
      <c r="FM56">
        <v>4081.8230245237678</v>
      </c>
      <c r="FN56">
        <v>808.34025773909616</v>
      </c>
      <c r="FU56">
        <v>3000</v>
      </c>
      <c r="FV56">
        <v>613.75</v>
      </c>
      <c r="GC56">
        <v>4205.950043184831</v>
      </c>
      <c r="GD56">
        <v>1359.5567020080759</v>
      </c>
      <c r="GK56">
        <v>415</v>
      </c>
      <c r="GL56">
        <v>0.5</v>
      </c>
      <c r="GS56">
        <v>4808.3419580395002</v>
      </c>
      <c r="GT56">
        <v>1022.274389807265</v>
      </c>
      <c r="HS56">
        <v>4060.7451724706948</v>
      </c>
      <c r="HT56">
        <v>907.38136698848382</v>
      </c>
      <c r="NE56">
        <v>3300</v>
      </c>
      <c r="NF56">
        <v>760</v>
      </c>
      <c r="NU56">
        <v>300</v>
      </c>
      <c r="NV56">
        <v>0.55000000000000004</v>
      </c>
    </row>
    <row r="57" spans="25:386" x14ac:dyDescent="0.3">
      <c r="Y57">
        <v>445.4545454545455</v>
      </c>
      <c r="Z57">
        <v>390</v>
      </c>
      <c r="AA57">
        <v>1709.090909090909</v>
      </c>
      <c r="AB57">
        <v>560</v>
      </c>
      <c r="AM57">
        <v>0.8</v>
      </c>
      <c r="AN57">
        <v>0.82187499999999991</v>
      </c>
      <c r="BM57">
        <v>290.625</v>
      </c>
      <c r="BN57">
        <v>278.14999999999998</v>
      </c>
      <c r="BU57">
        <v>534.375</v>
      </c>
      <c r="BV57">
        <v>288.14999999999998</v>
      </c>
      <c r="DA57">
        <v>4302.3690237305091</v>
      </c>
      <c r="DB57">
        <v>1037.5588806167009</v>
      </c>
      <c r="DC57">
        <v>3836.0134177842051</v>
      </c>
      <c r="DD57">
        <v>457.39442154550858</v>
      </c>
      <c r="DI57">
        <v>2772.5354000042021</v>
      </c>
      <c r="DJ57">
        <v>2078.849196353292</v>
      </c>
      <c r="DW57">
        <v>2682.8190813152951</v>
      </c>
      <c r="DX57">
        <v>948.73280083851921</v>
      </c>
      <c r="EA57">
        <v>483.55051319640239</v>
      </c>
      <c r="EB57">
        <v>0.67898653898917338</v>
      </c>
      <c r="EU57">
        <v>1078.4002433663661</v>
      </c>
      <c r="EV57">
        <v>0.55258846119480798</v>
      </c>
      <c r="FE57">
        <v>395</v>
      </c>
      <c r="FF57">
        <v>0.875</v>
      </c>
      <c r="FM57">
        <v>4081.8230245237678</v>
      </c>
      <c r="FN57">
        <v>808.34025773909616</v>
      </c>
      <c r="FU57">
        <v>3000</v>
      </c>
      <c r="FV57">
        <v>393.75</v>
      </c>
      <c r="GC57">
        <v>4505.950043184831</v>
      </c>
      <c r="GD57">
        <v>1579.5567020080759</v>
      </c>
      <c r="GK57">
        <v>415</v>
      </c>
      <c r="GL57">
        <v>0.5</v>
      </c>
      <c r="GS57">
        <v>4808.3419580395002</v>
      </c>
      <c r="GT57">
        <v>1022.274389807265</v>
      </c>
      <c r="HS57">
        <v>3187.2253327762928</v>
      </c>
      <c r="HT57">
        <v>398.73210626325641</v>
      </c>
      <c r="NE57">
        <v>3300</v>
      </c>
      <c r="NF57">
        <v>760</v>
      </c>
      <c r="NU57">
        <v>500</v>
      </c>
      <c r="NV57">
        <v>0.5</v>
      </c>
    </row>
    <row r="58" spans="25:386" x14ac:dyDescent="0.3">
      <c r="Y58">
        <v>736.36363636363649</v>
      </c>
      <c r="Z58">
        <v>420</v>
      </c>
      <c r="AA58">
        <v>1854.545454545455</v>
      </c>
      <c r="AB58">
        <v>560</v>
      </c>
      <c r="BM58">
        <v>290.625</v>
      </c>
      <c r="BN58">
        <v>278.14999999999998</v>
      </c>
      <c r="BU58">
        <v>459.375</v>
      </c>
      <c r="BV58">
        <v>283.14999999999998</v>
      </c>
      <c r="DA58">
        <v>3262.8767695283041</v>
      </c>
      <c r="DB58">
        <v>1336.435912200403</v>
      </c>
      <c r="DC58">
        <v>3053.2395980138208</v>
      </c>
      <c r="DD58">
        <v>520.21159086120542</v>
      </c>
      <c r="DI58">
        <v>4732.0032328609741</v>
      </c>
      <c r="DJ58">
        <v>1880.5907768196771</v>
      </c>
      <c r="DW58">
        <v>3979.868505329629</v>
      </c>
      <c r="DX58">
        <v>278.50025888780038</v>
      </c>
      <c r="EA58">
        <v>513.73839219943375</v>
      </c>
      <c r="EB58">
        <v>0.72515056215852769</v>
      </c>
      <c r="EU58">
        <v>1677.964427433408</v>
      </c>
      <c r="EV58">
        <v>0.65997730865410009</v>
      </c>
      <c r="FE58">
        <v>400</v>
      </c>
      <c r="FF58">
        <v>0.875</v>
      </c>
      <c r="FM58">
        <v>4081.8230245237678</v>
      </c>
      <c r="FN58">
        <v>808.34025773909616</v>
      </c>
      <c r="FU58">
        <v>3000</v>
      </c>
      <c r="FV58">
        <v>393.75</v>
      </c>
      <c r="GC58">
        <v>4505.950043184831</v>
      </c>
      <c r="GD58">
        <v>1359.5567020080759</v>
      </c>
      <c r="GK58">
        <v>415</v>
      </c>
      <c r="GL58">
        <v>0.5</v>
      </c>
      <c r="GS58">
        <v>4808.3419580395002</v>
      </c>
      <c r="GT58">
        <v>1022.274389807265</v>
      </c>
      <c r="HS58">
        <v>4430.5680973678373</v>
      </c>
      <c r="HT58">
        <v>1140.0191972421071</v>
      </c>
      <c r="NE58">
        <v>3300</v>
      </c>
      <c r="NF58">
        <v>760</v>
      </c>
      <c r="NU58">
        <v>400</v>
      </c>
      <c r="NV58">
        <v>0.55000000000000004</v>
      </c>
    </row>
    <row r="59" spans="25:386" x14ac:dyDescent="0.3">
      <c r="Y59">
        <v>736.36363636363649</v>
      </c>
      <c r="Z59">
        <v>420</v>
      </c>
      <c r="AA59">
        <v>2000</v>
      </c>
      <c r="AB59">
        <v>560</v>
      </c>
      <c r="BM59">
        <v>459.375</v>
      </c>
      <c r="BN59">
        <v>293.14999999999998</v>
      </c>
      <c r="BU59">
        <v>534.375</v>
      </c>
      <c r="BV59">
        <v>288.14999999999998</v>
      </c>
      <c r="DA59">
        <v>2548.097371659946</v>
      </c>
      <c r="DB59">
        <v>1110.860657709698</v>
      </c>
      <c r="DC59">
        <v>2248.475597248098</v>
      </c>
      <c r="DD59">
        <v>400.27464436978022</v>
      </c>
      <c r="DI59">
        <v>2637.6055533321678</v>
      </c>
      <c r="DJ59">
        <v>2089.4690610343559</v>
      </c>
      <c r="DW59">
        <v>3855.385770241006</v>
      </c>
      <c r="DX59">
        <v>1607.4257967410599</v>
      </c>
      <c r="EU59">
        <v>461.31535520633139</v>
      </c>
      <c r="EV59">
        <v>0.77584287598350987</v>
      </c>
      <c r="FE59">
        <v>405</v>
      </c>
      <c r="FF59">
        <v>0.875</v>
      </c>
      <c r="FM59">
        <v>4381.8230245237683</v>
      </c>
      <c r="FN59">
        <v>808.34025773909616</v>
      </c>
      <c r="FU59">
        <v>3000</v>
      </c>
      <c r="FV59">
        <v>393.75</v>
      </c>
      <c r="GC59">
        <v>4505.950043184831</v>
      </c>
      <c r="GD59">
        <v>1359.5567020080759</v>
      </c>
      <c r="GK59">
        <v>415</v>
      </c>
      <c r="GL59">
        <v>0.5</v>
      </c>
      <c r="GS59">
        <v>4808.3419580395002</v>
      </c>
      <c r="GT59">
        <v>1022.274389807265</v>
      </c>
      <c r="HS59">
        <v>4239.2160562803901</v>
      </c>
      <c r="HT59">
        <v>1757.3245631645141</v>
      </c>
      <c r="NE59">
        <v>3300</v>
      </c>
      <c r="NF59">
        <v>760</v>
      </c>
      <c r="NU59">
        <v>700</v>
      </c>
      <c r="NV59">
        <v>0.55000000000000004</v>
      </c>
    </row>
    <row r="60" spans="25:386" x14ac:dyDescent="0.3">
      <c r="Y60">
        <v>1827.2727272727279</v>
      </c>
      <c r="Z60">
        <v>434</v>
      </c>
      <c r="AA60">
        <v>909.09090909090924</v>
      </c>
      <c r="AB60">
        <v>434</v>
      </c>
      <c r="BM60">
        <v>459.375</v>
      </c>
      <c r="BN60">
        <v>293.14999999999998</v>
      </c>
      <c r="BU60">
        <v>740.625</v>
      </c>
      <c r="BV60">
        <v>300.032917</v>
      </c>
      <c r="DA60">
        <v>3175.483333911347</v>
      </c>
      <c r="DB60">
        <v>1200.548312920992</v>
      </c>
      <c r="DC60">
        <v>3598.295411482984</v>
      </c>
      <c r="DD60">
        <v>894.05451334329746</v>
      </c>
      <c r="DI60">
        <v>4599.0390608157077</v>
      </c>
      <c r="DJ60">
        <v>1703.1227414574171</v>
      </c>
      <c r="DW60">
        <v>2460.910170068099</v>
      </c>
      <c r="DX60">
        <v>843.60076443149728</v>
      </c>
      <c r="FE60">
        <v>402.5</v>
      </c>
      <c r="FF60">
        <v>0.875</v>
      </c>
      <c r="FM60">
        <v>3781.8230245237678</v>
      </c>
      <c r="FN60">
        <v>808.34025773909616</v>
      </c>
      <c r="FU60">
        <v>3000</v>
      </c>
      <c r="FV60">
        <v>393.75</v>
      </c>
      <c r="GC60">
        <v>4505.950043184831</v>
      </c>
      <c r="GD60">
        <v>1359.5567020080759</v>
      </c>
      <c r="GK60">
        <v>415</v>
      </c>
      <c r="GL60">
        <v>0.5</v>
      </c>
      <c r="GS60">
        <v>4808.3419580395002</v>
      </c>
      <c r="GT60">
        <v>1022.274389807265</v>
      </c>
      <c r="HS60">
        <v>2411.037946517878</v>
      </c>
      <c r="HT60">
        <v>513.03294125655293</v>
      </c>
      <c r="NE60">
        <v>3300</v>
      </c>
      <c r="NF60">
        <v>800</v>
      </c>
      <c r="NU60">
        <v>600</v>
      </c>
      <c r="NV60">
        <v>0.55000000000000004</v>
      </c>
    </row>
    <row r="61" spans="25:386" x14ac:dyDescent="0.3">
      <c r="AA61">
        <v>909.09090909090924</v>
      </c>
      <c r="AB61">
        <v>434</v>
      </c>
      <c r="BU61">
        <v>740.625</v>
      </c>
      <c r="BV61">
        <v>300.032917</v>
      </c>
      <c r="DA61">
        <v>2563.3423125394911</v>
      </c>
      <c r="DB61">
        <v>1440.710131756108</v>
      </c>
      <c r="DC61">
        <v>4401.3673327341394</v>
      </c>
      <c r="DD61">
        <v>1159.0431504363009</v>
      </c>
      <c r="DI61">
        <v>3688.995046670389</v>
      </c>
      <c r="DJ61">
        <v>1759.82994292785</v>
      </c>
      <c r="DW61">
        <v>3297.3283611920788</v>
      </c>
      <c r="DX61">
        <v>359.40880579484872</v>
      </c>
      <c r="FE61">
        <v>407.5</v>
      </c>
      <c r="FF61">
        <v>0.875</v>
      </c>
      <c r="FM61">
        <v>4081.8230245237678</v>
      </c>
      <c r="FN61">
        <v>1028.3402577390959</v>
      </c>
      <c r="FU61">
        <v>3000</v>
      </c>
      <c r="FV61">
        <v>393.75</v>
      </c>
      <c r="GC61">
        <v>4505.950043184831</v>
      </c>
      <c r="GD61">
        <v>1359.5567020080759</v>
      </c>
      <c r="GK61">
        <v>403</v>
      </c>
      <c r="GL61">
        <v>0.5</v>
      </c>
      <c r="GS61">
        <v>4808.3419580395002</v>
      </c>
      <c r="GT61">
        <v>1022.274389807265</v>
      </c>
      <c r="HS61">
        <v>2538.4813108203311</v>
      </c>
      <c r="HT61">
        <v>1627.851152782602</v>
      </c>
      <c r="NE61">
        <v>3300</v>
      </c>
      <c r="NF61">
        <v>760</v>
      </c>
      <c r="NU61">
        <v>500</v>
      </c>
      <c r="NV61">
        <v>0.55000000000000004</v>
      </c>
    </row>
    <row r="62" spans="25:386" x14ac:dyDescent="0.3">
      <c r="AA62">
        <v>436.36363636363637</v>
      </c>
      <c r="AB62">
        <v>390</v>
      </c>
      <c r="DA62">
        <v>4702.2301842719844</v>
      </c>
      <c r="DB62">
        <v>1464.8674451240281</v>
      </c>
      <c r="DC62">
        <v>2116.1045632783312</v>
      </c>
      <c r="DD62">
        <v>676.15866438313469</v>
      </c>
      <c r="DI62">
        <v>4529.324632897753</v>
      </c>
      <c r="DJ62">
        <v>2427.598344614476</v>
      </c>
      <c r="FE62">
        <v>410</v>
      </c>
      <c r="FF62">
        <v>0.875</v>
      </c>
      <c r="FM62">
        <v>4081.8230245237678</v>
      </c>
      <c r="FN62">
        <v>808.34025773909616</v>
      </c>
      <c r="FU62">
        <v>3000</v>
      </c>
      <c r="FV62">
        <v>393.75</v>
      </c>
      <c r="GC62">
        <v>4505.950043184831</v>
      </c>
      <c r="GD62">
        <v>1359.5567020080759</v>
      </c>
      <c r="GK62">
        <v>415</v>
      </c>
      <c r="GL62">
        <v>0.5</v>
      </c>
      <c r="GS62">
        <v>4808.3419580395002</v>
      </c>
      <c r="GT62">
        <v>1022.274389807265</v>
      </c>
      <c r="HS62">
        <v>4807.0209007936382</v>
      </c>
      <c r="HT62">
        <v>697.75077525769871</v>
      </c>
      <c r="NE62">
        <v>3300</v>
      </c>
      <c r="NF62">
        <v>800</v>
      </c>
      <c r="NU62">
        <v>400</v>
      </c>
      <c r="NV62">
        <v>0.6</v>
      </c>
    </row>
    <row r="63" spans="25:386" x14ac:dyDescent="0.3">
      <c r="AA63">
        <v>436.36363636363637</v>
      </c>
      <c r="AB63">
        <v>390</v>
      </c>
      <c r="DA63">
        <v>3327.7722388455691</v>
      </c>
      <c r="DB63">
        <v>1205.063074717169</v>
      </c>
      <c r="DC63">
        <v>3755.3803760384062</v>
      </c>
      <c r="DD63">
        <v>967.34254318297076</v>
      </c>
      <c r="DI63">
        <v>3378.9983062258948</v>
      </c>
      <c r="DJ63">
        <v>1820.4222094528379</v>
      </c>
      <c r="FE63">
        <v>390</v>
      </c>
      <c r="FF63">
        <v>0.9</v>
      </c>
      <c r="FM63">
        <v>4081.8230245237678</v>
      </c>
      <c r="FN63">
        <v>808.34025773909616</v>
      </c>
      <c r="FU63">
        <v>3000</v>
      </c>
      <c r="FV63">
        <v>393.75</v>
      </c>
      <c r="GC63">
        <v>4505.950043184831</v>
      </c>
      <c r="GD63">
        <v>1359.5567020080759</v>
      </c>
      <c r="GK63">
        <v>415</v>
      </c>
      <c r="GL63">
        <v>0.5</v>
      </c>
      <c r="GS63">
        <v>4808.3419580395002</v>
      </c>
      <c r="GT63">
        <v>1022.274389807265</v>
      </c>
      <c r="HS63">
        <v>2956.7599028958421</v>
      </c>
      <c r="HT63">
        <v>1529.7011044303631</v>
      </c>
      <c r="NE63">
        <v>3300</v>
      </c>
      <c r="NF63">
        <v>800</v>
      </c>
      <c r="NU63">
        <v>700</v>
      </c>
      <c r="NV63">
        <v>0.6</v>
      </c>
    </row>
    <row r="64" spans="25:386" x14ac:dyDescent="0.3">
      <c r="AA64">
        <v>727.27272727272737</v>
      </c>
      <c r="AB64">
        <v>420</v>
      </c>
      <c r="DA64">
        <v>4588.9170367828992</v>
      </c>
      <c r="DB64">
        <v>976.81384720259041</v>
      </c>
      <c r="DC64">
        <v>2354.43524953111</v>
      </c>
      <c r="DD64">
        <v>437.2631795050562</v>
      </c>
      <c r="DI64">
        <v>4788.9458567561996</v>
      </c>
      <c r="DJ64">
        <v>2085.8163681035958</v>
      </c>
      <c r="FE64">
        <v>392.5</v>
      </c>
      <c r="FF64">
        <v>0.9</v>
      </c>
      <c r="FM64">
        <v>4081.8230245237678</v>
      </c>
      <c r="FN64">
        <v>808.34025773909616</v>
      </c>
      <c r="FU64">
        <v>3000</v>
      </c>
      <c r="FV64">
        <v>393.75</v>
      </c>
      <c r="GC64">
        <v>4505.950043184831</v>
      </c>
      <c r="GD64">
        <v>1359.5567020080759</v>
      </c>
      <c r="GK64">
        <v>415</v>
      </c>
      <c r="GL64">
        <v>0.5</v>
      </c>
      <c r="GS64">
        <v>4808.3419580395002</v>
      </c>
      <c r="GT64">
        <v>1022.274389807265</v>
      </c>
      <c r="HS64">
        <v>2766.1934221548481</v>
      </c>
      <c r="HT64">
        <v>940.10745646373857</v>
      </c>
      <c r="NE64">
        <v>3300</v>
      </c>
      <c r="NF64">
        <v>800</v>
      </c>
      <c r="NU64">
        <v>500</v>
      </c>
      <c r="NV64">
        <v>0.6</v>
      </c>
    </row>
    <row r="65" spans="27:386" x14ac:dyDescent="0.3">
      <c r="AA65">
        <v>727.27272727272737</v>
      </c>
      <c r="AB65">
        <v>420</v>
      </c>
      <c r="DA65">
        <v>3491.4291474903262</v>
      </c>
      <c r="DB65">
        <v>1122.4565306097729</v>
      </c>
      <c r="DC65">
        <v>4470.3297031075399</v>
      </c>
      <c r="DD65">
        <v>778.49825461222599</v>
      </c>
      <c r="DI65">
        <v>3175.598436877513</v>
      </c>
      <c r="DJ65">
        <v>2207.5419024177781</v>
      </c>
      <c r="FE65">
        <v>395</v>
      </c>
      <c r="FF65">
        <v>0.9</v>
      </c>
      <c r="FM65">
        <v>4081.8230245237678</v>
      </c>
      <c r="FN65">
        <v>808.34025773909616</v>
      </c>
      <c r="GC65">
        <v>4505.950043184831</v>
      </c>
      <c r="GD65">
        <v>1359.5567020080759</v>
      </c>
      <c r="GK65">
        <v>415</v>
      </c>
      <c r="GL65">
        <v>0.5</v>
      </c>
      <c r="GS65">
        <v>4508.3419580395002</v>
      </c>
      <c r="GT65">
        <v>1022.274389807265</v>
      </c>
      <c r="HS65">
        <v>3413.1314851782481</v>
      </c>
      <c r="HT65">
        <v>861.26359889276716</v>
      </c>
      <c r="NE65">
        <v>3300</v>
      </c>
      <c r="NF65">
        <v>800</v>
      </c>
      <c r="NU65">
        <v>600</v>
      </c>
      <c r="NV65">
        <v>0.6</v>
      </c>
    </row>
    <row r="66" spans="27:386" x14ac:dyDescent="0.3">
      <c r="AA66">
        <v>927.27272727272725</v>
      </c>
      <c r="AB66">
        <v>434</v>
      </c>
      <c r="DA66">
        <v>2761.6869955712159</v>
      </c>
      <c r="DB66">
        <v>709.6704518480492</v>
      </c>
      <c r="DC66">
        <v>3180.6196960894022</v>
      </c>
      <c r="DD66">
        <v>1381.1199823667009</v>
      </c>
      <c r="DI66">
        <v>3976.1452958955542</v>
      </c>
      <c r="DJ66">
        <v>1935.407812669293</v>
      </c>
      <c r="FE66">
        <v>397.5</v>
      </c>
      <c r="FF66">
        <v>0.9</v>
      </c>
      <c r="FM66">
        <v>4081.8230245237678</v>
      </c>
      <c r="FN66">
        <v>808.34025773909616</v>
      </c>
      <c r="GC66">
        <v>4505.950043184831</v>
      </c>
      <c r="GD66">
        <v>1359.5567020080759</v>
      </c>
      <c r="GK66">
        <v>415</v>
      </c>
      <c r="GL66">
        <v>0.5</v>
      </c>
      <c r="GS66">
        <v>4808.3419580395002</v>
      </c>
      <c r="GT66">
        <v>1242.274389807264</v>
      </c>
      <c r="HS66">
        <v>2349.7100942259908</v>
      </c>
      <c r="HT66">
        <v>344.88127753850699</v>
      </c>
      <c r="NE66">
        <v>3300</v>
      </c>
      <c r="NF66">
        <v>766.66666666670005</v>
      </c>
      <c r="NU66">
        <v>500</v>
      </c>
      <c r="NV66">
        <v>0.65</v>
      </c>
    </row>
    <row r="67" spans="27:386" x14ac:dyDescent="0.3">
      <c r="AA67">
        <v>927.27272727272725</v>
      </c>
      <c r="AB67">
        <v>434</v>
      </c>
      <c r="DA67">
        <v>2005.3950733036199</v>
      </c>
      <c r="DB67">
        <v>1295.157266668871</v>
      </c>
      <c r="DC67">
        <v>2276.6919271033862</v>
      </c>
      <c r="DD67">
        <v>539.73241595649017</v>
      </c>
      <c r="DI67">
        <v>3867.4230660268322</v>
      </c>
      <c r="DJ67">
        <v>2349.9872703992928</v>
      </c>
      <c r="FE67">
        <v>400</v>
      </c>
      <c r="FF67">
        <v>0.9</v>
      </c>
      <c r="FM67">
        <v>4081.8230245237678</v>
      </c>
      <c r="FN67">
        <v>808.34025773909616</v>
      </c>
      <c r="GC67">
        <v>4505.950043184831</v>
      </c>
      <c r="GD67">
        <v>1359.5567020080759</v>
      </c>
      <c r="GK67">
        <v>415</v>
      </c>
      <c r="GL67">
        <v>0.5</v>
      </c>
      <c r="GS67">
        <v>4808.3419580395002</v>
      </c>
      <c r="GT67">
        <v>1022.274389807265</v>
      </c>
      <c r="HS67">
        <v>2198.1907068425271</v>
      </c>
      <c r="HT67">
        <v>1312.083005406048</v>
      </c>
      <c r="NE67">
        <v>3300</v>
      </c>
      <c r="NF67">
        <v>733.33333333329995</v>
      </c>
      <c r="NU67">
        <v>700</v>
      </c>
      <c r="NV67">
        <v>0.65</v>
      </c>
    </row>
    <row r="68" spans="27:386" x14ac:dyDescent="0.3">
      <c r="AA68">
        <v>554.54545454545462</v>
      </c>
      <c r="AB68">
        <v>403</v>
      </c>
      <c r="DA68">
        <v>2422.6693076928009</v>
      </c>
      <c r="DB68">
        <v>1218.7801970745261</v>
      </c>
      <c r="DC68">
        <v>4209.3250018096278</v>
      </c>
      <c r="DD68">
        <v>927.99894736538101</v>
      </c>
      <c r="DI68">
        <v>4355.3170985151392</v>
      </c>
      <c r="DJ68">
        <v>2168.5541864031952</v>
      </c>
      <c r="FE68">
        <v>402.5</v>
      </c>
      <c r="FF68">
        <v>0.9</v>
      </c>
      <c r="FM68">
        <v>4081.8230245237678</v>
      </c>
      <c r="FN68">
        <v>808.34025773909616</v>
      </c>
      <c r="GC68">
        <v>5000</v>
      </c>
      <c r="GD68">
        <v>1359.5567020080759</v>
      </c>
      <c r="GK68">
        <v>403</v>
      </c>
      <c r="GL68">
        <v>0.5</v>
      </c>
      <c r="GS68">
        <v>4808.3419580395002</v>
      </c>
      <c r="GT68">
        <v>1022.274389807265</v>
      </c>
      <c r="HS68">
        <v>4756.5870774877549</v>
      </c>
      <c r="HT68">
        <v>1491.961529886994</v>
      </c>
      <c r="NE68">
        <v>3300</v>
      </c>
      <c r="NF68">
        <v>800</v>
      </c>
      <c r="NU68">
        <v>600</v>
      </c>
      <c r="NV68">
        <v>0.65</v>
      </c>
    </row>
    <row r="69" spans="27:386" x14ac:dyDescent="0.3">
      <c r="AA69">
        <v>554.54545454545462</v>
      </c>
      <c r="AB69">
        <v>403</v>
      </c>
      <c r="DA69">
        <v>3761.2952052735659</v>
      </c>
      <c r="DB69">
        <v>1134.585646055689</v>
      </c>
      <c r="DC69">
        <v>3532.720065619244</v>
      </c>
      <c r="DD69">
        <v>626.52971477076812</v>
      </c>
      <c r="DI69">
        <v>3076.067495852913</v>
      </c>
      <c r="DJ69">
        <v>2198.6937402742078</v>
      </c>
      <c r="FE69">
        <v>407.5</v>
      </c>
      <c r="FF69">
        <v>0.9</v>
      </c>
      <c r="FM69">
        <v>4081.8230245237678</v>
      </c>
      <c r="FN69">
        <v>808.34025773909616</v>
      </c>
      <c r="GC69">
        <v>4505.950043184831</v>
      </c>
      <c r="GD69">
        <v>1359.5567020080759</v>
      </c>
      <c r="GK69">
        <v>415</v>
      </c>
      <c r="GL69">
        <v>0.5</v>
      </c>
      <c r="GS69">
        <v>4808.3419580395002</v>
      </c>
      <c r="GT69">
        <v>1022.274389807265</v>
      </c>
      <c r="HS69">
        <v>3233.5648495218338</v>
      </c>
      <c r="HT69">
        <v>811.21010972075442</v>
      </c>
      <c r="NE69">
        <v>3300</v>
      </c>
      <c r="NF69">
        <v>800</v>
      </c>
      <c r="NU69">
        <v>700</v>
      </c>
      <c r="NV69">
        <v>0.7</v>
      </c>
    </row>
    <row r="70" spans="27:386" x14ac:dyDescent="0.3">
      <c r="AA70">
        <v>936.36363636363637</v>
      </c>
      <c r="AB70">
        <v>434</v>
      </c>
      <c r="DA70">
        <v>4359.3132392455918</v>
      </c>
      <c r="DB70">
        <v>1425.5349156944339</v>
      </c>
      <c r="DC70">
        <v>2226.8232820928129</v>
      </c>
      <c r="DD70">
        <v>838.66486664302386</v>
      </c>
      <c r="DI70">
        <v>2269.635077149364</v>
      </c>
      <c r="DJ70">
        <v>1918.8734832568341</v>
      </c>
      <c r="FE70">
        <v>405</v>
      </c>
      <c r="FF70">
        <v>0.9</v>
      </c>
      <c r="FM70">
        <v>4081.8230245237678</v>
      </c>
      <c r="FN70">
        <v>808.34025773909616</v>
      </c>
      <c r="GC70">
        <v>4805.950043184831</v>
      </c>
      <c r="GD70">
        <v>1579.5567020080759</v>
      </c>
      <c r="GK70">
        <v>415</v>
      </c>
      <c r="GL70">
        <v>0.5</v>
      </c>
      <c r="GS70">
        <v>4808.3419580395002</v>
      </c>
      <c r="GT70">
        <v>1022.274389807265</v>
      </c>
      <c r="HS70">
        <v>2318.6633936156741</v>
      </c>
      <c r="HT70">
        <v>1160.0250264135429</v>
      </c>
      <c r="NE70">
        <v>3300</v>
      </c>
      <c r="NF70">
        <v>700</v>
      </c>
      <c r="NU70">
        <v>600</v>
      </c>
      <c r="NV70">
        <v>0.7</v>
      </c>
    </row>
    <row r="71" spans="27:386" x14ac:dyDescent="0.3">
      <c r="AA71">
        <v>936.36363636363637</v>
      </c>
      <c r="AB71">
        <v>434</v>
      </c>
      <c r="DA71">
        <v>2219.0482717092532</v>
      </c>
      <c r="DB71">
        <v>1316.0522888974849</v>
      </c>
      <c r="DC71">
        <v>4480.4690512725447</v>
      </c>
      <c r="DD71">
        <v>1198.0715033697629</v>
      </c>
      <c r="DI71">
        <v>4755.232960711648</v>
      </c>
      <c r="DJ71">
        <v>1848.803303059377</v>
      </c>
      <c r="FE71">
        <v>410</v>
      </c>
      <c r="FF71">
        <v>0.9</v>
      </c>
      <c r="FM71">
        <v>4081.8230245237678</v>
      </c>
      <c r="FN71">
        <v>808.34025773909616</v>
      </c>
      <c r="GC71">
        <v>4805.950043184831</v>
      </c>
      <c r="GD71">
        <v>1359.5567020080759</v>
      </c>
      <c r="GK71">
        <v>415</v>
      </c>
      <c r="GL71">
        <v>0.5</v>
      </c>
      <c r="GS71">
        <v>4808.3419580395002</v>
      </c>
      <c r="GT71">
        <v>1022.274389807265</v>
      </c>
      <c r="HS71">
        <v>2799.9520939167551</v>
      </c>
      <c r="HT71">
        <v>1329.7550038239399</v>
      </c>
      <c r="NE71">
        <v>3300</v>
      </c>
      <c r="NF71">
        <v>690</v>
      </c>
      <c r="NU71">
        <v>500</v>
      </c>
      <c r="NV71">
        <v>0.7</v>
      </c>
    </row>
    <row r="72" spans="27:386" x14ac:dyDescent="0.3">
      <c r="DA72">
        <v>2280.9971422651902</v>
      </c>
      <c r="DB72">
        <v>1194.3069859311011</v>
      </c>
      <c r="DC72">
        <v>4088.0459899288371</v>
      </c>
      <c r="DD72">
        <v>993.79608221399837</v>
      </c>
      <c r="DI72">
        <v>2361.85368546775</v>
      </c>
      <c r="DJ72">
        <v>1648.0491126172401</v>
      </c>
      <c r="FE72">
        <v>390</v>
      </c>
      <c r="FF72">
        <v>0.92500000000000004</v>
      </c>
      <c r="FM72">
        <v>4081.8230245237678</v>
      </c>
      <c r="FN72">
        <v>808.34025773909616</v>
      </c>
      <c r="GC72">
        <v>4805.950043184831</v>
      </c>
      <c r="GD72">
        <v>1359.5567020080759</v>
      </c>
      <c r="GK72">
        <v>415</v>
      </c>
      <c r="GL72">
        <v>0.5</v>
      </c>
      <c r="GS72">
        <v>4808.3419580395002</v>
      </c>
      <c r="GT72">
        <v>1022.274389807265</v>
      </c>
      <c r="HS72">
        <v>3398.4627017116791</v>
      </c>
      <c r="HT72">
        <v>1437.905391114698</v>
      </c>
      <c r="NE72">
        <v>3300</v>
      </c>
      <c r="NF72">
        <v>690</v>
      </c>
    </row>
    <row r="73" spans="27:386" x14ac:dyDescent="0.3">
      <c r="DA73">
        <v>2291.415835900696</v>
      </c>
      <c r="DB73">
        <v>1253.662661973812</v>
      </c>
      <c r="DC73">
        <v>2342.0387895466588</v>
      </c>
      <c r="DD73">
        <v>321.55920181741237</v>
      </c>
      <c r="DI73">
        <v>4648.636776778967</v>
      </c>
      <c r="DJ73">
        <v>1617.269128432268</v>
      </c>
      <c r="FE73">
        <v>397.5</v>
      </c>
      <c r="FF73">
        <v>0.92500000000000004</v>
      </c>
      <c r="FM73">
        <v>4081.8230245237678</v>
      </c>
      <c r="FN73">
        <v>808.34025773909616</v>
      </c>
      <c r="GC73">
        <v>4805.950043184831</v>
      </c>
      <c r="GD73">
        <v>1359.5567020080759</v>
      </c>
      <c r="GK73">
        <v>415</v>
      </c>
      <c r="GL73">
        <v>0.5</v>
      </c>
      <c r="GS73">
        <v>4808.3419580395002</v>
      </c>
      <c r="GT73">
        <v>1022.274389807265</v>
      </c>
      <c r="HS73">
        <v>3907.5787722691248</v>
      </c>
      <c r="HT73">
        <v>854.36652204131872</v>
      </c>
      <c r="NE73">
        <v>3300</v>
      </c>
      <c r="NF73">
        <v>690</v>
      </c>
    </row>
    <row r="74" spans="27:386" x14ac:dyDescent="0.3">
      <c r="DA74">
        <v>3481.8230245237678</v>
      </c>
      <c r="DB74">
        <v>808.34025773909616</v>
      </c>
      <c r="DC74">
        <v>3103.3300846689931</v>
      </c>
      <c r="DD74">
        <v>750.24935332394148</v>
      </c>
      <c r="DI74">
        <v>3596.434523118251</v>
      </c>
      <c r="DJ74">
        <v>2193.0327834944851</v>
      </c>
      <c r="FE74">
        <v>395</v>
      </c>
      <c r="FF74">
        <v>0.92500000000000004</v>
      </c>
      <c r="FM74">
        <v>4081.8230245237678</v>
      </c>
      <c r="FN74">
        <v>808.34025773909616</v>
      </c>
      <c r="GC74">
        <v>4805.950043184831</v>
      </c>
      <c r="GD74">
        <v>1359.5567020080759</v>
      </c>
      <c r="GK74">
        <v>415</v>
      </c>
      <c r="GL74">
        <v>0.5</v>
      </c>
      <c r="GS74">
        <v>4808.3419580395002</v>
      </c>
      <c r="GT74">
        <v>1022.274389807265</v>
      </c>
      <c r="NE74">
        <v>3300</v>
      </c>
      <c r="NF74">
        <v>690</v>
      </c>
    </row>
    <row r="75" spans="27:386" x14ac:dyDescent="0.3">
      <c r="DA75">
        <v>4890.757585739927</v>
      </c>
      <c r="DB75">
        <v>834.16565567747534</v>
      </c>
      <c r="DC75">
        <v>3588.7479973588529</v>
      </c>
      <c r="DD75">
        <v>1365.887774483243</v>
      </c>
      <c r="DI75">
        <v>3129.18287946593</v>
      </c>
      <c r="DJ75">
        <v>1804.015748887794</v>
      </c>
      <c r="FE75">
        <v>392.5</v>
      </c>
      <c r="FF75">
        <v>0.92500000000000004</v>
      </c>
      <c r="FM75">
        <v>4381.8230245237683</v>
      </c>
      <c r="FN75">
        <v>808.34025773909616</v>
      </c>
      <c r="GC75">
        <v>4805.950043184831</v>
      </c>
      <c r="GD75">
        <v>1359.5567020080759</v>
      </c>
      <c r="GK75">
        <v>403</v>
      </c>
      <c r="GL75">
        <v>0.5</v>
      </c>
      <c r="GS75">
        <v>4808.3419580395002</v>
      </c>
      <c r="GT75">
        <v>1022.274389807265</v>
      </c>
      <c r="NE75">
        <v>3300</v>
      </c>
      <c r="NF75">
        <v>690</v>
      </c>
    </row>
    <row r="76" spans="27:386" x14ac:dyDescent="0.3">
      <c r="DA76">
        <v>4950.9740899708704</v>
      </c>
      <c r="DB76">
        <v>1307.586825936962</v>
      </c>
      <c r="DC76">
        <v>4771.9287158677535</v>
      </c>
      <c r="DD76">
        <v>729.64193002893887</v>
      </c>
      <c r="DI76">
        <v>3544.717472517385</v>
      </c>
      <c r="DJ76">
        <v>2462.7729220515371</v>
      </c>
      <c r="FE76">
        <v>400</v>
      </c>
      <c r="FF76">
        <v>0.92500000000000004</v>
      </c>
      <c r="FM76">
        <v>3781.8230245237678</v>
      </c>
      <c r="FN76">
        <v>808.34025773909616</v>
      </c>
      <c r="GC76">
        <v>4805.950043184831</v>
      </c>
      <c r="GD76">
        <v>1359.5567020080759</v>
      </c>
      <c r="GK76">
        <v>415</v>
      </c>
      <c r="GL76">
        <v>0.5</v>
      </c>
      <c r="GS76">
        <v>4508.3419580395002</v>
      </c>
      <c r="GT76">
        <v>1022.274389807265</v>
      </c>
      <c r="NE76">
        <v>3300</v>
      </c>
      <c r="NF76">
        <v>690</v>
      </c>
    </row>
    <row r="77" spans="27:386" x14ac:dyDescent="0.3">
      <c r="DA77">
        <v>3396.524525340546</v>
      </c>
      <c r="DB77">
        <v>775.80218347083269</v>
      </c>
      <c r="DC77">
        <v>2946.5193009348682</v>
      </c>
      <c r="DD77">
        <v>1472.987916922285</v>
      </c>
      <c r="FE77">
        <v>405</v>
      </c>
      <c r="FF77">
        <v>0.92500000000000004</v>
      </c>
      <c r="FM77">
        <v>4081.8230245237678</v>
      </c>
      <c r="FN77">
        <v>1028.3402577390959</v>
      </c>
      <c r="GC77">
        <v>4805.950043184831</v>
      </c>
      <c r="GD77">
        <v>1359.5567020080759</v>
      </c>
      <c r="GK77">
        <v>415</v>
      </c>
      <c r="GL77">
        <v>0.5</v>
      </c>
      <c r="GS77">
        <v>4808.3419580395002</v>
      </c>
      <c r="GT77">
        <v>1242.274389807264</v>
      </c>
      <c r="NE77">
        <v>3300</v>
      </c>
      <c r="NF77">
        <v>690</v>
      </c>
    </row>
    <row r="78" spans="27:386" x14ac:dyDescent="0.3">
      <c r="DA78">
        <v>2352.4545851847129</v>
      </c>
      <c r="DB78">
        <v>1380.5462686491071</v>
      </c>
      <c r="DC78">
        <v>4983.5011692621592</v>
      </c>
      <c r="DD78">
        <v>412.43068781447948</v>
      </c>
      <c r="FE78">
        <v>402.5</v>
      </c>
      <c r="FF78">
        <v>0.92500000000000004</v>
      </c>
      <c r="FM78">
        <v>4081.8230245237678</v>
      </c>
      <c r="FN78">
        <v>808.34025773909616</v>
      </c>
      <c r="GC78">
        <v>4805.950043184831</v>
      </c>
      <c r="GD78">
        <v>1359.5567020080759</v>
      </c>
      <c r="GK78">
        <v>415</v>
      </c>
      <c r="GL78">
        <v>0.5</v>
      </c>
      <c r="GS78">
        <v>4808.3419580395002</v>
      </c>
      <c r="GT78">
        <v>1022.274389807265</v>
      </c>
      <c r="NE78">
        <v>3300</v>
      </c>
      <c r="NF78">
        <v>690</v>
      </c>
    </row>
    <row r="79" spans="27:386" x14ac:dyDescent="0.3">
      <c r="DA79">
        <v>2155.6888499665752</v>
      </c>
      <c r="DB79">
        <v>918.04113005762099</v>
      </c>
      <c r="DC79">
        <v>2333.0929697254128</v>
      </c>
      <c r="DD79">
        <v>786.24428223266159</v>
      </c>
      <c r="FE79">
        <v>407.5</v>
      </c>
      <c r="FF79">
        <v>0.92500000000000004</v>
      </c>
      <c r="FM79">
        <v>4081.8230245237678</v>
      </c>
      <c r="FN79">
        <v>808.34025773909616</v>
      </c>
      <c r="GC79">
        <v>4805.950043184831</v>
      </c>
      <c r="GD79">
        <v>1359.5567020080759</v>
      </c>
      <c r="GK79">
        <v>415</v>
      </c>
      <c r="GL79">
        <v>0.5</v>
      </c>
      <c r="GS79">
        <v>4808.3419580395002</v>
      </c>
      <c r="GT79">
        <v>1022.274389807265</v>
      </c>
      <c r="NE79">
        <v>3300</v>
      </c>
      <c r="NF79">
        <v>690</v>
      </c>
    </row>
    <row r="80" spans="27:386" x14ac:dyDescent="0.3">
      <c r="DA80">
        <v>4350.4097696055296</v>
      </c>
      <c r="DB80">
        <v>1317.2084607469169</v>
      </c>
      <c r="DC80">
        <v>2101.2816918460849</v>
      </c>
      <c r="DD80">
        <v>1054.642460606296</v>
      </c>
      <c r="FE80">
        <v>410</v>
      </c>
      <c r="FF80">
        <v>0.92500000000000004</v>
      </c>
      <c r="FM80">
        <v>4081.8230245237678</v>
      </c>
      <c r="FN80">
        <v>808.34025773909616</v>
      </c>
      <c r="GC80">
        <v>4805.950043184831</v>
      </c>
      <c r="GD80">
        <v>1359.5567020080759</v>
      </c>
      <c r="GK80">
        <v>415</v>
      </c>
      <c r="GL80">
        <v>0.5</v>
      </c>
      <c r="GS80">
        <v>4808.3419580395002</v>
      </c>
      <c r="GT80">
        <v>1022.274389807265</v>
      </c>
      <c r="NE80">
        <v>3300</v>
      </c>
      <c r="NF80">
        <v>690</v>
      </c>
    </row>
    <row r="81" spans="105:370" x14ac:dyDescent="0.3">
      <c r="DA81">
        <v>4035.5920742289659</v>
      </c>
      <c r="DB81">
        <v>1453.6943084220011</v>
      </c>
      <c r="DC81">
        <v>2813.6236840741781</v>
      </c>
      <c r="DD81">
        <v>909.42099471551683</v>
      </c>
      <c r="FE81">
        <v>390</v>
      </c>
      <c r="FF81">
        <v>0.95</v>
      </c>
      <c r="FM81">
        <v>4081.8230245237678</v>
      </c>
      <c r="FN81">
        <v>808.34025773909616</v>
      </c>
      <c r="GC81">
        <v>4700</v>
      </c>
      <c r="GD81">
        <v>1359.5567020080759</v>
      </c>
      <c r="GK81">
        <v>415</v>
      </c>
      <c r="GL81">
        <v>0.5</v>
      </c>
      <c r="GS81">
        <v>4808.3419580395002</v>
      </c>
      <c r="GT81">
        <v>1022.274389807265</v>
      </c>
      <c r="NE81">
        <v>3300</v>
      </c>
      <c r="NF81">
        <v>690</v>
      </c>
    </row>
    <row r="82" spans="105:370" x14ac:dyDescent="0.3">
      <c r="DA82">
        <v>4652.4576927725238</v>
      </c>
      <c r="DB82">
        <v>1112.70454033647</v>
      </c>
      <c r="DC82">
        <v>4386.3843412594697</v>
      </c>
      <c r="DD82">
        <v>1008.827607153711</v>
      </c>
      <c r="FE82">
        <v>392.5</v>
      </c>
      <c r="FF82">
        <v>0.95</v>
      </c>
      <c r="FM82">
        <v>4081.8230245237678</v>
      </c>
      <c r="FN82">
        <v>808.34025773909616</v>
      </c>
      <c r="GC82">
        <v>5000</v>
      </c>
      <c r="GD82">
        <v>1579.5567020080759</v>
      </c>
      <c r="GS82">
        <v>4808.3419580395002</v>
      </c>
      <c r="GT82">
        <v>1022.274389807265</v>
      </c>
      <c r="NE82">
        <v>3300</v>
      </c>
      <c r="NF82">
        <v>690</v>
      </c>
    </row>
    <row r="83" spans="105:370" x14ac:dyDescent="0.3">
      <c r="DA83">
        <v>3696.6578552480169</v>
      </c>
      <c r="DB83">
        <v>1229.3347696241351</v>
      </c>
      <c r="DC83">
        <v>3879.922616987305</v>
      </c>
      <c r="DD83">
        <v>637.57121294509466</v>
      </c>
      <c r="FE83">
        <v>395</v>
      </c>
      <c r="FF83">
        <v>0.95</v>
      </c>
      <c r="FM83">
        <v>4081.8230245237678</v>
      </c>
      <c r="FN83">
        <v>808.34025773909616</v>
      </c>
      <c r="GC83">
        <v>5000</v>
      </c>
      <c r="GD83">
        <v>1359.5567020080759</v>
      </c>
      <c r="GS83">
        <v>4808.3419580395002</v>
      </c>
      <c r="GT83">
        <v>1022.274389807265</v>
      </c>
      <c r="NE83">
        <v>3300</v>
      </c>
      <c r="NF83">
        <v>690</v>
      </c>
    </row>
    <row r="84" spans="105:370" x14ac:dyDescent="0.3">
      <c r="DA84">
        <v>3779.9243740040329</v>
      </c>
      <c r="DB84">
        <v>1467.2205222666009</v>
      </c>
      <c r="DC84">
        <v>3716.2500186053762</v>
      </c>
      <c r="DD84">
        <v>1063.7010080151611</v>
      </c>
      <c r="FE84">
        <v>397.5</v>
      </c>
      <c r="FF84">
        <v>0.95</v>
      </c>
      <c r="FM84">
        <v>4081.8230245237678</v>
      </c>
      <c r="FN84">
        <v>808.34025773909616</v>
      </c>
      <c r="GC84">
        <v>5000</v>
      </c>
      <c r="GD84">
        <v>1359.5567020080759</v>
      </c>
      <c r="GS84">
        <v>4808.3419580395002</v>
      </c>
      <c r="GT84">
        <v>1022.274389807265</v>
      </c>
      <c r="NE84">
        <v>3300</v>
      </c>
      <c r="NF84">
        <v>690</v>
      </c>
    </row>
    <row r="85" spans="105:370" x14ac:dyDescent="0.3">
      <c r="DA85">
        <v>4675.274719834546</v>
      </c>
      <c r="DB85">
        <v>558.16470135396094</v>
      </c>
      <c r="DC85">
        <v>4457.1334767294848</v>
      </c>
      <c r="DD85">
        <v>368.90350075581171</v>
      </c>
      <c r="FE85">
        <v>400</v>
      </c>
      <c r="FF85">
        <v>0.95</v>
      </c>
      <c r="FM85">
        <v>4081.8230245237678</v>
      </c>
      <c r="FN85">
        <v>808.34025773909616</v>
      </c>
      <c r="GC85">
        <v>5000</v>
      </c>
      <c r="GD85">
        <v>1359.5567020080759</v>
      </c>
      <c r="NE85">
        <v>3300</v>
      </c>
      <c r="NF85">
        <v>690</v>
      </c>
    </row>
    <row r="86" spans="105:370" x14ac:dyDescent="0.3">
      <c r="DA86">
        <v>4312.986811198436</v>
      </c>
      <c r="DB86">
        <v>873.42530629934674</v>
      </c>
      <c r="DC86">
        <v>4875.263783849653</v>
      </c>
      <c r="DD86">
        <v>547.28992499836443</v>
      </c>
      <c r="FE86">
        <v>405</v>
      </c>
      <c r="FF86">
        <v>0.95</v>
      </c>
      <c r="FM86">
        <v>4081.8230245237678</v>
      </c>
      <c r="FN86">
        <v>808.34025773909616</v>
      </c>
      <c r="GC86">
        <v>5000</v>
      </c>
      <c r="GD86">
        <v>1359.5567020080759</v>
      </c>
      <c r="NE86">
        <v>3300</v>
      </c>
      <c r="NF86">
        <v>690</v>
      </c>
    </row>
    <row r="87" spans="105:370" x14ac:dyDescent="0.3">
      <c r="DA87">
        <v>3203.7064805170362</v>
      </c>
      <c r="DB87">
        <v>1219.5925573944701</v>
      </c>
      <c r="DC87">
        <v>3697.4097324261611</v>
      </c>
      <c r="DD87">
        <v>568.29981551802894</v>
      </c>
      <c r="FE87">
        <v>402.5</v>
      </c>
      <c r="FF87">
        <v>0.95</v>
      </c>
      <c r="FM87">
        <v>4381.8230245237683</v>
      </c>
      <c r="FN87">
        <v>808.34025773909616</v>
      </c>
      <c r="GC87">
        <v>5000</v>
      </c>
      <c r="GD87">
        <v>1359.5567020080759</v>
      </c>
      <c r="NE87">
        <v>3300</v>
      </c>
      <c r="NF87">
        <v>690</v>
      </c>
    </row>
    <row r="88" spans="105:370" x14ac:dyDescent="0.3">
      <c r="DA88">
        <v>3382.467325858066</v>
      </c>
      <c r="DB88">
        <v>1326.8056002018291</v>
      </c>
      <c r="DC88">
        <v>3458.207296458289</v>
      </c>
      <c r="DD88">
        <v>702.24433246413651</v>
      </c>
      <c r="FE88">
        <v>407.5</v>
      </c>
      <c r="FF88">
        <v>0.95</v>
      </c>
      <c r="FM88">
        <v>4381.8230245237683</v>
      </c>
      <c r="FN88">
        <v>808.34025773909616</v>
      </c>
      <c r="GC88">
        <v>5000</v>
      </c>
      <c r="GD88">
        <v>1359.5567020080759</v>
      </c>
      <c r="NE88">
        <v>3300</v>
      </c>
      <c r="NF88">
        <v>690</v>
      </c>
    </row>
    <row r="89" spans="105:370" x14ac:dyDescent="0.3">
      <c r="DA89">
        <v>2949.653534082217</v>
      </c>
      <c r="DB89">
        <v>983.21752216010361</v>
      </c>
      <c r="DC89">
        <v>4210.6480852472496</v>
      </c>
      <c r="DD89">
        <v>952.67903674035483</v>
      </c>
      <c r="FE89">
        <v>410</v>
      </c>
      <c r="FF89">
        <v>0.95</v>
      </c>
      <c r="FM89">
        <v>4381.8230245237683</v>
      </c>
      <c r="FN89">
        <v>808.34025773909616</v>
      </c>
      <c r="GC89">
        <v>5000</v>
      </c>
      <c r="GD89">
        <v>1359.5567020080759</v>
      </c>
      <c r="NE89">
        <v>3300</v>
      </c>
      <c r="NF89">
        <v>690</v>
      </c>
    </row>
    <row r="90" spans="105:370" x14ac:dyDescent="0.3">
      <c r="DA90">
        <v>4778.0368504880844</v>
      </c>
      <c r="DB90">
        <v>1451.6235933969581</v>
      </c>
      <c r="DC90">
        <v>4416.5759146917608</v>
      </c>
      <c r="DD90">
        <v>566.94828673631537</v>
      </c>
      <c r="FE90">
        <v>390</v>
      </c>
      <c r="FF90">
        <v>0.875</v>
      </c>
      <c r="FM90">
        <v>4381.8230245237683</v>
      </c>
      <c r="FN90">
        <v>808.34025773909616</v>
      </c>
      <c r="GC90">
        <v>5000</v>
      </c>
      <c r="GD90">
        <v>1359.5567020080759</v>
      </c>
      <c r="NE90">
        <v>3300</v>
      </c>
      <c r="NF90">
        <v>690</v>
      </c>
    </row>
    <row r="91" spans="105:370" x14ac:dyDescent="0.3">
      <c r="DA91">
        <v>4176.4753959289592</v>
      </c>
      <c r="DB91">
        <v>1358.986474025779</v>
      </c>
      <c r="DC91">
        <v>3742.291748310171</v>
      </c>
      <c r="DD91">
        <v>1413.2793064047571</v>
      </c>
      <c r="FE91">
        <v>390</v>
      </c>
      <c r="FF91">
        <v>0.9</v>
      </c>
      <c r="FM91">
        <v>4681.8230245237683</v>
      </c>
      <c r="FN91">
        <v>808.34025773909616</v>
      </c>
      <c r="GC91">
        <v>5000</v>
      </c>
      <c r="GD91">
        <v>1359.5567020080759</v>
      </c>
      <c r="NE91">
        <v>3300</v>
      </c>
      <c r="NF91">
        <v>690</v>
      </c>
    </row>
    <row r="92" spans="105:370" x14ac:dyDescent="0.3">
      <c r="DA92">
        <v>3473.563613239317</v>
      </c>
      <c r="DB92">
        <v>1403.895909483831</v>
      </c>
      <c r="DC92">
        <v>2878.0641233489009</v>
      </c>
      <c r="DD92">
        <v>410.51752020458798</v>
      </c>
      <c r="FE92">
        <v>392.5</v>
      </c>
      <c r="FF92">
        <v>0.9</v>
      </c>
      <c r="FM92">
        <v>4081.8230245237678</v>
      </c>
      <c r="FN92">
        <v>808.34025773909616</v>
      </c>
      <c r="GC92">
        <v>5000</v>
      </c>
      <c r="GD92">
        <v>1359.5567020080759</v>
      </c>
      <c r="NE92">
        <v>3400</v>
      </c>
      <c r="NF92">
        <v>1200</v>
      </c>
    </row>
    <row r="93" spans="105:370" x14ac:dyDescent="0.3">
      <c r="DA93">
        <v>4811.745787712287</v>
      </c>
      <c r="DB93">
        <v>1159.6272852179691</v>
      </c>
      <c r="DC93">
        <v>4049.1428201733061</v>
      </c>
      <c r="DD93">
        <v>942.98083881707078</v>
      </c>
      <c r="FE93">
        <v>390</v>
      </c>
      <c r="FF93">
        <v>0.92500000000000004</v>
      </c>
      <c r="FM93">
        <v>4381.8230245237683</v>
      </c>
      <c r="FN93">
        <v>1028.3402577390959</v>
      </c>
      <c r="NE93">
        <v>3500</v>
      </c>
      <c r="NF93">
        <v>1200</v>
      </c>
    </row>
    <row r="94" spans="105:370" x14ac:dyDescent="0.3">
      <c r="DA94">
        <v>2815.7803137651981</v>
      </c>
      <c r="DB94">
        <v>1090.2461419681731</v>
      </c>
      <c r="DC94">
        <v>2048.6779538172118</v>
      </c>
      <c r="DD94">
        <v>717.88686396880337</v>
      </c>
      <c r="FE94">
        <v>392.5</v>
      </c>
      <c r="FF94">
        <v>0.92500000000000004</v>
      </c>
      <c r="FM94">
        <v>4381.8230245237683</v>
      </c>
      <c r="FN94">
        <v>808.34025773909616</v>
      </c>
      <c r="NE94">
        <v>3300</v>
      </c>
      <c r="NF94">
        <v>1250</v>
      </c>
    </row>
    <row r="95" spans="105:370" x14ac:dyDescent="0.3">
      <c r="DA95">
        <v>3285.1841476987302</v>
      </c>
      <c r="DB95">
        <v>1416.577729466989</v>
      </c>
      <c r="DC95">
        <v>2531.4728399985038</v>
      </c>
      <c r="DD95">
        <v>581.28401561413625</v>
      </c>
      <c r="FE95">
        <v>395</v>
      </c>
      <c r="FF95">
        <v>0.92500000000000004</v>
      </c>
      <c r="FM95">
        <v>4381.8230245237683</v>
      </c>
      <c r="FN95">
        <v>808.34025773909616</v>
      </c>
      <c r="NE95">
        <v>3300</v>
      </c>
      <c r="NF95">
        <v>690</v>
      </c>
    </row>
    <row r="96" spans="105:370" x14ac:dyDescent="0.3">
      <c r="DA96">
        <v>3689.0076642334939</v>
      </c>
      <c r="DB96">
        <v>1471.050689542086</v>
      </c>
      <c r="DC96">
        <v>3238.2629523563542</v>
      </c>
      <c r="DD96">
        <v>1013.429226631598</v>
      </c>
      <c r="FE96">
        <v>397.5</v>
      </c>
      <c r="FF96">
        <v>0.92500000000000004</v>
      </c>
      <c r="FM96">
        <v>4381.8230245237683</v>
      </c>
      <c r="FN96">
        <v>808.34025773909616</v>
      </c>
      <c r="NE96">
        <v>3300</v>
      </c>
      <c r="NF96">
        <v>1300</v>
      </c>
    </row>
    <row r="97" spans="105:370" x14ac:dyDescent="0.3">
      <c r="DA97">
        <v>3951.2047204010209</v>
      </c>
      <c r="DB97">
        <v>1054.1597165565561</v>
      </c>
      <c r="DC97">
        <v>4817.7756322021942</v>
      </c>
      <c r="DD97">
        <v>1002.139181562782</v>
      </c>
      <c r="FE97">
        <v>390</v>
      </c>
      <c r="FF97">
        <v>0.95</v>
      </c>
      <c r="FM97">
        <v>4381.8230245237683</v>
      </c>
      <c r="FN97">
        <v>808.34025773909616</v>
      </c>
      <c r="NE97">
        <v>3300</v>
      </c>
      <c r="NF97">
        <v>1200</v>
      </c>
    </row>
    <row r="98" spans="105:370" x14ac:dyDescent="0.3">
      <c r="DA98">
        <v>2605.8238290022982</v>
      </c>
      <c r="DB98">
        <v>1106.3390206251161</v>
      </c>
      <c r="DC98">
        <v>3808.0493928152732</v>
      </c>
      <c r="DD98">
        <v>1021.9229607726249</v>
      </c>
      <c r="FE98">
        <v>392.5</v>
      </c>
      <c r="FF98">
        <v>0.95</v>
      </c>
      <c r="FM98">
        <v>4381.8230245237683</v>
      </c>
      <c r="FN98">
        <v>808.34025773909616</v>
      </c>
      <c r="NE98">
        <v>3300</v>
      </c>
      <c r="NF98">
        <v>1200</v>
      </c>
    </row>
    <row r="99" spans="105:370" x14ac:dyDescent="0.3">
      <c r="DA99">
        <v>4339.7806157081459</v>
      </c>
      <c r="DB99">
        <v>812.78154242868038</v>
      </c>
      <c r="DC99">
        <v>3155.2021448280411</v>
      </c>
      <c r="DD99">
        <v>1068.7287212292019</v>
      </c>
      <c r="FE99">
        <v>395</v>
      </c>
      <c r="FF99">
        <v>0.95</v>
      </c>
      <c r="FM99">
        <v>4381.8230245237683</v>
      </c>
      <c r="FN99">
        <v>808.34025773909616</v>
      </c>
    </row>
    <row r="100" spans="105:370" x14ac:dyDescent="0.3">
      <c r="DA100">
        <v>3253.987855848156</v>
      </c>
      <c r="DB100">
        <v>681.06848800431487</v>
      </c>
      <c r="DC100">
        <v>4156.765910241249</v>
      </c>
      <c r="DD100">
        <v>1150.143753512928</v>
      </c>
      <c r="FE100">
        <v>397.5</v>
      </c>
      <c r="FF100">
        <v>0.95</v>
      </c>
      <c r="FM100">
        <v>4381.8230245237683</v>
      </c>
      <c r="FN100">
        <v>808.34025773909616</v>
      </c>
    </row>
    <row r="101" spans="105:370" x14ac:dyDescent="0.3">
      <c r="DA101">
        <v>4257.2600654761709</v>
      </c>
      <c r="DB101">
        <v>1490.2004929419361</v>
      </c>
      <c r="DC101">
        <v>3419.4736921177732</v>
      </c>
      <c r="DD101">
        <v>762.10450879218024</v>
      </c>
      <c r="FE101">
        <v>400</v>
      </c>
      <c r="FF101">
        <v>0.95</v>
      </c>
      <c r="FM101">
        <v>4381.8230245237683</v>
      </c>
      <c r="FN101">
        <v>808.34025773909616</v>
      </c>
    </row>
    <row r="102" spans="105:370" x14ac:dyDescent="0.3">
      <c r="DA102">
        <v>2521.2615369554428</v>
      </c>
      <c r="DB102">
        <v>1004.773189877077</v>
      </c>
      <c r="DC102">
        <v>2613.4807200676378</v>
      </c>
      <c r="DD102">
        <v>374.36934432207039</v>
      </c>
      <c r="FE102">
        <v>402.5</v>
      </c>
      <c r="FF102">
        <v>0.95</v>
      </c>
      <c r="FM102">
        <v>4381.8230245237683</v>
      </c>
      <c r="FN102">
        <v>808.34025773909616</v>
      </c>
    </row>
    <row r="103" spans="105:370" x14ac:dyDescent="0.3">
      <c r="DA103">
        <v>4944.96732500092</v>
      </c>
      <c r="DB103">
        <v>1267.6822819708709</v>
      </c>
      <c r="DC103">
        <v>4565.5636648609761</v>
      </c>
      <c r="DD103">
        <v>1067.248236821704</v>
      </c>
      <c r="FE103">
        <v>405</v>
      </c>
      <c r="FF103">
        <v>0.95</v>
      </c>
      <c r="FM103">
        <v>4381.8230245237683</v>
      </c>
      <c r="FN103">
        <v>808.34025773909616</v>
      </c>
    </row>
    <row r="104" spans="105:370" x14ac:dyDescent="0.3">
      <c r="DA104">
        <v>2844.5887866886478</v>
      </c>
      <c r="DB104">
        <v>952.44158003742996</v>
      </c>
      <c r="DC104">
        <v>2076.5887165508439</v>
      </c>
      <c r="DD104">
        <v>428.45592024197299</v>
      </c>
      <c r="FE104">
        <v>407.5</v>
      </c>
      <c r="FF104">
        <v>0.95</v>
      </c>
    </row>
    <row r="105" spans="105:370" x14ac:dyDescent="0.3">
      <c r="DA105">
        <v>3001.0147499036138</v>
      </c>
      <c r="DB105">
        <v>858.32769409496518</v>
      </c>
      <c r="DC105">
        <v>3869.926538190442</v>
      </c>
      <c r="DD105">
        <v>616.36507070137463</v>
      </c>
      <c r="FE105">
        <v>410</v>
      </c>
      <c r="FF105">
        <v>0.95</v>
      </c>
    </row>
    <row r="106" spans="105:370" x14ac:dyDescent="0.3">
      <c r="DA106">
        <v>3808.8273171485462</v>
      </c>
      <c r="DB106">
        <v>1426.6337525685531</v>
      </c>
      <c r="DC106">
        <v>3001.7270513170679</v>
      </c>
      <c r="DD106">
        <v>1257.8624160393749</v>
      </c>
    </row>
    <row r="107" spans="105:370" x14ac:dyDescent="0.3">
      <c r="DA107">
        <v>2688.4873424370239</v>
      </c>
      <c r="DB107">
        <v>1304.5435172953751</v>
      </c>
      <c r="DC107">
        <v>3080.4022206731138</v>
      </c>
      <c r="DD107">
        <v>722.85635415038394</v>
      </c>
    </row>
    <row r="108" spans="105:370" x14ac:dyDescent="0.3">
      <c r="DA108">
        <v>2435.1929066201642</v>
      </c>
      <c r="DB108">
        <v>1049.983715480241</v>
      </c>
      <c r="DC108">
        <v>2925.3270365484359</v>
      </c>
      <c r="DD108">
        <v>697.83522600114543</v>
      </c>
    </row>
    <row r="109" spans="105:370" x14ac:dyDescent="0.3">
      <c r="DA109">
        <v>2547.8802072856461</v>
      </c>
      <c r="DB109">
        <v>1152.816198561386</v>
      </c>
      <c r="DC109">
        <v>3114.297461986203</v>
      </c>
      <c r="DD109">
        <v>444.46482910916859</v>
      </c>
    </row>
    <row r="110" spans="105:370" x14ac:dyDescent="0.3">
      <c r="DA110">
        <v>3571.4072979150992</v>
      </c>
      <c r="DB110">
        <v>688.24423852165376</v>
      </c>
      <c r="DC110">
        <v>4426.9571764584534</v>
      </c>
      <c r="DD110">
        <v>555.61961736125511</v>
      </c>
    </row>
    <row r="111" spans="105:370" x14ac:dyDescent="0.3">
      <c r="DA111">
        <v>2488.805528706217</v>
      </c>
      <c r="DB111">
        <v>1074.925149433288</v>
      </c>
      <c r="DC111">
        <v>2958.827926159463</v>
      </c>
      <c r="DD111">
        <v>1445.7112446176379</v>
      </c>
    </row>
    <row r="112" spans="105:370" x14ac:dyDescent="0.3">
      <c r="DA112">
        <v>3547.1506419983548</v>
      </c>
      <c r="DB112">
        <v>546.97167496593806</v>
      </c>
      <c r="DC112">
        <v>2053.6846013053009</v>
      </c>
      <c r="DD112">
        <v>588.59523952306631</v>
      </c>
    </row>
    <row r="113" spans="105:108" x14ac:dyDescent="0.3">
      <c r="DA113">
        <v>2046.947027378186</v>
      </c>
      <c r="DB113">
        <v>1280.658961349689</v>
      </c>
      <c r="DC113">
        <v>4197.3915099250116</v>
      </c>
      <c r="DD113">
        <v>1213.074960151908</v>
      </c>
    </row>
    <row r="114" spans="105:108" x14ac:dyDescent="0.3">
      <c r="DA114">
        <v>3834.1736730354978</v>
      </c>
      <c r="DB114">
        <v>1150.635832573309</v>
      </c>
      <c r="DC114">
        <v>4605.6211540685063</v>
      </c>
      <c r="DD114">
        <v>515.73497574056341</v>
      </c>
    </row>
    <row r="115" spans="105:108" x14ac:dyDescent="0.3">
      <c r="DA115">
        <v>3876.8409309189051</v>
      </c>
      <c r="DB115">
        <v>1413.172395788022</v>
      </c>
      <c r="DC115">
        <v>2621.4838022077211</v>
      </c>
      <c r="DD115">
        <v>327.39144229250411</v>
      </c>
    </row>
    <row r="116" spans="105:108" x14ac:dyDescent="0.3">
      <c r="DA116">
        <v>3416.9200649321838</v>
      </c>
      <c r="DB116">
        <v>1245.2287267604811</v>
      </c>
      <c r="DC116">
        <v>2742.399639714884</v>
      </c>
      <c r="DD116">
        <v>674.5008913892616</v>
      </c>
    </row>
    <row r="117" spans="105:108" x14ac:dyDescent="0.3">
      <c r="DA117">
        <v>4618.0054234464169</v>
      </c>
      <c r="DB117">
        <v>1275.004073771255</v>
      </c>
      <c r="DC117">
        <v>3974.686253531494</v>
      </c>
      <c r="DD117">
        <v>764.25516764549627</v>
      </c>
    </row>
    <row r="118" spans="105:108" x14ac:dyDescent="0.3">
      <c r="DA118">
        <v>3199.6845467170469</v>
      </c>
      <c r="DB118">
        <v>769.12351004287825</v>
      </c>
      <c r="DC118">
        <v>4520.1571961858281</v>
      </c>
      <c r="DD118">
        <v>433.38898524424292</v>
      </c>
    </row>
    <row r="119" spans="105:108" x14ac:dyDescent="0.3">
      <c r="DA119">
        <v>2921.798925985498</v>
      </c>
      <c r="DB119">
        <v>1142.2956162766111</v>
      </c>
      <c r="DC119">
        <v>4065.738705868403</v>
      </c>
      <c r="DD119">
        <v>531.94106813674637</v>
      </c>
    </row>
    <row r="120" spans="105:108" x14ac:dyDescent="0.3">
      <c r="DA120">
        <v>3718.573104357165</v>
      </c>
      <c r="DB120">
        <v>1438.218115492034</v>
      </c>
      <c r="DC120">
        <v>4327.6913002017254</v>
      </c>
      <c r="DD120">
        <v>1448.8852440251931</v>
      </c>
    </row>
    <row r="121" spans="105:108" x14ac:dyDescent="0.3">
      <c r="DA121">
        <v>3539.5313497682992</v>
      </c>
      <c r="DB121">
        <v>1184.909450503314</v>
      </c>
      <c r="DC121">
        <v>3373.492752583611</v>
      </c>
      <c r="DD121">
        <v>726.34596005734966</v>
      </c>
    </row>
    <row r="122" spans="105:108" x14ac:dyDescent="0.3">
      <c r="DA122">
        <v>3514.4151254074941</v>
      </c>
      <c r="DB122">
        <v>936.88135157308</v>
      </c>
      <c r="DC122">
        <v>2848.9165643215902</v>
      </c>
      <c r="DD122">
        <v>735.72630951178712</v>
      </c>
    </row>
    <row r="123" spans="105:108" x14ac:dyDescent="0.3">
      <c r="DC123">
        <v>2529.1346364176538</v>
      </c>
      <c r="DD123">
        <v>1431.58017366385</v>
      </c>
    </row>
    <row r="124" spans="105:108" x14ac:dyDescent="0.3">
      <c r="DC124">
        <v>2712.8597105407371</v>
      </c>
      <c r="DD124">
        <v>659.3942285039368</v>
      </c>
    </row>
    <row r="125" spans="105:108" x14ac:dyDescent="0.3">
      <c r="DC125">
        <v>2064.353382930798</v>
      </c>
      <c r="DD125">
        <v>792.86217315303668</v>
      </c>
    </row>
    <row r="126" spans="105:108" x14ac:dyDescent="0.3">
      <c r="DC126">
        <v>3828.611837533173</v>
      </c>
      <c r="DD126">
        <v>991.52080837900644</v>
      </c>
    </row>
    <row r="127" spans="105:108" x14ac:dyDescent="0.3">
      <c r="DC127">
        <v>4578.7454571058825</v>
      </c>
      <c r="DD127">
        <v>861.98322112454161</v>
      </c>
    </row>
    <row r="128" spans="105:108" x14ac:dyDescent="0.3">
      <c r="DC128">
        <v>4287.7263781485071</v>
      </c>
      <c r="DD128">
        <v>486.26016700516772</v>
      </c>
    </row>
    <row r="129" spans="107:108" x14ac:dyDescent="0.3">
      <c r="DC129">
        <v>2820.6316503974258</v>
      </c>
      <c r="DD129">
        <v>316.56991964023939</v>
      </c>
    </row>
    <row r="130" spans="107:108" x14ac:dyDescent="0.3">
      <c r="DC130">
        <v>4820.2222616725549</v>
      </c>
      <c r="DD130">
        <v>623.1255034237613</v>
      </c>
    </row>
    <row r="131" spans="107:108" x14ac:dyDescent="0.3">
      <c r="DC131">
        <v>2193.4238288977081</v>
      </c>
      <c r="DD131">
        <v>1471.103642271848</v>
      </c>
    </row>
    <row r="132" spans="107:108" x14ac:dyDescent="0.3">
      <c r="DC132">
        <v>2382.9398979445341</v>
      </c>
      <c r="DD132">
        <v>871.91060596327191</v>
      </c>
    </row>
    <row r="133" spans="107:108" x14ac:dyDescent="0.3">
      <c r="DC133">
        <v>3782.8824133567869</v>
      </c>
      <c r="DD133">
        <v>1420.202265011503</v>
      </c>
    </row>
    <row r="134" spans="107:108" x14ac:dyDescent="0.3">
      <c r="DC134">
        <v>2770.7359086313959</v>
      </c>
      <c r="DD134">
        <v>769.41760071309363</v>
      </c>
    </row>
    <row r="135" spans="107:108" x14ac:dyDescent="0.3">
      <c r="DC135">
        <v>4034.5099202175652</v>
      </c>
      <c r="DD135">
        <v>480.62848274879542</v>
      </c>
    </row>
    <row r="136" spans="107:108" x14ac:dyDescent="0.3">
      <c r="DC136">
        <v>4447.3091464378576</v>
      </c>
      <c r="DD136">
        <v>1329.3637888743431</v>
      </c>
    </row>
    <row r="137" spans="107:108" x14ac:dyDescent="0.3">
      <c r="DC137">
        <v>3931.4769638822299</v>
      </c>
      <c r="DD137">
        <v>899.11822816746815</v>
      </c>
    </row>
    <row r="138" spans="107:108" x14ac:dyDescent="0.3">
      <c r="DC138">
        <v>4722.718648960963</v>
      </c>
      <c r="DD138">
        <v>478.16193812099573</v>
      </c>
    </row>
    <row r="139" spans="107:108" x14ac:dyDescent="0.3">
      <c r="DC139">
        <v>2326.1825983553299</v>
      </c>
      <c r="DD139">
        <v>1084.441098746134</v>
      </c>
    </row>
    <row r="140" spans="107:108" x14ac:dyDescent="0.3">
      <c r="DC140">
        <v>3529.9691694074158</v>
      </c>
      <c r="DD140">
        <v>1042.197856953135</v>
      </c>
    </row>
    <row r="141" spans="107:108" x14ac:dyDescent="0.3">
      <c r="DC141">
        <v>2479.2167479348659</v>
      </c>
      <c r="DD141">
        <v>302.94922999750952</v>
      </c>
    </row>
    <row r="142" spans="107:108" x14ac:dyDescent="0.3">
      <c r="DC142">
        <v>3997.3959354411859</v>
      </c>
      <c r="DD142">
        <v>631.90444681090526</v>
      </c>
    </row>
    <row r="143" spans="107:108" x14ac:dyDescent="0.3">
      <c r="DC143">
        <v>4646.6535165245023</v>
      </c>
      <c r="DD143">
        <v>337.95542829113072</v>
      </c>
    </row>
    <row r="144" spans="107:108" x14ac:dyDescent="0.3">
      <c r="DC144">
        <v>3381.4516893287878</v>
      </c>
      <c r="DD144">
        <v>841.64949983374345</v>
      </c>
    </row>
    <row r="145" spans="107:108" x14ac:dyDescent="0.3">
      <c r="DC145">
        <v>4750.1949283779759</v>
      </c>
      <c r="DD145">
        <v>613.54000904415113</v>
      </c>
    </row>
    <row r="146" spans="107:108" x14ac:dyDescent="0.3">
      <c r="DC146">
        <v>4460.0938097453654</v>
      </c>
      <c r="DD146">
        <v>1112.256411872577</v>
      </c>
    </row>
    <row r="147" spans="107:108" x14ac:dyDescent="0.3">
      <c r="DC147">
        <v>2898.101622896409</v>
      </c>
      <c r="DD147">
        <v>1485.3353842265569</v>
      </c>
    </row>
    <row r="148" spans="107:108" x14ac:dyDescent="0.3">
      <c r="DC148">
        <v>2126.0108743722071</v>
      </c>
      <c r="DD148">
        <v>796.50855284554268</v>
      </c>
    </row>
    <row r="149" spans="107:108" x14ac:dyDescent="0.3">
      <c r="DC149">
        <v>2493.3327406355402</v>
      </c>
      <c r="DD149">
        <v>973.33512700297285</v>
      </c>
    </row>
    <row r="150" spans="107:108" x14ac:dyDescent="0.3">
      <c r="DC150">
        <v>3196.2116564753892</v>
      </c>
      <c r="DD150">
        <v>801.12428992705441</v>
      </c>
    </row>
    <row r="151" spans="107:108" x14ac:dyDescent="0.3">
      <c r="DC151">
        <v>3041.8780408894718</v>
      </c>
      <c r="DD151">
        <v>1161.2752681388549</v>
      </c>
    </row>
    <row r="152" spans="107:108" x14ac:dyDescent="0.3">
      <c r="DC152">
        <v>2991.4327882586672</v>
      </c>
      <c r="DD152">
        <v>467.40073994903167</v>
      </c>
    </row>
    <row r="153" spans="107:108" x14ac:dyDescent="0.3">
      <c r="DC153">
        <v>3614.6825239701971</v>
      </c>
      <c r="DD153">
        <v>500.46140341435063</v>
      </c>
    </row>
    <row r="154" spans="107:108" x14ac:dyDescent="0.3">
      <c r="DC154">
        <v>2251.395536928917</v>
      </c>
      <c r="DD154">
        <v>1340.3058027406059</v>
      </c>
    </row>
    <row r="155" spans="107:108" x14ac:dyDescent="0.3">
      <c r="DC155">
        <v>2467.3730047074559</v>
      </c>
      <c r="DD155">
        <v>1119.3285801886609</v>
      </c>
    </row>
    <row r="156" spans="107:108" x14ac:dyDescent="0.3">
      <c r="DC156">
        <v>2669.1746503511031</v>
      </c>
      <c r="DD156">
        <v>608.51112644013438</v>
      </c>
    </row>
    <row r="157" spans="107:108" x14ac:dyDescent="0.3">
      <c r="DC157">
        <v>2372.3373250665541</v>
      </c>
      <c r="DD157">
        <v>1284.2384330569739</v>
      </c>
    </row>
    <row r="158" spans="107:108" x14ac:dyDescent="0.3">
      <c r="DC158">
        <v>3297.487010782806</v>
      </c>
      <c r="DD158">
        <v>815.77209617820529</v>
      </c>
    </row>
    <row r="159" spans="107:108" x14ac:dyDescent="0.3">
      <c r="DC159">
        <v>4057.0009606294129</v>
      </c>
      <c r="DD159">
        <v>1438.2660417190521</v>
      </c>
    </row>
    <row r="160" spans="107:108" x14ac:dyDescent="0.3">
      <c r="DC160">
        <v>4134.1857033922206</v>
      </c>
      <c r="DD160">
        <v>1399.190997438363</v>
      </c>
    </row>
    <row r="161" spans="107:108" x14ac:dyDescent="0.3">
      <c r="DC161">
        <v>4744.0477080877627</v>
      </c>
      <c r="DD161">
        <v>1310.7399075267499</v>
      </c>
    </row>
    <row r="162" spans="107:108" x14ac:dyDescent="0.3">
      <c r="DC162">
        <v>4097.8797506023502</v>
      </c>
      <c r="DD162">
        <v>599.39938385898768</v>
      </c>
    </row>
    <row r="163" spans="107:108" x14ac:dyDescent="0.3">
      <c r="DC163">
        <v>2973.4866912593739</v>
      </c>
      <c r="DD163">
        <v>745.03592289800804</v>
      </c>
    </row>
    <row r="164" spans="107:108" x14ac:dyDescent="0.3">
      <c r="DC164">
        <v>2181.8805068243878</v>
      </c>
      <c r="DD164">
        <v>1089.357485633039</v>
      </c>
    </row>
    <row r="165" spans="107:108" x14ac:dyDescent="0.3">
      <c r="DC165">
        <v>3331.0369526321811</v>
      </c>
      <c r="DD165">
        <v>594.1435862840151</v>
      </c>
    </row>
    <row r="166" spans="107:108" x14ac:dyDescent="0.3">
      <c r="DC166">
        <v>2632.9326449020059</v>
      </c>
      <c r="DD166">
        <v>340.0984549393936</v>
      </c>
    </row>
    <row r="167" spans="107:108" x14ac:dyDescent="0.3">
      <c r="DC167">
        <v>4107.3880994792844</v>
      </c>
      <c r="DD167">
        <v>1049.26403831999</v>
      </c>
    </row>
    <row r="168" spans="107:108" x14ac:dyDescent="0.3">
      <c r="DC168">
        <v>2303.1731477606122</v>
      </c>
      <c r="DD168">
        <v>902.19488853075541</v>
      </c>
    </row>
    <row r="169" spans="107:108" x14ac:dyDescent="0.3">
      <c r="DC169">
        <v>2694.1191208584132</v>
      </c>
      <c r="DD169">
        <v>957.69158256323158</v>
      </c>
    </row>
    <row r="170" spans="107:108" x14ac:dyDescent="0.3">
      <c r="DC170">
        <v>2789.3785397477268</v>
      </c>
      <c r="DD170">
        <v>526.5580681328704</v>
      </c>
    </row>
    <row r="171" spans="107:108" x14ac:dyDescent="0.3">
      <c r="DC171">
        <v>2683.0954820666002</v>
      </c>
      <c r="DD171">
        <v>308.76194064180208</v>
      </c>
    </row>
    <row r="172" spans="107:108" x14ac:dyDescent="0.3">
      <c r="DC172">
        <v>3626.1873604246471</v>
      </c>
      <c r="DD172">
        <v>540.55209269816214</v>
      </c>
    </row>
    <row r="173" spans="107:108" x14ac:dyDescent="0.3">
      <c r="DC173">
        <v>2907.3580386071021</v>
      </c>
      <c r="DD173">
        <v>1103.05835450258</v>
      </c>
    </row>
    <row r="174" spans="107:108" x14ac:dyDescent="0.3">
      <c r="DC174">
        <v>3062.8827278166168</v>
      </c>
      <c r="DD174">
        <v>1172.0821141990141</v>
      </c>
    </row>
    <row r="175" spans="107:108" x14ac:dyDescent="0.3">
      <c r="DC175">
        <v>3132.991411849378</v>
      </c>
      <c r="DD175">
        <v>1004.95873018104</v>
      </c>
    </row>
    <row r="176" spans="107:108" x14ac:dyDescent="0.3">
      <c r="DC176">
        <v>3816.2869278333819</v>
      </c>
      <c r="DD176">
        <v>968.70859193346837</v>
      </c>
    </row>
    <row r="177" spans="107:108" x14ac:dyDescent="0.3">
      <c r="DC177">
        <v>2145.67133721663</v>
      </c>
      <c r="DD177">
        <v>736.06768581246274</v>
      </c>
    </row>
    <row r="178" spans="107:108" x14ac:dyDescent="0.3">
      <c r="DC178">
        <v>2394.6215374954609</v>
      </c>
      <c r="DD178">
        <v>830.47621839296403</v>
      </c>
    </row>
    <row r="179" spans="107:108" x14ac:dyDescent="0.3">
      <c r="DC179">
        <v>4975.8937320962395</v>
      </c>
      <c r="DD179">
        <v>386.38139212852678</v>
      </c>
    </row>
    <row r="180" spans="107:108" x14ac:dyDescent="0.3">
      <c r="DC180">
        <v>3253.7226338168239</v>
      </c>
      <c r="DD180">
        <v>469.1778674819476</v>
      </c>
    </row>
    <row r="181" spans="107:108" x14ac:dyDescent="0.3">
      <c r="DC181">
        <v>3844.1616697035438</v>
      </c>
      <c r="DD181">
        <v>510.79018712914331</v>
      </c>
    </row>
    <row r="182" spans="107:108" x14ac:dyDescent="0.3">
      <c r="DC182">
        <v>3436.5153302454551</v>
      </c>
      <c r="DD182">
        <v>743.46094839347859</v>
      </c>
    </row>
    <row r="183" spans="107:108" x14ac:dyDescent="0.3">
      <c r="DC183">
        <v>2674.482313309567</v>
      </c>
      <c r="DD183">
        <v>498.75181721501241</v>
      </c>
    </row>
    <row r="184" spans="107:108" x14ac:dyDescent="0.3">
      <c r="DC184">
        <v>2459.4817680450719</v>
      </c>
      <c r="DD184">
        <v>451.86047491645638</v>
      </c>
    </row>
    <row r="185" spans="107:108" x14ac:dyDescent="0.3">
      <c r="DC185">
        <v>2507.7634878657841</v>
      </c>
      <c r="DD185">
        <v>787.44679610310823</v>
      </c>
    </row>
    <row r="186" spans="107:108" x14ac:dyDescent="0.3">
      <c r="DC186">
        <v>3622.1218135104641</v>
      </c>
      <c r="DD186">
        <v>827.11127531487443</v>
      </c>
    </row>
    <row r="187" spans="107:108" x14ac:dyDescent="0.3">
      <c r="DC187">
        <v>3345.7527629838451</v>
      </c>
      <c r="DD187">
        <v>1408.8412684195271</v>
      </c>
    </row>
    <row r="188" spans="107:108" x14ac:dyDescent="0.3">
      <c r="DC188">
        <v>3460.363839446954</v>
      </c>
      <c r="DD188">
        <v>1251.20882915582</v>
      </c>
    </row>
    <row r="189" spans="107:108" x14ac:dyDescent="0.3">
      <c r="DC189">
        <v>2559.785520070714</v>
      </c>
      <c r="DD189">
        <v>512.45749891888499</v>
      </c>
    </row>
    <row r="190" spans="107:108" x14ac:dyDescent="0.3">
      <c r="DC190">
        <v>3146.6915822939359</v>
      </c>
      <c r="DD190">
        <v>994.83343637337964</v>
      </c>
    </row>
    <row r="191" spans="107:108" x14ac:dyDescent="0.3">
      <c r="DC191">
        <v>3577.6494919732422</v>
      </c>
      <c r="DD191">
        <v>1200.8676998024521</v>
      </c>
    </row>
    <row r="192" spans="107:108" x14ac:dyDescent="0.3">
      <c r="DC192">
        <v>4202.0029205155051</v>
      </c>
      <c r="DD192">
        <v>894.32595495804526</v>
      </c>
    </row>
    <row r="193" spans="107:108" x14ac:dyDescent="0.3">
      <c r="DC193">
        <v>2399.0203936828798</v>
      </c>
      <c r="DD193">
        <v>575.65152525243207</v>
      </c>
    </row>
    <row r="194" spans="107:108" x14ac:dyDescent="0.3">
      <c r="DC194">
        <v>4597.9451590572589</v>
      </c>
      <c r="DD194">
        <v>1027.942471087398</v>
      </c>
    </row>
    <row r="195" spans="107:108" x14ac:dyDescent="0.3">
      <c r="DC195">
        <v>4236.2637219721682</v>
      </c>
      <c r="DD195">
        <v>754.99714544963854</v>
      </c>
    </row>
    <row r="196" spans="107:108" x14ac:dyDescent="0.3">
      <c r="DC196">
        <v>2654.7846173003281</v>
      </c>
      <c r="DD196">
        <v>328.00459858047401</v>
      </c>
    </row>
    <row r="197" spans="107:108" x14ac:dyDescent="0.3">
      <c r="DC197">
        <v>2171.6036634343031</v>
      </c>
      <c r="DD197">
        <v>820.08193500838001</v>
      </c>
    </row>
    <row r="198" spans="107:108" x14ac:dyDescent="0.3">
      <c r="DC198">
        <v>4703.4062642109129</v>
      </c>
      <c r="DD198">
        <v>1181.9359841452101</v>
      </c>
    </row>
    <row r="199" spans="107:108" x14ac:dyDescent="0.3">
      <c r="DC199">
        <v>3039.9698345230449</v>
      </c>
      <c r="DD199">
        <v>1459.893668561017</v>
      </c>
    </row>
    <row r="200" spans="107:108" x14ac:dyDescent="0.3">
      <c r="DC200">
        <v>2271.3261105207771</v>
      </c>
      <c r="DD200">
        <v>1444.1201009951351</v>
      </c>
    </row>
    <row r="201" spans="107:108" x14ac:dyDescent="0.3">
      <c r="DC201">
        <v>4863.5544448817755</v>
      </c>
      <c r="DD201">
        <v>1386.5014194316329</v>
      </c>
    </row>
    <row r="202" spans="107:108" x14ac:dyDescent="0.3">
      <c r="DC202">
        <v>4366.2645945010754</v>
      </c>
      <c r="DD202">
        <v>867.10217362629533</v>
      </c>
    </row>
    <row r="203" spans="107:108" x14ac:dyDescent="0.3">
      <c r="DC203">
        <v>2105.9151852874488</v>
      </c>
      <c r="DD203">
        <v>984.64872997643101</v>
      </c>
    </row>
    <row r="204" spans="107:108" x14ac:dyDescent="0.3">
      <c r="DC204">
        <v>3058.127230014456</v>
      </c>
      <c r="DD204">
        <v>532.98430683877609</v>
      </c>
    </row>
    <row r="205" spans="107:108" x14ac:dyDescent="0.3">
      <c r="DC205">
        <v>3762.2850958509948</v>
      </c>
      <c r="DD205">
        <v>1023.255776400223</v>
      </c>
    </row>
    <row r="206" spans="107:108" x14ac:dyDescent="0.3">
      <c r="DC206">
        <v>4717.3647698276627</v>
      </c>
      <c r="DD206">
        <v>1335.5491559638799</v>
      </c>
    </row>
    <row r="207" spans="107:108" x14ac:dyDescent="0.3">
      <c r="DC207">
        <v>3873.5438933166611</v>
      </c>
      <c r="DD207">
        <v>911.75194407294634</v>
      </c>
    </row>
    <row r="208" spans="107:108" x14ac:dyDescent="0.3">
      <c r="DC208">
        <v>3971.8886772471969</v>
      </c>
      <c r="DD208">
        <v>420.19107100649109</v>
      </c>
    </row>
    <row r="209" spans="107:108" x14ac:dyDescent="0.3">
      <c r="DC209">
        <v>3614.3386809128278</v>
      </c>
      <c r="DD209">
        <v>1138.9439763450359</v>
      </c>
    </row>
    <row r="210" spans="107:108" x14ac:dyDescent="0.3">
      <c r="DC210">
        <v>2026.7627517197891</v>
      </c>
      <c r="DD210">
        <v>1301.092690119161</v>
      </c>
    </row>
    <row r="211" spans="107:108" x14ac:dyDescent="0.3">
      <c r="DC211">
        <v>3741.5573585584239</v>
      </c>
      <c r="DD211">
        <v>1015.9924472955061</v>
      </c>
    </row>
    <row r="212" spans="107:108" x14ac:dyDescent="0.3">
      <c r="DC212">
        <v>3525.8791397219461</v>
      </c>
      <c r="DD212">
        <v>799.31486239923765</v>
      </c>
    </row>
    <row r="213" spans="107:108" x14ac:dyDescent="0.3">
      <c r="DC213">
        <v>2828.6087405433559</v>
      </c>
      <c r="DD213">
        <v>625.48144048993618</v>
      </c>
    </row>
    <row r="214" spans="107:108" x14ac:dyDescent="0.3">
      <c r="DC214">
        <v>4206.4269448387859</v>
      </c>
      <c r="DD214">
        <v>970.62874952287541</v>
      </c>
    </row>
    <row r="215" spans="107:108" x14ac:dyDescent="0.3">
      <c r="DC215">
        <v>4269.977630883368</v>
      </c>
      <c r="DD215">
        <v>905.09328195009596</v>
      </c>
    </row>
    <row r="216" spans="107:108" x14ac:dyDescent="0.3">
      <c r="DC216">
        <v>4169.5340174751818</v>
      </c>
      <c r="DD216">
        <v>1321.240701376639</v>
      </c>
    </row>
    <row r="217" spans="107:108" x14ac:dyDescent="0.3">
      <c r="DC217">
        <v>2530.9916492860689</v>
      </c>
      <c r="DD217">
        <v>997.26313839175043</v>
      </c>
    </row>
    <row r="218" spans="107:108" x14ac:dyDescent="0.3">
      <c r="DC218">
        <v>4454.7856126837569</v>
      </c>
      <c r="DD218">
        <v>632.74888493453545</v>
      </c>
    </row>
    <row r="219" spans="107:108" x14ac:dyDescent="0.3">
      <c r="DC219">
        <v>4752.592547607569</v>
      </c>
      <c r="DD219">
        <v>658.54513093283606</v>
      </c>
    </row>
    <row r="220" spans="107:108" x14ac:dyDescent="0.3">
      <c r="DC220">
        <v>2222.4226206861749</v>
      </c>
      <c r="DD220">
        <v>668.82891753323088</v>
      </c>
    </row>
    <row r="221" spans="107:108" x14ac:dyDescent="0.3">
      <c r="DC221">
        <v>4384.9317578869759</v>
      </c>
      <c r="DD221">
        <v>1058.2553474703741</v>
      </c>
    </row>
    <row r="222" spans="107:108" x14ac:dyDescent="0.3">
      <c r="DC222">
        <v>2329.3737216892282</v>
      </c>
      <c r="DD222">
        <v>1188.461165331636</v>
      </c>
    </row>
    <row r="223" spans="107:108" x14ac:dyDescent="0.3">
      <c r="DC223">
        <v>3738.6963398577218</v>
      </c>
      <c r="DD223">
        <v>536.15959117261582</v>
      </c>
    </row>
    <row r="224" spans="107:108" x14ac:dyDescent="0.3">
      <c r="DC224">
        <v>3176.0833282751719</v>
      </c>
      <c r="DD224">
        <v>540.40281323403997</v>
      </c>
    </row>
    <row r="225" spans="107:108" x14ac:dyDescent="0.3">
      <c r="DC225">
        <v>3654.2991540117559</v>
      </c>
      <c r="DD225">
        <v>505.836818781852</v>
      </c>
    </row>
    <row r="226" spans="107:108" x14ac:dyDescent="0.3">
      <c r="DC226">
        <v>2044.2419440197079</v>
      </c>
      <c r="DD226">
        <v>1038.3428151751759</v>
      </c>
    </row>
    <row r="227" spans="107:108" x14ac:dyDescent="0.3">
      <c r="DC227">
        <v>4801.6441535930098</v>
      </c>
      <c r="DD227">
        <v>1130.3791760319129</v>
      </c>
    </row>
    <row r="228" spans="107:108" x14ac:dyDescent="0.3">
      <c r="DC228">
        <v>2632.4492773276461</v>
      </c>
      <c r="DD228">
        <v>1082.7528064791429</v>
      </c>
    </row>
    <row r="229" spans="107:108" x14ac:dyDescent="0.3">
      <c r="DC229">
        <v>3600.0154292759512</v>
      </c>
      <c r="DD229">
        <v>321.19623247250729</v>
      </c>
    </row>
    <row r="230" spans="107:108" x14ac:dyDescent="0.3">
      <c r="DC230">
        <v>3991.388142762185</v>
      </c>
      <c r="DD230">
        <v>576.22173662295086</v>
      </c>
    </row>
    <row r="231" spans="107:108" x14ac:dyDescent="0.3">
      <c r="DC231">
        <v>3819.2668134316768</v>
      </c>
      <c r="DD231">
        <v>711.23370881009214</v>
      </c>
    </row>
    <row r="232" spans="107:108" x14ac:dyDescent="0.3">
      <c r="DC232">
        <v>2753.0406476009839</v>
      </c>
      <c r="DD232">
        <v>742.44383258630216</v>
      </c>
    </row>
    <row r="233" spans="107:108" x14ac:dyDescent="0.3">
      <c r="DC233">
        <v>3139.5176862799522</v>
      </c>
      <c r="DD233">
        <v>964.89582692552403</v>
      </c>
    </row>
    <row r="234" spans="107:108" x14ac:dyDescent="0.3">
      <c r="DC234">
        <v>4409.1172533702629</v>
      </c>
      <c r="DD234">
        <v>1171.4294401515101</v>
      </c>
    </row>
    <row r="235" spans="107:108" x14ac:dyDescent="0.3">
      <c r="DC235">
        <v>2240.751279883435</v>
      </c>
      <c r="DD235">
        <v>1477.9669025281239</v>
      </c>
    </row>
    <row r="236" spans="107:108" x14ac:dyDescent="0.3">
      <c r="DC236">
        <v>4113.9467075226967</v>
      </c>
      <c r="DD236">
        <v>622.60818471278344</v>
      </c>
    </row>
    <row r="237" spans="107:108" x14ac:dyDescent="0.3">
      <c r="DC237">
        <v>2891.278952726228</v>
      </c>
      <c r="DD237">
        <v>913.581366835484</v>
      </c>
    </row>
    <row r="238" spans="107:108" x14ac:dyDescent="0.3">
      <c r="DC238">
        <v>2095.385835313507</v>
      </c>
      <c r="DD238">
        <v>756.85091463292724</v>
      </c>
    </row>
    <row r="239" spans="107:108" x14ac:dyDescent="0.3">
      <c r="DC239">
        <v>3290.1780006679378</v>
      </c>
      <c r="DD239">
        <v>475.7328549409533</v>
      </c>
    </row>
    <row r="240" spans="107:108" x14ac:dyDescent="0.3">
      <c r="DC240">
        <v>2580.8658736783491</v>
      </c>
      <c r="DD240">
        <v>779.70906277378231</v>
      </c>
    </row>
    <row r="241" spans="107:108" x14ac:dyDescent="0.3">
      <c r="DC241">
        <v>4527.0307020367136</v>
      </c>
      <c r="DD241">
        <v>1072.2610352197919</v>
      </c>
    </row>
    <row r="242" spans="107:108" x14ac:dyDescent="0.3">
      <c r="DC242">
        <v>3798.2657363311541</v>
      </c>
      <c r="DD242">
        <v>484.30095586927217</v>
      </c>
    </row>
    <row r="243" spans="107:108" x14ac:dyDescent="0.3">
      <c r="DC243">
        <v>4870.9488600302229</v>
      </c>
      <c r="DD243">
        <v>1097.6457094238469</v>
      </c>
    </row>
    <row r="244" spans="107:108" x14ac:dyDescent="0.3">
      <c r="DC244">
        <v>3024.0721919774542</v>
      </c>
      <c r="DD244">
        <v>456.9459612600096</v>
      </c>
    </row>
    <row r="245" spans="107:108" x14ac:dyDescent="0.3">
      <c r="DC245">
        <v>4561.3068555756727</v>
      </c>
      <c r="DD245">
        <v>316.03367410039488</v>
      </c>
    </row>
    <row r="246" spans="107:108" x14ac:dyDescent="0.3">
      <c r="DC246">
        <v>3353.0229282620662</v>
      </c>
      <c r="DD246">
        <v>1497.185787006144</v>
      </c>
    </row>
    <row r="247" spans="107:108" x14ac:dyDescent="0.3">
      <c r="DC247">
        <v>3365.2356975293242</v>
      </c>
      <c r="DD247">
        <v>427.55238855600192</v>
      </c>
    </row>
    <row r="248" spans="107:108" x14ac:dyDescent="0.3">
      <c r="DC248">
        <v>3916.9911055488178</v>
      </c>
      <c r="DD248">
        <v>1121.2688664833081</v>
      </c>
    </row>
    <row r="249" spans="107:108" x14ac:dyDescent="0.3">
      <c r="DC249">
        <v>3096.5167014227118</v>
      </c>
      <c r="DD249">
        <v>836.05831694657627</v>
      </c>
    </row>
    <row r="250" spans="107:108" x14ac:dyDescent="0.3">
      <c r="DC250">
        <v>2208.7617433056521</v>
      </c>
      <c r="DD250">
        <v>1291.3361311195069</v>
      </c>
    </row>
    <row r="251" spans="107:108" x14ac:dyDescent="0.3">
      <c r="DC251">
        <v>2009.9450225683679</v>
      </c>
      <c r="DD251">
        <v>1355.1835949536519</v>
      </c>
    </row>
    <row r="252" spans="107:108" x14ac:dyDescent="0.3">
      <c r="DC252">
        <v>2729.1353869547138</v>
      </c>
      <c r="DD252">
        <v>1265.4748958349419</v>
      </c>
    </row>
    <row r="253" spans="107:108" x14ac:dyDescent="0.3">
      <c r="DC253">
        <v>3156.2584628888731</v>
      </c>
      <c r="DD253">
        <v>707.90931813205134</v>
      </c>
    </row>
    <row r="254" spans="107:108" x14ac:dyDescent="0.3">
      <c r="DC254">
        <v>3427.8679644679351</v>
      </c>
      <c r="DD254">
        <v>590.03860154080292</v>
      </c>
    </row>
    <row r="255" spans="107:108" x14ac:dyDescent="0.3">
      <c r="DC255">
        <v>3217.0920698307818</v>
      </c>
      <c r="DD255">
        <v>1484.6243814641221</v>
      </c>
    </row>
    <row r="256" spans="107:108" x14ac:dyDescent="0.3">
      <c r="DC256">
        <v>4496.2536475938896</v>
      </c>
      <c r="DD256">
        <v>617.50002578166254</v>
      </c>
    </row>
    <row r="257" spans="107:108" x14ac:dyDescent="0.3">
      <c r="DC257">
        <v>4309.7793039101853</v>
      </c>
      <c r="DD257">
        <v>847.13068235478227</v>
      </c>
    </row>
    <row r="258" spans="107:108" x14ac:dyDescent="0.3">
      <c r="DC258">
        <v>2335.0753592331339</v>
      </c>
      <c r="DD258">
        <v>446.0033245334352</v>
      </c>
    </row>
    <row r="259" spans="107:108" x14ac:dyDescent="0.3">
      <c r="DC259">
        <v>2467.4838138183909</v>
      </c>
      <c r="DD259">
        <v>598.02451446693021</v>
      </c>
    </row>
    <row r="260" spans="107:108" x14ac:dyDescent="0.3">
      <c r="DC260">
        <v>2144.4218136633758</v>
      </c>
      <c r="DD260">
        <v>1168.6771968935841</v>
      </c>
    </row>
    <row r="261" spans="107:108" x14ac:dyDescent="0.3">
      <c r="DC261">
        <v>2074.152719983641</v>
      </c>
      <c r="DD261">
        <v>796.50212897008078</v>
      </c>
    </row>
    <row r="262" spans="107:108" x14ac:dyDescent="0.3">
      <c r="DC262">
        <v>4546.8963063093861</v>
      </c>
      <c r="DD262">
        <v>1101.886053225254</v>
      </c>
    </row>
    <row r="263" spans="107:108" x14ac:dyDescent="0.3">
      <c r="DC263">
        <v>4880.5118739549735</v>
      </c>
      <c r="DD263">
        <v>931.21055785901979</v>
      </c>
    </row>
    <row r="264" spans="107:108" x14ac:dyDescent="0.3">
      <c r="DC264">
        <v>3324.6313538754512</v>
      </c>
      <c r="DD264">
        <v>462.32781348839421</v>
      </c>
    </row>
    <row r="265" spans="107:108" x14ac:dyDescent="0.3">
      <c r="DC265">
        <v>2794.216855374882</v>
      </c>
      <c r="DD265">
        <v>1392.707347050828</v>
      </c>
    </row>
    <row r="266" spans="107:108" x14ac:dyDescent="0.3">
      <c r="DC266">
        <v>3271.965612358676</v>
      </c>
      <c r="DD266">
        <v>696.77542875741051</v>
      </c>
    </row>
    <row r="267" spans="107:108" x14ac:dyDescent="0.3">
      <c r="DC267">
        <v>3849.2694624235978</v>
      </c>
      <c r="DD267">
        <v>1378.2294780991019</v>
      </c>
    </row>
    <row r="268" spans="107:108" x14ac:dyDescent="0.3">
      <c r="DC268">
        <v>2291.8853120773801</v>
      </c>
      <c r="DD268">
        <v>603.39095639371396</v>
      </c>
    </row>
    <row r="269" spans="107:108" x14ac:dyDescent="0.3">
      <c r="DC269">
        <v>3008.3968738697099</v>
      </c>
      <c r="DD269">
        <v>584.58976948871555</v>
      </c>
    </row>
    <row r="270" spans="107:108" x14ac:dyDescent="0.3">
      <c r="DC270">
        <v>3114.7963816152478</v>
      </c>
      <c r="DD270">
        <v>720.74620366693352</v>
      </c>
    </row>
    <row r="271" spans="107:108" x14ac:dyDescent="0.3">
      <c r="DC271">
        <v>3497.9121428335402</v>
      </c>
      <c r="DD271">
        <v>719.41146523408065</v>
      </c>
    </row>
    <row r="272" spans="107:108" x14ac:dyDescent="0.3">
      <c r="DC272">
        <v>2796.923069702998</v>
      </c>
      <c r="DD272">
        <v>1430.5547156754119</v>
      </c>
    </row>
    <row r="273" spans="107:108" x14ac:dyDescent="0.3">
      <c r="DC273">
        <v>3316.4638939990919</v>
      </c>
      <c r="DD273">
        <v>609.91679894622234</v>
      </c>
    </row>
    <row r="274" spans="107:108" x14ac:dyDescent="0.3">
      <c r="DC274">
        <v>4232.3146083145093</v>
      </c>
      <c r="DD274">
        <v>726.46769530342635</v>
      </c>
    </row>
    <row r="275" spans="107:108" x14ac:dyDescent="0.3">
      <c r="DC275">
        <v>2189.372121129089</v>
      </c>
      <c r="DD275">
        <v>957.06160811266204</v>
      </c>
    </row>
    <row r="276" spans="107:108" x14ac:dyDescent="0.3">
      <c r="DC276">
        <v>2909.8359720359081</v>
      </c>
      <c r="DD276">
        <v>1288.8254495376279</v>
      </c>
    </row>
    <row r="277" spans="107:108" x14ac:dyDescent="0.3">
      <c r="DC277">
        <v>2624.9808349607952</v>
      </c>
      <c r="DD277">
        <v>1344.9389442916331</v>
      </c>
    </row>
    <row r="278" spans="107:108" x14ac:dyDescent="0.3">
      <c r="DC278">
        <v>4005.0130795702589</v>
      </c>
      <c r="DD278">
        <v>1312.976037108916</v>
      </c>
    </row>
    <row r="279" spans="107:108" x14ac:dyDescent="0.3">
      <c r="DC279">
        <v>4011.1948933267809</v>
      </c>
      <c r="DD279">
        <v>392.40097664156929</v>
      </c>
    </row>
    <row r="280" spans="107:108" x14ac:dyDescent="0.3">
      <c r="DC280">
        <v>4960.171892946295</v>
      </c>
      <c r="DD280">
        <v>1124.420413302747</v>
      </c>
    </row>
    <row r="281" spans="107:108" x14ac:dyDescent="0.3">
      <c r="DC281">
        <v>3635.7903717331678</v>
      </c>
      <c r="DD281">
        <v>973.71170796292085</v>
      </c>
    </row>
    <row r="282" spans="107:108" x14ac:dyDescent="0.3">
      <c r="DC282">
        <v>3900.724847004843</v>
      </c>
      <c r="DD282">
        <v>552.27812540830928</v>
      </c>
    </row>
    <row r="283" spans="107:108" x14ac:dyDescent="0.3">
      <c r="DC283">
        <v>4840.2231042553794</v>
      </c>
      <c r="DD283">
        <v>692.77457708626184</v>
      </c>
    </row>
    <row r="284" spans="107:108" x14ac:dyDescent="0.3">
      <c r="DC284">
        <v>4691.4627483280929</v>
      </c>
      <c r="DD284">
        <v>645.22157818689175</v>
      </c>
    </row>
    <row r="285" spans="107:108" x14ac:dyDescent="0.3">
      <c r="DC285">
        <v>4771.5080272120304</v>
      </c>
      <c r="DD285">
        <v>648.45712322620807</v>
      </c>
    </row>
    <row r="286" spans="107:108" x14ac:dyDescent="0.3">
      <c r="DC286">
        <v>2977.4879282495972</v>
      </c>
      <c r="DD286">
        <v>665.1747174796385</v>
      </c>
    </row>
    <row r="287" spans="107:108" x14ac:dyDescent="0.3">
      <c r="DC287">
        <v>2384.0500626484618</v>
      </c>
      <c r="DD287">
        <v>674.2491416886387</v>
      </c>
    </row>
    <row r="288" spans="107:108" x14ac:dyDescent="0.3">
      <c r="DC288">
        <v>2258.175386945265</v>
      </c>
      <c r="DD288">
        <v>857.33095370029355</v>
      </c>
    </row>
    <row r="289" spans="107:108" x14ac:dyDescent="0.3">
      <c r="DC289">
        <v>2964.4761894108842</v>
      </c>
      <c r="DD289">
        <v>1063.3350922728739</v>
      </c>
    </row>
    <row r="290" spans="107:108" x14ac:dyDescent="0.3">
      <c r="DC290">
        <v>4085.7081592492391</v>
      </c>
      <c r="DD290">
        <v>783.78807287014092</v>
      </c>
    </row>
    <row r="291" spans="107:108" x14ac:dyDescent="0.3">
      <c r="DC291">
        <v>3399.199210539763</v>
      </c>
      <c r="DD291">
        <v>375.77747588491928</v>
      </c>
    </row>
    <row r="292" spans="107:108" x14ac:dyDescent="0.3">
      <c r="DC292">
        <v>4519.5529706827838</v>
      </c>
      <c r="DD292">
        <v>488.11572473594981</v>
      </c>
    </row>
    <row r="293" spans="107:108" x14ac:dyDescent="0.3">
      <c r="DC293">
        <v>4145.8876742950724</v>
      </c>
      <c r="DD293">
        <v>1240.754443539701</v>
      </c>
    </row>
    <row r="294" spans="107:108" x14ac:dyDescent="0.3">
      <c r="DC294">
        <v>3938.333618433051</v>
      </c>
      <c r="DD294">
        <v>1233.3481731655511</v>
      </c>
    </row>
    <row r="295" spans="107:108" x14ac:dyDescent="0.3">
      <c r="DC295">
        <v>4977.0441065072373</v>
      </c>
      <c r="DD295">
        <v>887.93968167136313</v>
      </c>
    </row>
    <row r="296" spans="107:108" x14ac:dyDescent="0.3">
      <c r="DC296">
        <v>4663.4079501279521</v>
      </c>
      <c r="DD296">
        <v>841.0457733940583</v>
      </c>
    </row>
    <row r="297" spans="107:108" x14ac:dyDescent="0.3">
      <c r="DC297">
        <v>3079.970124219652</v>
      </c>
      <c r="DD297">
        <v>569.76404112574767</v>
      </c>
    </row>
    <row r="298" spans="107:108" x14ac:dyDescent="0.3">
      <c r="DC298">
        <v>2587.2804913964801</v>
      </c>
      <c r="DD298">
        <v>1013.86509483878</v>
      </c>
    </row>
    <row r="299" spans="107:108" x14ac:dyDescent="0.3">
      <c r="DC299">
        <v>4421.4745824465554</v>
      </c>
      <c r="DD299">
        <v>436.21329595773551</v>
      </c>
    </row>
    <row r="300" spans="107:108" x14ac:dyDescent="0.3">
      <c r="DC300">
        <v>2855.587170748473</v>
      </c>
      <c r="DD300">
        <v>767.04317894877761</v>
      </c>
    </row>
    <row r="301" spans="107:108" x14ac:dyDescent="0.3">
      <c r="DC301">
        <v>3241.5306940836108</v>
      </c>
      <c r="DD301">
        <v>1213.870757203076</v>
      </c>
    </row>
    <row r="302" spans="107:108" x14ac:dyDescent="0.3">
      <c r="DC302">
        <v>4043.992285696097</v>
      </c>
      <c r="DD302">
        <v>828.3142548484592</v>
      </c>
    </row>
    <row r="303" spans="107:108" x14ac:dyDescent="0.3">
      <c r="DC303">
        <v>3093.8938294653271</v>
      </c>
      <c r="DD303">
        <v>352.46538038875087</v>
      </c>
    </row>
    <row r="304" spans="107:108" x14ac:dyDescent="0.3">
      <c r="DC304">
        <v>2230.116054462213</v>
      </c>
      <c r="DD304">
        <v>890.64743267284507</v>
      </c>
    </row>
    <row r="305" spans="107:108" x14ac:dyDescent="0.3">
      <c r="DC305">
        <v>2300.8535252729412</v>
      </c>
      <c r="DD305">
        <v>734.33460914835246</v>
      </c>
    </row>
    <row r="306" spans="107:108" x14ac:dyDescent="0.3">
      <c r="DC306">
        <v>2365.348117495867</v>
      </c>
      <c r="DD306">
        <v>419.45825195615021</v>
      </c>
    </row>
    <row r="307" spans="107:108" x14ac:dyDescent="0.3">
      <c r="DC307">
        <v>2871.547892208388</v>
      </c>
      <c r="DD307">
        <v>518.89779731228361</v>
      </c>
    </row>
    <row r="308" spans="107:108" x14ac:dyDescent="0.3">
      <c r="DC308">
        <v>4897.460721034211</v>
      </c>
      <c r="DD308">
        <v>496.7649004882162</v>
      </c>
    </row>
    <row r="309" spans="107:108" x14ac:dyDescent="0.3">
      <c r="DC309">
        <v>2120.168989719818</v>
      </c>
      <c r="DD309">
        <v>745.63761687732017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A777"/>
  <sheetViews>
    <sheetView workbookViewId="0"/>
  </sheetViews>
  <sheetFormatPr baseColWidth="10" defaultColWidth="8.88671875" defaultRowHeight="14.4" x14ac:dyDescent="0.3"/>
  <cols>
    <col min="1" max="1" width="120" customWidth="1"/>
  </cols>
  <sheetData>
    <row r="1" spans="1:1" ht="17.399999999999999" x14ac:dyDescent="0.35">
      <c r="A1" s="1" t="s">
        <v>7375</v>
      </c>
    </row>
    <row r="23" spans="1:1" x14ac:dyDescent="0.3">
      <c r="A23" s="28" t="s">
        <v>1701</v>
      </c>
    </row>
    <row r="24" spans="1:1" x14ac:dyDescent="0.3">
      <c r="A24" s="28" t="s">
        <v>1702</v>
      </c>
    </row>
    <row r="25" spans="1:1" x14ac:dyDescent="0.3">
      <c r="A25" s="28" t="s">
        <v>1703</v>
      </c>
    </row>
    <row r="26" spans="1:1" x14ac:dyDescent="0.3">
      <c r="A26" s="28" t="s">
        <v>1704</v>
      </c>
    </row>
    <row r="27" spans="1:1" x14ac:dyDescent="0.3">
      <c r="A27" s="28" t="s">
        <v>1705</v>
      </c>
    </row>
    <row r="69" spans="1:1" x14ac:dyDescent="0.3">
      <c r="A69" s="28" t="s">
        <v>7376</v>
      </c>
    </row>
    <row r="70" spans="1:1" x14ac:dyDescent="0.3">
      <c r="A70" s="28" t="s">
        <v>7377</v>
      </c>
    </row>
    <row r="71" spans="1:1" x14ac:dyDescent="0.3">
      <c r="A71" s="28" t="s">
        <v>7378</v>
      </c>
    </row>
    <row r="72" spans="1:1" x14ac:dyDescent="0.3">
      <c r="A72" s="28" t="s">
        <v>7379</v>
      </c>
    </row>
    <row r="73" spans="1:1" x14ac:dyDescent="0.3">
      <c r="A73" s="28" t="s">
        <v>7380</v>
      </c>
    </row>
    <row r="74" spans="1:1" x14ac:dyDescent="0.3">
      <c r="A74" s="28" t="s">
        <v>7381</v>
      </c>
    </row>
    <row r="90" spans="1:1" x14ac:dyDescent="0.3">
      <c r="A90" s="28" t="s">
        <v>1725</v>
      </c>
    </row>
    <row r="91" spans="1:1" x14ac:dyDescent="0.3">
      <c r="A91" s="28" t="s">
        <v>1726</v>
      </c>
    </row>
    <row r="92" spans="1:1" x14ac:dyDescent="0.3">
      <c r="A92" s="28" t="s">
        <v>959</v>
      </c>
    </row>
    <row r="93" spans="1:1" x14ac:dyDescent="0.3">
      <c r="A93" s="28" t="s">
        <v>960</v>
      </c>
    </row>
    <row r="94" spans="1:1" x14ac:dyDescent="0.3">
      <c r="A94" s="28" t="s">
        <v>1727</v>
      </c>
    </row>
    <row r="95" spans="1:1" x14ac:dyDescent="0.3">
      <c r="A95" s="28" t="s">
        <v>1728</v>
      </c>
    </row>
    <row r="117" spans="1:1" x14ac:dyDescent="0.3">
      <c r="A117" s="28" t="s">
        <v>1730</v>
      </c>
    </row>
    <row r="118" spans="1:1" x14ac:dyDescent="0.3">
      <c r="A118" s="28" t="s">
        <v>1731</v>
      </c>
    </row>
    <row r="119" spans="1:1" x14ac:dyDescent="0.3">
      <c r="A119" s="28" t="s">
        <v>962</v>
      </c>
    </row>
    <row r="120" spans="1:1" x14ac:dyDescent="0.3">
      <c r="A120" s="28" t="s">
        <v>963</v>
      </c>
    </row>
    <row r="121" spans="1:1" x14ac:dyDescent="0.3">
      <c r="A121" s="28" t="s">
        <v>1732</v>
      </c>
    </row>
    <row r="122" spans="1:1" x14ac:dyDescent="0.3">
      <c r="A122" s="28" t="s">
        <v>1733</v>
      </c>
    </row>
    <row r="144" spans="1:1" x14ac:dyDescent="0.3">
      <c r="A144" s="28" t="s">
        <v>1735</v>
      </c>
    </row>
    <row r="145" spans="1:1" x14ac:dyDescent="0.3">
      <c r="A145" s="28" t="s">
        <v>1736</v>
      </c>
    </row>
    <row r="146" spans="1:1" x14ac:dyDescent="0.3">
      <c r="A146" s="28" t="s">
        <v>924</v>
      </c>
    </row>
    <row r="147" spans="1:1" x14ac:dyDescent="0.3">
      <c r="A147" s="28" t="s">
        <v>965</v>
      </c>
    </row>
    <row r="148" spans="1:1" x14ac:dyDescent="0.3">
      <c r="A148" s="28" t="s">
        <v>1737</v>
      </c>
    </row>
    <row r="149" spans="1:1" x14ac:dyDescent="0.3">
      <c r="A149" s="28" t="s">
        <v>1738</v>
      </c>
    </row>
    <row r="170" spans="1:1" x14ac:dyDescent="0.3">
      <c r="A170" s="28" t="s">
        <v>1740</v>
      </c>
    </row>
    <row r="171" spans="1:1" x14ac:dyDescent="0.3">
      <c r="A171" s="28" t="s">
        <v>1741</v>
      </c>
    </row>
    <row r="172" spans="1:1" x14ac:dyDescent="0.3">
      <c r="A172" s="28" t="s">
        <v>967</v>
      </c>
    </row>
    <row r="173" spans="1:1" x14ac:dyDescent="0.3">
      <c r="A173" s="28" t="s">
        <v>968</v>
      </c>
    </row>
    <row r="174" spans="1:1" x14ac:dyDescent="0.3">
      <c r="A174" s="28" t="s">
        <v>1742</v>
      </c>
    </row>
    <row r="175" spans="1:1" x14ac:dyDescent="0.3">
      <c r="A175" s="28" t="s">
        <v>1743</v>
      </c>
    </row>
    <row r="188" spans="1:1" x14ac:dyDescent="0.3">
      <c r="A188" s="28" t="s">
        <v>1746</v>
      </c>
    </row>
    <row r="189" spans="1:1" x14ac:dyDescent="0.3">
      <c r="A189" s="28" t="s">
        <v>1747</v>
      </c>
    </row>
    <row r="190" spans="1:1" x14ac:dyDescent="0.3">
      <c r="A190" s="28" t="s">
        <v>1748</v>
      </c>
    </row>
    <row r="191" spans="1:1" x14ac:dyDescent="0.3">
      <c r="A191" s="28" t="s">
        <v>1749</v>
      </c>
    </row>
    <row r="192" spans="1:1" x14ac:dyDescent="0.3">
      <c r="A192" s="28" t="s">
        <v>1750</v>
      </c>
    </row>
    <row r="193" spans="1:1" x14ac:dyDescent="0.3">
      <c r="A193" s="28" t="s">
        <v>1751</v>
      </c>
    </row>
    <row r="194" spans="1:1" x14ac:dyDescent="0.3">
      <c r="A194" s="28" t="s">
        <v>1752</v>
      </c>
    </row>
    <row r="195" spans="1:1" x14ac:dyDescent="0.3">
      <c r="A195" s="28" t="s">
        <v>1753</v>
      </c>
    </row>
    <row r="214" spans="1:1" x14ac:dyDescent="0.3">
      <c r="A214" s="28" t="s">
        <v>1709</v>
      </c>
    </row>
    <row r="215" spans="1:1" x14ac:dyDescent="0.3">
      <c r="A215" s="28" t="s">
        <v>1710</v>
      </c>
    </row>
    <row r="216" spans="1:1" x14ac:dyDescent="0.3">
      <c r="A216" s="28" t="s">
        <v>888</v>
      </c>
    </row>
    <row r="217" spans="1:1" x14ac:dyDescent="0.3">
      <c r="A217" s="28" t="s">
        <v>889</v>
      </c>
    </row>
    <row r="218" spans="1:1" x14ac:dyDescent="0.3">
      <c r="A218" s="28" t="s">
        <v>1711</v>
      </c>
    </row>
    <row r="219" spans="1:1" x14ac:dyDescent="0.3">
      <c r="A219" s="28" t="s">
        <v>1712</v>
      </c>
    </row>
    <row r="241" spans="1:1" x14ac:dyDescent="0.3">
      <c r="A241" s="28" t="s">
        <v>1714</v>
      </c>
    </row>
    <row r="242" spans="1:1" x14ac:dyDescent="0.3">
      <c r="A242" s="28" t="s">
        <v>1715</v>
      </c>
    </row>
    <row r="243" spans="1:1" x14ac:dyDescent="0.3">
      <c r="A243" s="28" t="s">
        <v>924</v>
      </c>
    </row>
    <row r="244" spans="1:1" x14ac:dyDescent="0.3">
      <c r="A244" s="28" t="s">
        <v>925</v>
      </c>
    </row>
    <row r="245" spans="1:1" x14ac:dyDescent="0.3">
      <c r="A245" s="28" t="s">
        <v>1716</v>
      </c>
    </row>
    <row r="246" spans="1:1" x14ac:dyDescent="0.3">
      <c r="A246" s="28" t="s">
        <v>1717</v>
      </c>
    </row>
    <row r="267" spans="1:1" x14ac:dyDescent="0.3">
      <c r="A267" s="28" t="s">
        <v>1719</v>
      </c>
    </row>
    <row r="268" spans="1:1" x14ac:dyDescent="0.3">
      <c r="A268" s="28" t="s">
        <v>1720</v>
      </c>
    </row>
    <row r="269" spans="1:1" x14ac:dyDescent="0.3">
      <c r="A269" s="28" t="s">
        <v>927</v>
      </c>
    </row>
    <row r="270" spans="1:1" x14ac:dyDescent="0.3">
      <c r="A270" s="28" t="s">
        <v>928</v>
      </c>
    </row>
    <row r="271" spans="1:1" x14ac:dyDescent="0.3">
      <c r="A271" s="28" t="s">
        <v>1721</v>
      </c>
    </row>
    <row r="272" spans="1:1" x14ac:dyDescent="0.3">
      <c r="A272" s="28" t="s">
        <v>1722</v>
      </c>
    </row>
    <row r="291" spans="1:1" x14ac:dyDescent="0.3">
      <c r="A291" s="28" t="s">
        <v>1756</v>
      </c>
    </row>
    <row r="292" spans="1:1" x14ac:dyDescent="0.3">
      <c r="A292" s="28" t="s">
        <v>1757</v>
      </c>
    </row>
    <row r="293" spans="1:1" x14ac:dyDescent="0.3">
      <c r="A293" s="28" t="s">
        <v>1058</v>
      </c>
    </row>
    <row r="294" spans="1:1" x14ac:dyDescent="0.3">
      <c r="A294" s="28" t="s">
        <v>1059</v>
      </c>
    </row>
    <row r="295" spans="1:1" x14ac:dyDescent="0.3">
      <c r="A295" s="28" t="s">
        <v>1758</v>
      </c>
    </row>
    <row r="296" spans="1:1" x14ac:dyDescent="0.3">
      <c r="A296" s="28" t="s">
        <v>1759</v>
      </c>
    </row>
    <row r="316" spans="1:1" x14ac:dyDescent="0.3">
      <c r="A316" s="28" t="s">
        <v>1761</v>
      </c>
    </row>
    <row r="317" spans="1:1" x14ac:dyDescent="0.3">
      <c r="A317" s="28" t="s">
        <v>1757</v>
      </c>
    </row>
    <row r="318" spans="1:1" x14ac:dyDescent="0.3">
      <c r="A318" s="28" t="s">
        <v>1058</v>
      </c>
    </row>
    <row r="319" spans="1:1" x14ac:dyDescent="0.3">
      <c r="A319" s="28" t="s">
        <v>1059</v>
      </c>
    </row>
    <row r="320" spans="1:1" x14ac:dyDescent="0.3">
      <c r="A320" s="28" t="s">
        <v>1762</v>
      </c>
    </row>
    <row r="321" spans="1:1" x14ac:dyDescent="0.3">
      <c r="A321" s="28" t="s">
        <v>1763</v>
      </c>
    </row>
    <row r="343" spans="1:1" x14ac:dyDescent="0.3">
      <c r="A343" s="28" t="s">
        <v>1765</v>
      </c>
    </row>
    <row r="344" spans="1:1" x14ac:dyDescent="0.3">
      <c r="A344" s="28" t="s">
        <v>1757</v>
      </c>
    </row>
    <row r="345" spans="1:1" x14ac:dyDescent="0.3">
      <c r="A345" s="28" t="s">
        <v>1058</v>
      </c>
    </row>
    <row r="346" spans="1:1" x14ac:dyDescent="0.3">
      <c r="A346" s="28" t="s">
        <v>1059</v>
      </c>
    </row>
    <row r="347" spans="1:1" x14ac:dyDescent="0.3">
      <c r="A347" s="28" t="s">
        <v>1766</v>
      </c>
    </row>
    <row r="348" spans="1:1" x14ac:dyDescent="0.3">
      <c r="A348" s="28" t="s">
        <v>1767</v>
      </c>
    </row>
    <row r="367" spans="1:1" x14ac:dyDescent="0.3">
      <c r="A367" s="28" t="s">
        <v>1769</v>
      </c>
    </row>
    <row r="368" spans="1:1" x14ac:dyDescent="0.3">
      <c r="A368" s="28" t="s">
        <v>1757</v>
      </c>
    </row>
    <row r="369" spans="1:1" x14ac:dyDescent="0.3">
      <c r="A369" s="28" t="s">
        <v>1058</v>
      </c>
    </row>
    <row r="370" spans="1:1" x14ac:dyDescent="0.3">
      <c r="A370" s="28" t="s">
        <v>1059</v>
      </c>
    </row>
    <row r="371" spans="1:1" x14ac:dyDescent="0.3">
      <c r="A371" s="28" t="s">
        <v>1770</v>
      </c>
    </row>
    <row r="372" spans="1:1" x14ac:dyDescent="0.3">
      <c r="A372" s="28" t="s">
        <v>1771</v>
      </c>
    </row>
    <row r="392" spans="1:1" x14ac:dyDescent="0.3">
      <c r="A392" s="28" t="s">
        <v>1775</v>
      </c>
    </row>
    <row r="393" spans="1:1" x14ac:dyDescent="0.3">
      <c r="A393" s="28" t="s">
        <v>1776</v>
      </c>
    </row>
    <row r="394" spans="1:1" x14ac:dyDescent="0.3">
      <c r="A394" s="28" t="s">
        <v>717</v>
      </c>
    </row>
    <row r="395" spans="1:1" x14ac:dyDescent="0.3">
      <c r="A395" s="28" t="s">
        <v>1102</v>
      </c>
    </row>
    <row r="396" spans="1:1" x14ac:dyDescent="0.3">
      <c r="A396" s="28" t="s">
        <v>1777</v>
      </c>
    </row>
    <row r="397" spans="1:1" x14ac:dyDescent="0.3">
      <c r="A397" s="28" t="s">
        <v>1778</v>
      </c>
    </row>
    <row r="418" spans="1:1" x14ac:dyDescent="0.3">
      <c r="A418" s="28" t="s">
        <v>1780</v>
      </c>
    </row>
    <row r="419" spans="1:1" x14ac:dyDescent="0.3">
      <c r="A419" s="28" t="s">
        <v>1776</v>
      </c>
    </row>
    <row r="420" spans="1:1" x14ac:dyDescent="0.3">
      <c r="A420" s="28" t="s">
        <v>717</v>
      </c>
    </row>
    <row r="421" spans="1:1" x14ac:dyDescent="0.3">
      <c r="A421" s="28" t="s">
        <v>1102</v>
      </c>
    </row>
    <row r="422" spans="1:1" x14ac:dyDescent="0.3">
      <c r="A422" s="28" t="s">
        <v>1781</v>
      </c>
    </row>
    <row r="423" spans="1:1" x14ac:dyDescent="0.3">
      <c r="A423" s="28" t="s">
        <v>1782</v>
      </c>
    </row>
    <row r="443" spans="1:1" x14ac:dyDescent="0.3">
      <c r="A443" s="28" t="s">
        <v>1784</v>
      </c>
    </row>
    <row r="444" spans="1:1" x14ac:dyDescent="0.3">
      <c r="A444" s="28" t="s">
        <v>1776</v>
      </c>
    </row>
    <row r="445" spans="1:1" x14ac:dyDescent="0.3">
      <c r="A445" s="28" t="s">
        <v>717</v>
      </c>
    </row>
    <row r="446" spans="1:1" x14ac:dyDescent="0.3">
      <c r="A446" s="28" t="s">
        <v>1102</v>
      </c>
    </row>
    <row r="447" spans="1:1" x14ac:dyDescent="0.3">
      <c r="A447" s="28" t="s">
        <v>1785</v>
      </c>
    </row>
    <row r="448" spans="1:1" x14ac:dyDescent="0.3">
      <c r="A448" s="28" t="s">
        <v>1786</v>
      </c>
    </row>
    <row r="462" spans="1:1" x14ac:dyDescent="0.3">
      <c r="A462" s="28" t="s">
        <v>1788</v>
      </c>
    </row>
    <row r="463" spans="1:1" x14ac:dyDescent="0.3">
      <c r="A463" s="28" t="s">
        <v>1776</v>
      </c>
    </row>
    <row r="464" spans="1:1" x14ac:dyDescent="0.3">
      <c r="A464" s="28" t="s">
        <v>717</v>
      </c>
    </row>
    <row r="465" spans="1:1" x14ac:dyDescent="0.3">
      <c r="A465" s="28" t="s">
        <v>1102</v>
      </c>
    </row>
    <row r="466" spans="1:1" x14ac:dyDescent="0.3">
      <c r="A466" s="28" t="s">
        <v>1789</v>
      </c>
    </row>
    <row r="467" spans="1:1" x14ac:dyDescent="0.3">
      <c r="A467" s="28" t="s">
        <v>1778</v>
      </c>
    </row>
    <row r="484" spans="1:1" x14ac:dyDescent="0.3">
      <c r="A484" s="28" t="s">
        <v>1792</v>
      </c>
    </row>
    <row r="485" spans="1:1" x14ac:dyDescent="0.3">
      <c r="A485" s="28" t="s">
        <v>1793</v>
      </c>
    </row>
    <row r="486" spans="1:1" x14ac:dyDescent="0.3">
      <c r="A486" s="28" t="s">
        <v>717</v>
      </c>
    </row>
    <row r="487" spans="1:1" x14ac:dyDescent="0.3">
      <c r="A487" s="28" t="s">
        <v>1171</v>
      </c>
    </row>
    <row r="488" spans="1:1" x14ac:dyDescent="0.3">
      <c r="A488" s="28" t="s">
        <v>1794</v>
      </c>
    </row>
    <row r="489" spans="1:1" x14ac:dyDescent="0.3">
      <c r="A489" s="28" t="s">
        <v>1795</v>
      </c>
    </row>
    <row r="511" spans="1:1" x14ac:dyDescent="0.3">
      <c r="A511" s="28" t="s">
        <v>1798</v>
      </c>
    </row>
    <row r="512" spans="1:1" x14ac:dyDescent="0.3">
      <c r="A512" s="28" t="s">
        <v>1799</v>
      </c>
    </row>
    <row r="513" spans="1:1" x14ac:dyDescent="0.3">
      <c r="A513" s="28" t="s">
        <v>722</v>
      </c>
    </row>
    <row r="514" spans="1:1" x14ac:dyDescent="0.3">
      <c r="A514" s="28" t="s">
        <v>1212</v>
      </c>
    </row>
    <row r="515" spans="1:1" x14ac:dyDescent="0.3">
      <c r="A515" s="28" t="s">
        <v>1800</v>
      </c>
    </row>
    <row r="516" spans="1:1" x14ac:dyDescent="0.3">
      <c r="A516" s="28" t="s">
        <v>1801</v>
      </c>
    </row>
    <row r="538" spans="1:1" x14ac:dyDescent="0.3">
      <c r="A538" s="28" t="s">
        <v>1803</v>
      </c>
    </row>
    <row r="539" spans="1:1" x14ac:dyDescent="0.3">
      <c r="A539" s="28" t="s">
        <v>1804</v>
      </c>
    </row>
    <row r="540" spans="1:1" x14ac:dyDescent="0.3">
      <c r="A540" s="28" t="s">
        <v>725</v>
      </c>
    </row>
    <row r="541" spans="1:1" x14ac:dyDescent="0.3">
      <c r="A541" s="28" t="s">
        <v>1214</v>
      </c>
    </row>
    <row r="542" spans="1:1" x14ac:dyDescent="0.3">
      <c r="A542" s="28" t="s">
        <v>1800</v>
      </c>
    </row>
    <row r="543" spans="1:1" x14ac:dyDescent="0.3">
      <c r="A543" s="28" t="s">
        <v>1805</v>
      </c>
    </row>
    <row r="565" spans="1:1" x14ac:dyDescent="0.3">
      <c r="A565" s="28" t="s">
        <v>1807</v>
      </c>
    </row>
    <row r="566" spans="1:1" x14ac:dyDescent="0.3">
      <c r="A566" s="28" t="s">
        <v>1808</v>
      </c>
    </row>
    <row r="567" spans="1:1" x14ac:dyDescent="0.3">
      <c r="A567" s="28" t="s">
        <v>729</v>
      </c>
    </row>
    <row r="568" spans="1:1" x14ac:dyDescent="0.3">
      <c r="A568" s="28" t="s">
        <v>1216</v>
      </c>
    </row>
    <row r="569" spans="1:1" x14ac:dyDescent="0.3">
      <c r="A569" s="28" t="s">
        <v>1800</v>
      </c>
    </row>
    <row r="570" spans="1:1" x14ac:dyDescent="0.3">
      <c r="A570" s="28" t="s">
        <v>1805</v>
      </c>
    </row>
    <row r="592" spans="1:1" x14ac:dyDescent="0.3">
      <c r="A592" s="28" t="s">
        <v>1810</v>
      </c>
    </row>
    <row r="593" spans="1:1" x14ac:dyDescent="0.3">
      <c r="A593" s="28" t="s">
        <v>1811</v>
      </c>
    </row>
    <row r="594" spans="1:1" x14ac:dyDescent="0.3">
      <c r="A594" s="28" t="s">
        <v>732</v>
      </c>
    </row>
    <row r="595" spans="1:1" x14ac:dyDescent="0.3">
      <c r="A595" s="28" t="s">
        <v>1218</v>
      </c>
    </row>
    <row r="596" spans="1:1" x14ac:dyDescent="0.3">
      <c r="A596" s="28" t="s">
        <v>1800</v>
      </c>
    </row>
    <row r="597" spans="1:1" x14ac:dyDescent="0.3">
      <c r="A597" s="28" t="s">
        <v>1805</v>
      </c>
    </row>
    <row r="619" spans="1:1" x14ac:dyDescent="0.3">
      <c r="A619" s="28" t="s">
        <v>1813</v>
      </c>
    </row>
    <row r="620" spans="1:1" x14ac:dyDescent="0.3">
      <c r="A620" s="28" t="s">
        <v>1814</v>
      </c>
    </row>
    <row r="621" spans="1:1" x14ac:dyDescent="0.3">
      <c r="A621" s="28" t="s">
        <v>735</v>
      </c>
    </row>
    <row r="622" spans="1:1" x14ac:dyDescent="0.3">
      <c r="A622" s="28" t="s">
        <v>1220</v>
      </c>
    </row>
    <row r="623" spans="1:1" x14ac:dyDescent="0.3">
      <c r="A623" s="28" t="s">
        <v>1800</v>
      </c>
    </row>
    <row r="624" spans="1:1" x14ac:dyDescent="0.3">
      <c r="A624" s="28" t="s">
        <v>1801</v>
      </c>
    </row>
    <row r="639" spans="1:1" x14ac:dyDescent="0.3">
      <c r="A639" s="28" t="s">
        <v>1816</v>
      </c>
    </row>
    <row r="640" spans="1:1" x14ac:dyDescent="0.3">
      <c r="A640" s="28" t="s">
        <v>1817</v>
      </c>
    </row>
    <row r="641" spans="1:1" x14ac:dyDescent="0.3">
      <c r="A641" s="28" t="s">
        <v>736</v>
      </c>
    </row>
    <row r="642" spans="1:1" x14ac:dyDescent="0.3">
      <c r="A642" s="28" t="s">
        <v>1276</v>
      </c>
    </row>
    <row r="643" spans="1:1" x14ac:dyDescent="0.3">
      <c r="A643" s="28" t="s">
        <v>1818</v>
      </c>
    </row>
    <row r="644" spans="1:1" x14ac:dyDescent="0.3">
      <c r="A644" s="28" t="s">
        <v>1819</v>
      </c>
    </row>
    <row r="672" spans="1:1" x14ac:dyDescent="0.3">
      <c r="A672" s="28" t="s">
        <v>1822</v>
      </c>
    </row>
    <row r="673" spans="1:1" x14ac:dyDescent="0.3">
      <c r="A673" s="28" t="s">
        <v>1823</v>
      </c>
    </row>
    <row r="674" spans="1:1" x14ac:dyDescent="0.3">
      <c r="A674" s="28" t="s">
        <v>1824</v>
      </c>
    </row>
    <row r="675" spans="1:1" x14ac:dyDescent="0.3">
      <c r="A675" s="28" t="s">
        <v>1825</v>
      </c>
    </row>
    <row r="676" spans="1:1" x14ac:dyDescent="0.3">
      <c r="A676" s="28" t="s">
        <v>1826</v>
      </c>
    </row>
    <row r="677" spans="1:1" x14ac:dyDescent="0.3">
      <c r="A677" s="28" t="s">
        <v>1827</v>
      </c>
    </row>
    <row r="698" spans="1:1" x14ac:dyDescent="0.3">
      <c r="A698" s="28" t="s">
        <v>1829</v>
      </c>
    </row>
    <row r="699" spans="1:1" x14ac:dyDescent="0.3">
      <c r="A699" s="28" t="s">
        <v>1830</v>
      </c>
    </row>
    <row r="700" spans="1:1" x14ac:dyDescent="0.3">
      <c r="A700" s="28" t="s">
        <v>1831</v>
      </c>
    </row>
    <row r="701" spans="1:1" x14ac:dyDescent="0.3">
      <c r="A701" s="28" t="s">
        <v>1832</v>
      </c>
    </row>
    <row r="702" spans="1:1" x14ac:dyDescent="0.3">
      <c r="A702" s="28" t="s">
        <v>1833</v>
      </c>
    </row>
    <row r="703" spans="1:1" x14ac:dyDescent="0.3">
      <c r="A703" s="28" t="s">
        <v>1834</v>
      </c>
    </row>
    <row r="704" spans="1:1" x14ac:dyDescent="0.3">
      <c r="A704" s="28" t="s">
        <v>1835</v>
      </c>
    </row>
    <row r="705" spans="1:1" x14ac:dyDescent="0.3">
      <c r="A705" s="28" t="s">
        <v>1836</v>
      </c>
    </row>
    <row r="706" spans="1:1" x14ac:dyDescent="0.3">
      <c r="A706" s="28" t="s">
        <v>1837</v>
      </c>
    </row>
    <row r="723" spans="1:1" x14ac:dyDescent="0.3">
      <c r="A723" s="28" t="s">
        <v>1839</v>
      </c>
    </row>
    <row r="724" spans="1:1" x14ac:dyDescent="0.3">
      <c r="A724" s="28" t="s">
        <v>1840</v>
      </c>
    </row>
    <row r="725" spans="1:1" x14ac:dyDescent="0.3">
      <c r="A725" s="28" t="s">
        <v>1841</v>
      </c>
    </row>
    <row r="726" spans="1:1" x14ac:dyDescent="0.3">
      <c r="A726" s="28" t="s">
        <v>1842</v>
      </c>
    </row>
    <row r="727" spans="1:1" x14ac:dyDescent="0.3">
      <c r="A727" s="28" t="s">
        <v>1843</v>
      </c>
    </row>
    <row r="728" spans="1:1" x14ac:dyDescent="0.3">
      <c r="A728" s="28" t="s">
        <v>1844</v>
      </c>
    </row>
    <row r="750" spans="1:1" x14ac:dyDescent="0.3">
      <c r="A750" s="28" t="s">
        <v>1848</v>
      </c>
    </row>
    <row r="751" spans="1:1" x14ac:dyDescent="0.3">
      <c r="A751" s="28" t="s">
        <v>1849</v>
      </c>
    </row>
    <row r="752" spans="1:1" x14ac:dyDescent="0.3">
      <c r="A752" s="28" t="s">
        <v>741</v>
      </c>
    </row>
    <row r="753" spans="1:1" x14ac:dyDescent="0.3">
      <c r="A753" s="28" t="s">
        <v>1850</v>
      </c>
    </row>
    <row r="754" spans="1:1" x14ac:dyDescent="0.3">
      <c r="A754" s="28" t="s">
        <v>1851</v>
      </c>
    </row>
    <row r="755" spans="1:1" x14ac:dyDescent="0.3">
      <c r="A755" s="28" t="s">
        <v>1852</v>
      </c>
    </row>
    <row r="772" spans="1:1" x14ac:dyDescent="0.3">
      <c r="A772" s="28" t="s">
        <v>1854</v>
      </c>
    </row>
    <row r="773" spans="1:1" x14ac:dyDescent="0.3">
      <c r="A773" s="28" t="s">
        <v>1855</v>
      </c>
    </row>
    <row r="774" spans="1:1" x14ac:dyDescent="0.3">
      <c r="A774" s="28" t="s">
        <v>1619</v>
      </c>
    </row>
    <row r="775" spans="1:1" x14ac:dyDescent="0.3">
      <c r="A775" s="28" t="s">
        <v>1620</v>
      </c>
    </row>
    <row r="776" spans="1:1" x14ac:dyDescent="0.3">
      <c r="A776" s="28" t="s">
        <v>1856</v>
      </c>
    </row>
    <row r="777" spans="1:1" x14ac:dyDescent="0.3">
      <c r="A777" s="28" t="s">
        <v>1767</v>
      </c>
    </row>
  </sheetData>
  <pageMargins left="0.75" right="0.75" top="1" bottom="1" header="0.5" footer="0.5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OL332"/>
  <sheetViews>
    <sheetView workbookViewId="0"/>
  </sheetViews>
  <sheetFormatPr baseColWidth="10" defaultColWidth="8.88671875" defaultRowHeight="14.4" x14ac:dyDescent="0.3"/>
  <sheetData>
    <row r="1" spans="1:402" x14ac:dyDescent="0.3">
      <c r="A1" t="s">
        <v>7382</v>
      </c>
      <c r="B1" t="s">
        <v>7383</v>
      </c>
      <c r="C1" t="s">
        <v>7384</v>
      </c>
      <c r="D1" t="s">
        <v>7385</v>
      </c>
      <c r="E1" t="s">
        <v>7386</v>
      </c>
      <c r="F1" t="s">
        <v>7387</v>
      </c>
      <c r="G1" t="s">
        <v>7388</v>
      </c>
      <c r="H1" t="s">
        <v>7389</v>
      </c>
      <c r="I1" t="s">
        <v>7390</v>
      </c>
      <c r="J1" t="s">
        <v>7391</v>
      </c>
      <c r="K1" t="s">
        <v>7392</v>
      </c>
      <c r="L1" t="s">
        <v>7393</v>
      </c>
      <c r="M1" t="s">
        <v>7394</v>
      </c>
      <c r="N1" t="s">
        <v>7395</v>
      </c>
      <c r="O1" t="s">
        <v>7396</v>
      </c>
      <c r="P1" t="s">
        <v>7397</v>
      </c>
      <c r="Q1" t="s">
        <v>7394</v>
      </c>
      <c r="R1" t="s">
        <v>7395</v>
      </c>
      <c r="S1" t="s">
        <v>7398</v>
      </c>
      <c r="T1" t="s">
        <v>7399</v>
      </c>
      <c r="U1" t="s">
        <v>7400</v>
      </c>
      <c r="V1" t="s">
        <v>7401</v>
      </c>
      <c r="W1" t="s">
        <v>7394</v>
      </c>
      <c r="X1" t="s">
        <v>7395</v>
      </c>
      <c r="Y1" t="s">
        <v>7392</v>
      </c>
      <c r="Z1" t="s">
        <v>7393</v>
      </c>
      <c r="AA1" t="s">
        <v>7402</v>
      </c>
      <c r="AB1" t="s">
        <v>7403</v>
      </c>
      <c r="AC1" t="s">
        <v>7404</v>
      </c>
      <c r="AD1" t="s">
        <v>7405</v>
      </c>
      <c r="AE1" t="s">
        <v>7394</v>
      </c>
      <c r="AF1" t="s">
        <v>7395</v>
      </c>
      <c r="AG1" t="s">
        <v>7394</v>
      </c>
      <c r="AH1" t="s">
        <v>7395</v>
      </c>
      <c r="AI1" t="s">
        <v>7406</v>
      </c>
      <c r="AJ1" t="s">
        <v>7407</v>
      </c>
      <c r="AK1" t="s">
        <v>7408</v>
      </c>
      <c r="AL1" t="s">
        <v>7409</v>
      </c>
      <c r="AM1" t="s">
        <v>7410</v>
      </c>
      <c r="AN1" t="s">
        <v>7411</v>
      </c>
      <c r="AO1" t="s">
        <v>7394</v>
      </c>
      <c r="AP1" t="s">
        <v>7395</v>
      </c>
      <c r="AQ1" t="s">
        <v>7394</v>
      </c>
      <c r="AR1" t="s">
        <v>7395</v>
      </c>
      <c r="AS1" t="s">
        <v>7412</v>
      </c>
      <c r="AT1" t="s">
        <v>7413</v>
      </c>
      <c r="AU1" t="s">
        <v>7414</v>
      </c>
      <c r="AV1" t="s">
        <v>7415</v>
      </c>
      <c r="AW1" t="s">
        <v>7416</v>
      </c>
      <c r="AX1" t="s">
        <v>7417</v>
      </c>
      <c r="AY1" t="s">
        <v>7418</v>
      </c>
      <c r="AZ1" t="s">
        <v>7419</v>
      </c>
      <c r="BA1" t="s">
        <v>7420</v>
      </c>
      <c r="BB1" t="s">
        <v>7421</v>
      </c>
      <c r="BC1" t="s">
        <v>7408</v>
      </c>
      <c r="BD1" t="s">
        <v>7409</v>
      </c>
      <c r="BE1" t="s">
        <v>7422</v>
      </c>
      <c r="BF1" t="s">
        <v>7423</v>
      </c>
      <c r="BG1" t="s">
        <v>7402</v>
      </c>
      <c r="BH1" t="s">
        <v>7403</v>
      </c>
      <c r="BI1" t="s">
        <v>7402</v>
      </c>
      <c r="BJ1" t="s">
        <v>7403</v>
      </c>
      <c r="BK1" t="s">
        <v>7424</v>
      </c>
      <c r="BL1" t="s">
        <v>7425</v>
      </c>
      <c r="BM1" t="s">
        <v>7426</v>
      </c>
      <c r="BN1" t="s">
        <v>7427</v>
      </c>
      <c r="BO1" t="s">
        <v>7410</v>
      </c>
      <c r="BP1" t="s">
        <v>7411</v>
      </c>
      <c r="BQ1" t="s">
        <v>7402</v>
      </c>
      <c r="BR1" t="s">
        <v>7403</v>
      </c>
      <c r="BS1" t="s">
        <v>7394</v>
      </c>
      <c r="BT1" t="s">
        <v>7395</v>
      </c>
      <c r="BU1" t="s">
        <v>7410</v>
      </c>
      <c r="BV1" t="s">
        <v>7411</v>
      </c>
      <c r="BW1" t="s">
        <v>7428</v>
      </c>
      <c r="BX1" t="s">
        <v>7429</v>
      </c>
      <c r="BY1" t="s">
        <v>7402</v>
      </c>
      <c r="BZ1" t="s">
        <v>7403</v>
      </c>
      <c r="CA1" t="s">
        <v>7430</v>
      </c>
      <c r="CB1" t="s">
        <v>7431</v>
      </c>
      <c r="CC1" t="s">
        <v>7432</v>
      </c>
      <c r="CD1" t="s">
        <v>7433</v>
      </c>
      <c r="CE1" t="s">
        <v>7434</v>
      </c>
      <c r="CF1" t="s">
        <v>7435</v>
      </c>
      <c r="CG1" t="s">
        <v>7436</v>
      </c>
      <c r="CH1" t="s">
        <v>7437</v>
      </c>
      <c r="CI1" t="s">
        <v>7438</v>
      </c>
      <c r="CJ1" t="s">
        <v>7439</v>
      </c>
      <c r="CK1" t="s">
        <v>7440</v>
      </c>
      <c r="CL1" t="s">
        <v>7441</v>
      </c>
      <c r="CM1" t="s">
        <v>7442</v>
      </c>
      <c r="CN1" t="s">
        <v>7443</v>
      </c>
      <c r="CO1" t="s">
        <v>7444</v>
      </c>
      <c r="CP1" t="s">
        <v>7445</v>
      </c>
      <c r="CQ1" t="s">
        <v>7446</v>
      </c>
      <c r="CR1" t="s">
        <v>7447</v>
      </c>
      <c r="CS1" t="s">
        <v>7448</v>
      </c>
      <c r="CT1" t="s">
        <v>7449</v>
      </c>
      <c r="CU1" t="s">
        <v>7450</v>
      </c>
      <c r="CV1" t="s">
        <v>7451</v>
      </c>
      <c r="CW1" t="s">
        <v>7446</v>
      </c>
      <c r="CX1" t="s">
        <v>7447</v>
      </c>
      <c r="CY1" t="s">
        <v>7448</v>
      </c>
      <c r="CZ1" t="s">
        <v>7449</v>
      </c>
      <c r="DA1" t="s">
        <v>7450</v>
      </c>
      <c r="DB1" t="s">
        <v>7451</v>
      </c>
      <c r="DC1" t="s">
        <v>7452</v>
      </c>
      <c r="DD1" t="s">
        <v>7453</v>
      </c>
      <c r="DE1" t="s">
        <v>7454</v>
      </c>
      <c r="DF1" t="s">
        <v>7455</v>
      </c>
      <c r="DG1" t="s">
        <v>7436</v>
      </c>
      <c r="DH1" t="s">
        <v>7437</v>
      </c>
      <c r="DI1" t="s">
        <v>7388</v>
      </c>
      <c r="DJ1" t="s">
        <v>7389</v>
      </c>
      <c r="DK1" t="s">
        <v>7456</v>
      </c>
      <c r="DL1" t="s">
        <v>7457</v>
      </c>
      <c r="DM1" t="s">
        <v>7458</v>
      </c>
      <c r="DN1" t="s">
        <v>7459</v>
      </c>
      <c r="DO1" t="s">
        <v>7404</v>
      </c>
      <c r="DP1" t="s">
        <v>7405</v>
      </c>
      <c r="DQ1" t="s">
        <v>7460</v>
      </c>
      <c r="DR1" t="s">
        <v>7461</v>
      </c>
      <c r="DS1" t="s">
        <v>7462</v>
      </c>
      <c r="DT1" t="s">
        <v>7463</v>
      </c>
      <c r="DU1" t="s">
        <v>7436</v>
      </c>
      <c r="DV1" t="s">
        <v>7437</v>
      </c>
      <c r="DW1" t="s">
        <v>7438</v>
      </c>
      <c r="DX1" t="s">
        <v>7439</v>
      </c>
      <c r="DY1" t="s">
        <v>7464</v>
      </c>
      <c r="DZ1" t="s">
        <v>7465</v>
      </c>
      <c r="EA1" t="s">
        <v>7410</v>
      </c>
      <c r="EB1" t="s">
        <v>7411</v>
      </c>
      <c r="EC1" t="s">
        <v>7466</v>
      </c>
      <c r="ED1" t="s">
        <v>7467</v>
      </c>
      <c r="EE1" t="s">
        <v>7438</v>
      </c>
      <c r="EF1" t="s">
        <v>7439</v>
      </c>
      <c r="EG1" t="s">
        <v>7442</v>
      </c>
      <c r="EH1" t="s">
        <v>7443</v>
      </c>
      <c r="EI1" t="s">
        <v>7436</v>
      </c>
      <c r="EJ1" t="s">
        <v>7437</v>
      </c>
      <c r="EK1" t="s">
        <v>7468</v>
      </c>
      <c r="EL1" t="s">
        <v>7469</v>
      </c>
      <c r="EM1" t="s">
        <v>7470</v>
      </c>
      <c r="EN1" t="s">
        <v>7471</v>
      </c>
      <c r="EO1" t="s">
        <v>7444</v>
      </c>
      <c r="EP1" t="s">
        <v>7445</v>
      </c>
      <c r="EQ1" t="s">
        <v>7472</v>
      </c>
      <c r="ER1" t="s">
        <v>7473</v>
      </c>
      <c r="ES1" t="s">
        <v>7474</v>
      </c>
      <c r="ET1" t="s">
        <v>7475</v>
      </c>
      <c r="EU1" t="s">
        <v>7468</v>
      </c>
      <c r="EV1" t="s">
        <v>7469</v>
      </c>
      <c r="EW1" t="s">
        <v>7476</v>
      </c>
      <c r="EX1" t="s">
        <v>7477</v>
      </c>
      <c r="EY1" t="s">
        <v>7460</v>
      </c>
      <c r="EZ1" t="s">
        <v>7461</v>
      </c>
      <c r="FA1" t="s">
        <v>7478</v>
      </c>
      <c r="FB1" t="s">
        <v>7479</v>
      </c>
      <c r="FC1" t="s">
        <v>7442</v>
      </c>
      <c r="FD1" t="s">
        <v>7443</v>
      </c>
      <c r="FE1" t="s">
        <v>7480</v>
      </c>
      <c r="FF1" t="s">
        <v>7481</v>
      </c>
      <c r="FG1" t="s">
        <v>7482</v>
      </c>
      <c r="FH1" t="s">
        <v>7483</v>
      </c>
      <c r="FI1" t="s">
        <v>7484</v>
      </c>
      <c r="FJ1" t="s">
        <v>7485</v>
      </c>
      <c r="FK1" t="s">
        <v>7468</v>
      </c>
      <c r="FL1" t="s">
        <v>7469</v>
      </c>
      <c r="FM1" t="s">
        <v>7458</v>
      </c>
      <c r="FN1" t="s">
        <v>7459</v>
      </c>
      <c r="FO1" t="s">
        <v>7486</v>
      </c>
      <c r="FP1" t="s">
        <v>7487</v>
      </c>
      <c r="FQ1" t="s">
        <v>7488</v>
      </c>
      <c r="FR1" t="s">
        <v>7489</v>
      </c>
      <c r="FS1" t="s">
        <v>7490</v>
      </c>
      <c r="FT1" t="s">
        <v>7491</v>
      </c>
      <c r="FU1" t="s">
        <v>7488</v>
      </c>
      <c r="FV1" t="s">
        <v>7489</v>
      </c>
      <c r="FW1" t="s">
        <v>7490</v>
      </c>
      <c r="FX1" t="s">
        <v>7491</v>
      </c>
      <c r="FY1" t="s">
        <v>7488</v>
      </c>
      <c r="FZ1" t="s">
        <v>7489</v>
      </c>
      <c r="GA1" t="s">
        <v>7490</v>
      </c>
      <c r="GB1" t="s">
        <v>7491</v>
      </c>
      <c r="GC1" t="s">
        <v>7488</v>
      </c>
      <c r="GD1" t="s">
        <v>7489</v>
      </c>
      <c r="GE1" t="s">
        <v>7490</v>
      </c>
      <c r="GF1" t="s">
        <v>7491</v>
      </c>
      <c r="GG1" t="s">
        <v>7488</v>
      </c>
      <c r="GH1" t="s">
        <v>7489</v>
      </c>
      <c r="GI1" t="s">
        <v>7490</v>
      </c>
      <c r="GJ1" t="s">
        <v>7491</v>
      </c>
      <c r="GK1" t="s">
        <v>7488</v>
      </c>
      <c r="GL1" t="s">
        <v>7489</v>
      </c>
      <c r="GM1" t="s">
        <v>7490</v>
      </c>
      <c r="GN1" t="s">
        <v>7491</v>
      </c>
      <c r="GO1" t="s">
        <v>7488</v>
      </c>
      <c r="GP1" t="s">
        <v>7489</v>
      </c>
      <c r="GQ1" t="s">
        <v>7490</v>
      </c>
      <c r="GR1" t="s">
        <v>7491</v>
      </c>
      <c r="GS1" t="s">
        <v>7488</v>
      </c>
      <c r="GT1" t="s">
        <v>7489</v>
      </c>
      <c r="GU1" t="s">
        <v>7490</v>
      </c>
      <c r="GV1" t="s">
        <v>7491</v>
      </c>
      <c r="GW1" t="s">
        <v>7488</v>
      </c>
      <c r="GX1" t="s">
        <v>7489</v>
      </c>
      <c r="GY1" t="s">
        <v>7490</v>
      </c>
      <c r="GZ1" t="s">
        <v>7491</v>
      </c>
      <c r="HA1" t="s">
        <v>7488</v>
      </c>
      <c r="HB1" t="s">
        <v>7489</v>
      </c>
      <c r="HC1" t="s">
        <v>7490</v>
      </c>
      <c r="HD1" t="s">
        <v>7491</v>
      </c>
      <c r="HE1" t="s">
        <v>7492</v>
      </c>
      <c r="HF1" t="s">
        <v>7493</v>
      </c>
      <c r="HG1" t="s">
        <v>7494</v>
      </c>
      <c r="HH1" t="s">
        <v>7495</v>
      </c>
      <c r="HI1" t="s">
        <v>7496</v>
      </c>
      <c r="HJ1" t="s">
        <v>7497</v>
      </c>
      <c r="HK1" t="s">
        <v>7498</v>
      </c>
      <c r="HL1" t="s">
        <v>7499</v>
      </c>
      <c r="HM1" t="s">
        <v>7500</v>
      </c>
      <c r="HN1" t="s">
        <v>7501</v>
      </c>
      <c r="HO1" t="s">
        <v>7502</v>
      </c>
      <c r="HP1" t="s">
        <v>7503</v>
      </c>
      <c r="HQ1" t="s">
        <v>7504</v>
      </c>
      <c r="HR1" t="s">
        <v>7505</v>
      </c>
      <c r="HS1" t="s">
        <v>7400</v>
      </c>
      <c r="HT1" t="s">
        <v>7401</v>
      </c>
      <c r="HU1" t="s">
        <v>7506</v>
      </c>
      <c r="HV1" t="s">
        <v>7507</v>
      </c>
      <c r="HW1" t="s">
        <v>7508</v>
      </c>
      <c r="HX1" t="s">
        <v>7509</v>
      </c>
      <c r="HY1" t="s">
        <v>7510</v>
      </c>
      <c r="HZ1" t="s">
        <v>7511</v>
      </c>
      <c r="IA1" t="s">
        <v>7512</v>
      </c>
      <c r="IB1" t="s">
        <v>7513</v>
      </c>
      <c r="IC1" t="s">
        <v>7514</v>
      </c>
      <c r="ID1" t="s">
        <v>7515</v>
      </c>
      <c r="IE1" t="s">
        <v>7513</v>
      </c>
      <c r="IF1" t="s">
        <v>7514</v>
      </c>
      <c r="IG1" t="s">
        <v>7516</v>
      </c>
      <c r="IH1" t="s">
        <v>7517</v>
      </c>
      <c r="II1" t="s">
        <v>7518</v>
      </c>
      <c r="IJ1" t="s">
        <v>7519</v>
      </c>
      <c r="IK1" t="s">
        <v>7520</v>
      </c>
      <c r="IL1" t="s">
        <v>7521</v>
      </c>
      <c r="IM1" t="s">
        <v>7522</v>
      </c>
      <c r="IN1" t="s">
        <v>7523</v>
      </c>
      <c r="IO1" t="s">
        <v>7524</v>
      </c>
      <c r="IP1" t="s">
        <v>7525</v>
      </c>
      <c r="IQ1" t="s">
        <v>7442</v>
      </c>
      <c r="IR1" t="s">
        <v>7443</v>
      </c>
      <c r="IS1" t="s">
        <v>7526</v>
      </c>
      <c r="IT1" t="s">
        <v>7527</v>
      </c>
      <c r="IU1" t="s">
        <v>7528</v>
      </c>
      <c r="IV1" t="s">
        <v>7529</v>
      </c>
      <c r="IW1" t="s">
        <v>7410</v>
      </c>
      <c r="IX1" t="s">
        <v>7411</v>
      </c>
      <c r="IY1" t="s">
        <v>7418</v>
      </c>
      <c r="IZ1" t="s">
        <v>7419</v>
      </c>
      <c r="JA1" t="s">
        <v>7530</v>
      </c>
      <c r="JB1" t="s">
        <v>7531</v>
      </c>
      <c r="JC1" t="s">
        <v>7532</v>
      </c>
      <c r="JD1" t="s">
        <v>7533</v>
      </c>
      <c r="JE1" t="s">
        <v>7534</v>
      </c>
      <c r="JF1" t="s">
        <v>7535</v>
      </c>
      <c r="JG1" t="s">
        <v>7536</v>
      </c>
      <c r="JH1" t="s">
        <v>7537</v>
      </c>
      <c r="JI1" t="s">
        <v>7410</v>
      </c>
      <c r="JJ1" t="s">
        <v>7411</v>
      </c>
      <c r="JK1" t="s">
        <v>7538</v>
      </c>
      <c r="JL1" t="s">
        <v>7539</v>
      </c>
      <c r="JM1" t="s">
        <v>7540</v>
      </c>
      <c r="JN1" t="s">
        <v>7541</v>
      </c>
      <c r="JO1" t="s">
        <v>7542</v>
      </c>
      <c r="JP1" t="s">
        <v>7543</v>
      </c>
      <c r="JQ1" t="s">
        <v>7544</v>
      </c>
      <c r="JR1" t="s">
        <v>7545</v>
      </c>
      <c r="JS1" t="s">
        <v>7546</v>
      </c>
      <c r="JT1" t="s">
        <v>7547</v>
      </c>
      <c r="JU1" t="s">
        <v>7548</v>
      </c>
      <c r="JV1" t="s">
        <v>7549</v>
      </c>
      <c r="JW1" t="s">
        <v>7550</v>
      </c>
      <c r="JX1" t="s">
        <v>7551</v>
      </c>
      <c r="JY1" t="s">
        <v>7468</v>
      </c>
      <c r="JZ1" t="s">
        <v>7469</v>
      </c>
      <c r="KA1" t="s">
        <v>7552</v>
      </c>
      <c r="KB1" t="s">
        <v>7553</v>
      </c>
      <c r="KC1" t="s">
        <v>7554</v>
      </c>
      <c r="KD1" t="s">
        <v>7555</v>
      </c>
      <c r="KE1" t="s">
        <v>7556</v>
      </c>
      <c r="KF1" t="s">
        <v>7557</v>
      </c>
      <c r="KG1" t="s">
        <v>7410</v>
      </c>
      <c r="KH1" t="s">
        <v>7411</v>
      </c>
      <c r="KI1" t="s">
        <v>7558</v>
      </c>
      <c r="KJ1" t="s">
        <v>7559</v>
      </c>
      <c r="KK1" t="s">
        <v>7560</v>
      </c>
      <c r="KL1" t="s">
        <v>7561</v>
      </c>
      <c r="KM1" t="s">
        <v>7562</v>
      </c>
      <c r="KN1" t="s">
        <v>7563</v>
      </c>
      <c r="KO1" t="s">
        <v>7564</v>
      </c>
      <c r="KP1" t="s">
        <v>7565</v>
      </c>
      <c r="KQ1" t="s">
        <v>7566</v>
      </c>
      <c r="KR1" t="s">
        <v>7567</v>
      </c>
      <c r="KS1" t="s">
        <v>7568</v>
      </c>
      <c r="KT1" t="s">
        <v>7569</v>
      </c>
      <c r="KU1" t="s">
        <v>7444</v>
      </c>
      <c r="KV1" t="s">
        <v>7445</v>
      </c>
      <c r="KW1" t="s">
        <v>7396</v>
      </c>
      <c r="KX1" t="s">
        <v>7397</v>
      </c>
      <c r="KY1" t="s">
        <v>7566</v>
      </c>
      <c r="KZ1" t="s">
        <v>7567</v>
      </c>
      <c r="LA1" t="s">
        <v>7388</v>
      </c>
      <c r="LB1" t="s">
        <v>7389</v>
      </c>
      <c r="LC1" t="s">
        <v>7568</v>
      </c>
      <c r="LD1" t="s">
        <v>7569</v>
      </c>
      <c r="LE1" t="s">
        <v>7396</v>
      </c>
      <c r="LF1" t="s">
        <v>7397</v>
      </c>
      <c r="LG1" t="s">
        <v>7570</v>
      </c>
      <c r="LH1" t="s">
        <v>7571</v>
      </c>
      <c r="LI1" t="s">
        <v>7572</v>
      </c>
      <c r="LJ1" t="s">
        <v>7573</v>
      </c>
      <c r="LK1" t="s">
        <v>7568</v>
      </c>
      <c r="LL1" t="s">
        <v>7569</v>
      </c>
      <c r="LM1" t="s">
        <v>7396</v>
      </c>
      <c r="LN1" t="s">
        <v>7397</v>
      </c>
      <c r="LO1" t="s">
        <v>7574</v>
      </c>
      <c r="LP1" t="s">
        <v>7575</v>
      </c>
      <c r="LQ1" t="s">
        <v>7576</v>
      </c>
      <c r="LR1" t="s">
        <v>7577</v>
      </c>
      <c r="LS1" t="s">
        <v>7578</v>
      </c>
      <c r="LT1" t="s">
        <v>7579</v>
      </c>
      <c r="LU1" t="s">
        <v>7580</v>
      </c>
      <c r="LV1" t="s">
        <v>7581</v>
      </c>
      <c r="LW1" t="s">
        <v>7582</v>
      </c>
      <c r="LX1" t="s">
        <v>7583</v>
      </c>
      <c r="LY1" t="s">
        <v>7584</v>
      </c>
      <c r="LZ1" t="s">
        <v>7585</v>
      </c>
      <c r="MA1" t="s">
        <v>7586</v>
      </c>
      <c r="MB1" t="s">
        <v>7587</v>
      </c>
      <c r="MC1" t="s">
        <v>7588</v>
      </c>
      <c r="MD1" t="s">
        <v>7589</v>
      </c>
      <c r="ME1" t="s">
        <v>7590</v>
      </c>
      <c r="MF1" t="s">
        <v>7591</v>
      </c>
      <c r="MG1" t="s">
        <v>7592</v>
      </c>
      <c r="MH1" t="s">
        <v>7593</v>
      </c>
      <c r="MI1" t="s">
        <v>7594</v>
      </c>
      <c r="MJ1" t="s">
        <v>33</v>
      </c>
      <c r="MK1" t="s">
        <v>7595</v>
      </c>
      <c r="ML1" t="s">
        <v>7596</v>
      </c>
      <c r="MM1" t="s">
        <v>7597</v>
      </c>
      <c r="MN1" t="s">
        <v>7598</v>
      </c>
      <c r="MO1" t="s">
        <v>7402</v>
      </c>
      <c r="MP1" t="s">
        <v>7403</v>
      </c>
      <c r="MQ1" t="s">
        <v>7422</v>
      </c>
      <c r="MR1" t="s">
        <v>7423</v>
      </c>
      <c r="MS1" t="s">
        <v>7599</v>
      </c>
      <c r="MT1" t="s">
        <v>7600</v>
      </c>
      <c r="MU1" t="s">
        <v>7601</v>
      </c>
      <c r="MV1" t="s">
        <v>7602</v>
      </c>
      <c r="MW1" t="s">
        <v>7603</v>
      </c>
      <c r="MX1" t="s">
        <v>7604</v>
      </c>
      <c r="MY1" t="s">
        <v>7474</v>
      </c>
      <c r="MZ1" t="s">
        <v>7475</v>
      </c>
      <c r="NA1" t="s">
        <v>7468</v>
      </c>
      <c r="NB1" t="s">
        <v>7469</v>
      </c>
      <c r="NC1" t="s">
        <v>7460</v>
      </c>
      <c r="ND1" t="s">
        <v>7461</v>
      </c>
      <c r="NE1" t="s">
        <v>7462</v>
      </c>
      <c r="NF1" t="s">
        <v>7463</v>
      </c>
      <c r="NG1" t="s">
        <v>7605</v>
      </c>
      <c r="NH1" t="s">
        <v>7606</v>
      </c>
      <c r="NI1" t="s">
        <v>7438</v>
      </c>
      <c r="NJ1" t="s">
        <v>7439</v>
      </c>
      <c r="NK1" t="s">
        <v>7607</v>
      </c>
      <c r="NL1" t="s">
        <v>7608</v>
      </c>
      <c r="NM1" t="s">
        <v>7522</v>
      </c>
      <c r="NN1" t="s">
        <v>7523</v>
      </c>
      <c r="NO1" t="s">
        <v>7444</v>
      </c>
      <c r="NP1" t="s">
        <v>7445</v>
      </c>
      <c r="NQ1" t="s">
        <v>7476</v>
      </c>
      <c r="NR1" t="s">
        <v>7477</v>
      </c>
      <c r="NS1" t="s">
        <v>7476</v>
      </c>
      <c r="NT1" t="s">
        <v>7477</v>
      </c>
      <c r="NU1" t="s">
        <v>7609</v>
      </c>
      <c r="NV1" t="s">
        <v>7610</v>
      </c>
      <c r="NW1" t="s">
        <v>7388</v>
      </c>
      <c r="NX1" t="s">
        <v>7389</v>
      </c>
      <c r="NY1" t="s">
        <v>7476</v>
      </c>
      <c r="NZ1" t="s">
        <v>7477</v>
      </c>
      <c r="OA1" t="s">
        <v>7436</v>
      </c>
      <c r="OB1" t="s">
        <v>7437</v>
      </c>
      <c r="OC1" t="s">
        <v>7611</v>
      </c>
      <c r="OD1" t="s">
        <v>7612</v>
      </c>
      <c r="OE1" t="s">
        <v>7444</v>
      </c>
      <c r="OF1" t="s">
        <v>7445</v>
      </c>
      <c r="OG1" t="s">
        <v>7474</v>
      </c>
      <c r="OH1" t="s">
        <v>7475</v>
      </c>
      <c r="OI1" t="s">
        <v>7613</v>
      </c>
      <c r="OJ1" t="s">
        <v>7614</v>
      </c>
      <c r="OK1" t="s">
        <v>7615</v>
      </c>
      <c r="OL1" t="s">
        <v>7616</v>
      </c>
    </row>
    <row r="2" spans="1:402" x14ac:dyDescent="0.3">
      <c r="A2" t="s">
        <v>7617</v>
      </c>
      <c r="B2">
        <v>0</v>
      </c>
      <c r="C2">
        <v>0</v>
      </c>
      <c r="D2">
        <v>0</v>
      </c>
      <c r="E2">
        <v>42</v>
      </c>
      <c r="F2">
        <v>0</v>
      </c>
      <c r="G2">
        <v>3</v>
      </c>
      <c r="H2">
        <v>402.92222222222222</v>
      </c>
      <c r="I2">
        <v>3</v>
      </c>
      <c r="J2">
        <v>434.38333333333333</v>
      </c>
      <c r="K2">
        <v>2</v>
      </c>
      <c r="L2">
        <v>591.68888888888887</v>
      </c>
      <c r="M2">
        <v>1</v>
      </c>
      <c r="N2">
        <v>340</v>
      </c>
      <c r="O2">
        <v>0</v>
      </c>
      <c r="P2">
        <v>371.46111111111111</v>
      </c>
      <c r="Q2">
        <v>1</v>
      </c>
      <c r="R2">
        <v>283.14999999999998</v>
      </c>
      <c r="S2">
        <v>1</v>
      </c>
      <c r="T2">
        <v>1000</v>
      </c>
      <c r="U2">
        <v>0</v>
      </c>
      <c r="V2">
        <v>6000</v>
      </c>
      <c r="W2">
        <v>1</v>
      </c>
      <c r="X2">
        <v>150</v>
      </c>
      <c r="Y2">
        <v>2</v>
      </c>
      <c r="Z2">
        <v>0.3</v>
      </c>
      <c r="AA2">
        <v>1</v>
      </c>
      <c r="AB2">
        <v>0.3666666666666667</v>
      </c>
      <c r="AC2">
        <v>0</v>
      </c>
      <c r="AD2">
        <v>0.3166666666666666</v>
      </c>
      <c r="AE2">
        <v>1</v>
      </c>
      <c r="AF2">
        <v>0.76666666666666672</v>
      </c>
      <c r="AG2">
        <v>1</v>
      </c>
      <c r="AH2">
        <v>0.65</v>
      </c>
      <c r="AI2">
        <v>3</v>
      </c>
      <c r="AJ2">
        <v>0.75</v>
      </c>
      <c r="AK2">
        <v>1</v>
      </c>
      <c r="AL2">
        <v>0.82777777777777772</v>
      </c>
      <c r="AM2">
        <v>0</v>
      </c>
      <c r="AN2">
        <v>0.82222222222222219</v>
      </c>
      <c r="AO2">
        <v>1</v>
      </c>
      <c r="AP2">
        <v>0.76111111111111107</v>
      </c>
      <c r="AQ2">
        <v>1</v>
      </c>
      <c r="AR2">
        <v>0.75</v>
      </c>
      <c r="AS2">
        <v>0.75</v>
      </c>
      <c r="AT2">
        <v>400</v>
      </c>
      <c r="AU2">
        <v>390</v>
      </c>
      <c r="AV2">
        <v>545.4545454545455</v>
      </c>
      <c r="AW2">
        <v>434</v>
      </c>
      <c r="AX2">
        <v>1272.727272727273</v>
      </c>
      <c r="AY2">
        <v>390</v>
      </c>
      <c r="AZ2">
        <v>400</v>
      </c>
      <c r="BA2">
        <v>434</v>
      </c>
      <c r="BB2">
        <v>400</v>
      </c>
      <c r="BC2">
        <v>434</v>
      </c>
      <c r="BD2">
        <v>1854.545454545455</v>
      </c>
      <c r="BE2">
        <v>380</v>
      </c>
      <c r="BF2">
        <v>400</v>
      </c>
      <c r="BG2">
        <v>1</v>
      </c>
      <c r="BH2">
        <v>0.4</v>
      </c>
      <c r="BI2">
        <v>1</v>
      </c>
      <c r="BJ2">
        <v>0.4</v>
      </c>
      <c r="BK2">
        <v>3</v>
      </c>
      <c r="BL2">
        <v>0.6</v>
      </c>
      <c r="BM2">
        <v>1</v>
      </c>
      <c r="BN2">
        <v>0.5</v>
      </c>
      <c r="BO2">
        <v>0</v>
      </c>
      <c r="BP2">
        <v>0.82499999999999996</v>
      </c>
      <c r="BQ2">
        <v>1</v>
      </c>
      <c r="BR2">
        <v>0.45</v>
      </c>
      <c r="BS2">
        <v>1</v>
      </c>
      <c r="BT2">
        <v>0.5</v>
      </c>
      <c r="BU2">
        <v>0</v>
      </c>
      <c r="BV2">
        <v>0.95</v>
      </c>
      <c r="BW2">
        <v>0.4</v>
      </c>
      <c r="BX2">
        <v>0.4</v>
      </c>
      <c r="BY2">
        <v>0.5</v>
      </c>
      <c r="BZ2">
        <v>0.8</v>
      </c>
      <c r="CA2">
        <v>0.4</v>
      </c>
      <c r="CB2">
        <v>1418.181818181818</v>
      </c>
      <c r="CC2">
        <v>0.4</v>
      </c>
      <c r="CD2">
        <v>400</v>
      </c>
      <c r="CE2">
        <v>0.5</v>
      </c>
      <c r="CF2">
        <v>400</v>
      </c>
      <c r="CG2">
        <v>403</v>
      </c>
      <c r="CH2">
        <v>0.95</v>
      </c>
      <c r="CI2">
        <v>403</v>
      </c>
      <c r="CJ2">
        <v>0.9</v>
      </c>
      <c r="CK2">
        <v>434</v>
      </c>
      <c r="CL2">
        <v>0.85</v>
      </c>
      <c r="CM2">
        <v>420</v>
      </c>
      <c r="CN2">
        <v>0.9</v>
      </c>
      <c r="CO2">
        <v>497</v>
      </c>
      <c r="CP2">
        <v>0.9</v>
      </c>
      <c r="CQ2">
        <v>290.625</v>
      </c>
      <c r="CR2">
        <v>278.14999999999998</v>
      </c>
      <c r="CS2">
        <v>393.75</v>
      </c>
      <c r="CT2">
        <v>278.14999999999998</v>
      </c>
      <c r="CU2">
        <v>750</v>
      </c>
      <c r="CV2">
        <v>278.14999999999998</v>
      </c>
      <c r="CW2">
        <v>10.408616078958991</v>
      </c>
      <c r="CX2">
        <v>278.14999999999998</v>
      </c>
      <c r="CY2">
        <v>11.90841397447066</v>
      </c>
      <c r="CZ2">
        <v>278.14999999999998</v>
      </c>
      <c r="DA2">
        <v>9.6867959281998903</v>
      </c>
      <c r="DB2">
        <v>278.14999999999998</v>
      </c>
      <c r="DC2" t="s">
        <v>281</v>
      </c>
      <c r="DD2">
        <v>0.82116671699400001</v>
      </c>
      <c r="DE2" t="s">
        <v>278</v>
      </c>
      <c r="DF2">
        <v>0.14913792020483149</v>
      </c>
      <c r="DG2">
        <v>7.9012410583171908</v>
      </c>
      <c r="DH2">
        <v>400.67500000000001</v>
      </c>
      <c r="DI2">
        <v>10.74105785424298</v>
      </c>
      <c r="DJ2">
        <v>420.9</v>
      </c>
      <c r="DK2">
        <v>11.529753988312651</v>
      </c>
      <c r="DL2">
        <v>441.125</v>
      </c>
      <c r="DM2">
        <v>-0.6</v>
      </c>
      <c r="DN2">
        <v>340</v>
      </c>
      <c r="DO2">
        <v>-0.6</v>
      </c>
      <c r="DP2">
        <v>380.45</v>
      </c>
      <c r="DQ2">
        <v>7.8281916838821202</v>
      </c>
      <c r="DR2">
        <v>284.60714285714278</v>
      </c>
      <c r="DS2">
        <v>8.5093363822064898</v>
      </c>
      <c r="DT2">
        <v>300.6357142857143</v>
      </c>
      <c r="DU2">
        <v>4.6550373737321404</v>
      </c>
      <c r="DV2">
        <v>3571.428571428572</v>
      </c>
      <c r="DW2">
        <v>4.0475656046749799</v>
      </c>
      <c r="DX2">
        <v>1000</v>
      </c>
      <c r="DY2">
        <v>-0.6</v>
      </c>
      <c r="DZ2">
        <v>6142.8571428571431</v>
      </c>
      <c r="EA2">
        <v>-0.6</v>
      </c>
      <c r="EB2">
        <v>4214.2857142857138</v>
      </c>
      <c r="EC2">
        <v>7.9123984430302086</v>
      </c>
      <c r="ED2">
        <v>632.14285714285711</v>
      </c>
      <c r="EE2">
        <v>4.1992574913160103</v>
      </c>
      <c r="EF2">
        <v>246.42857142857139</v>
      </c>
      <c r="EG2">
        <v>-0.6</v>
      </c>
      <c r="EH2">
        <v>150</v>
      </c>
      <c r="EI2">
        <v>6.4244050719975894</v>
      </c>
      <c r="EJ2">
        <v>0.47142857142857142</v>
      </c>
      <c r="EK2">
        <v>9.2158541148162705</v>
      </c>
      <c r="EL2">
        <v>0.51428571428571435</v>
      </c>
      <c r="EM2">
        <v>-0.6</v>
      </c>
      <c r="EN2">
        <v>0.4285714285714286</v>
      </c>
      <c r="EO2">
        <v>-0.6</v>
      </c>
      <c r="EP2">
        <v>0.85714285714285721</v>
      </c>
      <c r="EQ2">
        <v>-0.6</v>
      </c>
      <c r="ER2">
        <v>0.3428571428571428</v>
      </c>
      <c r="ES2">
        <v>6.4763154422325302</v>
      </c>
      <c r="ET2">
        <v>0.67500000000000004</v>
      </c>
      <c r="EU2">
        <v>3.3094979564172098</v>
      </c>
      <c r="EV2">
        <v>0.4</v>
      </c>
      <c r="EW2">
        <v>7.3703373945199502</v>
      </c>
      <c r="EX2">
        <v>0.4</v>
      </c>
      <c r="EY2">
        <v>3.3916032476472902</v>
      </c>
      <c r="EZ2">
        <v>0.43928571428571428</v>
      </c>
      <c r="FA2">
        <v>8.6161616138495596</v>
      </c>
      <c r="FB2">
        <v>0.87142857142857144</v>
      </c>
      <c r="FC2">
        <v>8.8449748323073702</v>
      </c>
      <c r="FD2">
        <v>0.91071428571428559</v>
      </c>
      <c r="FE2">
        <v>8.9188264939265594</v>
      </c>
      <c r="FF2">
        <v>0.79285714285714282</v>
      </c>
      <c r="FG2">
        <v>5.9646126820381502</v>
      </c>
      <c r="FH2">
        <v>0.4</v>
      </c>
      <c r="FI2">
        <v>8.0615436257084401</v>
      </c>
      <c r="FJ2">
        <v>0.91071428571428559</v>
      </c>
      <c r="FK2">
        <v>8.0591596198353201</v>
      </c>
      <c r="FL2">
        <v>0.55714285714285716</v>
      </c>
      <c r="FM2">
        <v>-0.6</v>
      </c>
      <c r="FN2">
        <v>0.4</v>
      </c>
      <c r="FO2" t="s">
        <v>277</v>
      </c>
      <c r="FP2">
        <v>0.34257006861591949</v>
      </c>
      <c r="FQ2">
        <v>8.2644628099173556E-3</v>
      </c>
      <c r="FR2">
        <v>380.5836236353158</v>
      </c>
      <c r="FS2">
        <v>3.021148036253776E-3</v>
      </c>
      <c r="FT2">
        <v>380.22992399348419</v>
      </c>
      <c r="FU2">
        <v>8.2644628099173556E-3</v>
      </c>
      <c r="FV2">
        <v>278.26226066967621</v>
      </c>
      <c r="FW2">
        <v>3.021148036253776E-3</v>
      </c>
      <c r="FX2">
        <v>278.18338928628958</v>
      </c>
      <c r="FY2">
        <v>8.2644628099173556E-3</v>
      </c>
      <c r="FZ2">
        <v>2005.3950733036199</v>
      </c>
      <c r="GA2">
        <v>3.021148036253776E-3</v>
      </c>
      <c r="GB2">
        <v>2009.9450225683679</v>
      </c>
      <c r="GC2">
        <v>8.2644628099173556E-3</v>
      </c>
      <c r="GD2">
        <v>546.97167496593806</v>
      </c>
      <c r="GE2">
        <v>3.021148036253776E-3</v>
      </c>
      <c r="GF2">
        <v>302.94922999750952</v>
      </c>
      <c r="GG2">
        <v>8.2644628099173556E-3</v>
      </c>
      <c r="GH2">
        <v>0.5071073020521002</v>
      </c>
      <c r="GI2">
        <v>3.021148036253776E-3</v>
      </c>
      <c r="GJ2">
        <v>0.50011543599578079</v>
      </c>
      <c r="GK2">
        <v>8.2644628099173556E-3</v>
      </c>
      <c r="GL2">
        <v>0.75035791345160696</v>
      </c>
      <c r="GM2">
        <v>3.021148036253776E-3</v>
      </c>
      <c r="GN2">
        <v>0.75191201895300219</v>
      </c>
      <c r="GO2">
        <v>8.2644628099173556E-3</v>
      </c>
      <c r="GP2">
        <v>0.65312518081106918</v>
      </c>
      <c r="GQ2">
        <v>3.021148036253776E-3</v>
      </c>
      <c r="GR2">
        <v>0.65039981855507967</v>
      </c>
      <c r="GS2">
        <v>8.2644628099173556E-3</v>
      </c>
      <c r="GT2">
        <v>0.60003885546679037</v>
      </c>
      <c r="GU2">
        <v>3.021148036253776E-3</v>
      </c>
      <c r="GV2">
        <v>0.60060518810752117</v>
      </c>
      <c r="GW2">
        <v>8.2644628099173556E-3</v>
      </c>
      <c r="GX2">
        <v>0.60348838916202419</v>
      </c>
      <c r="GY2">
        <v>3.021148036253776E-3</v>
      </c>
      <c r="GZ2">
        <v>0.60097311873103787</v>
      </c>
      <c r="HA2">
        <v>8.2644628099173556E-3</v>
      </c>
      <c r="HB2">
        <v>0.70340137546158799</v>
      </c>
      <c r="HC2">
        <v>3.021148036253776E-3</v>
      </c>
      <c r="HD2">
        <v>0.70013632301175088</v>
      </c>
      <c r="HE2">
        <v>1460.7125851451451</v>
      </c>
      <c r="HF2">
        <v>4011.0372940846132</v>
      </c>
      <c r="HG2">
        <v>1372.2307387663011</v>
      </c>
      <c r="HH2">
        <v>2367.2023772947241</v>
      </c>
      <c r="HI2">
        <v>1152.0911325165939</v>
      </c>
      <c r="HJ2">
        <v>3659.8997462232151</v>
      </c>
      <c r="HK2">
        <v>662.41031193744834</v>
      </c>
      <c r="HL2">
        <v>3665.962676103748</v>
      </c>
      <c r="HM2">
        <v>395.24024168871722</v>
      </c>
      <c r="HN2">
        <v>2805.7997396632072</v>
      </c>
      <c r="HO2">
        <v>388.3976991566941</v>
      </c>
      <c r="HP2">
        <v>3022.8216603286228</v>
      </c>
      <c r="HQ2">
        <v>405.24034988169097</v>
      </c>
      <c r="HR2">
        <v>4932.9941049818726</v>
      </c>
      <c r="HS2">
        <v>490.84358744158521</v>
      </c>
      <c r="HT2">
        <v>3885.3970774790569</v>
      </c>
      <c r="HU2">
        <v>1189.3408584267011</v>
      </c>
      <c r="HV2">
        <v>2005.3950733036199</v>
      </c>
      <c r="HW2">
        <v>375.58306402837019</v>
      </c>
      <c r="HX2">
        <v>2005.3950733036199</v>
      </c>
      <c r="HY2" t="s">
        <v>279</v>
      </c>
      <c r="HZ2">
        <v>8.2153099035861994E-3</v>
      </c>
      <c r="IA2" t="s">
        <v>7618</v>
      </c>
      <c r="IB2">
        <v>4</v>
      </c>
      <c r="IC2">
        <v>6</v>
      </c>
      <c r="ID2" t="s">
        <v>7619</v>
      </c>
      <c r="IE2">
        <v>18</v>
      </c>
      <c r="IF2">
        <v>26</v>
      </c>
      <c r="IG2" t="s">
        <v>1190</v>
      </c>
      <c r="IH2">
        <v>33.333333333333329</v>
      </c>
      <c r="II2">
        <v>1359.5567020080759</v>
      </c>
      <c r="IJ2">
        <v>3905.950043184831</v>
      </c>
      <c r="IK2">
        <v>1591.9647958138869</v>
      </c>
      <c r="IL2">
        <v>2102.1987016533749</v>
      </c>
      <c r="IM2">
        <v>1307.691395215046</v>
      </c>
      <c r="IN2">
        <v>3323.3369754558812</v>
      </c>
      <c r="IO2">
        <v>641.705417603971</v>
      </c>
      <c r="IP2">
        <v>3882.966114501743</v>
      </c>
      <c r="IQ2">
        <v>755.94732973170017</v>
      </c>
      <c r="IR2">
        <v>3193.3347924182631</v>
      </c>
      <c r="IS2">
        <v>1736.317338473599</v>
      </c>
      <c r="IT2">
        <v>2226.6090759620479</v>
      </c>
      <c r="IU2">
        <v>1714.1356685979979</v>
      </c>
      <c r="IV2">
        <v>2511.3317796086549</v>
      </c>
      <c r="IW2">
        <v>745.8991327141955</v>
      </c>
      <c r="IX2">
        <v>2774.908884424553</v>
      </c>
      <c r="IY2">
        <v>0.9416846745237536</v>
      </c>
      <c r="IZ2">
        <v>413.42092850499682</v>
      </c>
      <c r="JA2">
        <v>0.58432321247586216</v>
      </c>
      <c r="JB2">
        <v>479.26013938846057</v>
      </c>
      <c r="JC2">
        <v>0.54529952609590537</v>
      </c>
      <c r="JD2">
        <v>396.95683267994082</v>
      </c>
      <c r="JE2">
        <v>0.51754507062524513</v>
      </c>
      <c r="JF2">
        <v>581.6667809300933</v>
      </c>
      <c r="JG2">
        <v>0.46164277754956801</v>
      </c>
      <c r="JH2">
        <v>497.19890464505391</v>
      </c>
      <c r="JI2">
        <v>0.84590690872202257</v>
      </c>
      <c r="JJ2">
        <v>569.31732118404807</v>
      </c>
      <c r="JK2">
        <v>0.88049207187001577</v>
      </c>
      <c r="JL2">
        <v>407.84617584397159</v>
      </c>
      <c r="JM2">
        <v>0.7990911381897311</v>
      </c>
      <c r="JN2">
        <v>518.457465398208</v>
      </c>
      <c r="JO2">
        <v>0.4432245237636992</v>
      </c>
      <c r="JP2">
        <v>405.82572243121899</v>
      </c>
      <c r="JQ2">
        <v>0.91630368859689204</v>
      </c>
      <c r="JR2">
        <v>572.75272974187601</v>
      </c>
      <c r="JS2">
        <v>0.84694732219896507</v>
      </c>
      <c r="JT2">
        <v>543.29523370687764</v>
      </c>
      <c r="JU2">
        <v>0.74959244914843115</v>
      </c>
      <c r="JV2">
        <v>512.45782474410726</v>
      </c>
      <c r="JW2">
        <v>1912.454775916088</v>
      </c>
      <c r="JX2">
        <v>0.57014862897281027</v>
      </c>
      <c r="JY2">
        <v>717.49765607468464</v>
      </c>
      <c r="JZ2">
        <v>0.70744907017138159</v>
      </c>
      <c r="KA2">
        <v>1985.5685830750249</v>
      </c>
      <c r="KB2">
        <v>0.66748528230148152</v>
      </c>
      <c r="KC2">
        <v>1603.6227697890411</v>
      </c>
      <c r="KD2">
        <v>0.72451586307410309</v>
      </c>
      <c r="KE2">
        <v>277.73249598963008</v>
      </c>
      <c r="KF2">
        <v>0.83342711013974169</v>
      </c>
      <c r="KG2">
        <v>1443.808752355641</v>
      </c>
      <c r="KH2">
        <v>0.71797430889596192</v>
      </c>
      <c r="KI2">
        <v>1452.540849569594</v>
      </c>
      <c r="KJ2">
        <v>2581.218399638949</v>
      </c>
      <c r="KK2">
        <v>417.94093331748007</v>
      </c>
      <c r="KL2">
        <v>3850.822822006674</v>
      </c>
      <c r="KM2">
        <v>689.60208419368189</v>
      </c>
      <c r="KN2">
        <v>4134.7489664125242</v>
      </c>
      <c r="KO2">
        <v>1623.3333340506231</v>
      </c>
      <c r="KP2">
        <v>3696.521691421201</v>
      </c>
      <c r="KQ2">
        <v>0.85</v>
      </c>
      <c r="KR2">
        <v>400</v>
      </c>
      <c r="KS2">
        <v>0.85</v>
      </c>
      <c r="KT2">
        <v>387.5</v>
      </c>
      <c r="KU2">
        <v>0.85</v>
      </c>
      <c r="KV2">
        <v>410</v>
      </c>
      <c r="KW2">
        <v>0.85</v>
      </c>
      <c r="KX2">
        <v>385</v>
      </c>
      <c r="KY2">
        <v>0.85</v>
      </c>
      <c r="KZ2">
        <v>390</v>
      </c>
      <c r="LA2">
        <v>0.85</v>
      </c>
      <c r="LB2">
        <v>410</v>
      </c>
      <c r="LC2">
        <v>0.85</v>
      </c>
      <c r="LD2">
        <v>387.5</v>
      </c>
      <c r="LE2">
        <v>0.85</v>
      </c>
      <c r="LF2">
        <v>385</v>
      </c>
      <c r="LG2">
        <v>0.875</v>
      </c>
      <c r="LH2">
        <v>390</v>
      </c>
      <c r="LI2">
        <v>0.85</v>
      </c>
      <c r="LJ2">
        <v>390</v>
      </c>
      <c r="LK2">
        <v>0.85</v>
      </c>
      <c r="LL2">
        <v>387.5</v>
      </c>
      <c r="LM2">
        <v>0.85</v>
      </c>
      <c r="LN2">
        <v>385</v>
      </c>
      <c r="LO2">
        <v>0</v>
      </c>
      <c r="LP2">
        <v>0</v>
      </c>
      <c r="LQ2">
        <v>0.7</v>
      </c>
      <c r="LR2">
        <v>0</v>
      </c>
      <c r="LS2">
        <v>-0.7</v>
      </c>
      <c r="LT2">
        <v>0</v>
      </c>
      <c r="LU2">
        <v>10.806608696761669</v>
      </c>
      <c r="LV2">
        <v>10.80651724015787</v>
      </c>
      <c r="LW2">
        <v>8.4820358349664389</v>
      </c>
      <c r="LX2">
        <v>8.4818912050065691</v>
      </c>
      <c r="LY2">
        <v>12.30159889633283</v>
      </c>
      <c r="LZ2">
        <v>0</v>
      </c>
      <c r="MA2">
        <v>11.90841397447066</v>
      </c>
      <c r="MB2">
        <v>0</v>
      </c>
      <c r="MC2">
        <v>9.28909448226735</v>
      </c>
      <c r="MD2">
        <v>0</v>
      </c>
      <c r="ME2">
        <v>9.5047201280320994</v>
      </c>
      <c r="MF2">
        <v>0</v>
      </c>
      <c r="MG2">
        <v>8.457650032385521</v>
      </c>
      <c r="MH2">
        <v>0</v>
      </c>
      <c r="MI2" t="s">
        <v>7620</v>
      </c>
      <c r="MJ2">
        <v>0</v>
      </c>
      <c r="MK2">
        <v>800</v>
      </c>
      <c r="ML2">
        <v>0.7</v>
      </c>
      <c r="MM2">
        <v>500</v>
      </c>
      <c r="MN2">
        <v>0.73</v>
      </c>
      <c r="MO2">
        <v>200</v>
      </c>
      <c r="MP2">
        <v>0.3</v>
      </c>
      <c r="MQ2">
        <v>600</v>
      </c>
      <c r="MR2">
        <v>0.4</v>
      </c>
      <c r="MS2">
        <v>200</v>
      </c>
      <c r="MT2">
        <v>0.5</v>
      </c>
      <c r="MU2">
        <v>12.20823127655215</v>
      </c>
      <c r="MV2">
        <v>380</v>
      </c>
      <c r="MW2">
        <v>13.06365776565851</v>
      </c>
      <c r="MX2">
        <v>405</v>
      </c>
      <c r="MY2">
        <v>12.5093907482508</v>
      </c>
      <c r="MZ2">
        <v>273.14999999999998</v>
      </c>
      <c r="NA2">
        <v>13.030170485534081</v>
      </c>
      <c r="NB2">
        <v>284.57857142857142</v>
      </c>
      <c r="NC2">
        <v>11.83568349674035</v>
      </c>
      <c r="ND2">
        <v>2821.428571428572</v>
      </c>
      <c r="NE2">
        <v>11.053305647164899</v>
      </c>
      <c r="NF2">
        <v>2500</v>
      </c>
      <c r="NG2">
        <v>12.11344297884353</v>
      </c>
      <c r="NH2">
        <v>750</v>
      </c>
      <c r="NI2">
        <v>15.0409968815438</v>
      </c>
      <c r="NJ2">
        <v>500</v>
      </c>
      <c r="NK2">
        <v>8.816445146584611</v>
      </c>
      <c r="NL2">
        <v>0.6</v>
      </c>
      <c r="NM2">
        <v>12.990450631232671</v>
      </c>
      <c r="NN2">
        <v>0.85</v>
      </c>
      <c r="NO2">
        <v>0</v>
      </c>
      <c r="NP2">
        <v>0.625</v>
      </c>
      <c r="NQ2">
        <v>10.74377241335414</v>
      </c>
      <c r="NR2">
        <v>0.76428571428571423</v>
      </c>
      <c r="NS2">
        <v>12.57955171117227</v>
      </c>
      <c r="NT2">
        <v>0.6</v>
      </c>
      <c r="NU2">
        <v>11.6337945350606</v>
      </c>
      <c r="NV2">
        <v>0.6</v>
      </c>
      <c r="NW2">
        <v>13.070820967461369</v>
      </c>
      <c r="NX2">
        <v>0.95</v>
      </c>
      <c r="NY2">
        <v>11.94067165369184</v>
      </c>
      <c r="NZ2">
        <v>0.4</v>
      </c>
      <c r="OA2">
        <v>12.731864501081271</v>
      </c>
      <c r="OB2">
        <v>0.95</v>
      </c>
      <c r="OC2">
        <v>13.55485652015634</v>
      </c>
      <c r="OD2">
        <v>0.73571428571428565</v>
      </c>
      <c r="OE2">
        <v>0</v>
      </c>
      <c r="OF2">
        <v>0.75357142857142856</v>
      </c>
      <c r="OG2">
        <v>6.3228945306369706</v>
      </c>
      <c r="OH2">
        <v>0.54999999999999993</v>
      </c>
      <c r="OI2">
        <v>0</v>
      </c>
      <c r="OJ2">
        <v>0.3</v>
      </c>
      <c r="OK2">
        <v>0</v>
      </c>
      <c r="OL2">
        <v>0.4499999999999999</v>
      </c>
    </row>
    <row r="3" spans="1:402" x14ac:dyDescent="0.3">
      <c r="A3" t="s">
        <v>7621</v>
      </c>
      <c r="B3">
        <v>0</v>
      </c>
      <c r="C3">
        <v>13</v>
      </c>
      <c r="D3">
        <v>2</v>
      </c>
      <c r="E3">
        <v>96</v>
      </c>
      <c r="F3">
        <v>21</v>
      </c>
      <c r="I3">
        <v>3.1</v>
      </c>
      <c r="J3">
        <v>528.76666666666665</v>
      </c>
      <c r="M3">
        <v>1.1000000000000001</v>
      </c>
      <c r="N3">
        <v>623.15</v>
      </c>
      <c r="O3">
        <v>0.1</v>
      </c>
      <c r="P3">
        <v>599.55416666666667</v>
      </c>
      <c r="Q3">
        <v>1.1000000000000001</v>
      </c>
      <c r="R3">
        <v>285.41666666666657</v>
      </c>
      <c r="S3">
        <v>1.1000000000000001</v>
      </c>
      <c r="T3">
        <v>3000</v>
      </c>
      <c r="U3">
        <v>0.1</v>
      </c>
      <c r="V3">
        <v>7000</v>
      </c>
      <c r="W3">
        <v>1.1000000000000001</v>
      </c>
      <c r="X3">
        <v>300</v>
      </c>
      <c r="AA3">
        <v>1.1000000000000001</v>
      </c>
      <c r="AB3">
        <v>0.5</v>
      </c>
      <c r="AE3">
        <v>1.1000000000000001</v>
      </c>
      <c r="AF3">
        <v>0.75</v>
      </c>
      <c r="AG3">
        <v>1.1000000000000001</v>
      </c>
      <c r="AH3">
        <v>0.67222222222222228</v>
      </c>
      <c r="AI3">
        <v>3.1</v>
      </c>
      <c r="AJ3">
        <v>0.77222222222222225</v>
      </c>
      <c r="AK3">
        <v>1.1000000000000001</v>
      </c>
      <c r="AL3">
        <v>0.83888888888888891</v>
      </c>
      <c r="AM3">
        <v>0.1</v>
      </c>
      <c r="AN3">
        <v>0.82499999999999996</v>
      </c>
      <c r="AO3">
        <v>1.1000000000000001</v>
      </c>
      <c r="AP3">
        <v>0.75</v>
      </c>
      <c r="AQ3">
        <v>1.1000000000000001</v>
      </c>
      <c r="AR3">
        <v>0.76111111111111107</v>
      </c>
      <c r="AS3">
        <v>0.75</v>
      </c>
      <c r="AT3">
        <v>545.4545454545455</v>
      </c>
      <c r="AU3">
        <v>390</v>
      </c>
      <c r="AV3">
        <v>836.36363636363637</v>
      </c>
      <c r="AW3">
        <v>434</v>
      </c>
      <c r="AX3">
        <v>1127.2727272727279</v>
      </c>
      <c r="AY3">
        <v>403</v>
      </c>
      <c r="AZ3">
        <v>400</v>
      </c>
      <c r="BA3">
        <v>434</v>
      </c>
      <c r="BB3">
        <v>545.4545454545455</v>
      </c>
      <c r="BC3">
        <v>434</v>
      </c>
      <c r="BD3">
        <v>2000</v>
      </c>
      <c r="BE3">
        <v>380</v>
      </c>
      <c r="BF3">
        <v>1127.2727272727279</v>
      </c>
      <c r="BG3">
        <v>1.1000000000000001</v>
      </c>
      <c r="BH3">
        <v>0.45</v>
      </c>
      <c r="BI3">
        <v>1.1000000000000001</v>
      </c>
      <c r="BJ3">
        <v>0.45</v>
      </c>
      <c r="BK3">
        <v>3.1</v>
      </c>
      <c r="BL3">
        <v>0.4</v>
      </c>
      <c r="BM3">
        <v>1.1000000000000001</v>
      </c>
      <c r="BN3">
        <v>0.89999999999999991</v>
      </c>
      <c r="BO3">
        <v>0.1</v>
      </c>
      <c r="BP3">
        <v>0.82187499999999991</v>
      </c>
      <c r="BQ3">
        <v>1.1000000000000001</v>
      </c>
      <c r="BR3">
        <v>0.4</v>
      </c>
      <c r="BS3">
        <v>1.1000000000000001</v>
      </c>
      <c r="BT3">
        <v>0.4</v>
      </c>
      <c r="BU3">
        <v>0.1</v>
      </c>
      <c r="BV3">
        <v>0.89999999999999991</v>
      </c>
      <c r="BW3">
        <v>0.4</v>
      </c>
      <c r="BX3">
        <v>0.55000000000000004</v>
      </c>
      <c r="BY3">
        <v>0.7</v>
      </c>
      <c r="BZ3">
        <v>0.4</v>
      </c>
      <c r="CA3">
        <v>0.4</v>
      </c>
      <c r="CB3">
        <v>1563.636363636364</v>
      </c>
      <c r="CC3">
        <v>0.4</v>
      </c>
      <c r="CD3">
        <v>545.4545454545455</v>
      </c>
      <c r="CE3">
        <v>0.5</v>
      </c>
      <c r="CF3">
        <v>836.36363636363637</v>
      </c>
      <c r="CI3">
        <v>403</v>
      </c>
      <c r="CJ3">
        <v>0.85</v>
      </c>
      <c r="CK3">
        <v>434</v>
      </c>
      <c r="CL3">
        <v>0.9</v>
      </c>
      <c r="CQ3">
        <v>337.5</v>
      </c>
      <c r="CR3">
        <v>283.14999999999998</v>
      </c>
      <c r="CS3">
        <v>459.375</v>
      </c>
      <c r="CT3">
        <v>283.14999999999998</v>
      </c>
      <c r="CU3">
        <v>862.5</v>
      </c>
      <c r="CV3">
        <v>283.14999999999998</v>
      </c>
      <c r="CW3">
        <v>10.033542352965441</v>
      </c>
      <c r="CX3">
        <v>283.14999999999998</v>
      </c>
      <c r="CY3">
        <v>11.27583657674989</v>
      </c>
      <c r="CZ3">
        <v>283.14999999999998</v>
      </c>
      <c r="DA3">
        <v>8.8903220636360594</v>
      </c>
      <c r="DB3">
        <v>283.14999999999998</v>
      </c>
      <c r="DC3" t="s">
        <v>276</v>
      </c>
      <c r="DD3">
        <v>0.85253436217243905</v>
      </c>
      <c r="DE3" t="s">
        <v>281</v>
      </c>
      <c r="DF3">
        <v>-0.40581222777527198</v>
      </c>
      <c r="DK3">
        <v>11.568635061591181</v>
      </c>
      <c r="DL3">
        <v>461.35</v>
      </c>
      <c r="DM3">
        <v>-0.6</v>
      </c>
      <c r="DN3">
        <v>360.22500000000002</v>
      </c>
      <c r="DQ3">
        <v>7.7712400857310699</v>
      </c>
      <c r="DR3">
        <v>283.14999999999998</v>
      </c>
      <c r="DS3">
        <v>8.5706234219916198</v>
      </c>
      <c r="DT3">
        <v>302.09285714285721</v>
      </c>
      <c r="DW3">
        <v>9.1922357201553702</v>
      </c>
      <c r="DX3">
        <v>2285.7142857142858</v>
      </c>
      <c r="DY3">
        <v>-0.6</v>
      </c>
      <c r="DZ3">
        <v>5500</v>
      </c>
      <c r="EA3">
        <v>-0.6</v>
      </c>
      <c r="EB3">
        <v>4857.1428571428569</v>
      </c>
      <c r="EC3">
        <v>7.2001370664999707</v>
      </c>
      <c r="ED3">
        <v>728.57142857142856</v>
      </c>
      <c r="EE3">
        <v>10.29690767870775</v>
      </c>
      <c r="EF3">
        <v>342.85714285714289</v>
      </c>
      <c r="EK3">
        <v>11.382367415957111</v>
      </c>
      <c r="EL3">
        <v>0.60000000000000009</v>
      </c>
      <c r="EM3">
        <v>-0.6</v>
      </c>
      <c r="EN3">
        <v>0.81428571428571428</v>
      </c>
      <c r="EQ3">
        <v>-0.6</v>
      </c>
      <c r="ER3">
        <v>0.38571428571428568</v>
      </c>
      <c r="ES3">
        <v>6.9271745654811507</v>
      </c>
      <c r="ET3">
        <v>0.71428571428571419</v>
      </c>
      <c r="EU3">
        <v>3.7630717940348402</v>
      </c>
      <c r="EV3">
        <v>0.43928571428571428</v>
      </c>
      <c r="EW3">
        <v>7.5840932821836686</v>
      </c>
      <c r="EX3">
        <v>0.43928571428571428</v>
      </c>
      <c r="EY3">
        <v>2.3620491231949399</v>
      </c>
      <c r="EZ3">
        <v>0.4</v>
      </c>
      <c r="FA3">
        <v>9.0531724265578397</v>
      </c>
      <c r="FB3">
        <v>0.95</v>
      </c>
      <c r="FE3">
        <v>8.5167681500787502</v>
      </c>
      <c r="FF3">
        <v>0.75357142857142856</v>
      </c>
      <c r="FG3">
        <v>6.18094896905352</v>
      </c>
      <c r="FH3">
        <v>0.43928571428571428</v>
      </c>
      <c r="FI3">
        <v>8.3486200220147389</v>
      </c>
      <c r="FJ3">
        <v>0.83214285714285707</v>
      </c>
      <c r="FK3">
        <v>8.6562081101418507</v>
      </c>
      <c r="FL3">
        <v>0.75357142857142856</v>
      </c>
      <c r="FM3">
        <v>-0.6</v>
      </c>
      <c r="FN3">
        <v>0.43928571428571428</v>
      </c>
      <c r="FO3" t="s">
        <v>280</v>
      </c>
      <c r="FP3">
        <v>5.7195594995633967E-2</v>
      </c>
      <c r="FQ3">
        <v>1.6528925619834711E-2</v>
      </c>
      <c r="FR3">
        <v>380.87365969128439</v>
      </c>
      <c r="FS3">
        <v>6.0422960725075529E-3</v>
      </c>
      <c r="FT3">
        <v>382.88765221798099</v>
      </c>
      <c r="FU3">
        <v>1.6528925619834711E-2</v>
      </c>
      <c r="FV3">
        <v>278.63927998838858</v>
      </c>
      <c r="FW3">
        <v>6.0422960725075529E-3</v>
      </c>
      <c r="FX3">
        <v>278.19245234681239</v>
      </c>
      <c r="FY3">
        <v>1.6528925619834711E-2</v>
      </c>
      <c r="FZ3">
        <v>2017.4898535705829</v>
      </c>
      <c r="GA3">
        <v>6.0422960725075529E-3</v>
      </c>
      <c r="GB3">
        <v>2026.7627517197891</v>
      </c>
      <c r="GC3">
        <v>1.6528925619834711E-2</v>
      </c>
      <c r="GD3">
        <v>558.16470135396094</v>
      </c>
      <c r="GE3">
        <v>6.0422960725075529E-3</v>
      </c>
      <c r="GF3">
        <v>304.7409728147116</v>
      </c>
      <c r="GG3">
        <v>1.6528925619834711E-2</v>
      </c>
      <c r="GH3">
        <v>0.50743555727804646</v>
      </c>
      <c r="GI3">
        <v>6.0422960725075529E-3</v>
      </c>
      <c r="GJ3">
        <v>0.50016995973274325</v>
      </c>
      <c r="GK3">
        <v>1.6528925619834711E-2</v>
      </c>
      <c r="GL3">
        <v>0.7507729107346055</v>
      </c>
      <c r="GM3">
        <v>6.0422960725075529E-3</v>
      </c>
      <c r="GN3">
        <v>0.75247122142857514</v>
      </c>
      <c r="GO3">
        <v>1.6528925619834711E-2</v>
      </c>
      <c r="GP3">
        <v>0.65399172998531518</v>
      </c>
      <c r="GQ3">
        <v>6.0422960725075529E-3</v>
      </c>
      <c r="GR3">
        <v>0.65091984214234255</v>
      </c>
      <c r="GS3">
        <v>1.6528925619834711E-2</v>
      </c>
      <c r="GT3">
        <v>0.60413871873976766</v>
      </c>
      <c r="GU3">
        <v>6.0422960725075529E-3</v>
      </c>
      <c r="GV3">
        <v>0.60122387118141185</v>
      </c>
      <c r="GW3">
        <v>1.6528925619834711E-2</v>
      </c>
      <c r="GX3">
        <v>0.60415546361995565</v>
      </c>
      <c r="GY3">
        <v>6.0422960725075529E-3</v>
      </c>
      <c r="GZ3">
        <v>0.60167189622596307</v>
      </c>
      <c r="HA3">
        <v>1.6528925619834711E-2</v>
      </c>
      <c r="HB3">
        <v>0.70345709550958657</v>
      </c>
      <c r="HC3">
        <v>6.0422960725075529E-3</v>
      </c>
      <c r="HD3">
        <v>0.70051810182539953</v>
      </c>
      <c r="HE3">
        <v>885.59006331456192</v>
      </c>
      <c r="HF3">
        <v>2967.685564843559</v>
      </c>
      <c r="HG3">
        <v>1228.609862350464</v>
      </c>
      <c r="HH3">
        <v>3600.2437005479292</v>
      </c>
      <c r="HI3">
        <v>1489.610249973807</v>
      </c>
      <c r="HJ3">
        <v>2317.767297101228</v>
      </c>
      <c r="HK3">
        <v>1483.107052397032</v>
      </c>
      <c r="HL3">
        <v>4020.0570555647082</v>
      </c>
      <c r="HM3">
        <v>347.13542630991373</v>
      </c>
      <c r="HN3">
        <v>4344.1781891148576</v>
      </c>
      <c r="HO3">
        <v>304.7409728147116</v>
      </c>
      <c r="HP3">
        <v>3678.498952336176</v>
      </c>
      <c r="HQ3">
        <v>1350.2081524096679</v>
      </c>
      <c r="HR3">
        <v>3466.398943143784</v>
      </c>
      <c r="HS3">
        <v>473.45227107083252</v>
      </c>
      <c r="HT3">
        <v>4629.4250474273622</v>
      </c>
      <c r="HU3">
        <v>2960.154283657168</v>
      </c>
      <c r="HV3">
        <v>4991.2342408864988</v>
      </c>
      <c r="HW3">
        <v>934.78989473494494</v>
      </c>
      <c r="HX3">
        <v>4991.2342408864988</v>
      </c>
      <c r="HY3" t="s">
        <v>278</v>
      </c>
      <c r="HZ3">
        <v>9.5668594169822999E-3</v>
      </c>
      <c r="IA3" t="s">
        <v>7622</v>
      </c>
      <c r="IB3">
        <v>8</v>
      </c>
      <c r="IC3">
        <v>6</v>
      </c>
      <c r="ID3" t="s">
        <v>7623</v>
      </c>
      <c r="IE3">
        <v>32</v>
      </c>
      <c r="IF3">
        <v>37</v>
      </c>
      <c r="IG3" t="s">
        <v>1191</v>
      </c>
      <c r="IH3">
        <v>53.333333333333343</v>
      </c>
      <c r="II3">
        <v>1965.6210847776449</v>
      </c>
      <c r="IJ3">
        <v>3207.5192377314611</v>
      </c>
      <c r="IK3">
        <v>1879.350696110967</v>
      </c>
      <c r="IL3">
        <v>4719.6773890534396</v>
      </c>
      <c r="IM3">
        <v>976.77855636983804</v>
      </c>
      <c r="IN3">
        <v>2085.1158458045138</v>
      </c>
      <c r="IO3">
        <v>934.08408169163738</v>
      </c>
      <c r="IP3">
        <v>3787.564501720889</v>
      </c>
      <c r="IS3">
        <v>1169.543677446062</v>
      </c>
      <c r="IT3">
        <v>4003.360745790174</v>
      </c>
      <c r="IU3">
        <v>257.70407658169597</v>
      </c>
      <c r="IV3">
        <v>3259.9230274503079</v>
      </c>
      <c r="IW3">
        <v>1267.927605355789</v>
      </c>
      <c r="IX3">
        <v>4027.7327712390052</v>
      </c>
      <c r="IY3">
        <v>0.75529828443009328</v>
      </c>
      <c r="IZ3">
        <v>385.1452257523793</v>
      </c>
      <c r="JA3">
        <v>0.89166414141511008</v>
      </c>
      <c r="JB3">
        <v>545.04147996965071</v>
      </c>
      <c r="JC3">
        <v>0.73933118490619076</v>
      </c>
      <c r="JD3">
        <v>438.1549755980534</v>
      </c>
      <c r="JE3">
        <v>0.85028305147975514</v>
      </c>
      <c r="JF3">
        <v>480.15852434812871</v>
      </c>
      <c r="JG3">
        <v>0.58271157632968351</v>
      </c>
      <c r="JH3">
        <v>565.63231634089698</v>
      </c>
      <c r="JI3">
        <v>0.8789817569559063</v>
      </c>
      <c r="JJ3">
        <v>585.21365528485887</v>
      </c>
      <c r="JK3">
        <v>0.94089478178502717</v>
      </c>
      <c r="JL3">
        <v>452.67255589245582</v>
      </c>
      <c r="JM3">
        <v>0.6699698035893451</v>
      </c>
      <c r="JN3">
        <v>507.09485430448223</v>
      </c>
      <c r="JO3">
        <v>0.63310956218371772</v>
      </c>
      <c r="JP3">
        <v>412.94615419908803</v>
      </c>
      <c r="JQ3">
        <v>0.73815251839393858</v>
      </c>
      <c r="JR3">
        <v>475.28121849647238</v>
      </c>
      <c r="JS3">
        <v>0.70282155892970177</v>
      </c>
      <c r="JT3">
        <v>600.78403148276834</v>
      </c>
      <c r="JU3">
        <v>0.6537626443852611</v>
      </c>
      <c r="JV3">
        <v>439.63264632872182</v>
      </c>
      <c r="JW3">
        <v>1932.6666732727331</v>
      </c>
      <c r="JX3">
        <v>0.62145524900639881</v>
      </c>
      <c r="JY3">
        <v>1265.4304229482609</v>
      </c>
      <c r="JZ3">
        <v>0.8164712982669472</v>
      </c>
      <c r="KA3">
        <v>1294.9319706275751</v>
      </c>
      <c r="KB3">
        <v>0.59833794342131263</v>
      </c>
      <c r="KC3">
        <v>437.28537169327842</v>
      </c>
      <c r="KD3">
        <v>0.72988515941546839</v>
      </c>
      <c r="KE3">
        <v>658.48729043467495</v>
      </c>
      <c r="KF3">
        <v>0.78081462524155221</v>
      </c>
      <c r="KG3">
        <v>1721.464243854768</v>
      </c>
      <c r="KH3">
        <v>0.58097422057185621</v>
      </c>
      <c r="KI3">
        <v>1242.2743898072649</v>
      </c>
      <c r="KJ3">
        <v>4808.3419580395002</v>
      </c>
      <c r="KK3">
        <v>300.78468468562818</v>
      </c>
      <c r="KL3">
        <v>4954.9351047237542</v>
      </c>
      <c r="KM3">
        <v>437.41919159985281</v>
      </c>
      <c r="KN3">
        <v>4547.9978017276799</v>
      </c>
      <c r="KO3">
        <v>1333.8122038909471</v>
      </c>
      <c r="KP3">
        <v>4259.7354851577074</v>
      </c>
      <c r="KQ3">
        <v>0.85</v>
      </c>
      <c r="KR3">
        <v>397.5</v>
      </c>
      <c r="KS3">
        <v>0.875</v>
      </c>
      <c r="KT3">
        <v>387.5</v>
      </c>
      <c r="KW3">
        <v>0.875</v>
      </c>
      <c r="KX3">
        <v>385</v>
      </c>
      <c r="KY3">
        <v>0.85</v>
      </c>
      <c r="KZ3">
        <v>392.5</v>
      </c>
      <c r="LC3">
        <v>0.875</v>
      </c>
      <c r="LD3">
        <v>387.5</v>
      </c>
      <c r="LE3">
        <v>0.875</v>
      </c>
      <c r="LF3">
        <v>385</v>
      </c>
      <c r="LG3">
        <v>0.9</v>
      </c>
      <c r="LH3">
        <v>390</v>
      </c>
      <c r="LI3">
        <v>0.85</v>
      </c>
      <c r="LJ3">
        <v>392.5</v>
      </c>
      <c r="LK3">
        <v>0.875</v>
      </c>
      <c r="LL3">
        <v>387.5</v>
      </c>
      <c r="LM3">
        <v>0.875</v>
      </c>
      <c r="LN3">
        <v>385</v>
      </c>
      <c r="LO3">
        <v>17</v>
      </c>
      <c r="LP3">
        <v>17</v>
      </c>
      <c r="LQ3">
        <v>17.7</v>
      </c>
      <c r="LR3">
        <v>17</v>
      </c>
      <c r="LS3">
        <v>16.3</v>
      </c>
      <c r="LT3">
        <v>17</v>
      </c>
      <c r="LU3">
        <v>15.599935760589929</v>
      </c>
      <c r="LV3">
        <v>15.59965738845141</v>
      </c>
      <c r="LW3">
        <v>15.599935760583859</v>
      </c>
      <c r="LX3">
        <v>15.59965738845141</v>
      </c>
      <c r="LY3">
        <v>12.79776015044396</v>
      </c>
      <c r="LZ3">
        <v>1</v>
      </c>
      <c r="MA3">
        <v>12.71872263705213</v>
      </c>
      <c r="MB3">
        <v>1</v>
      </c>
      <c r="MC3">
        <v>9.9264205461429302</v>
      </c>
      <c r="MD3">
        <v>1</v>
      </c>
      <c r="ME3">
        <v>10.234774683817429</v>
      </c>
      <c r="MF3">
        <v>1</v>
      </c>
      <c r="MG3">
        <v>9.6341067266772988</v>
      </c>
      <c r="MH3">
        <v>1</v>
      </c>
      <c r="MI3" t="s">
        <v>7624</v>
      </c>
      <c r="MJ3">
        <v>11</v>
      </c>
      <c r="MK3">
        <v>700</v>
      </c>
      <c r="ML3">
        <v>0.7</v>
      </c>
      <c r="MM3">
        <v>500</v>
      </c>
      <c r="MN3">
        <v>0.76</v>
      </c>
      <c r="MO3">
        <v>400</v>
      </c>
      <c r="MP3">
        <v>0.3</v>
      </c>
      <c r="MQ3">
        <v>700</v>
      </c>
      <c r="MR3">
        <v>0.4</v>
      </c>
      <c r="MS3">
        <v>300</v>
      </c>
      <c r="MT3">
        <v>0.55000000000000004</v>
      </c>
      <c r="MU3">
        <v>12.35372325098048</v>
      </c>
      <c r="MV3">
        <v>383.57142857142861</v>
      </c>
      <c r="MW3">
        <v>13.155806884554361</v>
      </c>
      <c r="MX3">
        <v>408.57142857142861</v>
      </c>
      <c r="MY3">
        <v>12.57211345384629</v>
      </c>
      <c r="MZ3">
        <v>274.57857142857142</v>
      </c>
      <c r="NA3">
        <v>13.09510736092207</v>
      </c>
      <c r="NB3">
        <v>286.00714285714281</v>
      </c>
      <c r="NC3">
        <v>12.06149842836869</v>
      </c>
      <c r="ND3">
        <v>2928.571428571428</v>
      </c>
      <c r="NE3">
        <v>11.3330600317638</v>
      </c>
      <c r="NF3">
        <v>2607.1428571428569</v>
      </c>
      <c r="NG3">
        <v>11.62985863251361</v>
      </c>
      <c r="NH3">
        <v>800</v>
      </c>
      <c r="NI3">
        <v>13.170444446252681</v>
      </c>
      <c r="NJ3">
        <v>650</v>
      </c>
      <c r="NK3">
        <v>10.2518067712797</v>
      </c>
      <c r="NL3">
        <v>0.65</v>
      </c>
      <c r="NM3">
        <v>13.17755558523389</v>
      </c>
      <c r="NN3">
        <v>0.875</v>
      </c>
      <c r="NQ3">
        <v>10.95318523603804</v>
      </c>
      <c r="NR3">
        <v>0.77857142857142858</v>
      </c>
      <c r="NS3">
        <v>12.60057899281016</v>
      </c>
      <c r="NT3">
        <v>0.62142857142857144</v>
      </c>
      <c r="NU3">
        <v>11.76548406888493</v>
      </c>
      <c r="NV3">
        <v>0.625</v>
      </c>
      <c r="NY3">
        <v>12.025499498000521</v>
      </c>
      <c r="NZ3">
        <v>0.43928571428571428</v>
      </c>
      <c r="OC3">
        <v>13.27270931580798</v>
      </c>
      <c r="OD3">
        <v>0.7</v>
      </c>
      <c r="OG3">
        <v>7.803175622828E-2</v>
      </c>
      <c r="OH3">
        <v>0.5</v>
      </c>
      <c r="OI3">
        <v>0</v>
      </c>
      <c r="OJ3">
        <v>0.35</v>
      </c>
      <c r="OK3">
        <v>0</v>
      </c>
      <c r="OL3">
        <v>0.42499999999999999</v>
      </c>
    </row>
    <row r="4" spans="1:402" x14ac:dyDescent="0.3">
      <c r="A4" t="s">
        <v>7625</v>
      </c>
      <c r="B4">
        <v>59</v>
      </c>
      <c r="C4">
        <v>106</v>
      </c>
      <c r="D4">
        <v>0</v>
      </c>
      <c r="E4">
        <v>3</v>
      </c>
      <c r="F4">
        <v>12</v>
      </c>
      <c r="I4">
        <v>3.2</v>
      </c>
      <c r="J4">
        <v>465.84444444444438</v>
      </c>
      <c r="M4">
        <v>1.2</v>
      </c>
      <c r="N4">
        <v>607.41944444444448</v>
      </c>
      <c r="O4">
        <v>0.2</v>
      </c>
      <c r="P4">
        <v>369.49479166666657</v>
      </c>
      <c r="Q4">
        <v>1.2</v>
      </c>
      <c r="R4">
        <v>287.68333333333328</v>
      </c>
      <c r="S4">
        <v>1.2</v>
      </c>
      <c r="T4">
        <v>2000</v>
      </c>
      <c r="U4">
        <v>0.2</v>
      </c>
      <c r="V4">
        <v>9000</v>
      </c>
      <c r="W4">
        <v>1.2</v>
      </c>
      <c r="X4">
        <v>450</v>
      </c>
      <c r="AA4">
        <v>1.2</v>
      </c>
      <c r="AB4">
        <v>0.43333333333333329</v>
      </c>
      <c r="AE4">
        <v>1.2</v>
      </c>
      <c r="AF4">
        <v>0.78333333333333333</v>
      </c>
      <c r="AG4">
        <v>1.2</v>
      </c>
      <c r="AH4">
        <v>0.69444444444444442</v>
      </c>
      <c r="AI4">
        <v>3.2</v>
      </c>
      <c r="AJ4">
        <v>0.76111111111111107</v>
      </c>
      <c r="AK4">
        <v>1.2</v>
      </c>
      <c r="AL4">
        <v>0.85</v>
      </c>
      <c r="AO4">
        <v>1.2</v>
      </c>
      <c r="AP4">
        <v>0.77222222222222225</v>
      </c>
      <c r="AQ4">
        <v>1.2</v>
      </c>
      <c r="AR4">
        <v>0.78333333333333333</v>
      </c>
      <c r="AS4">
        <v>0.75</v>
      </c>
      <c r="AT4">
        <v>690.90909090909099</v>
      </c>
      <c r="AU4">
        <v>390</v>
      </c>
      <c r="AV4">
        <v>981.81818181818198</v>
      </c>
      <c r="AW4">
        <v>434</v>
      </c>
      <c r="AX4">
        <v>981.81818181818198</v>
      </c>
      <c r="AY4">
        <v>403</v>
      </c>
      <c r="AZ4">
        <v>545.4545454545455</v>
      </c>
      <c r="BA4">
        <v>434</v>
      </c>
      <c r="BB4">
        <v>690.90909090909099</v>
      </c>
      <c r="BC4">
        <v>434</v>
      </c>
      <c r="BD4">
        <v>1836.363636363636</v>
      </c>
      <c r="BE4">
        <v>380</v>
      </c>
      <c r="BF4">
        <v>545.4545454545455</v>
      </c>
      <c r="BG4">
        <v>1.2</v>
      </c>
      <c r="BH4">
        <v>0.5</v>
      </c>
      <c r="BI4">
        <v>1.2</v>
      </c>
      <c r="BJ4">
        <v>0.5</v>
      </c>
      <c r="BK4">
        <v>3.2</v>
      </c>
      <c r="BL4">
        <v>0.55000000000000004</v>
      </c>
      <c r="BM4">
        <v>1.2</v>
      </c>
      <c r="BN4">
        <v>0.95</v>
      </c>
      <c r="BQ4">
        <v>1.2</v>
      </c>
      <c r="BR4">
        <v>0.5</v>
      </c>
      <c r="BS4">
        <v>1.2</v>
      </c>
      <c r="BT4">
        <v>0.45</v>
      </c>
      <c r="BW4">
        <v>0.4</v>
      </c>
      <c r="BX4">
        <v>0.5</v>
      </c>
      <c r="BY4">
        <v>0.7</v>
      </c>
      <c r="BZ4">
        <v>0.45</v>
      </c>
      <c r="CA4">
        <v>0.4</v>
      </c>
      <c r="CB4">
        <v>1709.090909090909</v>
      </c>
      <c r="CC4">
        <v>0.4</v>
      </c>
      <c r="CD4">
        <v>690.90909090909099</v>
      </c>
      <c r="CI4">
        <v>420</v>
      </c>
      <c r="CJ4">
        <v>0.95</v>
      </c>
      <c r="CK4">
        <v>434</v>
      </c>
      <c r="CL4">
        <v>0.95</v>
      </c>
      <c r="CQ4">
        <v>393.75</v>
      </c>
      <c r="CR4">
        <v>288.14999999999998</v>
      </c>
      <c r="CS4">
        <v>534.375</v>
      </c>
      <c r="CT4">
        <v>288.14999999999998</v>
      </c>
      <c r="CU4">
        <v>984.375</v>
      </c>
      <c r="CV4">
        <v>288.14999999999998</v>
      </c>
      <c r="CW4">
        <v>9.6060438726362207</v>
      </c>
      <c r="CX4">
        <v>288.14999999999998</v>
      </c>
      <c r="CY4">
        <v>10.62196052106462</v>
      </c>
      <c r="CZ4">
        <v>288.14999999999998</v>
      </c>
      <c r="DA4">
        <v>8.1091002655191495</v>
      </c>
      <c r="DB4">
        <v>288.14999999999998</v>
      </c>
      <c r="DC4" t="s">
        <v>278</v>
      </c>
      <c r="DD4">
        <v>1.377576864329459</v>
      </c>
      <c r="DE4" t="s">
        <v>271</v>
      </c>
      <c r="DF4">
        <v>-0.58115334091515525</v>
      </c>
      <c r="DK4">
        <v>11.35643745671123</v>
      </c>
      <c r="DL4">
        <v>481.57499999999999</v>
      </c>
      <c r="DM4">
        <v>-0.6</v>
      </c>
      <c r="DN4">
        <v>602.92499999999995</v>
      </c>
      <c r="DQ4">
        <v>7.944439444895619</v>
      </c>
      <c r="DR4">
        <v>287.52142857142849</v>
      </c>
      <c r="DS4">
        <v>8.623774447903509</v>
      </c>
      <c r="DT4">
        <v>303.55</v>
      </c>
      <c r="DW4">
        <v>8.6959099750911495</v>
      </c>
      <c r="DX4">
        <v>2928.571428571428</v>
      </c>
      <c r="DY4">
        <v>-0.6</v>
      </c>
      <c r="DZ4">
        <v>6785.7142857142853</v>
      </c>
      <c r="EC4">
        <v>6.5705952091731614</v>
      </c>
      <c r="ED4">
        <v>825</v>
      </c>
      <c r="EE4">
        <v>9.5555437829159899</v>
      </c>
      <c r="EF4">
        <v>439.28571428571428</v>
      </c>
      <c r="EK4">
        <v>8.2370094776091811</v>
      </c>
      <c r="EL4">
        <v>0.68571428571428572</v>
      </c>
      <c r="EM4">
        <v>-0.6</v>
      </c>
      <c r="EN4">
        <v>0.90000000000000013</v>
      </c>
      <c r="EQ4">
        <v>-0.6</v>
      </c>
      <c r="ER4">
        <v>0.3</v>
      </c>
      <c r="ES4">
        <v>7.8278018821846098</v>
      </c>
      <c r="ET4">
        <v>0.79285714285714282</v>
      </c>
      <c r="EU4">
        <v>4.2162545105130196</v>
      </c>
      <c r="EV4">
        <v>0.47857142857142859</v>
      </c>
      <c r="EW4">
        <v>7.7624840684167902</v>
      </c>
      <c r="EX4">
        <v>0.47857142857142859</v>
      </c>
      <c r="EY4">
        <v>4.2532457692730299</v>
      </c>
      <c r="EZ4">
        <v>0.47857142857142859</v>
      </c>
      <c r="FE4">
        <v>9.3578640335653702</v>
      </c>
      <c r="FF4">
        <v>0.83214285714285707</v>
      </c>
      <c r="FG4">
        <v>6.4103339482975503</v>
      </c>
      <c r="FH4">
        <v>0.47857142857142859</v>
      </c>
      <c r="FI4">
        <v>8.1987705445133905</v>
      </c>
      <c r="FJ4">
        <v>0.87142857142857144</v>
      </c>
      <c r="FK4">
        <v>8.7565764230868997</v>
      </c>
      <c r="FL4">
        <v>0.67500000000000004</v>
      </c>
      <c r="FM4">
        <v>-0.6</v>
      </c>
      <c r="FN4">
        <v>0.47857142857142859</v>
      </c>
      <c r="FO4" t="s">
        <v>279</v>
      </c>
      <c r="FP4">
        <v>3.8668493436284451E-2</v>
      </c>
      <c r="FQ4">
        <v>2.479338842975207E-2</v>
      </c>
      <c r="FR4">
        <v>381.18530084695283</v>
      </c>
      <c r="FS4">
        <v>9.0634441087613302E-3</v>
      </c>
      <c r="FT4">
        <v>383.11637780553531</v>
      </c>
      <c r="FU4">
        <v>2.479338842975207E-2</v>
      </c>
      <c r="FV4">
        <v>278.70712981874709</v>
      </c>
      <c r="FW4">
        <v>9.0634441087613302E-3</v>
      </c>
      <c r="FX4">
        <v>278.37207692644898</v>
      </c>
      <c r="FY4">
        <v>2.479338842975207E-2</v>
      </c>
      <c r="FZ4">
        <v>2032.2164942189361</v>
      </c>
      <c r="GA4">
        <v>9.0634441087613302E-3</v>
      </c>
      <c r="GB4">
        <v>2044.2419440197079</v>
      </c>
      <c r="GC4">
        <v>2.479338842975207E-2</v>
      </c>
      <c r="GD4">
        <v>607.32915360145648</v>
      </c>
      <c r="GE4">
        <v>9.0634441087613302E-3</v>
      </c>
      <c r="GF4">
        <v>306.85918415783817</v>
      </c>
      <c r="GG4">
        <v>2.479338842975207E-2</v>
      </c>
      <c r="GH4">
        <v>0.50989804151527252</v>
      </c>
      <c r="GI4">
        <v>9.0634441087613302E-3</v>
      </c>
      <c r="GJ4">
        <v>0.50157280112969926</v>
      </c>
      <c r="GK4">
        <v>2.479338842975207E-2</v>
      </c>
      <c r="GL4">
        <v>0.75164087646984312</v>
      </c>
      <c r="GM4">
        <v>9.0634441087613302E-3</v>
      </c>
      <c r="GN4">
        <v>0.7524825912187727</v>
      </c>
      <c r="GO4">
        <v>2.479338842975207E-2</v>
      </c>
      <c r="GP4">
        <v>0.65473135376191693</v>
      </c>
      <c r="GQ4">
        <v>9.0634441087613302E-3</v>
      </c>
      <c r="GR4">
        <v>0.65190659910705817</v>
      </c>
      <c r="GS4">
        <v>2.479338842975207E-2</v>
      </c>
      <c r="GT4">
        <v>0.60674561131960192</v>
      </c>
      <c r="GU4">
        <v>9.0634441087613302E-3</v>
      </c>
      <c r="GV4">
        <v>0.6025373210719519</v>
      </c>
      <c r="GW4">
        <v>2.479338842975207E-2</v>
      </c>
      <c r="GX4">
        <v>0.60530428826708049</v>
      </c>
      <c r="GY4">
        <v>9.0634441087613302E-3</v>
      </c>
      <c r="GZ4">
        <v>0.60185249475661173</v>
      </c>
      <c r="HA4">
        <v>2.479338842975207E-2</v>
      </c>
      <c r="HB4">
        <v>0.70439826807863259</v>
      </c>
      <c r="HC4">
        <v>9.0634441087613302E-3</v>
      </c>
      <c r="HD4">
        <v>0.70134963013532436</v>
      </c>
      <c r="HE4">
        <v>1434.311362270726</v>
      </c>
      <c r="HF4">
        <v>3682.6179643924288</v>
      </c>
      <c r="HG4">
        <v>920.14145857205085</v>
      </c>
      <c r="HH4">
        <v>3704.873890662413</v>
      </c>
      <c r="HI4">
        <v>752.45039440498363</v>
      </c>
      <c r="HJ4">
        <v>4074.3852917683948</v>
      </c>
      <c r="HK4">
        <v>1334.2338684319161</v>
      </c>
      <c r="HL4">
        <v>3440.0100955242892</v>
      </c>
      <c r="HM4">
        <v>782.52545153384744</v>
      </c>
      <c r="HN4">
        <v>4275.300864904254</v>
      </c>
      <c r="HO4">
        <v>306.85918415783817</v>
      </c>
      <c r="HP4">
        <v>3454.1609641972718</v>
      </c>
      <c r="HQ4">
        <v>1377.5145963458781</v>
      </c>
      <c r="HR4">
        <v>4631.0351358272801</v>
      </c>
      <c r="HS4">
        <v>398.5432911679855</v>
      </c>
      <c r="HT4">
        <v>4333.1156789015231</v>
      </c>
      <c r="HY4" t="s">
        <v>276</v>
      </c>
      <c r="HZ4">
        <v>-4.13820152979485E-2</v>
      </c>
      <c r="IA4" t="s">
        <v>7626</v>
      </c>
      <c r="IB4">
        <v>5</v>
      </c>
      <c r="IC4">
        <v>9</v>
      </c>
      <c r="ID4" t="s">
        <v>7627</v>
      </c>
      <c r="IE4">
        <v>24</v>
      </c>
      <c r="IF4">
        <v>43</v>
      </c>
      <c r="IG4" t="s">
        <v>1192</v>
      </c>
      <c r="IH4">
        <v>50</v>
      </c>
      <c r="IM4">
        <v>1720.241460276859</v>
      </c>
      <c r="IN4">
        <v>3136.9064640869392</v>
      </c>
      <c r="IO4">
        <v>955.74260065658677</v>
      </c>
      <c r="IP4">
        <v>3497.2603113745322</v>
      </c>
      <c r="IS4">
        <v>424.87524523048648</v>
      </c>
      <c r="IT4">
        <v>3038.1124234767881</v>
      </c>
      <c r="IU4">
        <v>1373.1686249731081</v>
      </c>
      <c r="IV4">
        <v>3051.570071415058</v>
      </c>
      <c r="IY4">
        <v>0.78217533477418999</v>
      </c>
      <c r="IZ4">
        <v>399.04622143462939</v>
      </c>
      <c r="JA4">
        <v>0.90282205960506279</v>
      </c>
      <c r="JB4">
        <v>531.40863723418909</v>
      </c>
      <c r="JC4">
        <v>0.76294601843647913</v>
      </c>
      <c r="JD4">
        <v>387.11693445952147</v>
      </c>
      <c r="JE4">
        <v>0.60631466680317059</v>
      </c>
      <c r="JF4">
        <v>542.90149199609311</v>
      </c>
      <c r="JG4">
        <v>0.77541054245042607</v>
      </c>
      <c r="JH4">
        <v>605.22765330639606</v>
      </c>
      <c r="JK4">
        <v>0.67273042484333367</v>
      </c>
      <c r="JL4">
        <v>423.9356102567582</v>
      </c>
      <c r="JM4">
        <v>0.77695326138124154</v>
      </c>
      <c r="JN4">
        <v>590.46188992077271</v>
      </c>
      <c r="JO4">
        <v>0.64108221852415648</v>
      </c>
      <c r="JP4">
        <v>390.60563403731862</v>
      </c>
      <c r="JQ4">
        <v>0.94685105384449797</v>
      </c>
      <c r="JR4">
        <v>568.24473711013059</v>
      </c>
      <c r="JS4">
        <v>0.5847588182307909</v>
      </c>
      <c r="JT4">
        <v>556.57310435850991</v>
      </c>
      <c r="JU4">
        <v>0.61160711350013386</v>
      </c>
      <c r="JV4">
        <v>500.51430313310141</v>
      </c>
      <c r="JW4">
        <v>1564.5774499356071</v>
      </c>
      <c r="JX4">
        <v>0.52171967635703898</v>
      </c>
      <c r="JY4">
        <v>1632.870834697738</v>
      </c>
      <c r="JZ4">
        <v>0.81434107163125402</v>
      </c>
      <c r="KA4">
        <v>1389.4417941046049</v>
      </c>
      <c r="KB4">
        <v>0.69590442031010069</v>
      </c>
      <c r="KC4">
        <v>1870.145025266477</v>
      </c>
      <c r="KD4">
        <v>0.59082193380124393</v>
      </c>
      <c r="KE4">
        <v>1689.3700736307101</v>
      </c>
      <c r="KF4">
        <v>0.79931333513456071</v>
      </c>
      <c r="KI4">
        <v>1482.1204041787539</v>
      </c>
      <c r="KJ4">
        <v>4753.3451451620222</v>
      </c>
      <c r="KK4">
        <v>1918.0919845881469</v>
      </c>
      <c r="KL4">
        <v>3375.5572293165328</v>
      </c>
      <c r="KM4">
        <v>1504.0078626409979</v>
      </c>
      <c r="KN4">
        <v>3280.6646797063681</v>
      </c>
      <c r="KO4">
        <v>1999.256496404628</v>
      </c>
      <c r="KP4">
        <v>2398.9007336073232</v>
      </c>
      <c r="KQ4">
        <v>0.85</v>
      </c>
      <c r="KR4">
        <v>395</v>
      </c>
      <c r="KS4">
        <v>0.9</v>
      </c>
      <c r="KT4">
        <v>387.5</v>
      </c>
      <c r="KW4">
        <v>0.9</v>
      </c>
      <c r="KX4">
        <v>385</v>
      </c>
      <c r="KY4">
        <v>0.85</v>
      </c>
      <c r="KZ4">
        <v>397.5</v>
      </c>
      <c r="LC4">
        <v>0.9</v>
      </c>
      <c r="LD4">
        <v>387.5</v>
      </c>
      <c r="LE4">
        <v>0.9</v>
      </c>
      <c r="LF4">
        <v>385</v>
      </c>
      <c r="LG4">
        <v>0.9</v>
      </c>
      <c r="LH4">
        <v>392.5</v>
      </c>
      <c r="LI4">
        <v>0.85</v>
      </c>
      <c r="LJ4">
        <v>395</v>
      </c>
      <c r="LK4">
        <v>0.9</v>
      </c>
      <c r="LL4">
        <v>387.5</v>
      </c>
      <c r="LM4">
        <v>0.9</v>
      </c>
      <c r="LN4">
        <v>385</v>
      </c>
      <c r="LW4">
        <v>12.729574184993171</v>
      </c>
      <c r="LX4">
        <v>12.731864501081271</v>
      </c>
      <c r="LY4">
        <v>13.2574465374705</v>
      </c>
      <c r="LZ4">
        <v>2</v>
      </c>
      <c r="MA4">
        <v>13.38063968777891</v>
      </c>
      <c r="MB4">
        <v>2</v>
      </c>
      <c r="MC4">
        <v>10.563402903719791</v>
      </c>
      <c r="MD4">
        <v>2</v>
      </c>
      <c r="ME4">
        <v>11.06076777930363</v>
      </c>
      <c r="MF4">
        <v>2</v>
      </c>
      <c r="MG4">
        <v>10.196928404841691</v>
      </c>
      <c r="MH4">
        <v>2</v>
      </c>
      <c r="MI4" t="s">
        <v>7628</v>
      </c>
      <c r="MJ4">
        <v>12</v>
      </c>
      <c r="MK4">
        <v>600</v>
      </c>
      <c r="ML4">
        <v>0.7</v>
      </c>
      <c r="MM4">
        <v>600</v>
      </c>
      <c r="MN4">
        <v>0.79</v>
      </c>
      <c r="MO4">
        <v>300</v>
      </c>
      <c r="MP4">
        <v>0.3</v>
      </c>
      <c r="MQ4">
        <v>500</v>
      </c>
      <c r="MR4">
        <v>0.4</v>
      </c>
      <c r="MS4">
        <v>400</v>
      </c>
      <c r="MT4">
        <v>0.6</v>
      </c>
      <c r="MU4">
        <v>12.488109644201019</v>
      </c>
      <c r="MV4">
        <v>387.14285714285722</v>
      </c>
      <c r="MW4">
        <v>13.236375423773151</v>
      </c>
      <c r="MX4">
        <v>412.14285714285722</v>
      </c>
      <c r="MY4">
        <v>12.699571982744381</v>
      </c>
      <c r="MZ4">
        <v>277.43571428571431</v>
      </c>
      <c r="NA4">
        <v>13.15702847309799</v>
      </c>
      <c r="NB4">
        <v>287.43571428571431</v>
      </c>
      <c r="NC4">
        <v>12.27197794772116</v>
      </c>
      <c r="ND4">
        <v>3035.7142857142858</v>
      </c>
      <c r="NE4">
        <v>11.59332997056927</v>
      </c>
      <c r="NF4">
        <v>2714.2857142857142</v>
      </c>
      <c r="NG4">
        <v>12.581314446066379</v>
      </c>
      <c r="NH4">
        <v>700</v>
      </c>
      <c r="NI4">
        <v>14.377204281446151</v>
      </c>
      <c r="NJ4">
        <v>550</v>
      </c>
      <c r="NK4">
        <v>10.781595749116279</v>
      </c>
      <c r="NL4">
        <v>0.67499999999999993</v>
      </c>
      <c r="NM4">
        <v>13.33919494068688</v>
      </c>
      <c r="NN4">
        <v>0.89999999999999991</v>
      </c>
      <c r="NQ4">
        <v>10.5343266263611</v>
      </c>
      <c r="NR4">
        <v>0.75</v>
      </c>
      <c r="NS4">
        <v>12.62019907503039</v>
      </c>
      <c r="NT4">
        <v>0.64285714285714279</v>
      </c>
      <c r="NU4">
        <v>11.88957761422312</v>
      </c>
      <c r="NV4">
        <v>0.65</v>
      </c>
      <c r="NY4">
        <v>12.11129931177198</v>
      </c>
      <c r="NZ4">
        <v>0.47857142857142859</v>
      </c>
      <c r="OC4">
        <v>13.68561535292171</v>
      </c>
      <c r="OD4">
        <v>0.78928571428571426</v>
      </c>
      <c r="OG4">
        <v>4.09051500965343</v>
      </c>
      <c r="OH4">
        <v>0.52499999999999991</v>
      </c>
      <c r="OI4">
        <v>0</v>
      </c>
      <c r="OJ4">
        <v>0.32500000000000001</v>
      </c>
      <c r="OK4">
        <v>0</v>
      </c>
      <c r="OL4">
        <v>0.39999999999999991</v>
      </c>
    </row>
    <row r="5" spans="1:402" x14ac:dyDescent="0.3">
      <c r="A5" t="s">
        <v>7629</v>
      </c>
      <c r="B5">
        <v>20</v>
      </c>
      <c r="C5">
        <v>133</v>
      </c>
      <c r="D5">
        <v>1</v>
      </c>
      <c r="E5">
        <v>67</v>
      </c>
      <c r="F5">
        <v>4</v>
      </c>
      <c r="I5">
        <v>3</v>
      </c>
      <c r="J5">
        <v>497.30555555555549</v>
      </c>
      <c r="M5">
        <v>1</v>
      </c>
      <c r="N5">
        <v>355.73055555555561</v>
      </c>
      <c r="O5">
        <v>0</v>
      </c>
      <c r="P5">
        <v>368.51163194444439</v>
      </c>
      <c r="Q5">
        <v>1</v>
      </c>
      <c r="R5">
        <v>289.95</v>
      </c>
      <c r="S5">
        <v>1</v>
      </c>
      <c r="T5">
        <v>5000</v>
      </c>
      <c r="U5">
        <v>0</v>
      </c>
      <c r="V5">
        <v>8000</v>
      </c>
      <c r="W5">
        <v>1</v>
      </c>
      <c r="X5">
        <v>600</v>
      </c>
      <c r="AA5">
        <v>1</v>
      </c>
      <c r="AB5">
        <v>0.6333333333333333</v>
      </c>
      <c r="AE5">
        <v>1</v>
      </c>
      <c r="AF5">
        <v>0.81666666666666665</v>
      </c>
      <c r="AG5">
        <v>1</v>
      </c>
      <c r="AH5">
        <v>0.73888888888888893</v>
      </c>
      <c r="AI5">
        <v>3</v>
      </c>
      <c r="AJ5">
        <v>0.78333333333333333</v>
      </c>
      <c r="AO5">
        <v>1</v>
      </c>
      <c r="AP5">
        <v>0.78333333333333333</v>
      </c>
      <c r="AQ5">
        <v>1</v>
      </c>
      <c r="AR5">
        <v>0.77222222222222225</v>
      </c>
      <c r="AS5">
        <v>0.75</v>
      </c>
      <c r="AT5">
        <v>981.81818181818198</v>
      </c>
      <c r="AU5">
        <v>390</v>
      </c>
      <c r="AV5">
        <v>1127.2727272727279</v>
      </c>
      <c r="AW5">
        <v>434</v>
      </c>
      <c r="AX5">
        <v>1418.181818181818</v>
      </c>
      <c r="AY5">
        <v>420</v>
      </c>
      <c r="AZ5">
        <v>400</v>
      </c>
      <c r="BA5">
        <v>434</v>
      </c>
      <c r="BB5">
        <v>836.36363636363637</v>
      </c>
      <c r="BE5">
        <v>380</v>
      </c>
      <c r="BF5">
        <v>836.36363636363637</v>
      </c>
      <c r="BG5">
        <v>1</v>
      </c>
      <c r="BH5">
        <v>0.55000000000000004</v>
      </c>
      <c r="BI5">
        <v>1</v>
      </c>
      <c r="BJ5">
        <v>0.55000000000000004</v>
      </c>
      <c r="BK5">
        <v>3</v>
      </c>
      <c r="BL5">
        <v>0.45</v>
      </c>
      <c r="BM5">
        <v>1</v>
      </c>
      <c r="BN5">
        <v>0.85</v>
      </c>
      <c r="BQ5">
        <v>1</v>
      </c>
      <c r="BR5">
        <v>0.6</v>
      </c>
      <c r="BS5">
        <v>1</v>
      </c>
      <c r="BT5">
        <v>0.55000000000000004</v>
      </c>
      <c r="BW5">
        <v>0.4</v>
      </c>
      <c r="BX5">
        <v>0.45</v>
      </c>
      <c r="BY5">
        <v>0.7</v>
      </c>
      <c r="BZ5">
        <v>0.5</v>
      </c>
      <c r="CA5">
        <v>0.4</v>
      </c>
      <c r="CB5">
        <v>1854.545454545455</v>
      </c>
      <c r="CC5">
        <v>0.4</v>
      </c>
      <c r="CD5">
        <v>836.36363636363637</v>
      </c>
      <c r="CI5">
        <v>420</v>
      </c>
      <c r="CJ5">
        <v>0.85</v>
      </c>
      <c r="CK5">
        <v>466</v>
      </c>
      <c r="CL5">
        <v>0.9</v>
      </c>
      <c r="CQ5">
        <v>459.375</v>
      </c>
      <c r="CR5">
        <v>293.14999999999998</v>
      </c>
      <c r="CS5">
        <v>618.75</v>
      </c>
      <c r="CT5">
        <v>293.14999999999998</v>
      </c>
      <c r="CU5">
        <v>1115.625</v>
      </c>
      <c r="CV5">
        <v>293.14999999999998</v>
      </c>
      <c r="CW5">
        <v>9.1430772770279312</v>
      </c>
      <c r="CX5">
        <v>293.14999999999998</v>
      </c>
      <c r="CY5">
        <v>9.9568233658744401</v>
      </c>
      <c r="CZ5">
        <v>293.14999999999998</v>
      </c>
      <c r="DA5">
        <v>7.3420920417465103</v>
      </c>
      <c r="DB5">
        <v>293.14999999999998</v>
      </c>
      <c r="DC5" t="s">
        <v>274</v>
      </c>
      <c r="DD5">
        <v>3.6673940032739898</v>
      </c>
      <c r="DE5" t="s">
        <v>279</v>
      </c>
      <c r="DF5">
        <v>0.64385184122385997</v>
      </c>
      <c r="DK5">
        <v>11.307554606459391</v>
      </c>
      <c r="DL5">
        <v>522.02499999999998</v>
      </c>
      <c r="DM5">
        <v>-0.6</v>
      </c>
      <c r="DN5">
        <v>623.15</v>
      </c>
      <c r="DQ5">
        <v>7.8859198140672202</v>
      </c>
      <c r="DR5">
        <v>286.06428571428569</v>
      </c>
      <c r="DW5">
        <v>7.73560545666684</v>
      </c>
      <c r="DX5">
        <v>1642.8571428571429</v>
      </c>
      <c r="DY5">
        <v>-0.6</v>
      </c>
      <c r="DZ5">
        <v>7428.5714285714284</v>
      </c>
      <c r="EC5">
        <v>6.0067627392746097</v>
      </c>
      <c r="ED5">
        <v>921.42857142857144</v>
      </c>
      <c r="EE5">
        <v>8.7279709887487211</v>
      </c>
      <c r="EF5">
        <v>535.71428571428578</v>
      </c>
      <c r="EK5">
        <v>10.62093803633538</v>
      </c>
      <c r="EL5">
        <v>0.55714285714285716</v>
      </c>
      <c r="ES5">
        <v>7.3776698308264406</v>
      </c>
      <c r="ET5">
        <v>0.75357142857142856</v>
      </c>
      <c r="EU5">
        <v>4.6690443548779301</v>
      </c>
      <c r="EV5">
        <v>0.5178571428571429</v>
      </c>
      <c r="EW5">
        <v>7.9136166498309306</v>
      </c>
      <c r="EX5">
        <v>0.5178571428571429</v>
      </c>
      <c r="EY5">
        <v>4.98511165795313</v>
      </c>
      <c r="EZ5">
        <v>0.5178571428571429</v>
      </c>
      <c r="FE5">
        <v>9.8391837047449506</v>
      </c>
      <c r="FF5">
        <v>0.87142857142857144</v>
      </c>
      <c r="FG5">
        <v>6.6540621975119301</v>
      </c>
      <c r="FH5">
        <v>0.5178571428571429</v>
      </c>
      <c r="FI5">
        <v>7.9354097060928996</v>
      </c>
      <c r="FJ5">
        <v>0.95</v>
      </c>
      <c r="FK5">
        <v>8.4548540086650501</v>
      </c>
      <c r="FL5">
        <v>0.59642857142857142</v>
      </c>
      <c r="FM5">
        <v>-0.6</v>
      </c>
      <c r="FN5">
        <v>0.5178571428571429</v>
      </c>
      <c r="FO5" t="s">
        <v>274</v>
      </c>
      <c r="FP5">
        <v>2.3942365943784572E-2</v>
      </c>
      <c r="FQ5">
        <v>3.3057851239669422E-2</v>
      </c>
      <c r="FR5">
        <v>381.80169733541891</v>
      </c>
      <c r="FS5">
        <v>1.2084592145015109E-2</v>
      </c>
      <c r="FT5">
        <v>383.21140262990849</v>
      </c>
      <c r="FU5">
        <v>3.3057851239669422E-2</v>
      </c>
      <c r="FV5">
        <v>278.77937783502881</v>
      </c>
      <c r="FW5">
        <v>1.2084592145015109E-2</v>
      </c>
      <c r="FX5">
        <v>278.45346248214878</v>
      </c>
      <c r="FY5">
        <v>3.3057851239669422E-2</v>
      </c>
      <c r="FZ5">
        <v>2046.947027378186</v>
      </c>
      <c r="GA5">
        <v>1.2084592145015109E-2</v>
      </c>
      <c r="GB5">
        <v>2048.6779538172118</v>
      </c>
      <c r="GC5">
        <v>3.3057851239669422E-2</v>
      </c>
      <c r="GD5">
        <v>634.29698301898202</v>
      </c>
      <c r="GE5">
        <v>1.2084592145015109E-2</v>
      </c>
      <c r="GF5">
        <v>308.76194064180208</v>
      </c>
      <c r="GG5">
        <v>3.3057851239669422E-2</v>
      </c>
      <c r="GH5">
        <v>0.5108428268721068</v>
      </c>
      <c r="GI5">
        <v>1.2084592145015109E-2</v>
      </c>
      <c r="GJ5">
        <v>0.50238355311783867</v>
      </c>
      <c r="GK5">
        <v>3.3057851239669422E-2</v>
      </c>
      <c r="GL5">
        <v>0.75388535475435947</v>
      </c>
      <c r="GM5">
        <v>1.2084592145015109E-2</v>
      </c>
      <c r="GN5">
        <v>0.75275387019349549</v>
      </c>
      <c r="GO5">
        <v>3.3057851239669422E-2</v>
      </c>
      <c r="GP5">
        <v>0.65487452823960668</v>
      </c>
      <c r="GQ5">
        <v>1.2084592145015109E-2</v>
      </c>
      <c r="GR5">
        <v>0.65269198884521962</v>
      </c>
      <c r="GS5">
        <v>3.3057851239669422E-2</v>
      </c>
      <c r="GT5">
        <v>0.60867781306245305</v>
      </c>
      <c r="GU5">
        <v>1.2084592145015109E-2</v>
      </c>
      <c r="GV5">
        <v>0.6031970463922085</v>
      </c>
      <c r="GW5">
        <v>3.3057851239669422E-2</v>
      </c>
      <c r="GX5">
        <v>0.6189841475039134</v>
      </c>
      <c r="GY5">
        <v>1.2084592145015109E-2</v>
      </c>
      <c r="GZ5">
        <v>0.60320655684245839</v>
      </c>
      <c r="HA5">
        <v>3.3057851239669422E-2</v>
      </c>
      <c r="HB5">
        <v>0.70784310130544226</v>
      </c>
      <c r="HC5">
        <v>1.2084592145015109E-2</v>
      </c>
      <c r="HD5">
        <v>0.70172118386648663</v>
      </c>
      <c r="HE5">
        <v>668.3467653773705</v>
      </c>
      <c r="HF5">
        <v>3558.4432046992929</v>
      </c>
      <c r="HG5">
        <v>1479.809375298441</v>
      </c>
      <c r="HH5">
        <v>3850.0014830623049</v>
      </c>
      <c r="HI5">
        <v>853.35442767123982</v>
      </c>
      <c r="HJ5">
        <v>3368.976964654717</v>
      </c>
      <c r="HK5">
        <v>366.23079889621209</v>
      </c>
      <c r="HL5">
        <v>2081.421554425518</v>
      </c>
      <c r="HM5">
        <v>463.53699324956199</v>
      </c>
      <c r="HN5">
        <v>4866.2286470012423</v>
      </c>
      <c r="HO5">
        <v>367.77141340825159</v>
      </c>
      <c r="HP5">
        <v>2771.6865619785408</v>
      </c>
      <c r="HQ5">
        <v>790.34816799795499</v>
      </c>
      <c r="HR5">
        <v>2851.532116984768</v>
      </c>
      <c r="HS5">
        <v>383.19197587115201</v>
      </c>
      <c r="HT5">
        <v>4672.0487492358943</v>
      </c>
      <c r="HY5" t="s">
        <v>281</v>
      </c>
      <c r="HZ5">
        <v>8.3141722768132004E-2</v>
      </c>
      <c r="IA5" t="s">
        <v>7630</v>
      </c>
      <c r="IB5">
        <v>7</v>
      </c>
      <c r="IC5">
        <v>18</v>
      </c>
      <c r="ID5" t="s">
        <v>7631</v>
      </c>
      <c r="IE5">
        <v>19</v>
      </c>
      <c r="IF5">
        <v>42</v>
      </c>
      <c r="IG5" t="s">
        <v>1193</v>
      </c>
      <c r="IH5">
        <v>66.666666666666657</v>
      </c>
      <c r="IM5">
        <v>724.92788439780691</v>
      </c>
      <c r="IN5">
        <v>2398.19249006572</v>
      </c>
      <c r="IO5">
        <v>1253.143857069151</v>
      </c>
      <c r="IP5">
        <v>3943.3302381233789</v>
      </c>
      <c r="IS5">
        <v>990.15000075526723</v>
      </c>
      <c r="IT5">
        <v>2350.886432513078</v>
      </c>
      <c r="IU5">
        <v>858.82421908959827</v>
      </c>
      <c r="IV5">
        <v>4414.5098926984574</v>
      </c>
      <c r="IY5">
        <v>0.92344951664261243</v>
      </c>
      <c r="IZ5">
        <v>391.15834678542791</v>
      </c>
      <c r="JA5">
        <v>0.69501754038255226</v>
      </c>
      <c r="JB5">
        <v>520.06747828813002</v>
      </c>
      <c r="JC5">
        <v>0.87178429859530771</v>
      </c>
      <c r="JD5">
        <v>381.6092851157166</v>
      </c>
      <c r="JE5">
        <v>0.40209211182061588</v>
      </c>
      <c r="JF5">
        <v>486.71119117593929</v>
      </c>
      <c r="JG5">
        <v>0.85433083223018236</v>
      </c>
      <c r="JH5">
        <v>592.56785175048071</v>
      </c>
      <c r="JK5">
        <v>0.84037595665846576</v>
      </c>
      <c r="JL5">
        <v>398.18507032709613</v>
      </c>
      <c r="JM5">
        <v>0.78760998277328598</v>
      </c>
      <c r="JN5">
        <v>551.00908429314654</v>
      </c>
      <c r="JO5">
        <v>0.76741785449911193</v>
      </c>
      <c r="JP5">
        <v>425.00564053262377</v>
      </c>
      <c r="JQ5">
        <v>0.53237204585097397</v>
      </c>
      <c r="JR5">
        <v>491.4082682154102</v>
      </c>
      <c r="JS5">
        <v>0.54714041658184298</v>
      </c>
      <c r="JT5">
        <v>594.17324603531767</v>
      </c>
      <c r="JU5">
        <v>0.825126637493099</v>
      </c>
      <c r="JV5">
        <v>486.35540685896638</v>
      </c>
      <c r="JW5">
        <v>1901.5702917430101</v>
      </c>
      <c r="JX5">
        <v>0.67228893140282153</v>
      </c>
      <c r="JY5">
        <v>1363.683993216255</v>
      </c>
      <c r="JZ5">
        <v>0.71009774279764859</v>
      </c>
      <c r="KA5">
        <v>634.73010691149636</v>
      </c>
      <c r="KB5">
        <v>0.53808781431731612</v>
      </c>
      <c r="KC5">
        <v>1855.9109619085441</v>
      </c>
      <c r="KD5">
        <v>0.51304542732066238</v>
      </c>
      <c r="KE5">
        <v>1644.8681932368729</v>
      </c>
      <c r="KF5">
        <v>0.77958950991192122</v>
      </c>
      <c r="KI5">
        <v>1318.3171169146381</v>
      </c>
      <c r="KJ5">
        <v>2523.4186201739399</v>
      </c>
      <c r="KK5">
        <v>1765.702530021576</v>
      </c>
      <c r="KL5">
        <v>2660.445962270247</v>
      </c>
      <c r="KM5">
        <v>1063.7013208656419</v>
      </c>
      <c r="KN5">
        <v>2881.6161930208809</v>
      </c>
      <c r="KO5">
        <v>482.25144750581683</v>
      </c>
      <c r="KP5">
        <v>3898.3140407682449</v>
      </c>
      <c r="KQ5">
        <v>0.85</v>
      </c>
      <c r="KR5">
        <v>392.5</v>
      </c>
      <c r="KS5">
        <v>0.92500000000000004</v>
      </c>
      <c r="KT5">
        <v>387.5</v>
      </c>
      <c r="KW5">
        <v>0.92500000000000004</v>
      </c>
      <c r="KX5">
        <v>385</v>
      </c>
      <c r="KY5">
        <v>0.85</v>
      </c>
      <c r="KZ5">
        <v>395</v>
      </c>
      <c r="LC5">
        <v>0.92500000000000004</v>
      </c>
      <c r="LD5">
        <v>387.5</v>
      </c>
      <c r="LE5">
        <v>0.92500000000000004</v>
      </c>
      <c r="LF5">
        <v>385</v>
      </c>
      <c r="LG5">
        <v>0.92500000000000004</v>
      </c>
      <c r="LH5">
        <v>390</v>
      </c>
      <c r="LI5">
        <v>0.85</v>
      </c>
      <c r="LJ5">
        <v>397.5</v>
      </c>
      <c r="LK5">
        <v>0.92500000000000004</v>
      </c>
      <c r="LL5">
        <v>387.5</v>
      </c>
      <c r="LM5">
        <v>0.92500000000000004</v>
      </c>
      <c r="LN5">
        <v>385</v>
      </c>
      <c r="LY5">
        <v>13.687946280368671</v>
      </c>
      <c r="LZ5">
        <v>3</v>
      </c>
      <c r="MA5">
        <v>13.89941578479586</v>
      </c>
      <c r="MB5">
        <v>3</v>
      </c>
      <c r="MC5">
        <v>11.211090699093569</v>
      </c>
      <c r="MD5">
        <v>3</v>
      </c>
      <c r="ME5">
        <v>12.57057628767882</v>
      </c>
      <c r="MF5">
        <v>3</v>
      </c>
      <c r="MG5">
        <v>10.375298602486451</v>
      </c>
      <c r="MH5">
        <v>3</v>
      </c>
      <c r="MI5" t="s">
        <v>7632</v>
      </c>
      <c r="MJ5">
        <v>1</v>
      </c>
      <c r="MK5">
        <v>900</v>
      </c>
      <c r="ML5">
        <v>0.7</v>
      </c>
      <c r="MM5">
        <v>500</v>
      </c>
      <c r="MN5">
        <v>0.79</v>
      </c>
      <c r="MO5">
        <v>500</v>
      </c>
      <c r="MP5">
        <v>0.3</v>
      </c>
      <c r="MQ5">
        <v>200</v>
      </c>
      <c r="MR5">
        <v>0.4</v>
      </c>
      <c r="MS5">
        <v>500</v>
      </c>
      <c r="MT5">
        <v>0.65</v>
      </c>
      <c r="MU5">
        <v>12.73637660744955</v>
      </c>
      <c r="MV5">
        <v>394.28571428571428</v>
      </c>
      <c r="MW5">
        <v>13.303695334315419</v>
      </c>
      <c r="MX5">
        <v>415.71428571428572</v>
      </c>
      <c r="MY5">
        <v>12.76433110190319</v>
      </c>
      <c r="MZ5">
        <v>278.8642857142857</v>
      </c>
      <c r="NA5">
        <v>13.215885882560549</v>
      </c>
      <c r="NB5">
        <v>288.8642857142857</v>
      </c>
      <c r="NC5">
        <v>12.46816263017079</v>
      </c>
      <c r="ND5">
        <v>3142.8571428571431</v>
      </c>
      <c r="NG5">
        <v>11.17164861327897</v>
      </c>
      <c r="NH5">
        <v>850</v>
      </c>
      <c r="NI5">
        <v>13.75268677295411</v>
      </c>
      <c r="NJ5">
        <v>600</v>
      </c>
      <c r="NK5">
        <v>11.23217741708438</v>
      </c>
      <c r="NL5">
        <v>0.7</v>
      </c>
      <c r="NM5">
        <v>13.34349037425598</v>
      </c>
      <c r="NN5">
        <v>0.95</v>
      </c>
      <c r="NQ5">
        <v>11.371912022639041</v>
      </c>
      <c r="NR5">
        <v>0.80714285714285716</v>
      </c>
      <c r="NS5">
        <v>12.638548644484491</v>
      </c>
      <c r="NT5">
        <v>0.66428571428571426</v>
      </c>
      <c r="NU5">
        <v>12.12013477638188</v>
      </c>
      <c r="NV5">
        <v>0.7</v>
      </c>
      <c r="NY5">
        <v>12.19808225860011</v>
      </c>
      <c r="NZ5">
        <v>0.51785714285714279</v>
      </c>
      <c r="OC5">
        <v>13.67598418117441</v>
      </c>
      <c r="OD5">
        <v>0.77142857142857135</v>
      </c>
      <c r="OG5">
        <v>8.816445146584611</v>
      </c>
      <c r="OH5">
        <v>0.6</v>
      </c>
      <c r="OI5">
        <v>0</v>
      </c>
      <c r="OJ5">
        <v>0.375</v>
      </c>
      <c r="OK5">
        <v>0</v>
      </c>
      <c r="OL5">
        <v>0.47499999999999998</v>
      </c>
    </row>
    <row r="6" spans="1:402" x14ac:dyDescent="0.3">
      <c r="A6" t="s">
        <v>7633</v>
      </c>
      <c r="B6">
        <v>153</v>
      </c>
      <c r="C6">
        <v>113</v>
      </c>
      <c r="D6">
        <v>3</v>
      </c>
      <c r="E6">
        <v>51</v>
      </c>
      <c r="F6">
        <v>0</v>
      </c>
      <c r="I6">
        <v>3.1</v>
      </c>
      <c r="J6">
        <v>560.22777777777776</v>
      </c>
      <c r="M6">
        <v>1.1000000000000001</v>
      </c>
      <c r="N6">
        <v>363.5958333333333</v>
      </c>
      <c r="O6">
        <v>0.1</v>
      </c>
      <c r="P6">
        <v>600.04574652777774</v>
      </c>
      <c r="Q6">
        <v>1.1000000000000001</v>
      </c>
      <c r="R6">
        <v>292.21666666666658</v>
      </c>
      <c r="S6">
        <v>1.1000000000000001</v>
      </c>
      <c r="T6">
        <v>4000</v>
      </c>
      <c r="U6">
        <v>0.1</v>
      </c>
      <c r="V6">
        <v>5500</v>
      </c>
      <c r="W6">
        <v>1.1000000000000001</v>
      </c>
      <c r="X6">
        <v>1200</v>
      </c>
      <c r="AA6">
        <v>1.1000000000000001</v>
      </c>
      <c r="AB6">
        <v>0.56666666666666665</v>
      </c>
      <c r="AE6">
        <v>1.1000000000000001</v>
      </c>
      <c r="AF6">
        <v>0.8</v>
      </c>
      <c r="AG6">
        <v>1.1000000000000001</v>
      </c>
      <c r="AH6">
        <v>0.71666666666666667</v>
      </c>
      <c r="AI6">
        <v>3.1</v>
      </c>
      <c r="AJ6">
        <v>0.80555555555555558</v>
      </c>
      <c r="AO6">
        <v>1.1000000000000001</v>
      </c>
      <c r="AP6">
        <v>0.7944444444444444</v>
      </c>
      <c r="AQ6">
        <v>1.1000000000000001</v>
      </c>
      <c r="AR6">
        <v>0.7944444444444444</v>
      </c>
      <c r="AS6">
        <v>0.75</v>
      </c>
      <c r="AT6">
        <v>836.36363636363637</v>
      </c>
      <c r="AU6">
        <v>390</v>
      </c>
      <c r="AV6">
        <v>690.90909090909099</v>
      </c>
      <c r="AW6">
        <v>434</v>
      </c>
      <c r="AX6">
        <v>1563.636363636364</v>
      </c>
      <c r="AY6">
        <v>420</v>
      </c>
      <c r="AZ6">
        <v>545.4545454545455</v>
      </c>
      <c r="BA6">
        <v>466</v>
      </c>
      <c r="BB6">
        <v>400</v>
      </c>
      <c r="BE6">
        <v>380</v>
      </c>
      <c r="BF6">
        <v>981.81818181818198</v>
      </c>
      <c r="BG6">
        <v>1.1000000000000001</v>
      </c>
      <c r="BH6">
        <v>0.6</v>
      </c>
      <c r="BI6">
        <v>1.1000000000000001</v>
      </c>
      <c r="BJ6">
        <v>0.6</v>
      </c>
      <c r="BK6">
        <v>3.1</v>
      </c>
      <c r="BL6">
        <v>0.65</v>
      </c>
      <c r="BM6">
        <v>1.1000000000000001</v>
      </c>
      <c r="BN6">
        <v>0.7</v>
      </c>
      <c r="BQ6">
        <v>1.1000000000000001</v>
      </c>
      <c r="BR6">
        <v>0.55000000000000004</v>
      </c>
      <c r="BS6">
        <v>1.1000000000000001</v>
      </c>
      <c r="BT6">
        <v>0.6</v>
      </c>
      <c r="BW6">
        <v>0.4</v>
      </c>
      <c r="BX6">
        <v>0.6</v>
      </c>
      <c r="BY6">
        <v>0.8</v>
      </c>
      <c r="BZ6">
        <v>0.4</v>
      </c>
      <c r="CA6">
        <v>0.4</v>
      </c>
      <c r="CB6">
        <v>2000</v>
      </c>
      <c r="CC6">
        <v>0.4</v>
      </c>
      <c r="CD6">
        <v>981.81818181818198</v>
      </c>
      <c r="CK6">
        <v>466</v>
      </c>
      <c r="CL6">
        <v>0.85</v>
      </c>
      <c r="CQ6">
        <v>562.5</v>
      </c>
      <c r="CR6">
        <v>300.032917</v>
      </c>
      <c r="CS6">
        <v>740.625</v>
      </c>
      <c r="CT6">
        <v>300.032917</v>
      </c>
      <c r="CU6">
        <v>1312.5</v>
      </c>
      <c r="CV6">
        <v>300.032917</v>
      </c>
      <c r="CW6">
        <v>8.4918596378703199</v>
      </c>
      <c r="CX6">
        <v>300.032917</v>
      </c>
      <c r="CY6">
        <v>9.1145294398968204</v>
      </c>
      <c r="CZ6">
        <v>300.032917</v>
      </c>
      <c r="DA6">
        <v>6.3023202043125686</v>
      </c>
      <c r="DB6">
        <v>300.032917</v>
      </c>
      <c r="DC6" t="s">
        <v>280</v>
      </c>
      <c r="DD6">
        <v>4.9909728184767426</v>
      </c>
      <c r="DE6" t="s">
        <v>280</v>
      </c>
      <c r="DF6">
        <v>0.8602404907609662</v>
      </c>
      <c r="DK6">
        <v>11.330252813248</v>
      </c>
      <c r="DL6">
        <v>501.8</v>
      </c>
      <c r="DQ6">
        <v>8.0037660801246098</v>
      </c>
      <c r="DR6">
        <v>288.9785714285714</v>
      </c>
      <c r="DY6">
        <v>-0.6</v>
      </c>
      <c r="DZ6">
        <v>8071.4285714285716</v>
      </c>
      <c r="EC6">
        <v>5.0307388144835201</v>
      </c>
      <c r="ED6">
        <v>1114.285714285714</v>
      </c>
      <c r="EK6">
        <v>11.039926430673351</v>
      </c>
      <c r="EL6">
        <v>0.6428571428571429</v>
      </c>
      <c r="ES6">
        <v>8.2775709210193504</v>
      </c>
      <c r="ET6">
        <v>0.83214285714285707</v>
      </c>
      <c r="EU6">
        <v>5.5734605518946898</v>
      </c>
      <c r="EV6">
        <v>0.59642857142857142</v>
      </c>
      <c r="EW6">
        <v>8.0432951325759792</v>
      </c>
      <c r="EX6">
        <v>0.55714285714285716</v>
      </c>
      <c r="EY6">
        <v>5.6145400997755504</v>
      </c>
      <c r="EZ6">
        <v>0.55714285714285716</v>
      </c>
      <c r="FE6">
        <v>10.369183925254671</v>
      </c>
      <c r="FF6">
        <v>0.91071428571428559</v>
      </c>
      <c r="FG6">
        <v>6.9135873303467692</v>
      </c>
      <c r="FH6">
        <v>0.55714285714285716</v>
      </c>
      <c r="FK6">
        <v>8.7434206745801291</v>
      </c>
      <c r="FL6">
        <v>0.71428571428571419</v>
      </c>
      <c r="FO6" t="s">
        <v>276</v>
      </c>
      <c r="FP6">
        <v>2.2161193276618221E-2</v>
      </c>
      <c r="FQ6">
        <v>4.1322314049586778E-2</v>
      </c>
      <c r="FR6">
        <v>382.4138281961342</v>
      </c>
      <c r="FS6">
        <v>1.510574018126888E-2</v>
      </c>
      <c r="FT6">
        <v>384.63430753713789</v>
      </c>
      <c r="FU6">
        <v>4.1322314049586778E-2</v>
      </c>
      <c r="FV6">
        <v>278.83351292189951</v>
      </c>
      <c r="FW6">
        <v>1.510574018126888E-2</v>
      </c>
      <c r="FX6">
        <v>278.48146429320769</v>
      </c>
      <c r="FY6">
        <v>4.1322314049586778E-2</v>
      </c>
      <c r="FZ6">
        <v>2139.236516373478</v>
      </c>
      <c r="GA6">
        <v>1.510574018126888E-2</v>
      </c>
      <c r="GB6">
        <v>2053.6846013053009</v>
      </c>
      <c r="GC6">
        <v>4.1322314049586778E-2</v>
      </c>
      <c r="GD6">
        <v>668.3467653773705</v>
      </c>
      <c r="GE6">
        <v>1.510574018126888E-2</v>
      </c>
      <c r="GF6">
        <v>314.73215967940439</v>
      </c>
      <c r="GG6">
        <v>4.1322314049586778E-2</v>
      </c>
      <c r="GH6">
        <v>0.51100709602686334</v>
      </c>
      <c r="GI6">
        <v>1.510574018126888E-2</v>
      </c>
      <c r="GJ6">
        <v>0.50289026448000895</v>
      </c>
      <c r="GK6">
        <v>4.1322314049586778E-2</v>
      </c>
      <c r="GL6">
        <v>0.75650698076306933</v>
      </c>
      <c r="GM6">
        <v>1.510574018126888E-2</v>
      </c>
      <c r="GN6">
        <v>0.75337832711584929</v>
      </c>
      <c r="GO6">
        <v>4.1322314049586778E-2</v>
      </c>
      <c r="GP6">
        <v>0.65616233626590148</v>
      </c>
      <c r="GQ6">
        <v>1.510574018126888E-2</v>
      </c>
      <c r="GR6">
        <v>0.6551314137133597</v>
      </c>
      <c r="GS6">
        <v>4.1322314049586778E-2</v>
      </c>
      <c r="GT6">
        <v>0.61111157902885627</v>
      </c>
      <c r="GU6">
        <v>1.510574018126888E-2</v>
      </c>
      <c r="GV6">
        <v>0.60495287697320344</v>
      </c>
      <c r="GW6">
        <v>4.1322314049586778E-2</v>
      </c>
      <c r="GX6">
        <v>0.62140172147372374</v>
      </c>
      <c r="GY6">
        <v>1.510574018126888E-2</v>
      </c>
      <c r="GZ6">
        <v>0.60357856889285444</v>
      </c>
      <c r="HA6">
        <v>4.1322314049586778E-2</v>
      </c>
      <c r="HB6">
        <v>0.71264502710596944</v>
      </c>
      <c r="HC6">
        <v>1.510574018126888E-2</v>
      </c>
      <c r="HD6">
        <v>0.7023015170719189</v>
      </c>
      <c r="HE6">
        <v>1106.6535202822031</v>
      </c>
      <c r="HF6">
        <v>4841.7770826055921</v>
      </c>
      <c r="HG6">
        <v>1315.7871292156799</v>
      </c>
      <c r="HH6">
        <v>4594.5598944577014</v>
      </c>
      <c r="HI6">
        <v>425.15595113974661</v>
      </c>
      <c r="HJ6">
        <v>4185.1408442010761</v>
      </c>
      <c r="HK6">
        <v>551.55033902060268</v>
      </c>
      <c r="HL6">
        <v>3959.4110726562189</v>
      </c>
      <c r="HM6">
        <v>314.73215967940439</v>
      </c>
      <c r="HN6">
        <v>2724.514536180277</v>
      </c>
      <c r="HO6">
        <v>379.12659497671069</v>
      </c>
      <c r="HP6">
        <v>4139.0756485346556</v>
      </c>
      <c r="HQ6">
        <v>1344.8912614436899</v>
      </c>
      <c r="HR6">
        <v>2791.884670335216</v>
      </c>
      <c r="HS6">
        <v>826.73492297940311</v>
      </c>
      <c r="HT6">
        <v>4698.781225353001</v>
      </c>
      <c r="HY6" t="s">
        <v>272</v>
      </c>
      <c r="HZ6">
        <v>0.23597628100633819</v>
      </c>
      <c r="IA6" t="s">
        <v>7634</v>
      </c>
      <c r="IB6">
        <v>2</v>
      </c>
      <c r="IC6">
        <v>17</v>
      </c>
      <c r="ID6" t="s">
        <v>7635</v>
      </c>
      <c r="IE6">
        <v>16</v>
      </c>
      <c r="IF6">
        <v>43</v>
      </c>
      <c r="IG6" t="s">
        <v>1194</v>
      </c>
      <c r="IH6">
        <v>69.230769230769226</v>
      </c>
      <c r="IM6">
        <v>1311.578702812739</v>
      </c>
      <c r="IN6">
        <v>2203.3715211215681</v>
      </c>
      <c r="IO6">
        <v>343.52641303737693</v>
      </c>
      <c r="IP6">
        <v>4513.9973433807081</v>
      </c>
      <c r="IS6">
        <v>914.86920989947441</v>
      </c>
      <c r="IT6">
        <v>4588.4618524778034</v>
      </c>
      <c r="IU6">
        <v>1815.5791228306341</v>
      </c>
      <c r="IV6">
        <v>3425.0932647520358</v>
      </c>
      <c r="IY6">
        <v>0.84208240100270437</v>
      </c>
      <c r="IZ6">
        <v>404.25537762404372</v>
      </c>
      <c r="JA6">
        <v>0.74967041438256343</v>
      </c>
      <c r="JB6">
        <v>612.16005710929983</v>
      </c>
      <c r="JC6">
        <v>0.54883784806069025</v>
      </c>
      <c r="JD6">
        <v>405.48937597249591</v>
      </c>
      <c r="JE6">
        <v>0.53680191174620528</v>
      </c>
      <c r="JF6">
        <v>563.52126352390428</v>
      </c>
      <c r="JG6">
        <v>0.6611472387809112</v>
      </c>
      <c r="JH6">
        <v>553.44113165670615</v>
      </c>
      <c r="JK6">
        <v>0.79740759180049292</v>
      </c>
      <c r="JL6">
        <v>412.10892515567701</v>
      </c>
      <c r="JM6">
        <v>0.4792143232393099</v>
      </c>
      <c r="JN6">
        <v>553.80820390528072</v>
      </c>
      <c r="JO6">
        <v>0.83779662549058886</v>
      </c>
      <c r="JP6">
        <v>399.9921037351105</v>
      </c>
      <c r="JQ6">
        <v>0.4975210361061862</v>
      </c>
      <c r="JR6">
        <v>609.10638082513947</v>
      </c>
      <c r="JS6">
        <v>0.4954552647771493</v>
      </c>
      <c r="JT6">
        <v>537.16135826369202</v>
      </c>
      <c r="JU6">
        <v>0.835300370975252</v>
      </c>
      <c r="JV6">
        <v>571.95577240864225</v>
      </c>
      <c r="JW6">
        <v>955.2858388867096</v>
      </c>
      <c r="JX6">
        <v>0.54429868285052929</v>
      </c>
      <c r="JY6">
        <v>1250.8027658505639</v>
      </c>
      <c r="JZ6">
        <v>0.8309115464628688</v>
      </c>
      <c r="KA6">
        <v>613.73547788105714</v>
      </c>
      <c r="KB6">
        <v>0.70625141138347003</v>
      </c>
      <c r="KC6">
        <v>1516.723891032618</v>
      </c>
      <c r="KD6">
        <v>0.62618869730516158</v>
      </c>
      <c r="KE6">
        <v>311.9501833670746</v>
      </c>
      <c r="KF6">
        <v>0.60189273011043265</v>
      </c>
      <c r="KI6">
        <v>1174.954452581969</v>
      </c>
      <c r="KJ6">
        <v>2932.4110364673661</v>
      </c>
      <c r="KK6">
        <v>1470.4748041985331</v>
      </c>
      <c r="KL6">
        <v>4216.0812910319091</v>
      </c>
      <c r="KM6">
        <v>463.01121867217262</v>
      </c>
      <c r="KN6">
        <v>3112.0881760106331</v>
      </c>
      <c r="KO6">
        <v>1293.7537955694479</v>
      </c>
      <c r="KP6">
        <v>3703.5246019328852</v>
      </c>
      <c r="KQ6">
        <v>0.85</v>
      </c>
      <c r="KR6">
        <v>390</v>
      </c>
      <c r="KS6">
        <v>0.95</v>
      </c>
      <c r="KT6">
        <v>387.5</v>
      </c>
      <c r="KW6">
        <v>0.95</v>
      </c>
      <c r="KX6">
        <v>385</v>
      </c>
      <c r="KY6">
        <v>0.85</v>
      </c>
      <c r="KZ6">
        <v>400</v>
      </c>
      <c r="LC6">
        <v>0.95</v>
      </c>
      <c r="LD6">
        <v>387.5</v>
      </c>
      <c r="LE6">
        <v>0.95</v>
      </c>
      <c r="LF6">
        <v>385</v>
      </c>
      <c r="LG6">
        <v>0.92500000000000004</v>
      </c>
      <c r="LH6">
        <v>392.5</v>
      </c>
      <c r="LI6">
        <v>0.85</v>
      </c>
      <c r="LJ6">
        <v>400</v>
      </c>
      <c r="LK6">
        <v>0.95</v>
      </c>
      <c r="LL6">
        <v>387.5</v>
      </c>
      <c r="LM6">
        <v>0.95</v>
      </c>
      <c r="LN6">
        <v>385</v>
      </c>
      <c r="LY6">
        <v>14.14165667155382</v>
      </c>
      <c r="LZ6">
        <v>4</v>
      </c>
      <c r="MA6">
        <v>14.46019148298592</v>
      </c>
      <c r="MB6">
        <v>4</v>
      </c>
      <c r="MC6">
        <v>11.800355021920421</v>
      </c>
      <c r="MD6">
        <v>4</v>
      </c>
      <c r="ME6">
        <v>13.444529552006159</v>
      </c>
      <c r="MF6">
        <v>4</v>
      </c>
      <c r="MG6">
        <v>10.55425600687045</v>
      </c>
      <c r="MH6">
        <v>4</v>
      </c>
      <c r="MI6" t="s">
        <v>7636</v>
      </c>
      <c r="MJ6">
        <v>13</v>
      </c>
      <c r="MK6">
        <v>1000</v>
      </c>
      <c r="ML6">
        <v>0.7</v>
      </c>
      <c r="MM6">
        <v>500</v>
      </c>
      <c r="MN6">
        <v>0.82</v>
      </c>
      <c r="MO6">
        <v>600</v>
      </c>
      <c r="MP6">
        <v>0.3</v>
      </c>
      <c r="MQ6">
        <v>400</v>
      </c>
      <c r="MR6">
        <v>0.4</v>
      </c>
      <c r="MS6">
        <v>500</v>
      </c>
      <c r="MT6">
        <v>0.7</v>
      </c>
      <c r="MU6">
        <v>12.615084204866079</v>
      </c>
      <c r="MV6">
        <v>390.71428571428572</v>
      </c>
      <c r="MW6">
        <v>13.39414678813139</v>
      </c>
      <c r="MX6">
        <v>422.85714285714289</v>
      </c>
      <c r="MY6">
        <v>12.63550342842294</v>
      </c>
      <c r="MZ6">
        <v>276.00714285714281</v>
      </c>
      <c r="NA6">
        <v>13.27161716519573</v>
      </c>
      <c r="NB6">
        <v>290.29285714285709</v>
      </c>
      <c r="NC6">
        <v>12.65094109088577</v>
      </c>
      <c r="ND6">
        <v>3250</v>
      </c>
      <c r="NG6">
        <v>10.73610439817951</v>
      </c>
      <c r="NH6">
        <v>900</v>
      </c>
      <c r="NK6">
        <v>11.62246847395334</v>
      </c>
      <c r="NL6">
        <v>0.72499999999999998</v>
      </c>
      <c r="NM6">
        <v>13.236368723963031</v>
      </c>
      <c r="NN6">
        <v>0.92500000000000004</v>
      </c>
      <c r="NQ6">
        <v>11.16256510295724</v>
      </c>
      <c r="NR6">
        <v>0.79285714285714282</v>
      </c>
      <c r="NS6">
        <v>12.65574724035371</v>
      </c>
      <c r="NT6">
        <v>0.68571428571428572</v>
      </c>
      <c r="NU6">
        <v>12.00740343945165</v>
      </c>
      <c r="NV6">
        <v>0.67499999999999993</v>
      </c>
      <c r="NY6">
        <v>12.28586383273484</v>
      </c>
      <c r="NZ6">
        <v>0.55714285714285716</v>
      </c>
      <c r="OC6">
        <v>13.43604548696222</v>
      </c>
      <c r="OD6">
        <v>0.71785714285714286</v>
      </c>
      <c r="OG6">
        <v>7.7754024647053406</v>
      </c>
      <c r="OH6">
        <v>0.57499999999999996</v>
      </c>
      <c r="OI6">
        <v>0</v>
      </c>
      <c r="OJ6">
        <v>0.625</v>
      </c>
    </row>
    <row r="7" spans="1:402" x14ac:dyDescent="0.3">
      <c r="A7" t="s">
        <v>7637</v>
      </c>
      <c r="B7">
        <v>86</v>
      </c>
      <c r="C7">
        <v>57</v>
      </c>
      <c r="D7">
        <v>5</v>
      </c>
      <c r="E7">
        <v>17</v>
      </c>
      <c r="F7">
        <v>6</v>
      </c>
      <c r="M7">
        <v>1.2</v>
      </c>
      <c r="N7">
        <v>603.48680555555552</v>
      </c>
      <c r="Q7">
        <v>1.2</v>
      </c>
      <c r="R7">
        <v>294.48333333333329</v>
      </c>
      <c r="S7">
        <v>1.2</v>
      </c>
      <c r="T7">
        <v>10000</v>
      </c>
      <c r="U7">
        <v>0.2</v>
      </c>
      <c r="V7">
        <v>9500</v>
      </c>
      <c r="W7">
        <v>1.2</v>
      </c>
      <c r="X7">
        <v>1050</v>
      </c>
      <c r="AA7">
        <v>1.2</v>
      </c>
      <c r="AB7">
        <v>0.70000000000000007</v>
      </c>
      <c r="AE7">
        <v>1.2</v>
      </c>
      <c r="AF7">
        <v>0.83333333333333337</v>
      </c>
      <c r="AG7">
        <v>1.2</v>
      </c>
      <c r="AH7">
        <v>0.76111111111111107</v>
      </c>
      <c r="AI7">
        <v>3.2</v>
      </c>
      <c r="AJ7">
        <v>0.7944444444444444</v>
      </c>
      <c r="AO7">
        <v>1.2</v>
      </c>
      <c r="AP7">
        <v>0.80555555555555558</v>
      </c>
      <c r="AQ7">
        <v>1.2</v>
      </c>
      <c r="AR7">
        <v>0.80555555555555558</v>
      </c>
      <c r="AS7">
        <v>0.75</v>
      </c>
      <c r="AT7">
        <v>1127.2727272727279</v>
      </c>
      <c r="AU7">
        <v>390</v>
      </c>
      <c r="AV7">
        <v>1272.727272727273</v>
      </c>
      <c r="AW7">
        <v>434</v>
      </c>
      <c r="AX7">
        <v>1709.090909090909</v>
      </c>
      <c r="AY7">
        <v>420</v>
      </c>
      <c r="AZ7">
        <v>690.90909090909099</v>
      </c>
      <c r="BA7">
        <v>466</v>
      </c>
      <c r="BB7">
        <v>545.4545454545455</v>
      </c>
      <c r="BE7">
        <v>380</v>
      </c>
      <c r="BF7">
        <v>690.90909090909099</v>
      </c>
      <c r="BG7">
        <v>1.2</v>
      </c>
      <c r="BH7">
        <v>0.65</v>
      </c>
      <c r="BI7">
        <v>1.2</v>
      </c>
      <c r="BJ7">
        <v>0.65</v>
      </c>
      <c r="BK7">
        <v>3.2</v>
      </c>
      <c r="BL7">
        <v>0.75</v>
      </c>
      <c r="BM7">
        <v>1.2</v>
      </c>
      <c r="BN7">
        <v>0.67500000000000004</v>
      </c>
      <c r="BQ7">
        <v>1.2</v>
      </c>
      <c r="BR7">
        <v>0.65</v>
      </c>
      <c r="BS7">
        <v>1.2</v>
      </c>
      <c r="BT7">
        <v>0.7</v>
      </c>
      <c r="BW7">
        <v>0.4</v>
      </c>
      <c r="BX7">
        <v>0.65</v>
      </c>
      <c r="BY7">
        <v>0.8</v>
      </c>
      <c r="BZ7">
        <v>0.45</v>
      </c>
      <c r="CA7">
        <v>0.5</v>
      </c>
      <c r="CB7">
        <v>1854.545454545455</v>
      </c>
      <c r="CC7">
        <v>0.4</v>
      </c>
      <c r="CD7">
        <v>1127.2727272727279</v>
      </c>
      <c r="CK7">
        <v>466</v>
      </c>
      <c r="CL7">
        <v>0.95</v>
      </c>
      <c r="DC7" t="s">
        <v>269</v>
      </c>
      <c r="DD7">
        <v>5.1446701154803902</v>
      </c>
      <c r="DE7" t="s">
        <v>277</v>
      </c>
      <c r="DF7">
        <v>1.146427804652886</v>
      </c>
      <c r="DK7">
        <v>11.28657037253576</v>
      </c>
      <c r="DL7">
        <v>542.25</v>
      </c>
      <c r="DQ7">
        <v>8.0639157745736298</v>
      </c>
      <c r="DR7">
        <v>290.43571428571431</v>
      </c>
      <c r="DY7">
        <v>-0.6</v>
      </c>
      <c r="DZ7">
        <v>8714.2857142857138</v>
      </c>
      <c r="EC7">
        <v>5.4964812719060214</v>
      </c>
      <c r="ED7">
        <v>1017.857142857143</v>
      </c>
      <c r="EK7">
        <v>5.0115014809308303</v>
      </c>
      <c r="EL7">
        <v>0.72857142857142865</v>
      </c>
      <c r="ES7">
        <v>8.7269769646471715</v>
      </c>
      <c r="ET7">
        <v>0.87142857142857144</v>
      </c>
      <c r="EU7">
        <v>5.1214441415316898</v>
      </c>
      <c r="EV7">
        <v>0.55714285714285716</v>
      </c>
      <c r="EW7">
        <v>8.1557846125030693</v>
      </c>
      <c r="EX7">
        <v>0.59642857142857142</v>
      </c>
      <c r="EY7">
        <v>6.641646835838209</v>
      </c>
      <c r="EZ7">
        <v>0.63571428571428568</v>
      </c>
      <c r="FE7">
        <v>10.955585500514889</v>
      </c>
      <c r="FF7">
        <v>0.95</v>
      </c>
      <c r="FG7">
        <v>7.1905840342767204</v>
      </c>
      <c r="FH7">
        <v>0.59642857142857142</v>
      </c>
      <c r="FK7">
        <v>8.67152951239059</v>
      </c>
      <c r="FL7">
        <v>0.63571428571428568</v>
      </c>
      <c r="FO7" t="s">
        <v>272</v>
      </c>
      <c r="FP7">
        <v>1.8495775980293581E-2</v>
      </c>
      <c r="FQ7">
        <v>4.9586776859504127E-2</v>
      </c>
      <c r="FR7">
        <v>382.94184877558411</v>
      </c>
      <c r="FS7">
        <v>1.812688821752266E-2</v>
      </c>
      <c r="FT7">
        <v>385.0173082371893</v>
      </c>
      <c r="FU7">
        <v>4.9586776859504127E-2</v>
      </c>
      <c r="FV7">
        <v>278.92289783997097</v>
      </c>
      <c r="FW7">
        <v>1.812688821752266E-2</v>
      </c>
      <c r="FX7">
        <v>278.55388742415471</v>
      </c>
      <c r="FY7">
        <v>4.9586776859504127E-2</v>
      </c>
      <c r="FZ7">
        <v>2155.0565788625609</v>
      </c>
      <c r="GA7">
        <v>1.812688821752266E-2</v>
      </c>
      <c r="GB7">
        <v>2064.353382930798</v>
      </c>
      <c r="GC7">
        <v>4.9586776859504127E-2</v>
      </c>
      <c r="GD7">
        <v>681.06848800431487</v>
      </c>
      <c r="GE7">
        <v>1.812688821752266E-2</v>
      </c>
      <c r="GF7">
        <v>316.03367410039488</v>
      </c>
      <c r="GG7">
        <v>4.9586776859504127E-2</v>
      </c>
      <c r="GH7">
        <v>0.51225172784230644</v>
      </c>
      <c r="GI7">
        <v>1.812688821752266E-2</v>
      </c>
      <c r="GJ7">
        <v>0.50360020753446699</v>
      </c>
      <c r="GK7">
        <v>4.9586776859504127E-2</v>
      </c>
      <c r="GL7">
        <v>0.75763655435068511</v>
      </c>
      <c r="GM7">
        <v>1.812688821752266E-2</v>
      </c>
      <c r="GN7">
        <v>0.75351851412518212</v>
      </c>
      <c r="GO7">
        <v>4.9586776859504127E-2</v>
      </c>
      <c r="GP7">
        <v>0.65695891190392131</v>
      </c>
      <c r="GQ7">
        <v>1.812688821752266E-2</v>
      </c>
      <c r="GR7">
        <v>0.65572014804229239</v>
      </c>
      <c r="GS7">
        <v>4.9586776859504127E-2</v>
      </c>
      <c r="GT7">
        <v>0.61205630391648147</v>
      </c>
      <c r="GU7">
        <v>1.812688821752266E-2</v>
      </c>
      <c r="GV7">
        <v>0.60556542995339679</v>
      </c>
      <c r="GW7">
        <v>4.9586776859504127E-2</v>
      </c>
      <c r="GX7">
        <v>0.62254211255764191</v>
      </c>
      <c r="GY7">
        <v>1.812688821752266E-2</v>
      </c>
      <c r="GZ7">
        <v>0.60545512268625412</v>
      </c>
      <c r="HA7">
        <v>4.9586776859504127E-2</v>
      </c>
      <c r="HB7">
        <v>0.71758453749904583</v>
      </c>
      <c r="HC7">
        <v>1.812688821752266E-2</v>
      </c>
      <c r="HD7">
        <v>0.70268915643598817</v>
      </c>
      <c r="HE7">
        <v>1168.545778067049</v>
      </c>
      <c r="HF7">
        <v>4160.6852918196446</v>
      </c>
      <c r="HG7">
        <v>1454.83498234847</v>
      </c>
      <c r="HH7">
        <v>2262.4701685262412</v>
      </c>
      <c r="HI7">
        <v>1392.940294092044</v>
      </c>
      <c r="HJ7">
        <v>2596.9870283225532</v>
      </c>
      <c r="HK7">
        <v>1145.6968651424461</v>
      </c>
      <c r="HL7">
        <v>4887.5967029197154</v>
      </c>
      <c r="HM7">
        <v>498.46904100200231</v>
      </c>
      <c r="HN7">
        <v>2984.8245512269091</v>
      </c>
      <c r="HQ7">
        <v>1082.7540516489121</v>
      </c>
      <c r="HR7">
        <v>4669.085636046515</v>
      </c>
      <c r="HS7">
        <v>600.67212900421248</v>
      </c>
      <c r="HT7">
        <v>4652.9592945739541</v>
      </c>
      <c r="HY7" t="s">
        <v>280</v>
      </c>
      <c r="HZ7">
        <v>0.2665628772264057</v>
      </c>
      <c r="IA7" t="s">
        <v>7638</v>
      </c>
      <c r="IB7">
        <v>2</v>
      </c>
      <c r="IC7">
        <v>17</v>
      </c>
      <c r="ID7" t="s">
        <v>7639</v>
      </c>
      <c r="IE7">
        <v>6</v>
      </c>
      <c r="IF7">
        <v>21</v>
      </c>
      <c r="IG7" t="s">
        <v>1195</v>
      </c>
      <c r="IH7">
        <v>61.53846153846154</v>
      </c>
      <c r="IO7">
        <v>1009.088868917098</v>
      </c>
      <c r="IP7">
        <v>3522.0527527975041</v>
      </c>
      <c r="IS7">
        <v>267.99083606100612</v>
      </c>
      <c r="IT7">
        <v>4556.6254645829122</v>
      </c>
      <c r="IU7">
        <v>680.4407400432583</v>
      </c>
      <c r="IV7">
        <v>4621.8590884989044</v>
      </c>
      <c r="IY7">
        <v>0.91024202082384642</v>
      </c>
      <c r="IZ7">
        <v>550.59100860337048</v>
      </c>
      <c r="JA7">
        <v>0.64366373015482348</v>
      </c>
      <c r="JB7">
        <v>473.7371693257702</v>
      </c>
      <c r="JC7">
        <v>0.94739581196719758</v>
      </c>
      <c r="JD7">
        <v>411.13254868204018</v>
      </c>
      <c r="JE7">
        <v>0.898134992690655</v>
      </c>
      <c r="JF7">
        <v>523.98198563738583</v>
      </c>
      <c r="JG7">
        <v>0.47296640818679619</v>
      </c>
      <c r="JH7">
        <v>597.49145336307856</v>
      </c>
      <c r="JK7">
        <v>0.93593893062949296</v>
      </c>
      <c r="JL7">
        <v>427.8966608009917</v>
      </c>
      <c r="JM7">
        <v>0.85534089985208606</v>
      </c>
      <c r="JN7">
        <v>443.5165061523125</v>
      </c>
      <c r="JO7">
        <v>0.64406926104012108</v>
      </c>
      <c r="JP7">
        <v>408.91862767774683</v>
      </c>
      <c r="JQ7">
        <v>0.86100346702334418</v>
      </c>
      <c r="JR7">
        <v>532.67510810646581</v>
      </c>
      <c r="JS7">
        <v>0.68031856351677233</v>
      </c>
      <c r="JT7">
        <v>606.71878499640513</v>
      </c>
      <c r="JU7">
        <v>0.89383999635793687</v>
      </c>
      <c r="JV7">
        <v>526.0791871154097</v>
      </c>
      <c r="JW7">
        <v>1105.0222509409191</v>
      </c>
      <c r="JX7">
        <v>0.52010647705356261</v>
      </c>
      <c r="JY7">
        <v>1812.737713808277</v>
      </c>
      <c r="JZ7">
        <v>0.83803326480463869</v>
      </c>
      <c r="KA7">
        <v>857.4331502762775</v>
      </c>
      <c r="KB7">
        <v>0.66530636198378601</v>
      </c>
      <c r="KC7">
        <v>743.84906965584776</v>
      </c>
      <c r="KD7">
        <v>0.72073907874265819</v>
      </c>
      <c r="KE7">
        <v>1735.891137527924</v>
      </c>
      <c r="KF7">
        <v>0.80294672081252572</v>
      </c>
      <c r="KI7">
        <v>1723.9220227702169</v>
      </c>
      <c r="KJ7">
        <v>4163.6042610773366</v>
      </c>
      <c r="KK7">
        <v>331.0852826081823</v>
      </c>
      <c r="KL7">
        <v>2642.853838582022</v>
      </c>
      <c r="KM7">
        <v>1708.0071453584869</v>
      </c>
      <c r="KN7">
        <v>3541.3895908071399</v>
      </c>
      <c r="KO7">
        <v>843.01113013602867</v>
      </c>
      <c r="KP7">
        <v>2763.2480233489291</v>
      </c>
      <c r="KQ7">
        <v>0.85</v>
      </c>
      <c r="KR7">
        <v>405</v>
      </c>
      <c r="KY7">
        <v>0.85</v>
      </c>
      <c r="KZ7">
        <v>402.5</v>
      </c>
      <c r="LG7">
        <v>0.92500000000000004</v>
      </c>
      <c r="LH7">
        <v>395</v>
      </c>
      <c r="LI7">
        <v>0.85</v>
      </c>
      <c r="LJ7">
        <v>407.5</v>
      </c>
      <c r="LY7">
        <v>14.530540889507011</v>
      </c>
      <c r="LZ7">
        <v>5</v>
      </c>
      <c r="MA7">
        <v>15.068185016019889</v>
      </c>
      <c r="MB7">
        <v>5</v>
      </c>
      <c r="MC7">
        <v>12.338973330740471</v>
      </c>
      <c r="MD7">
        <v>5</v>
      </c>
      <c r="ME7">
        <v>14.15937069834813</v>
      </c>
      <c r="MF7">
        <v>5</v>
      </c>
      <c r="MG7">
        <v>10.73374388365607</v>
      </c>
      <c r="MH7">
        <v>5</v>
      </c>
      <c r="MI7" t="s">
        <v>7640</v>
      </c>
      <c r="MJ7">
        <v>15</v>
      </c>
      <c r="MK7">
        <v>500</v>
      </c>
      <c r="ML7">
        <v>0.7</v>
      </c>
      <c r="MM7">
        <v>600</v>
      </c>
      <c r="MN7">
        <v>0.82</v>
      </c>
      <c r="MO7">
        <v>700</v>
      </c>
      <c r="MP7">
        <v>0.3</v>
      </c>
      <c r="MQ7">
        <v>300</v>
      </c>
      <c r="MR7">
        <v>0.4</v>
      </c>
      <c r="MS7">
        <v>600</v>
      </c>
      <c r="MT7">
        <v>0.73</v>
      </c>
      <c r="MU7">
        <v>12.85223774220491</v>
      </c>
      <c r="MV7">
        <v>397.85714285714278</v>
      </c>
      <c r="MW7">
        <v>13.35653045690038</v>
      </c>
      <c r="MX7">
        <v>419.28571428571428</v>
      </c>
      <c r="MY7">
        <v>12.829792607306389</v>
      </c>
      <c r="MZ7">
        <v>280.29285714285709</v>
      </c>
      <c r="NA7">
        <v>13.324161148915531</v>
      </c>
      <c r="NB7">
        <v>291.72142857142848</v>
      </c>
      <c r="NC7">
        <v>12.821058319728531</v>
      </c>
      <c r="ND7">
        <v>3357.1428571428569</v>
      </c>
      <c r="NG7">
        <v>10.32094550926344</v>
      </c>
      <c r="NH7">
        <v>950</v>
      </c>
      <c r="NK7">
        <v>11.964959347863561</v>
      </c>
      <c r="NL7">
        <v>0.75</v>
      </c>
      <c r="NQ7">
        <v>11.581226003636271</v>
      </c>
      <c r="NR7">
        <v>0.8214285714285714</v>
      </c>
      <c r="NS7">
        <v>12.671899861750409</v>
      </c>
      <c r="NT7">
        <v>0.70714285714285718</v>
      </c>
      <c r="NU7">
        <v>12.22880800024798</v>
      </c>
      <c r="NV7">
        <v>0.72499999999999998</v>
      </c>
      <c r="NY7">
        <v>12.37466184195206</v>
      </c>
      <c r="NZ7">
        <v>0.59642857142857142</v>
      </c>
      <c r="OC7">
        <v>13.665458883243311</v>
      </c>
      <c r="OD7">
        <v>0.80714285714285705</v>
      </c>
      <c r="OG7">
        <v>10.25180677128446</v>
      </c>
      <c r="OH7">
        <v>0.64999999999999991</v>
      </c>
    </row>
    <row r="8" spans="1:402" x14ac:dyDescent="0.3">
      <c r="A8" t="s">
        <v>7641</v>
      </c>
      <c r="B8">
        <v>76</v>
      </c>
      <c r="C8">
        <v>181</v>
      </c>
      <c r="D8">
        <v>9</v>
      </c>
      <c r="E8">
        <v>27</v>
      </c>
      <c r="F8">
        <v>7</v>
      </c>
      <c r="M8">
        <v>1</v>
      </c>
      <c r="N8">
        <v>367.52847222222221</v>
      </c>
      <c r="Q8">
        <v>1</v>
      </c>
      <c r="R8">
        <v>296.75</v>
      </c>
      <c r="S8">
        <v>1</v>
      </c>
      <c r="T8">
        <v>5250</v>
      </c>
      <c r="U8">
        <v>0</v>
      </c>
      <c r="V8">
        <v>5437.5</v>
      </c>
      <c r="W8">
        <v>1</v>
      </c>
      <c r="X8">
        <v>750</v>
      </c>
      <c r="AA8">
        <v>1</v>
      </c>
      <c r="AB8">
        <v>0.76666666666666683</v>
      </c>
      <c r="AE8">
        <v>1</v>
      </c>
      <c r="AF8">
        <v>0.85</v>
      </c>
      <c r="AG8">
        <v>1</v>
      </c>
      <c r="AH8">
        <v>0.78333333333333333</v>
      </c>
      <c r="AI8">
        <v>3</v>
      </c>
      <c r="AJ8">
        <v>0.81666666666666665</v>
      </c>
      <c r="AO8">
        <v>1</v>
      </c>
      <c r="AP8">
        <v>0.82777777777777772</v>
      </c>
      <c r="AQ8">
        <v>1</v>
      </c>
      <c r="AR8">
        <v>0.81666666666666665</v>
      </c>
      <c r="AS8">
        <v>0.75</v>
      </c>
      <c r="AT8">
        <v>1418.181818181818</v>
      </c>
      <c r="AU8">
        <v>390</v>
      </c>
      <c r="AV8">
        <v>1418.181818181818</v>
      </c>
      <c r="AW8">
        <v>434</v>
      </c>
      <c r="AX8">
        <v>1781.818181818182</v>
      </c>
      <c r="AY8">
        <v>390</v>
      </c>
      <c r="AZ8">
        <v>436.36363636363637</v>
      </c>
      <c r="BA8">
        <v>466</v>
      </c>
      <c r="BB8">
        <v>690.90909090909099</v>
      </c>
      <c r="BE8">
        <v>380</v>
      </c>
      <c r="BF8">
        <v>1272.727272727273</v>
      </c>
      <c r="BG8">
        <v>1</v>
      </c>
      <c r="BH8">
        <v>0.7</v>
      </c>
      <c r="BI8">
        <v>1</v>
      </c>
      <c r="BJ8">
        <v>0.7</v>
      </c>
      <c r="BK8">
        <v>3</v>
      </c>
      <c r="BL8">
        <v>0.8</v>
      </c>
      <c r="BQ8">
        <v>1</v>
      </c>
      <c r="BR8">
        <v>0.7</v>
      </c>
      <c r="BS8">
        <v>1</v>
      </c>
      <c r="BT8">
        <v>0.75</v>
      </c>
      <c r="BW8">
        <v>0.4</v>
      </c>
      <c r="BX8">
        <v>0.8</v>
      </c>
      <c r="BY8">
        <v>0.8</v>
      </c>
      <c r="BZ8">
        <v>0.55000000000000004</v>
      </c>
      <c r="CA8">
        <v>0.5</v>
      </c>
      <c r="CB8">
        <v>2000</v>
      </c>
      <c r="CC8">
        <v>0.4</v>
      </c>
      <c r="CD8">
        <v>1272.727272727273</v>
      </c>
      <c r="CK8">
        <v>497</v>
      </c>
      <c r="CL8">
        <v>0.85</v>
      </c>
      <c r="DC8" t="s">
        <v>277</v>
      </c>
      <c r="DD8">
        <v>6.3152060949681097</v>
      </c>
      <c r="DE8" t="s">
        <v>269</v>
      </c>
      <c r="DF8">
        <v>-1.1645232331956239</v>
      </c>
      <c r="DK8">
        <v>11.26716403941931</v>
      </c>
      <c r="DL8">
        <v>562.47499999999991</v>
      </c>
      <c r="DQ8">
        <v>8.1249051435252788</v>
      </c>
      <c r="DR8">
        <v>291.89285714285711</v>
      </c>
      <c r="DY8">
        <v>-0.6</v>
      </c>
      <c r="DZ8">
        <v>9357.1428571428569</v>
      </c>
      <c r="EC8">
        <v>4.6026766280677398</v>
      </c>
      <c r="ED8">
        <v>1210.714285714286</v>
      </c>
      <c r="EK8">
        <v>0.60712276201791004</v>
      </c>
      <c r="EL8">
        <v>0.77142857142857157</v>
      </c>
      <c r="ES8">
        <v>9.1760213044026795</v>
      </c>
      <c r="ET8">
        <v>0.91071428571428559</v>
      </c>
      <c r="EU8">
        <v>6.0250819642600204</v>
      </c>
      <c r="EV8">
        <v>0.63571428571428568</v>
      </c>
      <c r="EW8">
        <v>8.2542915246221593</v>
      </c>
      <c r="EX8">
        <v>0.63571428571428568</v>
      </c>
      <c r="EY8">
        <v>6.1616575195758498</v>
      </c>
      <c r="EZ8">
        <v>0.59642857142857142</v>
      </c>
      <c r="FG8">
        <v>7.4869641418511792</v>
      </c>
      <c r="FH8">
        <v>0.63571428571428568</v>
      </c>
      <c r="FK8">
        <v>8.51269627068916</v>
      </c>
      <c r="FL8">
        <v>0.79285714285714282</v>
      </c>
      <c r="FO8" t="s">
        <v>271</v>
      </c>
      <c r="FP8">
        <v>1.6346940596886191E-2</v>
      </c>
      <c r="FQ8">
        <v>5.7851239669421489E-2</v>
      </c>
      <c r="FR8">
        <v>383.65848144381232</v>
      </c>
      <c r="FS8">
        <v>2.1148036253776439E-2</v>
      </c>
      <c r="FT8">
        <v>385.50661159528102</v>
      </c>
      <c r="FU8">
        <v>5.7851239669421489E-2</v>
      </c>
      <c r="FV8">
        <v>278.96890097304919</v>
      </c>
      <c r="FW8">
        <v>2.1148036253776439E-2</v>
      </c>
      <c r="FX8">
        <v>278.63207550279708</v>
      </c>
      <c r="FY8">
        <v>5.7851239669421489E-2</v>
      </c>
      <c r="FZ8">
        <v>2155.6888499665752</v>
      </c>
      <c r="GA8">
        <v>2.1148036253776439E-2</v>
      </c>
      <c r="GB8">
        <v>2074.152719983641</v>
      </c>
      <c r="GC8">
        <v>5.7851239669421489E-2</v>
      </c>
      <c r="GD8">
        <v>683.16533660242283</v>
      </c>
      <c r="GE8">
        <v>2.1148036253776439E-2</v>
      </c>
      <c r="GF8">
        <v>316.56991964023939</v>
      </c>
      <c r="GG8">
        <v>5.7851239669421489E-2</v>
      </c>
      <c r="GH8">
        <v>0.51415253416842666</v>
      </c>
      <c r="GI8">
        <v>2.1148036253776439E-2</v>
      </c>
      <c r="GJ8">
        <v>0.50435089252548659</v>
      </c>
      <c r="GK8">
        <v>5.7851239669421489E-2</v>
      </c>
      <c r="GL8">
        <v>0.75837539967638579</v>
      </c>
      <c r="GM8">
        <v>2.1148036253776439E-2</v>
      </c>
      <c r="GN8">
        <v>0.75451788988097845</v>
      </c>
      <c r="GO8">
        <v>5.7851239669421489E-2</v>
      </c>
      <c r="GP8">
        <v>0.66309602976715831</v>
      </c>
      <c r="GQ8">
        <v>2.1148036253776439E-2</v>
      </c>
      <c r="GR8">
        <v>0.65689771258456253</v>
      </c>
      <c r="GS8">
        <v>5.7851239669421489E-2</v>
      </c>
      <c r="GT8">
        <v>0.61722628882729536</v>
      </c>
      <c r="GU8">
        <v>2.1148036253776439E-2</v>
      </c>
      <c r="GV8">
        <v>0.60756495692601353</v>
      </c>
      <c r="GW8">
        <v>5.7851239669421489E-2</v>
      </c>
      <c r="GX8">
        <v>0.62403616253737948</v>
      </c>
      <c r="GY8">
        <v>2.1148036253776439E-2</v>
      </c>
      <c r="GZ8">
        <v>0.6069622906904949</v>
      </c>
      <c r="HA8">
        <v>5.7851239669421489E-2</v>
      </c>
      <c r="HB8">
        <v>0.73973386165475241</v>
      </c>
      <c r="HC8">
        <v>2.1148036253776439E-2</v>
      </c>
      <c r="HD8">
        <v>0.70470594528389463</v>
      </c>
      <c r="HE8">
        <v>858.71851834016627</v>
      </c>
      <c r="HF8">
        <v>3732.0690323904792</v>
      </c>
      <c r="HG8">
        <v>1354.066158881679</v>
      </c>
      <c r="HH8">
        <v>3349.66301260008</v>
      </c>
      <c r="HI8">
        <v>649.18546080007081</v>
      </c>
      <c r="HJ8">
        <v>3569.5788322650392</v>
      </c>
      <c r="HK8">
        <v>1165.1772642822559</v>
      </c>
      <c r="HL8">
        <v>2092.4793058098921</v>
      </c>
      <c r="HM8">
        <v>1247.611980786854</v>
      </c>
      <c r="HN8">
        <v>3126.873834830641</v>
      </c>
      <c r="HQ8">
        <v>1296.884032185822</v>
      </c>
      <c r="HR8">
        <v>2882.245216868926</v>
      </c>
      <c r="HS8">
        <v>1266.7706719379189</v>
      </c>
      <c r="HT8">
        <v>3904.2144688682488</v>
      </c>
      <c r="HY8" t="s">
        <v>274</v>
      </c>
      <c r="HZ8">
        <v>0.29135392904585961</v>
      </c>
      <c r="IA8" t="s">
        <v>7642</v>
      </c>
      <c r="IB8">
        <v>9</v>
      </c>
      <c r="IC8">
        <v>25</v>
      </c>
      <c r="ID8" t="s">
        <v>7643</v>
      </c>
      <c r="IE8">
        <v>1</v>
      </c>
      <c r="IF8">
        <v>29</v>
      </c>
      <c r="IG8" t="s">
        <v>1196</v>
      </c>
      <c r="IH8">
        <v>50</v>
      </c>
      <c r="IO8">
        <v>888.02863922215488</v>
      </c>
      <c r="IP8">
        <v>4364.2983752583114</v>
      </c>
      <c r="IS8">
        <v>572.2184244159414</v>
      </c>
      <c r="IT8">
        <v>4324.3518189810384</v>
      </c>
      <c r="IU8">
        <v>397.63843524985691</v>
      </c>
      <c r="IV8">
        <v>2172.751910283414</v>
      </c>
      <c r="IY8">
        <v>0.9351120758519712</v>
      </c>
      <c r="IZ8">
        <v>455.52707300844918</v>
      </c>
      <c r="JA8">
        <v>0.93721507399332837</v>
      </c>
      <c r="JB8">
        <v>492.02216833928412</v>
      </c>
      <c r="JC8">
        <v>0.79291780881995766</v>
      </c>
      <c r="JD8">
        <v>394.83401234756047</v>
      </c>
      <c r="JE8">
        <v>0.49705637455372448</v>
      </c>
      <c r="JF8">
        <v>512.38970393975296</v>
      </c>
      <c r="JG8">
        <v>0.62333475025048113</v>
      </c>
      <c r="JH8">
        <v>523.24929485428561</v>
      </c>
      <c r="JM8">
        <v>0.68837594708791972</v>
      </c>
      <c r="JN8">
        <v>474.97579015001787</v>
      </c>
      <c r="JO8">
        <v>0.41212510727489621</v>
      </c>
      <c r="JP8">
        <v>388.44108627587519</v>
      </c>
      <c r="JQ8">
        <v>0.47598752074927458</v>
      </c>
      <c r="JR8">
        <v>511.65306483909569</v>
      </c>
      <c r="JS8">
        <v>0.5936550177608475</v>
      </c>
      <c r="JT8">
        <v>580.5216256422342</v>
      </c>
      <c r="JY8">
        <v>1967.4206376207419</v>
      </c>
      <c r="JZ8">
        <v>0.82084419975741552</v>
      </c>
      <c r="KA8">
        <v>534.62023011747669</v>
      </c>
      <c r="KB8">
        <v>0.54945094533079752</v>
      </c>
      <c r="KC8">
        <v>248.95915732771991</v>
      </c>
      <c r="KD8">
        <v>0.59458349481043826</v>
      </c>
      <c r="KE8">
        <v>1138.3181276292539</v>
      </c>
      <c r="KF8">
        <v>0.64561818976637475</v>
      </c>
      <c r="KI8">
        <v>1810.585321724594</v>
      </c>
      <c r="KJ8">
        <v>3976.4935991862671</v>
      </c>
      <c r="KK8">
        <v>1019.5043147904061</v>
      </c>
      <c r="KL8">
        <v>2982.6058302238789</v>
      </c>
      <c r="KM8">
        <v>1080.9642673817709</v>
      </c>
      <c r="KN8">
        <v>2693.8799259506059</v>
      </c>
      <c r="KO8">
        <v>1892.756759088737</v>
      </c>
      <c r="KP8">
        <v>2307.164343100957</v>
      </c>
      <c r="KQ8">
        <v>0.85</v>
      </c>
      <c r="KR8">
        <v>402.5</v>
      </c>
      <c r="KY8">
        <v>0.85</v>
      </c>
      <c r="KZ8">
        <v>407.5</v>
      </c>
      <c r="LG8">
        <v>0.92500000000000004</v>
      </c>
      <c r="LH8">
        <v>397.5</v>
      </c>
      <c r="LI8">
        <v>0.85</v>
      </c>
      <c r="LJ8">
        <v>402.5</v>
      </c>
      <c r="LY8">
        <v>14.977938638259451</v>
      </c>
      <c r="LZ8">
        <v>6</v>
      </c>
      <c r="MA8">
        <v>15.48239750048667</v>
      </c>
      <c r="MB8">
        <v>6</v>
      </c>
      <c r="MC8">
        <v>12.6634113366047</v>
      </c>
      <c r="MD8">
        <v>6</v>
      </c>
      <c r="ME8">
        <v>14.88938303198443</v>
      </c>
      <c r="MF8">
        <v>6</v>
      </c>
      <c r="MG8">
        <v>10.9137155760239</v>
      </c>
      <c r="MH8">
        <v>6</v>
      </c>
      <c r="MI8" t="s">
        <v>7644</v>
      </c>
      <c r="MJ8">
        <v>0</v>
      </c>
      <c r="MK8">
        <v>1100</v>
      </c>
      <c r="ML8">
        <v>0.7</v>
      </c>
      <c r="MM8">
        <v>500</v>
      </c>
      <c r="MN8">
        <v>0.85</v>
      </c>
      <c r="MO8">
        <v>200</v>
      </c>
      <c r="MP8">
        <v>0.35</v>
      </c>
      <c r="MQ8">
        <v>200</v>
      </c>
      <c r="MR8">
        <v>0.45</v>
      </c>
      <c r="MS8">
        <v>600</v>
      </c>
      <c r="MT8">
        <v>0.76</v>
      </c>
      <c r="MU8">
        <v>12.961840990947699</v>
      </c>
      <c r="MV8">
        <v>401.42857142857139</v>
      </c>
      <c r="MW8">
        <v>13.416283544750121</v>
      </c>
      <c r="MX8">
        <v>426.42857142857139</v>
      </c>
      <c r="MY8">
        <v>12.895968816348651</v>
      </c>
      <c r="MZ8">
        <v>281.72142857142848</v>
      </c>
      <c r="NA8">
        <v>13.649212066796199</v>
      </c>
      <c r="NB8">
        <v>293.14999999999998</v>
      </c>
      <c r="NC8">
        <v>13.498787347132851</v>
      </c>
      <c r="ND8">
        <v>3892.8571428571431</v>
      </c>
      <c r="NG8">
        <v>9.9242331125012608</v>
      </c>
      <c r="NH8">
        <v>1000</v>
      </c>
      <c r="NK8">
        <v>12.26810253235902</v>
      </c>
      <c r="NL8">
        <v>0.77499999999999991</v>
      </c>
      <c r="NQ8">
        <v>11.79050705445947</v>
      </c>
      <c r="NR8">
        <v>0.83571428571428563</v>
      </c>
      <c r="NS8">
        <v>12.687099113013071</v>
      </c>
      <c r="NT8">
        <v>0.72857142857142854</v>
      </c>
      <c r="NU8">
        <v>12.334275039545201</v>
      </c>
      <c r="NV8">
        <v>0.75</v>
      </c>
      <c r="NY8">
        <v>12.4644934573175</v>
      </c>
      <c r="NZ8">
        <v>0.63571428571428568</v>
      </c>
      <c r="OC8">
        <v>13.618229150517189</v>
      </c>
      <c r="OD8">
        <v>0.82499999999999996</v>
      </c>
      <c r="OG8">
        <v>10.781595749116279</v>
      </c>
      <c r="OH8">
        <v>0.67499999999999993</v>
      </c>
    </row>
    <row r="9" spans="1:402" x14ac:dyDescent="0.3">
      <c r="A9" t="s">
        <v>7645</v>
      </c>
      <c r="B9">
        <v>45</v>
      </c>
      <c r="C9">
        <v>127</v>
      </c>
      <c r="D9">
        <v>14</v>
      </c>
      <c r="E9">
        <v>8</v>
      </c>
      <c r="F9">
        <v>6</v>
      </c>
      <c r="M9">
        <v>1.1000000000000001</v>
      </c>
      <c r="N9">
        <v>601.52048611111104</v>
      </c>
      <c r="Q9">
        <v>1.1000000000000001</v>
      </c>
      <c r="R9">
        <v>299.01666666666671</v>
      </c>
      <c r="S9">
        <v>1.1000000000000001</v>
      </c>
      <c r="T9">
        <v>9750</v>
      </c>
      <c r="U9">
        <v>0.1</v>
      </c>
      <c r="V9">
        <v>9562.5</v>
      </c>
      <c r="W9">
        <v>1.1000000000000001</v>
      </c>
      <c r="X9">
        <v>900</v>
      </c>
      <c r="AA9">
        <v>1.1000000000000001</v>
      </c>
      <c r="AB9">
        <v>0.83333333333333348</v>
      </c>
      <c r="AE9">
        <v>1.1000000000000001</v>
      </c>
      <c r="AF9">
        <v>0.8666666666666667</v>
      </c>
      <c r="AG9">
        <v>1.1000000000000001</v>
      </c>
      <c r="AH9">
        <v>0.80555555555555558</v>
      </c>
      <c r="AO9">
        <v>1.1000000000000001</v>
      </c>
      <c r="AP9">
        <v>0.83888888888888891</v>
      </c>
      <c r="AQ9">
        <v>1.1000000000000001</v>
      </c>
      <c r="AR9">
        <v>0.82777777777777772</v>
      </c>
      <c r="AS9">
        <v>0.75</v>
      </c>
      <c r="AT9">
        <v>1272.727272727273</v>
      </c>
      <c r="AU9">
        <v>390</v>
      </c>
      <c r="AV9">
        <v>1563.636363636364</v>
      </c>
      <c r="AW9">
        <v>434</v>
      </c>
      <c r="AX9">
        <v>945.45454545454561</v>
      </c>
      <c r="AY9">
        <v>390</v>
      </c>
      <c r="AZ9">
        <v>436.36363636363637</v>
      </c>
      <c r="BA9">
        <v>466</v>
      </c>
      <c r="BB9">
        <v>836.36363636363637</v>
      </c>
      <c r="BE9">
        <v>380</v>
      </c>
      <c r="BF9">
        <v>1418.181818181818</v>
      </c>
      <c r="BG9">
        <v>1.1000000000000001</v>
      </c>
      <c r="BH9">
        <v>0.75</v>
      </c>
      <c r="BI9">
        <v>1.1000000000000001</v>
      </c>
      <c r="BJ9">
        <v>0.75</v>
      </c>
      <c r="BK9">
        <v>3.1</v>
      </c>
      <c r="BL9">
        <v>0.72499999999999998</v>
      </c>
      <c r="BQ9">
        <v>1.1000000000000001</v>
      </c>
      <c r="BR9">
        <v>0.75</v>
      </c>
      <c r="BS9">
        <v>1.1000000000000001</v>
      </c>
      <c r="BT9">
        <v>0.65</v>
      </c>
      <c r="BW9">
        <v>0.4</v>
      </c>
      <c r="BX9">
        <v>0.85</v>
      </c>
      <c r="BY9">
        <v>0.8</v>
      </c>
      <c r="BZ9">
        <v>0.6</v>
      </c>
      <c r="CA9">
        <v>0.4</v>
      </c>
      <c r="CB9">
        <v>1345.454545454545</v>
      </c>
      <c r="CC9">
        <v>0.5</v>
      </c>
      <c r="CD9">
        <v>545.4545454545455</v>
      </c>
      <c r="CK9">
        <v>497</v>
      </c>
      <c r="CL9">
        <v>0.95</v>
      </c>
      <c r="DC9" t="s">
        <v>279</v>
      </c>
      <c r="DD9">
        <v>6.6911233033628994</v>
      </c>
      <c r="DE9" t="s">
        <v>276</v>
      </c>
      <c r="DF9">
        <v>1.614166047336647</v>
      </c>
      <c r="DK9">
        <v>11.24919898631345</v>
      </c>
      <c r="DL9">
        <v>582.70000000000005</v>
      </c>
      <c r="DQ9">
        <v>8.2494723225738404</v>
      </c>
      <c r="DR9">
        <v>294.80714285714288</v>
      </c>
      <c r="DY9">
        <v>-0.6</v>
      </c>
      <c r="DZ9">
        <v>10000</v>
      </c>
      <c r="EC9">
        <v>4.2069268641018196</v>
      </c>
      <c r="ED9">
        <v>1307.1428571428571</v>
      </c>
      <c r="ES9">
        <v>9.6247040513853204</v>
      </c>
      <c r="ET9">
        <v>0.95</v>
      </c>
      <c r="EW9">
        <v>8.3412691203550597</v>
      </c>
      <c r="EX9">
        <v>0.67500000000000004</v>
      </c>
      <c r="EY9">
        <v>7.0661222523894303</v>
      </c>
      <c r="EZ9">
        <v>0.67500000000000004</v>
      </c>
      <c r="FG9">
        <v>7.8049532334983001</v>
      </c>
      <c r="FH9">
        <v>0.67500000000000004</v>
      </c>
      <c r="FO9" t="s">
        <v>281</v>
      </c>
      <c r="FP9">
        <v>1.155047906448946E-2</v>
      </c>
      <c r="FQ9">
        <v>6.6115702479338845E-2</v>
      </c>
      <c r="FR9">
        <v>384.39900578337478</v>
      </c>
      <c r="FS9">
        <v>2.4169184290030211E-2</v>
      </c>
      <c r="FT9">
        <v>385.54001501813423</v>
      </c>
      <c r="FU9">
        <v>6.6115702479338845E-2</v>
      </c>
      <c r="FV9">
        <v>279.08050743848952</v>
      </c>
      <c r="FW9">
        <v>2.4169184290030211E-2</v>
      </c>
      <c r="FX9">
        <v>278.70203172737268</v>
      </c>
      <c r="FY9">
        <v>6.6115702479338845E-2</v>
      </c>
      <c r="FZ9">
        <v>2219.0482717092532</v>
      </c>
      <c r="GA9">
        <v>2.4169184290030211E-2</v>
      </c>
      <c r="GB9">
        <v>2076.5887165508439</v>
      </c>
      <c r="GC9">
        <v>6.6115702479338845E-2</v>
      </c>
      <c r="GD9">
        <v>688.24423852165376</v>
      </c>
      <c r="GE9">
        <v>2.4169184290030211E-2</v>
      </c>
      <c r="GF9">
        <v>321.19623247250729</v>
      </c>
      <c r="GG9">
        <v>6.6115702479338845E-2</v>
      </c>
      <c r="GH9">
        <v>0.51640470657971216</v>
      </c>
      <c r="GI9">
        <v>2.4169184290030211E-2</v>
      </c>
      <c r="GJ9">
        <v>0.50632277123170177</v>
      </c>
      <c r="GK9">
        <v>6.6115702479338845E-2</v>
      </c>
      <c r="GL9">
        <v>0.76008472564464791</v>
      </c>
      <c r="GM9">
        <v>2.4169184290030211E-2</v>
      </c>
      <c r="GN9">
        <v>0.75494845818198553</v>
      </c>
      <c r="GO9">
        <v>6.6115702479338845E-2</v>
      </c>
      <c r="GP9">
        <v>0.66376147712183364</v>
      </c>
      <c r="GQ9">
        <v>2.4169184290030211E-2</v>
      </c>
      <c r="GR9">
        <v>0.65753887588056548</v>
      </c>
      <c r="GS9">
        <v>6.6115702479338845E-2</v>
      </c>
      <c r="GT9">
        <v>0.61768503731499036</v>
      </c>
      <c r="GU9">
        <v>2.4169184290030211E-2</v>
      </c>
      <c r="GV9">
        <v>0.60856950896926887</v>
      </c>
      <c r="GW9">
        <v>6.6115702479338845E-2</v>
      </c>
      <c r="GX9">
        <v>0.6245865402818106</v>
      </c>
      <c r="GY9">
        <v>2.4169184290030211E-2</v>
      </c>
      <c r="GZ9">
        <v>0.60752077357831225</v>
      </c>
      <c r="HA9">
        <v>6.6115702479338845E-2</v>
      </c>
      <c r="HB9">
        <v>0.74143121179559601</v>
      </c>
      <c r="HC9">
        <v>2.4169184290030211E-2</v>
      </c>
      <c r="HD9">
        <v>0.70512996470572609</v>
      </c>
      <c r="HE9">
        <v>930.49414987767796</v>
      </c>
      <c r="HF9">
        <v>3160.356416844596</v>
      </c>
      <c r="HG9">
        <v>1406.8932144172011</v>
      </c>
      <c r="HH9">
        <v>4615.2470220835476</v>
      </c>
      <c r="HI9">
        <v>665.93200053815008</v>
      </c>
      <c r="HJ9">
        <v>3540.032699498654</v>
      </c>
      <c r="HK9">
        <v>1363.5481735925921</v>
      </c>
      <c r="HL9">
        <v>4360.0740089428709</v>
      </c>
      <c r="HM9">
        <v>417.49418257396292</v>
      </c>
      <c r="HN9">
        <v>4221.2709021404407</v>
      </c>
      <c r="HQ9">
        <v>534.84921037824859</v>
      </c>
      <c r="HR9">
        <v>3791.1020076979848</v>
      </c>
      <c r="HS9">
        <v>410.36577506406331</v>
      </c>
      <c r="HT9">
        <v>2748.1891092757151</v>
      </c>
      <c r="HY9" t="s">
        <v>277</v>
      </c>
      <c r="HZ9">
        <v>0.37516039029968368</v>
      </c>
      <c r="IA9" t="s">
        <v>7646</v>
      </c>
      <c r="IB9">
        <v>10</v>
      </c>
      <c r="IC9">
        <v>24</v>
      </c>
      <c r="ID9" t="s">
        <v>7647</v>
      </c>
      <c r="IE9">
        <v>3</v>
      </c>
      <c r="IF9">
        <v>10</v>
      </c>
      <c r="IG9" t="s">
        <v>1197</v>
      </c>
      <c r="IH9">
        <v>35.714285714285722</v>
      </c>
      <c r="IO9">
        <v>1563.2807048180921</v>
      </c>
      <c r="IP9">
        <v>4153.5937530817946</v>
      </c>
      <c r="IS9">
        <v>457.14303078273218</v>
      </c>
      <c r="IT9">
        <v>4119.2945345377893</v>
      </c>
      <c r="IU9">
        <v>1043.7881249224879</v>
      </c>
      <c r="IV9">
        <v>4399.5373831666748</v>
      </c>
      <c r="IY9">
        <v>0.70180621063578519</v>
      </c>
      <c r="IZ9">
        <v>448.82503694376612</v>
      </c>
      <c r="JA9">
        <v>0.92882756790203758</v>
      </c>
      <c r="JB9">
        <v>580.47844662147099</v>
      </c>
      <c r="JC9">
        <v>0.54076830477682536</v>
      </c>
      <c r="JD9">
        <v>393.43663022883732</v>
      </c>
      <c r="JE9">
        <v>0.43481809279942552</v>
      </c>
      <c r="JF9">
        <v>425.89212479468182</v>
      </c>
      <c r="JG9">
        <v>0.40842392045292819</v>
      </c>
      <c r="JH9">
        <v>599.95278401568555</v>
      </c>
      <c r="JM9">
        <v>0.89837922174821383</v>
      </c>
      <c r="JN9">
        <v>455.43375306717979</v>
      </c>
      <c r="JO9">
        <v>0.7022080786761189</v>
      </c>
      <c r="JP9">
        <v>386.85322392000222</v>
      </c>
      <c r="JQ9">
        <v>0.58149540872489947</v>
      </c>
      <c r="JR9">
        <v>447.96339849884851</v>
      </c>
      <c r="JS9">
        <v>0.62027178914072623</v>
      </c>
      <c r="JT9">
        <v>603.55879562576399</v>
      </c>
      <c r="KA9">
        <v>550.60355430147877</v>
      </c>
      <c r="KB9">
        <v>0.61531975399832317</v>
      </c>
      <c r="KC9">
        <v>761.77879072772521</v>
      </c>
      <c r="KD9">
        <v>0.52680184983860634</v>
      </c>
      <c r="KE9">
        <v>1660.614434685504</v>
      </c>
      <c r="KF9">
        <v>0.82422042469470569</v>
      </c>
      <c r="KI9">
        <v>1594.8984118004039</v>
      </c>
      <c r="KJ9">
        <v>4623.7628862233723</v>
      </c>
      <c r="KK9">
        <v>1439.657166970303</v>
      </c>
      <c r="KL9">
        <v>3744.982058753154</v>
      </c>
      <c r="KM9">
        <v>729.9780860451657</v>
      </c>
      <c r="KN9">
        <v>2402.8867477266799</v>
      </c>
      <c r="KO9">
        <v>398.00124030770269</v>
      </c>
      <c r="KP9">
        <v>2023.003329493351</v>
      </c>
      <c r="KQ9">
        <v>0.85</v>
      </c>
      <c r="KR9">
        <v>407.5</v>
      </c>
      <c r="KY9">
        <v>0.85</v>
      </c>
      <c r="KZ9">
        <v>405</v>
      </c>
      <c r="LG9">
        <v>0.95</v>
      </c>
      <c r="LH9">
        <v>390</v>
      </c>
      <c r="LI9">
        <v>0.85</v>
      </c>
      <c r="LJ9">
        <v>405</v>
      </c>
      <c r="MC9">
        <v>12.738675021868509</v>
      </c>
      <c r="MD9">
        <v>7</v>
      </c>
      <c r="ME9">
        <v>15.388324437519319</v>
      </c>
      <c r="MF9">
        <v>7</v>
      </c>
      <c r="MG9">
        <v>11.094114491620539</v>
      </c>
      <c r="MH9">
        <v>7</v>
      </c>
      <c r="MI9" t="s">
        <v>7648</v>
      </c>
      <c r="MJ9">
        <v>6</v>
      </c>
      <c r="MK9">
        <v>1200</v>
      </c>
      <c r="ML9">
        <v>0.7</v>
      </c>
      <c r="MM9">
        <v>700</v>
      </c>
      <c r="MN9">
        <v>0.85</v>
      </c>
      <c r="MO9">
        <v>600</v>
      </c>
      <c r="MP9">
        <v>0.35</v>
      </c>
      <c r="MQ9">
        <v>600</v>
      </c>
      <c r="MR9">
        <v>0.45</v>
      </c>
      <c r="MS9">
        <v>700</v>
      </c>
      <c r="MT9">
        <v>0.79</v>
      </c>
      <c r="MW9">
        <v>13.4230730280375</v>
      </c>
      <c r="MX9">
        <v>430</v>
      </c>
      <c r="MY9">
        <v>12.96287238234715</v>
      </c>
      <c r="MZ9">
        <v>283.14999999999998</v>
      </c>
      <c r="NC9">
        <v>13.3852549291339</v>
      </c>
      <c r="ND9">
        <v>3785.7142857142858</v>
      </c>
      <c r="NG9">
        <v>9.5443037793294891</v>
      </c>
      <c r="NH9">
        <v>1050</v>
      </c>
      <c r="NK9">
        <v>12.77762004685831</v>
      </c>
      <c r="NL9">
        <v>0.82499999999999996</v>
      </c>
      <c r="NQ9">
        <v>11.99975518366201</v>
      </c>
      <c r="NR9">
        <v>0.85</v>
      </c>
      <c r="NS9">
        <v>12.7014269803761</v>
      </c>
      <c r="NT9">
        <v>0.75</v>
      </c>
      <c r="NU9">
        <v>12.43716394587433</v>
      </c>
      <c r="NV9">
        <v>0.77499999999999991</v>
      </c>
      <c r="NY9">
        <v>12.55537636362463</v>
      </c>
      <c r="NZ9">
        <v>0.67500000000000004</v>
      </c>
      <c r="OC9">
        <v>13.33681054343614</v>
      </c>
      <c r="OD9">
        <v>0.87857142857142856</v>
      </c>
      <c r="OG9">
        <v>11.23217741708438</v>
      </c>
      <c r="OH9">
        <v>0.7</v>
      </c>
    </row>
    <row r="10" spans="1:402" x14ac:dyDescent="0.3">
      <c r="A10" t="s">
        <v>7649</v>
      </c>
      <c r="B10">
        <v>75</v>
      </c>
      <c r="C10">
        <v>43</v>
      </c>
      <c r="D10">
        <v>2</v>
      </c>
      <c r="E10">
        <v>9</v>
      </c>
      <c r="F10">
        <v>6</v>
      </c>
      <c r="M10">
        <v>1.2</v>
      </c>
      <c r="N10">
        <v>600.53732638888891</v>
      </c>
      <c r="Q10">
        <v>1.2</v>
      </c>
      <c r="R10">
        <v>301.28333333333342</v>
      </c>
      <c r="S10">
        <v>1.2</v>
      </c>
      <c r="T10">
        <v>5375</v>
      </c>
      <c r="U10">
        <v>0.2</v>
      </c>
      <c r="V10">
        <v>9593.75</v>
      </c>
      <c r="W10">
        <v>1.2</v>
      </c>
      <c r="X10">
        <v>1350</v>
      </c>
      <c r="AA10">
        <v>1.2</v>
      </c>
      <c r="AB10">
        <v>0.9</v>
      </c>
      <c r="AE10">
        <v>1.2</v>
      </c>
      <c r="AF10">
        <v>0.8833333333333333</v>
      </c>
      <c r="AG10">
        <v>1.2</v>
      </c>
      <c r="AH10">
        <v>0.85</v>
      </c>
      <c r="AO10">
        <v>1.2</v>
      </c>
      <c r="AP10">
        <v>0.81666666666666665</v>
      </c>
      <c r="AQ10">
        <v>1.2</v>
      </c>
      <c r="AR10">
        <v>0.83888888888888891</v>
      </c>
      <c r="AS10">
        <v>0.75</v>
      </c>
      <c r="AT10">
        <v>1709.090909090909</v>
      </c>
      <c r="AU10">
        <v>390</v>
      </c>
      <c r="AV10">
        <v>1709.090909090909</v>
      </c>
      <c r="AW10">
        <v>434</v>
      </c>
      <c r="AX10">
        <v>945.45454545454561</v>
      </c>
      <c r="AY10">
        <v>420</v>
      </c>
      <c r="AZ10">
        <v>727.27272727272737</v>
      </c>
      <c r="BA10">
        <v>466</v>
      </c>
      <c r="BB10">
        <v>981.81818181818198</v>
      </c>
      <c r="BE10">
        <v>380</v>
      </c>
      <c r="BF10">
        <v>1563.636363636364</v>
      </c>
      <c r="BG10">
        <v>1.2</v>
      </c>
      <c r="BH10">
        <v>0.8</v>
      </c>
      <c r="BI10">
        <v>1.2</v>
      </c>
      <c r="BJ10">
        <v>0.8</v>
      </c>
      <c r="BK10">
        <v>3.2</v>
      </c>
      <c r="BL10">
        <v>0.47499999999999998</v>
      </c>
      <c r="BQ10">
        <v>1.2</v>
      </c>
      <c r="BR10">
        <v>0.85</v>
      </c>
      <c r="BS10">
        <v>1.2</v>
      </c>
      <c r="BT10">
        <v>0.8</v>
      </c>
      <c r="BW10">
        <v>0.4</v>
      </c>
      <c r="BX10">
        <v>0.7</v>
      </c>
      <c r="BY10">
        <v>0.8</v>
      </c>
      <c r="BZ10">
        <v>0.5</v>
      </c>
      <c r="CA10">
        <v>0.4</v>
      </c>
      <c r="CB10">
        <v>1345.454545454545</v>
      </c>
      <c r="CC10">
        <v>0.5</v>
      </c>
      <c r="CD10">
        <v>690.90909090909099</v>
      </c>
      <c r="CK10">
        <v>529</v>
      </c>
      <c r="CL10">
        <v>0.85</v>
      </c>
      <c r="DC10" t="s">
        <v>271</v>
      </c>
      <c r="DD10">
        <v>6.8008162877012293</v>
      </c>
      <c r="DE10" t="s">
        <v>272</v>
      </c>
      <c r="DF10">
        <v>3.4017811182803901</v>
      </c>
      <c r="DQ10">
        <v>8.1867513955931699</v>
      </c>
      <c r="DR10">
        <v>293.35000000000002</v>
      </c>
      <c r="EC10">
        <v>3.83921841178707</v>
      </c>
      <c r="ED10">
        <v>1403.5714285714289</v>
      </c>
      <c r="EW10">
        <v>8.4186301286119001</v>
      </c>
      <c r="EX10">
        <v>0.71428571428571419</v>
      </c>
      <c r="EY10">
        <v>7.4441626726590604</v>
      </c>
      <c r="EZ10">
        <v>0.71428571428571419</v>
      </c>
      <c r="FG10">
        <v>8.14711193476818</v>
      </c>
      <c r="FH10">
        <v>0.71428571428571419</v>
      </c>
      <c r="FO10" t="s">
        <v>269</v>
      </c>
      <c r="FP10">
        <v>7.0719277850220252E-3</v>
      </c>
      <c r="FQ10">
        <v>7.43801652892562E-2</v>
      </c>
      <c r="FR10">
        <v>384.49647867478478</v>
      </c>
      <c r="FS10">
        <v>2.719033232628399E-2</v>
      </c>
      <c r="FT10">
        <v>385.7480188873339</v>
      </c>
      <c r="FU10">
        <v>7.43801652892562E-2</v>
      </c>
      <c r="FV10">
        <v>279.09770132054479</v>
      </c>
      <c r="FW10">
        <v>2.719033232628399E-2</v>
      </c>
      <c r="FX10">
        <v>279.14067000100658</v>
      </c>
      <c r="FY10">
        <v>7.43801652892562E-2</v>
      </c>
      <c r="FZ10">
        <v>2230.392431952534</v>
      </c>
      <c r="GA10">
        <v>2.719033232628399E-2</v>
      </c>
      <c r="GB10">
        <v>2081.0523578992979</v>
      </c>
      <c r="GC10">
        <v>7.43801652892562E-2</v>
      </c>
      <c r="GD10">
        <v>691.77340073409539</v>
      </c>
      <c r="GE10">
        <v>2.719033232628399E-2</v>
      </c>
      <c r="GF10">
        <v>321.55920181741237</v>
      </c>
      <c r="GG10">
        <v>7.43801652892562E-2</v>
      </c>
      <c r="GH10">
        <v>0.51844171619868995</v>
      </c>
      <c r="GI10">
        <v>2.719033232628399E-2</v>
      </c>
      <c r="GJ10">
        <v>0.50885435303368631</v>
      </c>
      <c r="GK10">
        <v>7.43801652892562E-2</v>
      </c>
      <c r="GL10">
        <v>0.76020215474112518</v>
      </c>
      <c r="GM10">
        <v>2.719033232628399E-2</v>
      </c>
      <c r="GN10">
        <v>0.75506118686038293</v>
      </c>
      <c r="GO10">
        <v>7.43801652892562E-2</v>
      </c>
      <c r="GP10">
        <v>0.66467399149604423</v>
      </c>
      <c r="GQ10">
        <v>2.719033232628399E-2</v>
      </c>
      <c r="GR10">
        <v>0.65770431196137902</v>
      </c>
      <c r="GS10">
        <v>7.43801652892562E-2</v>
      </c>
      <c r="GT10">
        <v>0.61909726456303282</v>
      </c>
      <c r="GU10">
        <v>2.719033232628399E-2</v>
      </c>
      <c r="GV10">
        <v>0.60983425654406842</v>
      </c>
      <c r="GW10">
        <v>7.43801652892562E-2</v>
      </c>
      <c r="GX10">
        <v>0.62882510443148476</v>
      </c>
      <c r="GY10">
        <v>2.719033232628399E-2</v>
      </c>
      <c r="GZ10">
        <v>0.6085215381089808</v>
      </c>
      <c r="HA10">
        <v>7.43801652892562E-2</v>
      </c>
      <c r="HB10">
        <v>0.76054615582130991</v>
      </c>
      <c r="HC10">
        <v>2.719033232628399E-2</v>
      </c>
      <c r="HD10">
        <v>0.70521737431346898</v>
      </c>
      <c r="HE10">
        <v>683.16533660242283</v>
      </c>
      <c r="HF10">
        <v>2867.3077316380732</v>
      </c>
      <c r="HG10">
        <v>889.99628330024234</v>
      </c>
      <c r="HH10">
        <v>3961.4129565340641</v>
      </c>
      <c r="HI10">
        <v>451.18496691954749</v>
      </c>
      <c r="HJ10">
        <v>2160.485723338179</v>
      </c>
      <c r="HK10">
        <v>376.82839650482282</v>
      </c>
      <c r="HL10">
        <v>2419.5677954772191</v>
      </c>
      <c r="HM10">
        <v>1254.520050129621</v>
      </c>
      <c r="HN10">
        <v>4986.5635957990344</v>
      </c>
      <c r="HQ10">
        <v>1098.026134950806</v>
      </c>
      <c r="HR10">
        <v>3094.0818694726422</v>
      </c>
      <c r="HS10">
        <v>806.09390228266875</v>
      </c>
      <c r="HT10">
        <v>4432.8290325803346</v>
      </c>
      <c r="HY10" t="s">
        <v>269</v>
      </c>
      <c r="HZ10">
        <v>0.58315508576315966</v>
      </c>
      <c r="IA10" t="s">
        <v>7650</v>
      </c>
      <c r="IB10">
        <v>12</v>
      </c>
      <c r="IC10">
        <v>25</v>
      </c>
      <c r="ID10" t="s">
        <v>7651</v>
      </c>
      <c r="IE10">
        <v>1</v>
      </c>
      <c r="IF10">
        <v>22</v>
      </c>
      <c r="IG10" t="s">
        <v>1198</v>
      </c>
      <c r="IH10">
        <v>70</v>
      </c>
      <c r="IO10">
        <v>1927.8763965249991</v>
      </c>
      <c r="IP10">
        <v>3767.5371996639169</v>
      </c>
      <c r="IS10">
        <v>1136.0496655919201</v>
      </c>
      <c r="IT10">
        <v>2342.9523307605332</v>
      </c>
      <c r="IU10">
        <v>662.985062927439</v>
      </c>
      <c r="IV10">
        <v>3836.4381922866692</v>
      </c>
      <c r="IY10">
        <v>0.72944795210936575</v>
      </c>
      <c r="IZ10">
        <v>534.0815165655772</v>
      </c>
      <c r="JA10">
        <v>0.40992949101159309</v>
      </c>
      <c r="JB10">
        <v>481.74456532978422</v>
      </c>
      <c r="JC10">
        <v>0.82511392666819772</v>
      </c>
      <c r="JD10">
        <v>439.75303373080982</v>
      </c>
      <c r="JE10">
        <v>0.55234614292460338</v>
      </c>
      <c r="JF10">
        <v>489.41416794950169</v>
      </c>
      <c r="JG10">
        <v>0.46529717958150629</v>
      </c>
      <c r="JH10">
        <v>593.77476234538199</v>
      </c>
      <c r="JM10">
        <v>0.75788147214477286</v>
      </c>
      <c r="JN10">
        <v>469.93266254693663</v>
      </c>
      <c r="JO10">
        <v>0.72629607144166686</v>
      </c>
      <c r="JP10">
        <v>437.25725306514931</v>
      </c>
      <c r="JQ10">
        <v>0.57105983275683736</v>
      </c>
      <c r="JR10">
        <v>504.2386608542011</v>
      </c>
      <c r="JS10">
        <v>0.59773298291857191</v>
      </c>
      <c r="JT10">
        <v>598.28449969767144</v>
      </c>
      <c r="KA10">
        <v>916.06004469776997</v>
      </c>
      <c r="KB10">
        <v>0.74062595070103499</v>
      </c>
      <c r="KC10">
        <v>326.76899043148308</v>
      </c>
      <c r="KD10">
        <v>0.69074576491882667</v>
      </c>
      <c r="KE10">
        <v>1705.63498112856</v>
      </c>
      <c r="KF10">
        <v>0.75407331106703301</v>
      </c>
      <c r="KI10">
        <v>654.55302031238375</v>
      </c>
      <c r="KJ10">
        <v>3634.0038787952658</v>
      </c>
      <c r="KK10">
        <v>1545.0069741552541</v>
      </c>
      <c r="KL10">
        <v>4356.2972937429577</v>
      </c>
      <c r="KM10">
        <v>666.5971493891202</v>
      </c>
      <c r="KN10">
        <v>3418.4110681208581</v>
      </c>
      <c r="KO10">
        <v>633.33883396056558</v>
      </c>
      <c r="KP10">
        <v>4414.9417031704479</v>
      </c>
      <c r="KQ10">
        <v>0.875</v>
      </c>
      <c r="KR10">
        <v>390</v>
      </c>
      <c r="KY10">
        <v>0.875</v>
      </c>
      <c r="KZ10">
        <v>390</v>
      </c>
      <c r="LG10">
        <v>0.95</v>
      </c>
      <c r="LH10">
        <v>392.5</v>
      </c>
      <c r="LI10">
        <v>0.85</v>
      </c>
      <c r="LJ10">
        <v>410</v>
      </c>
      <c r="ME10">
        <v>15.47807094977513</v>
      </c>
      <c r="MF10">
        <v>8</v>
      </c>
      <c r="MI10" t="s">
        <v>7652</v>
      </c>
      <c r="MJ10">
        <v>7</v>
      </c>
      <c r="MK10">
        <v>700</v>
      </c>
      <c r="ML10">
        <v>0.73</v>
      </c>
      <c r="MM10">
        <v>600</v>
      </c>
      <c r="MN10">
        <v>0.85</v>
      </c>
      <c r="MO10">
        <v>400</v>
      </c>
      <c r="MP10">
        <v>0.35</v>
      </c>
      <c r="MQ10">
        <v>700</v>
      </c>
      <c r="MR10">
        <v>0.45</v>
      </c>
      <c r="MS10">
        <v>700</v>
      </c>
      <c r="MT10">
        <v>0.82</v>
      </c>
      <c r="NC10">
        <v>13.60155540212271</v>
      </c>
      <c r="ND10">
        <v>4000</v>
      </c>
      <c r="NG10">
        <v>9.1797192138850399</v>
      </c>
      <c r="NH10">
        <v>1100</v>
      </c>
      <c r="NK10">
        <v>12.50472537002479</v>
      </c>
      <c r="NL10">
        <v>0.79999999999999993</v>
      </c>
      <c r="NQ10">
        <v>12.20897039978898</v>
      </c>
      <c r="NR10">
        <v>0.86428571428571421</v>
      </c>
      <c r="NS10">
        <v>12.714956311289949</v>
      </c>
      <c r="NT10">
        <v>0.77142857142857146</v>
      </c>
      <c r="NU10">
        <v>12.41935628578808</v>
      </c>
      <c r="NV10">
        <v>0.79999999999999993</v>
      </c>
      <c r="NY10">
        <v>12.647328287936849</v>
      </c>
      <c r="NZ10">
        <v>0.71428571428571419</v>
      </c>
      <c r="OC10">
        <v>13.546322051427349</v>
      </c>
      <c r="OD10">
        <v>0.84285714285714275</v>
      </c>
    </row>
    <row r="11" spans="1:402" x14ac:dyDescent="0.3">
      <c r="A11" t="s">
        <v>7653</v>
      </c>
      <c r="B11">
        <v>20</v>
      </c>
      <c r="C11">
        <v>219</v>
      </c>
      <c r="D11">
        <v>143</v>
      </c>
      <c r="E11">
        <v>204</v>
      </c>
      <c r="F11">
        <v>12</v>
      </c>
      <c r="M11">
        <v>1</v>
      </c>
      <c r="N11">
        <v>368.02005208333333</v>
      </c>
      <c r="Q11">
        <v>1</v>
      </c>
      <c r="R11">
        <v>303.55</v>
      </c>
      <c r="S11">
        <v>1</v>
      </c>
      <c r="T11">
        <v>9625</v>
      </c>
      <c r="U11">
        <v>0</v>
      </c>
      <c r="V11">
        <v>5421.875</v>
      </c>
      <c r="W11">
        <v>1</v>
      </c>
      <c r="X11">
        <v>1500</v>
      </c>
      <c r="AA11">
        <v>1</v>
      </c>
      <c r="AB11">
        <v>0.33333333333333331</v>
      </c>
      <c r="AE11">
        <v>1</v>
      </c>
      <c r="AF11">
        <v>0.9</v>
      </c>
      <c r="AG11">
        <v>1</v>
      </c>
      <c r="AH11">
        <v>0.82777777777777772</v>
      </c>
      <c r="AO11">
        <v>1</v>
      </c>
      <c r="AP11">
        <v>0.85</v>
      </c>
      <c r="AQ11">
        <v>1</v>
      </c>
      <c r="AR11">
        <v>0.85</v>
      </c>
      <c r="AS11">
        <v>0.75</v>
      </c>
      <c r="AT11">
        <v>1563.636363636364</v>
      </c>
      <c r="AU11">
        <v>390</v>
      </c>
      <c r="AV11">
        <v>1854.545454545455</v>
      </c>
      <c r="AW11">
        <v>434</v>
      </c>
      <c r="AX11">
        <v>1818.181818181818</v>
      </c>
      <c r="AY11">
        <v>420</v>
      </c>
      <c r="AZ11">
        <v>727.27272727272737</v>
      </c>
      <c r="BA11">
        <v>466</v>
      </c>
      <c r="BB11">
        <v>1127.2727272727279</v>
      </c>
      <c r="BE11">
        <v>380</v>
      </c>
      <c r="BF11">
        <v>1854.545454545455</v>
      </c>
      <c r="BG11">
        <v>1</v>
      </c>
      <c r="BH11">
        <v>0.85</v>
      </c>
      <c r="BI11">
        <v>1</v>
      </c>
      <c r="BJ11">
        <v>0.85</v>
      </c>
      <c r="BK11">
        <v>3</v>
      </c>
      <c r="BL11">
        <v>0.52500000000000002</v>
      </c>
      <c r="BQ11">
        <v>1</v>
      </c>
      <c r="BR11">
        <v>0.8</v>
      </c>
      <c r="BS11">
        <v>1</v>
      </c>
      <c r="BT11">
        <v>0.85</v>
      </c>
      <c r="BW11">
        <v>0.4</v>
      </c>
      <c r="BX11">
        <v>0.75</v>
      </c>
      <c r="BY11">
        <v>0.8</v>
      </c>
      <c r="BZ11">
        <v>0.65</v>
      </c>
      <c r="CA11">
        <v>0.5</v>
      </c>
      <c r="CB11">
        <v>1781.818181818182</v>
      </c>
      <c r="CC11">
        <v>0.5</v>
      </c>
      <c r="CD11">
        <v>981.81818181818198</v>
      </c>
      <c r="CK11">
        <v>529</v>
      </c>
      <c r="CL11">
        <v>0.95</v>
      </c>
      <c r="DC11" t="s">
        <v>272</v>
      </c>
      <c r="DD11">
        <v>10.7752446539392</v>
      </c>
      <c r="DE11" t="s">
        <v>274</v>
      </c>
      <c r="DF11">
        <v>10.871152546391279</v>
      </c>
      <c r="DQ11">
        <v>8.3130863387889402</v>
      </c>
      <c r="DR11">
        <v>296.26428571428568</v>
      </c>
      <c r="EC11">
        <v>3.4960913910065199</v>
      </c>
      <c r="ED11">
        <v>1500</v>
      </c>
      <c r="EW11">
        <v>8.4878858731131501</v>
      </c>
      <c r="EX11">
        <v>0.75357142857142856</v>
      </c>
      <c r="EY11">
        <v>7.7829461150891994</v>
      </c>
      <c r="EZ11">
        <v>0.75357142857142856</v>
      </c>
      <c r="FQ11">
        <v>8.2644628099173556E-2</v>
      </c>
      <c r="FR11">
        <v>386.18073039109271</v>
      </c>
      <c r="FS11">
        <v>3.021148036253777E-2</v>
      </c>
      <c r="FT11">
        <v>386.23004331232733</v>
      </c>
      <c r="FU11">
        <v>8.2644628099173556E-2</v>
      </c>
      <c r="FV11">
        <v>279.36523841228131</v>
      </c>
      <c r="FW11">
        <v>3.021148036253777E-2</v>
      </c>
      <c r="FX11">
        <v>279.20997995072582</v>
      </c>
      <c r="FY11">
        <v>8.2644628099173556E-2</v>
      </c>
      <c r="FZ11">
        <v>2262.4701685262412</v>
      </c>
      <c r="GA11">
        <v>3.021148036253777E-2</v>
      </c>
      <c r="GB11">
        <v>2081.421554425518</v>
      </c>
      <c r="GC11">
        <v>8.2644628099173556E-2</v>
      </c>
      <c r="GD11">
        <v>709.6704518480492</v>
      </c>
      <c r="GE11">
        <v>3.021148036253777E-2</v>
      </c>
      <c r="GF11">
        <v>327.39144229250411</v>
      </c>
      <c r="GG11">
        <v>8.2644628099173556E-2</v>
      </c>
      <c r="GH11">
        <v>0.51867265738364687</v>
      </c>
      <c r="GI11">
        <v>3.021148036253777E-2</v>
      </c>
      <c r="GJ11">
        <v>0.51299677131383736</v>
      </c>
      <c r="GK11">
        <v>8.2644628099173556E-2</v>
      </c>
      <c r="GL11">
        <v>0.76173121187744097</v>
      </c>
      <c r="GM11">
        <v>3.021148036253777E-2</v>
      </c>
      <c r="GN11">
        <v>0.75515601939696941</v>
      </c>
      <c r="GO11">
        <v>8.2644628099173556E-2</v>
      </c>
      <c r="GP11">
        <v>0.66481927652450978</v>
      </c>
      <c r="GQ11">
        <v>3.021148036253777E-2</v>
      </c>
      <c r="GR11">
        <v>0.65845245387788287</v>
      </c>
      <c r="GS11">
        <v>8.2644628099173556E-2</v>
      </c>
      <c r="GT11">
        <v>0.62323308573166625</v>
      </c>
      <c r="GU11">
        <v>3.021148036253777E-2</v>
      </c>
      <c r="GV11">
        <v>0.60992366019432354</v>
      </c>
      <c r="GW11">
        <v>8.2644628099173556E-2</v>
      </c>
      <c r="GX11">
        <v>0.63380723527561555</v>
      </c>
      <c r="GY11">
        <v>3.021148036253777E-2</v>
      </c>
      <c r="GZ11">
        <v>0.60938489828812603</v>
      </c>
      <c r="HA11">
        <v>8.2644628099173556E-2</v>
      </c>
      <c r="HB11">
        <v>0.76458598037669878</v>
      </c>
      <c r="HC11">
        <v>3.021148036253777E-2</v>
      </c>
      <c r="HD11">
        <v>0.70602639837238912</v>
      </c>
      <c r="HE11">
        <v>1032.6542947214091</v>
      </c>
      <c r="HF11">
        <v>2017.4898535705829</v>
      </c>
      <c r="HG11">
        <v>1403.6587964200589</v>
      </c>
      <c r="HH11">
        <v>4835.6491750485166</v>
      </c>
      <c r="HI11">
        <v>1389.747100071894</v>
      </c>
      <c r="HJ11">
        <v>4680.8931842474076</v>
      </c>
      <c r="HK11">
        <v>440.89117872893138</v>
      </c>
      <c r="HL11">
        <v>4430.8092664561082</v>
      </c>
      <c r="HM11">
        <v>355.3037031327749</v>
      </c>
      <c r="HN11">
        <v>4288.4784288729388</v>
      </c>
      <c r="HQ11">
        <v>999.02813437823045</v>
      </c>
      <c r="HR11">
        <v>4808.6258123185271</v>
      </c>
      <c r="HS11">
        <v>1370.024784885569</v>
      </c>
      <c r="HT11">
        <v>4393.1005855979838</v>
      </c>
      <c r="HY11" t="s">
        <v>271</v>
      </c>
      <c r="HZ11">
        <v>-0.68066346019492341</v>
      </c>
      <c r="IA11" t="s">
        <v>7654</v>
      </c>
      <c r="IB11">
        <v>13</v>
      </c>
      <c r="IC11">
        <v>20</v>
      </c>
      <c r="ID11" t="s">
        <v>7655</v>
      </c>
      <c r="IE11">
        <v>0</v>
      </c>
      <c r="IF11">
        <v>13</v>
      </c>
      <c r="IG11" t="s">
        <v>1199</v>
      </c>
      <c r="IH11">
        <v>75</v>
      </c>
      <c r="IO11">
        <v>1610.4523326951839</v>
      </c>
      <c r="IP11">
        <v>3161.9950305429411</v>
      </c>
      <c r="IS11">
        <v>1686.266109972614</v>
      </c>
      <c r="IT11">
        <v>4644.311816525058</v>
      </c>
      <c r="IU11">
        <v>244.36318747548921</v>
      </c>
      <c r="IV11">
        <v>4062.5786916976908</v>
      </c>
      <c r="IY11">
        <v>0.63410556742878532</v>
      </c>
      <c r="IZ11">
        <v>450.66451020521242</v>
      </c>
      <c r="JA11">
        <v>0.57293192879444188</v>
      </c>
      <c r="JB11">
        <v>432.95427781061568</v>
      </c>
      <c r="JC11">
        <v>0.75930521867269285</v>
      </c>
      <c r="JD11">
        <v>495.24745407003508</v>
      </c>
      <c r="JE11">
        <v>0.51041135046882602</v>
      </c>
      <c r="JF11">
        <v>510.8444477059914</v>
      </c>
      <c r="JG11">
        <v>0.45341200600653458</v>
      </c>
      <c r="JH11">
        <v>518.0648900131556</v>
      </c>
      <c r="JM11">
        <v>0.78051477879563469</v>
      </c>
      <c r="JN11">
        <v>461.50440625822051</v>
      </c>
      <c r="JO11">
        <v>0.74612732560698003</v>
      </c>
      <c r="JP11">
        <v>400.66316037582772</v>
      </c>
      <c r="JQ11">
        <v>0.88637744703511456</v>
      </c>
      <c r="JR11">
        <v>522.4346026969514</v>
      </c>
      <c r="JS11">
        <v>0.55238671654709381</v>
      </c>
      <c r="JT11">
        <v>619.53162227354744</v>
      </c>
      <c r="KA11">
        <v>640.69837807788326</v>
      </c>
      <c r="KB11">
        <v>0.58470035172169965</v>
      </c>
      <c r="KC11">
        <v>1336.5946334101279</v>
      </c>
      <c r="KD11">
        <v>0.51570317577898384</v>
      </c>
      <c r="KE11">
        <v>1465.4850472286871</v>
      </c>
      <c r="KF11">
        <v>0.61331140159843112</v>
      </c>
      <c r="KI11">
        <v>1421.8869426174369</v>
      </c>
      <c r="KJ11">
        <v>4186.2545848627014</v>
      </c>
      <c r="KK11">
        <v>285.35293835911472</v>
      </c>
      <c r="KL11">
        <v>2497.5607377003271</v>
      </c>
      <c r="KM11">
        <v>1085.807565682524</v>
      </c>
      <c r="KN11">
        <v>3172.4968286513158</v>
      </c>
      <c r="KO11">
        <v>1394.9557496090999</v>
      </c>
      <c r="KP11">
        <v>3039.543245538026</v>
      </c>
      <c r="KQ11">
        <v>0.875</v>
      </c>
      <c r="KR11">
        <v>392.5</v>
      </c>
      <c r="KY11">
        <v>0.875</v>
      </c>
      <c r="KZ11">
        <v>397.5</v>
      </c>
      <c r="LG11">
        <v>0.95</v>
      </c>
      <c r="LH11">
        <v>395</v>
      </c>
      <c r="LI11">
        <v>0.875</v>
      </c>
      <c r="LJ11">
        <v>392.5</v>
      </c>
      <c r="ME11">
        <v>15.541359739015769</v>
      </c>
      <c r="MF11">
        <v>9</v>
      </c>
      <c r="MI11" t="s">
        <v>7656</v>
      </c>
      <c r="MJ11">
        <v>3</v>
      </c>
      <c r="MK11">
        <v>800</v>
      </c>
      <c r="ML11">
        <v>0.73</v>
      </c>
      <c r="MM11">
        <v>600</v>
      </c>
      <c r="MN11">
        <v>0.88</v>
      </c>
      <c r="MO11">
        <v>300</v>
      </c>
      <c r="MP11">
        <v>0.35</v>
      </c>
      <c r="MQ11">
        <v>500</v>
      </c>
      <c r="MR11">
        <v>0.45</v>
      </c>
      <c r="MS11">
        <v>800</v>
      </c>
      <c r="MT11">
        <v>0.85</v>
      </c>
      <c r="NC11">
        <v>12.97912414602844</v>
      </c>
      <c r="ND11">
        <v>3464.2857142857142</v>
      </c>
      <c r="NG11">
        <v>8.8292264519368189</v>
      </c>
      <c r="NH11">
        <v>1150</v>
      </c>
      <c r="NQ11">
        <v>12.418152711289171</v>
      </c>
      <c r="NR11">
        <v>0.87857142857142856</v>
      </c>
      <c r="NS11">
        <v>12.72775205333601</v>
      </c>
      <c r="NT11">
        <v>0.79285714285714293</v>
      </c>
      <c r="NU11">
        <v>12.636164007161151</v>
      </c>
      <c r="NV11">
        <v>0.82499999999999996</v>
      </c>
      <c r="NY11">
        <v>12.740368104238931</v>
      </c>
      <c r="NZ11">
        <v>0.75357142857142856</v>
      </c>
      <c r="OC11">
        <v>13.45187778776944</v>
      </c>
      <c r="OD11">
        <v>0.86071428571428565</v>
      </c>
    </row>
    <row r="12" spans="1:402" x14ac:dyDescent="0.3">
      <c r="A12" t="s">
        <v>7657</v>
      </c>
      <c r="B12">
        <v>104</v>
      </c>
      <c r="C12">
        <v>30</v>
      </c>
      <c r="D12">
        <v>15</v>
      </c>
      <c r="E12">
        <v>1</v>
      </c>
      <c r="F12">
        <v>15</v>
      </c>
      <c r="S12">
        <v>1.1000000000000001</v>
      </c>
      <c r="T12">
        <v>5406.25</v>
      </c>
      <c r="U12">
        <v>0.1</v>
      </c>
      <c r="V12">
        <v>9609.375</v>
      </c>
      <c r="AA12">
        <v>1.1000000000000001</v>
      </c>
      <c r="AB12">
        <v>0.32500000000000001</v>
      </c>
      <c r="AS12">
        <v>0.75</v>
      </c>
      <c r="AT12">
        <v>1854.545454545455</v>
      </c>
      <c r="AU12">
        <v>390</v>
      </c>
      <c r="AV12">
        <v>2000</v>
      </c>
      <c r="AW12">
        <v>434</v>
      </c>
      <c r="AX12">
        <v>1827.2727272727279</v>
      </c>
      <c r="AY12">
        <v>403</v>
      </c>
      <c r="AZ12">
        <v>554.54545454545462</v>
      </c>
      <c r="BA12">
        <v>466</v>
      </c>
      <c r="BB12">
        <v>1272.727272727273</v>
      </c>
      <c r="BE12">
        <v>380</v>
      </c>
      <c r="BF12">
        <v>1709.090909090909</v>
      </c>
      <c r="BG12">
        <v>1.1000000000000001</v>
      </c>
      <c r="BH12">
        <v>0.89999999999999991</v>
      </c>
      <c r="BI12">
        <v>1.1000000000000001</v>
      </c>
      <c r="BJ12">
        <v>0.89999999999999991</v>
      </c>
      <c r="BK12">
        <v>3.1</v>
      </c>
      <c r="BL12">
        <v>0.8125</v>
      </c>
      <c r="BQ12">
        <v>1.1000000000000001</v>
      </c>
      <c r="BR12">
        <v>0.89999999999999991</v>
      </c>
      <c r="BW12">
        <v>0.4</v>
      </c>
      <c r="BX12">
        <v>0.89999999999999991</v>
      </c>
      <c r="BY12">
        <v>0.8</v>
      </c>
      <c r="BZ12">
        <v>0.7</v>
      </c>
      <c r="CA12">
        <v>0.5</v>
      </c>
      <c r="CB12">
        <v>1781.818181818182</v>
      </c>
      <c r="CC12">
        <v>0.5</v>
      </c>
      <c r="CD12">
        <v>1127.2727272727279</v>
      </c>
      <c r="CK12">
        <v>529</v>
      </c>
      <c r="CL12">
        <v>0.9</v>
      </c>
      <c r="DQ12">
        <v>8.3776124948838913</v>
      </c>
      <c r="DR12">
        <v>297.72142857142859</v>
      </c>
      <c r="EW12">
        <v>8.5502461947164594</v>
      </c>
      <c r="EX12">
        <v>0.79285714285714282</v>
      </c>
      <c r="EY12">
        <v>8.3646884146716207</v>
      </c>
      <c r="EZ12">
        <v>0.83214285714285707</v>
      </c>
      <c r="FQ12">
        <v>9.0909090909090912E-2</v>
      </c>
      <c r="FR12">
        <v>387.05939654538611</v>
      </c>
      <c r="FS12">
        <v>3.3232628398791542E-2</v>
      </c>
      <c r="FT12">
        <v>386.90487937652449</v>
      </c>
      <c r="FU12">
        <v>9.0909090909090912E-2</v>
      </c>
      <c r="FV12">
        <v>279.77074499595221</v>
      </c>
      <c r="FW12">
        <v>3.3232628398791542E-2</v>
      </c>
      <c r="FX12">
        <v>279.23371719069303</v>
      </c>
      <c r="FY12">
        <v>9.0909090909090912E-2</v>
      </c>
      <c r="FZ12">
        <v>2280.9971422651902</v>
      </c>
      <c r="GA12">
        <v>3.3232628398791542E-2</v>
      </c>
      <c r="GB12">
        <v>2092.4793058098921</v>
      </c>
      <c r="GC12">
        <v>9.0909090909090912E-2</v>
      </c>
      <c r="GD12">
        <v>715.19849393561185</v>
      </c>
      <c r="GE12">
        <v>3.3232628398791542E-2</v>
      </c>
      <c r="GF12">
        <v>328.00459858047401</v>
      </c>
      <c r="GG12">
        <v>9.0909090909090912E-2</v>
      </c>
      <c r="GH12">
        <v>0.52429752892687709</v>
      </c>
      <c r="GI12">
        <v>3.3232628398791542E-2</v>
      </c>
      <c r="GJ12">
        <v>0.51528526307811162</v>
      </c>
      <c r="GK12">
        <v>9.0909090909090912E-2</v>
      </c>
      <c r="GL12">
        <v>0.76274883596293863</v>
      </c>
      <c r="GM12">
        <v>3.3232628398791542E-2</v>
      </c>
      <c r="GN12">
        <v>0.75532296534489984</v>
      </c>
      <c r="GO12">
        <v>9.0909090909090912E-2</v>
      </c>
      <c r="GP12">
        <v>0.66643616157665486</v>
      </c>
      <c r="GQ12">
        <v>3.3232628398791542E-2</v>
      </c>
      <c r="GR12">
        <v>0.65970183396412085</v>
      </c>
      <c r="GS12">
        <v>9.0909090909090912E-2</v>
      </c>
      <c r="GT12">
        <v>0.62597914875267691</v>
      </c>
      <c r="GU12">
        <v>3.3232628398791542E-2</v>
      </c>
      <c r="GV12">
        <v>0.61237760193152324</v>
      </c>
      <c r="GW12">
        <v>9.0909090909090912E-2</v>
      </c>
      <c r="GX12">
        <v>0.63481699659524182</v>
      </c>
      <c r="GY12">
        <v>3.3232628398791542E-2</v>
      </c>
      <c r="GZ12">
        <v>0.61043630502798263</v>
      </c>
      <c r="HA12">
        <v>9.0909090909090912E-2</v>
      </c>
      <c r="HB12">
        <v>0.77022765894571332</v>
      </c>
      <c r="HC12">
        <v>3.3232628398791542E-2</v>
      </c>
      <c r="HD12">
        <v>0.70733665489715603</v>
      </c>
      <c r="HE12">
        <v>634.29698301898202</v>
      </c>
      <c r="HF12">
        <v>4398.7095789565983</v>
      </c>
      <c r="HG12">
        <v>607.32915360145648</v>
      </c>
      <c r="HH12">
        <v>3213.4260138138861</v>
      </c>
      <c r="HI12">
        <v>1369.5644733863919</v>
      </c>
      <c r="HJ12">
        <v>2513.9998727900161</v>
      </c>
      <c r="HK12">
        <v>705.04323211145129</v>
      </c>
      <c r="HL12">
        <v>2551.7393786212042</v>
      </c>
      <c r="HM12">
        <v>342.69578050168758</v>
      </c>
      <c r="HN12">
        <v>2718.1615875074322</v>
      </c>
      <c r="HQ12">
        <v>1129.3774894379501</v>
      </c>
      <c r="HR12">
        <v>2579.4107798939558</v>
      </c>
      <c r="HS12">
        <v>387.41923802042197</v>
      </c>
      <c r="HT12">
        <v>4636.0960996746398</v>
      </c>
      <c r="IA12" t="s">
        <v>7658</v>
      </c>
      <c r="IB12">
        <v>9</v>
      </c>
      <c r="IC12">
        <v>31</v>
      </c>
      <c r="ID12" t="s">
        <v>7659</v>
      </c>
      <c r="IE12">
        <v>1</v>
      </c>
      <c r="IF12">
        <v>7</v>
      </c>
      <c r="IO12">
        <v>490.29057995806511</v>
      </c>
      <c r="IP12">
        <v>3588.1085940089679</v>
      </c>
      <c r="IS12">
        <v>1523.7656013583189</v>
      </c>
      <c r="IT12">
        <v>4131.499397817609</v>
      </c>
      <c r="IU12">
        <v>1838.6820288874089</v>
      </c>
      <c r="IV12">
        <v>4196.4934311734396</v>
      </c>
      <c r="IY12">
        <v>0.89029001631679794</v>
      </c>
      <c r="IZ12">
        <v>407.55318811460552</v>
      </c>
      <c r="JA12">
        <v>0.64915219213337871</v>
      </c>
      <c r="JB12">
        <v>435.4917432016901</v>
      </c>
      <c r="JC12">
        <v>0.44822897937823503</v>
      </c>
      <c r="JD12">
        <v>420.45743517585282</v>
      </c>
      <c r="JE12">
        <v>0.68246076345038942</v>
      </c>
      <c r="JF12">
        <v>503.83652268951488</v>
      </c>
      <c r="JG12">
        <v>0.66543010696364457</v>
      </c>
      <c r="JH12">
        <v>548.86958920014649</v>
      </c>
      <c r="JM12">
        <v>0.76517248970850116</v>
      </c>
      <c r="JN12">
        <v>560.18792329992357</v>
      </c>
      <c r="JO12">
        <v>0.6628464970628869</v>
      </c>
      <c r="JP12">
        <v>421.66968407926049</v>
      </c>
      <c r="JQ12">
        <v>0.79285971515751774</v>
      </c>
      <c r="JR12">
        <v>612.84750579547926</v>
      </c>
      <c r="JS12">
        <v>0.56720755151602154</v>
      </c>
      <c r="JT12">
        <v>468.41371532842049</v>
      </c>
      <c r="KA12">
        <v>1371.6732234206081</v>
      </c>
      <c r="KB12">
        <v>0.60257171626829886</v>
      </c>
      <c r="KC12">
        <v>1200.7035918734091</v>
      </c>
      <c r="KD12">
        <v>0.76824894437186653</v>
      </c>
      <c r="KE12">
        <v>1977.7845400767901</v>
      </c>
      <c r="KF12">
        <v>0.54181172467028194</v>
      </c>
      <c r="KK12">
        <v>1652.5372687303379</v>
      </c>
      <c r="KL12">
        <v>3550.099941914199</v>
      </c>
      <c r="KM12">
        <v>1207.7747526183009</v>
      </c>
      <c r="KN12">
        <v>2143.916760886475</v>
      </c>
      <c r="KO12">
        <v>1508.955169217455</v>
      </c>
      <c r="KP12">
        <v>4390.6197882503666</v>
      </c>
      <c r="KQ12">
        <v>0.875</v>
      </c>
      <c r="KR12">
        <v>400</v>
      </c>
      <c r="KY12">
        <v>0.875</v>
      </c>
      <c r="KZ12">
        <v>392.5</v>
      </c>
      <c r="LG12">
        <v>0.95</v>
      </c>
      <c r="LH12">
        <v>397.5</v>
      </c>
      <c r="LI12">
        <v>0.875</v>
      </c>
      <c r="LJ12">
        <v>395</v>
      </c>
      <c r="ME12">
        <v>15.59965738845141</v>
      </c>
      <c r="MF12">
        <v>10</v>
      </c>
      <c r="MI12" t="s">
        <v>7660</v>
      </c>
      <c r="MJ12">
        <v>5</v>
      </c>
      <c r="MK12">
        <v>900</v>
      </c>
      <c r="ML12">
        <v>0.73</v>
      </c>
      <c r="MM12">
        <v>700</v>
      </c>
      <c r="MN12">
        <v>0.88</v>
      </c>
      <c r="MO12">
        <v>500</v>
      </c>
      <c r="MP12">
        <v>0.35</v>
      </c>
      <c r="MQ12">
        <v>400</v>
      </c>
      <c r="MR12">
        <v>0.45</v>
      </c>
      <c r="MS12">
        <v>800</v>
      </c>
      <c r="MT12">
        <v>0.88</v>
      </c>
      <c r="NC12">
        <v>13.14655072772617</v>
      </c>
      <c r="ND12">
        <v>3678.5714285714289</v>
      </c>
      <c r="NG12">
        <v>8.4917267042076094</v>
      </c>
      <c r="NH12">
        <v>1200</v>
      </c>
      <c r="NQ12">
        <v>12.627302126732401</v>
      </c>
      <c r="NR12">
        <v>0.89285714285714279</v>
      </c>
      <c r="NS12">
        <v>12.73987229682464</v>
      </c>
      <c r="NT12">
        <v>0.81428571428571428</v>
      </c>
      <c r="NU12">
        <v>12.731864501081271</v>
      </c>
      <c r="NV12">
        <v>0.85</v>
      </c>
      <c r="NY12">
        <v>12.834514454028641</v>
      </c>
      <c r="NZ12">
        <v>0.79285714285714282</v>
      </c>
      <c r="OC12">
        <v>13.202845014878161</v>
      </c>
      <c r="OD12">
        <v>0.89642857142857135</v>
      </c>
    </row>
    <row r="13" spans="1:402" x14ac:dyDescent="0.3">
      <c r="A13" t="s">
        <v>7661</v>
      </c>
      <c r="B13">
        <v>142</v>
      </c>
      <c r="C13">
        <v>9</v>
      </c>
      <c r="D13">
        <v>0</v>
      </c>
      <c r="E13">
        <v>16</v>
      </c>
      <c r="F13">
        <v>0</v>
      </c>
      <c r="U13">
        <v>0.2</v>
      </c>
      <c r="V13">
        <v>5414.0625</v>
      </c>
      <c r="AA13">
        <v>1.2</v>
      </c>
      <c r="AB13">
        <v>0.3208333333333333</v>
      </c>
      <c r="AS13">
        <v>0.75</v>
      </c>
      <c r="AT13">
        <v>2000</v>
      </c>
      <c r="AU13">
        <v>403</v>
      </c>
      <c r="AV13">
        <v>690.90909090909099</v>
      </c>
      <c r="AY13">
        <v>403</v>
      </c>
      <c r="AZ13">
        <v>554.54545454545462</v>
      </c>
      <c r="BA13">
        <v>466</v>
      </c>
      <c r="BB13">
        <v>1418.181818181818</v>
      </c>
      <c r="BE13">
        <v>380</v>
      </c>
      <c r="BF13">
        <v>2000</v>
      </c>
      <c r="BG13">
        <v>1.2</v>
      </c>
      <c r="BH13">
        <v>0.95</v>
      </c>
      <c r="BI13">
        <v>1.2</v>
      </c>
      <c r="BJ13">
        <v>0.95</v>
      </c>
      <c r="BK13">
        <v>3.2</v>
      </c>
      <c r="BL13">
        <v>0.71249999999999991</v>
      </c>
      <c r="BQ13">
        <v>1.2</v>
      </c>
      <c r="BR13">
        <v>0.95</v>
      </c>
      <c r="BW13">
        <v>0.4</v>
      </c>
      <c r="BX13">
        <v>0.95</v>
      </c>
      <c r="BY13">
        <v>0.8</v>
      </c>
      <c r="BZ13">
        <v>0.95</v>
      </c>
      <c r="CA13">
        <v>0.5</v>
      </c>
      <c r="CB13">
        <v>1745.454545454545</v>
      </c>
      <c r="CC13">
        <v>0.5</v>
      </c>
      <c r="CD13">
        <v>1418.181818181818</v>
      </c>
      <c r="CK13">
        <v>560</v>
      </c>
      <c r="CL13">
        <v>0.85</v>
      </c>
      <c r="DQ13">
        <v>8.4430705241976796</v>
      </c>
      <c r="DR13">
        <v>299.17857142857139</v>
      </c>
      <c r="EW13">
        <v>8.6066932970745587</v>
      </c>
      <c r="EX13">
        <v>0.83214285714285707</v>
      </c>
      <c r="EY13">
        <v>8.0882304365208295</v>
      </c>
      <c r="EZ13">
        <v>0.79285714285714282</v>
      </c>
      <c r="FQ13">
        <v>9.9173553719008267E-2</v>
      </c>
      <c r="FR13">
        <v>387.84511519598408</v>
      </c>
      <c r="FS13">
        <v>3.6253776435045321E-2</v>
      </c>
      <c r="FT13">
        <v>387.23014169266207</v>
      </c>
      <c r="FU13">
        <v>9.9173553719008267E-2</v>
      </c>
      <c r="FV13">
        <v>279.84407420590969</v>
      </c>
      <c r="FW13">
        <v>3.6253776435045321E-2</v>
      </c>
      <c r="FX13">
        <v>279.36082665796363</v>
      </c>
      <c r="FY13">
        <v>9.9173553719008267E-2</v>
      </c>
      <c r="FZ13">
        <v>2291.415835900696</v>
      </c>
      <c r="GA13">
        <v>3.6253776435045321E-2</v>
      </c>
      <c r="GB13">
        <v>2095.385835313507</v>
      </c>
      <c r="GC13">
        <v>9.9173553719008267E-2</v>
      </c>
      <c r="GD13">
        <v>769.12351004287825</v>
      </c>
      <c r="GE13">
        <v>3.6253776435045321E-2</v>
      </c>
      <c r="GF13">
        <v>335.24030954492889</v>
      </c>
      <c r="GG13">
        <v>9.9173553719008267E-2</v>
      </c>
      <c r="GH13">
        <v>0.52537546515263167</v>
      </c>
      <c r="GI13">
        <v>3.6253776435045321E-2</v>
      </c>
      <c r="GJ13">
        <v>0.51616667692486828</v>
      </c>
      <c r="GK13">
        <v>9.9173553719008267E-2</v>
      </c>
      <c r="GL13">
        <v>0.76486758710316671</v>
      </c>
      <c r="GM13">
        <v>3.6253776435045321E-2</v>
      </c>
      <c r="GN13">
        <v>0.75616834413025424</v>
      </c>
      <c r="GO13">
        <v>9.9173553719008267E-2</v>
      </c>
      <c r="GP13">
        <v>0.66688691311772319</v>
      </c>
      <c r="GQ13">
        <v>3.6253776435045321E-2</v>
      </c>
      <c r="GR13">
        <v>0.65980809913816829</v>
      </c>
      <c r="GS13">
        <v>9.9173553719008267E-2</v>
      </c>
      <c r="GT13">
        <v>0.62618210208602032</v>
      </c>
      <c r="GU13">
        <v>3.6253776435045321E-2</v>
      </c>
      <c r="GV13">
        <v>0.61301029574804911</v>
      </c>
      <c r="GW13">
        <v>9.9173553719008267E-2</v>
      </c>
      <c r="GX13">
        <v>0.64136930611248466</v>
      </c>
      <c r="GY13">
        <v>3.6253776435045321E-2</v>
      </c>
      <c r="GZ13">
        <v>0.61064541409075324</v>
      </c>
      <c r="HA13">
        <v>9.9173553719008267E-2</v>
      </c>
      <c r="HB13">
        <v>0.77972921800657491</v>
      </c>
      <c r="HC13">
        <v>3.6253776435045321E-2</v>
      </c>
      <c r="HD13">
        <v>0.70735883808981626</v>
      </c>
      <c r="HE13">
        <v>1030.303377686404</v>
      </c>
      <c r="HF13">
        <v>3723.2852900100111</v>
      </c>
      <c r="HG13">
        <v>1239.9385188619869</v>
      </c>
      <c r="HH13">
        <v>3942.2269758253569</v>
      </c>
      <c r="HI13">
        <v>558.53242026543444</v>
      </c>
      <c r="HJ13">
        <v>2450.9615500526988</v>
      </c>
      <c r="HK13">
        <v>577.37554436747882</v>
      </c>
      <c r="HL13">
        <v>3206.4409362493971</v>
      </c>
      <c r="HM13">
        <v>1366.330640150393</v>
      </c>
      <c r="HN13">
        <v>4578.1609320619227</v>
      </c>
      <c r="HQ13">
        <v>851.25298658896372</v>
      </c>
      <c r="HR13">
        <v>2022.172409622757</v>
      </c>
      <c r="HS13">
        <v>876.2542343533936</v>
      </c>
      <c r="HT13">
        <v>2421.900119820586</v>
      </c>
      <c r="IA13" t="s">
        <v>7662</v>
      </c>
      <c r="IB13">
        <v>10</v>
      </c>
      <c r="IC13">
        <v>21</v>
      </c>
      <c r="ID13" t="s">
        <v>7663</v>
      </c>
      <c r="IE13">
        <v>0</v>
      </c>
      <c r="IF13">
        <v>12</v>
      </c>
      <c r="IO13">
        <v>608.87070010766729</v>
      </c>
      <c r="IP13">
        <v>4755.8144696435311</v>
      </c>
      <c r="IS13">
        <v>1753.3988631352399</v>
      </c>
      <c r="IT13">
        <v>4933.0203256811355</v>
      </c>
      <c r="IU13">
        <v>1348.7364938803289</v>
      </c>
      <c r="IV13">
        <v>2135.608310660421</v>
      </c>
      <c r="IY13">
        <v>0.59531416973377493</v>
      </c>
      <c r="IZ13">
        <v>483.55051319640239</v>
      </c>
      <c r="JA13">
        <v>0.87351021880896629</v>
      </c>
      <c r="JB13">
        <v>526.02816518554141</v>
      </c>
      <c r="JC13">
        <v>0.67755626332963437</v>
      </c>
      <c r="JD13">
        <v>415.02068474468092</v>
      </c>
      <c r="JE13">
        <v>0.49450864651510518</v>
      </c>
      <c r="JF13">
        <v>603.54562119817967</v>
      </c>
      <c r="JG13">
        <v>0.73633202657326402</v>
      </c>
      <c r="JH13">
        <v>554.81087254867703</v>
      </c>
      <c r="JM13">
        <v>0.93029141139126725</v>
      </c>
      <c r="JN13">
        <v>622.40103948422188</v>
      </c>
      <c r="JO13">
        <v>0.70969172530444968</v>
      </c>
      <c r="JP13">
        <v>380.23379705491311</v>
      </c>
      <c r="JQ13">
        <v>0.71449659994219283</v>
      </c>
      <c r="JR13">
        <v>460.41299915954812</v>
      </c>
      <c r="JS13">
        <v>0.8294856231527955</v>
      </c>
      <c r="JT13">
        <v>615.5396472523812</v>
      </c>
      <c r="KA13">
        <v>1453.2527675756271</v>
      </c>
      <c r="KB13">
        <v>0.62531654123406266</v>
      </c>
      <c r="KC13">
        <v>580.17882946253792</v>
      </c>
      <c r="KD13">
        <v>0.70344384832675133</v>
      </c>
      <c r="KE13">
        <v>1838.875486340434</v>
      </c>
      <c r="KF13">
        <v>0.67616765454052241</v>
      </c>
      <c r="KK13">
        <v>1180.8985655398919</v>
      </c>
      <c r="KL13">
        <v>2448.353776692386</v>
      </c>
      <c r="KM13">
        <v>206.1261602277809</v>
      </c>
      <c r="KN13">
        <v>2469.131631958141</v>
      </c>
      <c r="KO13">
        <v>1607.875625516594</v>
      </c>
      <c r="KP13">
        <v>4277.6389093380303</v>
      </c>
      <c r="KQ13">
        <v>0.875</v>
      </c>
      <c r="KR13">
        <v>395</v>
      </c>
      <c r="KY13">
        <v>0.875</v>
      </c>
      <c r="KZ13">
        <v>395</v>
      </c>
      <c r="LG13">
        <v>0.95</v>
      </c>
      <c r="LH13">
        <v>400</v>
      </c>
      <c r="LI13">
        <v>0.875</v>
      </c>
      <c r="LJ13">
        <v>397.5</v>
      </c>
      <c r="MI13" t="s">
        <v>7664</v>
      </c>
      <c r="MJ13">
        <v>0</v>
      </c>
      <c r="MK13">
        <v>600</v>
      </c>
      <c r="ML13">
        <v>0.73</v>
      </c>
      <c r="MM13">
        <v>500</v>
      </c>
      <c r="MN13">
        <v>0.88</v>
      </c>
      <c r="MO13">
        <v>700</v>
      </c>
      <c r="MP13">
        <v>0.35</v>
      </c>
      <c r="MQ13">
        <v>300</v>
      </c>
      <c r="MR13">
        <v>0.45</v>
      </c>
      <c r="MS13">
        <v>800</v>
      </c>
      <c r="MT13">
        <v>0.91</v>
      </c>
      <c r="NC13">
        <v>13.10002265725447</v>
      </c>
      <c r="ND13">
        <v>3571.428571428572</v>
      </c>
      <c r="NQ13">
        <v>12.83641865463925</v>
      </c>
      <c r="NR13">
        <v>0.90714285714285725</v>
      </c>
      <c r="NS13">
        <v>12.76228952045992</v>
      </c>
      <c r="NT13">
        <v>0.85714285714285721</v>
      </c>
      <c r="NU13">
        <v>12.82416714500029</v>
      </c>
      <c r="NV13">
        <v>0.875</v>
      </c>
      <c r="NY13">
        <v>12.92978655225828</v>
      </c>
      <c r="NZ13">
        <v>0.83214285714285707</v>
      </c>
      <c r="OC13">
        <v>13.05151877785543</v>
      </c>
      <c r="OD13">
        <v>0.91428571428571437</v>
      </c>
    </row>
    <row r="14" spans="1:402" x14ac:dyDescent="0.3">
      <c r="A14" t="s">
        <v>7665</v>
      </c>
      <c r="B14">
        <v>419</v>
      </c>
      <c r="C14">
        <v>130</v>
      </c>
      <c r="D14">
        <v>0</v>
      </c>
      <c r="E14">
        <v>10</v>
      </c>
      <c r="F14">
        <v>1</v>
      </c>
      <c r="U14">
        <v>0</v>
      </c>
      <c r="V14">
        <v>9617.1875</v>
      </c>
      <c r="AS14">
        <v>0.78</v>
      </c>
      <c r="AT14">
        <v>400</v>
      </c>
      <c r="AU14">
        <v>403</v>
      </c>
      <c r="AV14">
        <v>836.36363636363637</v>
      </c>
      <c r="BA14">
        <v>466</v>
      </c>
      <c r="BB14">
        <v>1563.636363636364</v>
      </c>
      <c r="BK14">
        <v>3</v>
      </c>
      <c r="BL14">
        <v>0.66250000000000009</v>
      </c>
      <c r="BW14">
        <v>0.5</v>
      </c>
      <c r="BX14">
        <v>0.45</v>
      </c>
      <c r="CA14">
        <v>0.5</v>
      </c>
      <c r="CB14">
        <v>1745.454545454545</v>
      </c>
      <c r="CC14">
        <v>0.5</v>
      </c>
      <c r="CD14">
        <v>1272.727272727273</v>
      </c>
      <c r="CK14">
        <v>560</v>
      </c>
      <c r="CL14">
        <v>0.95</v>
      </c>
      <c r="EW14">
        <v>8.6580291428481413</v>
      </c>
      <c r="EX14">
        <v>0.87142857142857144</v>
      </c>
      <c r="FQ14">
        <v>0.1074380165289256</v>
      </c>
      <c r="FR14">
        <v>389.23187535918572</v>
      </c>
      <c r="FS14">
        <v>3.9274924471299093E-2</v>
      </c>
      <c r="FT14">
        <v>387.28260423924007</v>
      </c>
      <c r="FU14">
        <v>0.1074380165289256</v>
      </c>
      <c r="FV14">
        <v>279.94926157902341</v>
      </c>
      <c r="FW14">
        <v>3.9274924471299093E-2</v>
      </c>
      <c r="FX14">
        <v>279.4725137593469</v>
      </c>
      <c r="FY14">
        <v>0.1074380165289256</v>
      </c>
      <c r="FZ14">
        <v>2352.4545851847129</v>
      </c>
      <c r="GA14">
        <v>3.9274924471299093E-2</v>
      </c>
      <c r="GB14">
        <v>2101.2816918460849</v>
      </c>
      <c r="GC14">
        <v>0.1074380165289256</v>
      </c>
      <c r="GD14">
        <v>775.80218347083269</v>
      </c>
      <c r="GE14">
        <v>3.9274924471299093E-2</v>
      </c>
      <c r="GF14">
        <v>337.95542829113072</v>
      </c>
      <c r="GG14">
        <v>0.1074380165289256</v>
      </c>
      <c r="GH14">
        <v>0.52707095730327747</v>
      </c>
      <c r="GI14">
        <v>3.9274924471299093E-2</v>
      </c>
      <c r="GJ14">
        <v>0.51969585808667962</v>
      </c>
      <c r="GK14">
        <v>0.1074380165289256</v>
      </c>
      <c r="GL14">
        <v>0.76549323249310108</v>
      </c>
      <c r="GM14">
        <v>3.9274924471299093E-2</v>
      </c>
      <c r="GN14">
        <v>0.75624980525542029</v>
      </c>
      <c r="GO14">
        <v>0.1074380165289256</v>
      </c>
      <c r="GP14">
        <v>0.67144183093903309</v>
      </c>
      <c r="GQ14">
        <v>3.9274924471299093E-2</v>
      </c>
      <c r="GR14">
        <v>0.66016265485981285</v>
      </c>
      <c r="GS14">
        <v>0.1074380165289256</v>
      </c>
      <c r="GT14">
        <v>0.62727787519691924</v>
      </c>
      <c r="GU14">
        <v>3.9274924471299093E-2</v>
      </c>
      <c r="GV14">
        <v>0.61437738400701558</v>
      </c>
      <c r="GW14">
        <v>0.1074380165289256</v>
      </c>
      <c r="GX14">
        <v>0.64295787248600977</v>
      </c>
      <c r="GY14">
        <v>3.9274924471299093E-2</v>
      </c>
      <c r="GZ14">
        <v>0.61067394305301148</v>
      </c>
      <c r="HA14">
        <v>0.1074380165289256</v>
      </c>
      <c r="HB14">
        <v>0.78924067695503919</v>
      </c>
      <c r="HC14">
        <v>3.9274924471299093E-2</v>
      </c>
      <c r="HD14">
        <v>0.7075778626462661</v>
      </c>
      <c r="HE14">
        <v>1190.441137421511</v>
      </c>
      <c r="HF14">
        <v>3429.232588331723</v>
      </c>
      <c r="HG14">
        <v>983.01720182054078</v>
      </c>
      <c r="HH14">
        <v>4493.2266060725988</v>
      </c>
      <c r="HI14">
        <v>1356.4623282553241</v>
      </c>
      <c r="HJ14">
        <v>4255.1398485510472</v>
      </c>
      <c r="HK14">
        <v>987.85461202038402</v>
      </c>
      <c r="HL14">
        <v>3899.2251228320879</v>
      </c>
      <c r="HM14">
        <v>335.24030954492889</v>
      </c>
      <c r="HN14">
        <v>2697.1902563420481</v>
      </c>
      <c r="HQ14">
        <v>1176.425328460281</v>
      </c>
      <c r="HR14">
        <v>4513.5865976184787</v>
      </c>
      <c r="HS14">
        <v>407.31624011368939</v>
      </c>
      <c r="HT14">
        <v>4929.4334245506598</v>
      </c>
      <c r="IA14" t="s">
        <v>7666</v>
      </c>
      <c r="IB14">
        <v>5</v>
      </c>
      <c r="IC14">
        <v>17</v>
      </c>
      <c r="ID14" t="s">
        <v>7667</v>
      </c>
      <c r="IE14">
        <v>0</v>
      </c>
      <c r="IF14">
        <v>8</v>
      </c>
      <c r="IO14">
        <v>1028.4055409520649</v>
      </c>
      <c r="IP14">
        <v>3666.4066377897238</v>
      </c>
      <c r="IS14">
        <v>202.1395101625765</v>
      </c>
      <c r="IT14">
        <v>3706.4376180252571</v>
      </c>
      <c r="IU14">
        <v>1569.905076069427</v>
      </c>
      <c r="IV14">
        <v>4215.0666718714647</v>
      </c>
      <c r="JA14">
        <v>0.66669016552415405</v>
      </c>
      <c r="JB14">
        <v>465.04661619855068</v>
      </c>
      <c r="JC14">
        <v>0.56878803310063497</v>
      </c>
      <c r="JD14">
        <v>408.79278112425942</v>
      </c>
      <c r="JE14">
        <v>0.43814407672426409</v>
      </c>
      <c r="JF14">
        <v>446.00155831467731</v>
      </c>
      <c r="JG14">
        <v>0.4594105827690198</v>
      </c>
      <c r="JH14">
        <v>531.98714895608066</v>
      </c>
      <c r="JM14">
        <v>0.55900273468302286</v>
      </c>
      <c r="JN14">
        <v>457.22165774429737</v>
      </c>
      <c r="JO14">
        <v>0.48342561553461638</v>
      </c>
      <c r="JP14">
        <v>420.10428772022982</v>
      </c>
      <c r="JQ14">
        <v>0.46852195759733128</v>
      </c>
      <c r="JR14">
        <v>613.96059935417043</v>
      </c>
      <c r="JS14">
        <v>0.50455499088949729</v>
      </c>
      <c r="JT14">
        <v>566.3083206757484</v>
      </c>
      <c r="KA14">
        <v>1401.1040022163429</v>
      </c>
      <c r="KB14">
        <v>0.51118226779122011</v>
      </c>
      <c r="KC14">
        <v>812.50089306288385</v>
      </c>
      <c r="KD14">
        <v>0.57689010937210961</v>
      </c>
      <c r="KE14">
        <v>393.84924973180711</v>
      </c>
      <c r="KF14">
        <v>0.6531644423108921</v>
      </c>
      <c r="KK14">
        <v>308.33872276456037</v>
      </c>
      <c r="KL14">
        <v>4726.1064346450858</v>
      </c>
      <c r="KM14">
        <v>1831.3106001856779</v>
      </c>
      <c r="KN14">
        <v>3175.4446032415431</v>
      </c>
      <c r="KO14">
        <v>1873.2646297852079</v>
      </c>
      <c r="KP14">
        <v>3266.690846925424</v>
      </c>
      <c r="KQ14">
        <v>0.875</v>
      </c>
      <c r="KR14">
        <v>397.5</v>
      </c>
      <c r="KY14">
        <v>0.875</v>
      </c>
      <c r="KZ14">
        <v>400</v>
      </c>
      <c r="LG14">
        <v>0.95</v>
      </c>
      <c r="LH14">
        <v>402.5</v>
      </c>
      <c r="LI14">
        <v>0.875</v>
      </c>
      <c r="LJ14">
        <v>400</v>
      </c>
      <c r="MI14" t="s">
        <v>7668</v>
      </c>
      <c r="MJ14">
        <v>7</v>
      </c>
      <c r="MK14">
        <v>1000</v>
      </c>
      <c r="ML14">
        <v>0.73</v>
      </c>
      <c r="MM14">
        <v>500</v>
      </c>
      <c r="MN14">
        <v>0.91</v>
      </c>
      <c r="NQ14">
        <v>13.04550230345121</v>
      </c>
      <c r="NR14">
        <v>0.92142857142857137</v>
      </c>
      <c r="NS14">
        <v>12.75136915643556</v>
      </c>
      <c r="NT14">
        <v>0.83571428571428574</v>
      </c>
      <c r="NU14">
        <v>12.912111447957219</v>
      </c>
      <c r="NV14">
        <v>0.89999999999999991</v>
      </c>
      <c r="NY14">
        <v>13.02620420805367</v>
      </c>
      <c r="NZ14">
        <v>0.87142857142857133</v>
      </c>
      <c r="OC14">
        <v>12.889274527680261</v>
      </c>
      <c r="OD14">
        <v>0.93214285714285705</v>
      </c>
    </row>
    <row r="15" spans="1:402" x14ac:dyDescent="0.3">
      <c r="A15" t="s">
        <v>7669</v>
      </c>
      <c r="B15">
        <v>181</v>
      </c>
      <c r="C15">
        <v>475</v>
      </c>
      <c r="D15">
        <v>150</v>
      </c>
      <c r="E15">
        <v>148</v>
      </c>
      <c r="F15">
        <v>29</v>
      </c>
      <c r="AS15">
        <v>0.78</v>
      </c>
      <c r="AT15">
        <v>545.4545454545455</v>
      </c>
      <c r="AU15">
        <v>403</v>
      </c>
      <c r="AV15">
        <v>981.81818181818198</v>
      </c>
      <c r="BA15">
        <v>466</v>
      </c>
      <c r="BB15">
        <v>1709.090909090909</v>
      </c>
      <c r="BK15">
        <v>3.1</v>
      </c>
      <c r="BL15">
        <v>0.51249999999999996</v>
      </c>
      <c r="BW15">
        <v>0.5</v>
      </c>
      <c r="BX15">
        <v>0.5</v>
      </c>
      <c r="CA15">
        <v>0.4</v>
      </c>
      <c r="CB15">
        <v>1327.272727272727</v>
      </c>
      <c r="CC15">
        <v>0.5</v>
      </c>
      <c r="CD15">
        <v>1563.636363636364</v>
      </c>
      <c r="CK15">
        <v>560</v>
      </c>
      <c r="CL15">
        <v>0.9</v>
      </c>
      <c r="EW15">
        <v>8.7049181977992998</v>
      </c>
      <c r="EX15">
        <v>0.91071428571428559</v>
      </c>
      <c r="FQ15">
        <v>0.11570247933884301</v>
      </c>
      <c r="FR15">
        <v>389.69024051878642</v>
      </c>
      <c r="FS15">
        <v>4.2296072507552872E-2</v>
      </c>
      <c r="FT15">
        <v>388.0504086470886</v>
      </c>
      <c r="FU15">
        <v>0.11570247933884301</v>
      </c>
      <c r="FV15">
        <v>280.01348685479923</v>
      </c>
      <c r="FW15">
        <v>4.2296072507552872E-2</v>
      </c>
      <c r="FX15">
        <v>279.50076912848158</v>
      </c>
      <c r="FY15">
        <v>0.11570247933884301</v>
      </c>
      <c r="FZ15">
        <v>2367.2023772947241</v>
      </c>
      <c r="GA15">
        <v>4.2296072507552872E-2</v>
      </c>
      <c r="GB15">
        <v>2105.9151852874488</v>
      </c>
      <c r="GC15">
        <v>0.11570247933884301</v>
      </c>
      <c r="GD15">
        <v>805.10400139102603</v>
      </c>
      <c r="GE15">
        <v>4.2296072507552872E-2</v>
      </c>
      <c r="GF15">
        <v>340.0984549393936</v>
      </c>
      <c r="GG15">
        <v>0.11570247933884301</v>
      </c>
      <c r="GH15">
        <v>0.52919020572614706</v>
      </c>
      <c r="GI15">
        <v>4.2296072507552872E-2</v>
      </c>
      <c r="GJ15">
        <v>0.51986106439915736</v>
      </c>
      <c r="GK15">
        <v>0.11570247933884301</v>
      </c>
      <c r="GL15">
        <v>0.76629526371224821</v>
      </c>
      <c r="GM15">
        <v>4.2296072507552872E-2</v>
      </c>
      <c r="GN15">
        <v>0.75680896488624327</v>
      </c>
      <c r="GO15">
        <v>0.11570247933884301</v>
      </c>
      <c r="GP15">
        <v>0.67546734824656784</v>
      </c>
      <c r="GQ15">
        <v>4.2296072507552872E-2</v>
      </c>
      <c r="GR15">
        <v>0.6602593480267952</v>
      </c>
      <c r="GS15">
        <v>0.11570247933884301</v>
      </c>
      <c r="GT15">
        <v>0.63109644907987639</v>
      </c>
      <c r="GU15">
        <v>4.2296072507552872E-2</v>
      </c>
      <c r="GV15">
        <v>0.61463051481071029</v>
      </c>
      <c r="GW15">
        <v>0.11570247933884301</v>
      </c>
      <c r="GX15">
        <v>0.64617556828722633</v>
      </c>
      <c r="GY15">
        <v>4.2296072507552872E-2</v>
      </c>
      <c r="GZ15">
        <v>0.61258191651247396</v>
      </c>
      <c r="HA15">
        <v>0.11570247933884301</v>
      </c>
      <c r="HB15">
        <v>0.79304469471170569</v>
      </c>
      <c r="HC15">
        <v>4.2296072507552872E-2</v>
      </c>
      <c r="HD15">
        <v>0.70895132615984002</v>
      </c>
      <c r="HE15">
        <v>1026.5199091775389</v>
      </c>
      <c r="HF15">
        <v>4148.9677855173231</v>
      </c>
      <c r="HG15">
        <v>1182.62103642894</v>
      </c>
      <c r="HH15">
        <v>4178.30434766902</v>
      </c>
      <c r="HI15">
        <v>692.94504186664994</v>
      </c>
      <c r="HJ15">
        <v>3574.8374387542531</v>
      </c>
      <c r="HK15">
        <v>586.93843388817209</v>
      </c>
      <c r="HL15">
        <v>3514.7013689886189</v>
      </c>
      <c r="HM15">
        <v>1196.501615209263</v>
      </c>
      <c r="HN15">
        <v>3930.850673891649</v>
      </c>
      <c r="HQ15">
        <v>962.64098893772598</v>
      </c>
      <c r="HR15">
        <v>2171.2918927956262</v>
      </c>
      <c r="IA15" t="s">
        <v>7670</v>
      </c>
      <c r="IB15">
        <v>6</v>
      </c>
      <c r="IC15">
        <v>26</v>
      </c>
      <c r="ID15" t="s">
        <v>7671</v>
      </c>
      <c r="IE15">
        <v>0</v>
      </c>
      <c r="IF15">
        <v>6</v>
      </c>
      <c r="IO15">
        <v>804.46743440728301</v>
      </c>
      <c r="IP15">
        <v>4229.8713196477647</v>
      </c>
      <c r="IS15">
        <v>1989.7169217922819</v>
      </c>
      <c r="IT15">
        <v>2841.6571478536471</v>
      </c>
      <c r="IU15">
        <v>331.10254336888289</v>
      </c>
      <c r="IV15">
        <v>2448.346429314513</v>
      </c>
      <c r="JA15">
        <v>0.60181460277289056</v>
      </c>
      <c r="JB15">
        <v>619.49988337114337</v>
      </c>
      <c r="JC15">
        <v>0.44358473841368617</v>
      </c>
      <c r="JD15">
        <v>382.34577497964148</v>
      </c>
      <c r="JE15">
        <v>0.81622021408755363</v>
      </c>
      <c r="JF15">
        <v>614.60725298957937</v>
      </c>
      <c r="JG15">
        <v>0.598200270088872</v>
      </c>
      <c r="JH15">
        <v>618.85711179238001</v>
      </c>
      <c r="JM15">
        <v>0.90518191535637804</v>
      </c>
      <c r="JN15">
        <v>446.66109907770158</v>
      </c>
      <c r="JO15">
        <v>0.90991285672105116</v>
      </c>
      <c r="JP15">
        <v>415.63354957701051</v>
      </c>
      <c r="JQ15">
        <v>0.80419935845544954</v>
      </c>
      <c r="JR15">
        <v>592.09766944740738</v>
      </c>
      <c r="JS15">
        <v>0.88133679265341958</v>
      </c>
      <c r="JT15">
        <v>515.14893502381824</v>
      </c>
      <c r="KA15">
        <v>1219.800534846232</v>
      </c>
      <c r="KB15">
        <v>0.80402974879328859</v>
      </c>
      <c r="KC15">
        <v>1187.2513241313629</v>
      </c>
      <c r="KD15">
        <v>0.55122079058546469</v>
      </c>
      <c r="KE15">
        <v>784.40588109479859</v>
      </c>
      <c r="KF15">
        <v>0.79526251811667048</v>
      </c>
      <c r="KK15">
        <v>1936.380869402984</v>
      </c>
      <c r="KL15">
        <v>2241.170492303871</v>
      </c>
      <c r="KM15">
        <v>960.87012586224159</v>
      </c>
      <c r="KN15">
        <v>4901.7469279369907</v>
      </c>
      <c r="KO15">
        <v>511.99763645994261</v>
      </c>
      <c r="KP15">
        <v>4349.5613789632089</v>
      </c>
      <c r="KQ15">
        <v>0.875</v>
      </c>
      <c r="KR15">
        <v>405</v>
      </c>
      <c r="KY15">
        <v>0.875</v>
      </c>
      <c r="KZ15">
        <v>405</v>
      </c>
      <c r="LG15">
        <v>0.95</v>
      </c>
      <c r="LH15">
        <v>405</v>
      </c>
      <c r="LI15">
        <v>0.875</v>
      </c>
      <c r="LJ15">
        <v>405</v>
      </c>
      <c r="MI15" t="s">
        <v>7672</v>
      </c>
      <c r="MJ15">
        <v>2</v>
      </c>
      <c r="MK15">
        <v>1100</v>
      </c>
      <c r="ML15">
        <v>0.73</v>
      </c>
      <c r="MM15">
        <v>600</v>
      </c>
      <c r="MN15">
        <v>0.91</v>
      </c>
      <c r="NQ15">
        <v>13.254553081809769</v>
      </c>
      <c r="NR15">
        <v>0.93571428571428561</v>
      </c>
      <c r="NS15">
        <v>12.772675689807659</v>
      </c>
      <c r="NT15">
        <v>0.87857142857142856</v>
      </c>
      <c r="NU15">
        <v>12.99465453845197</v>
      </c>
      <c r="NV15">
        <v>0.92500000000000004</v>
      </c>
      <c r="NY15">
        <v>13.12378762959341</v>
      </c>
      <c r="NZ15">
        <v>0.91071428571428559</v>
      </c>
    </row>
    <row r="16" spans="1:402" x14ac:dyDescent="0.3">
      <c r="A16" t="s">
        <v>7673</v>
      </c>
      <c r="B16">
        <v>253</v>
      </c>
      <c r="C16">
        <v>56</v>
      </c>
      <c r="D16">
        <v>0</v>
      </c>
      <c r="E16">
        <v>2</v>
      </c>
      <c r="F16">
        <v>0</v>
      </c>
      <c r="AS16">
        <v>0.78</v>
      </c>
      <c r="AT16">
        <v>690.90909090909099</v>
      </c>
      <c r="AU16">
        <v>403</v>
      </c>
      <c r="AV16">
        <v>1127.2727272727279</v>
      </c>
      <c r="BA16">
        <v>466</v>
      </c>
      <c r="BB16">
        <v>1854.545454545455</v>
      </c>
      <c r="BK16">
        <v>3.2</v>
      </c>
      <c r="BL16">
        <v>0.48749999999999999</v>
      </c>
      <c r="BW16">
        <v>0.5</v>
      </c>
      <c r="BX16">
        <v>0.4</v>
      </c>
      <c r="CA16">
        <v>0.4</v>
      </c>
      <c r="CB16">
        <v>1327.272727272727</v>
      </c>
      <c r="CC16">
        <v>0.5</v>
      </c>
      <c r="CD16">
        <v>1709.090909090909</v>
      </c>
      <c r="EW16">
        <v>8.7479142588494092</v>
      </c>
      <c r="EX16">
        <v>0.95</v>
      </c>
      <c r="FQ16">
        <v>0.12396694214876031</v>
      </c>
      <c r="FR16">
        <v>390.15434599736722</v>
      </c>
      <c r="FS16">
        <v>4.5317220543806637E-2</v>
      </c>
      <c r="FT16">
        <v>388.22013615190832</v>
      </c>
      <c r="FU16">
        <v>0.12396694214876031</v>
      </c>
      <c r="FV16">
        <v>280.24863410407067</v>
      </c>
      <c r="FW16">
        <v>4.5317220543806637E-2</v>
      </c>
      <c r="FX16">
        <v>279.53798238000962</v>
      </c>
      <c r="FY16">
        <v>0.12396694214876031</v>
      </c>
      <c r="FZ16">
        <v>2422.6693076928009</v>
      </c>
      <c r="GA16">
        <v>4.5317220543806637E-2</v>
      </c>
      <c r="GB16">
        <v>2116.1045632783312</v>
      </c>
      <c r="GC16">
        <v>0.12396694214876031</v>
      </c>
      <c r="GD16">
        <v>808.34025773909616</v>
      </c>
      <c r="GE16">
        <v>4.5317220543806637E-2</v>
      </c>
      <c r="GF16">
        <v>340.16206457801002</v>
      </c>
      <c r="GG16">
        <v>0.12396694214876031</v>
      </c>
      <c r="GH16">
        <v>0.53175995550004507</v>
      </c>
      <c r="GI16">
        <v>4.5317220543806637E-2</v>
      </c>
      <c r="GJ16">
        <v>0.52126025469447146</v>
      </c>
      <c r="GK16">
        <v>0.12396694214876031</v>
      </c>
      <c r="GL16">
        <v>0.76935497811274245</v>
      </c>
      <c r="GM16">
        <v>4.5317220543806637E-2</v>
      </c>
      <c r="GN16">
        <v>0.75811162490235817</v>
      </c>
      <c r="GO16">
        <v>0.12396694214876031</v>
      </c>
      <c r="GP16">
        <v>0.68648046892964876</v>
      </c>
      <c r="GQ16">
        <v>4.5317220543806637E-2</v>
      </c>
      <c r="GR16">
        <v>0.66105495074185194</v>
      </c>
      <c r="GS16">
        <v>0.12396694214876031</v>
      </c>
      <c r="GT16">
        <v>0.63187629919294153</v>
      </c>
      <c r="GU16">
        <v>4.5317220543806637E-2</v>
      </c>
      <c r="GV16">
        <v>0.61606694737015788</v>
      </c>
      <c r="GW16">
        <v>0.12396694214876031</v>
      </c>
      <c r="GX16">
        <v>0.65016417024029427</v>
      </c>
      <c r="GY16">
        <v>4.5317220543806637E-2</v>
      </c>
      <c r="GZ16">
        <v>0.61259914598143217</v>
      </c>
      <c r="HA16">
        <v>0.12396694214876031</v>
      </c>
      <c r="HB16">
        <v>0.79486200357184333</v>
      </c>
      <c r="HC16">
        <v>4.5317220543806637E-2</v>
      </c>
      <c r="HD16">
        <v>0.70950811491511312</v>
      </c>
      <c r="HE16">
        <v>1268.657707014368</v>
      </c>
      <c r="HF16">
        <v>4908.5147002447429</v>
      </c>
      <c r="HG16">
        <v>1325.645944743025</v>
      </c>
      <c r="HH16">
        <v>2230.392431952534</v>
      </c>
      <c r="HI16">
        <v>1291.098246882884</v>
      </c>
      <c r="HJ16">
        <v>3303.8020977301112</v>
      </c>
      <c r="HK16">
        <v>495.37017408384202</v>
      </c>
      <c r="HL16">
        <v>4546.3400131625676</v>
      </c>
      <c r="HM16">
        <v>443.7957771416111</v>
      </c>
      <c r="HN16">
        <v>4057.762868975783</v>
      </c>
      <c r="HQ16">
        <v>948.77538894936515</v>
      </c>
      <c r="HR16">
        <v>4946.5693647241069</v>
      </c>
      <c r="IA16" t="s">
        <v>7674</v>
      </c>
      <c r="IB16">
        <v>6</v>
      </c>
      <c r="IC16">
        <v>20</v>
      </c>
      <c r="ID16" t="s">
        <v>7675</v>
      </c>
      <c r="IE16">
        <v>0</v>
      </c>
      <c r="IF16">
        <v>1</v>
      </c>
      <c r="IO16">
        <v>1488.6910757713449</v>
      </c>
      <c r="IP16">
        <v>3818.851880522423</v>
      </c>
      <c r="IU16">
        <v>453.88861908087853</v>
      </c>
      <c r="IV16">
        <v>2074.429700505631</v>
      </c>
      <c r="JA16">
        <v>0.61772041121977805</v>
      </c>
      <c r="JB16">
        <v>575.46626507455471</v>
      </c>
      <c r="JC16">
        <v>0.90794805867511796</v>
      </c>
      <c r="JD16">
        <v>388.99481467179089</v>
      </c>
      <c r="JE16">
        <v>0.50261756468801588</v>
      </c>
      <c r="JF16">
        <v>561.0248394093602</v>
      </c>
      <c r="JG16">
        <v>0.4177815647847824</v>
      </c>
      <c r="JH16">
        <v>573.96772965513355</v>
      </c>
      <c r="JM16">
        <v>0.63745228355136807</v>
      </c>
      <c r="JN16">
        <v>472.9886584414233</v>
      </c>
      <c r="JO16">
        <v>0.77500972501549614</v>
      </c>
      <c r="JP16">
        <v>416.48545800380788</v>
      </c>
      <c r="JQ16">
        <v>0.69383847158688483</v>
      </c>
      <c r="JR16">
        <v>442.21304913984881</v>
      </c>
      <c r="JS16">
        <v>0.6086988494967287</v>
      </c>
      <c r="JT16">
        <v>540.43375788941773</v>
      </c>
      <c r="KA16">
        <v>1038.5780192705261</v>
      </c>
      <c r="KB16">
        <v>0.65100512197262561</v>
      </c>
      <c r="KC16">
        <v>1116.1464184310821</v>
      </c>
      <c r="KD16">
        <v>0.63744727170114779</v>
      </c>
      <c r="KE16">
        <v>1148.958789217814</v>
      </c>
      <c r="KF16">
        <v>0.76000065222236701</v>
      </c>
      <c r="KK16">
        <v>990.12072324071858</v>
      </c>
      <c r="KL16">
        <v>2956.5012670959941</v>
      </c>
      <c r="KM16">
        <v>1034.2649143604799</v>
      </c>
      <c r="KN16">
        <v>4786.7473616901489</v>
      </c>
      <c r="KO16">
        <v>490.81330897623332</v>
      </c>
      <c r="KP16">
        <v>4997.4735065549557</v>
      </c>
      <c r="KQ16">
        <v>0.875</v>
      </c>
      <c r="KR16">
        <v>402.5</v>
      </c>
      <c r="KY16">
        <v>0.875</v>
      </c>
      <c r="KZ16">
        <v>402.5</v>
      </c>
      <c r="LG16">
        <v>0.95</v>
      </c>
      <c r="LH16">
        <v>407.5</v>
      </c>
      <c r="LI16">
        <v>0.875</v>
      </c>
      <c r="LJ16">
        <v>402.5</v>
      </c>
      <c r="MI16" t="s">
        <v>7676</v>
      </c>
      <c r="MJ16">
        <v>6</v>
      </c>
      <c r="MK16">
        <v>1200</v>
      </c>
      <c r="ML16">
        <v>0.73</v>
      </c>
      <c r="MM16">
        <v>700</v>
      </c>
      <c r="MN16">
        <v>0.91</v>
      </c>
      <c r="NQ16">
        <v>13.463570998132139</v>
      </c>
      <c r="NR16">
        <v>0.95</v>
      </c>
      <c r="NS16">
        <v>12.78256592574377</v>
      </c>
      <c r="NT16">
        <v>0.9</v>
      </c>
      <c r="NY16">
        <v>13.2225573486805</v>
      </c>
      <c r="NZ16">
        <v>0.95</v>
      </c>
    </row>
    <row r="17" spans="1:352" x14ac:dyDescent="0.3">
      <c r="A17" t="s">
        <v>7677</v>
      </c>
      <c r="B17">
        <v>29</v>
      </c>
      <c r="C17">
        <v>9</v>
      </c>
      <c r="D17">
        <v>0</v>
      </c>
      <c r="E17">
        <v>17</v>
      </c>
      <c r="F17">
        <v>16</v>
      </c>
      <c r="AS17">
        <v>0.78</v>
      </c>
      <c r="AT17">
        <v>1127.2727272727279</v>
      </c>
      <c r="AU17">
        <v>403</v>
      </c>
      <c r="AV17">
        <v>1272.727272727273</v>
      </c>
      <c r="BA17">
        <v>466</v>
      </c>
      <c r="BB17">
        <v>2000</v>
      </c>
      <c r="BK17">
        <v>3</v>
      </c>
      <c r="BL17">
        <v>0.81874999999999998</v>
      </c>
      <c r="BW17">
        <v>0.5</v>
      </c>
      <c r="BX17">
        <v>0.6</v>
      </c>
      <c r="CA17">
        <v>0.4</v>
      </c>
      <c r="CB17">
        <v>1318.181818181818</v>
      </c>
      <c r="CC17">
        <v>0.6</v>
      </c>
      <c r="CD17">
        <v>400</v>
      </c>
      <c r="FQ17">
        <v>0.13223140495867769</v>
      </c>
      <c r="FR17">
        <v>390.45885835815977</v>
      </c>
      <c r="FS17">
        <v>4.8338368580060423E-2</v>
      </c>
      <c r="FT17">
        <v>388.6545899027584</v>
      </c>
      <c r="FU17">
        <v>0.13223140495867769</v>
      </c>
      <c r="FV17">
        <v>280.46294345813891</v>
      </c>
      <c r="FW17">
        <v>4.8338368580060423E-2</v>
      </c>
      <c r="FX17">
        <v>279.57320708312568</v>
      </c>
      <c r="FY17">
        <v>0.13223140495867769</v>
      </c>
      <c r="FZ17">
        <v>2435.1929066201642</v>
      </c>
      <c r="GA17">
        <v>4.8338368580060423E-2</v>
      </c>
      <c r="GB17">
        <v>2120.168989719818</v>
      </c>
      <c r="GC17">
        <v>0.13223140495867769</v>
      </c>
      <c r="GD17">
        <v>812.78154242868038</v>
      </c>
      <c r="GE17">
        <v>4.8338368580060423E-2</v>
      </c>
      <c r="GF17">
        <v>342.69578050168758</v>
      </c>
      <c r="GG17">
        <v>0.13223140495867769</v>
      </c>
      <c r="GH17">
        <v>0.53566822378856083</v>
      </c>
      <c r="GI17">
        <v>4.8338368580060423E-2</v>
      </c>
      <c r="GJ17">
        <v>0.5232072908744213</v>
      </c>
      <c r="GK17">
        <v>0.13223140495867769</v>
      </c>
      <c r="GL17">
        <v>0.77012707007603287</v>
      </c>
      <c r="GM17">
        <v>4.8338368580060423E-2</v>
      </c>
      <c r="GN17">
        <v>0.75871441590285016</v>
      </c>
      <c r="GO17">
        <v>0.13223140495867769</v>
      </c>
      <c r="GP17">
        <v>0.6877651083416968</v>
      </c>
      <c r="GQ17">
        <v>4.8338368580060423E-2</v>
      </c>
      <c r="GR17">
        <v>0.66205948671997961</v>
      </c>
      <c r="GS17">
        <v>0.13223140495867769</v>
      </c>
      <c r="GT17">
        <v>0.63723443124343282</v>
      </c>
      <c r="GU17">
        <v>4.8338368580060423E-2</v>
      </c>
      <c r="GV17">
        <v>0.61976922267371493</v>
      </c>
      <c r="GW17">
        <v>0.13223140495867769</v>
      </c>
      <c r="GX17">
        <v>0.65241173736271496</v>
      </c>
      <c r="GY17">
        <v>4.8338368580060423E-2</v>
      </c>
      <c r="GZ17">
        <v>0.61315346606490628</v>
      </c>
      <c r="HA17">
        <v>0.13223140495867769</v>
      </c>
      <c r="HB17">
        <v>0.79541296263889527</v>
      </c>
      <c r="HC17">
        <v>4.8338368580060423E-2</v>
      </c>
      <c r="HD17">
        <v>0.71023580061804237</v>
      </c>
      <c r="HE17">
        <v>1047.0921937041351</v>
      </c>
      <c r="HF17">
        <v>3915.7974149588808</v>
      </c>
      <c r="HG17">
        <v>805.10400139102603</v>
      </c>
      <c r="HH17">
        <v>2646.096710846009</v>
      </c>
      <c r="HI17">
        <v>872.20860390269002</v>
      </c>
      <c r="HJ17">
        <v>2676.464074572325</v>
      </c>
      <c r="HK17">
        <v>1208.258783111841</v>
      </c>
      <c r="HL17">
        <v>4238.795622881742</v>
      </c>
      <c r="HM17">
        <v>401.85024446344028</v>
      </c>
      <c r="HN17">
        <v>2081.0523578992979</v>
      </c>
      <c r="HQ17">
        <v>821.59959528053378</v>
      </c>
      <c r="HR17">
        <v>4851.7531111188709</v>
      </c>
      <c r="IA17" t="s">
        <v>7678</v>
      </c>
      <c r="IB17">
        <v>11</v>
      </c>
      <c r="IC17">
        <v>12</v>
      </c>
      <c r="ID17" t="s">
        <v>7679</v>
      </c>
      <c r="IE17">
        <v>0</v>
      </c>
      <c r="IF17">
        <v>2</v>
      </c>
      <c r="IO17">
        <v>540.32768673923829</v>
      </c>
      <c r="IP17">
        <v>3411.4154865030209</v>
      </c>
      <c r="IU17">
        <v>1059.918723065527</v>
      </c>
      <c r="IV17">
        <v>3676.2897409722582</v>
      </c>
      <c r="JA17">
        <v>0.70414469388298639</v>
      </c>
      <c r="JB17">
        <v>566.44310063500461</v>
      </c>
      <c r="JC17">
        <v>0.57431402739415438</v>
      </c>
      <c r="JD17">
        <v>423.2946973235567</v>
      </c>
      <c r="JE17">
        <v>0.61526047954980156</v>
      </c>
      <c r="JF17">
        <v>426.704005403172</v>
      </c>
      <c r="JG17">
        <v>0.68910670126558293</v>
      </c>
      <c r="JH17">
        <v>546.28619767822738</v>
      </c>
      <c r="JM17">
        <v>0.93763003734165717</v>
      </c>
      <c r="JN17">
        <v>562.61069417123349</v>
      </c>
      <c r="JO17">
        <v>0.71742789971300014</v>
      </c>
      <c r="JP17">
        <v>382.64794445173771</v>
      </c>
      <c r="JQ17">
        <v>0.56081198539652644</v>
      </c>
      <c r="JR17">
        <v>429.7796200077704</v>
      </c>
      <c r="JS17">
        <v>0.41400221482838262</v>
      </c>
      <c r="JT17">
        <v>547.08163262208984</v>
      </c>
      <c r="KA17">
        <v>304.45500055856502</v>
      </c>
      <c r="KB17">
        <v>0.53214547404164236</v>
      </c>
      <c r="KC17">
        <v>518.49350355066338</v>
      </c>
      <c r="KD17">
        <v>0.74231695223098582</v>
      </c>
      <c r="KE17">
        <v>940.52621610099743</v>
      </c>
      <c r="KF17">
        <v>0.84058475947863731</v>
      </c>
      <c r="KK17">
        <v>268.3560550221556</v>
      </c>
      <c r="KL17">
        <v>3015.7633963010762</v>
      </c>
      <c r="KM17">
        <v>723.83436202449741</v>
      </c>
      <c r="KN17">
        <v>3802.571323382816</v>
      </c>
      <c r="KO17">
        <v>1110.4172058461811</v>
      </c>
      <c r="KP17">
        <v>4048.8416849973169</v>
      </c>
      <c r="KQ17">
        <v>0.875</v>
      </c>
      <c r="KR17">
        <v>407.5</v>
      </c>
      <c r="KY17">
        <v>0.875</v>
      </c>
      <c r="KZ17">
        <v>407.5</v>
      </c>
      <c r="LG17">
        <v>0.95</v>
      </c>
      <c r="LH17">
        <v>410</v>
      </c>
      <c r="LI17">
        <v>0.875</v>
      </c>
      <c r="LJ17">
        <v>407.5</v>
      </c>
      <c r="MI17" t="s">
        <v>7680</v>
      </c>
      <c r="MJ17">
        <v>0</v>
      </c>
      <c r="MK17">
        <v>800</v>
      </c>
      <c r="ML17">
        <v>0.76</v>
      </c>
      <c r="MM17">
        <v>200</v>
      </c>
      <c r="MN17">
        <v>0.55000000000000004</v>
      </c>
    </row>
    <row r="18" spans="1:352" x14ac:dyDescent="0.3">
      <c r="AS18">
        <v>0.78</v>
      </c>
      <c r="AT18">
        <v>836.36363636363637</v>
      </c>
      <c r="AU18">
        <v>403</v>
      </c>
      <c r="AV18">
        <v>1418.181818181818</v>
      </c>
      <c r="BA18">
        <v>497</v>
      </c>
      <c r="BB18">
        <v>400</v>
      </c>
      <c r="BK18">
        <v>3.1</v>
      </c>
      <c r="BL18">
        <v>0.70624999999999993</v>
      </c>
      <c r="BW18">
        <v>0.5</v>
      </c>
      <c r="BX18">
        <v>0.55000000000000004</v>
      </c>
      <c r="CA18">
        <v>0.4</v>
      </c>
      <c r="CB18">
        <v>1318.181818181818</v>
      </c>
      <c r="CC18">
        <v>0.6</v>
      </c>
      <c r="CD18">
        <v>545.4545454545455</v>
      </c>
      <c r="FQ18">
        <v>0.14049586776859499</v>
      </c>
      <c r="FR18">
        <v>390.55137386885667</v>
      </c>
      <c r="FS18">
        <v>5.1359516616314202E-2</v>
      </c>
      <c r="FT18">
        <v>388.85626200751818</v>
      </c>
      <c r="FU18">
        <v>0.14049586776859499</v>
      </c>
      <c r="FV18">
        <v>280.63096601597078</v>
      </c>
      <c r="FW18">
        <v>5.1359516616314202E-2</v>
      </c>
      <c r="FX18">
        <v>279.5970080607263</v>
      </c>
      <c r="FY18">
        <v>0.14049586776859499</v>
      </c>
      <c r="FZ18">
        <v>2438.757091722845</v>
      </c>
      <c r="GA18">
        <v>5.1359516616314202E-2</v>
      </c>
      <c r="GB18">
        <v>2126.0108743722071</v>
      </c>
      <c r="GC18">
        <v>0.14049586776859499</v>
      </c>
      <c r="GD18">
        <v>834.16565567747534</v>
      </c>
      <c r="GE18">
        <v>5.1359516616314202E-2</v>
      </c>
      <c r="GF18">
        <v>347.13542630991373</v>
      </c>
      <c r="GG18">
        <v>0.14049586776859499</v>
      </c>
      <c r="GH18">
        <v>0.53568500458537538</v>
      </c>
      <c r="GI18">
        <v>5.1359516616314202E-2</v>
      </c>
      <c r="GJ18">
        <v>0.52592586371704875</v>
      </c>
      <c r="GK18">
        <v>0.14049586776859499</v>
      </c>
      <c r="GL18">
        <v>0.77105226930905069</v>
      </c>
      <c r="GM18">
        <v>5.1359516616314202E-2</v>
      </c>
      <c r="GN18">
        <v>0.75877187958979597</v>
      </c>
      <c r="GO18">
        <v>0.14049586776859499</v>
      </c>
      <c r="GP18">
        <v>0.68876351371728717</v>
      </c>
      <c r="GQ18">
        <v>5.1359516616314202E-2</v>
      </c>
      <c r="GR18">
        <v>0.66228961464255676</v>
      </c>
      <c r="GS18">
        <v>0.14049586776859499</v>
      </c>
      <c r="GT18">
        <v>0.63981822213251527</v>
      </c>
      <c r="GU18">
        <v>5.1359516616314202E-2</v>
      </c>
      <c r="GV18">
        <v>0.62029381051553267</v>
      </c>
      <c r="GW18">
        <v>0.14049586776859499</v>
      </c>
      <c r="GX18">
        <v>0.6526669076160373</v>
      </c>
      <c r="GY18">
        <v>5.1359516616314202E-2</v>
      </c>
      <c r="GZ18">
        <v>0.61426070634352226</v>
      </c>
      <c r="HA18">
        <v>0.14049586776859499</v>
      </c>
      <c r="HB18">
        <v>0.79869267488746987</v>
      </c>
      <c r="HC18">
        <v>5.1359516616314202E-2</v>
      </c>
      <c r="HD18">
        <v>0.71086869301280808</v>
      </c>
      <c r="HE18">
        <v>1143.9190762883941</v>
      </c>
      <c r="HF18">
        <v>3672.889560886802</v>
      </c>
      <c r="HG18">
        <v>1110.860657709698</v>
      </c>
      <c r="HH18">
        <v>2548.097371659946</v>
      </c>
      <c r="HI18">
        <v>686.17598792300953</v>
      </c>
      <c r="HJ18">
        <v>2838.322250845551</v>
      </c>
      <c r="HK18">
        <v>1497.9965048542119</v>
      </c>
      <c r="HL18">
        <v>4294.9672370021763</v>
      </c>
      <c r="HM18">
        <v>340.16206457801002</v>
      </c>
      <c r="HN18">
        <v>4824.7091835220554</v>
      </c>
      <c r="HQ18">
        <v>1280.721496143582</v>
      </c>
      <c r="HR18">
        <v>2753.6006857557418</v>
      </c>
      <c r="IA18" t="s">
        <v>7681</v>
      </c>
      <c r="IB18">
        <v>0</v>
      </c>
      <c r="IC18">
        <v>13</v>
      </c>
      <c r="ID18" t="s">
        <v>7682</v>
      </c>
      <c r="IE18">
        <v>0</v>
      </c>
      <c r="IF18">
        <v>4</v>
      </c>
      <c r="IO18">
        <v>829.18018042678943</v>
      </c>
      <c r="IP18">
        <v>3358.3685752459028</v>
      </c>
      <c r="IU18">
        <v>1954.272502093258</v>
      </c>
      <c r="IV18">
        <v>2528.2341278414051</v>
      </c>
      <c r="JA18">
        <v>0.63069014026925174</v>
      </c>
      <c r="JB18">
        <v>621.7738417497867</v>
      </c>
      <c r="JC18">
        <v>0.83992646976094032</v>
      </c>
      <c r="JD18">
        <v>401.15735585519099</v>
      </c>
      <c r="JE18">
        <v>0.50606105369560772</v>
      </c>
      <c r="JF18">
        <v>441.40671225527342</v>
      </c>
      <c r="JG18">
        <v>0.42970132821990298</v>
      </c>
      <c r="JH18">
        <v>417.55521469908621</v>
      </c>
      <c r="JM18">
        <v>0.89962069960817215</v>
      </c>
      <c r="JN18">
        <v>524.44701181421476</v>
      </c>
      <c r="JO18">
        <v>0.86542566599091253</v>
      </c>
      <c r="JP18">
        <v>433.53039065993329</v>
      </c>
      <c r="JQ18">
        <v>0.753288797747387</v>
      </c>
      <c r="JR18">
        <v>494.3066263771658</v>
      </c>
      <c r="JS18">
        <v>0.4563326169588417</v>
      </c>
      <c r="JT18">
        <v>432.51787924004702</v>
      </c>
      <c r="KA18">
        <v>403.1456792546187</v>
      </c>
      <c r="KB18">
        <v>0.60578176259434779</v>
      </c>
      <c r="KC18">
        <v>340.48056053274269</v>
      </c>
      <c r="KD18">
        <v>0.68508744005790456</v>
      </c>
      <c r="KE18">
        <v>697.41511069086664</v>
      </c>
      <c r="KF18">
        <v>0.81829187739818132</v>
      </c>
      <c r="KK18">
        <v>1898.977479582325</v>
      </c>
      <c r="KL18">
        <v>4689.4621166219722</v>
      </c>
      <c r="KM18">
        <v>1258.007650790563</v>
      </c>
      <c r="KN18">
        <v>2341.3153084838282</v>
      </c>
      <c r="KO18">
        <v>1137.7155945229199</v>
      </c>
      <c r="KP18">
        <v>2801.4623156303192</v>
      </c>
      <c r="KQ18">
        <v>0.875</v>
      </c>
      <c r="KR18">
        <v>410</v>
      </c>
      <c r="KY18">
        <v>0.875</v>
      </c>
      <c r="KZ18">
        <v>410</v>
      </c>
      <c r="LI18">
        <v>0.875</v>
      </c>
      <c r="LJ18">
        <v>410</v>
      </c>
      <c r="MI18" t="s">
        <v>7683</v>
      </c>
      <c r="MJ18">
        <v>5</v>
      </c>
      <c r="MK18">
        <v>700</v>
      </c>
      <c r="ML18">
        <v>0.76</v>
      </c>
      <c r="MM18">
        <v>200</v>
      </c>
      <c r="MN18">
        <v>0.6</v>
      </c>
    </row>
    <row r="19" spans="1:352" x14ac:dyDescent="0.3">
      <c r="AS19">
        <v>0.78</v>
      </c>
      <c r="AT19">
        <v>981.81818181818198</v>
      </c>
      <c r="AU19">
        <v>403</v>
      </c>
      <c r="AV19">
        <v>1854.545454545455</v>
      </c>
      <c r="BA19">
        <v>497</v>
      </c>
      <c r="BB19">
        <v>545.4545454545455</v>
      </c>
      <c r="BK19">
        <v>3.2</v>
      </c>
      <c r="BL19">
        <v>0.66875000000000007</v>
      </c>
      <c r="BW19">
        <v>0.5</v>
      </c>
      <c r="BX19">
        <v>0.65</v>
      </c>
      <c r="CA19">
        <v>0.5</v>
      </c>
      <c r="CB19">
        <v>1736.363636363636</v>
      </c>
      <c r="CC19">
        <v>0.6</v>
      </c>
      <c r="CD19">
        <v>690.90909090909099</v>
      </c>
      <c r="FQ19">
        <v>0.1487603305785124</v>
      </c>
      <c r="FR19">
        <v>392.13339473634898</v>
      </c>
      <c r="FS19">
        <v>5.4380664652567967E-2</v>
      </c>
      <c r="FT19">
        <v>388.9717347470957</v>
      </c>
      <c r="FU19">
        <v>0.1487603305785124</v>
      </c>
      <c r="FV19">
        <v>280.77025987052411</v>
      </c>
      <c r="FW19">
        <v>5.4380664652567967E-2</v>
      </c>
      <c r="FX19">
        <v>279.73177271906007</v>
      </c>
      <c r="FY19">
        <v>0.1487603305785124</v>
      </c>
      <c r="FZ19">
        <v>2488.805528706217</v>
      </c>
      <c r="GA19">
        <v>5.4380664652567967E-2</v>
      </c>
      <c r="GB19">
        <v>2144.4218136633758</v>
      </c>
      <c r="GC19">
        <v>0.1487603305785124</v>
      </c>
      <c r="GD19">
        <v>858.32769409496518</v>
      </c>
      <c r="GE19">
        <v>5.4380664652567967E-2</v>
      </c>
      <c r="GF19">
        <v>351.51524519365688</v>
      </c>
      <c r="GG19">
        <v>0.1487603305785124</v>
      </c>
      <c r="GH19">
        <v>0.53860077564305986</v>
      </c>
      <c r="GI19">
        <v>5.4380664652567967E-2</v>
      </c>
      <c r="GJ19">
        <v>0.52827854264119078</v>
      </c>
      <c r="GK19">
        <v>0.1487603305785124</v>
      </c>
      <c r="GL19">
        <v>0.77169741165513583</v>
      </c>
      <c r="GM19">
        <v>5.4380664652567967E-2</v>
      </c>
      <c r="GN19">
        <v>0.75957733936495764</v>
      </c>
      <c r="GO19">
        <v>0.1487603305785124</v>
      </c>
      <c r="GP19">
        <v>0.69456089718245917</v>
      </c>
      <c r="GQ19">
        <v>5.4380664652567967E-2</v>
      </c>
      <c r="GR19">
        <v>0.66327691866607508</v>
      </c>
      <c r="GS19">
        <v>0.1487603305785124</v>
      </c>
      <c r="GT19">
        <v>0.6438503926601179</v>
      </c>
      <c r="GU19">
        <v>5.4380664652567967E-2</v>
      </c>
      <c r="GV19">
        <v>0.62041948843682992</v>
      </c>
      <c r="GW19">
        <v>0.1487603305785124</v>
      </c>
      <c r="GX19">
        <v>0.65405853504533518</v>
      </c>
      <c r="GY19">
        <v>5.4380664652567967E-2</v>
      </c>
      <c r="GZ19">
        <v>0.61510339120313529</v>
      </c>
      <c r="HA19">
        <v>0.1487603305785124</v>
      </c>
      <c r="HB19">
        <v>0.79994744044557153</v>
      </c>
      <c r="HC19">
        <v>5.4380664652567967E-2</v>
      </c>
      <c r="HD19">
        <v>0.71153808020150699</v>
      </c>
      <c r="HE19">
        <v>1187.0294111923299</v>
      </c>
      <c r="HF19">
        <v>2155.0565788625609</v>
      </c>
      <c r="HG19">
        <v>1134.585646055689</v>
      </c>
      <c r="HH19">
        <v>3761.2952052735659</v>
      </c>
      <c r="HI19">
        <v>573.75054738810513</v>
      </c>
      <c r="HJ19">
        <v>2733.3136168459582</v>
      </c>
      <c r="HK19">
        <v>759.86308015841973</v>
      </c>
      <c r="HL19">
        <v>4249.6334748563349</v>
      </c>
      <c r="HM19">
        <v>362.75858533845332</v>
      </c>
      <c r="HN19">
        <v>2410.5086122380399</v>
      </c>
      <c r="HQ19">
        <v>328.58436098782579</v>
      </c>
      <c r="HR19">
        <v>4536.4543133991274</v>
      </c>
      <c r="IA19" t="s">
        <v>7684</v>
      </c>
      <c r="IB19">
        <v>2</v>
      </c>
      <c r="IC19">
        <v>12</v>
      </c>
      <c r="ID19" t="s">
        <v>7685</v>
      </c>
      <c r="IE19">
        <v>0</v>
      </c>
      <c r="IF19">
        <v>2</v>
      </c>
      <c r="IO19">
        <v>1861.4695625761731</v>
      </c>
      <c r="IP19">
        <v>4699.5621073220318</v>
      </c>
      <c r="IU19">
        <v>1880.5098189903799</v>
      </c>
      <c r="IV19">
        <v>3237.8035114396489</v>
      </c>
      <c r="JA19">
        <v>0.42680631687175441</v>
      </c>
      <c r="JB19">
        <v>502.21927353802408</v>
      </c>
      <c r="JC19">
        <v>0.80899675904554424</v>
      </c>
      <c r="JD19">
        <v>453.62923912111012</v>
      </c>
      <c r="JE19">
        <v>0.49081465316681699</v>
      </c>
      <c r="JF19">
        <v>432.51320802326921</v>
      </c>
      <c r="JG19">
        <v>0.52252972938513564</v>
      </c>
      <c r="JH19">
        <v>601.04909419520959</v>
      </c>
      <c r="JM19">
        <v>0.92093864196845876</v>
      </c>
      <c r="JN19">
        <v>516.59468822510667</v>
      </c>
      <c r="JO19">
        <v>0.87329369833544657</v>
      </c>
      <c r="JP19">
        <v>393.39180815852097</v>
      </c>
      <c r="JQ19">
        <v>0.54156191461618464</v>
      </c>
      <c r="JR19">
        <v>492.33751570517512</v>
      </c>
      <c r="JS19">
        <v>0.46153706286268131</v>
      </c>
      <c r="JT19">
        <v>509.04920409439808</v>
      </c>
      <c r="KA19">
        <v>1168.2722221935619</v>
      </c>
      <c r="KB19">
        <v>0.78892957091959448</v>
      </c>
      <c r="KC19">
        <v>1092.779970317365</v>
      </c>
      <c r="KD19">
        <v>0.76531729295362738</v>
      </c>
      <c r="KE19">
        <v>1542.557353209985</v>
      </c>
      <c r="KF19">
        <v>0.55954695484709605</v>
      </c>
      <c r="KK19">
        <v>929.59995376861116</v>
      </c>
      <c r="KL19">
        <v>4444.1942595090131</v>
      </c>
      <c r="KO19">
        <v>602.06033520868755</v>
      </c>
      <c r="KP19">
        <v>2858.0552235147629</v>
      </c>
      <c r="KQ19">
        <v>0.9</v>
      </c>
      <c r="KR19">
        <v>390</v>
      </c>
      <c r="KY19">
        <v>0.9</v>
      </c>
      <c r="KZ19">
        <v>390</v>
      </c>
      <c r="LI19">
        <v>0.9</v>
      </c>
      <c r="LJ19">
        <v>395</v>
      </c>
      <c r="MI19" t="s">
        <v>7686</v>
      </c>
      <c r="MJ19">
        <v>4</v>
      </c>
      <c r="MK19">
        <v>600</v>
      </c>
      <c r="ML19">
        <v>0.76</v>
      </c>
      <c r="MM19">
        <v>300</v>
      </c>
      <c r="MN19">
        <v>0.6</v>
      </c>
    </row>
    <row r="20" spans="1:352" x14ac:dyDescent="0.3">
      <c r="AS20">
        <v>0.78</v>
      </c>
      <c r="AT20">
        <v>1272.727272727273</v>
      </c>
      <c r="AU20">
        <v>403</v>
      </c>
      <c r="AV20">
        <v>1709.090909090909</v>
      </c>
      <c r="BA20">
        <v>497</v>
      </c>
      <c r="BB20">
        <v>690.90909090909099</v>
      </c>
      <c r="BK20">
        <v>3</v>
      </c>
      <c r="BL20">
        <v>0.50624999999999998</v>
      </c>
      <c r="BW20">
        <v>0.5</v>
      </c>
      <c r="BX20">
        <v>0.7</v>
      </c>
      <c r="CA20">
        <v>0.5</v>
      </c>
      <c r="CB20">
        <v>1736.363636363636</v>
      </c>
      <c r="CC20">
        <v>0.6</v>
      </c>
      <c r="CD20">
        <v>836.36363636363637</v>
      </c>
      <c r="FQ20">
        <v>0.15702479338842981</v>
      </c>
      <c r="FR20">
        <v>392.68270908850042</v>
      </c>
      <c r="FS20">
        <v>5.7401812688821753E-2</v>
      </c>
      <c r="FT20">
        <v>389.3276004242328</v>
      </c>
      <c r="FU20">
        <v>0.15702479338842981</v>
      </c>
      <c r="FV20">
        <v>280.87720791130101</v>
      </c>
      <c r="FW20">
        <v>5.7401812688821753E-2</v>
      </c>
      <c r="FX20">
        <v>279.75109525661168</v>
      </c>
      <c r="FY20">
        <v>0.15702479338842981</v>
      </c>
      <c r="FZ20">
        <v>2521.2615369554428</v>
      </c>
      <c r="GA20">
        <v>5.7401812688821753E-2</v>
      </c>
      <c r="GB20">
        <v>2145.67133721663</v>
      </c>
      <c r="GC20">
        <v>0.15702479338842981</v>
      </c>
      <c r="GD20">
        <v>858.71851834016627</v>
      </c>
      <c r="GE20">
        <v>5.7401812688821753E-2</v>
      </c>
      <c r="GF20">
        <v>352.46538038875087</v>
      </c>
      <c r="GG20">
        <v>0.15702479338842981</v>
      </c>
      <c r="GH20">
        <v>0.53951044400681569</v>
      </c>
      <c r="GI20">
        <v>5.7401812688821753E-2</v>
      </c>
      <c r="GJ20">
        <v>0.52972988841868329</v>
      </c>
      <c r="GK20">
        <v>0.15702479338842981</v>
      </c>
      <c r="GL20">
        <v>0.77245934613725054</v>
      </c>
      <c r="GM20">
        <v>5.7401812688821753E-2</v>
      </c>
      <c r="GN20">
        <v>0.75998524154415004</v>
      </c>
      <c r="GO20">
        <v>0.15702479338842981</v>
      </c>
      <c r="GP20">
        <v>0.6946353868407199</v>
      </c>
      <c r="GQ20">
        <v>5.7401812688821753E-2</v>
      </c>
      <c r="GR20">
        <v>0.66511840210749662</v>
      </c>
      <c r="GS20">
        <v>0.15702479338842981</v>
      </c>
      <c r="GT20">
        <v>0.65055280400278159</v>
      </c>
      <c r="GU20">
        <v>5.7401812688821753E-2</v>
      </c>
      <c r="GV20">
        <v>0.62104400654137104</v>
      </c>
      <c r="GW20">
        <v>0.15702479338842981</v>
      </c>
      <c r="GX20">
        <v>0.65468249735975115</v>
      </c>
      <c r="GY20">
        <v>5.7401812688821753E-2</v>
      </c>
      <c r="GZ20">
        <v>0.61593048504593162</v>
      </c>
      <c r="HA20">
        <v>0.15702479338842981</v>
      </c>
      <c r="HB20">
        <v>0.80201592283660883</v>
      </c>
      <c r="HC20">
        <v>5.7401812688821753E-2</v>
      </c>
      <c r="HD20">
        <v>0.71161162311402992</v>
      </c>
      <c r="HE20">
        <v>1493.200032708748</v>
      </c>
      <c r="HF20">
        <v>4111.4915617105562</v>
      </c>
      <c r="HG20">
        <v>1194.3069859311011</v>
      </c>
      <c r="HH20">
        <v>2280.9971422651902</v>
      </c>
      <c r="HI20">
        <v>894.05451334329746</v>
      </c>
      <c r="HJ20">
        <v>3598.295411482984</v>
      </c>
      <c r="HK20">
        <v>516.17986149170144</v>
      </c>
      <c r="HL20">
        <v>4991.2342408864988</v>
      </c>
      <c r="HQ20">
        <v>1223.3270620521289</v>
      </c>
      <c r="HR20">
        <v>2931.4705712881041</v>
      </c>
      <c r="IA20" t="s">
        <v>7687</v>
      </c>
      <c r="IB20">
        <v>0</v>
      </c>
      <c r="IC20">
        <v>6</v>
      </c>
      <c r="ID20" t="s">
        <v>7688</v>
      </c>
      <c r="IE20">
        <v>0</v>
      </c>
      <c r="IF20">
        <v>1</v>
      </c>
      <c r="IO20">
        <v>481.31084552041091</v>
      </c>
      <c r="IP20">
        <v>4453.2411436965631</v>
      </c>
      <c r="IU20">
        <v>861.03575315996932</v>
      </c>
      <c r="IV20">
        <v>2736.0798772012981</v>
      </c>
      <c r="JA20">
        <v>0.80693242516553754</v>
      </c>
      <c r="JB20">
        <v>541.36811716596605</v>
      </c>
      <c r="JC20">
        <v>0.68572438774181743</v>
      </c>
      <c r="JD20">
        <v>420.75872882161099</v>
      </c>
      <c r="JE20">
        <v>0.42169567253341661</v>
      </c>
      <c r="JF20">
        <v>498.13356719065638</v>
      </c>
      <c r="JG20">
        <v>0.56223025885627176</v>
      </c>
      <c r="JH20">
        <v>429.92521065109088</v>
      </c>
      <c r="JM20">
        <v>0.64946528457025599</v>
      </c>
      <c r="JN20">
        <v>587.85848894731032</v>
      </c>
      <c r="JO20">
        <v>0.43348972102199518</v>
      </c>
      <c r="JP20">
        <v>402.75811047216803</v>
      </c>
      <c r="JQ20">
        <v>0.60421733995681493</v>
      </c>
      <c r="JR20">
        <v>485.28162173820061</v>
      </c>
      <c r="JS20">
        <v>0.4470695728281453</v>
      </c>
      <c r="JT20">
        <v>489.28806415754462</v>
      </c>
      <c r="KA20">
        <v>693.36599155219608</v>
      </c>
      <c r="KB20">
        <v>0.73125292138063536</v>
      </c>
      <c r="KE20">
        <v>1532.097235550491</v>
      </c>
      <c r="KF20">
        <v>0.50226077958240245</v>
      </c>
      <c r="KK20">
        <v>573.59047503824013</v>
      </c>
      <c r="KL20">
        <v>2556.312813189159</v>
      </c>
      <c r="KO20">
        <v>705.59593013491599</v>
      </c>
      <c r="KP20">
        <v>3138.1741803285622</v>
      </c>
      <c r="KQ20">
        <v>0.9</v>
      </c>
      <c r="KR20">
        <v>392.5</v>
      </c>
      <c r="KY20">
        <v>0.9</v>
      </c>
      <c r="KZ20">
        <v>392.5</v>
      </c>
      <c r="LI20">
        <v>0.9</v>
      </c>
      <c r="LJ20">
        <v>397.5</v>
      </c>
      <c r="MK20">
        <v>900</v>
      </c>
      <c r="ML20">
        <v>0.76</v>
      </c>
      <c r="MM20">
        <v>300</v>
      </c>
      <c r="MN20">
        <v>0.65</v>
      </c>
    </row>
    <row r="21" spans="1:352" x14ac:dyDescent="0.3">
      <c r="AS21">
        <v>0.78</v>
      </c>
      <c r="AT21">
        <v>1418.181818181818</v>
      </c>
      <c r="AU21">
        <v>403</v>
      </c>
      <c r="AV21">
        <v>1563.636363636364</v>
      </c>
      <c r="BA21">
        <v>497</v>
      </c>
      <c r="BB21">
        <v>836.36363636363637</v>
      </c>
      <c r="BK21">
        <v>3.1</v>
      </c>
      <c r="BL21">
        <v>0.49375000000000002</v>
      </c>
      <c r="BW21">
        <v>0.5</v>
      </c>
      <c r="BX21">
        <v>0.75</v>
      </c>
      <c r="CC21">
        <v>0.6</v>
      </c>
      <c r="CD21">
        <v>981.81818181818198</v>
      </c>
      <c r="FQ21">
        <v>0.16528925619834711</v>
      </c>
      <c r="FR21">
        <v>394.07073488168908</v>
      </c>
      <c r="FS21">
        <v>6.0422960725075532E-2</v>
      </c>
      <c r="FT21">
        <v>391.5257008929986</v>
      </c>
      <c r="FU21">
        <v>0.16528925619834711</v>
      </c>
      <c r="FV21">
        <v>281.09906822457782</v>
      </c>
      <c r="FW21">
        <v>6.0422960725075532E-2</v>
      </c>
      <c r="FX21">
        <v>279.92310311549659</v>
      </c>
      <c r="FY21">
        <v>0.16528925619834711</v>
      </c>
      <c r="FZ21">
        <v>2547.8802072856461</v>
      </c>
      <c r="GA21">
        <v>6.0422960725075532E-2</v>
      </c>
      <c r="GB21">
        <v>2160.485723338179</v>
      </c>
      <c r="GC21">
        <v>0.16528925619834711</v>
      </c>
      <c r="GD21">
        <v>873.42530629934674</v>
      </c>
      <c r="GE21">
        <v>6.0422960725075532E-2</v>
      </c>
      <c r="GF21">
        <v>352.97752943221923</v>
      </c>
      <c r="GG21">
        <v>0.16528925619834711</v>
      </c>
      <c r="GH21">
        <v>0.54021767578909918</v>
      </c>
      <c r="GI21">
        <v>6.0422960725075532E-2</v>
      </c>
      <c r="GJ21">
        <v>0.53059217931732061</v>
      </c>
      <c r="GK21">
        <v>0.16528925619834711</v>
      </c>
      <c r="GL21">
        <v>0.77271299047580233</v>
      </c>
      <c r="GM21">
        <v>6.0422960725075532E-2</v>
      </c>
      <c r="GN21">
        <v>0.76049114388669836</v>
      </c>
      <c r="GO21">
        <v>0.16528925619834711</v>
      </c>
      <c r="GP21">
        <v>0.69774540604230062</v>
      </c>
      <c r="GQ21">
        <v>6.0422960725075532E-2</v>
      </c>
      <c r="GR21">
        <v>0.6654198584019837</v>
      </c>
      <c r="GS21">
        <v>0.16528925619834711</v>
      </c>
      <c r="GT21">
        <v>0.65198181443043146</v>
      </c>
      <c r="GU21">
        <v>6.0422960725075532E-2</v>
      </c>
      <c r="GV21">
        <v>0.62130531503327557</v>
      </c>
      <c r="GW21">
        <v>0.16528925619834711</v>
      </c>
      <c r="GX21">
        <v>0.65532266780850634</v>
      </c>
      <c r="GY21">
        <v>6.0422960725075532E-2</v>
      </c>
      <c r="GZ21">
        <v>0.61608904022668776</v>
      </c>
      <c r="HA21">
        <v>0.16528925619834711</v>
      </c>
      <c r="HB21">
        <v>0.80808488012651347</v>
      </c>
      <c r="HC21">
        <v>6.0422960725075532E-2</v>
      </c>
      <c r="HD21">
        <v>0.71268111955042912</v>
      </c>
      <c r="HE21">
        <v>1235.270961844453</v>
      </c>
      <c r="HF21">
        <v>2583.2439378012932</v>
      </c>
      <c r="HG21">
        <v>918.04113005762099</v>
      </c>
      <c r="HH21">
        <v>2155.6888499665752</v>
      </c>
      <c r="HI21">
        <v>1159.0431504363009</v>
      </c>
      <c r="HJ21">
        <v>4401.3673327341394</v>
      </c>
      <c r="HK21">
        <v>1248.24885800572</v>
      </c>
      <c r="HL21">
        <v>3922.4585616753252</v>
      </c>
      <c r="HQ21">
        <v>507.54537312511752</v>
      </c>
      <c r="HR21">
        <v>4784.5106025892464</v>
      </c>
      <c r="IA21" t="s">
        <v>7689</v>
      </c>
      <c r="IB21">
        <v>0</v>
      </c>
      <c r="IC21">
        <v>6</v>
      </c>
      <c r="ID21" t="s">
        <v>7690</v>
      </c>
      <c r="IE21">
        <v>0</v>
      </c>
      <c r="IF21">
        <v>2</v>
      </c>
      <c r="IO21">
        <v>1072.4232045456299</v>
      </c>
      <c r="IP21">
        <v>4278.9352897957579</v>
      </c>
      <c r="IU21">
        <v>1093.290578471443</v>
      </c>
      <c r="IV21">
        <v>3010.748483926257</v>
      </c>
      <c r="JA21">
        <v>0.52454936733219226</v>
      </c>
      <c r="JB21">
        <v>466.57956014236407</v>
      </c>
      <c r="JG21">
        <v>0.72263233019562212</v>
      </c>
      <c r="JH21">
        <v>557.19890213596727</v>
      </c>
      <c r="JM21">
        <v>0.59038970249287148</v>
      </c>
      <c r="JN21">
        <v>584.27327726778697</v>
      </c>
      <c r="JO21">
        <v>0.68946607741634192</v>
      </c>
      <c r="JP21">
        <v>395.13315270932378</v>
      </c>
      <c r="JQ21">
        <v>0.5353311010793006</v>
      </c>
      <c r="JR21">
        <v>535.18989469237886</v>
      </c>
      <c r="JS21">
        <v>0.86905173954599801</v>
      </c>
      <c r="JT21">
        <v>586.09273894960961</v>
      </c>
      <c r="KA21">
        <v>1417.0309684811509</v>
      </c>
      <c r="KB21">
        <v>0.60851033545627264</v>
      </c>
      <c r="KE21">
        <v>926.48801974819139</v>
      </c>
      <c r="KF21">
        <v>0.64680685769367996</v>
      </c>
      <c r="KK21">
        <v>1555.389057277024</v>
      </c>
      <c r="KL21">
        <v>2533.5867398280479</v>
      </c>
      <c r="KO21">
        <v>887.80968567785874</v>
      </c>
      <c r="KP21">
        <v>3592.8487942407519</v>
      </c>
      <c r="KQ21">
        <v>0.9</v>
      </c>
      <c r="KR21">
        <v>395</v>
      </c>
      <c r="KY21">
        <v>0.9</v>
      </c>
      <c r="KZ21">
        <v>395</v>
      </c>
      <c r="LI21">
        <v>0.9</v>
      </c>
      <c r="LJ21">
        <v>400</v>
      </c>
      <c r="MK21">
        <v>1000</v>
      </c>
      <c r="ML21">
        <v>0.76</v>
      </c>
      <c r="MM21">
        <v>400</v>
      </c>
      <c r="MN21">
        <v>0.65</v>
      </c>
    </row>
    <row r="22" spans="1:352" x14ac:dyDescent="0.3">
      <c r="AS22">
        <v>0.78</v>
      </c>
      <c r="AT22">
        <v>1563.636363636364</v>
      </c>
      <c r="AU22">
        <v>403</v>
      </c>
      <c r="AV22">
        <v>2000</v>
      </c>
      <c r="BA22">
        <v>497</v>
      </c>
      <c r="BB22">
        <v>981.81818181818198</v>
      </c>
      <c r="BK22">
        <v>3.2</v>
      </c>
      <c r="BL22">
        <v>0.703125</v>
      </c>
      <c r="BW22">
        <v>0.5</v>
      </c>
      <c r="BX22">
        <v>0.85</v>
      </c>
      <c r="CC22">
        <v>0.6</v>
      </c>
      <c r="CD22">
        <v>1127.2727272727279</v>
      </c>
      <c r="FQ22">
        <v>0.1735537190082645</v>
      </c>
      <c r="FR22">
        <v>394.73858744369772</v>
      </c>
      <c r="FS22">
        <v>6.3444108761329304E-2</v>
      </c>
      <c r="FT22">
        <v>391.58689037200242</v>
      </c>
      <c r="FU22">
        <v>0.1735537190082645</v>
      </c>
      <c r="FV22">
        <v>281.2442795183602</v>
      </c>
      <c r="FW22">
        <v>6.3444108761329304E-2</v>
      </c>
      <c r="FX22">
        <v>279.9918669714973</v>
      </c>
      <c r="FY22">
        <v>0.1735537190082645</v>
      </c>
      <c r="FZ22">
        <v>2548.097371659946</v>
      </c>
      <c r="GA22">
        <v>6.3444108761329304E-2</v>
      </c>
      <c r="GB22">
        <v>2171.6036634343031</v>
      </c>
      <c r="GC22">
        <v>0.1735537190082645</v>
      </c>
      <c r="GD22">
        <v>882.80640309614409</v>
      </c>
      <c r="GE22">
        <v>6.3444108761329304E-2</v>
      </c>
      <c r="GF22">
        <v>355.3037031327749</v>
      </c>
      <c r="GG22">
        <v>0.1735537190082645</v>
      </c>
      <c r="GH22">
        <v>0.54030264945456574</v>
      </c>
      <c r="GI22">
        <v>6.3444108761329304E-2</v>
      </c>
      <c r="GJ22">
        <v>0.53135515590883087</v>
      </c>
      <c r="GK22">
        <v>0.1735537190082645</v>
      </c>
      <c r="GL22">
        <v>0.77547619785640498</v>
      </c>
      <c r="GM22">
        <v>6.3444108761329304E-2</v>
      </c>
      <c r="GN22">
        <v>0.76123890531707539</v>
      </c>
      <c r="GO22">
        <v>0.1735537190082645</v>
      </c>
      <c r="GP22">
        <v>0.69966242364195386</v>
      </c>
      <c r="GQ22">
        <v>6.3444108761329304E-2</v>
      </c>
      <c r="GR22">
        <v>0.66597977610457626</v>
      </c>
      <c r="GS22">
        <v>0.1735537190082645</v>
      </c>
      <c r="GT22">
        <v>0.65246190439369722</v>
      </c>
      <c r="GU22">
        <v>6.3444108761329304E-2</v>
      </c>
      <c r="GV22">
        <v>0.62367695977167481</v>
      </c>
      <c r="GW22">
        <v>0.1735537190082645</v>
      </c>
      <c r="GX22">
        <v>0.65667460768605446</v>
      </c>
      <c r="GY22">
        <v>6.3444108761329304E-2</v>
      </c>
      <c r="GZ22">
        <v>0.61731866192701035</v>
      </c>
      <c r="HA22">
        <v>0.1735537190082645</v>
      </c>
      <c r="HB22">
        <v>0.80897257460044636</v>
      </c>
      <c r="HC22">
        <v>6.3444108761329304E-2</v>
      </c>
      <c r="HD22">
        <v>0.71394413607586171</v>
      </c>
      <c r="HE22">
        <v>1384.324537102322</v>
      </c>
      <c r="HF22">
        <v>4960.8916703962677</v>
      </c>
      <c r="HG22">
        <v>1317.2084607469169</v>
      </c>
      <c r="HH22">
        <v>4350.4097696055296</v>
      </c>
      <c r="HI22">
        <v>676.15866438313469</v>
      </c>
      <c r="HJ22">
        <v>2116.1045632783312</v>
      </c>
      <c r="HK22">
        <v>352.97752943221923</v>
      </c>
      <c r="HL22">
        <v>3078.5799568712609</v>
      </c>
      <c r="HQ22">
        <v>653.41981308364711</v>
      </c>
      <c r="HR22">
        <v>3240.6004886381088</v>
      </c>
      <c r="IO22">
        <v>1215.632736319139</v>
      </c>
      <c r="IP22">
        <v>2917.9898505253632</v>
      </c>
      <c r="IU22">
        <v>1786.4112878574911</v>
      </c>
      <c r="IV22">
        <v>4893.4643993845821</v>
      </c>
      <c r="JA22">
        <v>0.91961968927136062</v>
      </c>
      <c r="JB22">
        <v>516.51537253024503</v>
      </c>
      <c r="JG22">
        <v>0.58853185866297542</v>
      </c>
      <c r="JH22">
        <v>470.21055509050223</v>
      </c>
      <c r="JM22">
        <v>0.72369984060241355</v>
      </c>
      <c r="JN22">
        <v>574.73264511376965</v>
      </c>
      <c r="JQ22">
        <v>0.51751077349826058</v>
      </c>
      <c r="JR22">
        <v>453.31810477144052</v>
      </c>
      <c r="JS22">
        <v>0.50899798754615988</v>
      </c>
      <c r="JT22">
        <v>384.39268332823377</v>
      </c>
      <c r="KA22">
        <v>574.1498330490839</v>
      </c>
      <c r="KB22">
        <v>0.50472446966725149</v>
      </c>
      <c r="KE22">
        <v>1244.77913727849</v>
      </c>
      <c r="KF22">
        <v>0.67108146578724082</v>
      </c>
      <c r="KK22">
        <v>1698.2690537172141</v>
      </c>
      <c r="KL22">
        <v>2053.9324959287819</v>
      </c>
      <c r="KO22">
        <v>1965.7826174441579</v>
      </c>
      <c r="KP22">
        <v>4597.2100868740736</v>
      </c>
      <c r="KQ22">
        <v>0.9</v>
      </c>
      <c r="KR22">
        <v>397.5</v>
      </c>
      <c r="KY22">
        <v>0.9</v>
      </c>
      <c r="KZ22">
        <v>397.5</v>
      </c>
      <c r="LI22">
        <v>0.9</v>
      </c>
      <c r="LJ22">
        <v>402.5</v>
      </c>
      <c r="MK22">
        <v>1100</v>
      </c>
      <c r="ML22">
        <v>0.76</v>
      </c>
      <c r="MM22">
        <v>200</v>
      </c>
      <c r="MN22">
        <v>0.65</v>
      </c>
    </row>
    <row r="23" spans="1:352" x14ac:dyDescent="0.3">
      <c r="AS23">
        <v>0.78</v>
      </c>
      <c r="AT23">
        <v>1854.545454545455</v>
      </c>
      <c r="AU23">
        <v>420</v>
      </c>
      <c r="AV23">
        <v>836.36363636363637</v>
      </c>
      <c r="BA23">
        <v>497</v>
      </c>
      <c r="BB23">
        <v>1127.2727272727279</v>
      </c>
      <c r="BK23">
        <v>3</v>
      </c>
      <c r="BL23">
        <v>0.671875</v>
      </c>
      <c r="BW23">
        <v>0.5</v>
      </c>
      <c r="BX23">
        <v>0.89999999999999991</v>
      </c>
      <c r="CC23">
        <v>0.6</v>
      </c>
      <c r="CD23">
        <v>1272.727272727273</v>
      </c>
      <c r="FQ23">
        <v>0.1818181818181818</v>
      </c>
      <c r="FR23">
        <v>394.991807140974</v>
      </c>
      <c r="FS23">
        <v>6.6465256797583083E-2</v>
      </c>
      <c r="FT23">
        <v>391.94569312363183</v>
      </c>
      <c r="FU23">
        <v>0.1818181818181818</v>
      </c>
      <c r="FV23">
        <v>281.26029546499927</v>
      </c>
      <c r="FW23">
        <v>6.6465256797583083E-2</v>
      </c>
      <c r="FX23">
        <v>280.07283128200379</v>
      </c>
      <c r="FY23">
        <v>0.1818181818181818</v>
      </c>
      <c r="FZ23">
        <v>2563.3423125394911</v>
      </c>
      <c r="GA23">
        <v>6.6465256797583083E-2</v>
      </c>
      <c r="GB23">
        <v>2181.8805068243878</v>
      </c>
      <c r="GC23">
        <v>0.1818181818181818</v>
      </c>
      <c r="GD23">
        <v>885.59006331456192</v>
      </c>
      <c r="GE23">
        <v>6.6465256797583083E-2</v>
      </c>
      <c r="GF23">
        <v>356.23691745028071</v>
      </c>
      <c r="GG23">
        <v>0.1818181818181818</v>
      </c>
      <c r="GH23">
        <v>0.54167721161661686</v>
      </c>
      <c r="GI23">
        <v>6.6465256797583083E-2</v>
      </c>
      <c r="GJ23">
        <v>0.53225438066322195</v>
      </c>
      <c r="GK23">
        <v>0.1818181818181818</v>
      </c>
      <c r="GL23">
        <v>0.77576662819331388</v>
      </c>
      <c r="GM23">
        <v>6.6465256797583083E-2</v>
      </c>
      <c r="GN23">
        <v>0.76196862643591146</v>
      </c>
      <c r="GO23">
        <v>0.1818181818181818</v>
      </c>
      <c r="GP23">
        <v>0.70336948362015861</v>
      </c>
      <c r="GQ23">
        <v>6.6465256797583083E-2</v>
      </c>
      <c r="GR23">
        <v>0.6678182115196547</v>
      </c>
      <c r="GS23">
        <v>0.1818181818181818</v>
      </c>
      <c r="GT23">
        <v>0.65254073900159115</v>
      </c>
      <c r="GU23">
        <v>6.6465256797583083E-2</v>
      </c>
      <c r="GV23">
        <v>0.62401767051788726</v>
      </c>
      <c r="GW23">
        <v>0.1818181818181818</v>
      </c>
      <c r="GX23">
        <v>0.66026426210382727</v>
      </c>
      <c r="GY23">
        <v>6.6465256797583083E-2</v>
      </c>
      <c r="GZ23">
        <v>0.61860757486963502</v>
      </c>
      <c r="HA23">
        <v>0.1818181818181818</v>
      </c>
      <c r="HB23">
        <v>0.81248375123483341</v>
      </c>
      <c r="HC23">
        <v>6.6465256797583083E-2</v>
      </c>
      <c r="HD23">
        <v>0.71485654663129727</v>
      </c>
      <c r="HE23">
        <v>912.8142076572916</v>
      </c>
      <c r="HF23">
        <v>2032.2164942189361</v>
      </c>
      <c r="HG23">
        <v>1453.6943084220011</v>
      </c>
      <c r="HH23">
        <v>4035.5920742289659</v>
      </c>
      <c r="HI23">
        <v>437.2631795050562</v>
      </c>
      <c r="HJ23">
        <v>2354.43524953111</v>
      </c>
      <c r="HK23">
        <v>420.32728337968302</v>
      </c>
      <c r="HL23">
        <v>2400.0708529909639</v>
      </c>
      <c r="HQ23">
        <v>306.72838758274241</v>
      </c>
      <c r="HR23">
        <v>2706.7207150210079</v>
      </c>
      <c r="IO23">
        <v>1492.1548126823359</v>
      </c>
      <c r="IP23">
        <v>2281.4903904499838</v>
      </c>
      <c r="IU23">
        <v>1635.2715696706921</v>
      </c>
      <c r="IV23">
        <v>4918.1127765862821</v>
      </c>
      <c r="JA23">
        <v>0.55686886847518613</v>
      </c>
      <c r="JB23">
        <v>607.84431513036827</v>
      </c>
      <c r="JG23">
        <v>0.7479482534664148</v>
      </c>
      <c r="JH23">
        <v>596.04316243164203</v>
      </c>
      <c r="JM23">
        <v>0.92517725236218185</v>
      </c>
      <c r="JN23">
        <v>528.12532835010757</v>
      </c>
      <c r="JQ23">
        <v>0.67891560635696624</v>
      </c>
      <c r="JR23">
        <v>435.93044297262088</v>
      </c>
      <c r="JS23">
        <v>0.4213182007378839</v>
      </c>
      <c r="JT23">
        <v>464.57063408720609</v>
      </c>
      <c r="KA23">
        <v>1623.2849381842429</v>
      </c>
      <c r="KB23">
        <v>0.56499620980943999</v>
      </c>
      <c r="KE23">
        <v>242.23288705667659</v>
      </c>
      <c r="KF23">
        <v>0.78721242607280284</v>
      </c>
      <c r="KK23">
        <v>1007.0137314659059</v>
      </c>
      <c r="KL23">
        <v>2221.5808474651758</v>
      </c>
      <c r="KO23">
        <v>1629.4517469263051</v>
      </c>
      <c r="KP23">
        <v>2717.2409486955312</v>
      </c>
      <c r="KQ23">
        <v>0.9</v>
      </c>
      <c r="KR23">
        <v>400</v>
      </c>
      <c r="KY23">
        <v>0.9</v>
      </c>
      <c r="KZ23">
        <v>400</v>
      </c>
      <c r="LI23">
        <v>0.9</v>
      </c>
      <c r="LJ23">
        <v>405</v>
      </c>
      <c r="MK23">
        <v>1200</v>
      </c>
      <c r="ML23">
        <v>0.76</v>
      </c>
      <c r="MM23">
        <v>300</v>
      </c>
      <c r="MN23">
        <v>0.7</v>
      </c>
    </row>
    <row r="24" spans="1:352" x14ac:dyDescent="0.3">
      <c r="AS24">
        <v>0.78</v>
      </c>
      <c r="AT24">
        <v>1709.090909090909</v>
      </c>
      <c r="AU24">
        <v>420</v>
      </c>
      <c r="AV24">
        <v>1127.2727272727279</v>
      </c>
      <c r="BA24">
        <v>497</v>
      </c>
      <c r="BB24">
        <v>1272.727272727273</v>
      </c>
      <c r="BK24">
        <v>3.1</v>
      </c>
      <c r="BL24">
        <v>0.50312500000000004</v>
      </c>
      <c r="BW24">
        <v>0.5</v>
      </c>
      <c r="BX24">
        <v>0.95</v>
      </c>
      <c r="CC24">
        <v>0.6</v>
      </c>
      <c r="CD24">
        <v>1418.181818181818</v>
      </c>
      <c r="FQ24">
        <v>0.19008264462809921</v>
      </c>
      <c r="FR24">
        <v>395.676971806121</v>
      </c>
      <c r="FS24">
        <v>6.9486404833836862E-2</v>
      </c>
      <c r="FT24">
        <v>392.29040562547391</v>
      </c>
      <c r="FU24">
        <v>0.19008264462809921</v>
      </c>
      <c r="FV24">
        <v>281.34148819987388</v>
      </c>
      <c r="FW24">
        <v>6.9486404833836862E-2</v>
      </c>
      <c r="FX24">
        <v>280.14851725432322</v>
      </c>
      <c r="FY24">
        <v>0.19008264462809921</v>
      </c>
      <c r="FZ24">
        <v>2583.2439378012932</v>
      </c>
      <c r="GA24">
        <v>6.9486404833836862E-2</v>
      </c>
      <c r="GB24">
        <v>2189.372121129089</v>
      </c>
      <c r="GC24">
        <v>0.19008264462809921</v>
      </c>
      <c r="GD24">
        <v>889.99628330024234</v>
      </c>
      <c r="GE24">
        <v>6.9486404833836862E-2</v>
      </c>
      <c r="GF24">
        <v>360.80345072159372</v>
      </c>
      <c r="GG24">
        <v>0.19008264462809921</v>
      </c>
      <c r="GH24">
        <v>0.54382050970939155</v>
      </c>
      <c r="GI24">
        <v>6.9486404833836862E-2</v>
      </c>
      <c r="GJ24">
        <v>0.53293391098760845</v>
      </c>
      <c r="GK24">
        <v>0.19008264462809921</v>
      </c>
      <c r="GL24">
        <v>0.77597512149218639</v>
      </c>
      <c r="GM24">
        <v>6.9486404833836862E-2</v>
      </c>
      <c r="GN24">
        <v>0.7631213196379093</v>
      </c>
      <c r="GO24">
        <v>0.19008264462809921</v>
      </c>
      <c r="GP24">
        <v>0.70651460593808835</v>
      </c>
      <c r="GQ24">
        <v>6.9486404833836862E-2</v>
      </c>
      <c r="GR24">
        <v>0.66786518782427784</v>
      </c>
      <c r="GS24">
        <v>0.19008264462809921</v>
      </c>
      <c r="GT24">
        <v>0.65282923099110168</v>
      </c>
      <c r="GU24">
        <v>6.9486404833836862E-2</v>
      </c>
      <c r="GV24">
        <v>0.62514462912580238</v>
      </c>
      <c r="GW24">
        <v>0.19008264462809921</v>
      </c>
      <c r="GX24">
        <v>0.66200193689819076</v>
      </c>
      <c r="GY24">
        <v>6.9486404833836862E-2</v>
      </c>
      <c r="GZ24">
        <v>0.6186657466922999</v>
      </c>
      <c r="HA24">
        <v>0.19008264462809921</v>
      </c>
      <c r="HB24">
        <v>0.81518256455605853</v>
      </c>
      <c r="HC24">
        <v>6.9486404833836862E-2</v>
      </c>
      <c r="HD24">
        <v>0.71499043789243821</v>
      </c>
      <c r="HE24">
        <v>1263.6062808013539</v>
      </c>
      <c r="HF24">
        <v>3500.262718794284</v>
      </c>
      <c r="HG24">
        <v>1229.3347696241351</v>
      </c>
      <c r="HH24">
        <v>3696.6578552480169</v>
      </c>
      <c r="HI24">
        <v>1381.1199823667009</v>
      </c>
      <c r="HJ24">
        <v>3180.6196960894022</v>
      </c>
      <c r="HK24">
        <v>360.80345072159372</v>
      </c>
      <c r="HL24">
        <v>3405.599188785769</v>
      </c>
      <c r="HQ24">
        <v>846.28201304261927</v>
      </c>
      <c r="HR24">
        <v>4557.9368490783618</v>
      </c>
      <c r="IO24">
        <v>301.32416839733878</v>
      </c>
      <c r="IP24">
        <v>2576.2668072982478</v>
      </c>
      <c r="IU24">
        <v>700.60688950545796</v>
      </c>
      <c r="IV24">
        <v>4963.5686201974167</v>
      </c>
      <c r="JA24">
        <v>0.78569680136205911</v>
      </c>
      <c r="JB24">
        <v>507.71743931533831</v>
      </c>
      <c r="JG24">
        <v>0.47548535110790402</v>
      </c>
      <c r="JH24">
        <v>475.6980483654508</v>
      </c>
      <c r="JM24">
        <v>0.52701412394157487</v>
      </c>
      <c r="JN24">
        <v>501.58385757203382</v>
      </c>
      <c r="JQ24">
        <v>0.85337468819259843</v>
      </c>
      <c r="JR24">
        <v>562.01258442987682</v>
      </c>
      <c r="JS24">
        <v>0.52007986721560939</v>
      </c>
      <c r="JT24">
        <v>602.11234344341483</v>
      </c>
      <c r="KA24">
        <v>667.39373325066572</v>
      </c>
      <c r="KB24">
        <v>0.71558096032290075</v>
      </c>
      <c r="KE24">
        <v>1354.960781701227</v>
      </c>
      <c r="KF24">
        <v>0.75681390019218675</v>
      </c>
      <c r="KK24">
        <v>788.28923071692464</v>
      </c>
      <c r="KL24">
        <v>4229.7026443505383</v>
      </c>
      <c r="KO24">
        <v>583.38897236680009</v>
      </c>
      <c r="KP24">
        <v>3914.4647998363998</v>
      </c>
      <c r="KQ24">
        <v>0.9</v>
      </c>
      <c r="KR24">
        <v>402.5</v>
      </c>
      <c r="KY24">
        <v>0.9</v>
      </c>
      <c r="KZ24">
        <v>402.5</v>
      </c>
      <c r="LI24">
        <v>0.9</v>
      </c>
      <c r="LJ24">
        <v>407.5</v>
      </c>
      <c r="MK24">
        <v>700</v>
      </c>
      <c r="ML24">
        <v>0.79</v>
      </c>
      <c r="MM24">
        <v>200</v>
      </c>
      <c r="MN24">
        <v>0.7</v>
      </c>
    </row>
    <row r="25" spans="1:352" x14ac:dyDescent="0.3">
      <c r="AS25">
        <v>0.78</v>
      </c>
      <c r="AT25">
        <v>2000</v>
      </c>
      <c r="AU25">
        <v>420</v>
      </c>
      <c r="AV25">
        <v>981.81818181818198</v>
      </c>
      <c r="BA25">
        <v>497</v>
      </c>
      <c r="BB25">
        <v>1418.181818181818</v>
      </c>
      <c r="BK25">
        <v>3.2</v>
      </c>
      <c r="BL25">
        <v>0.49687500000000001</v>
      </c>
      <c r="BW25">
        <v>0.6</v>
      </c>
      <c r="BX25">
        <v>0.4</v>
      </c>
      <c r="CC25">
        <v>0.6</v>
      </c>
      <c r="CD25">
        <v>1563.636363636364</v>
      </c>
      <c r="FQ25">
        <v>0.19834710743801651</v>
      </c>
      <c r="FR25">
        <v>397.90212249577797</v>
      </c>
      <c r="FS25">
        <v>7.2507552870090641E-2</v>
      </c>
      <c r="FT25">
        <v>393.04593856608358</v>
      </c>
      <c r="FU25">
        <v>0.19834710743801651</v>
      </c>
      <c r="FV25">
        <v>281.37779390462651</v>
      </c>
      <c r="FW25">
        <v>7.2507552870090641E-2</v>
      </c>
      <c r="FX25">
        <v>280.27101276466709</v>
      </c>
      <c r="FY25">
        <v>0.19834710743801651</v>
      </c>
      <c r="FZ25">
        <v>2604.9446364231212</v>
      </c>
      <c r="GA25">
        <v>7.2507552870090641E-2</v>
      </c>
      <c r="GB25">
        <v>2193.4238288977081</v>
      </c>
      <c r="GC25">
        <v>0.19834710743801651</v>
      </c>
      <c r="GD25">
        <v>912.8142076572916</v>
      </c>
      <c r="GE25">
        <v>7.2507552870090641E-2</v>
      </c>
      <c r="GF25">
        <v>362.75858533845332</v>
      </c>
      <c r="GG25">
        <v>0.19834710743801651</v>
      </c>
      <c r="GH25">
        <v>0.54434907345719263</v>
      </c>
      <c r="GI25">
        <v>7.2507552870090641E-2</v>
      </c>
      <c r="GJ25">
        <v>0.53428331231430404</v>
      </c>
      <c r="GK25">
        <v>0.19834710743801651</v>
      </c>
      <c r="GL25">
        <v>0.78070884618188474</v>
      </c>
      <c r="GM25">
        <v>7.2507552870090641E-2</v>
      </c>
      <c r="GN25">
        <v>0.76356700083125661</v>
      </c>
      <c r="GO25">
        <v>0.19834710743801651</v>
      </c>
      <c r="GP25">
        <v>0.70817171858349859</v>
      </c>
      <c r="GQ25">
        <v>7.2507552870090641E-2</v>
      </c>
      <c r="GR25">
        <v>0.6689582066494304</v>
      </c>
      <c r="GS25">
        <v>0.19834710743801651</v>
      </c>
      <c r="GT25">
        <v>0.65683769399807934</v>
      </c>
      <c r="GU25">
        <v>7.2507552870090641E-2</v>
      </c>
      <c r="GV25">
        <v>0.62714430715686165</v>
      </c>
      <c r="GW25">
        <v>0.19834710743801651</v>
      </c>
      <c r="GX25">
        <v>0.66672354052411675</v>
      </c>
      <c r="GY25">
        <v>7.2507552870090641E-2</v>
      </c>
      <c r="GZ25">
        <v>0.62071358668707566</v>
      </c>
      <c r="HA25">
        <v>0.19834710743801651</v>
      </c>
      <c r="HB25">
        <v>0.81972529284133511</v>
      </c>
      <c r="HC25">
        <v>7.2507552870090641E-2</v>
      </c>
      <c r="HD25">
        <v>0.71508516979644565</v>
      </c>
      <c r="HE25">
        <v>882.80640309614409</v>
      </c>
      <c r="HF25">
        <v>4127.8924198258019</v>
      </c>
      <c r="HG25">
        <v>983.21752216010361</v>
      </c>
      <c r="HH25">
        <v>2949.653534082217</v>
      </c>
      <c r="HI25">
        <v>539.73241595649017</v>
      </c>
      <c r="HJ25">
        <v>2276.6919271033862</v>
      </c>
      <c r="HK25">
        <v>646.8009595769654</v>
      </c>
      <c r="HL25">
        <v>3030.7086873052458</v>
      </c>
      <c r="HQ25">
        <v>1418.5836332336439</v>
      </c>
      <c r="HR25">
        <v>4762.457995218927</v>
      </c>
      <c r="IO25">
        <v>1793.187018980638</v>
      </c>
      <c r="IP25">
        <v>3471.4825750997111</v>
      </c>
      <c r="IU25">
        <v>1177.6895047512739</v>
      </c>
      <c r="IV25">
        <v>3743.7894630672322</v>
      </c>
      <c r="JA25">
        <v>0.91755540214984321</v>
      </c>
      <c r="JB25">
        <v>451.64778430061011</v>
      </c>
      <c r="JQ25">
        <v>0.74170309221121655</v>
      </c>
      <c r="JR25">
        <v>495.97069586319861</v>
      </c>
      <c r="JS25">
        <v>0.61603135397168163</v>
      </c>
      <c r="JT25">
        <v>568.55614935087704</v>
      </c>
      <c r="KA25">
        <v>788.28462124752423</v>
      </c>
      <c r="KB25">
        <v>0.57436982396530256</v>
      </c>
      <c r="KE25">
        <v>984.78206921214917</v>
      </c>
      <c r="KF25">
        <v>0.82802266354813114</v>
      </c>
      <c r="KK25">
        <v>1363.193773342409</v>
      </c>
      <c r="KL25">
        <v>4654.5595451602203</v>
      </c>
      <c r="KO25">
        <v>1850.891366576983</v>
      </c>
      <c r="KP25">
        <v>4873.2433961331153</v>
      </c>
      <c r="KQ25">
        <v>0.9</v>
      </c>
      <c r="KR25">
        <v>405</v>
      </c>
      <c r="KY25">
        <v>0.9</v>
      </c>
      <c r="KZ25">
        <v>407.5</v>
      </c>
      <c r="LI25">
        <v>0.9</v>
      </c>
      <c r="LJ25">
        <v>410</v>
      </c>
      <c r="MK25">
        <v>800</v>
      </c>
      <c r="ML25">
        <v>0.79</v>
      </c>
      <c r="MM25">
        <v>400</v>
      </c>
      <c r="MN25">
        <v>0.7</v>
      </c>
    </row>
    <row r="26" spans="1:352" x14ac:dyDescent="0.3">
      <c r="AS26">
        <v>0.81</v>
      </c>
      <c r="AT26">
        <v>400</v>
      </c>
      <c r="AU26">
        <v>420</v>
      </c>
      <c r="AV26">
        <v>1272.727272727273</v>
      </c>
      <c r="BA26">
        <v>497</v>
      </c>
      <c r="BB26">
        <v>1563.636363636364</v>
      </c>
      <c r="BW26">
        <v>0.6</v>
      </c>
      <c r="BX26">
        <v>0.45</v>
      </c>
      <c r="CC26">
        <v>0.6</v>
      </c>
      <c r="CD26">
        <v>1709.090909090909</v>
      </c>
      <c r="FQ26">
        <v>0.20661157024793389</v>
      </c>
      <c r="FR26">
        <v>398.99006072988408</v>
      </c>
      <c r="FS26">
        <v>7.5528700906344406E-2</v>
      </c>
      <c r="FT26">
        <v>393.07489105580032</v>
      </c>
      <c r="FU26">
        <v>0.20661157024793389</v>
      </c>
      <c r="FV26">
        <v>281.48204826381851</v>
      </c>
      <c r="FW26">
        <v>7.5528700906344406E-2</v>
      </c>
      <c r="FX26">
        <v>280.33297499532949</v>
      </c>
      <c r="FY26">
        <v>0.20661157024793389</v>
      </c>
      <c r="FZ26">
        <v>2605.8238290022982</v>
      </c>
      <c r="GA26">
        <v>7.5528700906344406E-2</v>
      </c>
      <c r="GB26">
        <v>2208.7617433056521</v>
      </c>
      <c r="GC26">
        <v>0.20661157024793389</v>
      </c>
      <c r="GD26">
        <v>918.04113005762099</v>
      </c>
      <c r="GE26">
        <v>7.5528700906344406E-2</v>
      </c>
      <c r="GF26">
        <v>366.23079889621209</v>
      </c>
      <c r="GG26">
        <v>0.20661157024793389</v>
      </c>
      <c r="GH26">
        <v>0.54644885055604331</v>
      </c>
      <c r="GI26">
        <v>7.5528700906344406E-2</v>
      </c>
      <c r="GJ26">
        <v>0.53454280907428042</v>
      </c>
      <c r="GK26">
        <v>0.20661157024793389</v>
      </c>
      <c r="GL26">
        <v>0.78223511970000625</v>
      </c>
      <c r="GM26">
        <v>7.5528700906344406E-2</v>
      </c>
      <c r="GN26">
        <v>0.76385411885359189</v>
      </c>
      <c r="GO26">
        <v>0.20661157024793389</v>
      </c>
      <c r="GP26">
        <v>0.70991658276897307</v>
      </c>
      <c r="GQ26">
        <v>7.5528700906344406E-2</v>
      </c>
      <c r="GR26">
        <v>0.66927773723525497</v>
      </c>
      <c r="GS26">
        <v>0.20661157024793389</v>
      </c>
      <c r="GT26">
        <v>0.66144695292129119</v>
      </c>
      <c r="GU26">
        <v>7.5528700906344406E-2</v>
      </c>
      <c r="GV26">
        <v>0.62847297214371467</v>
      </c>
      <c r="GW26">
        <v>0.20661157024793389</v>
      </c>
      <c r="GX26">
        <v>0.67371593442283673</v>
      </c>
      <c r="GY26">
        <v>7.5528700906344406E-2</v>
      </c>
      <c r="GZ26">
        <v>0.62085448926379094</v>
      </c>
      <c r="HA26">
        <v>0.20661157024793389</v>
      </c>
      <c r="HB26">
        <v>0.82986597624479219</v>
      </c>
      <c r="HC26">
        <v>7.5528700906344406E-2</v>
      </c>
      <c r="HD26">
        <v>0.71605865819766734</v>
      </c>
      <c r="HE26">
        <v>1459.363534615464</v>
      </c>
      <c r="HF26">
        <v>2438.757091722845</v>
      </c>
      <c r="HG26">
        <v>1451.6235933969581</v>
      </c>
      <c r="HH26">
        <v>4778.0368504880844</v>
      </c>
      <c r="HI26">
        <v>927.99894736538101</v>
      </c>
      <c r="HJ26">
        <v>4209.3250018096278</v>
      </c>
      <c r="HK26">
        <v>563.00659889068857</v>
      </c>
      <c r="HL26">
        <v>2481.4397070734658</v>
      </c>
      <c r="HQ26">
        <v>1125.918556943843</v>
      </c>
      <c r="HR26">
        <v>4374.2543917335888</v>
      </c>
      <c r="IO26">
        <v>576.26265014812168</v>
      </c>
      <c r="IP26">
        <v>2044.1956790557761</v>
      </c>
      <c r="IU26">
        <v>1126.8867559930129</v>
      </c>
      <c r="IV26">
        <v>4674.0676638283448</v>
      </c>
      <c r="JA26">
        <v>0.48459481867409782</v>
      </c>
      <c r="JB26">
        <v>461.60229667701572</v>
      </c>
      <c r="JQ26">
        <v>0.4515971396370731</v>
      </c>
      <c r="JR26">
        <v>466.22481999362498</v>
      </c>
      <c r="JS26">
        <v>0.54414905945761882</v>
      </c>
      <c r="JT26">
        <v>607.02673914744014</v>
      </c>
      <c r="KA26">
        <v>491.52386714836649</v>
      </c>
      <c r="KB26">
        <v>0.68684892153944932</v>
      </c>
      <c r="KE26">
        <v>379.95876982266623</v>
      </c>
      <c r="KF26">
        <v>0.78390776854018029</v>
      </c>
      <c r="KK26">
        <v>380.03069491222931</v>
      </c>
      <c r="KL26">
        <v>4642.2245574396911</v>
      </c>
      <c r="KO26">
        <v>640.33602155286655</v>
      </c>
      <c r="KP26">
        <v>3609.8337794232239</v>
      </c>
      <c r="KQ26">
        <v>0.9</v>
      </c>
      <c r="KR26">
        <v>407.5</v>
      </c>
      <c r="KY26">
        <v>0.9</v>
      </c>
      <c r="KZ26">
        <v>405</v>
      </c>
      <c r="LI26">
        <v>0.92500000000000004</v>
      </c>
      <c r="LJ26">
        <v>400</v>
      </c>
      <c r="MK26">
        <v>900</v>
      </c>
      <c r="ML26">
        <v>0.79</v>
      </c>
    </row>
    <row r="27" spans="1:352" x14ac:dyDescent="0.3">
      <c r="AS27">
        <v>0.81</v>
      </c>
      <c r="AT27">
        <v>545.4545454545455</v>
      </c>
      <c r="AU27">
        <v>420</v>
      </c>
      <c r="AV27">
        <v>1418.181818181818</v>
      </c>
      <c r="BA27">
        <v>497</v>
      </c>
      <c r="BB27">
        <v>1709.090909090909</v>
      </c>
      <c r="BW27">
        <v>0.6</v>
      </c>
      <c r="BX27">
        <v>0.5</v>
      </c>
      <c r="CC27">
        <v>0.6</v>
      </c>
      <c r="CD27">
        <v>1854.545454545455</v>
      </c>
      <c r="FQ27">
        <v>0.21487603305785119</v>
      </c>
      <c r="FR27">
        <v>399.04188929710642</v>
      </c>
      <c r="FS27">
        <v>7.8549848942598186E-2</v>
      </c>
      <c r="FT27">
        <v>393.35629365707439</v>
      </c>
      <c r="FU27">
        <v>0.21487603305785119</v>
      </c>
      <c r="FV27">
        <v>281.55884846985612</v>
      </c>
      <c r="FW27">
        <v>7.8549848942598186E-2</v>
      </c>
      <c r="FX27">
        <v>280.36167556254048</v>
      </c>
      <c r="FY27">
        <v>0.21487603305785119</v>
      </c>
      <c r="FZ27">
        <v>2646.096710846009</v>
      </c>
      <c r="GA27">
        <v>7.8549848942598186E-2</v>
      </c>
      <c r="GB27">
        <v>2222.4226206861749</v>
      </c>
      <c r="GC27">
        <v>0.21487603305785119</v>
      </c>
      <c r="GD27">
        <v>920.14145857205085</v>
      </c>
      <c r="GE27">
        <v>7.8549848942598186E-2</v>
      </c>
      <c r="GF27">
        <v>367.77141340825159</v>
      </c>
      <c r="GG27">
        <v>0.21487603305785119</v>
      </c>
      <c r="GH27">
        <v>0.54738173181763083</v>
      </c>
      <c r="GI27">
        <v>7.8549848942598186E-2</v>
      </c>
      <c r="GJ27">
        <v>0.53630347470077955</v>
      </c>
      <c r="GK27">
        <v>0.21487603305785119</v>
      </c>
      <c r="GL27">
        <v>0.78241746242915455</v>
      </c>
      <c r="GM27">
        <v>7.8549848942598186E-2</v>
      </c>
      <c r="GN27">
        <v>0.76414887209762639</v>
      </c>
      <c r="GO27">
        <v>0.21487603305785119</v>
      </c>
      <c r="GP27">
        <v>0.71155045300633812</v>
      </c>
      <c r="GQ27">
        <v>7.8549848942598186E-2</v>
      </c>
      <c r="GR27">
        <v>0.6695722469835903</v>
      </c>
      <c r="GS27">
        <v>0.21487603305785119</v>
      </c>
      <c r="GT27">
        <v>0.66409426901115276</v>
      </c>
      <c r="GU27">
        <v>7.8549848942598186E-2</v>
      </c>
      <c r="GV27">
        <v>0.62856453760811215</v>
      </c>
      <c r="GW27">
        <v>0.21487603305785119</v>
      </c>
      <c r="GX27">
        <v>0.68004522345632201</v>
      </c>
      <c r="GY27">
        <v>7.8549848942598186E-2</v>
      </c>
      <c r="GZ27">
        <v>0.62315837578961575</v>
      </c>
      <c r="HA27">
        <v>0.21487603305785119</v>
      </c>
      <c r="HB27">
        <v>0.83069305484869616</v>
      </c>
      <c r="HC27">
        <v>7.8549848942598186E-2</v>
      </c>
      <c r="HD27">
        <v>0.71686300601658903</v>
      </c>
      <c r="HE27">
        <v>1057.1053586906589</v>
      </c>
      <c r="HF27">
        <v>3778.7143996429581</v>
      </c>
      <c r="HG27">
        <v>1358.986474025779</v>
      </c>
      <c r="HH27">
        <v>4176.4753959289592</v>
      </c>
      <c r="HI27">
        <v>626.52971477076812</v>
      </c>
      <c r="HJ27">
        <v>3532.720065619244</v>
      </c>
      <c r="HK27">
        <v>867.75388844891245</v>
      </c>
      <c r="HL27">
        <v>2443.769872928237</v>
      </c>
      <c r="HQ27">
        <v>938.90576560086004</v>
      </c>
      <c r="HR27">
        <v>2203.171124899518</v>
      </c>
      <c r="IO27">
        <v>383.60213310572698</v>
      </c>
      <c r="IP27">
        <v>2859.1180891237491</v>
      </c>
      <c r="IU27">
        <v>314.62968974670162</v>
      </c>
      <c r="IV27">
        <v>2820.7482964229648</v>
      </c>
      <c r="JA27">
        <v>0.79724725151310505</v>
      </c>
      <c r="JB27">
        <v>460.4262103026266</v>
      </c>
      <c r="JQ27">
        <v>0.51185362710489146</v>
      </c>
      <c r="JR27">
        <v>554.84501806762455</v>
      </c>
      <c r="JS27">
        <v>0.40727205925182519</v>
      </c>
      <c r="JT27">
        <v>538.64106045800781</v>
      </c>
      <c r="KA27">
        <v>732.82340294424</v>
      </c>
      <c r="KB27">
        <v>0.74658766839822976</v>
      </c>
      <c r="KE27">
        <v>1880.028816148849</v>
      </c>
      <c r="KF27">
        <v>0.72574937759465119</v>
      </c>
      <c r="KK27">
        <v>1782.9854213850999</v>
      </c>
      <c r="KL27">
        <v>3085.144476148409</v>
      </c>
      <c r="KO27">
        <v>1120.85803084535</v>
      </c>
      <c r="KP27">
        <v>4115.1609226677592</v>
      </c>
      <c r="KQ27">
        <v>0.9</v>
      </c>
      <c r="KR27">
        <v>410</v>
      </c>
      <c r="KY27">
        <v>0.9</v>
      </c>
      <c r="KZ27">
        <v>410</v>
      </c>
      <c r="LI27">
        <v>0.92500000000000004</v>
      </c>
      <c r="LJ27">
        <v>402.5</v>
      </c>
      <c r="MK27">
        <v>1000</v>
      </c>
      <c r="ML27">
        <v>0.79</v>
      </c>
    </row>
    <row r="28" spans="1:352" x14ac:dyDescent="0.3">
      <c r="AS28">
        <v>0.81</v>
      </c>
      <c r="AT28">
        <v>690.90909090909099</v>
      </c>
      <c r="AU28">
        <v>420</v>
      </c>
      <c r="AV28">
        <v>1563.636363636364</v>
      </c>
      <c r="BA28">
        <v>497</v>
      </c>
      <c r="BB28">
        <v>1854.545454545455</v>
      </c>
      <c r="BW28">
        <v>0.6</v>
      </c>
      <c r="BX28">
        <v>0.55000000000000004</v>
      </c>
      <c r="CC28">
        <v>0.6</v>
      </c>
      <c r="CD28">
        <v>2000</v>
      </c>
      <c r="FQ28">
        <v>0.2231404958677686</v>
      </c>
      <c r="FR28">
        <v>401.01836464738318</v>
      </c>
      <c r="FS28">
        <v>8.1570996978851965E-2</v>
      </c>
      <c r="FT28">
        <v>393.45039548050067</v>
      </c>
      <c r="FU28">
        <v>0.2231404958677686</v>
      </c>
      <c r="FV28">
        <v>281.65688696529321</v>
      </c>
      <c r="FW28">
        <v>8.1570996978851965E-2</v>
      </c>
      <c r="FX28">
        <v>280.50926728331831</v>
      </c>
      <c r="FY28">
        <v>0.2231404958677686</v>
      </c>
      <c r="FZ28">
        <v>2688.4873424370239</v>
      </c>
      <c r="GA28">
        <v>8.1570996978851965E-2</v>
      </c>
      <c r="GB28">
        <v>2226.8232820928129</v>
      </c>
      <c r="GC28">
        <v>0.2231404958677686</v>
      </c>
      <c r="GD28">
        <v>930.49414987767796</v>
      </c>
      <c r="GE28">
        <v>8.1570996978851965E-2</v>
      </c>
      <c r="GF28">
        <v>368.90350075581171</v>
      </c>
      <c r="GG28">
        <v>0.2231404958677686</v>
      </c>
      <c r="GH28">
        <v>0.54763421312905414</v>
      </c>
      <c r="GI28">
        <v>8.1570996978851965E-2</v>
      </c>
      <c r="GJ28">
        <v>0.53782640633498091</v>
      </c>
      <c r="GK28">
        <v>0.2231404958677686</v>
      </c>
      <c r="GL28">
        <v>0.78329167695042157</v>
      </c>
      <c r="GM28">
        <v>8.1570996978851965E-2</v>
      </c>
      <c r="GN28">
        <v>0.76441808391045685</v>
      </c>
      <c r="GO28">
        <v>0.2231404958677686</v>
      </c>
      <c r="GP28">
        <v>0.71355147682260278</v>
      </c>
      <c r="GQ28">
        <v>8.1570996978851965E-2</v>
      </c>
      <c r="GR28">
        <v>0.6705585423130217</v>
      </c>
      <c r="GS28">
        <v>0.2231404958677686</v>
      </c>
      <c r="GT28">
        <v>0.66574934577185652</v>
      </c>
      <c r="GU28">
        <v>8.1570996978851965E-2</v>
      </c>
      <c r="GV28">
        <v>0.62924804178560068</v>
      </c>
      <c r="GW28">
        <v>0.2231404958677686</v>
      </c>
      <c r="GX28">
        <v>0.68511193380249169</v>
      </c>
      <c r="GY28">
        <v>8.1570996978851965E-2</v>
      </c>
      <c r="GZ28">
        <v>0.62488694418632695</v>
      </c>
      <c r="HA28">
        <v>0.2231404958677686</v>
      </c>
      <c r="HB28">
        <v>0.8347179987830845</v>
      </c>
      <c r="HC28">
        <v>8.1570996978851965E-2</v>
      </c>
      <c r="HD28">
        <v>0.71688211294336579</v>
      </c>
      <c r="HE28">
        <v>935.60334638726977</v>
      </c>
      <c r="HF28">
        <v>3478.2171267138501</v>
      </c>
      <c r="HG28">
        <v>1403.895909483831</v>
      </c>
      <c r="HH28">
        <v>3473.563613239317</v>
      </c>
      <c r="HI28">
        <v>1198.0715033697629</v>
      </c>
      <c r="HJ28">
        <v>4480.4690512725447</v>
      </c>
      <c r="HK28">
        <v>1078.9526693895129</v>
      </c>
      <c r="HL28">
        <v>3018.4333594799518</v>
      </c>
      <c r="HQ28">
        <v>333.56397417930879</v>
      </c>
      <c r="HR28">
        <v>4792.7421395355723</v>
      </c>
      <c r="IO28">
        <v>1240.3974833641321</v>
      </c>
      <c r="IP28">
        <v>4538.0031523353919</v>
      </c>
      <c r="IU28">
        <v>1662.0208720773489</v>
      </c>
      <c r="IV28">
        <v>3531.2922655746152</v>
      </c>
      <c r="JA28">
        <v>0.71322396242592545</v>
      </c>
      <c r="JB28">
        <v>616.85286317373436</v>
      </c>
      <c r="JQ28">
        <v>0.81759814980377077</v>
      </c>
      <c r="JR28">
        <v>520.34088345665066</v>
      </c>
      <c r="JS28">
        <v>0.48993468513572802</v>
      </c>
      <c r="JT28">
        <v>549.55919489674284</v>
      </c>
      <c r="KA28">
        <v>1481.0289434630431</v>
      </c>
      <c r="KB28">
        <v>0.55676919502812139</v>
      </c>
      <c r="KE28">
        <v>410.23803467196541</v>
      </c>
      <c r="KF28">
        <v>0.53036744144899028</v>
      </c>
      <c r="KK28">
        <v>941.28500656203323</v>
      </c>
      <c r="KL28">
        <v>2037.930113333558</v>
      </c>
      <c r="KO28">
        <v>554.01514512085896</v>
      </c>
      <c r="KP28">
        <v>3668.556329404948</v>
      </c>
      <c r="KQ28">
        <v>0.92500000000000004</v>
      </c>
      <c r="KR28">
        <v>390</v>
      </c>
      <c r="KY28">
        <v>0.92500000000000004</v>
      </c>
      <c r="KZ28">
        <v>390</v>
      </c>
      <c r="LI28">
        <v>0.92500000000000004</v>
      </c>
      <c r="LJ28">
        <v>405</v>
      </c>
      <c r="MK28">
        <v>1100</v>
      </c>
      <c r="ML28">
        <v>0.79</v>
      </c>
    </row>
    <row r="29" spans="1:352" x14ac:dyDescent="0.3">
      <c r="AS29">
        <v>0.81</v>
      </c>
      <c r="AT29">
        <v>836.36363636363637</v>
      </c>
      <c r="AU29">
        <v>420</v>
      </c>
      <c r="AV29">
        <v>1709.090909090909</v>
      </c>
      <c r="BA29">
        <v>529</v>
      </c>
      <c r="BB29">
        <v>400</v>
      </c>
      <c r="BW29">
        <v>0.6</v>
      </c>
      <c r="BX29">
        <v>0.6</v>
      </c>
      <c r="CC29">
        <v>0.7</v>
      </c>
      <c r="CD29">
        <v>400</v>
      </c>
      <c r="FQ29">
        <v>0.23140495867768601</v>
      </c>
      <c r="FR29">
        <v>401.58367161818393</v>
      </c>
      <c r="FS29">
        <v>8.4592145015105744E-2</v>
      </c>
      <c r="FT29">
        <v>393.66685025091618</v>
      </c>
      <c r="FU29">
        <v>0.23140495867768601</v>
      </c>
      <c r="FV29">
        <v>281.98256848487972</v>
      </c>
      <c r="FW29">
        <v>8.4592145015105744E-2</v>
      </c>
      <c r="FX29">
        <v>280.54307930462539</v>
      </c>
      <c r="FY29">
        <v>0.23140495867768601</v>
      </c>
      <c r="FZ29">
        <v>2761.6869955712159</v>
      </c>
      <c r="GA29">
        <v>8.4592145015105744E-2</v>
      </c>
      <c r="GB29">
        <v>2230.116054462213</v>
      </c>
      <c r="GC29">
        <v>0.23140495867768601</v>
      </c>
      <c r="GD29">
        <v>935.60334638726977</v>
      </c>
      <c r="GE29">
        <v>8.4592145015105744E-2</v>
      </c>
      <c r="GF29">
        <v>374.36934432207039</v>
      </c>
      <c r="GG29">
        <v>0.23140495867768601</v>
      </c>
      <c r="GH29">
        <v>0.55045529131118764</v>
      </c>
      <c r="GI29">
        <v>8.4592145015105744E-2</v>
      </c>
      <c r="GJ29">
        <v>0.54231114459156748</v>
      </c>
      <c r="GK29">
        <v>0.23140495867768601</v>
      </c>
      <c r="GL29">
        <v>0.78404499124169902</v>
      </c>
      <c r="GM29">
        <v>8.4592145015105744E-2</v>
      </c>
      <c r="GN29">
        <v>0.76529434725906165</v>
      </c>
      <c r="GO29">
        <v>0.23140495867768601</v>
      </c>
      <c r="GP29">
        <v>0.7178384774827048</v>
      </c>
      <c r="GQ29">
        <v>8.4592145015105744E-2</v>
      </c>
      <c r="GR29">
        <v>0.67146075773552172</v>
      </c>
      <c r="GS29">
        <v>0.23140495867768601</v>
      </c>
      <c r="GT29">
        <v>0.67124721876279803</v>
      </c>
      <c r="GU29">
        <v>8.4592145015105744E-2</v>
      </c>
      <c r="GV29">
        <v>0.6313090123679227</v>
      </c>
      <c r="GW29">
        <v>0.23140495867768601</v>
      </c>
      <c r="GX29">
        <v>0.69148125692507578</v>
      </c>
      <c r="GY29">
        <v>8.4592145015105744E-2</v>
      </c>
      <c r="GZ29">
        <v>0.626629626351764</v>
      </c>
      <c r="HA29">
        <v>0.23140495867768601</v>
      </c>
      <c r="HB29">
        <v>0.83574727484445699</v>
      </c>
      <c r="HC29">
        <v>8.4592145015105744E-2</v>
      </c>
      <c r="HD29">
        <v>0.71810209823438542</v>
      </c>
      <c r="HE29">
        <v>1139.94078496408</v>
      </c>
      <c r="HF29">
        <v>4910.206466736995</v>
      </c>
      <c r="HG29">
        <v>1090.2461419681731</v>
      </c>
      <c r="HH29">
        <v>2815.7803137651981</v>
      </c>
      <c r="HI29">
        <v>321.55920181741237</v>
      </c>
      <c r="HJ29">
        <v>2342.0387895466588</v>
      </c>
      <c r="HK29">
        <v>817.33800223752814</v>
      </c>
      <c r="HL29">
        <v>3281.0679180314919</v>
      </c>
      <c r="HQ29">
        <v>641.81456661137645</v>
      </c>
      <c r="HR29">
        <v>4467.2329289926574</v>
      </c>
      <c r="IO29">
        <v>1979.5829147989909</v>
      </c>
      <c r="IP29">
        <v>4986.5809584552844</v>
      </c>
      <c r="IU29">
        <v>1414.3485262397601</v>
      </c>
      <c r="IV29">
        <v>4813.7012463992087</v>
      </c>
      <c r="JA29">
        <v>0.81813182560715214</v>
      </c>
      <c r="JB29">
        <v>588.24921431409507</v>
      </c>
      <c r="JQ29">
        <v>0.81268075765061565</v>
      </c>
      <c r="JR29">
        <v>581.89650593158467</v>
      </c>
      <c r="JS29">
        <v>0.43779243193753209</v>
      </c>
      <c r="JT29">
        <v>594.88441375083153</v>
      </c>
      <c r="KA29">
        <v>836.37435230652693</v>
      </c>
      <c r="KB29">
        <v>0.6550402161790907</v>
      </c>
      <c r="KE29">
        <v>868.60651219772456</v>
      </c>
      <c r="KF29">
        <v>0.5691225270379997</v>
      </c>
      <c r="KK29">
        <v>442.26242031171938</v>
      </c>
      <c r="KL29">
        <v>3954.2350852255781</v>
      </c>
      <c r="KO29">
        <v>614.20077660810512</v>
      </c>
      <c r="KP29">
        <v>2775.6101154672779</v>
      </c>
      <c r="KQ29">
        <v>0.92500000000000004</v>
      </c>
      <c r="KR29">
        <v>392.5</v>
      </c>
      <c r="KY29">
        <v>0.92500000000000004</v>
      </c>
      <c r="KZ29">
        <v>397.5</v>
      </c>
      <c r="LI29">
        <v>0.92500000000000004</v>
      </c>
      <c r="LJ29">
        <v>407.5</v>
      </c>
      <c r="MK29">
        <v>1200</v>
      </c>
      <c r="ML29">
        <v>0.79</v>
      </c>
    </row>
    <row r="30" spans="1:352" x14ac:dyDescent="0.3">
      <c r="AS30">
        <v>0.81</v>
      </c>
      <c r="AT30">
        <v>981.81818181818198</v>
      </c>
      <c r="AU30">
        <v>420</v>
      </c>
      <c r="AV30">
        <v>1854.545454545455</v>
      </c>
      <c r="BA30">
        <v>497</v>
      </c>
      <c r="BB30">
        <v>2000</v>
      </c>
      <c r="BW30">
        <v>0.6</v>
      </c>
      <c r="BX30">
        <v>0.65</v>
      </c>
      <c r="CC30">
        <v>0.7</v>
      </c>
      <c r="CD30">
        <v>545.4545454545455</v>
      </c>
      <c r="FQ30">
        <v>0.23966942148760331</v>
      </c>
      <c r="FR30">
        <v>402.9784816442986</v>
      </c>
      <c r="FS30">
        <v>8.7613293051359523E-2</v>
      </c>
      <c r="FT30">
        <v>394.35226919510268</v>
      </c>
      <c r="FU30">
        <v>0.23966942148760331</v>
      </c>
      <c r="FV30">
        <v>282.03333869245131</v>
      </c>
      <c r="FW30">
        <v>8.7613293051359523E-2</v>
      </c>
      <c r="FX30">
        <v>280.60841431201072</v>
      </c>
      <c r="FY30">
        <v>0.23966942148760331</v>
      </c>
      <c r="FZ30">
        <v>2815.7803137651981</v>
      </c>
      <c r="GA30">
        <v>8.7613293051359523E-2</v>
      </c>
      <c r="GB30">
        <v>2240.751279883435</v>
      </c>
      <c r="GC30">
        <v>0.23966942148760331</v>
      </c>
      <c r="GD30">
        <v>936.88135157308</v>
      </c>
      <c r="GE30">
        <v>8.7613293051359523E-2</v>
      </c>
      <c r="GF30">
        <v>375.77747588491928</v>
      </c>
      <c r="GG30">
        <v>0.23966942148760331</v>
      </c>
      <c r="GH30">
        <v>0.55068863189075734</v>
      </c>
      <c r="GI30">
        <v>8.7613293051359523E-2</v>
      </c>
      <c r="GJ30">
        <v>0.54326091556160627</v>
      </c>
      <c r="GK30">
        <v>0.23966942148760331</v>
      </c>
      <c r="GL30">
        <v>0.78616028701265195</v>
      </c>
      <c r="GM30">
        <v>8.7613293051359523E-2</v>
      </c>
      <c r="GN30">
        <v>0.76575873172457387</v>
      </c>
      <c r="GO30">
        <v>0.23966942148760331</v>
      </c>
      <c r="GP30">
        <v>0.71802928257959964</v>
      </c>
      <c r="GQ30">
        <v>8.7613293051359523E-2</v>
      </c>
      <c r="GR30">
        <v>0.67230885601215118</v>
      </c>
      <c r="GS30">
        <v>0.23966942148760331</v>
      </c>
      <c r="GT30">
        <v>0.67206266860463193</v>
      </c>
      <c r="GU30">
        <v>8.7613293051359523E-2</v>
      </c>
      <c r="GV30">
        <v>0.63291231221119759</v>
      </c>
      <c r="GW30">
        <v>0.23966942148760331</v>
      </c>
      <c r="GX30">
        <v>0.69171774390836083</v>
      </c>
      <c r="GY30">
        <v>8.7613293051359523E-2</v>
      </c>
      <c r="GZ30">
        <v>0.62675374413014084</v>
      </c>
      <c r="HA30">
        <v>0.23966942148760331</v>
      </c>
      <c r="HB30">
        <v>0.83664435526499803</v>
      </c>
      <c r="HC30">
        <v>8.7613293051359523E-2</v>
      </c>
      <c r="HD30">
        <v>0.71883567381577818</v>
      </c>
      <c r="HE30">
        <v>1303.645408011819</v>
      </c>
      <c r="HF30">
        <v>3648.122848450414</v>
      </c>
      <c r="HG30">
        <v>1004.773189877077</v>
      </c>
      <c r="HH30">
        <v>2521.2615369554428</v>
      </c>
      <c r="HI30">
        <v>750.24935332394148</v>
      </c>
      <c r="HJ30">
        <v>3103.3300846689931</v>
      </c>
      <c r="HK30">
        <v>455.27469191456868</v>
      </c>
      <c r="HL30">
        <v>4005.086734735974</v>
      </c>
      <c r="HQ30">
        <v>947.20567007283955</v>
      </c>
      <c r="HR30">
        <v>4732.2769043324506</v>
      </c>
      <c r="IO30">
        <v>1471.5215527779931</v>
      </c>
      <c r="IP30">
        <v>3573.8737340319458</v>
      </c>
      <c r="IU30">
        <v>1223.093120281681</v>
      </c>
      <c r="IV30">
        <v>3086.1250396980731</v>
      </c>
      <c r="JA30">
        <v>0.77863360210470001</v>
      </c>
      <c r="JB30">
        <v>536.71622129793479</v>
      </c>
      <c r="JQ30">
        <v>0.66099168235668082</v>
      </c>
      <c r="JR30">
        <v>450.17171109409128</v>
      </c>
      <c r="JS30">
        <v>0.4231226004293428</v>
      </c>
      <c r="JT30">
        <v>617.23369632799665</v>
      </c>
      <c r="KA30">
        <v>1774.563414524257</v>
      </c>
      <c r="KB30">
        <v>0.68318518351643687</v>
      </c>
      <c r="KE30">
        <v>215.74974485984791</v>
      </c>
      <c r="KF30">
        <v>0.63144614691366807</v>
      </c>
      <c r="KK30">
        <v>1675.8109269944739</v>
      </c>
      <c r="KL30">
        <v>4711.298436297966</v>
      </c>
      <c r="KO30">
        <v>531.23351156505225</v>
      </c>
      <c r="KP30">
        <v>2363.516210743458</v>
      </c>
      <c r="KQ30">
        <v>0.92500000000000004</v>
      </c>
      <c r="KR30">
        <v>395</v>
      </c>
      <c r="KY30">
        <v>0.92500000000000004</v>
      </c>
      <c r="KZ30">
        <v>395</v>
      </c>
      <c r="LI30">
        <v>0.92500000000000004</v>
      </c>
      <c r="LJ30">
        <v>410</v>
      </c>
      <c r="MK30">
        <v>800</v>
      </c>
      <c r="ML30">
        <v>0.82</v>
      </c>
    </row>
    <row r="31" spans="1:352" x14ac:dyDescent="0.3">
      <c r="AS31">
        <v>0.81</v>
      </c>
      <c r="AT31">
        <v>1127.2727272727279</v>
      </c>
      <c r="AU31">
        <v>420</v>
      </c>
      <c r="AV31">
        <v>2000</v>
      </c>
      <c r="BA31">
        <v>529</v>
      </c>
      <c r="BB31">
        <v>545.4545454545455</v>
      </c>
      <c r="BW31">
        <v>0.6</v>
      </c>
      <c r="BX31">
        <v>0.7</v>
      </c>
      <c r="CC31">
        <v>0.7</v>
      </c>
      <c r="CD31">
        <v>690.90909090909099</v>
      </c>
      <c r="FQ31">
        <v>0.2479338842975207</v>
      </c>
      <c r="FR31">
        <v>403.99018799313637</v>
      </c>
      <c r="FS31">
        <v>9.0634441087613288E-2</v>
      </c>
      <c r="FT31">
        <v>395.16209304409148</v>
      </c>
      <c r="FU31">
        <v>0.2479338842975207</v>
      </c>
      <c r="FV31">
        <v>282.1040831161979</v>
      </c>
      <c r="FW31">
        <v>9.0634441087613288E-2</v>
      </c>
      <c r="FX31">
        <v>280.77172285222088</v>
      </c>
      <c r="FY31">
        <v>0.2479338842975207</v>
      </c>
      <c r="FZ31">
        <v>2844.5887866886478</v>
      </c>
      <c r="GA31">
        <v>9.0634441087613288E-2</v>
      </c>
      <c r="GB31">
        <v>2248.475597248098</v>
      </c>
      <c r="GC31">
        <v>0.2479338842975207</v>
      </c>
      <c r="GD31">
        <v>946.08833318626057</v>
      </c>
      <c r="GE31">
        <v>9.0634441087613288E-2</v>
      </c>
      <c r="GF31">
        <v>376.82839650482282</v>
      </c>
      <c r="GG31">
        <v>0.2479338842975207</v>
      </c>
      <c r="GH31">
        <v>0.5540502045846063</v>
      </c>
      <c r="GI31">
        <v>9.0634441087613288E-2</v>
      </c>
      <c r="GJ31">
        <v>0.54502705307287402</v>
      </c>
      <c r="GK31">
        <v>0.2479338842975207</v>
      </c>
      <c r="GL31">
        <v>0.78629643734139743</v>
      </c>
      <c r="GM31">
        <v>9.0634441087613288E-2</v>
      </c>
      <c r="GN31">
        <v>0.76664150489205229</v>
      </c>
      <c r="GO31">
        <v>0.2479338842975207</v>
      </c>
      <c r="GP31">
        <v>0.71926669094903783</v>
      </c>
      <c r="GQ31">
        <v>9.0634441087613288E-2</v>
      </c>
      <c r="GR31">
        <v>0.67259517777577316</v>
      </c>
      <c r="GS31">
        <v>0.2479338842975207</v>
      </c>
      <c r="GT31">
        <v>0.67586134370453699</v>
      </c>
      <c r="GU31">
        <v>9.0634441087613288E-2</v>
      </c>
      <c r="GV31">
        <v>0.63486893522383703</v>
      </c>
      <c r="GW31">
        <v>0.2479338842975207</v>
      </c>
      <c r="GX31">
        <v>0.69225478441463706</v>
      </c>
      <c r="GY31">
        <v>9.0634441087613288E-2</v>
      </c>
      <c r="GZ31">
        <v>0.62797441859609837</v>
      </c>
      <c r="HA31">
        <v>0.2479338842975207</v>
      </c>
      <c r="HB31">
        <v>0.83678585437820407</v>
      </c>
      <c r="HC31">
        <v>9.0634441087613288E-2</v>
      </c>
      <c r="HD31">
        <v>0.71922198368612744</v>
      </c>
      <c r="HE31">
        <v>1277.817032372805</v>
      </c>
      <c r="HF31">
        <v>4264.2593142801079</v>
      </c>
      <c r="HG31">
        <v>1426.6337525685531</v>
      </c>
      <c r="HH31">
        <v>3808.8273171485462</v>
      </c>
      <c r="HI31">
        <v>1472.987916922285</v>
      </c>
      <c r="HJ31">
        <v>2946.5193009348682</v>
      </c>
      <c r="HK31">
        <v>905.05150523572115</v>
      </c>
      <c r="HL31">
        <v>3228.7283343541671</v>
      </c>
      <c r="HQ31">
        <v>1208.291031742486</v>
      </c>
      <c r="HR31">
        <v>2944.9293216149358</v>
      </c>
      <c r="IO31">
        <v>1543.290566990481</v>
      </c>
      <c r="IP31">
        <v>4484.3217009826258</v>
      </c>
      <c r="IU31">
        <v>376.99807064192601</v>
      </c>
      <c r="IV31">
        <v>2484.3314837722401</v>
      </c>
      <c r="JA31">
        <v>0.7089066144148638</v>
      </c>
      <c r="JB31">
        <v>559.72628479505659</v>
      </c>
      <c r="JQ31">
        <v>0.73435955516526596</v>
      </c>
      <c r="JR31">
        <v>544.31570802291026</v>
      </c>
      <c r="JS31">
        <v>0.40423657507285521</v>
      </c>
      <c r="JT31">
        <v>499.19737627595367</v>
      </c>
      <c r="KA31">
        <v>1569.8582438253329</v>
      </c>
      <c r="KB31">
        <v>0.80988260145519386</v>
      </c>
      <c r="KE31">
        <v>597.14312857495156</v>
      </c>
      <c r="KF31">
        <v>0.73592689572323877</v>
      </c>
      <c r="KK31">
        <v>767.52827241250418</v>
      </c>
      <c r="KL31">
        <v>3225.4038557023191</v>
      </c>
      <c r="KO31">
        <v>772.3960756385934</v>
      </c>
      <c r="KP31">
        <v>4305.5790010917153</v>
      </c>
      <c r="KQ31">
        <v>0.92500000000000004</v>
      </c>
      <c r="KR31">
        <v>397.5</v>
      </c>
      <c r="KY31">
        <v>0.92500000000000004</v>
      </c>
      <c r="KZ31">
        <v>392.5</v>
      </c>
      <c r="MK31">
        <v>900</v>
      </c>
      <c r="ML31">
        <v>0.82</v>
      </c>
    </row>
    <row r="32" spans="1:352" x14ac:dyDescent="0.3">
      <c r="AS32">
        <v>0.81</v>
      </c>
      <c r="AT32">
        <v>1272.727272727273</v>
      </c>
      <c r="AU32">
        <v>403</v>
      </c>
      <c r="AV32">
        <v>618.18181818181824</v>
      </c>
      <c r="BA32">
        <v>529</v>
      </c>
      <c r="BB32">
        <v>690.90909090909099</v>
      </c>
      <c r="BW32">
        <v>0.6</v>
      </c>
      <c r="BX32">
        <v>0.75</v>
      </c>
      <c r="CC32">
        <v>0.7</v>
      </c>
      <c r="CD32">
        <v>836.36363636363637</v>
      </c>
      <c r="FQ32">
        <v>0.256198347107438</v>
      </c>
      <c r="FR32">
        <v>404.3346696294941</v>
      </c>
      <c r="FS32">
        <v>9.3655589123867067E-2</v>
      </c>
      <c r="FT32">
        <v>395.18651220859721</v>
      </c>
      <c r="FU32">
        <v>0.256198347107438</v>
      </c>
      <c r="FV32">
        <v>282.20515385863843</v>
      </c>
      <c r="FW32">
        <v>9.3655589123867067E-2</v>
      </c>
      <c r="FX32">
        <v>280.8967472316744</v>
      </c>
      <c r="FY32">
        <v>0.256198347107438</v>
      </c>
      <c r="FZ32">
        <v>2867.3077316380732</v>
      </c>
      <c r="GA32">
        <v>9.3655589123867067E-2</v>
      </c>
      <c r="GB32">
        <v>2251.395536928917</v>
      </c>
      <c r="GC32">
        <v>0.256198347107438</v>
      </c>
      <c r="GD32">
        <v>952.44158003742996</v>
      </c>
      <c r="GE32">
        <v>9.3655589123867067E-2</v>
      </c>
      <c r="GF32">
        <v>379.12659497671069</v>
      </c>
      <c r="GG32">
        <v>0.256198347107438</v>
      </c>
      <c r="GH32">
        <v>0.55644162847095036</v>
      </c>
      <c r="GI32">
        <v>9.3655589123867067E-2</v>
      </c>
      <c r="GJ32">
        <v>0.54622266994522184</v>
      </c>
      <c r="GK32">
        <v>0.256198347107438</v>
      </c>
      <c r="GL32">
        <v>0.7882533720560152</v>
      </c>
      <c r="GM32">
        <v>9.3655589123867067E-2</v>
      </c>
      <c r="GN32">
        <v>0.76692115198197675</v>
      </c>
      <c r="GO32">
        <v>0.256198347107438</v>
      </c>
      <c r="GP32">
        <v>0.72145942930883356</v>
      </c>
      <c r="GQ32">
        <v>9.3655589123867067E-2</v>
      </c>
      <c r="GR32">
        <v>0.673309008657485</v>
      </c>
      <c r="GS32">
        <v>0.256198347107438</v>
      </c>
      <c r="GT32">
        <v>0.67591268967088947</v>
      </c>
      <c r="GU32">
        <v>9.3655589123867067E-2</v>
      </c>
      <c r="GV32">
        <v>0.6349773734073737</v>
      </c>
      <c r="GW32">
        <v>0.256198347107438</v>
      </c>
      <c r="GX32">
        <v>0.6929020388441528</v>
      </c>
      <c r="GY32">
        <v>9.3655589123867067E-2</v>
      </c>
      <c r="GZ32">
        <v>0.62857924773090812</v>
      </c>
      <c r="HA32">
        <v>0.256198347107438</v>
      </c>
      <c r="HB32">
        <v>0.83787178276931595</v>
      </c>
      <c r="HC32">
        <v>9.3655589123867067E-2</v>
      </c>
      <c r="HD32">
        <v>0.71948875580768401</v>
      </c>
      <c r="HE32">
        <v>1241.446773162118</v>
      </c>
      <c r="HF32">
        <v>2604.9446364231212</v>
      </c>
      <c r="HG32">
        <v>1049.983715480241</v>
      </c>
      <c r="HH32">
        <v>2435.1929066201642</v>
      </c>
      <c r="HI32">
        <v>909.42099471551683</v>
      </c>
      <c r="HJ32">
        <v>2813.6236840741781</v>
      </c>
      <c r="HK32">
        <v>642.78356589947543</v>
      </c>
      <c r="HL32">
        <v>4928.0234379088861</v>
      </c>
      <c r="HQ32">
        <v>925.98910726832196</v>
      </c>
      <c r="HR32">
        <v>4475.5589101845726</v>
      </c>
      <c r="IO32">
        <v>1517.0347020429469</v>
      </c>
      <c r="IP32">
        <v>3625.8740492182528</v>
      </c>
      <c r="IU32">
        <v>1386.2169145668099</v>
      </c>
      <c r="IV32">
        <v>2559.6658226555769</v>
      </c>
      <c r="JA32">
        <v>0.482092233996396</v>
      </c>
      <c r="JB32">
        <v>490.29665978829178</v>
      </c>
      <c r="JQ32">
        <v>0.62587483312296832</v>
      </c>
      <c r="JR32">
        <v>577.43546769458089</v>
      </c>
      <c r="KA32">
        <v>1046.3657156796489</v>
      </c>
      <c r="KB32">
        <v>0.67891782702462433</v>
      </c>
      <c r="KE32">
        <v>211.4165689488047</v>
      </c>
      <c r="KF32">
        <v>0.50731792318938351</v>
      </c>
      <c r="KK32">
        <v>1411.7108027182651</v>
      </c>
      <c r="KL32">
        <v>2741.5050400331352</v>
      </c>
      <c r="KO32">
        <v>820.7067047694444</v>
      </c>
      <c r="KP32">
        <v>4513.291469633039</v>
      </c>
      <c r="KQ32">
        <v>0.92500000000000004</v>
      </c>
      <c r="KR32">
        <v>400</v>
      </c>
      <c r="KY32">
        <v>0.92500000000000004</v>
      </c>
      <c r="KZ32">
        <v>400</v>
      </c>
      <c r="MK32">
        <v>700</v>
      </c>
      <c r="ML32">
        <v>0.82</v>
      </c>
    </row>
    <row r="33" spans="45:350" x14ac:dyDescent="0.3">
      <c r="AS33">
        <v>0.81</v>
      </c>
      <c r="AT33">
        <v>1418.181818181818</v>
      </c>
      <c r="AU33">
        <v>403</v>
      </c>
      <c r="AV33">
        <v>618.18181818181824</v>
      </c>
      <c r="BA33">
        <v>529</v>
      </c>
      <c r="BB33">
        <v>836.36363636363637</v>
      </c>
      <c r="BW33">
        <v>0.6</v>
      </c>
      <c r="BX33">
        <v>0.8</v>
      </c>
      <c r="CC33">
        <v>0.7</v>
      </c>
      <c r="CD33">
        <v>981.81818181818198</v>
      </c>
      <c r="FQ33">
        <v>0.26446280991735538</v>
      </c>
      <c r="FR33">
        <v>404.5641237085016</v>
      </c>
      <c r="FS33">
        <v>9.6676737160120846E-2</v>
      </c>
      <c r="FT33">
        <v>395.35824686672782</v>
      </c>
      <c r="FU33">
        <v>0.26446280991735538</v>
      </c>
      <c r="FV33">
        <v>282.2346017012357</v>
      </c>
      <c r="FW33">
        <v>9.6676737160120846E-2</v>
      </c>
      <c r="FX33">
        <v>281.05631631514223</v>
      </c>
      <c r="FY33">
        <v>0.26446280991735538</v>
      </c>
      <c r="FZ33">
        <v>2921.798925985498</v>
      </c>
      <c r="GA33">
        <v>9.6676737160120846E-2</v>
      </c>
      <c r="GB33">
        <v>2258.175386945265</v>
      </c>
      <c r="GC33">
        <v>0.26446280991735538</v>
      </c>
      <c r="GD33">
        <v>976.81384720259041</v>
      </c>
      <c r="GE33">
        <v>9.6676737160120846E-2</v>
      </c>
      <c r="GF33">
        <v>386.38139212852678</v>
      </c>
      <c r="GG33">
        <v>0.26446280991735538</v>
      </c>
      <c r="GH33">
        <v>0.55726919839467659</v>
      </c>
      <c r="GI33">
        <v>9.6676737160120846E-2</v>
      </c>
      <c r="GJ33">
        <v>0.54991238191022207</v>
      </c>
      <c r="GK33">
        <v>0.26446280991735538</v>
      </c>
      <c r="GL33">
        <v>0.78999176124603221</v>
      </c>
      <c r="GM33">
        <v>9.6676737160120846E-2</v>
      </c>
      <c r="GN33">
        <v>0.76747836039416917</v>
      </c>
      <c r="GO33">
        <v>0.26446280991735538</v>
      </c>
      <c r="GP33">
        <v>0.72318822652185255</v>
      </c>
      <c r="GQ33">
        <v>9.6676737160120846E-2</v>
      </c>
      <c r="GR33">
        <v>0.67368005556442867</v>
      </c>
      <c r="GS33">
        <v>0.26446280991735538</v>
      </c>
      <c r="GT33">
        <v>0.67773110852065166</v>
      </c>
      <c r="GU33">
        <v>9.6676737160120846E-2</v>
      </c>
      <c r="GV33">
        <v>0.63544077495514451</v>
      </c>
      <c r="GW33">
        <v>0.26446280991735538</v>
      </c>
      <c r="GX33">
        <v>0.69502332152039714</v>
      </c>
      <c r="GY33">
        <v>9.6676737160120846E-2</v>
      </c>
      <c r="GZ33">
        <v>0.63029689789416354</v>
      </c>
      <c r="HA33">
        <v>0.26446280991735538</v>
      </c>
      <c r="HB33">
        <v>0.83962097686314419</v>
      </c>
      <c r="HC33">
        <v>9.6676737160120846E-2</v>
      </c>
      <c r="HD33">
        <v>0.72031272434200988</v>
      </c>
      <c r="HE33">
        <v>1322.5478820211731</v>
      </c>
      <c r="HF33">
        <v>2139.236516373478</v>
      </c>
      <c r="HG33">
        <v>688.24423852165376</v>
      </c>
      <c r="HH33">
        <v>3571.4072979150992</v>
      </c>
      <c r="HI33">
        <v>1413.2793064047571</v>
      </c>
      <c r="HJ33">
        <v>3742.291748310171</v>
      </c>
      <c r="HK33">
        <v>356.23691745028071</v>
      </c>
      <c r="HL33">
        <v>3316.5739454530558</v>
      </c>
      <c r="HQ33">
        <v>527.03133707969459</v>
      </c>
      <c r="HR33">
        <v>4120.8665446055484</v>
      </c>
      <c r="IO33">
        <v>524.98762556535814</v>
      </c>
      <c r="IP33">
        <v>2944.813164884155</v>
      </c>
      <c r="IU33">
        <v>621.49546668698667</v>
      </c>
      <c r="IV33">
        <v>4729.6521810664108</v>
      </c>
      <c r="JA33">
        <v>0.8815891332302126</v>
      </c>
      <c r="JB33">
        <v>458.05889656030593</v>
      </c>
      <c r="JQ33">
        <v>0.81130521261627941</v>
      </c>
      <c r="JR33">
        <v>530.09768766858747</v>
      </c>
      <c r="KE33">
        <v>1322.9138852525091</v>
      </c>
      <c r="KF33">
        <v>0.64217870307716085</v>
      </c>
      <c r="KK33">
        <v>223.2731954599453</v>
      </c>
      <c r="KL33">
        <v>2251.2930581187488</v>
      </c>
      <c r="KO33">
        <v>1308.688046656212</v>
      </c>
      <c r="KP33">
        <v>4096.793341717359</v>
      </c>
      <c r="KQ33">
        <v>0.92500000000000004</v>
      </c>
      <c r="KR33">
        <v>402.5</v>
      </c>
      <c r="KY33">
        <v>0.92500000000000004</v>
      </c>
      <c r="KZ33">
        <v>405</v>
      </c>
      <c r="MK33">
        <v>1000</v>
      </c>
      <c r="ML33">
        <v>0.82</v>
      </c>
    </row>
    <row r="34" spans="45:350" x14ac:dyDescent="0.3">
      <c r="AS34">
        <v>0.81</v>
      </c>
      <c r="AT34">
        <v>1563.636363636364</v>
      </c>
      <c r="AU34">
        <v>390</v>
      </c>
      <c r="AV34">
        <v>472.7272727272728</v>
      </c>
      <c r="BA34">
        <v>529</v>
      </c>
      <c r="BB34">
        <v>981.81818181818198</v>
      </c>
      <c r="BW34">
        <v>0.6</v>
      </c>
      <c r="BX34">
        <v>0.95</v>
      </c>
      <c r="CC34">
        <v>0.7</v>
      </c>
      <c r="CD34">
        <v>1127.2727272727279</v>
      </c>
      <c r="FQ34">
        <v>0.27272727272727271</v>
      </c>
      <c r="FR34">
        <v>405.05721141219601</v>
      </c>
      <c r="FS34">
        <v>9.9697885196374625E-2</v>
      </c>
      <c r="FT34">
        <v>395.97732736083532</v>
      </c>
      <c r="FU34">
        <v>0.27272727272727271</v>
      </c>
      <c r="FV34">
        <v>282.47753134729493</v>
      </c>
      <c r="FW34">
        <v>9.9697885196374625E-2</v>
      </c>
      <c r="FX34">
        <v>281.1796040552066</v>
      </c>
      <c r="FY34">
        <v>0.27272727272727271</v>
      </c>
      <c r="FZ34">
        <v>2949.653534082217</v>
      </c>
      <c r="GA34">
        <v>9.9697885196374625E-2</v>
      </c>
      <c r="GB34">
        <v>2271.3261105207771</v>
      </c>
      <c r="GC34">
        <v>0.27272727272727271</v>
      </c>
      <c r="GD34">
        <v>983.01720182054078</v>
      </c>
      <c r="GE34">
        <v>9.9697885196374625E-2</v>
      </c>
      <c r="GF34">
        <v>388.3976991566941</v>
      </c>
      <c r="GG34">
        <v>0.27272727272727271</v>
      </c>
      <c r="GH34">
        <v>0.56049018126497419</v>
      </c>
      <c r="GI34">
        <v>9.9697885196374625E-2</v>
      </c>
      <c r="GJ34">
        <v>0.55168317340371398</v>
      </c>
      <c r="GK34">
        <v>0.27272727272727271</v>
      </c>
      <c r="GL34">
        <v>0.79119303807527341</v>
      </c>
      <c r="GM34">
        <v>9.9697885196374625E-2</v>
      </c>
      <c r="GN34">
        <v>0.7677851796066395</v>
      </c>
      <c r="GO34">
        <v>0.27272727272727271</v>
      </c>
      <c r="GP34">
        <v>0.72788005139887546</v>
      </c>
      <c r="GQ34">
        <v>9.9697885196374625E-2</v>
      </c>
      <c r="GR34">
        <v>0.67417403539461629</v>
      </c>
      <c r="GS34">
        <v>0.27272727272727271</v>
      </c>
      <c r="GT34">
        <v>0.6807163880278051</v>
      </c>
      <c r="GU34">
        <v>9.9697885196374625E-2</v>
      </c>
      <c r="GV34">
        <v>0.63617140076642265</v>
      </c>
      <c r="GW34">
        <v>0.27272727272727271</v>
      </c>
      <c r="GX34">
        <v>0.69975014501957367</v>
      </c>
      <c r="GY34">
        <v>9.9697885196374625E-2</v>
      </c>
      <c r="GZ34">
        <v>0.63039904525021317</v>
      </c>
      <c r="HA34">
        <v>0.27272727272727271</v>
      </c>
      <c r="HB34">
        <v>0.84021854387045869</v>
      </c>
      <c r="HC34">
        <v>9.9697885196374625E-2</v>
      </c>
      <c r="HD34">
        <v>0.72040634862772479</v>
      </c>
      <c r="HE34">
        <v>1016.729934867299</v>
      </c>
      <c r="HF34">
        <v>4734.3608776930996</v>
      </c>
      <c r="HG34">
        <v>1280.658961349689</v>
      </c>
      <c r="HH34">
        <v>2046.947027378186</v>
      </c>
      <c r="HI34">
        <v>942.98083881707078</v>
      </c>
      <c r="HJ34">
        <v>4049.1428201733061</v>
      </c>
      <c r="HK34">
        <v>879.44979149559902</v>
      </c>
      <c r="HL34">
        <v>3143.4102948421728</v>
      </c>
      <c r="HQ34">
        <v>1032.970525554797</v>
      </c>
      <c r="HR34">
        <v>4920.8803809184628</v>
      </c>
      <c r="IO34">
        <v>1761.009657813463</v>
      </c>
      <c r="IP34">
        <v>3376.2539666928842</v>
      </c>
      <c r="IU34">
        <v>1430.7702948312169</v>
      </c>
      <c r="IV34">
        <v>3333.0941200475008</v>
      </c>
      <c r="JA34">
        <v>0.62474334655536179</v>
      </c>
      <c r="JB34">
        <v>572.10966690996554</v>
      </c>
      <c r="JQ34">
        <v>0.42767838522408802</v>
      </c>
      <c r="JR34">
        <v>479.63862677562588</v>
      </c>
      <c r="KE34">
        <v>1061.882493709157</v>
      </c>
      <c r="KF34">
        <v>0.77081819643033511</v>
      </c>
      <c r="KK34">
        <v>906.73836867701596</v>
      </c>
      <c r="KL34">
        <v>2101.2531700651889</v>
      </c>
      <c r="KO34">
        <v>1052.8638467769031</v>
      </c>
      <c r="KP34">
        <v>3503.4075898564338</v>
      </c>
      <c r="KQ34">
        <v>0.92500000000000004</v>
      </c>
      <c r="KR34">
        <v>405</v>
      </c>
      <c r="KY34">
        <v>0.92500000000000004</v>
      </c>
      <c r="KZ34">
        <v>402.5</v>
      </c>
      <c r="MK34">
        <v>1100</v>
      </c>
      <c r="ML34">
        <v>0.82</v>
      </c>
    </row>
    <row r="35" spans="45:350" x14ac:dyDescent="0.3">
      <c r="AS35">
        <v>0.81</v>
      </c>
      <c r="AT35">
        <v>1709.090909090909</v>
      </c>
      <c r="AU35">
        <v>390</v>
      </c>
      <c r="AV35">
        <v>472.7272727272728</v>
      </c>
      <c r="BA35">
        <v>529</v>
      </c>
      <c r="BB35">
        <v>1127.2727272727279</v>
      </c>
      <c r="BW35">
        <v>0.6</v>
      </c>
      <c r="BX35">
        <v>0.89999999999999991</v>
      </c>
      <c r="CC35">
        <v>0.7</v>
      </c>
      <c r="CD35">
        <v>1272.727272727273</v>
      </c>
      <c r="FQ35">
        <v>0.28099173553719009</v>
      </c>
      <c r="FR35">
        <v>405.39762833686211</v>
      </c>
      <c r="FS35">
        <v>0.1027190332326284</v>
      </c>
      <c r="FT35">
        <v>396.95133547840339</v>
      </c>
      <c r="FU35">
        <v>0.28099173553719009</v>
      </c>
      <c r="FV35">
        <v>282.95018824402609</v>
      </c>
      <c r="FW35">
        <v>0.1027190332326284</v>
      </c>
      <c r="FX35">
        <v>281.1800409197113</v>
      </c>
      <c r="FY35">
        <v>0.28099173553719009</v>
      </c>
      <c r="FZ35">
        <v>2967.685564843559</v>
      </c>
      <c r="GA35">
        <v>0.1027190332326284</v>
      </c>
      <c r="GB35">
        <v>2276.6919271033862</v>
      </c>
      <c r="GC35">
        <v>0.28099173553719009</v>
      </c>
      <c r="GD35">
        <v>983.21752216010361</v>
      </c>
      <c r="GE35">
        <v>0.1027190332326284</v>
      </c>
      <c r="GF35">
        <v>392.40097664156929</v>
      </c>
      <c r="GG35">
        <v>0.28099173553719009</v>
      </c>
      <c r="GH35">
        <v>0.56156434511400111</v>
      </c>
      <c r="GI35">
        <v>0.1027190332326284</v>
      </c>
      <c r="GJ35">
        <v>0.55259031681912862</v>
      </c>
      <c r="GK35">
        <v>0.28099173553719009</v>
      </c>
      <c r="GL35">
        <v>0.79209457660947769</v>
      </c>
      <c r="GM35">
        <v>0.1027190332326284</v>
      </c>
      <c r="GN35">
        <v>0.76795416343778777</v>
      </c>
      <c r="GO35">
        <v>0.28099173553719009</v>
      </c>
      <c r="GP35">
        <v>0.7303113672003082</v>
      </c>
      <c r="GQ35">
        <v>0.1027190332326284</v>
      </c>
      <c r="GR35">
        <v>0.67445344807527219</v>
      </c>
      <c r="GS35">
        <v>0.28099173553719009</v>
      </c>
      <c r="GT35">
        <v>0.69022438650859308</v>
      </c>
      <c r="GU35">
        <v>0.1027190332326284</v>
      </c>
      <c r="GV35">
        <v>0.6364974366703936</v>
      </c>
      <c r="GW35">
        <v>0.28099173553719009</v>
      </c>
      <c r="GX35">
        <v>0.70115878794823505</v>
      </c>
      <c r="GY35">
        <v>0.1027190332326284</v>
      </c>
      <c r="GZ35">
        <v>0.63086651495541946</v>
      </c>
      <c r="HA35">
        <v>0.28099173553719009</v>
      </c>
      <c r="HB35">
        <v>0.84154607545571836</v>
      </c>
      <c r="HC35">
        <v>0.1027190332326284</v>
      </c>
      <c r="HD35">
        <v>0.7208655934775472</v>
      </c>
      <c r="HE35">
        <v>1224.9496971742749</v>
      </c>
      <c r="HF35">
        <v>3353.2346775751012</v>
      </c>
      <c r="HG35">
        <v>1150.635832573309</v>
      </c>
      <c r="HH35">
        <v>3834.1736730354978</v>
      </c>
      <c r="HI35">
        <v>581.28401561413625</v>
      </c>
      <c r="HJ35">
        <v>2531.4728399985038</v>
      </c>
      <c r="HK35">
        <v>351.51524519365688</v>
      </c>
      <c r="HL35">
        <v>2506.8360267557309</v>
      </c>
      <c r="HQ35">
        <v>1341.797200075589</v>
      </c>
      <c r="HR35">
        <v>4593.339295432349</v>
      </c>
      <c r="IO35">
        <v>1645.570825960443</v>
      </c>
      <c r="IP35">
        <v>2722.778835331379</v>
      </c>
      <c r="IU35">
        <v>1280.1866654652081</v>
      </c>
      <c r="IV35">
        <v>3965.7227335249208</v>
      </c>
      <c r="JA35">
        <v>0.72040182151991616</v>
      </c>
      <c r="JB35">
        <v>505.72674089419331</v>
      </c>
      <c r="JQ35">
        <v>0.57625387850409648</v>
      </c>
      <c r="JR35">
        <v>481.83361332595581</v>
      </c>
      <c r="KE35">
        <v>1781.454783781435</v>
      </c>
      <c r="KF35">
        <v>0.53785881557820714</v>
      </c>
      <c r="KK35">
        <v>850.41359455326631</v>
      </c>
      <c r="KL35">
        <v>3437.3042290855792</v>
      </c>
      <c r="KO35">
        <v>968.35094044936159</v>
      </c>
      <c r="KP35">
        <v>3363.033421545289</v>
      </c>
      <c r="KQ35">
        <v>0.92500000000000004</v>
      </c>
      <c r="KR35">
        <v>407.5</v>
      </c>
      <c r="KY35">
        <v>0.92500000000000004</v>
      </c>
      <c r="KZ35">
        <v>407.5</v>
      </c>
      <c r="MK35">
        <v>1200</v>
      </c>
      <c r="ML35">
        <v>0.82</v>
      </c>
    </row>
    <row r="36" spans="45:350" x14ac:dyDescent="0.3">
      <c r="AS36">
        <v>0.81</v>
      </c>
      <c r="AT36">
        <v>1854.545454545455</v>
      </c>
      <c r="AU36">
        <v>420</v>
      </c>
      <c r="AV36">
        <v>763.63636363636374</v>
      </c>
      <c r="BA36">
        <v>529</v>
      </c>
      <c r="BB36">
        <v>1272.727272727273</v>
      </c>
      <c r="BW36">
        <v>0.6</v>
      </c>
      <c r="BX36">
        <v>0.85</v>
      </c>
      <c r="CC36">
        <v>0.7</v>
      </c>
      <c r="CD36">
        <v>1418.181818181818</v>
      </c>
      <c r="FQ36">
        <v>0.28925619834710742</v>
      </c>
      <c r="FR36">
        <v>405.66430145260227</v>
      </c>
      <c r="FS36">
        <v>0.1057401812688822</v>
      </c>
      <c r="FT36">
        <v>398.04027896921588</v>
      </c>
      <c r="FU36">
        <v>0.28925619834710742</v>
      </c>
      <c r="FV36">
        <v>282.95308645194069</v>
      </c>
      <c r="FW36">
        <v>0.1057401812688822</v>
      </c>
      <c r="FX36">
        <v>281.4296374409729</v>
      </c>
      <c r="FY36">
        <v>0.28925619834710742</v>
      </c>
      <c r="FZ36">
        <v>3001.0147499036138</v>
      </c>
      <c r="GA36">
        <v>0.1057401812688822</v>
      </c>
      <c r="GB36">
        <v>2291.8853120773801</v>
      </c>
      <c r="GC36">
        <v>0.28925619834710742</v>
      </c>
      <c r="GD36">
        <v>1004.773189877077</v>
      </c>
      <c r="GE36">
        <v>0.1057401812688822</v>
      </c>
      <c r="GF36">
        <v>395.24024168871722</v>
      </c>
      <c r="GG36">
        <v>0.28925619834710742</v>
      </c>
      <c r="GH36">
        <v>0.56705486723843657</v>
      </c>
      <c r="GI36">
        <v>0.1057401812688822</v>
      </c>
      <c r="GJ36">
        <v>0.55347665715374228</v>
      </c>
      <c r="GK36">
        <v>0.28925619834710742</v>
      </c>
      <c r="GL36">
        <v>0.7940529658547778</v>
      </c>
      <c r="GM36">
        <v>0.1057401812688822</v>
      </c>
      <c r="GN36">
        <v>0.76808229075088008</v>
      </c>
      <c r="GO36">
        <v>0.28925619834710742</v>
      </c>
      <c r="GP36">
        <v>0.73432396717898851</v>
      </c>
      <c r="GQ36">
        <v>0.1057401812688822</v>
      </c>
      <c r="GR36">
        <v>0.67574283369205579</v>
      </c>
      <c r="GS36">
        <v>0.28925619834710742</v>
      </c>
      <c r="GT36">
        <v>0.69085123196897236</v>
      </c>
      <c r="GU36">
        <v>0.1057401812688822</v>
      </c>
      <c r="GV36">
        <v>0.63738442473986701</v>
      </c>
      <c r="GW36">
        <v>0.28925619834710742</v>
      </c>
      <c r="GX36">
        <v>0.70893282720685713</v>
      </c>
      <c r="GY36">
        <v>0.1057401812688822</v>
      </c>
      <c r="GZ36">
        <v>0.63166102086372911</v>
      </c>
      <c r="HA36">
        <v>0.28925619834710742</v>
      </c>
      <c r="HB36">
        <v>0.84182625850716208</v>
      </c>
      <c r="HC36">
        <v>0.1057401812688822</v>
      </c>
      <c r="HD36">
        <v>0.72189462468438159</v>
      </c>
      <c r="HE36">
        <v>1074.270243330533</v>
      </c>
      <c r="HF36">
        <v>3635.642214756188</v>
      </c>
      <c r="HG36">
        <v>1413.172395788022</v>
      </c>
      <c r="HH36">
        <v>3876.8409309189051</v>
      </c>
      <c r="HI36">
        <v>1021.9229607726249</v>
      </c>
      <c r="HJ36">
        <v>3808.0493928152732</v>
      </c>
      <c r="HK36">
        <v>916.06358348158994</v>
      </c>
      <c r="HL36">
        <v>2650.571912221968</v>
      </c>
      <c r="HQ36">
        <v>472.88901566860011</v>
      </c>
      <c r="HR36">
        <v>4079.3051310880769</v>
      </c>
      <c r="IO36">
        <v>1104.2787357679661</v>
      </c>
      <c r="IP36">
        <v>4840.6600453590399</v>
      </c>
      <c r="IU36">
        <v>899.15775650685055</v>
      </c>
      <c r="IV36">
        <v>3615.6213288970248</v>
      </c>
      <c r="JA36">
        <v>0.5305130062838842</v>
      </c>
      <c r="JB36">
        <v>609.66623554292119</v>
      </c>
      <c r="JQ36">
        <v>0.46915658835237689</v>
      </c>
      <c r="JR36">
        <v>477.4454846923756</v>
      </c>
      <c r="KE36">
        <v>264.98890171890719</v>
      </c>
      <c r="KF36">
        <v>0.62913142905474939</v>
      </c>
      <c r="KK36">
        <v>253.2073328472934</v>
      </c>
      <c r="KL36">
        <v>3215.8219494221298</v>
      </c>
      <c r="KO36">
        <v>1798.6269920365239</v>
      </c>
      <c r="KP36">
        <v>4569.9792399247162</v>
      </c>
      <c r="KQ36">
        <v>0.92500000000000004</v>
      </c>
      <c r="KR36">
        <v>410</v>
      </c>
      <c r="KY36">
        <v>0.92500000000000004</v>
      </c>
      <c r="KZ36">
        <v>410</v>
      </c>
      <c r="MK36">
        <v>900</v>
      </c>
      <c r="ML36">
        <v>0.85</v>
      </c>
    </row>
    <row r="37" spans="45:350" x14ac:dyDescent="0.3">
      <c r="AS37">
        <v>0.81</v>
      </c>
      <c r="AT37">
        <v>2000</v>
      </c>
      <c r="AU37">
        <v>420</v>
      </c>
      <c r="AV37">
        <v>763.63636363636374</v>
      </c>
      <c r="BA37">
        <v>529</v>
      </c>
      <c r="BB37">
        <v>1418.181818181818</v>
      </c>
      <c r="BW37">
        <v>0.7</v>
      </c>
      <c r="BX37">
        <v>0.6</v>
      </c>
      <c r="CC37">
        <v>0.7</v>
      </c>
      <c r="CD37">
        <v>1563.636363636364</v>
      </c>
      <c r="FQ37">
        <v>0.2975206611570248</v>
      </c>
      <c r="FR37">
        <v>406.02089795212942</v>
      </c>
      <c r="FS37">
        <v>0.10876132930513591</v>
      </c>
      <c r="FT37">
        <v>398.37580411552511</v>
      </c>
      <c r="FU37">
        <v>0.2975206611570248</v>
      </c>
      <c r="FV37">
        <v>282.98531068715448</v>
      </c>
      <c r="FW37">
        <v>0.10876132930513591</v>
      </c>
      <c r="FX37">
        <v>281.46577562277452</v>
      </c>
      <c r="FY37">
        <v>0.2975206611570248</v>
      </c>
      <c r="FZ37">
        <v>3160.356416844596</v>
      </c>
      <c r="GA37">
        <v>0.10876132930513591</v>
      </c>
      <c r="GB37">
        <v>2300.8535252729412</v>
      </c>
      <c r="GC37">
        <v>0.2975206611570248</v>
      </c>
      <c r="GD37">
        <v>1016.729934867299</v>
      </c>
      <c r="GE37">
        <v>0.10876132930513591</v>
      </c>
      <c r="GF37">
        <v>400.27464436978022</v>
      </c>
      <c r="GG37">
        <v>0.2975206611570248</v>
      </c>
      <c r="GH37">
        <v>0.56988156936211343</v>
      </c>
      <c r="GI37">
        <v>0.10876132930513591</v>
      </c>
      <c r="GJ37">
        <v>0.55459452131104903</v>
      </c>
      <c r="GK37">
        <v>0.2975206611570248</v>
      </c>
      <c r="GL37">
        <v>0.79540022597919169</v>
      </c>
      <c r="GM37">
        <v>0.10876132930513591</v>
      </c>
      <c r="GN37">
        <v>0.76826370703477753</v>
      </c>
      <c r="GO37">
        <v>0.2975206611570248</v>
      </c>
      <c r="GP37">
        <v>0.73817476711197194</v>
      </c>
      <c r="GQ37">
        <v>0.10876132930513591</v>
      </c>
      <c r="GR37">
        <v>0.67615320478103336</v>
      </c>
      <c r="GS37">
        <v>0.2975206611570248</v>
      </c>
      <c r="GT37">
        <v>0.69111296230790364</v>
      </c>
      <c r="GU37">
        <v>0.10876132930513591</v>
      </c>
      <c r="GV37">
        <v>0.63979070517912084</v>
      </c>
      <c r="GW37">
        <v>0.2975206611570248</v>
      </c>
      <c r="GX37">
        <v>0.71031587650353478</v>
      </c>
      <c r="GY37">
        <v>0.10876132930513591</v>
      </c>
      <c r="GZ37">
        <v>0.63180741253918349</v>
      </c>
      <c r="HA37">
        <v>0.2975206611570248</v>
      </c>
      <c r="HB37">
        <v>0.84948909172396569</v>
      </c>
      <c r="HC37">
        <v>0.10876132930513591</v>
      </c>
      <c r="HD37">
        <v>0.72201401498801543</v>
      </c>
      <c r="HE37">
        <v>946.08833318626057</v>
      </c>
      <c r="HF37">
        <v>3985.9676927566779</v>
      </c>
      <c r="HG37">
        <v>769.12351004287825</v>
      </c>
      <c r="HH37">
        <v>3199.6845467170469</v>
      </c>
      <c r="HI37">
        <v>1068.7287212292019</v>
      </c>
      <c r="HJ37">
        <v>3155.2021448280411</v>
      </c>
      <c r="HK37">
        <v>1410.7019134577531</v>
      </c>
      <c r="HL37">
        <v>2915.52601975683</v>
      </c>
      <c r="IU37">
        <v>1194.619977855655</v>
      </c>
      <c r="IV37">
        <v>4798.2442926640542</v>
      </c>
      <c r="JA37">
        <v>0.65480178030100777</v>
      </c>
      <c r="JB37">
        <v>529.08078960558726</v>
      </c>
      <c r="KE37">
        <v>824.41864946174667</v>
      </c>
      <c r="KF37">
        <v>0.74871083722482168</v>
      </c>
      <c r="KK37">
        <v>366.91104038818651</v>
      </c>
      <c r="KL37">
        <v>4008.190899044529</v>
      </c>
      <c r="KO37">
        <v>1735.8106558117399</v>
      </c>
      <c r="KP37">
        <v>2156.5047433630411</v>
      </c>
      <c r="KQ37">
        <v>0.95</v>
      </c>
      <c r="KR37">
        <v>390</v>
      </c>
      <c r="KY37">
        <v>0.95</v>
      </c>
      <c r="KZ37">
        <v>390</v>
      </c>
      <c r="MK37">
        <v>800</v>
      </c>
      <c r="ML37">
        <v>0.85</v>
      </c>
    </row>
    <row r="38" spans="45:350" x14ac:dyDescent="0.3">
      <c r="AU38">
        <v>403</v>
      </c>
      <c r="AV38">
        <v>581.81818181818187</v>
      </c>
      <c r="BA38">
        <v>529</v>
      </c>
      <c r="BB38">
        <v>1563.636363636364</v>
      </c>
      <c r="BW38">
        <v>0.7</v>
      </c>
      <c r="BX38">
        <v>0.55000000000000004</v>
      </c>
      <c r="CC38">
        <v>0.7</v>
      </c>
      <c r="CD38">
        <v>1709.090909090909</v>
      </c>
      <c r="FQ38">
        <v>0.30578512396694207</v>
      </c>
      <c r="FR38">
        <v>406.67000873498171</v>
      </c>
      <c r="FS38">
        <v>0.1117824773413897</v>
      </c>
      <c r="FT38">
        <v>398.53351602171978</v>
      </c>
      <c r="FU38">
        <v>0.30578512396694207</v>
      </c>
      <c r="FV38">
        <v>283.09200223910727</v>
      </c>
      <c r="FW38">
        <v>0.1117824773413897</v>
      </c>
      <c r="FX38">
        <v>281.71591794809751</v>
      </c>
      <c r="FY38">
        <v>0.30578512396694207</v>
      </c>
      <c r="FZ38">
        <v>3175.483333911347</v>
      </c>
      <c r="GA38">
        <v>0.1117824773413897</v>
      </c>
      <c r="GB38">
        <v>2303.1731477606122</v>
      </c>
      <c r="GC38">
        <v>0.30578512396694207</v>
      </c>
      <c r="GD38">
        <v>1026.5199091775389</v>
      </c>
      <c r="GE38">
        <v>0.1117824773413897</v>
      </c>
      <c r="GF38">
        <v>401.85024446344028</v>
      </c>
      <c r="GG38">
        <v>0.30578512396694207</v>
      </c>
      <c r="GH38">
        <v>0.5703551029323306</v>
      </c>
      <c r="GI38">
        <v>0.1117824773413897</v>
      </c>
      <c r="GJ38">
        <v>0.55572875304609093</v>
      </c>
      <c r="GK38">
        <v>0.30578512396694207</v>
      </c>
      <c r="GL38">
        <v>0.79650447046816608</v>
      </c>
      <c r="GM38">
        <v>0.1117824773413897</v>
      </c>
      <c r="GN38">
        <v>0.76903541516927487</v>
      </c>
      <c r="GO38">
        <v>0.30578512396694207</v>
      </c>
      <c r="GP38">
        <v>0.73976150149850117</v>
      </c>
      <c r="GQ38">
        <v>0.1117824773413897</v>
      </c>
      <c r="GR38">
        <v>0.67718995649924096</v>
      </c>
      <c r="GS38">
        <v>0.30578512396694207</v>
      </c>
      <c r="GT38">
        <v>0.69430687064494256</v>
      </c>
      <c r="GU38">
        <v>0.1117824773413897</v>
      </c>
      <c r="GV38">
        <v>0.64091614865428481</v>
      </c>
      <c r="GW38">
        <v>0.30578512396694207</v>
      </c>
      <c r="GX38">
        <v>0.71083465404853852</v>
      </c>
      <c r="GY38">
        <v>0.1117824773413897</v>
      </c>
      <c r="GZ38">
        <v>0.63458692857755206</v>
      </c>
      <c r="HA38">
        <v>0.30578512396694207</v>
      </c>
      <c r="HB38">
        <v>0.8514220777509669</v>
      </c>
      <c r="HC38">
        <v>0.1117824773413897</v>
      </c>
      <c r="HD38">
        <v>0.72325686608880202</v>
      </c>
      <c r="HE38">
        <v>691.77340073409539</v>
      </c>
      <c r="HF38">
        <v>4312.3096074069481</v>
      </c>
      <c r="HG38">
        <v>1184.909450503314</v>
      </c>
      <c r="HH38">
        <v>3539.5313497682992</v>
      </c>
      <c r="HI38">
        <v>762.10450879218024</v>
      </c>
      <c r="HJ38">
        <v>3419.4736921177732</v>
      </c>
      <c r="HK38">
        <v>1094.4390403641489</v>
      </c>
      <c r="HL38">
        <v>4717.402847573444</v>
      </c>
      <c r="IU38">
        <v>1023.011635302588</v>
      </c>
      <c r="IV38">
        <v>2955.0200224440882</v>
      </c>
      <c r="JA38">
        <v>0.86205520156008819</v>
      </c>
      <c r="JB38">
        <v>582.67834635602037</v>
      </c>
      <c r="KE38">
        <v>1297.39077862042</v>
      </c>
      <c r="KF38">
        <v>0.69863431842614099</v>
      </c>
      <c r="KK38">
        <v>1191.521270757587</v>
      </c>
      <c r="KL38">
        <v>4070.499094943948</v>
      </c>
      <c r="KO38">
        <v>1749.264719203607</v>
      </c>
      <c r="KP38">
        <v>2296.829804719318</v>
      </c>
      <c r="KQ38">
        <v>0.95</v>
      </c>
      <c r="KR38">
        <v>392.5</v>
      </c>
      <c r="KY38">
        <v>0.95</v>
      </c>
      <c r="KZ38">
        <v>392.5</v>
      </c>
      <c r="MK38">
        <v>1000</v>
      </c>
      <c r="ML38">
        <v>0.85</v>
      </c>
    </row>
    <row r="39" spans="45:350" x14ac:dyDescent="0.3">
      <c r="AU39">
        <v>403</v>
      </c>
      <c r="AV39">
        <v>581.81818181818187</v>
      </c>
      <c r="BA39">
        <v>529</v>
      </c>
      <c r="BB39">
        <v>1709.090909090909</v>
      </c>
      <c r="BW39">
        <v>0.7</v>
      </c>
      <c r="BX39">
        <v>0.65</v>
      </c>
      <c r="CC39">
        <v>0.7</v>
      </c>
      <c r="CD39">
        <v>1854.545454545455</v>
      </c>
      <c r="FQ39">
        <v>0.31404958677685951</v>
      </c>
      <c r="FR39">
        <v>407.13404164110233</v>
      </c>
      <c r="FS39">
        <v>0.11480362537764351</v>
      </c>
      <c r="FT39">
        <v>399.4557273742422</v>
      </c>
      <c r="FU39">
        <v>0.31404958677685951</v>
      </c>
      <c r="FV39">
        <v>283.35331685504758</v>
      </c>
      <c r="FW39">
        <v>0.11480362537764351</v>
      </c>
      <c r="FX39">
        <v>281.73560487002851</v>
      </c>
      <c r="FY39">
        <v>0.31404958677685951</v>
      </c>
      <c r="FZ39">
        <v>3199.6845467170469</v>
      </c>
      <c r="GA39">
        <v>0.11480362537764351</v>
      </c>
      <c r="GB39">
        <v>2317.767297101228</v>
      </c>
      <c r="GC39">
        <v>0.31404958677685951</v>
      </c>
      <c r="GD39">
        <v>1030.303377686404</v>
      </c>
      <c r="GE39">
        <v>0.11480362537764351</v>
      </c>
      <c r="GF39">
        <v>410.51752020458798</v>
      </c>
      <c r="GG39">
        <v>0.31404958677685951</v>
      </c>
      <c r="GH39">
        <v>0.57247319433572519</v>
      </c>
      <c r="GI39">
        <v>0.11480362537764351</v>
      </c>
      <c r="GJ39">
        <v>0.55727089381209793</v>
      </c>
      <c r="GK39">
        <v>0.31404958677685951</v>
      </c>
      <c r="GL39">
        <v>0.79895287684230865</v>
      </c>
      <c r="GM39">
        <v>0.11480362537764351</v>
      </c>
      <c r="GN39">
        <v>0.76921417091357358</v>
      </c>
      <c r="GO39">
        <v>0.31404958677685951</v>
      </c>
      <c r="GP39">
        <v>0.74466290963680581</v>
      </c>
      <c r="GQ39">
        <v>0.11480362537764351</v>
      </c>
      <c r="GR39">
        <v>0.67731089424487545</v>
      </c>
      <c r="GS39">
        <v>0.31404958677685951</v>
      </c>
      <c r="GT39">
        <v>0.69661936110465339</v>
      </c>
      <c r="GU39">
        <v>0.11480362537764351</v>
      </c>
      <c r="GV39">
        <v>0.64126241758162261</v>
      </c>
      <c r="GW39">
        <v>0.31404958677685951</v>
      </c>
      <c r="GX39">
        <v>0.7198635434736419</v>
      </c>
      <c r="GY39">
        <v>0.11480362537764351</v>
      </c>
      <c r="GZ39">
        <v>0.63540340081915725</v>
      </c>
      <c r="HA39">
        <v>0.31404958677685951</v>
      </c>
      <c r="HB39">
        <v>0.85158474031121145</v>
      </c>
      <c r="HC39">
        <v>0.11480362537764351</v>
      </c>
      <c r="HD39">
        <v>0.72353740080511153</v>
      </c>
      <c r="HE39">
        <v>1274.8935478485951</v>
      </c>
      <c r="HF39">
        <v>3272.744306362581</v>
      </c>
      <c r="HG39">
        <v>936.88135157308</v>
      </c>
      <c r="HH39">
        <v>3514.4151254074941</v>
      </c>
      <c r="HI39">
        <v>374.36934432207039</v>
      </c>
      <c r="HJ39">
        <v>2613.4807200676378</v>
      </c>
      <c r="HK39">
        <v>457.39442154550858</v>
      </c>
      <c r="HL39">
        <v>3836.0134177842051</v>
      </c>
      <c r="IU39">
        <v>1915.5735069014661</v>
      </c>
      <c r="IV39">
        <v>4334.2913017448254</v>
      </c>
      <c r="JA39">
        <v>0.79908825988313392</v>
      </c>
      <c r="JB39">
        <v>468.32922473909559</v>
      </c>
      <c r="KE39">
        <v>474.5501690374976</v>
      </c>
      <c r="KF39">
        <v>0.75238245717999708</v>
      </c>
      <c r="KK39">
        <v>1272.290929718981</v>
      </c>
      <c r="KL39">
        <v>3314.4008247885481</v>
      </c>
      <c r="KQ39">
        <v>0.95</v>
      </c>
      <c r="KR39">
        <v>395</v>
      </c>
      <c r="KY39">
        <v>0.95</v>
      </c>
      <c r="KZ39">
        <v>395</v>
      </c>
      <c r="MK39">
        <v>1100</v>
      </c>
      <c r="ML39">
        <v>0.85</v>
      </c>
    </row>
    <row r="40" spans="45:350" x14ac:dyDescent="0.3">
      <c r="AU40">
        <v>403</v>
      </c>
      <c r="AV40">
        <v>563.63636363636374</v>
      </c>
      <c r="BA40">
        <v>560</v>
      </c>
      <c r="BB40">
        <v>400</v>
      </c>
      <c r="BW40">
        <v>0.7</v>
      </c>
      <c r="BX40">
        <v>0.7</v>
      </c>
      <c r="CC40">
        <v>0.7</v>
      </c>
      <c r="CD40">
        <v>2000</v>
      </c>
      <c r="FQ40">
        <v>0.32231404958677679</v>
      </c>
      <c r="FR40">
        <v>408.17460679705198</v>
      </c>
      <c r="FS40">
        <v>0.1178247734138973</v>
      </c>
      <c r="FT40">
        <v>399.58319388057379</v>
      </c>
      <c r="FU40">
        <v>0.32231404958677679</v>
      </c>
      <c r="FV40">
        <v>283.47506612298781</v>
      </c>
      <c r="FW40">
        <v>0.1178247734138973</v>
      </c>
      <c r="FX40">
        <v>281.80180759394182</v>
      </c>
      <c r="FY40">
        <v>0.32231404958677679</v>
      </c>
      <c r="FZ40">
        <v>3203.7064805170362</v>
      </c>
      <c r="GA40">
        <v>0.1178247734138973</v>
      </c>
      <c r="GB40">
        <v>2326.1825983553299</v>
      </c>
      <c r="GC40">
        <v>0.32231404958677679</v>
      </c>
      <c r="GD40">
        <v>1032.6542947214091</v>
      </c>
      <c r="GE40">
        <v>0.1178247734138973</v>
      </c>
      <c r="GF40">
        <v>412.43068781447948</v>
      </c>
      <c r="GG40">
        <v>0.32231404958677679</v>
      </c>
      <c r="GH40">
        <v>0.5727930247790437</v>
      </c>
      <c r="GI40">
        <v>0.1178247734138973</v>
      </c>
      <c r="GJ40">
        <v>0.55791715863288538</v>
      </c>
      <c r="GK40">
        <v>0.32231404958677679</v>
      </c>
      <c r="GL40">
        <v>0.79969359630259507</v>
      </c>
      <c r="GM40">
        <v>0.1178247734138973</v>
      </c>
      <c r="GN40">
        <v>0.76985440461032784</v>
      </c>
      <c r="GO40">
        <v>0.32231404958677679</v>
      </c>
      <c r="GP40">
        <v>0.74608148390036433</v>
      </c>
      <c r="GQ40">
        <v>0.1178247734138973</v>
      </c>
      <c r="GR40">
        <v>0.6777266498343405</v>
      </c>
      <c r="GS40">
        <v>0.32231404958677679</v>
      </c>
      <c r="GT40">
        <v>0.69702495987220825</v>
      </c>
      <c r="GU40">
        <v>0.1178247734138973</v>
      </c>
      <c r="GV40">
        <v>0.64252505895703493</v>
      </c>
      <c r="GW40">
        <v>0.32231404958677679</v>
      </c>
      <c r="GX40">
        <v>0.72474007250549966</v>
      </c>
      <c r="GY40">
        <v>0.1178247734138973</v>
      </c>
      <c r="GZ40">
        <v>0.63628831051197932</v>
      </c>
      <c r="HA40">
        <v>0.32231404958677679</v>
      </c>
      <c r="HB40">
        <v>0.8535233065529394</v>
      </c>
      <c r="HC40">
        <v>0.1178247734138973</v>
      </c>
      <c r="HD40">
        <v>0.72406544921202853</v>
      </c>
      <c r="HE40">
        <v>715.19849393561185</v>
      </c>
      <c r="HF40">
        <v>4500.9321557625108</v>
      </c>
      <c r="HI40">
        <v>1067.248236821704</v>
      </c>
      <c r="HJ40">
        <v>4565.5636648609761</v>
      </c>
      <c r="HK40">
        <v>520.21159086120542</v>
      </c>
      <c r="HL40">
        <v>3053.2395980138208</v>
      </c>
      <c r="IU40">
        <v>1420.672726862932</v>
      </c>
      <c r="IV40">
        <v>2633.296027164602</v>
      </c>
      <c r="JA40">
        <v>0.83148102804778068</v>
      </c>
      <c r="JB40">
        <v>578.2386804758994</v>
      </c>
      <c r="KE40">
        <v>1012.8466115997541</v>
      </c>
      <c r="KF40">
        <v>0.63450414388685061</v>
      </c>
      <c r="KK40">
        <v>1533.9062064953389</v>
      </c>
      <c r="KL40">
        <v>3761.3471549453488</v>
      </c>
      <c r="KQ40">
        <v>0.95</v>
      </c>
      <c r="KR40">
        <v>397.5</v>
      </c>
      <c r="KY40">
        <v>0.95</v>
      </c>
      <c r="KZ40">
        <v>397.5</v>
      </c>
      <c r="MK40">
        <v>1200</v>
      </c>
      <c r="ML40">
        <v>0.85</v>
      </c>
    </row>
    <row r="41" spans="45:350" x14ac:dyDescent="0.3">
      <c r="AU41">
        <v>403</v>
      </c>
      <c r="AV41">
        <v>563.63636363636374</v>
      </c>
      <c r="BA41">
        <v>529</v>
      </c>
      <c r="BB41">
        <v>1854.545454545455</v>
      </c>
      <c r="BW41">
        <v>0.7</v>
      </c>
      <c r="BX41">
        <v>0.75</v>
      </c>
      <c r="CC41">
        <v>0.4</v>
      </c>
      <c r="CD41">
        <v>1309.090909090909</v>
      </c>
      <c r="FQ41">
        <v>0.33057851239669422</v>
      </c>
      <c r="FR41">
        <v>408.79480437103922</v>
      </c>
      <c r="FS41">
        <v>0.12084592145015111</v>
      </c>
      <c r="FT41">
        <v>400.16258886391188</v>
      </c>
      <c r="FU41">
        <v>0.33057851239669422</v>
      </c>
      <c r="FV41">
        <v>283.52762780792608</v>
      </c>
      <c r="FW41">
        <v>0.12084592145015111</v>
      </c>
      <c r="FX41">
        <v>281.84711188264771</v>
      </c>
      <c r="FY41">
        <v>0.33057851239669422</v>
      </c>
      <c r="FZ41">
        <v>3213.4260138138861</v>
      </c>
      <c r="GA41">
        <v>0.12084592145015111</v>
      </c>
      <c r="GB41">
        <v>2329.3737216892282</v>
      </c>
      <c r="GC41">
        <v>0.33057851239669422</v>
      </c>
      <c r="GD41">
        <v>1037.5588806167009</v>
      </c>
      <c r="GE41">
        <v>0.12084592145015111</v>
      </c>
      <c r="GF41">
        <v>417.49418257396292</v>
      </c>
      <c r="GG41">
        <v>0.33057851239669422</v>
      </c>
      <c r="GH41">
        <v>0.57507910573551313</v>
      </c>
      <c r="GI41">
        <v>0.12084592145015111</v>
      </c>
      <c r="GJ41">
        <v>0.56023097590125603</v>
      </c>
      <c r="GK41">
        <v>0.33057851239669422</v>
      </c>
      <c r="GL41">
        <v>0.80144975245100936</v>
      </c>
      <c r="GM41">
        <v>0.12084592145015111</v>
      </c>
      <c r="GN41">
        <v>0.77108234910004736</v>
      </c>
      <c r="GO41">
        <v>0.33057851239669422</v>
      </c>
      <c r="GP41">
        <v>0.74736410427623545</v>
      </c>
      <c r="GQ41">
        <v>0.12084592145015111</v>
      </c>
      <c r="GR41">
        <v>0.67787519192225887</v>
      </c>
      <c r="GS41">
        <v>0.33057851239669422</v>
      </c>
      <c r="GT41">
        <v>0.69817794909168107</v>
      </c>
      <c r="GU41">
        <v>0.12084592145015111</v>
      </c>
      <c r="GV41">
        <v>0.64485432704008028</v>
      </c>
      <c r="GW41">
        <v>0.33057851239669422</v>
      </c>
      <c r="GX41">
        <v>0.72543322409998778</v>
      </c>
      <c r="GY41">
        <v>0.12084592145015111</v>
      </c>
      <c r="GZ41">
        <v>0.63666443318260624</v>
      </c>
      <c r="HA41">
        <v>0.33057851239669422</v>
      </c>
      <c r="HB41">
        <v>0.85531301685086991</v>
      </c>
      <c r="HC41">
        <v>0.12084592145015111</v>
      </c>
      <c r="HD41">
        <v>0.7243673056913783</v>
      </c>
      <c r="HE41">
        <v>1037.5588806167009</v>
      </c>
      <c r="HF41">
        <v>4302.3690237305091</v>
      </c>
      <c r="HI41">
        <v>428.45592024197299</v>
      </c>
      <c r="HJ41">
        <v>2076.5887165508439</v>
      </c>
      <c r="HK41">
        <v>400.27464436978022</v>
      </c>
      <c r="HL41">
        <v>2248.475597248098</v>
      </c>
      <c r="IU41">
        <v>553.83370347515915</v>
      </c>
      <c r="IV41">
        <v>2401.477527370052</v>
      </c>
      <c r="JA41">
        <v>0.63956127217065928</v>
      </c>
      <c r="JB41">
        <v>471.6864310558455</v>
      </c>
      <c r="KE41">
        <v>1944.788545631179</v>
      </c>
      <c r="KF41">
        <v>0.69381537208713207</v>
      </c>
      <c r="KK41">
        <v>353.25442524265208</v>
      </c>
      <c r="KL41">
        <v>3788.4118388261031</v>
      </c>
      <c r="KQ41">
        <v>0.95</v>
      </c>
      <c r="KR41">
        <v>400</v>
      </c>
      <c r="KY41">
        <v>0.95</v>
      </c>
      <c r="KZ41">
        <v>400</v>
      </c>
      <c r="MK41">
        <v>800</v>
      </c>
      <c r="ML41">
        <v>0.88</v>
      </c>
    </row>
    <row r="42" spans="45:350" x14ac:dyDescent="0.3">
      <c r="AU42">
        <v>390</v>
      </c>
      <c r="AV42">
        <v>454.54545454545462</v>
      </c>
      <c r="BA42">
        <v>529</v>
      </c>
      <c r="BB42">
        <v>2000</v>
      </c>
      <c r="BW42">
        <v>0.7</v>
      </c>
      <c r="BX42">
        <v>0.89999999999999991</v>
      </c>
      <c r="CC42">
        <v>0.4</v>
      </c>
      <c r="CD42">
        <v>1309.090909090909</v>
      </c>
      <c r="FQ42">
        <v>0.33884297520661161</v>
      </c>
      <c r="FR42">
        <v>409.10403012353572</v>
      </c>
      <c r="FS42">
        <v>0.1238670694864048</v>
      </c>
      <c r="FT42">
        <v>400.70429949507729</v>
      </c>
      <c r="FU42">
        <v>0.33884297520661161</v>
      </c>
      <c r="FV42">
        <v>283.7377194208255</v>
      </c>
      <c r="FW42">
        <v>0.1238670694864048</v>
      </c>
      <c r="FX42">
        <v>281.95101946463802</v>
      </c>
      <c r="FY42">
        <v>0.33884297520661161</v>
      </c>
      <c r="FZ42">
        <v>3253.987855848156</v>
      </c>
      <c r="GA42">
        <v>0.1238670694864048</v>
      </c>
      <c r="GB42">
        <v>2333.0929697254128</v>
      </c>
      <c r="GC42">
        <v>0.33884297520661161</v>
      </c>
      <c r="GD42">
        <v>1047.0921937041351</v>
      </c>
      <c r="GE42">
        <v>0.1238670694864048</v>
      </c>
      <c r="GF42">
        <v>419.45825195615021</v>
      </c>
      <c r="GG42">
        <v>0.33884297520661161</v>
      </c>
      <c r="GH42">
        <v>0.57648903080911851</v>
      </c>
      <c r="GI42">
        <v>0.1238670694864048</v>
      </c>
      <c r="GJ42">
        <v>0.5609096114881178</v>
      </c>
      <c r="GK42">
        <v>0.33884297520661161</v>
      </c>
      <c r="GL42">
        <v>0.80180292912888984</v>
      </c>
      <c r="GM42">
        <v>0.1238670694864048</v>
      </c>
      <c r="GN42">
        <v>0.77169017478684243</v>
      </c>
      <c r="GO42">
        <v>0.33884297520661161</v>
      </c>
      <c r="GP42">
        <v>0.74890748219062075</v>
      </c>
      <c r="GQ42">
        <v>0.1238670694864048</v>
      </c>
      <c r="GR42">
        <v>0.67889807398279423</v>
      </c>
      <c r="GS42">
        <v>0.33884297520661161</v>
      </c>
      <c r="GT42">
        <v>0.70475996569828181</v>
      </c>
      <c r="GU42">
        <v>0.1238670694864048</v>
      </c>
      <c r="GV42">
        <v>0.64551569155633159</v>
      </c>
      <c r="GW42">
        <v>0.33884297520661161</v>
      </c>
      <c r="GX42">
        <v>0.72774431406165052</v>
      </c>
      <c r="GY42">
        <v>0.1238670694864048</v>
      </c>
      <c r="GZ42">
        <v>0.63734126851433581</v>
      </c>
      <c r="HA42">
        <v>0.33884297520661161</v>
      </c>
      <c r="HB42">
        <v>0.85693865187693496</v>
      </c>
      <c r="HC42">
        <v>0.1238670694864048</v>
      </c>
      <c r="HD42">
        <v>0.72464446615829725</v>
      </c>
      <c r="HE42">
        <v>1336.435912200403</v>
      </c>
      <c r="HF42">
        <v>3262.8767695283041</v>
      </c>
      <c r="HI42">
        <v>722.85635415038394</v>
      </c>
      <c r="HJ42">
        <v>3080.4022206731138</v>
      </c>
      <c r="HK42">
        <v>967.34254318297076</v>
      </c>
      <c r="HL42">
        <v>3755.3803760384062</v>
      </c>
      <c r="IU42">
        <v>1335.256319448823</v>
      </c>
      <c r="IV42">
        <v>4872.5953378383219</v>
      </c>
      <c r="JA42">
        <v>0.8661478979222853</v>
      </c>
      <c r="JB42">
        <v>538.48762033133971</v>
      </c>
      <c r="KE42">
        <v>998.57596618585842</v>
      </c>
      <c r="KF42">
        <v>0.7943290478947429</v>
      </c>
      <c r="KK42">
        <v>872.79649937010845</v>
      </c>
      <c r="KL42">
        <v>3845.309923918609</v>
      </c>
      <c r="KQ42">
        <v>0.95</v>
      </c>
      <c r="KR42">
        <v>407.5</v>
      </c>
      <c r="KY42">
        <v>0.95</v>
      </c>
      <c r="KZ42">
        <v>405</v>
      </c>
      <c r="MK42">
        <v>900</v>
      </c>
      <c r="ML42">
        <v>0.88</v>
      </c>
    </row>
    <row r="43" spans="45:350" x14ac:dyDescent="0.3">
      <c r="AU43">
        <v>390</v>
      </c>
      <c r="AV43">
        <v>454.54545454545462</v>
      </c>
      <c r="BA43">
        <v>560</v>
      </c>
      <c r="BB43">
        <v>545.4545454545455</v>
      </c>
      <c r="BW43">
        <v>0.7</v>
      </c>
      <c r="BX43">
        <v>0.85</v>
      </c>
      <c r="CC43">
        <v>0.5</v>
      </c>
      <c r="CD43">
        <v>1727.2727272727279</v>
      </c>
      <c r="FQ43">
        <v>0.34710743801652888</v>
      </c>
      <c r="FR43">
        <v>409.35464242439548</v>
      </c>
      <c r="FS43">
        <v>0.12688821752265861</v>
      </c>
      <c r="FT43">
        <v>400.85747291811811</v>
      </c>
      <c r="FU43">
        <v>0.34710743801652888</v>
      </c>
      <c r="FV43">
        <v>284.00729693808108</v>
      </c>
      <c r="FW43">
        <v>0.12688821752265861</v>
      </c>
      <c r="FX43">
        <v>282.20955910492091</v>
      </c>
      <c r="FY43">
        <v>0.34710743801652888</v>
      </c>
      <c r="FZ43">
        <v>3262.8767695283041</v>
      </c>
      <c r="GA43">
        <v>0.12688821752265861</v>
      </c>
      <c r="GB43">
        <v>2335.0753592331339</v>
      </c>
      <c r="GC43">
        <v>0.34710743801652888</v>
      </c>
      <c r="GD43">
        <v>1049.983715480241</v>
      </c>
      <c r="GE43">
        <v>0.12688821752265861</v>
      </c>
      <c r="GF43">
        <v>420.19107100649109</v>
      </c>
      <c r="GG43">
        <v>0.34710743801652888</v>
      </c>
      <c r="GH43">
        <v>0.57813603755992082</v>
      </c>
      <c r="GI43">
        <v>0.12688821752265861</v>
      </c>
      <c r="GJ43">
        <v>0.56256152776529977</v>
      </c>
      <c r="GK43">
        <v>0.34710743801652888</v>
      </c>
      <c r="GL43">
        <v>0.80362284671289286</v>
      </c>
      <c r="GM43">
        <v>0.12688821752265861</v>
      </c>
      <c r="GN43">
        <v>0.77264590808616684</v>
      </c>
      <c r="GO43">
        <v>0.34710743801652888</v>
      </c>
      <c r="GP43">
        <v>0.74942242618416466</v>
      </c>
      <c r="GQ43">
        <v>0.12688821752265861</v>
      </c>
      <c r="GR43">
        <v>0.67941800178763445</v>
      </c>
      <c r="GS43">
        <v>0.34710743801652888</v>
      </c>
      <c r="GT43">
        <v>0.70574619891711932</v>
      </c>
      <c r="GU43">
        <v>0.12688821752265861</v>
      </c>
      <c r="GV43">
        <v>0.6467229048247698</v>
      </c>
      <c r="GW43">
        <v>0.34710743801652888</v>
      </c>
      <c r="GX43">
        <v>0.72997308659075788</v>
      </c>
      <c r="GY43">
        <v>0.12688821752265861</v>
      </c>
      <c r="GZ43">
        <v>0.63764827325598161</v>
      </c>
      <c r="HA43">
        <v>0.34710743801652888</v>
      </c>
      <c r="HB43">
        <v>0.85766113930472931</v>
      </c>
      <c r="HC43">
        <v>0.12688821752265861</v>
      </c>
      <c r="HD43">
        <v>0.72521212825121228</v>
      </c>
      <c r="HE43">
        <v>1200.548312920992</v>
      </c>
      <c r="HF43">
        <v>3175.483333911347</v>
      </c>
      <c r="HI43">
        <v>444.46482910916859</v>
      </c>
      <c r="HJ43">
        <v>3114.297461986203</v>
      </c>
      <c r="HK43">
        <v>778.49825461222599</v>
      </c>
      <c r="HL43">
        <v>4470.3297031075399</v>
      </c>
      <c r="IU43">
        <v>677.46804704846124</v>
      </c>
      <c r="IV43">
        <v>2196.6390627249971</v>
      </c>
      <c r="JA43">
        <v>0.67222635270133657</v>
      </c>
      <c r="JB43">
        <v>443.68001648511188</v>
      </c>
      <c r="KE43">
        <v>1746.6896656109179</v>
      </c>
      <c r="KF43">
        <v>0.58352086625342303</v>
      </c>
      <c r="KK43">
        <v>1353.0666895390279</v>
      </c>
      <c r="KL43">
        <v>3069.1943727159201</v>
      </c>
      <c r="KQ43">
        <v>0.95</v>
      </c>
      <c r="KR43">
        <v>402.5</v>
      </c>
      <c r="KY43">
        <v>0.95</v>
      </c>
      <c r="KZ43">
        <v>402.5</v>
      </c>
      <c r="MK43">
        <v>1000</v>
      </c>
      <c r="ML43">
        <v>0.88</v>
      </c>
    </row>
    <row r="44" spans="45:350" x14ac:dyDescent="0.3">
      <c r="AU44">
        <v>420</v>
      </c>
      <c r="AV44">
        <v>745.4545454545455</v>
      </c>
      <c r="BA44">
        <v>560</v>
      </c>
      <c r="BB44">
        <v>690.90909090909099</v>
      </c>
      <c r="BW44">
        <v>0.7</v>
      </c>
      <c r="BX44">
        <v>0.8</v>
      </c>
      <c r="CC44">
        <v>0.5</v>
      </c>
      <c r="CD44">
        <v>1727.2727272727279</v>
      </c>
      <c r="FQ44">
        <v>0.35537190082644632</v>
      </c>
      <c r="FR44">
        <v>409.72665711112529</v>
      </c>
      <c r="FS44">
        <v>0.12990936555891239</v>
      </c>
      <c r="FT44">
        <v>401.55175944248418</v>
      </c>
      <c r="FU44">
        <v>0.35537190082644632</v>
      </c>
      <c r="FV44">
        <v>284.0900976608205</v>
      </c>
      <c r="FW44">
        <v>0.12990936555891239</v>
      </c>
      <c r="FX44">
        <v>282.26709848296559</v>
      </c>
      <c r="FY44">
        <v>0.35537190082644632</v>
      </c>
      <c r="FZ44">
        <v>3272.744306362581</v>
      </c>
      <c r="GA44">
        <v>0.12990936555891239</v>
      </c>
      <c r="GB44">
        <v>2342.0387895466588</v>
      </c>
      <c r="GC44">
        <v>0.35537190082644632</v>
      </c>
      <c r="GD44">
        <v>1054.1597165565561</v>
      </c>
      <c r="GE44">
        <v>0.12990936555891239</v>
      </c>
      <c r="GF44">
        <v>420.32728337968302</v>
      </c>
      <c r="GG44">
        <v>0.35537190082644632</v>
      </c>
      <c r="GH44">
        <v>0.58086090217559816</v>
      </c>
      <c r="GI44">
        <v>0.12990936555891239</v>
      </c>
      <c r="GJ44">
        <v>0.56417643637646786</v>
      </c>
      <c r="GK44">
        <v>0.35537190082644632</v>
      </c>
      <c r="GL44">
        <v>0.80389464636451347</v>
      </c>
      <c r="GM44">
        <v>0.12990936555891239</v>
      </c>
      <c r="GN44">
        <v>0.77298934314530143</v>
      </c>
      <c r="GO44">
        <v>0.35537190082644632</v>
      </c>
      <c r="GP44">
        <v>0.75100361373925306</v>
      </c>
      <c r="GQ44">
        <v>0.12990936555891239</v>
      </c>
      <c r="GR44">
        <v>0.6801127354551314</v>
      </c>
      <c r="GS44">
        <v>0.35537190082644632</v>
      </c>
      <c r="GT44">
        <v>0.70604169778650716</v>
      </c>
      <c r="GU44">
        <v>0.12990936555891239</v>
      </c>
      <c r="GV44">
        <v>0.64799904208748882</v>
      </c>
      <c r="GW44">
        <v>0.35537190082644632</v>
      </c>
      <c r="GX44">
        <v>0.73003017252707458</v>
      </c>
      <c r="GY44">
        <v>0.12990936555891239</v>
      </c>
      <c r="GZ44">
        <v>0.63909438133323837</v>
      </c>
      <c r="HA44">
        <v>0.35537190082644632</v>
      </c>
      <c r="HB44">
        <v>0.86360432633538453</v>
      </c>
      <c r="HC44">
        <v>0.12990936555891239</v>
      </c>
      <c r="HD44">
        <v>0.72642482563356436</v>
      </c>
      <c r="HE44">
        <v>1440.710131756108</v>
      </c>
      <c r="HF44">
        <v>2563.3423125394911</v>
      </c>
      <c r="HI44">
        <v>588.59523952306631</v>
      </c>
      <c r="HJ44">
        <v>2053.6846013053009</v>
      </c>
      <c r="HK44">
        <v>838.66486664302386</v>
      </c>
      <c r="HL44">
        <v>2226.8232820928129</v>
      </c>
      <c r="IU44">
        <v>439.75750084010292</v>
      </c>
      <c r="IV44">
        <v>2776.727436590294</v>
      </c>
      <c r="JA44">
        <v>0.82748534500520488</v>
      </c>
      <c r="JB44">
        <v>499.60190482529839</v>
      </c>
      <c r="KE44">
        <v>358.8222479218133</v>
      </c>
      <c r="KF44">
        <v>0.73796159817506191</v>
      </c>
      <c r="KK44">
        <v>809.10072952384576</v>
      </c>
      <c r="KL44">
        <v>2923.8459890556928</v>
      </c>
      <c r="KQ44">
        <v>0.95</v>
      </c>
      <c r="KR44">
        <v>405</v>
      </c>
      <c r="KY44">
        <v>0.95</v>
      </c>
      <c r="KZ44">
        <v>407.5</v>
      </c>
      <c r="MK44">
        <v>1100</v>
      </c>
      <c r="ML44">
        <v>0.88</v>
      </c>
    </row>
    <row r="45" spans="45:350" x14ac:dyDescent="0.3">
      <c r="AU45">
        <v>420</v>
      </c>
      <c r="AV45">
        <v>745.4545454545455</v>
      </c>
      <c r="BA45">
        <v>560</v>
      </c>
      <c r="BB45">
        <v>836.36363636363637</v>
      </c>
      <c r="BW45">
        <v>0.7</v>
      </c>
      <c r="BX45">
        <v>0.95</v>
      </c>
      <c r="FQ45">
        <v>0.36363636363636359</v>
      </c>
      <c r="FR45">
        <v>409.7590855798677</v>
      </c>
      <c r="FS45">
        <v>0.13293051359516619</v>
      </c>
      <c r="FT45">
        <v>401.68721413783652</v>
      </c>
      <c r="FU45">
        <v>0.36363636363636359</v>
      </c>
      <c r="FV45">
        <v>284.1159655769282</v>
      </c>
      <c r="FW45">
        <v>0.13293051359516619</v>
      </c>
      <c r="FX45">
        <v>282.36996059895688</v>
      </c>
      <c r="FY45">
        <v>0.36363636363636359</v>
      </c>
      <c r="FZ45">
        <v>3285.1841476987302</v>
      </c>
      <c r="GA45">
        <v>0.13293051359516619</v>
      </c>
      <c r="GB45">
        <v>2354.43524953111</v>
      </c>
      <c r="GC45">
        <v>0.36363636363636359</v>
      </c>
      <c r="GD45">
        <v>1057.1053586906589</v>
      </c>
      <c r="GE45">
        <v>0.13293051359516619</v>
      </c>
      <c r="GF45">
        <v>425.15595113974661</v>
      </c>
      <c r="GG45">
        <v>0.36363636363636359</v>
      </c>
      <c r="GH45">
        <v>0.5844227708410078</v>
      </c>
      <c r="GI45">
        <v>0.13293051359516619</v>
      </c>
      <c r="GJ45">
        <v>0.56459409128654392</v>
      </c>
      <c r="GK45">
        <v>0.36363636363636359</v>
      </c>
      <c r="GL45">
        <v>0.80552325907381617</v>
      </c>
      <c r="GM45">
        <v>0.13293051359516619</v>
      </c>
      <c r="GN45">
        <v>0.77330987701098297</v>
      </c>
      <c r="GO45">
        <v>0.36363636363636359</v>
      </c>
      <c r="GP45">
        <v>0.75477128374733815</v>
      </c>
      <c r="GQ45">
        <v>0.13293051359516619</v>
      </c>
      <c r="GR45">
        <v>0.68062054756487234</v>
      </c>
      <c r="GS45">
        <v>0.36363636363636359</v>
      </c>
      <c r="GT45">
        <v>0.71009457007934951</v>
      </c>
      <c r="GU45">
        <v>0.13293051359516619</v>
      </c>
      <c r="GV45">
        <v>0.64817386550608302</v>
      </c>
      <c r="GW45">
        <v>0.36363636363636359</v>
      </c>
      <c r="GX45">
        <v>0.73211608862088973</v>
      </c>
      <c r="GY45">
        <v>0.13293051359516619</v>
      </c>
      <c r="GZ45">
        <v>0.63909517008272554</v>
      </c>
      <c r="HA45">
        <v>0.36363636363636359</v>
      </c>
      <c r="HB45">
        <v>0.86434527636255576</v>
      </c>
      <c r="HC45">
        <v>0.13293051359516619</v>
      </c>
      <c r="HD45">
        <v>0.72711873727953213</v>
      </c>
      <c r="HE45">
        <v>1464.8674451240281</v>
      </c>
      <c r="HF45">
        <v>4702.2301842719844</v>
      </c>
      <c r="HI45">
        <v>433.38898524424292</v>
      </c>
      <c r="HJ45">
        <v>4520.1571961858281</v>
      </c>
      <c r="HK45">
        <v>993.79608221399837</v>
      </c>
      <c r="HL45">
        <v>4088.0459899288371</v>
      </c>
      <c r="IU45">
        <v>726.31676841161914</v>
      </c>
      <c r="IV45">
        <v>2884.7954406049612</v>
      </c>
      <c r="JA45">
        <v>0.7678992029010272</v>
      </c>
      <c r="JB45">
        <v>589.46987491276684</v>
      </c>
      <c r="KE45">
        <v>1584.0063760563639</v>
      </c>
      <c r="KF45">
        <v>0.77267643990798596</v>
      </c>
      <c r="KK45">
        <v>521.3504864564843</v>
      </c>
      <c r="KL45">
        <v>3479.4891550376169</v>
      </c>
      <c r="KQ45">
        <v>0.95</v>
      </c>
      <c r="KR45">
        <v>410</v>
      </c>
      <c r="KY45">
        <v>0.95</v>
      </c>
      <c r="KZ45">
        <v>410</v>
      </c>
      <c r="MK45">
        <v>1200</v>
      </c>
      <c r="ML45">
        <v>0.88</v>
      </c>
    </row>
    <row r="46" spans="45:350" x14ac:dyDescent="0.3">
      <c r="AU46">
        <v>390</v>
      </c>
      <c r="AV46">
        <v>445.4545454545455</v>
      </c>
      <c r="BA46">
        <v>560</v>
      </c>
      <c r="BB46">
        <v>1127.2727272727279</v>
      </c>
      <c r="BW46">
        <v>0.8</v>
      </c>
      <c r="BX46">
        <v>0.8</v>
      </c>
      <c r="FQ46">
        <v>0.37190082644628097</v>
      </c>
      <c r="FR46">
        <v>410.24654618411682</v>
      </c>
      <c r="FS46">
        <v>0.13595166163141989</v>
      </c>
      <c r="FT46">
        <v>401.72070720678801</v>
      </c>
      <c r="FU46">
        <v>0.37190082644628097</v>
      </c>
      <c r="FV46">
        <v>284.14500222152111</v>
      </c>
      <c r="FW46">
        <v>0.13595166163141989</v>
      </c>
      <c r="FX46">
        <v>282.46278127606968</v>
      </c>
      <c r="FY46">
        <v>0.37190082644628097</v>
      </c>
      <c r="FZ46">
        <v>3327.7722388455691</v>
      </c>
      <c r="GA46">
        <v>0.13595166163141989</v>
      </c>
      <c r="GB46">
        <v>2365.348117495867</v>
      </c>
      <c r="GC46">
        <v>0.37190082644628097</v>
      </c>
      <c r="GD46">
        <v>1074.270243330533</v>
      </c>
      <c r="GE46">
        <v>0.13595166163141989</v>
      </c>
      <c r="GF46">
        <v>427.55238855600192</v>
      </c>
      <c r="GG46">
        <v>0.37190082644628097</v>
      </c>
      <c r="GH46">
        <v>0.58448991706219633</v>
      </c>
      <c r="GI46">
        <v>0.13595166163141989</v>
      </c>
      <c r="GJ46">
        <v>0.56505371519251779</v>
      </c>
      <c r="GK46">
        <v>0.37190082644628097</v>
      </c>
      <c r="GL46">
        <v>0.80612925910517719</v>
      </c>
      <c r="GM46">
        <v>0.13595166163141989</v>
      </c>
      <c r="GN46">
        <v>0.77419766534496448</v>
      </c>
      <c r="GO46">
        <v>0.37190082644628097</v>
      </c>
      <c r="GP46">
        <v>0.75524508877349839</v>
      </c>
      <c r="GQ46">
        <v>0.13595166163141989</v>
      </c>
      <c r="GR46">
        <v>0.68101023163916474</v>
      </c>
      <c r="GS46">
        <v>0.37190082644628097</v>
      </c>
      <c r="GT46">
        <v>0.71470254032339986</v>
      </c>
      <c r="GU46">
        <v>0.13595166163141989</v>
      </c>
      <c r="GV46">
        <v>0.65007649756737773</v>
      </c>
      <c r="GW46">
        <v>0.37190082644628097</v>
      </c>
      <c r="GX46">
        <v>0.73227565601014</v>
      </c>
      <c r="GY46">
        <v>0.13595166163141989</v>
      </c>
      <c r="GZ46">
        <v>0.64001888850659661</v>
      </c>
      <c r="HA46">
        <v>0.37190082644628097</v>
      </c>
      <c r="HB46">
        <v>0.86649564797319423</v>
      </c>
      <c r="HC46">
        <v>0.13595166163141989</v>
      </c>
      <c r="HD46">
        <v>0.72726444665013146</v>
      </c>
      <c r="HE46">
        <v>1205.063074717169</v>
      </c>
      <c r="HF46">
        <v>3327.7722388455691</v>
      </c>
      <c r="HI46">
        <v>735.72630951178712</v>
      </c>
      <c r="HJ46">
        <v>2848.9165643215902</v>
      </c>
      <c r="HK46">
        <v>1365.887774483243</v>
      </c>
      <c r="HL46">
        <v>3588.7479973588529</v>
      </c>
      <c r="IU46">
        <v>222.47859140792281</v>
      </c>
      <c r="IV46">
        <v>2611.522347354427</v>
      </c>
      <c r="JA46">
        <v>0.73188226018078528</v>
      </c>
      <c r="JB46">
        <v>513.73839219943375</v>
      </c>
      <c r="KE46">
        <v>1495.349823108638</v>
      </c>
      <c r="KF46">
        <v>0.58856812185684915</v>
      </c>
      <c r="KK46">
        <v>1837.459855400399</v>
      </c>
      <c r="KL46">
        <v>4826.0114461448247</v>
      </c>
      <c r="MK46">
        <v>900</v>
      </c>
      <c r="ML46">
        <v>0.91</v>
      </c>
    </row>
    <row r="47" spans="45:350" x14ac:dyDescent="0.3">
      <c r="AU47">
        <v>390</v>
      </c>
      <c r="AV47">
        <v>445.4545454545455</v>
      </c>
      <c r="BA47">
        <v>560</v>
      </c>
      <c r="BB47">
        <v>981.81818181818198</v>
      </c>
      <c r="BW47">
        <v>0.8</v>
      </c>
      <c r="BX47">
        <v>0.75</v>
      </c>
      <c r="FQ47">
        <v>0.38016528925619841</v>
      </c>
      <c r="FR47">
        <v>410.48158306861251</v>
      </c>
      <c r="FS47">
        <v>0.1389728096676737</v>
      </c>
      <c r="FT47">
        <v>402.27112091919707</v>
      </c>
      <c r="FU47">
        <v>0.38016528925619841</v>
      </c>
      <c r="FV47">
        <v>284.24926060018561</v>
      </c>
      <c r="FW47">
        <v>0.1389728096676737</v>
      </c>
      <c r="FX47">
        <v>282.48802848170112</v>
      </c>
      <c r="FY47">
        <v>0.38016528925619841</v>
      </c>
      <c r="FZ47">
        <v>3349.66301260008</v>
      </c>
      <c r="GA47">
        <v>0.1389728096676737</v>
      </c>
      <c r="GB47">
        <v>2372.3373250665541</v>
      </c>
      <c r="GC47">
        <v>0.38016528925619841</v>
      </c>
      <c r="GD47">
        <v>1074.925149433288</v>
      </c>
      <c r="GE47">
        <v>0.1389728096676737</v>
      </c>
      <c r="GF47">
        <v>428.45592024197299</v>
      </c>
      <c r="GG47">
        <v>0.38016528925619841</v>
      </c>
      <c r="GH47">
        <v>0.58624052828224626</v>
      </c>
      <c r="GI47">
        <v>0.1389728096676737</v>
      </c>
      <c r="GJ47">
        <v>0.56659420731310717</v>
      </c>
      <c r="GK47">
        <v>0.38016528925619841</v>
      </c>
      <c r="GL47">
        <v>0.81030959304680417</v>
      </c>
      <c r="GM47">
        <v>0.1389728096676737</v>
      </c>
      <c r="GN47">
        <v>0.77431982224976492</v>
      </c>
      <c r="GO47">
        <v>0.38016528925619841</v>
      </c>
      <c r="GP47">
        <v>0.75718416600540706</v>
      </c>
      <c r="GQ47">
        <v>0.1389728096676737</v>
      </c>
      <c r="GR47">
        <v>0.68232212722144059</v>
      </c>
      <c r="GS47">
        <v>0.38016528925619841</v>
      </c>
      <c r="GT47">
        <v>0.71740666071542691</v>
      </c>
      <c r="GU47">
        <v>0.1389728096676737</v>
      </c>
      <c r="GV47">
        <v>0.65011046053647159</v>
      </c>
      <c r="GW47">
        <v>0.38016528925619841</v>
      </c>
      <c r="GX47">
        <v>0.73337069956520529</v>
      </c>
      <c r="GY47">
        <v>0.1389728096676737</v>
      </c>
      <c r="GZ47">
        <v>0.6418483745740059</v>
      </c>
      <c r="HA47">
        <v>0.38016528925619841</v>
      </c>
      <c r="HB47">
        <v>0.86748356191717746</v>
      </c>
      <c r="HC47">
        <v>0.1389728096676737</v>
      </c>
      <c r="HD47">
        <v>0.72805689127828555</v>
      </c>
      <c r="HE47">
        <v>976.81384720259041</v>
      </c>
      <c r="HF47">
        <v>4588.9170367828992</v>
      </c>
      <c r="HI47">
        <v>1431.58017366385</v>
      </c>
      <c r="HJ47">
        <v>2529.1346364176538</v>
      </c>
      <c r="HK47">
        <v>729.64193002893887</v>
      </c>
      <c r="HL47">
        <v>4771.9287158677535</v>
      </c>
      <c r="IU47">
        <v>796.80535791092836</v>
      </c>
      <c r="IV47">
        <v>2270.238421742054</v>
      </c>
      <c r="KE47">
        <v>875.80031927500045</v>
      </c>
      <c r="KF47">
        <v>0.84451935292790692</v>
      </c>
      <c r="KK47">
        <v>240.565599861495</v>
      </c>
      <c r="KL47">
        <v>2097.8080807033689</v>
      </c>
      <c r="MK47">
        <v>800</v>
      </c>
      <c r="ML47">
        <v>0.91</v>
      </c>
    </row>
    <row r="48" spans="45:350" x14ac:dyDescent="0.3">
      <c r="AU48">
        <v>420</v>
      </c>
      <c r="AV48">
        <v>736.36363636363649</v>
      </c>
      <c r="BA48">
        <v>560</v>
      </c>
      <c r="BB48">
        <v>1272.727272727273</v>
      </c>
      <c r="BW48">
        <v>0.8</v>
      </c>
      <c r="BX48">
        <v>0.85</v>
      </c>
      <c r="FQ48">
        <v>0.38842975206611569</v>
      </c>
      <c r="FR48">
        <v>411.32193811998241</v>
      </c>
      <c r="FS48">
        <v>0.1419939577039275</v>
      </c>
      <c r="FT48">
        <v>402.6646742529997</v>
      </c>
      <c r="FU48">
        <v>0.38842975206611569</v>
      </c>
      <c r="FV48">
        <v>284.31535602168879</v>
      </c>
      <c r="FW48">
        <v>0.1419939577039275</v>
      </c>
      <c r="FX48">
        <v>282.63586338681631</v>
      </c>
      <c r="FY48">
        <v>0.38842975206611569</v>
      </c>
      <c r="FZ48">
        <v>3353.2346775751012</v>
      </c>
      <c r="GA48">
        <v>0.1419939577039275</v>
      </c>
      <c r="GB48">
        <v>2382.9398979445341</v>
      </c>
      <c r="GC48">
        <v>0.38842975206611569</v>
      </c>
      <c r="GD48">
        <v>1090.2461419681731</v>
      </c>
      <c r="GE48">
        <v>0.1419939577039275</v>
      </c>
      <c r="GF48">
        <v>433.38898524424292</v>
      </c>
      <c r="GG48">
        <v>0.38842975206611569</v>
      </c>
      <c r="GH48">
        <v>0.59596049039899957</v>
      </c>
      <c r="GI48">
        <v>0.1419939577039275</v>
      </c>
      <c r="GJ48">
        <v>0.56814116480429899</v>
      </c>
      <c r="GK48">
        <v>0.38842975206611569</v>
      </c>
      <c r="GL48">
        <v>0.81207628504874041</v>
      </c>
      <c r="GM48">
        <v>0.1419939577039275</v>
      </c>
      <c r="GN48">
        <v>0.77477697651739863</v>
      </c>
      <c r="GO48">
        <v>0.38842975206611569</v>
      </c>
      <c r="GP48">
        <v>0.75846594650592913</v>
      </c>
      <c r="GQ48">
        <v>0.1419939577039275</v>
      </c>
      <c r="GR48">
        <v>0.6823537805757488</v>
      </c>
      <c r="GS48">
        <v>0.38842975206611569</v>
      </c>
      <c r="GT48">
        <v>0.7236997155909346</v>
      </c>
      <c r="GU48">
        <v>0.1419939577039275</v>
      </c>
      <c r="GV48">
        <v>0.65405110382314957</v>
      </c>
      <c r="GW48">
        <v>0.38842975206611569</v>
      </c>
      <c r="GX48">
        <v>0.73679749195202227</v>
      </c>
      <c r="GY48">
        <v>0.1419939577039275</v>
      </c>
      <c r="GZ48">
        <v>0.64412637000768214</v>
      </c>
      <c r="HA48">
        <v>0.38842975206611569</v>
      </c>
      <c r="HB48">
        <v>0.86750530033877904</v>
      </c>
      <c r="HC48">
        <v>0.1419939577039275</v>
      </c>
      <c r="HD48">
        <v>0.72870681469392229</v>
      </c>
      <c r="HE48">
        <v>1122.4565306097729</v>
      </c>
      <c r="HF48">
        <v>3491.4291474903262</v>
      </c>
      <c r="HI48">
        <v>659.3942285039368</v>
      </c>
      <c r="HJ48">
        <v>2712.8597105407371</v>
      </c>
      <c r="HK48">
        <v>412.43068781447948</v>
      </c>
      <c r="HL48">
        <v>4983.5011692621592</v>
      </c>
      <c r="IU48">
        <v>780.69535184295637</v>
      </c>
      <c r="IV48">
        <v>4094.9566647205888</v>
      </c>
      <c r="KE48">
        <v>508.9121396980824</v>
      </c>
      <c r="KF48">
        <v>0.56150296822458812</v>
      </c>
      <c r="KK48">
        <v>1660.2219786159519</v>
      </c>
      <c r="KL48">
        <v>4483.9874639660939</v>
      </c>
      <c r="MK48">
        <v>1000</v>
      </c>
      <c r="ML48">
        <v>0.91</v>
      </c>
    </row>
    <row r="49" spans="47:350" x14ac:dyDescent="0.3">
      <c r="AU49">
        <v>420</v>
      </c>
      <c r="AV49">
        <v>736.36363636363649</v>
      </c>
      <c r="BA49">
        <v>560</v>
      </c>
      <c r="BB49">
        <v>1418.181818181818</v>
      </c>
      <c r="BW49">
        <v>0.8</v>
      </c>
      <c r="BX49">
        <v>0.89999999999999991</v>
      </c>
      <c r="FQ49">
        <v>0.39669421487603312</v>
      </c>
      <c r="FR49">
        <v>412.29690339395819</v>
      </c>
      <c r="FS49">
        <v>0.14501510574018131</v>
      </c>
      <c r="FT49">
        <v>402.6685604467641</v>
      </c>
      <c r="FU49">
        <v>0.39669421487603312</v>
      </c>
      <c r="FV49">
        <v>284.5692239785941</v>
      </c>
      <c r="FW49">
        <v>0.14501510574018131</v>
      </c>
      <c r="FX49">
        <v>282.65194940282169</v>
      </c>
      <c r="FY49">
        <v>0.39669421487603312</v>
      </c>
      <c r="FZ49">
        <v>3382.467325858066</v>
      </c>
      <c r="GA49">
        <v>0.14501510574018131</v>
      </c>
      <c r="GB49">
        <v>2384.0500626484618</v>
      </c>
      <c r="GC49">
        <v>0.39669421487603312</v>
      </c>
      <c r="GD49">
        <v>1106.3390206251161</v>
      </c>
      <c r="GE49">
        <v>0.14501510574018131</v>
      </c>
      <c r="GF49">
        <v>436.21329595773551</v>
      </c>
      <c r="GG49">
        <v>0.39669421487603312</v>
      </c>
      <c r="GH49">
        <v>0.5961702593981435</v>
      </c>
      <c r="GI49">
        <v>0.14501510574018131</v>
      </c>
      <c r="GJ49">
        <v>0.56959765249234406</v>
      </c>
      <c r="GK49">
        <v>0.39669421487603312</v>
      </c>
      <c r="GL49">
        <v>0.81287772199734187</v>
      </c>
      <c r="GM49">
        <v>0.14501510574018131</v>
      </c>
      <c r="GN49">
        <v>0.77493663121809031</v>
      </c>
      <c r="GO49">
        <v>0.39669421487603312</v>
      </c>
      <c r="GP49">
        <v>0.75947979459921044</v>
      </c>
      <c r="GQ49">
        <v>0.14501510574018131</v>
      </c>
      <c r="GR49">
        <v>0.68293259475974855</v>
      </c>
      <c r="GS49">
        <v>0.39669421487603312</v>
      </c>
      <c r="GT49">
        <v>0.73023354854986544</v>
      </c>
      <c r="GU49">
        <v>0.14501510574018131</v>
      </c>
      <c r="GV49">
        <v>0.65575130200470799</v>
      </c>
      <c r="GW49">
        <v>0.39669421487603312</v>
      </c>
      <c r="GX49">
        <v>0.73819931082128032</v>
      </c>
      <c r="GY49">
        <v>0.14501510574018131</v>
      </c>
      <c r="GZ49">
        <v>0.6443979835417516</v>
      </c>
      <c r="HA49">
        <v>0.39669421487603312</v>
      </c>
      <c r="HB49">
        <v>0.86995981696144331</v>
      </c>
      <c r="HC49">
        <v>0.14501510574018131</v>
      </c>
      <c r="HD49">
        <v>0.72878893344991647</v>
      </c>
      <c r="HE49">
        <v>709.6704518480492</v>
      </c>
      <c r="HF49">
        <v>2761.6869955712159</v>
      </c>
      <c r="HI49">
        <v>792.86217315303668</v>
      </c>
      <c r="HJ49">
        <v>2064.353382930798</v>
      </c>
      <c r="HK49">
        <v>786.24428223266159</v>
      </c>
      <c r="HL49">
        <v>2333.0929697254128</v>
      </c>
      <c r="IU49">
        <v>1896.9266868107779</v>
      </c>
      <c r="IV49">
        <v>3112.6688341816189</v>
      </c>
      <c r="KE49">
        <v>1820.487842189958</v>
      </c>
      <c r="KF49">
        <v>0.61724596416677491</v>
      </c>
      <c r="KK49">
        <v>1233.8873437627251</v>
      </c>
      <c r="KL49">
        <v>3345.5467934611488</v>
      </c>
      <c r="MK49">
        <v>1100</v>
      </c>
      <c r="ML49">
        <v>0.91</v>
      </c>
    </row>
    <row r="50" spans="47:350" x14ac:dyDescent="0.3">
      <c r="BA50">
        <v>560</v>
      </c>
      <c r="BB50">
        <v>1563.636363636364</v>
      </c>
      <c r="FQ50">
        <v>0.4049586776859504</v>
      </c>
      <c r="FR50">
        <v>412.53689324532633</v>
      </c>
      <c r="FS50">
        <v>0.14803625377643501</v>
      </c>
      <c r="FT50">
        <v>402.94664801541938</v>
      </c>
      <c r="FU50">
        <v>0.4049586776859504</v>
      </c>
      <c r="FV50">
        <v>284.5982305327081</v>
      </c>
      <c r="FW50">
        <v>0.14803625377643501</v>
      </c>
      <c r="FX50">
        <v>282.75256940808981</v>
      </c>
      <c r="FY50">
        <v>0.4049586776859504</v>
      </c>
      <c r="FZ50">
        <v>3396.524525340546</v>
      </c>
      <c r="GA50">
        <v>0.14803625377643501</v>
      </c>
      <c r="GB50">
        <v>2394.6215374954609</v>
      </c>
      <c r="GC50">
        <v>0.4049586776859504</v>
      </c>
      <c r="GD50">
        <v>1106.6535202822031</v>
      </c>
      <c r="GE50">
        <v>0.14803625377643501</v>
      </c>
      <c r="GF50">
        <v>437.2631795050562</v>
      </c>
      <c r="GG50">
        <v>0.4049586776859504</v>
      </c>
      <c r="GH50">
        <v>0.59918241442558928</v>
      </c>
      <c r="GI50">
        <v>0.14803625377643501</v>
      </c>
      <c r="GJ50">
        <v>0.57086807264621375</v>
      </c>
      <c r="GK50">
        <v>0.4049586776859504</v>
      </c>
      <c r="GL50">
        <v>0.81366294443795462</v>
      </c>
      <c r="GM50">
        <v>0.14803625377643501</v>
      </c>
      <c r="GN50">
        <v>0.77651861541172473</v>
      </c>
      <c r="GO50">
        <v>0.4049586776859504</v>
      </c>
      <c r="GP50">
        <v>0.76248441026595992</v>
      </c>
      <c r="GQ50">
        <v>0.14803625377643501</v>
      </c>
      <c r="GR50">
        <v>0.68331765605660588</v>
      </c>
      <c r="GS50">
        <v>0.4049586776859504</v>
      </c>
      <c r="GT50">
        <v>0.73607995945116445</v>
      </c>
      <c r="GU50">
        <v>0.14803625377643501</v>
      </c>
      <c r="GV50">
        <v>0.65578315509980012</v>
      </c>
      <c r="GW50">
        <v>0.4049586776859504</v>
      </c>
      <c r="GX50">
        <v>0.74348763910866555</v>
      </c>
      <c r="GY50">
        <v>0.14803625377643501</v>
      </c>
      <c r="GZ50">
        <v>0.64497648850272882</v>
      </c>
      <c r="HA50">
        <v>0.4049586776859504</v>
      </c>
      <c r="HB50">
        <v>0.87064698613975677</v>
      </c>
      <c r="HC50">
        <v>0.14803625377643501</v>
      </c>
      <c r="HD50">
        <v>0.72978429138645984</v>
      </c>
      <c r="HE50">
        <v>1295.157266668871</v>
      </c>
      <c r="HF50">
        <v>2005.3950733036199</v>
      </c>
      <c r="HI50">
        <v>861.98322112454161</v>
      </c>
      <c r="HJ50">
        <v>4578.7454571058825</v>
      </c>
      <c r="HK50">
        <v>1054.642460606296</v>
      </c>
      <c r="HL50">
        <v>2101.2816918460849</v>
      </c>
      <c r="IU50">
        <v>508.00009975005651</v>
      </c>
      <c r="IV50">
        <v>2979.3880036330202</v>
      </c>
      <c r="KE50">
        <v>893.06640696951501</v>
      </c>
      <c r="KF50">
        <v>0.66135043066693955</v>
      </c>
      <c r="KK50">
        <v>348.3356244134676</v>
      </c>
      <c r="KL50">
        <v>2842.222597328956</v>
      </c>
      <c r="MK50">
        <v>1200</v>
      </c>
      <c r="ML50">
        <v>0.91</v>
      </c>
    </row>
    <row r="51" spans="47:350" x14ac:dyDescent="0.3">
      <c r="BA51">
        <v>560</v>
      </c>
      <c r="BB51">
        <v>1709.090909090909</v>
      </c>
      <c r="FQ51">
        <v>0.41322314049586778</v>
      </c>
      <c r="FR51">
        <v>414.26480552734762</v>
      </c>
      <c r="FS51">
        <v>0.15105740181268881</v>
      </c>
      <c r="FT51">
        <v>403.68511963190582</v>
      </c>
      <c r="FU51">
        <v>0.41322314049586778</v>
      </c>
      <c r="FV51">
        <v>284.78307492780817</v>
      </c>
      <c r="FW51">
        <v>0.15105740181268881</v>
      </c>
      <c r="FX51">
        <v>282.79541256448852</v>
      </c>
      <c r="FY51">
        <v>0.41322314049586778</v>
      </c>
      <c r="FZ51">
        <v>3416.9200649321838</v>
      </c>
      <c r="GA51">
        <v>0.15105740181268881</v>
      </c>
      <c r="GB51">
        <v>2399.0203936828798</v>
      </c>
      <c r="GC51">
        <v>0.41322314049586778</v>
      </c>
      <c r="GD51">
        <v>1110.860657709698</v>
      </c>
      <c r="GE51">
        <v>0.15105740181268881</v>
      </c>
      <c r="GF51">
        <v>440.89117872893138</v>
      </c>
      <c r="GG51">
        <v>0.41322314049586778</v>
      </c>
      <c r="GH51">
        <v>0.60218844581848674</v>
      </c>
      <c r="GI51">
        <v>0.15105740181268881</v>
      </c>
      <c r="GJ51">
        <v>0.57149800509950199</v>
      </c>
      <c r="GK51">
        <v>0.41322314049586778</v>
      </c>
      <c r="GL51">
        <v>0.814750343547199</v>
      </c>
      <c r="GM51">
        <v>0.15105740181268881</v>
      </c>
      <c r="GN51">
        <v>0.77693588616046483</v>
      </c>
      <c r="GO51">
        <v>0.41322314049586778</v>
      </c>
      <c r="GP51">
        <v>0.76581480273343061</v>
      </c>
      <c r="GQ51">
        <v>0.15105740181268881</v>
      </c>
      <c r="GR51">
        <v>0.68388403803932429</v>
      </c>
      <c r="GS51">
        <v>0.41322314049586778</v>
      </c>
      <c r="GT51">
        <v>0.73872467941255338</v>
      </c>
      <c r="GU51">
        <v>0.15105740181268881</v>
      </c>
      <c r="GV51">
        <v>0.65804673000488922</v>
      </c>
      <c r="GW51">
        <v>0.41322314049586778</v>
      </c>
      <c r="GX51">
        <v>0.74407965060485814</v>
      </c>
      <c r="GY51">
        <v>0.15105740181268881</v>
      </c>
      <c r="GZ51">
        <v>0.64611829335026305</v>
      </c>
      <c r="HA51">
        <v>0.41322314049586778</v>
      </c>
      <c r="HB51">
        <v>0.87096245611530709</v>
      </c>
      <c r="HC51">
        <v>0.15105740181268881</v>
      </c>
      <c r="HD51">
        <v>0.73015998223522782</v>
      </c>
      <c r="HE51">
        <v>1218.7801970745261</v>
      </c>
      <c r="HF51">
        <v>2422.6693076928009</v>
      </c>
      <c r="HI51">
        <v>316.56991964023939</v>
      </c>
      <c r="HJ51">
        <v>2820.6316503974258</v>
      </c>
      <c r="HK51">
        <v>1008.827607153711</v>
      </c>
      <c r="HL51">
        <v>4386.3843412594697</v>
      </c>
      <c r="IU51">
        <v>1153.1459118808541</v>
      </c>
      <c r="IV51">
        <v>4258.4414246327578</v>
      </c>
      <c r="KE51">
        <v>969.11098839840236</v>
      </c>
      <c r="KF51">
        <v>0.84794134158988443</v>
      </c>
      <c r="KK51">
        <v>899.63899210198167</v>
      </c>
      <c r="KL51">
        <v>4890.4362412959854</v>
      </c>
      <c r="MK51">
        <v>200</v>
      </c>
      <c r="ML51">
        <v>0.5</v>
      </c>
    </row>
    <row r="52" spans="47:350" x14ac:dyDescent="0.3">
      <c r="BA52">
        <v>560</v>
      </c>
      <c r="BB52">
        <v>1854.545454545455</v>
      </c>
      <c r="FQ52">
        <v>0.42148760330578511</v>
      </c>
      <c r="FR52">
        <v>414.41866290177529</v>
      </c>
      <c r="FS52">
        <v>0.15407854984894259</v>
      </c>
      <c r="FT52">
        <v>404.4821729889797</v>
      </c>
      <c r="FU52">
        <v>0.42148760330578511</v>
      </c>
      <c r="FV52">
        <v>285.03349885655342</v>
      </c>
      <c r="FW52">
        <v>0.15407854984894259</v>
      </c>
      <c r="FX52">
        <v>282.85033248787511</v>
      </c>
      <c r="FY52">
        <v>0.42148760330578511</v>
      </c>
      <c r="FZ52">
        <v>3429.232588331723</v>
      </c>
      <c r="GA52">
        <v>0.15407854984894259</v>
      </c>
      <c r="GB52">
        <v>2400.0708529909639</v>
      </c>
      <c r="GC52">
        <v>0.42148760330578511</v>
      </c>
      <c r="GD52">
        <v>1112.70454033647</v>
      </c>
      <c r="GE52">
        <v>0.15407854984894259</v>
      </c>
      <c r="GF52">
        <v>443.7957771416111</v>
      </c>
      <c r="GG52">
        <v>0.42148760330578511</v>
      </c>
      <c r="GH52">
        <v>0.6055933834579269</v>
      </c>
      <c r="GI52">
        <v>0.15407854984894259</v>
      </c>
      <c r="GJ52">
        <v>0.57425897601366227</v>
      </c>
      <c r="GK52">
        <v>0.42148760330578511</v>
      </c>
      <c r="GL52">
        <v>0.81601240090633231</v>
      </c>
      <c r="GM52">
        <v>0.15407854984894259</v>
      </c>
      <c r="GN52">
        <v>0.7770092817925025</v>
      </c>
      <c r="GO52">
        <v>0.42148760330578511</v>
      </c>
      <c r="GP52">
        <v>0.7697905616124896</v>
      </c>
      <c r="GQ52">
        <v>0.15407854984894259</v>
      </c>
      <c r="GR52">
        <v>0.68441566735484072</v>
      </c>
      <c r="GS52">
        <v>0.42148760330578511</v>
      </c>
      <c r="GT52">
        <v>0.73884542827599753</v>
      </c>
      <c r="GU52">
        <v>0.15407854984894259</v>
      </c>
      <c r="GV52">
        <v>0.65938373202226397</v>
      </c>
      <c r="GW52">
        <v>0.42148760330578511</v>
      </c>
      <c r="GX52">
        <v>0.74514050831239254</v>
      </c>
      <c r="GY52">
        <v>0.15407854984894259</v>
      </c>
      <c r="GZ52">
        <v>0.64743885080120667</v>
      </c>
      <c r="HA52">
        <v>0.42148760330578511</v>
      </c>
      <c r="HB52">
        <v>0.8714601439843408</v>
      </c>
      <c r="HC52">
        <v>0.15407854984894259</v>
      </c>
      <c r="HD52">
        <v>0.73027202443310157</v>
      </c>
      <c r="HE52">
        <v>1425.5349156944339</v>
      </c>
      <c r="HF52">
        <v>4359.3132392455918</v>
      </c>
      <c r="HI52">
        <v>871.91060596327191</v>
      </c>
      <c r="HJ52">
        <v>2382.9398979445341</v>
      </c>
      <c r="HK52">
        <v>637.57121294509466</v>
      </c>
      <c r="HL52">
        <v>3879.922616987305</v>
      </c>
      <c r="IU52">
        <v>597.21508964360532</v>
      </c>
      <c r="IV52">
        <v>2670.2140366660728</v>
      </c>
      <c r="KE52">
        <v>1231.2108518172799</v>
      </c>
      <c r="KF52">
        <v>0.84176658861814402</v>
      </c>
      <c r="KK52">
        <v>1577.8514694888829</v>
      </c>
      <c r="KL52">
        <v>3936.1532367528371</v>
      </c>
      <c r="MK52">
        <v>300</v>
      </c>
      <c r="ML52">
        <v>0.5</v>
      </c>
    </row>
    <row r="53" spans="47:350" x14ac:dyDescent="0.3">
      <c r="BA53">
        <v>560</v>
      </c>
      <c r="BB53">
        <v>2000</v>
      </c>
      <c r="FQ53">
        <v>0.42975206611570249</v>
      </c>
      <c r="FR53">
        <v>414.9726031343597</v>
      </c>
      <c r="FS53">
        <v>0.1570996978851964</v>
      </c>
      <c r="FT53">
        <v>404.7273922731768</v>
      </c>
      <c r="FU53">
        <v>0.42975206611570249</v>
      </c>
      <c r="FV53">
        <v>285.46139213031199</v>
      </c>
      <c r="FW53">
        <v>0.1570996978851964</v>
      </c>
      <c r="FX53">
        <v>283.12528634335348</v>
      </c>
      <c r="FY53">
        <v>0.42975206611570249</v>
      </c>
      <c r="FZ53">
        <v>3473.563613239317</v>
      </c>
      <c r="GA53">
        <v>0.1570996978851964</v>
      </c>
      <c r="GB53">
        <v>2410.5086122380399</v>
      </c>
      <c r="GC53">
        <v>0.42975206611570249</v>
      </c>
      <c r="GD53">
        <v>1122.4565306097729</v>
      </c>
      <c r="GE53">
        <v>0.1570996978851964</v>
      </c>
      <c r="GF53">
        <v>444.46482910916859</v>
      </c>
      <c r="GG53">
        <v>0.42975206611570249</v>
      </c>
      <c r="GH53">
        <v>0.61413296734675438</v>
      </c>
      <c r="GI53">
        <v>0.1570996978851964</v>
      </c>
      <c r="GJ53">
        <v>0.57499383535701964</v>
      </c>
      <c r="GK53">
        <v>0.42975206611570249</v>
      </c>
      <c r="GL53">
        <v>0.8165518125435598</v>
      </c>
      <c r="GM53">
        <v>0.1570996978851964</v>
      </c>
      <c r="GN53">
        <v>0.77724661233159931</v>
      </c>
      <c r="GO53">
        <v>0.42975206611570249</v>
      </c>
      <c r="GP53">
        <v>0.77100302228177031</v>
      </c>
      <c r="GQ53">
        <v>0.1570996978851964</v>
      </c>
      <c r="GR53">
        <v>0.684882767281219</v>
      </c>
      <c r="GS53">
        <v>0.42975206611570249</v>
      </c>
      <c r="GT53">
        <v>0.74096468002348082</v>
      </c>
      <c r="GU53">
        <v>0.1570996978851964</v>
      </c>
      <c r="GV53">
        <v>0.65959854162743992</v>
      </c>
      <c r="GW53">
        <v>0.42975206611570249</v>
      </c>
      <c r="GX53">
        <v>0.74785357738122205</v>
      </c>
      <c r="GY53">
        <v>0.1570996978851964</v>
      </c>
      <c r="GZ53">
        <v>0.64782937737839741</v>
      </c>
      <c r="HA53">
        <v>0.42975206611570249</v>
      </c>
      <c r="HB53">
        <v>0.87768159489932529</v>
      </c>
      <c r="HC53">
        <v>0.1570996978851964</v>
      </c>
      <c r="HD53">
        <v>0.73095079326565282</v>
      </c>
      <c r="HE53">
        <v>1316.0522888974849</v>
      </c>
      <c r="HF53">
        <v>2219.0482717092532</v>
      </c>
      <c r="HI53">
        <v>769.41760071309363</v>
      </c>
      <c r="HJ53">
        <v>2770.7359086313959</v>
      </c>
      <c r="HK53">
        <v>1063.7010080151611</v>
      </c>
      <c r="HL53">
        <v>3716.2500186053762</v>
      </c>
      <c r="IU53">
        <v>1682.8471164232919</v>
      </c>
      <c r="IV53">
        <v>4440.0006621728153</v>
      </c>
      <c r="KE53">
        <v>442.84815451284868</v>
      </c>
      <c r="KF53">
        <v>0.5244297991410477</v>
      </c>
      <c r="KK53">
        <v>1950.31158710057</v>
      </c>
      <c r="KL53">
        <v>4927.0690120782401</v>
      </c>
      <c r="MK53">
        <v>700</v>
      </c>
      <c r="ML53">
        <v>0.5</v>
      </c>
    </row>
    <row r="54" spans="47:350" x14ac:dyDescent="0.3">
      <c r="BA54">
        <v>434</v>
      </c>
      <c r="BB54">
        <v>909.09090909090924</v>
      </c>
      <c r="FQ54">
        <v>0.43801652892561982</v>
      </c>
      <c r="FR54">
        <v>415.28064652950411</v>
      </c>
      <c r="FS54">
        <v>0.16012084592145021</v>
      </c>
      <c r="FT54">
        <v>405.77406549380203</v>
      </c>
      <c r="FU54">
        <v>0.43801652892561982</v>
      </c>
      <c r="FV54">
        <v>285.70212888912948</v>
      </c>
      <c r="FW54">
        <v>0.16012084592145021</v>
      </c>
      <c r="FX54">
        <v>283.18258191979868</v>
      </c>
      <c r="FY54">
        <v>0.43801652892561982</v>
      </c>
      <c r="FZ54">
        <v>3478.2171267138501</v>
      </c>
      <c r="GA54">
        <v>0.16012084592145021</v>
      </c>
      <c r="GB54">
        <v>2419.5677954772191</v>
      </c>
      <c r="GC54">
        <v>0.43801652892561982</v>
      </c>
      <c r="GD54">
        <v>1134.585646055689</v>
      </c>
      <c r="GE54">
        <v>0.16012084592145021</v>
      </c>
      <c r="GF54">
        <v>446.0033245334352</v>
      </c>
      <c r="GG54">
        <v>0.43801652892561982</v>
      </c>
      <c r="GH54">
        <v>0.61488157406739241</v>
      </c>
      <c r="GI54">
        <v>0.16012084592145021</v>
      </c>
      <c r="GJ54">
        <v>0.57642669991558471</v>
      </c>
      <c r="GK54">
        <v>0.43801652892561982</v>
      </c>
      <c r="GL54">
        <v>0.81788878788607777</v>
      </c>
      <c r="GM54">
        <v>0.16012084592145021</v>
      </c>
      <c r="GN54">
        <v>0.77732472533019126</v>
      </c>
      <c r="GO54">
        <v>0.43801652892561982</v>
      </c>
      <c r="GP54">
        <v>0.77124488356109111</v>
      </c>
      <c r="GQ54">
        <v>0.16012084592145021</v>
      </c>
      <c r="GR54">
        <v>0.68522914704345017</v>
      </c>
      <c r="GS54">
        <v>0.43801652892561982</v>
      </c>
      <c r="GT54">
        <v>0.74632777326816147</v>
      </c>
      <c r="GU54">
        <v>0.16012084592145021</v>
      </c>
      <c r="GV54">
        <v>0.66015864441169447</v>
      </c>
      <c r="GW54">
        <v>0.43801652892561982</v>
      </c>
      <c r="GX54">
        <v>0.75357828012422312</v>
      </c>
      <c r="GY54">
        <v>0.16012084592145021</v>
      </c>
      <c r="GZ54">
        <v>0.64841403197595349</v>
      </c>
      <c r="HA54">
        <v>0.43801652892561982</v>
      </c>
      <c r="HB54">
        <v>0.8789548877363722</v>
      </c>
      <c r="HC54">
        <v>0.16012084592145021</v>
      </c>
      <c r="HD54">
        <v>0.73125363428086798</v>
      </c>
      <c r="HE54">
        <v>1253.662661973812</v>
      </c>
      <c r="HF54">
        <v>2291.415835900696</v>
      </c>
      <c r="HI54">
        <v>1329.3637888743431</v>
      </c>
      <c r="HJ54">
        <v>4447.3091464378576</v>
      </c>
      <c r="HK54">
        <v>368.90350075581171</v>
      </c>
      <c r="HL54">
        <v>4457.1334767294848</v>
      </c>
      <c r="IU54">
        <v>1447.740268610238</v>
      </c>
      <c r="IV54">
        <v>2317.5183035960299</v>
      </c>
      <c r="KE54">
        <v>1801.3018866003281</v>
      </c>
      <c r="KF54">
        <v>0.80760915253804066</v>
      </c>
      <c r="KK54">
        <v>1382.20115223934</v>
      </c>
      <c r="KL54">
        <v>2615.3973673685318</v>
      </c>
      <c r="MK54">
        <v>400</v>
      </c>
      <c r="ML54">
        <v>0.5</v>
      </c>
    </row>
    <row r="55" spans="47:350" x14ac:dyDescent="0.3">
      <c r="BA55">
        <v>434</v>
      </c>
      <c r="BB55">
        <v>909.09090909090924</v>
      </c>
      <c r="FQ55">
        <v>0.4462809917355372</v>
      </c>
      <c r="FR55">
        <v>416.51130511398691</v>
      </c>
      <c r="FS55">
        <v>0.1631419939577039</v>
      </c>
      <c r="FT55">
        <v>407.42535509811643</v>
      </c>
      <c r="FU55">
        <v>0.4462809917355372</v>
      </c>
      <c r="FV55">
        <v>285.72987626514799</v>
      </c>
      <c r="FW55">
        <v>0.1631419939577039</v>
      </c>
      <c r="FX55">
        <v>283.2203811345309</v>
      </c>
      <c r="FY55">
        <v>0.4462809917355372</v>
      </c>
      <c r="FZ55">
        <v>3481.8230245237678</v>
      </c>
      <c r="GA55">
        <v>0.1631419939577039</v>
      </c>
      <c r="GB55">
        <v>2443.769872928237</v>
      </c>
      <c r="GC55">
        <v>0.4462809917355372</v>
      </c>
      <c r="GD55">
        <v>1139.94078496408</v>
      </c>
      <c r="GE55">
        <v>0.1631419939577039</v>
      </c>
      <c r="GF55">
        <v>451.18496691954749</v>
      </c>
      <c r="GG55">
        <v>0.4462809917355372</v>
      </c>
      <c r="GH55">
        <v>0.61859067847805527</v>
      </c>
      <c r="GI55">
        <v>0.1631419939577039</v>
      </c>
      <c r="GJ55">
        <v>0.5779922827154379</v>
      </c>
      <c r="GK55">
        <v>0.4462809917355372</v>
      </c>
      <c r="GL55">
        <v>0.81845428546195897</v>
      </c>
      <c r="GM55">
        <v>0.1631419939577039</v>
      </c>
      <c r="GN55">
        <v>0.77816229717093421</v>
      </c>
      <c r="GO55">
        <v>0.4462809917355372</v>
      </c>
      <c r="GP55">
        <v>0.77347640145951113</v>
      </c>
      <c r="GQ55">
        <v>0.1631419939577039</v>
      </c>
      <c r="GR55">
        <v>0.68555821212480283</v>
      </c>
      <c r="GS55">
        <v>0.4462809917355372</v>
      </c>
      <c r="GT55">
        <v>0.74757051471012936</v>
      </c>
      <c r="GU55">
        <v>0.1631419939577039</v>
      </c>
      <c r="GV55">
        <v>0.66191010280052964</v>
      </c>
      <c r="GW55">
        <v>0.4462809917355372</v>
      </c>
      <c r="GX55">
        <v>0.75502243457549845</v>
      </c>
      <c r="GY55">
        <v>0.1631419939577039</v>
      </c>
      <c r="GZ55">
        <v>0.64939495911202871</v>
      </c>
      <c r="HA55">
        <v>0.4462809917355372</v>
      </c>
      <c r="HB55">
        <v>0.88042268869207874</v>
      </c>
      <c r="HC55">
        <v>0.1631419939577039</v>
      </c>
      <c r="HD55">
        <v>0.73237791371759819</v>
      </c>
      <c r="HE55">
        <v>808.34025773909616</v>
      </c>
      <c r="HF55">
        <v>3481.8230245237678</v>
      </c>
      <c r="HI55">
        <v>478.16193812099573</v>
      </c>
      <c r="HJ55">
        <v>4722.718648960963</v>
      </c>
      <c r="HK55">
        <v>547.28992499836443</v>
      </c>
      <c r="HL55">
        <v>4875.263783849653</v>
      </c>
      <c r="IU55">
        <v>948.73280083851921</v>
      </c>
      <c r="IV55">
        <v>2682.8190813152951</v>
      </c>
      <c r="KE55">
        <v>1078.4002433663661</v>
      </c>
      <c r="KF55">
        <v>0.55258846119480798</v>
      </c>
      <c r="KK55">
        <v>1147.987597075097</v>
      </c>
      <c r="KL55">
        <v>4452.3228008327187</v>
      </c>
      <c r="MK55">
        <v>600</v>
      </c>
      <c r="ML55">
        <v>0.5</v>
      </c>
    </row>
    <row r="56" spans="47:350" x14ac:dyDescent="0.3">
      <c r="BA56">
        <v>434</v>
      </c>
      <c r="BB56">
        <v>927.27272727272725</v>
      </c>
      <c r="FQ56">
        <v>0.45454545454545447</v>
      </c>
      <c r="FR56">
        <v>416.54978723096031</v>
      </c>
      <c r="FS56">
        <v>0.16616314199395771</v>
      </c>
      <c r="FT56">
        <v>407.5723859105924</v>
      </c>
      <c r="FU56">
        <v>0.45454545454545447</v>
      </c>
      <c r="FV56">
        <v>286.05963387997178</v>
      </c>
      <c r="FW56">
        <v>0.16616314199395771</v>
      </c>
      <c r="FX56">
        <v>283.25462332195929</v>
      </c>
      <c r="FY56">
        <v>0.45454545454545447</v>
      </c>
      <c r="FZ56">
        <v>3491.4291474903262</v>
      </c>
      <c r="GA56">
        <v>0.16616314199395771</v>
      </c>
      <c r="GB56">
        <v>2450.9615500526988</v>
      </c>
      <c r="GC56">
        <v>0.45454545454545447</v>
      </c>
      <c r="GD56">
        <v>1142.2956162766111</v>
      </c>
      <c r="GE56">
        <v>0.16616314199395771</v>
      </c>
      <c r="GF56">
        <v>451.86047491645638</v>
      </c>
      <c r="GG56">
        <v>0.45454545454545447</v>
      </c>
      <c r="GH56">
        <v>0.62290833132835388</v>
      </c>
      <c r="GI56">
        <v>0.16616314199395771</v>
      </c>
      <c r="GJ56">
        <v>0.57876118128741938</v>
      </c>
      <c r="GK56">
        <v>0.45454545454545447</v>
      </c>
      <c r="GL56">
        <v>0.81911710296966223</v>
      </c>
      <c r="GM56">
        <v>0.16616314199395771</v>
      </c>
      <c r="GN56">
        <v>0.77826037539103488</v>
      </c>
      <c r="GO56">
        <v>0.45454545454545447</v>
      </c>
      <c r="GP56">
        <v>0.77478703380570446</v>
      </c>
      <c r="GQ56">
        <v>0.16616314199395771</v>
      </c>
      <c r="GR56">
        <v>0.68616807240862032</v>
      </c>
      <c r="GS56">
        <v>0.45454545454545447</v>
      </c>
      <c r="GT56">
        <v>0.74989966865744651</v>
      </c>
      <c r="GU56">
        <v>0.16616314199395771</v>
      </c>
      <c r="GV56">
        <v>0.66332076843591559</v>
      </c>
      <c r="GW56">
        <v>0.45454545454545447</v>
      </c>
      <c r="GX56">
        <v>0.75716456418726874</v>
      </c>
      <c r="GY56">
        <v>0.16616314199395771</v>
      </c>
      <c r="GZ56">
        <v>0.65057463854610198</v>
      </c>
      <c r="HA56">
        <v>0.45454545454545447</v>
      </c>
      <c r="HB56">
        <v>0.88319020668799153</v>
      </c>
      <c r="HC56">
        <v>0.16616314199395771</v>
      </c>
      <c r="HD56">
        <v>0.73266020631803863</v>
      </c>
      <c r="HE56">
        <v>834.16565567747534</v>
      </c>
      <c r="HF56">
        <v>4890.757585739927</v>
      </c>
      <c r="HI56">
        <v>631.90444681090526</v>
      </c>
      <c r="HJ56">
        <v>3997.3959354411859</v>
      </c>
      <c r="HK56">
        <v>568.29981551802894</v>
      </c>
      <c r="HL56">
        <v>3697.4097324261611</v>
      </c>
      <c r="IU56">
        <v>278.50025888780038</v>
      </c>
      <c r="IV56">
        <v>3979.868505329629</v>
      </c>
      <c r="KE56">
        <v>1677.964427433408</v>
      </c>
      <c r="KF56">
        <v>0.65997730865410009</v>
      </c>
      <c r="KK56">
        <v>750.21412814444864</v>
      </c>
      <c r="KL56">
        <v>3469.3655058838581</v>
      </c>
      <c r="MK56">
        <v>300</v>
      </c>
      <c r="ML56">
        <v>0.55000000000000004</v>
      </c>
    </row>
    <row r="57" spans="47:350" x14ac:dyDescent="0.3">
      <c r="BA57">
        <v>434</v>
      </c>
      <c r="BB57">
        <v>927.27272727272725</v>
      </c>
      <c r="FQ57">
        <v>0.46280991735537191</v>
      </c>
      <c r="FR57">
        <v>416.77951618176269</v>
      </c>
      <c r="FS57">
        <v>0.16918429003021149</v>
      </c>
      <c r="FT57">
        <v>407.9983163338112</v>
      </c>
      <c r="FU57">
        <v>0.46280991735537191</v>
      </c>
      <c r="FV57">
        <v>286.15193980021053</v>
      </c>
      <c r="FW57">
        <v>0.16918429003021149</v>
      </c>
      <c r="FX57">
        <v>283.35934845847908</v>
      </c>
      <c r="FY57">
        <v>0.46280991735537191</v>
      </c>
      <c r="FZ57">
        <v>3500.262718794284</v>
      </c>
      <c r="GA57">
        <v>0.16918429003021149</v>
      </c>
      <c r="GB57">
        <v>2459.4817680450719</v>
      </c>
      <c r="GC57">
        <v>0.46280991735537191</v>
      </c>
      <c r="GD57">
        <v>1143.9190762883941</v>
      </c>
      <c r="GE57">
        <v>0.16918429003021149</v>
      </c>
      <c r="GF57">
        <v>455.27469191456868</v>
      </c>
      <c r="GG57">
        <v>0.46280991735537191</v>
      </c>
      <c r="GH57">
        <v>0.62455433447845743</v>
      </c>
      <c r="GI57">
        <v>0.16918429003021149</v>
      </c>
      <c r="GJ57">
        <v>0.5804817754448367</v>
      </c>
      <c r="GK57">
        <v>0.46280991735537191</v>
      </c>
      <c r="GL57">
        <v>0.82091075727869323</v>
      </c>
      <c r="GM57">
        <v>0.16918429003021149</v>
      </c>
      <c r="GN57">
        <v>0.77869062928975841</v>
      </c>
      <c r="GO57">
        <v>0.46280991735537191</v>
      </c>
      <c r="GP57">
        <v>0.7760612436887373</v>
      </c>
      <c r="GQ57">
        <v>0.16918429003021149</v>
      </c>
      <c r="GR57">
        <v>0.68749882735014833</v>
      </c>
      <c r="GS57">
        <v>0.46280991735537191</v>
      </c>
      <c r="GT57">
        <v>0.75096442973831445</v>
      </c>
      <c r="GU57">
        <v>0.16918429003021149</v>
      </c>
      <c r="GV57">
        <v>0.66712878162112044</v>
      </c>
      <c r="GW57">
        <v>0.46280991735537191</v>
      </c>
      <c r="GX57">
        <v>0.76336968025280938</v>
      </c>
      <c r="GY57">
        <v>0.16918429003021149</v>
      </c>
      <c r="GZ57">
        <v>0.65242511692178262</v>
      </c>
      <c r="HA57">
        <v>0.46280991735537191</v>
      </c>
      <c r="HB57">
        <v>0.88801863255697477</v>
      </c>
      <c r="HC57">
        <v>0.16918429003021149</v>
      </c>
      <c r="HD57">
        <v>0.73282230176512175</v>
      </c>
      <c r="HE57">
        <v>1307.586825936962</v>
      </c>
      <c r="HF57">
        <v>4950.9740899708704</v>
      </c>
      <c r="HI57">
        <v>337.95542829113072</v>
      </c>
      <c r="HJ57">
        <v>4646.6535165245023</v>
      </c>
      <c r="HK57">
        <v>702.24433246413651</v>
      </c>
      <c r="HL57">
        <v>3458.207296458289</v>
      </c>
      <c r="IU57">
        <v>1607.4257967410599</v>
      </c>
      <c r="IV57">
        <v>3855.385770241006</v>
      </c>
      <c r="KE57">
        <v>461.31535520633139</v>
      </c>
      <c r="KF57">
        <v>0.77584287598350987</v>
      </c>
      <c r="MK57">
        <v>500</v>
      </c>
      <c r="ML57">
        <v>0.5</v>
      </c>
    </row>
    <row r="58" spans="47:350" x14ac:dyDescent="0.3">
      <c r="BA58">
        <v>434</v>
      </c>
      <c r="BB58">
        <v>936.36363636363637</v>
      </c>
      <c r="FQ58">
        <v>0.47107438016528919</v>
      </c>
      <c r="FR58">
        <v>419.53049664027731</v>
      </c>
      <c r="FS58">
        <v>0.17220543806646529</v>
      </c>
      <c r="FT58">
        <v>408.53882475989252</v>
      </c>
      <c r="FU58">
        <v>0.47107438016528919</v>
      </c>
      <c r="FV58">
        <v>286.43008429970519</v>
      </c>
      <c r="FW58">
        <v>0.17220543806646529</v>
      </c>
      <c r="FX58">
        <v>283.46921035292041</v>
      </c>
      <c r="FY58">
        <v>0.47107438016528919</v>
      </c>
      <c r="FZ58">
        <v>3514.4151254074941</v>
      </c>
      <c r="GA58">
        <v>0.17220543806646529</v>
      </c>
      <c r="GB58">
        <v>2467.3730047074559</v>
      </c>
      <c r="GC58">
        <v>0.47107438016528919</v>
      </c>
      <c r="GD58">
        <v>1150.635832573309</v>
      </c>
      <c r="GE58">
        <v>0.17220543806646529</v>
      </c>
      <c r="GF58">
        <v>456.9459612600096</v>
      </c>
      <c r="GG58">
        <v>0.47107438016528919</v>
      </c>
      <c r="GH58">
        <v>0.62618735686252591</v>
      </c>
      <c r="GI58">
        <v>0.17220543806646529</v>
      </c>
      <c r="GJ58">
        <v>0.58201938884009552</v>
      </c>
      <c r="GK58">
        <v>0.47107438016528919</v>
      </c>
      <c r="GL58">
        <v>0.82122790641706833</v>
      </c>
      <c r="GM58">
        <v>0.17220543806646529</v>
      </c>
      <c r="GN58">
        <v>0.77890831618459255</v>
      </c>
      <c r="GO58">
        <v>0.47107438016528919</v>
      </c>
      <c r="GP58">
        <v>0.7783911378101156</v>
      </c>
      <c r="GQ58">
        <v>0.17220543806646529</v>
      </c>
      <c r="GR58">
        <v>0.68758917826562849</v>
      </c>
      <c r="GS58">
        <v>0.47107438016528919</v>
      </c>
      <c r="GT58">
        <v>0.75135615845304093</v>
      </c>
      <c r="GU58">
        <v>0.17220543806646529</v>
      </c>
      <c r="GV58">
        <v>0.66770159473730784</v>
      </c>
      <c r="GW58">
        <v>0.47107438016528919</v>
      </c>
      <c r="GX58">
        <v>0.76764591383440439</v>
      </c>
      <c r="GY58">
        <v>0.17220543806646529</v>
      </c>
      <c r="GZ58">
        <v>0.65548200608727814</v>
      </c>
      <c r="HA58">
        <v>0.47107438016528919</v>
      </c>
      <c r="HB58">
        <v>0.88862969063226183</v>
      </c>
      <c r="HC58">
        <v>0.17220543806646529</v>
      </c>
      <c r="HD58">
        <v>0.73333499298149918</v>
      </c>
      <c r="HE58">
        <v>775.80218347083269</v>
      </c>
      <c r="HF58">
        <v>3396.524525340546</v>
      </c>
      <c r="HI58">
        <v>613.54000904415113</v>
      </c>
      <c r="HJ58">
        <v>4750.1949283779759</v>
      </c>
      <c r="HK58">
        <v>952.67903674035483</v>
      </c>
      <c r="HL58">
        <v>4210.6480852472496</v>
      </c>
      <c r="IU58">
        <v>843.60076443149728</v>
      </c>
      <c r="IV58">
        <v>2460.910170068099</v>
      </c>
      <c r="MK58">
        <v>400</v>
      </c>
      <c r="ML58">
        <v>0.55000000000000004</v>
      </c>
    </row>
    <row r="59" spans="47:350" x14ac:dyDescent="0.3">
      <c r="BA59">
        <v>434</v>
      </c>
      <c r="BB59">
        <v>936.36363636363637</v>
      </c>
      <c r="FQ59">
        <v>0.47933884297520662</v>
      </c>
      <c r="FR59">
        <v>420.72087541026212</v>
      </c>
      <c r="FS59">
        <v>0.17522658610271899</v>
      </c>
      <c r="FT59">
        <v>409.31282522545911</v>
      </c>
      <c r="FU59">
        <v>0.47933884297520662</v>
      </c>
      <c r="FV59">
        <v>286.69571621371642</v>
      </c>
      <c r="FW59">
        <v>0.17522658610271899</v>
      </c>
      <c r="FX59">
        <v>283.56745847463071</v>
      </c>
      <c r="FY59">
        <v>0.47933884297520662</v>
      </c>
      <c r="FZ59">
        <v>3539.5313497682992</v>
      </c>
      <c r="GA59">
        <v>0.17522658610271899</v>
      </c>
      <c r="GB59">
        <v>2467.4838138183909</v>
      </c>
      <c r="GC59">
        <v>0.47933884297520662</v>
      </c>
      <c r="GD59">
        <v>1152.816198561386</v>
      </c>
      <c r="GE59">
        <v>0.17522658610271899</v>
      </c>
      <c r="GF59">
        <v>457.39442154550858</v>
      </c>
      <c r="GG59">
        <v>0.47933884297520662</v>
      </c>
      <c r="GH59">
        <v>0.62769737806523196</v>
      </c>
      <c r="GI59">
        <v>0.17522658610271899</v>
      </c>
      <c r="GJ59">
        <v>0.58362589893460015</v>
      </c>
      <c r="GK59">
        <v>0.47933884297520662</v>
      </c>
      <c r="GL59">
        <v>0.82150195641716217</v>
      </c>
      <c r="GM59">
        <v>0.17522658610271899</v>
      </c>
      <c r="GN59">
        <v>0.77918147209291344</v>
      </c>
      <c r="GO59">
        <v>0.47933884297520662</v>
      </c>
      <c r="GP59">
        <v>0.7800222209546599</v>
      </c>
      <c r="GQ59">
        <v>0.17522658610271899</v>
      </c>
      <c r="GR59">
        <v>0.68921283132294497</v>
      </c>
      <c r="GS59">
        <v>0.47933884297520662</v>
      </c>
      <c r="GT59">
        <v>0.75638087082998451</v>
      </c>
      <c r="GU59">
        <v>0.17522658610271899</v>
      </c>
      <c r="GV59">
        <v>0.66785302336164099</v>
      </c>
      <c r="GW59">
        <v>0.47933884297520662</v>
      </c>
      <c r="GX59">
        <v>0.77110964913592739</v>
      </c>
      <c r="GY59">
        <v>0.17522658610271899</v>
      </c>
      <c r="GZ59">
        <v>0.65606691144914853</v>
      </c>
      <c r="HA59">
        <v>0.47933884297520662</v>
      </c>
      <c r="HB59">
        <v>0.88881500124024604</v>
      </c>
      <c r="HC59">
        <v>0.17522658610271899</v>
      </c>
      <c r="HD59">
        <v>0.73460400355542621</v>
      </c>
      <c r="HE59">
        <v>1380.5462686491071</v>
      </c>
      <c r="HF59">
        <v>2352.4545851847129</v>
      </c>
      <c r="HI59">
        <v>1112.256411872577</v>
      </c>
      <c r="HJ59">
        <v>4460.0938097453654</v>
      </c>
      <c r="HK59">
        <v>566.94828673631537</v>
      </c>
      <c r="HL59">
        <v>4416.5759146917608</v>
      </c>
      <c r="IU59">
        <v>359.40880579484872</v>
      </c>
      <c r="IV59">
        <v>3297.3283611920788</v>
      </c>
      <c r="MK59">
        <v>700</v>
      </c>
      <c r="ML59">
        <v>0.55000000000000004</v>
      </c>
    </row>
    <row r="60" spans="47:350" x14ac:dyDescent="0.3">
      <c r="FQ60">
        <v>0.48760330578512401</v>
      </c>
      <c r="FR60">
        <v>421.45218192972118</v>
      </c>
      <c r="FS60">
        <v>0.1782477341389728</v>
      </c>
      <c r="FT60">
        <v>410.32247872991832</v>
      </c>
      <c r="FU60">
        <v>0.48760330578512401</v>
      </c>
      <c r="FV60">
        <v>287.20667167959488</v>
      </c>
      <c r="FW60">
        <v>0.1782477341389728</v>
      </c>
      <c r="FX60">
        <v>283.59505556837019</v>
      </c>
      <c r="FY60">
        <v>0.48760330578512401</v>
      </c>
      <c r="FZ60">
        <v>3547.1506419983548</v>
      </c>
      <c r="GA60">
        <v>0.1782477341389728</v>
      </c>
      <c r="GB60">
        <v>2479.2167479348659</v>
      </c>
      <c r="GC60">
        <v>0.48760330578512401</v>
      </c>
      <c r="GD60">
        <v>1159.6272852179691</v>
      </c>
      <c r="GE60">
        <v>0.1782477341389728</v>
      </c>
      <c r="GF60">
        <v>462.32781348839421</v>
      </c>
      <c r="GG60">
        <v>0.48760330578512401</v>
      </c>
      <c r="GH60">
        <v>0.62947447780657817</v>
      </c>
      <c r="GI60">
        <v>0.1782477341389728</v>
      </c>
      <c r="GJ60">
        <v>0.58664257137513798</v>
      </c>
      <c r="GK60">
        <v>0.48760330578512401</v>
      </c>
      <c r="GL60">
        <v>0.82293466199817467</v>
      </c>
      <c r="GM60">
        <v>0.1782477341389728</v>
      </c>
      <c r="GN60">
        <v>0.77984349198305369</v>
      </c>
      <c r="GO60">
        <v>0.48760330578512401</v>
      </c>
      <c r="GP60">
        <v>0.78116279873267935</v>
      </c>
      <c r="GQ60">
        <v>0.1782477341389728</v>
      </c>
      <c r="GR60">
        <v>0.68924786609617239</v>
      </c>
      <c r="GS60">
        <v>0.48760330578512401</v>
      </c>
      <c r="GT60">
        <v>0.75792226368468163</v>
      </c>
      <c r="GU60">
        <v>0.1782477341389728</v>
      </c>
      <c r="GV60">
        <v>0.66879662793281547</v>
      </c>
      <c r="GW60">
        <v>0.48760330578512401</v>
      </c>
      <c r="GX60">
        <v>0.77450464469571667</v>
      </c>
      <c r="GY60">
        <v>0.1782477341389728</v>
      </c>
      <c r="GZ60">
        <v>0.65804257872680127</v>
      </c>
      <c r="HA60">
        <v>0.48760330578512401</v>
      </c>
      <c r="HB60">
        <v>0.88923153560245949</v>
      </c>
      <c r="HC60">
        <v>0.1782477341389728</v>
      </c>
      <c r="HD60">
        <v>0.73468813230945795</v>
      </c>
      <c r="HE60">
        <v>1112.70454033647</v>
      </c>
      <c r="HF60">
        <v>4652.4576927725238</v>
      </c>
      <c r="HI60">
        <v>1485.3353842265569</v>
      </c>
      <c r="HJ60">
        <v>2898.101622896409</v>
      </c>
      <c r="HK60">
        <v>410.51752020458798</v>
      </c>
      <c r="HL60">
        <v>2878.0641233489009</v>
      </c>
      <c r="MK60">
        <v>600</v>
      </c>
      <c r="ML60">
        <v>0.55000000000000004</v>
      </c>
    </row>
    <row r="61" spans="47:350" x14ac:dyDescent="0.3">
      <c r="FQ61">
        <v>0.49586776859504128</v>
      </c>
      <c r="FR61">
        <v>421.7380440711633</v>
      </c>
      <c r="FS61">
        <v>0.1812688821752266</v>
      </c>
      <c r="FT61">
        <v>410.69611521364749</v>
      </c>
      <c r="FU61">
        <v>0.49586776859504128</v>
      </c>
      <c r="FV61">
        <v>287.61152289055173</v>
      </c>
      <c r="FW61">
        <v>0.1812688821752266</v>
      </c>
      <c r="FX61">
        <v>283.61422744844708</v>
      </c>
      <c r="FY61">
        <v>0.49586776859504128</v>
      </c>
      <c r="FZ61">
        <v>3558.4432046992929</v>
      </c>
      <c r="GA61">
        <v>0.1812688821752266</v>
      </c>
      <c r="GB61">
        <v>2481.4397070734658</v>
      </c>
      <c r="GC61">
        <v>0.49586776859504128</v>
      </c>
      <c r="GD61">
        <v>1168.545778067049</v>
      </c>
      <c r="GE61">
        <v>0.1812688821752266</v>
      </c>
      <c r="GF61">
        <v>463.53699324956199</v>
      </c>
      <c r="GG61">
        <v>0.49586776859504128</v>
      </c>
      <c r="GH61">
        <v>0.63474897094989513</v>
      </c>
      <c r="GI61">
        <v>0.1812688821752266</v>
      </c>
      <c r="GJ61">
        <v>0.58717185561414575</v>
      </c>
      <c r="GK61">
        <v>0.49586776859504128</v>
      </c>
      <c r="GL61">
        <v>0.82494086383744847</v>
      </c>
      <c r="GM61">
        <v>0.1812688821752266</v>
      </c>
      <c r="GN61">
        <v>0.7800044475207355</v>
      </c>
      <c r="GO61">
        <v>0.49586776859504128</v>
      </c>
      <c r="GP61">
        <v>0.78190651967307911</v>
      </c>
      <c r="GQ61">
        <v>0.1812688821752266</v>
      </c>
      <c r="GR61">
        <v>0.69048368152875261</v>
      </c>
      <c r="GS61">
        <v>0.49586776859504128</v>
      </c>
      <c r="GT61">
        <v>0.76084362115587467</v>
      </c>
      <c r="GU61">
        <v>0.1812688821752266</v>
      </c>
      <c r="GV61">
        <v>0.66921211731685071</v>
      </c>
      <c r="GW61">
        <v>0.49586776859504128</v>
      </c>
      <c r="GX61">
        <v>0.77528775781324311</v>
      </c>
      <c r="GY61">
        <v>0.1812688821752266</v>
      </c>
      <c r="GZ61">
        <v>0.65832251439749201</v>
      </c>
      <c r="HA61">
        <v>0.49586776859504128</v>
      </c>
      <c r="HB61">
        <v>0.89263490551189473</v>
      </c>
      <c r="HC61">
        <v>0.1812688821752266</v>
      </c>
      <c r="HD61">
        <v>0.73556704966905584</v>
      </c>
      <c r="HE61">
        <v>1467.2205222666009</v>
      </c>
      <c r="HF61">
        <v>3779.9243740040329</v>
      </c>
      <c r="HI61">
        <v>796.50855284554268</v>
      </c>
      <c r="HJ61">
        <v>2126.0108743722071</v>
      </c>
      <c r="HK61">
        <v>717.88686396880337</v>
      </c>
      <c r="HL61">
        <v>2048.6779538172118</v>
      </c>
      <c r="MK61">
        <v>500</v>
      </c>
      <c r="ML61">
        <v>0.55000000000000004</v>
      </c>
    </row>
    <row r="62" spans="47:350" x14ac:dyDescent="0.3">
      <c r="FQ62">
        <v>0.50413223140495866</v>
      </c>
      <c r="FR62">
        <v>422.7578551462301</v>
      </c>
      <c r="FS62">
        <v>0.18429003021148041</v>
      </c>
      <c r="FT62">
        <v>411.00393309059041</v>
      </c>
      <c r="FU62">
        <v>0.50413223140495866</v>
      </c>
      <c r="FV62">
        <v>287.82205451183222</v>
      </c>
      <c r="FW62">
        <v>0.18429003021148041</v>
      </c>
      <c r="FX62">
        <v>283.74344642805369</v>
      </c>
      <c r="FY62">
        <v>0.50413223140495866</v>
      </c>
      <c r="FZ62">
        <v>3571.4072979150992</v>
      </c>
      <c r="GA62">
        <v>0.18429003021148041</v>
      </c>
      <c r="GB62">
        <v>2493.3327406355402</v>
      </c>
      <c r="GC62">
        <v>0.50413223140495866</v>
      </c>
      <c r="GD62">
        <v>1182.62103642894</v>
      </c>
      <c r="GE62">
        <v>0.18429003021148041</v>
      </c>
      <c r="GF62">
        <v>467.40073994903167</v>
      </c>
      <c r="GG62">
        <v>0.50413223140495866</v>
      </c>
      <c r="GH62">
        <v>0.63673251149855425</v>
      </c>
      <c r="GI62">
        <v>0.18429003021148041</v>
      </c>
      <c r="GJ62">
        <v>0.58791090693586767</v>
      </c>
      <c r="GK62">
        <v>0.50413223140495866</v>
      </c>
      <c r="GL62">
        <v>0.82547660141018386</v>
      </c>
      <c r="GM62">
        <v>0.18429003021148041</v>
      </c>
      <c r="GN62">
        <v>0.78070526434600307</v>
      </c>
      <c r="GO62">
        <v>0.50413223140495866</v>
      </c>
      <c r="GP62">
        <v>0.78390786838197102</v>
      </c>
      <c r="GQ62">
        <v>0.18429003021148041</v>
      </c>
      <c r="GR62">
        <v>0.69081902558152031</v>
      </c>
      <c r="GS62">
        <v>0.50413223140495866</v>
      </c>
      <c r="GT62">
        <v>0.76185994455753092</v>
      </c>
      <c r="GU62">
        <v>0.18429003021148041</v>
      </c>
      <c r="GV62">
        <v>0.67272846962129962</v>
      </c>
      <c r="GW62">
        <v>0.50413223140495866</v>
      </c>
      <c r="GX62">
        <v>0.78589821462912579</v>
      </c>
      <c r="GY62">
        <v>0.18429003021148041</v>
      </c>
      <c r="GZ62">
        <v>0.65897166047301103</v>
      </c>
      <c r="HA62">
        <v>0.50413223140495866</v>
      </c>
      <c r="HB62">
        <v>0.8938899452924145</v>
      </c>
      <c r="HC62">
        <v>0.18429003021148041</v>
      </c>
      <c r="HD62">
        <v>0.73560029725881271</v>
      </c>
      <c r="HE62">
        <v>558.16470135396094</v>
      </c>
      <c r="HF62">
        <v>4675.274719834546</v>
      </c>
      <c r="HI62">
        <v>500.46140341435063</v>
      </c>
      <c r="HJ62">
        <v>3614.6825239701971</v>
      </c>
      <c r="HK62">
        <v>1013.429226631598</v>
      </c>
      <c r="HL62">
        <v>3238.2629523563542</v>
      </c>
      <c r="MK62">
        <v>400</v>
      </c>
      <c r="ML62">
        <v>0.6</v>
      </c>
    </row>
    <row r="63" spans="47:350" x14ac:dyDescent="0.3">
      <c r="FQ63">
        <v>0.51239669421487599</v>
      </c>
      <c r="FR63">
        <v>423.9950187444789</v>
      </c>
      <c r="FS63">
        <v>0.18731117824773411</v>
      </c>
      <c r="FT63">
        <v>411.63866086079599</v>
      </c>
      <c r="FU63">
        <v>0.51239669421487599</v>
      </c>
      <c r="FV63">
        <v>287.87814323649161</v>
      </c>
      <c r="FW63">
        <v>0.18731117824773411</v>
      </c>
      <c r="FX63">
        <v>283.78184732501171</v>
      </c>
      <c r="FY63">
        <v>0.51239669421487599</v>
      </c>
      <c r="FZ63">
        <v>3600.2437005479292</v>
      </c>
      <c r="GA63">
        <v>0.18731117824773411</v>
      </c>
      <c r="GB63">
        <v>2506.8360267557309</v>
      </c>
      <c r="GC63">
        <v>0.51239669421487599</v>
      </c>
      <c r="GD63">
        <v>1184.909450503314</v>
      </c>
      <c r="GE63">
        <v>0.18731117824773411</v>
      </c>
      <c r="GF63">
        <v>469.1778674819476</v>
      </c>
      <c r="GG63">
        <v>0.51239669421487599</v>
      </c>
      <c r="GH63">
        <v>0.63683336837797766</v>
      </c>
      <c r="GI63">
        <v>0.18731117824773411</v>
      </c>
      <c r="GJ63">
        <v>0.58814164084424148</v>
      </c>
      <c r="GK63">
        <v>0.51239669421487599</v>
      </c>
      <c r="GL63">
        <v>0.8264975762861092</v>
      </c>
      <c r="GM63">
        <v>0.18731117824773411</v>
      </c>
      <c r="GN63">
        <v>0.78155208771237972</v>
      </c>
      <c r="GO63">
        <v>0.51239669421487599</v>
      </c>
      <c r="GP63">
        <v>0.78647825130167548</v>
      </c>
      <c r="GQ63">
        <v>0.18731117824773411</v>
      </c>
      <c r="GR63">
        <v>0.69219297824065273</v>
      </c>
      <c r="GS63">
        <v>0.51239669421487599</v>
      </c>
      <c r="GT63">
        <v>0.7685140722635736</v>
      </c>
      <c r="GU63">
        <v>0.18731117824773411</v>
      </c>
      <c r="GV63">
        <v>0.6732491460165646</v>
      </c>
      <c r="GW63">
        <v>0.51239669421487599</v>
      </c>
      <c r="GX63">
        <v>0.78773679114671291</v>
      </c>
      <c r="GY63">
        <v>0.18731117824773411</v>
      </c>
      <c r="GZ63">
        <v>0.65968287077956256</v>
      </c>
      <c r="HA63">
        <v>0.51239669421487599</v>
      </c>
      <c r="HB63">
        <v>0.89552542484861652</v>
      </c>
      <c r="HC63">
        <v>0.18731117824773411</v>
      </c>
      <c r="HD63">
        <v>0.73592687388045774</v>
      </c>
      <c r="HE63">
        <v>873.42530629934674</v>
      </c>
      <c r="HF63">
        <v>4312.986811198436</v>
      </c>
      <c r="HI63">
        <v>608.51112644013438</v>
      </c>
      <c r="HJ63">
        <v>2669.1746503511031</v>
      </c>
      <c r="HK63">
        <v>1002.139181562782</v>
      </c>
      <c r="HL63">
        <v>4817.7756322021942</v>
      </c>
      <c r="MK63">
        <v>700</v>
      </c>
      <c r="ML63">
        <v>0.6</v>
      </c>
    </row>
    <row r="64" spans="47:350" x14ac:dyDescent="0.3">
      <c r="FQ64">
        <v>0.52066115702479343</v>
      </c>
      <c r="FR64">
        <v>425.71729196383671</v>
      </c>
      <c r="FS64">
        <v>0.19033232628398791</v>
      </c>
      <c r="FT64">
        <v>411.88476707567509</v>
      </c>
      <c r="FU64">
        <v>0.52066115702479343</v>
      </c>
      <c r="FV64">
        <v>287.89325434490951</v>
      </c>
      <c r="FW64">
        <v>0.19033232628398791</v>
      </c>
      <c r="FX64">
        <v>283.87786399252582</v>
      </c>
      <c r="FY64">
        <v>0.52066115702479343</v>
      </c>
      <c r="FZ64">
        <v>3635.642214756188</v>
      </c>
      <c r="GA64">
        <v>0.19033232628398791</v>
      </c>
      <c r="GB64">
        <v>2507.7634878657841</v>
      </c>
      <c r="GC64">
        <v>0.52066115702479343</v>
      </c>
      <c r="GD64">
        <v>1187.0294111923299</v>
      </c>
      <c r="GE64">
        <v>0.19033232628398791</v>
      </c>
      <c r="GF64">
        <v>475.7328549409533</v>
      </c>
      <c r="GG64">
        <v>0.52066115702479343</v>
      </c>
      <c r="GH64">
        <v>0.63878258724655201</v>
      </c>
      <c r="GI64">
        <v>0.19033232628398791</v>
      </c>
      <c r="GJ64">
        <v>0.58973069381185672</v>
      </c>
      <c r="GK64">
        <v>0.52066115702479343</v>
      </c>
      <c r="GL64">
        <v>0.82742150043540019</v>
      </c>
      <c r="GM64">
        <v>0.19033232628398791</v>
      </c>
      <c r="GN64">
        <v>0.78182537929533602</v>
      </c>
      <c r="GO64">
        <v>0.52066115702479343</v>
      </c>
      <c r="GP64">
        <v>0.79022685373371182</v>
      </c>
      <c r="GQ64">
        <v>0.19033232628398791</v>
      </c>
      <c r="GR64">
        <v>0.69239974271190941</v>
      </c>
      <c r="GS64">
        <v>0.52066115702479343</v>
      </c>
      <c r="GT64">
        <v>0.76883394584333131</v>
      </c>
      <c r="GU64">
        <v>0.19033232628398791</v>
      </c>
      <c r="GV64">
        <v>0.67371001627143257</v>
      </c>
      <c r="GW64">
        <v>0.52066115702479343</v>
      </c>
      <c r="GX64">
        <v>0.80119046398238458</v>
      </c>
      <c r="GY64">
        <v>0.19033232628398791</v>
      </c>
      <c r="GZ64">
        <v>0.66124379760658358</v>
      </c>
      <c r="HA64">
        <v>0.52066115702479343</v>
      </c>
      <c r="HB64">
        <v>0.89591838443870842</v>
      </c>
      <c r="HC64">
        <v>0.19033232628398791</v>
      </c>
      <c r="HD64">
        <v>0.7370878264061369</v>
      </c>
      <c r="HE64">
        <v>1219.5925573944701</v>
      </c>
      <c r="HF64">
        <v>3203.7064805170362</v>
      </c>
      <c r="HI64">
        <v>1284.2384330569739</v>
      </c>
      <c r="HJ64">
        <v>2372.3373250665541</v>
      </c>
      <c r="HK64">
        <v>1150.143753512928</v>
      </c>
      <c r="HL64">
        <v>4156.765910241249</v>
      </c>
      <c r="MK64">
        <v>500</v>
      </c>
      <c r="ML64">
        <v>0.6</v>
      </c>
    </row>
    <row r="65" spans="173:350" x14ac:dyDescent="0.3">
      <c r="FQ65">
        <v>0.52892561983471076</v>
      </c>
      <c r="FR65">
        <v>425.97431195348292</v>
      </c>
      <c r="FS65">
        <v>0.19335347432024169</v>
      </c>
      <c r="FT65">
        <v>412.32936457236531</v>
      </c>
      <c r="FU65">
        <v>0.52892561983471076</v>
      </c>
      <c r="FV65">
        <v>288.34751655476032</v>
      </c>
      <c r="FW65">
        <v>0.19335347432024169</v>
      </c>
      <c r="FX65">
        <v>283.93846666196413</v>
      </c>
      <c r="FY65">
        <v>0.52892561983471076</v>
      </c>
      <c r="FZ65">
        <v>3648.122848450414</v>
      </c>
      <c r="GA65">
        <v>0.19335347432024169</v>
      </c>
      <c r="GB65">
        <v>2513.9998727900161</v>
      </c>
      <c r="GC65">
        <v>0.52892561983471076</v>
      </c>
      <c r="GD65">
        <v>1190.441137421511</v>
      </c>
      <c r="GE65">
        <v>0.19335347432024169</v>
      </c>
      <c r="GF65">
        <v>478.16193812099573</v>
      </c>
      <c r="GG65">
        <v>0.52892561983471076</v>
      </c>
      <c r="GH65">
        <v>0.64205869810001592</v>
      </c>
      <c r="GI65">
        <v>0.19335347432024169</v>
      </c>
      <c r="GJ65">
        <v>0.59043235658589621</v>
      </c>
      <c r="GK65">
        <v>0.52892561983471076</v>
      </c>
      <c r="GL65">
        <v>0.83017625854674904</v>
      </c>
      <c r="GM65">
        <v>0.19335347432024169</v>
      </c>
      <c r="GN65">
        <v>0.78255147752809673</v>
      </c>
      <c r="GO65">
        <v>0.52892561983471076</v>
      </c>
      <c r="GP65">
        <v>0.79121558825239791</v>
      </c>
      <c r="GQ65">
        <v>0.19335347432024169</v>
      </c>
      <c r="GR65">
        <v>0.69290471132793297</v>
      </c>
      <c r="GS65">
        <v>0.52892561983471076</v>
      </c>
      <c r="GT65">
        <v>0.77076145809918972</v>
      </c>
      <c r="GU65">
        <v>0.19335347432024169</v>
      </c>
      <c r="GV65">
        <v>0.67410017216038787</v>
      </c>
      <c r="GW65">
        <v>0.52892561983471076</v>
      </c>
      <c r="GX65">
        <v>0.80159917458322372</v>
      </c>
      <c r="GY65">
        <v>0.19335347432024169</v>
      </c>
      <c r="GZ65">
        <v>0.66282820295539813</v>
      </c>
      <c r="HA65">
        <v>0.52892561983471076</v>
      </c>
      <c r="HB65">
        <v>0.8971636458689306</v>
      </c>
      <c r="HC65">
        <v>0.19335347432024169</v>
      </c>
      <c r="HD65">
        <v>0.73782136712277058</v>
      </c>
      <c r="HE65">
        <v>1326.8056002018291</v>
      </c>
      <c r="HF65">
        <v>3382.467325858066</v>
      </c>
      <c r="HI65">
        <v>1438.2660417190521</v>
      </c>
      <c r="HJ65">
        <v>4057.0009606294129</v>
      </c>
      <c r="HK65">
        <v>616.36507070137463</v>
      </c>
      <c r="HL65">
        <v>3869.926538190442</v>
      </c>
      <c r="MK65">
        <v>600</v>
      </c>
      <c r="ML65">
        <v>0.6</v>
      </c>
    </row>
    <row r="66" spans="173:350" x14ac:dyDescent="0.3">
      <c r="FQ66">
        <v>0.53719008264462809</v>
      </c>
      <c r="FR66">
        <v>427.25323558086399</v>
      </c>
      <c r="FS66">
        <v>0.1963746223564955</v>
      </c>
      <c r="FT66">
        <v>412.66216315371338</v>
      </c>
      <c r="FU66">
        <v>0.53719008264462809</v>
      </c>
      <c r="FV66">
        <v>288.38455971393307</v>
      </c>
      <c r="FW66">
        <v>0.1963746223564955</v>
      </c>
      <c r="FX66">
        <v>284.23788232300728</v>
      </c>
      <c r="FY66">
        <v>0.53719008264462809</v>
      </c>
      <c r="FZ66">
        <v>3672.889560886802</v>
      </c>
      <c r="GA66">
        <v>0.1963746223564955</v>
      </c>
      <c r="GB66">
        <v>2529.1346364176538</v>
      </c>
      <c r="GC66">
        <v>0.53719008264462809</v>
      </c>
      <c r="GD66">
        <v>1194.3069859311011</v>
      </c>
      <c r="GE66">
        <v>0.1963746223564955</v>
      </c>
      <c r="GF66">
        <v>480.62848274879542</v>
      </c>
      <c r="GG66">
        <v>0.53719008264462809</v>
      </c>
      <c r="GH66">
        <v>0.64357982762039123</v>
      </c>
      <c r="GI66">
        <v>0.1963746223564955</v>
      </c>
      <c r="GJ66">
        <v>0.59065405242733382</v>
      </c>
      <c r="GK66">
        <v>0.53719008264462809</v>
      </c>
      <c r="GL66">
        <v>0.83591167349029605</v>
      </c>
      <c r="GM66">
        <v>0.1963746223564955</v>
      </c>
      <c r="GN66">
        <v>0.78333776066795546</v>
      </c>
      <c r="GO66">
        <v>0.53719008264462809</v>
      </c>
      <c r="GP66">
        <v>0.79132171536866325</v>
      </c>
      <c r="GQ66">
        <v>0.1963746223564955</v>
      </c>
      <c r="GR66">
        <v>0.69297763720827887</v>
      </c>
      <c r="GS66">
        <v>0.53719008264462809</v>
      </c>
      <c r="GT66">
        <v>0.77117786273985278</v>
      </c>
      <c r="GU66">
        <v>0.1963746223564955</v>
      </c>
      <c r="GV66">
        <v>0.67575770403451929</v>
      </c>
      <c r="GW66">
        <v>0.53719008264462809</v>
      </c>
      <c r="GX66">
        <v>0.8032745911722724</v>
      </c>
      <c r="GY66">
        <v>0.1963746223564955</v>
      </c>
      <c r="GZ66">
        <v>0.66316443704929184</v>
      </c>
      <c r="HA66">
        <v>0.53719008264462809</v>
      </c>
      <c r="HB66">
        <v>0.89772430568590933</v>
      </c>
      <c r="HC66">
        <v>0.1963746223564955</v>
      </c>
      <c r="HD66">
        <v>0.73827468586079048</v>
      </c>
      <c r="HE66">
        <v>1159.6272852179691</v>
      </c>
      <c r="HF66">
        <v>4811.745787712287</v>
      </c>
      <c r="HI66">
        <v>1310.7399075267499</v>
      </c>
      <c r="HJ66">
        <v>4744.0477080877627</v>
      </c>
      <c r="HK66">
        <v>1257.8624160393749</v>
      </c>
      <c r="HL66">
        <v>3001.7270513170679</v>
      </c>
      <c r="MK66">
        <v>500</v>
      </c>
      <c r="ML66">
        <v>0.65</v>
      </c>
    </row>
    <row r="67" spans="173:350" x14ac:dyDescent="0.3">
      <c r="FQ67">
        <v>0.54545454545454541</v>
      </c>
      <c r="FR67">
        <v>427.66635357848259</v>
      </c>
      <c r="FS67">
        <v>0.19939577039274919</v>
      </c>
      <c r="FT67">
        <v>413.06871112192522</v>
      </c>
      <c r="FU67">
        <v>0.54545454545454541</v>
      </c>
      <c r="FV67">
        <v>288.66180853473043</v>
      </c>
      <c r="FW67">
        <v>0.19939577039274919</v>
      </c>
      <c r="FX67">
        <v>284.33257631439352</v>
      </c>
      <c r="FY67">
        <v>0.54545454545454541</v>
      </c>
      <c r="FZ67">
        <v>3682.6179643924288</v>
      </c>
      <c r="GA67">
        <v>0.19939577039274919</v>
      </c>
      <c r="GB67">
        <v>2530.9916492860689</v>
      </c>
      <c r="GC67">
        <v>0.54545454545454541</v>
      </c>
      <c r="GD67">
        <v>1200.548312920992</v>
      </c>
      <c r="GE67">
        <v>0.19939577039274919</v>
      </c>
      <c r="GF67">
        <v>484.30095586927217</v>
      </c>
      <c r="GG67">
        <v>0.54545454545454541</v>
      </c>
      <c r="GH67">
        <v>0.64459257956660909</v>
      </c>
      <c r="GI67">
        <v>0.19939577039274919</v>
      </c>
      <c r="GJ67">
        <v>0.59144942968123093</v>
      </c>
      <c r="GK67">
        <v>0.54545454545454541</v>
      </c>
      <c r="GL67">
        <v>0.83865958937614538</v>
      </c>
      <c r="GM67">
        <v>0.19939577039274919</v>
      </c>
      <c r="GN67">
        <v>0.78397968359501502</v>
      </c>
      <c r="GO67">
        <v>0.54545454545454541</v>
      </c>
      <c r="GP67">
        <v>0.79476608304417262</v>
      </c>
      <c r="GQ67">
        <v>0.19939577039274919</v>
      </c>
      <c r="GR67">
        <v>0.69344941498837576</v>
      </c>
      <c r="GS67">
        <v>0.54545454545454541</v>
      </c>
      <c r="GT67">
        <v>0.77457149177287732</v>
      </c>
      <c r="GU67">
        <v>0.19939577039274919</v>
      </c>
      <c r="GV67">
        <v>0.67848709827934195</v>
      </c>
      <c r="GW67">
        <v>0.54545454545454541</v>
      </c>
      <c r="GX67">
        <v>0.80583804099352352</v>
      </c>
      <c r="GY67">
        <v>0.19939577039274919</v>
      </c>
      <c r="GZ67">
        <v>0.66319016780156348</v>
      </c>
      <c r="HA67">
        <v>0.54545454545454541</v>
      </c>
      <c r="HB67">
        <v>0.89973834696030819</v>
      </c>
      <c r="HC67">
        <v>0.19939577039274919</v>
      </c>
      <c r="HD67">
        <v>0.73907231802581996</v>
      </c>
      <c r="HE67">
        <v>1416.577729466989</v>
      </c>
      <c r="HF67">
        <v>3285.1841476987302</v>
      </c>
      <c r="HI67">
        <v>1089.357485633039</v>
      </c>
      <c r="HJ67">
        <v>2181.8805068243878</v>
      </c>
      <c r="HK67">
        <v>697.83522600114543</v>
      </c>
      <c r="HL67">
        <v>2925.3270365484359</v>
      </c>
      <c r="MK67">
        <v>700</v>
      </c>
      <c r="ML67">
        <v>0.65</v>
      </c>
    </row>
    <row r="68" spans="173:350" x14ac:dyDescent="0.3">
      <c r="FQ68">
        <v>0.55371900826446285</v>
      </c>
      <c r="FR68">
        <v>428.03338804507189</v>
      </c>
      <c r="FS68">
        <v>0.202416918429003</v>
      </c>
      <c r="FT68">
        <v>413.08116433202918</v>
      </c>
      <c r="FU68">
        <v>0.55371900826446285</v>
      </c>
      <c r="FV68">
        <v>288.73746231834218</v>
      </c>
      <c r="FW68">
        <v>0.202416918429003</v>
      </c>
      <c r="FX68">
        <v>284.43539791712112</v>
      </c>
      <c r="FY68">
        <v>0.55371900826446285</v>
      </c>
      <c r="FZ68">
        <v>3689.0076642334939</v>
      </c>
      <c r="GA68">
        <v>0.202416918429003</v>
      </c>
      <c r="GB68">
        <v>2531.4728399985038</v>
      </c>
      <c r="GC68">
        <v>0.55371900826446285</v>
      </c>
      <c r="GD68">
        <v>1205.063074717169</v>
      </c>
      <c r="GE68">
        <v>0.202416918429003</v>
      </c>
      <c r="GF68">
        <v>486.26016700516772</v>
      </c>
      <c r="GG68">
        <v>0.55371900826446285</v>
      </c>
      <c r="GH68">
        <v>0.64570983755757638</v>
      </c>
      <c r="GI68">
        <v>0.202416918429003</v>
      </c>
      <c r="GJ68">
        <v>0.59248042630641828</v>
      </c>
      <c r="GK68">
        <v>0.55371900826446285</v>
      </c>
      <c r="GL68">
        <v>0.83916682609728233</v>
      </c>
      <c r="GM68">
        <v>0.202416918429003</v>
      </c>
      <c r="GN68">
        <v>0.78464533400116032</v>
      </c>
      <c r="GO68">
        <v>0.55371900826446285</v>
      </c>
      <c r="GP68">
        <v>0.79952390971956011</v>
      </c>
      <c r="GQ68">
        <v>0.202416918429003</v>
      </c>
      <c r="GR68">
        <v>0.69502142493404206</v>
      </c>
      <c r="GS68">
        <v>0.55371900826446285</v>
      </c>
      <c r="GT68">
        <v>0.77579360046232837</v>
      </c>
      <c r="GU68">
        <v>0.202416918429003</v>
      </c>
      <c r="GV68">
        <v>0.67849943827054371</v>
      </c>
      <c r="GW68">
        <v>0.55371900826446285</v>
      </c>
      <c r="GX68">
        <v>0.80841890709138287</v>
      </c>
      <c r="GY68">
        <v>0.202416918429003</v>
      </c>
      <c r="GZ68">
        <v>0.66450872913189041</v>
      </c>
      <c r="HA68">
        <v>0.55371900826446285</v>
      </c>
      <c r="HB68">
        <v>0.90156119364429677</v>
      </c>
      <c r="HC68">
        <v>0.202416918429003</v>
      </c>
      <c r="HD68">
        <v>0.73914017091107553</v>
      </c>
      <c r="HE68">
        <v>1471.050689542086</v>
      </c>
      <c r="HF68">
        <v>3689.0076642334939</v>
      </c>
      <c r="HI68">
        <v>957.69158256323158</v>
      </c>
      <c r="HJ68">
        <v>2694.1191208584132</v>
      </c>
      <c r="HK68">
        <v>555.61961736125511</v>
      </c>
      <c r="HL68">
        <v>4426.9571764584534</v>
      </c>
      <c r="MK68">
        <v>600</v>
      </c>
      <c r="ML68">
        <v>0.65</v>
      </c>
    </row>
    <row r="69" spans="173:350" x14ac:dyDescent="0.3">
      <c r="FQ69">
        <v>0.56198347107438018</v>
      </c>
      <c r="FR69">
        <v>429.06829545025249</v>
      </c>
      <c r="FS69">
        <v>0.20543806646525681</v>
      </c>
      <c r="FT69">
        <v>413.43965200864858</v>
      </c>
      <c r="FU69">
        <v>0.56198347107438018</v>
      </c>
      <c r="FV69">
        <v>289.20357288295941</v>
      </c>
      <c r="FW69">
        <v>0.20543806646525681</v>
      </c>
      <c r="FX69">
        <v>284.46135472055681</v>
      </c>
      <c r="FY69">
        <v>0.56198347107438018</v>
      </c>
      <c r="FZ69">
        <v>3696.6578552480169</v>
      </c>
      <c r="GA69">
        <v>0.20543806646525681</v>
      </c>
      <c r="GB69">
        <v>2551.7393786212042</v>
      </c>
      <c r="GC69">
        <v>0.56198347107438018</v>
      </c>
      <c r="GD69">
        <v>1218.7801970745261</v>
      </c>
      <c r="GE69">
        <v>0.20543806646525681</v>
      </c>
      <c r="GF69">
        <v>488.11572473594981</v>
      </c>
      <c r="GG69">
        <v>0.56198347107438018</v>
      </c>
      <c r="GH69">
        <v>0.65024356500045744</v>
      </c>
      <c r="GI69">
        <v>0.20543806646525681</v>
      </c>
      <c r="GJ69">
        <v>0.59270496239097126</v>
      </c>
      <c r="GK69">
        <v>0.56198347107438018</v>
      </c>
      <c r="GL69">
        <v>0.84026904451868045</v>
      </c>
      <c r="GM69">
        <v>0.20543806646525681</v>
      </c>
      <c r="GN69">
        <v>0.78464879347275129</v>
      </c>
      <c r="GO69">
        <v>0.56198347107438018</v>
      </c>
      <c r="GP69">
        <v>0.79977227155621344</v>
      </c>
      <c r="GQ69">
        <v>0.20543806646525681</v>
      </c>
      <c r="GR69">
        <v>0.6954427274585242</v>
      </c>
      <c r="GS69">
        <v>0.56198347107438018</v>
      </c>
      <c r="GT69">
        <v>0.77689610012677179</v>
      </c>
      <c r="GU69">
        <v>0.20543806646525681</v>
      </c>
      <c r="GV69">
        <v>0.67987588076150884</v>
      </c>
      <c r="GW69">
        <v>0.56198347107438018</v>
      </c>
      <c r="GX69">
        <v>0.81131503701073415</v>
      </c>
      <c r="GY69">
        <v>0.20543806646525681</v>
      </c>
      <c r="GZ69">
        <v>0.66629762696673811</v>
      </c>
      <c r="HA69">
        <v>0.56198347107438018</v>
      </c>
      <c r="HB69">
        <v>0.90370523526106517</v>
      </c>
      <c r="HC69">
        <v>0.20543806646525681</v>
      </c>
      <c r="HD69">
        <v>0.74001625791331715</v>
      </c>
      <c r="HE69">
        <v>1054.1597165565561</v>
      </c>
      <c r="HF69">
        <v>3951.2047204010209</v>
      </c>
      <c r="HI69">
        <v>308.76194064180208</v>
      </c>
      <c r="HJ69">
        <v>2683.0954820666002</v>
      </c>
      <c r="HK69">
        <v>1445.7112446176379</v>
      </c>
      <c r="HL69">
        <v>2958.827926159463</v>
      </c>
      <c r="MK69">
        <v>700</v>
      </c>
      <c r="ML69">
        <v>0.7</v>
      </c>
    </row>
    <row r="70" spans="173:350" x14ac:dyDescent="0.3">
      <c r="FQ70">
        <v>0.57024793388429751</v>
      </c>
      <c r="FR70">
        <v>429.4317183863684</v>
      </c>
      <c r="FS70">
        <v>0.20845921450151059</v>
      </c>
      <c r="FT70">
        <v>413.71124570018458</v>
      </c>
      <c r="FU70">
        <v>0.57024793388429751</v>
      </c>
      <c r="FV70">
        <v>289.59237673342602</v>
      </c>
      <c r="FW70">
        <v>0.20845921450151059</v>
      </c>
      <c r="FX70">
        <v>284.68788390627219</v>
      </c>
      <c r="FY70">
        <v>0.57024793388429751</v>
      </c>
      <c r="FZ70">
        <v>3704.873890662413</v>
      </c>
      <c r="GA70">
        <v>0.20845921450151059</v>
      </c>
      <c r="GB70">
        <v>2559.785520070714</v>
      </c>
      <c r="GC70">
        <v>0.57024793388429751</v>
      </c>
      <c r="GD70">
        <v>1219.5925573944701</v>
      </c>
      <c r="GE70">
        <v>0.20845921450151059</v>
      </c>
      <c r="GF70">
        <v>495.37017408384202</v>
      </c>
      <c r="GG70">
        <v>0.57024793388429751</v>
      </c>
      <c r="GH70">
        <v>0.65916267493344016</v>
      </c>
      <c r="GI70">
        <v>0.20845921450151059</v>
      </c>
      <c r="GJ70">
        <v>0.59390492738144873</v>
      </c>
      <c r="GK70">
        <v>0.57024793388429751</v>
      </c>
      <c r="GL70">
        <v>0.84040517964703443</v>
      </c>
      <c r="GM70">
        <v>0.20845921450151059</v>
      </c>
      <c r="GN70">
        <v>0.78509136297016302</v>
      </c>
      <c r="GO70">
        <v>0.57024793388429751</v>
      </c>
      <c r="GP70">
        <v>0.80137261603731746</v>
      </c>
      <c r="GQ70">
        <v>0.20845921450151059</v>
      </c>
      <c r="GR70">
        <v>0.69609712245695998</v>
      </c>
      <c r="GS70">
        <v>0.57024793388429751</v>
      </c>
      <c r="GT70">
        <v>0.78332797172925972</v>
      </c>
      <c r="GU70">
        <v>0.20845921450151059</v>
      </c>
      <c r="GV70">
        <v>0.68129741061922089</v>
      </c>
      <c r="GW70">
        <v>0.57024793388429751</v>
      </c>
      <c r="GX70">
        <v>0.81754099709401407</v>
      </c>
      <c r="GY70">
        <v>0.20845921450151059</v>
      </c>
      <c r="GZ70">
        <v>0.66652416356048372</v>
      </c>
      <c r="HA70">
        <v>0.57024793388429751</v>
      </c>
      <c r="HB70">
        <v>0.90393827096828516</v>
      </c>
      <c r="HC70">
        <v>0.20845921450151059</v>
      </c>
      <c r="HD70">
        <v>0.74187222418862098</v>
      </c>
      <c r="HE70">
        <v>1106.3390206251161</v>
      </c>
      <c r="HF70">
        <v>2605.8238290022982</v>
      </c>
      <c r="HI70">
        <v>540.55209269816214</v>
      </c>
      <c r="HJ70">
        <v>3626.1873604246471</v>
      </c>
      <c r="HK70">
        <v>1213.074960151908</v>
      </c>
      <c r="HL70">
        <v>4197.3915099250116</v>
      </c>
      <c r="MK70">
        <v>600</v>
      </c>
      <c r="ML70">
        <v>0.7</v>
      </c>
    </row>
    <row r="71" spans="173:350" x14ac:dyDescent="0.3">
      <c r="FQ71">
        <v>0.57851239669421484</v>
      </c>
      <c r="FR71">
        <v>429.51784774054062</v>
      </c>
      <c r="FS71">
        <v>0.21148036253776431</v>
      </c>
      <c r="FT71">
        <v>413.8316141751564</v>
      </c>
      <c r="FU71">
        <v>0.57851239669421484</v>
      </c>
      <c r="FV71">
        <v>289.65793082408629</v>
      </c>
      <c r="FW71">
        <v>0.21148036253776431</v>
      </c>
      <c r="FX71">
        <v>284.75110106232569</v>
      </c>
      <c r="FY71">
        <v>0.57851239669421484</v>
      </c>
      <c r="FZ71">
        <v>3718.573104357165</v>
      </c>
      <c r="GA71">
        <v>0.21148036253776431</v>
      </c>
      <c r="GB71">
        <v>2580.8658736783491</v>
      </c>
      <c r="GC71">
        <v>0.57851239669421484</v>
      </c>
      <c r="GD71">
        <v>1224.9496971742749</v>
      </c>
      <c r="GE71">
        <v>0.21148036253776431</v>
      </c>
      <c r="GF71">
        <v>496.7649004882162</v>
      </c>
      <c r="GG71">
        <v>0.57851239669421484</v>
      </c>
      <c r="GH71">
        <v>0.66016838268168998</v>
      </c>
      <c r="GI71">
        <v>0.21148036253776431</v>
      </c>
      <c r="GJ71">
        <v>0.59391891819066145</v>
      </c>
      <c r="GK71">
        <v>0.57851239669421484</v>
      </c>
      <c r="GL71">
        <v>0.84211065130342266</v>
      </c>
      <c r="GM71">
        <v>0.21148036253776431</v>
      </c>
      <c r="GN71">
        <v>0.78563660969457982</v>
      </c>
      <c r="GO71">
        <v>0.57851239669421484</v>
      </c>
      <c r="GP71">
        <v>0.80457061312074096</v>
      </c>
      <c r="GQ71">
        <v>0.21148036253776431</v>
      </c>
      <c r="GR71">
        <v>0.69691594006762303</v>
      </c>
      <c r="GS71">
        <v>0.57851239669421484</v>
      </c>
      <c r="GT71">
        <v>0.78893858966403618</v>
      </c>
      <c r="GU71">
        <v>0.21148036253776431</v>
      </c>
      <c r="GV71">
        <v>0.68238979460715288</v>
      </c>
      <c r="GW71">
        <v>0.57851239669421484</v>
      </c>
      <c r="GX71">
        <v>0.82191330161403386</v>
      </c>
      <c r="GY71">
        <v>0.21148036253776431</v>
      </c>
      <c r="GZ71">
        <v>0.66848990085445337</v>
      </c>
      <c r="HA71">
        <v>0.57851239669421484</v>
      </c>
      <c r="HB71">
        <v>0.90468162839005661</v>
      </c>
      <c r="HC71">
        <v>0.21148036253776431</v>
      </c>
      <c r="HD71">
        <v>0.74252870426116624</v>
      </c>
      <c r="HE71">
        <v>812.78154242868038</v>
      </c>
      <c r="HF71">
        <v>4339.7806157081459</v>
      </c>
      <c r="HI71">
        <v>1172.0821141990141</v>
      </c>
      <c r="HJ71">
        <v>3062.8827278166168</v>
      </c>
      <c r="HK71">
        <v>515.73497574056341</v>
      </c>
      <c r="HL71">
        <v>4605.6211540685063</v>
      </c>
      <c r="MK71">
        <v>500</v>
      </c>
      <c r="ML71">
        <v>0.7</v>
      </c>
    </row>
    <row r="72" spans="173:350" x14ac:dyDescent="0.3">
      <c r="FQ72">
        <v>0.58677685950413228</v>
      </c>
      <c r="FR72">
        <v>430.00183304208088</v>
      </c>
      <c r="FS72">
        <v>0.21450151057401809</v>
      </c>
      <c r="FT72">
        <v>414.45885321656579</v>
      </c>
      <c r="FU72">
        <v>0.58677685950413228</v>
      </c>
      <c r="FV72">
        <v>289.76217494416022</v>
      </c>
      <c r="FW72">
        <v>0.21450151057401809</v>
      </c>
      <c r="FX72">
        <v>284.85814335879098</v>
      </c>
      <c r="FY72">
        <v>0.58677685950413228</v>
      </c>
      <c r="FZ72">
        <v>3723.2852900100111</v>
      </c>
      <c r="GA72">
        <v>0.21450151057401809</v>
      </c>
      <c r="GB72">
        <v>2587.2804913964801</v>
      </c>
      <c r="GC72">
        <v>0.58677685950413228</v>
      </c>
      <c r="GD72">
        <v>1228.609862350464</v>
      </c>
      <c r="GE72">
        <v>0.21450151057401809</v>
      </c>
      <c r="GF72">
        <v>498.46904100200231</v>
      </c>
      <c r="GG72">
        <v>0.58677685950413228</v>
      </c>
      <c r="GH72">
        <v>0.66318922582208684</v>
      </c>
      <c r="GI72">
        <v>0.21450151057401809</v>
      </c>
      <c r="GJ72">
        <v>0.59502674640895292</v>
      </c>
      <c r="GK72">
        <v>0.58677685950413228</v>
      </c>
      <c r="GL72">
        <v>0.84730309137132209</v>
      </c>
      <c r="GM72">
        <v>0.21450151057401809</v>
      </c>
      <c r="GN72">
        <v>0.78684553991524375</v>
      </c>
      <c r="GO72">
        <v>0.58677685950413228</v>
      </c>
      <c r="GP72">
        <v>0.80722111439543709</v>
      </c>
      <c r="GQ72">
        <v>0.21450151057401809</v>
      </c>
      <c r="GR72">
        <v>0.69714069061336681</v>
      </c>
      <c r="GS72">
        <v>0.58677685950413228</v>
      </c>
      <c r="GT72">
        <v>0.79396656318761083</v>
      </c>
      <c r="GU72">
        <v>0.21450151057401809</v>
      </c>
      <c r="GV72">
        <v>0.68286215819677232</v>
      </c>
      <c r="GW72">
        <v>0.58677685950413228</v>
      </c>
      <c r="GX72">
        <v>0.82623796363490576</v>
      </c>
      <c r="GY72">
        <v>0.21450151057401809</v>
      </c>
      <c r="GZ72">
        <v>0.6687830978321061</v>
      </c>
      <c r="HA72">
        <v>0.58677685950413228</v>
      </c>
      <c r="HB72">
        <v>0.90527365660496362</v>
      </c>
      <c r="HC72">
        <v>0.21450151057401809</v>
      </c>
      <c r="HD72">
        <v>0.74287325588550812</v>
      </c>
      <c r="HE72">
        <v>681.06848800431487</v>
      </c>
      <c r="HF72">
        <v>3253.987855848156</v>
      </c>
      <c r="HI72">
        <v>1004.95873018104</v>
      </c>
      <c r="HJ72">
        <v>3132.991411849378</v>
      </c>
      <c r="HK72">
        <v>327.39144229250411</v>
      </c>
      <c r="HL72">
        <v>2621.4838022077211</v>
      </c>
    </row>
    <row r="73" spans="173:350" x14ac:dyDescent="0.3">
      <c r="FQ73">
        <v>0.5950413223140496</v>
      </c>
      <c r="FR73">
        <v>430.45461788562289</v>
      </c>
      <c r="FS73">
        <v>0.2175226586102719</v>
      </c>
      <c r="FT73">
        <v>415.29977191209969</v>
      </c>
      <c r="FU73">
        <v>0.5950413223140496</v>
      </c>
      <c r="FV73">
        <v>290.09710253621091</v>
      </c>
      <c r="FW73">
        <v>0.2175226586102719</v>
      </c>
      <c r="FX73">
        <v>284.92167311125752</v>
      </c>
      <c r="FY73">
        <v>0.5950413223140496</v>
      </c>
      <c r="FZ73">
        <v>3732.0690323904792</v>
      </c>
      <c r="GA73">
        <v>0.2175226586102719</v>
      </c>
      <c r="GB73">
        <v>2596.9870283225532</v>
      </c>
      <c r="GC73">
        <v>0.5950413223140496</v>
      </c>
      <c r="GD73">
        <v>1229.3347696241351</v>
      </c>
      <c r="GE73">
        <v>0.2175226586102719</v>
      </c>
      <c r="GF73">
        <v>498.75181721501241</v>
      </c>
      <c r="GG73">
        <v>0.5950413223140496</v>
      </c>
      <c r="GH73">
        <v>0.66606706112464553</v>
      </c>
      <c r="GI73">
        <v>0.2175226586102719</v>
      </c>
      <c r="GJ73">
        <v>0.59733469170084275</v>
      </c>
      <c r="GK73">
        <v>0.5950413223140496</v>
      </c>
      <c r="GL73">
        <v>0.848154575125184</v>
      </c>
      <c r="GM73">
        <v>0.2175226586102719</v>
      </c>
      <c r="GN73">
        <v>0.78720112707984824</v>
      </c>
      <c r="GO73">
        <v>0.5950413223140496</v>
      </c>
      <c r="GP73">
        <v>0.80727380150496475</v>
      </c>
      <c r="GQ73">
        <v>0.2175226586102719</v>
      </c>
      <c r="GR73">
        <v>0.6986365150886138</v>
      </c>
      <c r="GS73">
        <v>0.5950413223140496</v>
      </c>
      <c r="GT73">
        <v>0.80081322169296898</v>
      </c>
      <c r="GU73">
        <v>0.2175226586102719</v>
      </c>
      <c r="GV73">
        <v>0.68327367779030368</v>
      </c>
      <c r="GW73">
        <v>0.5950413223140496</v>
      </c>
      <c r="GX73">
        <v>0.82717520841510173</v>
      </c>
      <c r="GY73">
        <v>0.2175226586102719</v>
      </c>
      <c r="GZ73">
        <v>0.66954932149248148</v>
      </c>
      <c r="HA73">
        <v>0.5950413223140496</v>
      </c>
      <c r="HB73">
        <v>0.90544595079044843</v>
      </c>
      <c r="HC73">
        <v>0.2175226586102719</v>
      </c>
      <c r="HD73">
        <v>0.74408169018806325</v>
      </c>
      <c r="HE73">
        <v>1490.2004929419361</v>
      </c>
      <c r="HF73">
        <v>4257.2600654761709</v>
      </c>
      <c r="HI73">
        <v>830.47621839296403</v>
      </c>
      <c r="HJ73">
        <v>2394.6215374954609</v>
      </c>
      <c r="HK73">
        <v>674.5008913892616</v>
      </c>
      <c r="HL73">
        <v>2742.399639714884</v>
      </c>
    </row>
    <row r="74" spans="173:350" x14ac:dyDescent="0.3">
      <c r="FQ74">
        <v>0.60330578512396693</v>
      </c>
      <c r="FR74">
        <v>430.80015065862062</v>
      </c>
      <c r="FS74">
        <v>0.2205438066465257</v>
      </c>
      <c r="FT74">
        <v>415.6689041243427</v>
      </c>
      <c r="FU74">
        <v>0.60330578512396693</v>
      </c>
      <c r="FV74">
        <v>290.24949940478513</v>
      </c>
      <c r="FW74">
        <v>0.2205438066465257</v>
      </c>
      <c r="FX74">
        <v>284.93243220399393</v>
      </c>
      <c r="FY74">
        <v>0.60330578512396693</v>
      </c>
      <c r="FZ74">
        <v>3761.2952052735659</v>
      </c>
      <c r="GA74">
        <v>0.2205438066465257</v>
      </c>
      <c r="GB74">
        <v>2613.4807200676378</v>
      </c>
      <c r="GC74">
        <v>0.60330578512396693</v>
      </c>
      <c r="GD74">
        <v>1235.270961844453</v>
      </c>
      <c r="GE74">
        <v>0.2205438066465257</v>
      </c>
      <c r="GF74">
        <v>500.46140341435063</v>
      </c>
      <c r="GG74">
        <v>0.60330578512396693</v>
      </c>
      <c r="GH74">
        <v>0.66930321305918672</v>
      </c>
      <c r="GI74">
        <v>0.2205438066465257</v>
      </c>
      <c r="GJ74">
        <v>0.59751504617812201</v>
      </c>
      <c r="GK74">
        <v>0.60330578512396693</v>
      </c>
      <c r="GL74">
        <v>0.85036626586656316</v>
      </c>
      <c r="GM74">
        <v>0.2205438066465257</v>
      </c>
      <c r="GN74">
        <v>0.78842354353266264</v>
      </c>
      <c r="GO74">
        <v>0.60330578512396693</v>
      </c>
      <c r="GP74">
        <v>0.81161333577164396</v>
      </c>
      <c r="GQ74">
        <v>0.2205438066465257</v>
      </c>
      <c r="GR74">
        <v>0.70059009590721499</v>
      </c>
      <c r="GS74">
        <v>0.60330578512396693</v>
      </c>
      <c r="GT74">
        <v>0.80155775219427217</v>
      </c>
      <c r="GU74">
        <v>0.2205438066465257</v>
      </c>
      <c r="GV74">
        <v>0.68405919501030643</v>
      </c>
      <c r="GW74">
        <v>0.60330578512396693</v>
      </c>
      <c r="GX74">
        <v>0.83028330162721442</v>
      </c>
      <c r="GY74">
        <v>0.2205438066465257</v>
      </c>
      <c r="GZ74">
        <v>0.67016945957915652</v>
      </c>
      <c r="HA74">
        <v>0.60330578512396693</v>
      </c>
      <c r="HB74">
        <v>0.90613140624528798</v>
      </c>
      <c r="HC74">
        <v>0.2205438066465257</v>
      </c>
      <c r="HD74">
        <v>0.74417965831505373</v>
      </c>
      <c r="HE74">
        <v>1267.6822819708709</v>
      </c>
      <c r="HF74">
        <v>4944.96732500092</v>
      </c>
      <c r="HI74">
        <v>510.79018712914331</v>
      </c>
      <c r="HJ74">
        <v>3844.1616697035438</v>
      </c>
      <c r="HK74">
        <v>764.25516764549627</v>
      </c>
      <c r="HL74">
        <v>3974.686253531494</v>
      </c>
    </row>
    <row r="75" spans="173:350" x14ac:dyDescent="0.3">
      <c r="FQ75">
        <v>0.61157024793388426</v>
      </c>
      <c r="FR75">
        <v>431.10623145319317</v>
      </c>
      <c r="FS75">
        <v>0.22356495468277951</v>
      </c>
      <c r="FT75">
        <v>415.69432518311328</v>
      </c>
      <c r="FU75">
        <v>0.61157024793388426</v>
      </c>
      <c r="FV75">
        <v>290.80902654074151</v>
      </c>
      <c r="FW75">
        <v>0.22356495468277951</v>
      </c>
      <c r="FX75">
        <v>285.17472292135437</v>
      </c>
      <c r="FY75">
        <v>0.61157024793388426</v>
      </c>
      <c r="FZ75">
        <v>3778.7143996429581</v>
      </c>
      <c r="GA75">
        <v>0.22356495468277951</v>
      </c>
      <c r="GB75">
        <v>2621.4838022077211</v>
      </c>
      <c r="GC75">
        <v>0.61157024793388426</v>
      </c>
      <c r="GD75">
        <v>1239.9385188619869</v>
      </c>
      <c r="GE75">
        <v>0.22356495468277951</v>
      </c>
      <c r="GF75">
        <v>505.836818781852</v>
      </c>
      <c r="GG75">
        <v>0.61157024793388426</v>
      </c>
      <c r="GH75">
        <v>0.67154196303888603</v>
      </c>
      <c r="GI75">
        <v>0.22356495468277951</v>
      </c>
      <c r="GJ75">
        <v>0.59899280003718414</v>
      </c>
      <c r="GK75">
        <v>0.61157024793388426</v>
      </c>
      <c r="GL75">
        <v>0.85242884036425748</v>
      </c>
      <c r="GM75">
        <v>0.22356495468277951</v>
      </c>
      <c r="GN75">
        <v>0.78895836193579338</v>
      </c>
      <c r="GO75">
        <v>0.61157024793388426</v>
      </c>
      <c r="GP75">
        <v>0.81202170516567729</v>
      </c>
      <c r="GQ75">
        <v>0.22356495468277951</v>
      </c>
      <c r="GR75">
        <v>0.70164104525368376</v>
      </c>
      <c r="GS75">
        <v>0.61157024793388426</v>
      </c>
      <c r="GT75">
        <v>0.80281376892058431</v>
      </c>
      <c r="GU75">
        <v>0.22356495468277951</v>
      </c>
      <c r="GV75">
        <v>0.68571788920719434</v>
      </c>
      <c r="GW75">
        <v>0.61157024793388426</v>
      </c>
      <c r="GX75">
        <v>0.83110045700871638</v>
      </c>
      <c r="GY75">
        <v>0.22356495468277951</v>
      </c>
      <c r="GZ75">
        <v>0.67167795682799325</v>
      </c>
      <c r="HA75">
        <v>0.61157024793388426</v>
      </c>
      <c r="HB75">
        <v>0.9067118010842522</v>
      </c>
      <c r="HC75">
        <v>0.22356495468277951</v>
      </c>
      <c r="HD75">
        <v>0.74460186316201371</v>
      </c>
      <c r="HE75">
        <v>952.44158003742996</v>
      </c>
      <c r="HF75">
        <v>2844.5887866886478</v>
      </c>
      <c r="HI75">
        <v>743.46094839347859</v>
      </c>
      <c r="HJ75">
        <v>3436.5153302454551</v>
      </c>
      <c r="HK75">
        <v>531.94106813674637</v>
      </c>
      <c r="HL75">
        <v>4065.738705868403</v>
      </c>
    </row>
    <row r="76" spans="173:350" x14ac:dyDescent="0.3">
      <c r="FQ76">
        <v>0.6198347107438017</v>
      </c>
      <c r="FR76">
        <v>432.79449157181682</v>
      </c>
      <c r="FS76">
        <v>0.22658610271903321</v>
      </c>
      <c r="FT76">
        <v>416.25083657976541</v>
      </c>
      <c r="FU76">
        <v>0.6198347107438017</v>
      </c>
      <c r="FV76">
        <v>290.98068458254733</v>
      </c>
      <c r="FW76">
        <v>0.22658610271903321</v>
      </c>
      <c r="FX76">
        <v>285.25933526594008</v>
      </c>
      <c r="FY76">
        <v>0.6198347107438017</v>
      </c>
      <c r="FZ76">
        <v>3779.9243740040329</v>
      </c>
      <c r="GA76">
        <v>0.22658610271903321</v>
      </c>
      <c r="GB76">
        <v>2624.9808349607952</v>
      </c>
      <c r="GC76">
        <v>0.6198347107438017</v>
      </c>
      <c r="GD76">
        <v>1241.446773162118</v>
      </c>
      <c r="GE76">
        <v>0.22658610271903321</v>
      </c>
      <c r="GF76">
        <v>510.79018712914331</v>
      </c>
      <c r="GG76">
        <v>0.6198347107438017</v>
      </c>
      <c r="GH76">
        <v>0.67204577776221985</v>
      </c>
      <c r="GI76">
        <v>0.22658610271903321</v>
      </c>
      <c r="GJ76">
        <v>0.59937898992681715</v>
      </c>
      <c r="GK76">
        <v>0.6198347107438017</v>
      </c>
      <c r="GL76">
        <v>0.85276727275122977</v>
      </c>
      <c r="GM76">
        <v>0.22658610271903321</v>
      </c>
      <c r="GN76">
        <v>0.7895818535383291</v>
      </c>
      <c r="GO76">
        <v>0.6198347107438017</v>
      </c>
      <c r="GP76">
        <v>0.81355875493056584</v>
      </c>
      <c r="GQ76">
        <v>0.22658610271903321</v>
      </c>
      <c r="GR76">
        <v>0.70218368293851641</v>
      </c>
      <c r="GS76">
        <v>0.6198347107438017</v>
      </c>
      <c r="GT76">
        <v>0.80431442104505513</v>
      </c>
      <c r="GU76">
        <v>0.22658610271903321</v>
      </c>
      <c r="GV76">
        <v>0.68581226705106291</v>
      </c>
      <c r="GW76">
        <v>0.6198347107438017</v>
      </c>
      <c r="GX76">
        <v>0.84012794816685066</v>
      </c>
      <c r="GY76">
        <v>0.22658610271903321</v>
      </c>
      <c r="GZ76">
        <v>0.67171289319558636</v>
      </c>
      <c r="HA76">
        <v>0.6198347107438017</v>
      </c>
      <c r="HB76">
        <v>0.90817065240486683</v>
      </c>
      <c r="HC76">
        <v>0.22658610271903321</v>
      </c>
      <c r="HD76">
        <v>0.7452686343424072</v>
      </c>
      <c r="HE76">
        <v>858.32769409496518</v>
      </c>
      <c r="HF76">
        <v>3001.0147499036138</v>
      </c>
      <c r="HI76">
        <v>787.44679610310823</v>
      </c>
      <c r="HJ76">
        <v>2507.7634878657841</v>
      </c>
      <c r="HK76">
        <v>1448.8852440251931</v>
      </c>
      <c r="HL76">
        <v>4327.6913002017254</v>
      </c>
    </row>
    <row r="77" spans="173:350" x14ac:dyDescent="0.3">
      <c r="FQ77">
        <v>0.62809917355371903</v>
      </c>
      <c r="FR77">
        <v>433.50179962619683</v>
      </c>
      <c r="FS77">
        <v>0.22960725075528701</v>
      </c>
      <c r="FT77">
        <v>416.90999772184949</v>
      </c>
      <c r="FU77">
        <v>0.62809917355371903</v>
      </c>
      <c r="FV77">
        <v>291.28274442082437</v>
      </c>
      <c r="FW77">
        <v>0.22960725075528701</v>
      </c>
      <c r="FX77">
        <v>285.33296012395567</v>
      </c>
      <c r="FY77">
        <v>0.62809917355371903</v>
      </c>
      <c r="FZ77">
        <v>3808.8273171485462</v>
      </c>
      <c r="GA77">
        <v>0.22960725075528701</v>
      </c>
      <c r="GB77">
        <v>2632.4492773276461</v>
      </c>
      <c r="GC77">
        <v>0.62809917355371903</v>
      </c>
      <c r="GD77">
        <v>1245.2287267604811</v>
      </c>
      <c r="GE77">
        <v>0.22960725075528701</v>
      </c>
      <c r="GF77">
        <v>512.45749891888499</v>
      </c>
      <c r="GG77">
        <v>0.62809917355371903</v>
      </c>
      <c r="GH77">
        <v>0.67512277009229482</v>
      </c>
      <c r="GI77">
        <v>0.22960725075528701</v>
      </c>
      <c r="GJ77">
        <v>0.60051045641954326</v>
      </c>
      <c r="GK77">
        <v>0.62809917355371903</v>
      </c>
      <c r="GL77">
        <v>0.85291936871779905</v>
      </c>
      <c r="GM77">
        <v>0.22960725075528701</v>
      </c>
      <c r="GN77">
        <v>0.78976493785851765</v>
      </c>
      <c r="GO77">
        <v>0.62809917355371903</v>
      </c>
      <c r="GP77">
        <v>0.81471647879682774</v>
      </c>
      <c r="GQ77">
        <v>0.22960725075528701</v>
      </c>
      <c r="GR77">
        <v>0.70231272614894658</v>
      </c>
      <c r="GS77">
        <v>0.62809917355371903</v>
      </c>
      <c r="GT77">
        <v>0.80450885510996462</v>
      </c>
      <c r="GU77">
        <v>0.22960725075528701</v>
      </c>
      <c r="GV77">
        <v>0.68599283887688445</v>
      </c>
      <c r="GW77">
        <v>0.62809917355371903</v>
      </c>
      <c r="GX77">
        <v>0.84864030452222805</v>
      </c>
      <c r="GY77">
        <v>0.22960725075528701</v>
      </c>
      <c r="GZ77">
        <v>0.67283335038924907</v>
      </c>
      <c r="HA77">
        <v>0.62809917355371903</v>
      </c>
      <c r="HB77">
        <v>0.91113900442557305</v>
      </c>
      <c r="HC77">
        <v>0.22960725075528701</v>
      </c>
      <c r="HD77">
        <v>0.74574588603580194</v>
      </c>
      <c r="HE77">
        <v>1304.5435172953751</v>
      </c>
      <c r="HF77">
        <v>2688.4873424370239</v>
      </c>
      <c r="HI77">
        <v>827.11127531487443</v>
      </c>
      <c r="HJ77">
        <v>3622.1218135104641</v>
      </c>
      <c r="HK77">
        <v>726.34596005734966</v>
      </c>
      <c r="HL77">
        <v>3373.492752583611</v>
      </c>
    </row>
    <row r="78" spans="173:350" x14ac:dyDescent="0.3">
      <c r="FQ78">
        <v>0.63636363636363635</v>
      </c>
      <c r="FR78">
        <v>433.5741970949274</v>
      </c>
      <c r="FS78">
        <v>0.23262839879154079</v>
      </c>
      <c r="FT78">
        <v>417.20348180203462</v>
      </c>
      <c r="FU78">
        <v>0.63636363636363635</v>
      </c>
      <c r="FV78">
        <v>291.53884866845311</v>
      </c>
      <c r="FW78">
        <v>0.23262839879154079</v>
      </c>
      <c r="FX78">
        <v>285.37982092865678</v>
      </c>
      <c r="FY78">
        <v>0.63636363636363635</v>
      </c>
      <c r="FZ78">
        <v>3834.1736730354978</v>
      </c>
      <c r="GA78">
        <v>0.23262839879154079</v>
      </c>
      <c r="GB78">
        <v>2632.9326449020059</v>
      </c>
      <c r="GC78">
        <v>0.63636363636363635</v>
      </c>
      <c r="GD78">
        <v>1253.662661973812</v>
      </c>
      <c r="GE78">
        <v>0.23262839879154079</v>
      </c>
      <c r="GF78">
        <v>515.73497574056341</v>
      </c>
      <c r="GG78">
        <v>0.63636363636363635</v>
      </c>
      <c r="GH78">
        <v>0.67667892114557038</v>
      </c>
      <c r="GI78">
        <v>0.23262839879154079</v>
      </c>
      <c r="GJ78">
        <v>0.60118498703255163</v>
      </c>
      <c r="GK78">
        <v>0.63636363636363635</v>
      </c>
      <c r="GL78">
        <v>0.85406744537401791</v>
      </c>
      <c r="GM78">
        <v>0.23262839879154079</v>
      </c>
      <c r="GN78">
        <v>0.79047482851673156</v>
      </c>
      <c r="GO78">
        <v>0.63636363636363635</v>
      </c>
      <c r="GP78">
        <v>0.81821222919362391</v>
      </c>
      <c r="GQ78">
        <v>0.23262839879154079</v>
      </c>
      <c r="GR78">
        <v>0.70412056277425972</v>
      </c>
      <c r="GS78">
        <v>0.63636363636363635</v>
      </c>
      <c r="GT78">
        <v>0.80599156780683734</v>
      </c>
      <c r="GU78">
        <v>0.23262839879154079</v>
      </c>
      <c r="GV78">
        <v>0.68688562160482192</v>
      </c>
      <c r="GW78">
        <v>0.63636363636363635</v>
      </c>
      <c r="GX78">
        <v>0.84998468176827957</v>
      </c>
      <c r="GY78">
        <v>0.23262839879154079</v>
      </c>
      <c r="GZ78">
        <v>0.67336547935612689</v>
      </c>
      <c r="HA78">
        <v>0.63636363636363635</v>
      </c>
      <c r="HB78">
        <v>0.91142899157147483</v>
      </c>
      <c r="HC78">
        <v>0.23262839879154079</v>
      </c>
      <c r="HD78">
        <v>0.74625398442177715</v>
      </c>
      <c r="HE78">
        <v>1152.816198561386</v>
      </c>
      <c r="HF78">
        <v>2547.8802072856461</v>
      </c>
      <c r="HI78">
        <v>1200.8676998024521</v>
      </c>
      <c r="HJ78">
        <v>3577.6494919732422</v>
      </c>
      <c r="HK78">
        <v>991.52080837900644</v>
      </c>
      <c r="HL78">
        <v>3828.611837533173</v>
      </c>
    </row>
    <row r="79" spans="173:350" x14ac:dyDescent="0.3">
      <c r="FQ79">
        <v>0.64462809917355368</v>
      </c>
      <c r="FR79">
        <v>434.14534602595228</v>
      </c>
      <c r="FS79">
        <v>0.2356495468277946</v>
      </c>
      <c r="FT79">
        <v>417.7059741910698</v>
      </c>
      <c r="FU79">
        <v>0.64462809917355368</v>
      </c>
      <c r="FV79">
        <v>291.69786795294863</v>
      </c>
      <c r="FW79">
        <v>0.2356495468277946</v>
      </c>
      <c r="FX79">
        <v>285.41612205807951</v>
      </c>
      <c r="FY79">
        <v>0.64462809917355368</v>
      </c>
      <c r="FZ79">
        <v>3850.0014830623049</v>
      </c>
      <c r="GA79">
        <v>0.2356495468277946</v>
      </c>
      <c r="GB79">
        <v>2650.571912221968</v>
      </c>
      <c r="GC79">
        <v>0.64462809917355368</v>
      </c>
      <c r="GD79">
        <v>1263.6062808013539</v>
      </c>
      <c r="GE79">
        <v>0.2356495468277946</v>
      </c>
      <c r="GF79">
        <v>516.17986149170144</v>
      </c>
      <c r="GG79">
        <v>0.64462809917355368</v>
      </c>
      <c r="GH79">
        <v>0.67829733257299818</v>
      </c>
      <c r="GI79">
        <v>0.2356495468277946</v>
      </c>
      <c r="GJ79">
        <v>0.60263063892904079</v>
      </c>
      <c r="GK79">
        <v>0.64462809917355368</v>
      </c>
      <c r="GL79">
        <v>0.85459895277690112</v>
      </c>
      <c r="GM79">
        <v>0.2356495468277946</v>
      </c>
      <c r="GN79">
        <v>0.79068677101349594</v>
      </c>
      <c r="GO79">
        <v>0.64462809917355368</v>
      </c>
      <c r="GP79">
        <v>0.81984963310316405</v>
      </c>
      <c r="GQ79">
        <v>0.2356495468277946</v>
      </c>
      <c r="GR79">
        <v>0.70431065660993541</v>
      </c>
      <c r="GS79">
        <v>0.64462809917355368</v>
      </c>
      <c r="GT79">
        <v>0.80839708749853512</v>
      </c>
      <c r="GU79">
        <v>0.2356495468277946</v>
      </c>
      <c r="GV79">
        <v>0.68844246265398545</v>
      </c>
      <c r="GW79">
        <v>0.64462809917355368</v>
      </c>
      <c r="GX79">
        <v>0.85251219762806529</v>
      </c>
      <c r="GY79">
        <v>0.2356495468277946</v>
      </c>
      <c r="GZ79">
        <v>0.67404374791933486</v>
      </c>
      <c r="HA79">
        <v>0.64462809917355368</v>
      </c>
      <c r="HB79">
        <v>0.91329280216279363</v>
      </c>
      <c r="HC79">
        <v>0.2356495468277946</v>
      </c>
      <c r="HD79">
        <v>0.74630049563448386</v>
      </c>
      <c r="HE79">
        <v>1074.925149433288</v>
      </c>
      <c r="HF79">
        <v>2488.805528706217</v>
      </c>
      <c r="HI79">
        <v>1181.9359841452101</v>
      </c>
      <c r="HJ79">
        <v>4703.4062642109129</v>
      </c>
      <c r="HK79">
        <v>486.26016700516772</v>
      </c>
      <c r="HL79">
        <v>4287.7263781485071</v>
      </c>
    </row>
    <row r="80" spans="173:350" x14ac:dyDescent="0.3">
      <c r="FQ80">
        <v>0.65289256198347112</v>
      </c>
      <c r="FR80">
        <v>435.93343051368402</v>
      </c>
      <c r="FS80">
        <v>0.23867069486404829</v>
      </c>
      <c r="FT80">
        <v>417.87810545644049</v>
      </c>
      <c r="FU80">
        <v>0.65289256198347112</v>
      </c>
      <c r="FV80">
        <v>291.86159788470508</v>
      </c>
      <c r="FW80">
        <v>0.23867069486404829</v>
      </c>
      <c r="FX80">
        <v>285.50245153291621</v>
      </c>
      <c r="FY80">
        <v>0.65289256198347112</v>
      </c>
      <c r="FZ80">
        <v>3876.8409309189051</v>
      </c>
      <c r="GA80">
        <v>0.23867069486404829</v>
      </c>
      <c r="GB80">
        <v>2654.7846173003281</v>
      </c>
      <c r="GC80">
        <v>0.65289256198347112</v>
      </c>
      <c r="GD80">
        <v>1267.6822819708709</v>
      </c>
      <c r="GE80">
        <v>0.23867069486404829</v>
      </c>
      <c r="GF80">
        <v>518.89779731228361</v>
      </c>
      <c r="GG80">
        <v>0.65289256198347112</v>
      </c>
      <c r="GH80">
        <v>0.68652646407654161</v>
      </c>
      <c r="GI80">
        <v>0.23867069486404829</v>
      </c>
      <c r="GJ80">
        <v>0.60334102656597977</v>
      </c>
      <c r="GK80">
        <v>0.65289256198347112</v>
      </c>
      <c r="GL80">
        <v>0.85911831608421485</v>
      </c>
      <c r="GM80">
        <v>0.23867069486404829</v>
      </c>
      <c r="GN80">
        <v>0.79134951766694761</v>
      </c>
      <c r="GO80">
        <v>0.65289256198347112</v>
      </c>
      <c r="GP80">
        <v>0.81998163879033981</v>
      </c>
      <c r="GQ80">
        <v>0.23867069486404829</v>
      </c>
      <c r="GR80">
        <v>0.70458540023326521</v>
      </c>
      <c r="GS80">
        <v>0.65289256198347112</v>
      </c>
      <c r="GT80">
        <v>0.81128754168921591</v>
      </c>
      <c r="GU80">
        <v>0.23867069486404829</v>
      </c>
      <c r="GV80">
        <v>0.68868877793996475</v>
      </c>
      <c r="GW80">
        <v>0.65289256198347112</v>
      </c>
      <c r="GX80">
        <v>0.85776439298141127</v>
      </c>
      <c r="GY80">
        <v>0.23867069486404829</v>
      </c>
      <c r="GZ80">
        <v>0.67560015812801799</v>
      </c>
      <c r="HA80">
        <v>0.65289256198347112</v>
      </c>
      <c r="HB80">
        <v>0.91482567596030817</v>
      </c>
      <c r="HC80">
        <v>0.23867069486404829</v>
      </c>
      <c r="HD80">
        <v>0.74671839945557072</v>
      </c>
      <c r="HE80">
        <v>546.97167496593806</v>
      </c>
      <c r="HF80">
        <v>3547.1506419983548</v>
      </c>
      <c r="HI80">
        <v>1444.1201009951351</v>
      </c>
      <c r="HJ80">
        <v>2271.3261105207771</v>
      </c>
      <c r="HK80">
        <v>623.1255034237613</v>
      </c>
      <c r="HL80">
        <v>4820.2222616725549</v>
      </c>
    </row>
    <row r="81" spans="173:220" x14ac:dyDescent="0.3">
      <c r="FQ81">
        <v>0.66115702479338845</v>
      </c>
      <c r="FR81">
        <v>436.09695310912758</v>
      </c>
      <c r="FS81">
        <v>0.2416918429003021</v>
      </c>
      <c r="FT81">
        <v>417.92595756875369</v>
      </c>
      <c r="FU81">
        <v>0.66115702479338845</v>
      </c>
      <c r="FV81">
        <v>292.06467035811443</v>
      </c>
      <c r="FW81">
        <v>0.2416918429003021</v>
      </c>
      <c r="FX81">
        <v>285.56681286502891</v>
      </c>
      <c r="FY81">
        <v>0.66115702479338845</v>
      </c>
      <c r="FZ81">
        <v>3915.7974149588808</v>
      </c>
      <c r="GA81">
        <v>0.2416918429003021</v>
      </c>
      <c r="GB81">
        <v>2669.1746503511031</v>
      </c>
      <c r="GC81">
        <v>0.66115702479338845</v>
      </c>
      <c r="GD81">
        <v>1268.657707014368</v>
      </c>
      <c r="GE81">
        <v>0.2416918429003021</v>
      </c>
      <c r="GF81">
        <v>520.21159086120542</v>
      </c>
      <c r="GG81">
        <v>0.66115702479338845</v>
      </c>
      <c r="GH81">
        <v>0.68888708151587219</v>
      </c>
      <c r="GI81">
        <v>0.2416918429003021</v>
      </c>
      <c r="GJ81">
        <v>0.6044287127239425</v>
      </c>
      <c r="GK81">
        <v>0.66115702479338845</v>
      </c>
      <c r="GL81">
        <v>0.86110352872557172</v>
      </c>
      <c r="GM81">
        <v>0.2416918429003021</v>
      </c>
      <c r="GN81">
        <v>0.79183944901013981</v>
      </c>
      <c r="GO81">
        <v>0.66115702479338845</v>
      </c>
      <c r="GP81">
        <v>0.82069703400291893</v>
      </c>
      <c r="GQ81">
        <v>0.2416918429003021</v>
      </c>
      <c r="GR81">
        <v>0.70561147501794541</v>
      </c>
      <c r="GS81">
        <v>0.66115702479338845</v>
      </c>
      <c r="GT81">
        <v>0.81779040319081608</v>
      </c>
      <c r="GU81">
        <v>0.2416918429003021</v>
      </c>
      <c r="GV81">
        <v>0.6897940450180331</v>
      </c>
      <c r="GW81">
        <v>0.66115702479338845</v>
      </c>
      <c r="GX81">
        <v>0.8579546181046328</v>
      </c>
      <c r="GY81">
        <v>0.2416918429003021</v>
      </c>
      <c r="GZ81">
        <v>0.67622602500734053</v>
      </c>
      <c r="HA81">
        <v>0.66115702479338845</v>
      </c>
      <c r="HB81">
        <v>0.91730416220585376</v>
      </c>
      <c r="HC81">
        <v>0.2416918429003021</v>
      </c>
      <c r="HD81">
        <v>0.74766947169333164</v>
      </c>
      <c r="HE81">
        <v>1245.2287267604811</v>
      </c>
      <c r="HF81">
        <v>3416.9200649321838</v>
      </c>
      <c r="HI81">
        <v>1023.255776400223</v>
      </c>
      <c r="HJ81">
        <v>3762.2850958509948</v>
      </c>
      <c r="HK81">
        <v>1471.103642271848</v>
      </c>
      <c r="HL81">
        <v>2193.4238288977081</v>
      </c>
    </row>
    <row r="82" spans="173:220" x14ac:dyDescent="0.3">
      <c r="FQ82">
        <v>0.66942148760330578</v>
      </c>
      <c r="FR82">
        <v>436.52419597182421</v>
      </c>
      <c r="FS82">
        <v>0.24471299093655591</v>
      </c>
      <c r="FT82">
        <v>418.00143862825382</v>
      </c>
      <c r="FU82">
        <v>0.66942148760330578</v>
      </c>
      <c r="FV82">
        <v>292.12589848934971</v>
      </c>
      <c r="FW82">
        <v>0.24471299093655591</v>
      </c>
      <c r="FX82">
        <v>285.57180805589729</v>
      </c>
      <c r="FY82">
        <v>0.66942148760330578</v>
      </c>
      <c r="FZ82">
        <v>3942.2269758253569</v>
      </c>
      <c r="GA82">
        <v>0.24471299093655591</v>
      </c>
      <c r="GB82">
        <v>2674.482313309567</v>
      </c>
      <c r="GC82">
        <v>0.66942148760330578</v>
      </c>
      <c r="GD82">
        <v>1274.8935478485951</v>
      </c>
      <c r="GE82">
        <v>0.24471299093655591</v>
      </c>
      <c r="GF82">
        <v>526.5580681328704</v>
      </c>
      <c r="GG82">
        <v>0.66942148760330578</v>
      </c>
      <c r="GH82">
        <v>0.69153386432401975</v>
      </c>
      <c r="GI82">
        <v>0.24471299093655591</v>
      </c>
      <c r="GJ82">
        <v>0.60452207169050709</v>
      </c>
      <c r="GK82">
        <v>0.66942148760330578</v>
      </c>
      <c r="GL82">
        <v>0.86135494499297904</v>
      </c>
      <c r="GM82">
        <v>0.24471299093655591</v>
      </c>
      <c r="GN82">
        <v>0.7924105494227881</v>
      </c>
      <c r="GO82">
        <v>0.66942148760330578</v>
      </c>
      <c r="GP82">
        <v>0.82314281915994525</v>
      </c>
      <c r="GQ82">
        <v>0.24471299093655591</v>
      </c>
      <c r="GR82">
        <v>0.70612462656708797</v>
      </c>
      <c r="GS82">
        <v>0.66942148760330578</v>
      </c>
      <c r="GT82">
        <v>0.81969009325014497</v>
      </c>
      <c r="GU82">
        <v>0.24471299093655591</v>
      </c>
      <c r="GV82">
        <v>0.69211028297484944</v>
      </c>
      <c r="GW82">
        <v>0.66942148760330578</v>
      </c>
      <c r="GX82">
        <v>0.85907313591134926</v>
      </c>
      <c r="GY82">
        <v>0.24471299093655591</v>
      </c>
      <c r="GZ82">
        <v>0.67681237892985724</v>
      </c>
      <c r="HA82">
        <v>0.66942148760330578</v>
      </c>
      <c r="HB82">
        <v>0.91800386345254803</v>
      </c>
      <c r="HC82">
        <v>0.24471299093655591</v>
      </c>
      <c r="HD82">
        <v>0.74879037583631192</v>
      </c>
      <c r="HE82">
        <v>1275.004073771255</v>
      </c>
      <c r="HF82">
        <v>4618.0054234464169</v>
      </c>
      <c r="HI82">
        <v>1301.092690119161</v>
      </c>
      <c r="HJ82">
        <v>2026.7627517197891</v>
      </c>
      <c r="HK82">
        <v>1420.202265011503</v>
      </c>
      <c r="HL82">
        <v>3782.8824133567869</v>
      </c>
    </row>
    <row r="83" spans="173:220" x14ac:dyDescent="0.3">
      <c r="FQ83">
        <v>0.6776859504132231</v>
      </c>
      <c r="FR83">
        <v>437.13593201044989</v>
      </c>
      <c r="FS83">
        <v>0.24773413897280969</v>
      </c>
      <c r="FT83">
        <v>418.4264071948723</v>
      </c>
      <c r="FU83">
        <v>0.6776859504132231</v>
      </c>
      <c r="FV83">
        <v>292.80967894368479</v>
      </c>
      <c r="FW83">
        <v>0.24773413897280969</v>
      </c>
      <c r="FX83">
        <v>285.61010891078888</v>
      </c>
      <c r="FY83">
        <v>0.6776859504132231</v>
      </c>
      <c r="FZ83">
        <v>3951.2047204010209</v>
      </c>
      <c r="GA83">
        <v>0.24773413897280969</v>
      </c>
      <c r="GB83">
        <v>2676.464074572325</v>
      </c>
      <c r="GC83">
        <v>0.6776859504132231</v>
      </c>
      <c r="GD83">
        <v>1275.004073771255</v>
      </c>
      <c r="GE83">
        <v>0.24773413897280969</v>
      </c>
      <c r="GF83">
        <v>531.94106813674637</v>
      </c>
      <c r="GG83">
        <v>0.6776859504132231</v>
      </c>
      <c r="GH83">
        <v>0.69733215102558188</v>
      </c>
      <c r="GI83">
        <v>0.24773413897280969</v>
      </c>
      <c r="GJ83">
        <v>0.60597437292199596</v>
      </c>
      <c r="GK83">
        <v>0.6776859504132231</v>
      </c>
      <c r="GL83">
        <v>0.86239600966452989</v>
      </c>
      <c r="GM83">
        <v>0.24773413897280969</v>
      </c>
      <c r="GN83">
        <v>0.79283379178887747</v>
      </c>
      <c r="GO83">
        <v>0.6776859504132231</v>
      </c>
      <c r="GP83">
        <v>0.82445157108653044</v>
      </c>
      <c r="GQ83">
        <v>0.24773413897280969</v>
      </c>
      <c r="GR83">
        <v>0.70676850567348015</v>
      </c>
      <c r="GS83">
        <v>0.6776859504132231</v>
      </c>
      <c r="GT83">
        <v>0.82285755032759389</v>
      </c>
      <c r="GU83">
        <v>0.24773413897280969</v>
      </c>
      <c r="GV83">
        <v>0.69230964106021453</v>
      </c>
      <c r="GW83">
        <v>0.6776859504132231</v>
      </c>
      <c r="GX83">
        <v>0.8647668218353417</v>
      </c>
      <c r="GY83">
        <v>0.24773413897280969</v>
      </c>
      <c r="GZ83">
        <v>0.6770708312582564</v>
      </c>
      <c r="HA83">
        <v>0.6776859504132231</v>
      </c>
      <c r="HB83">
        <v>0.91984267086155436</v>
      </c>
      <c r="HC83">
        <v>0.24773413897280969</v>
      </c>
      <c r="HD83">
        <v>0.74908367993983371</v>
      </c>
      <c r="HE83">
        <v>1142.2956162766111</v>
      </c>
      <c r="HF83">
        <v>2921.798925985498</v>
      </c>
      <c r="HI83">
        <v>997.26313839175043</v>
      </c>
      <c r="HJ83">
        <v>2530.9916492860689</v>
      </c>
      <c r="HK83">
        <v>480.62848274879542</v>
      </c>
      <c r="HL83">
        <v>4034.5099202175652</v>
      </c>
    </row>
    <row r="84" spans="173:220" x14ac:dyDescent="0.3">
      <c r="FQ84">
        <v>0.68595041322314054</v>
      </c>
      <c r="FR84">
        <v>437.98415643613163</v>
      </c>
      <c r="FS84">
        <v>0.25075528700906352</v>
      </c>
      <c r="FT84">
        <v>418.63335381100848</v>
      </c>
      <c r="FU84">
        <v>0.68595041322314054</v>
      </c>
      <c r="FV84">
        <v>292.91078122262508</v>
      </c>
      <c r="FW84">
        <v>0.25075528700906352</v>
      </c>
      <c r="FX84">
        <v>285.82639815376473</v>
      </c>
      <c r="FY84">
        <v>0.68595041322314054</v>
      </c>
      <c r="FZ84">
        <v>3961.4129565340641</v>
      </c>
      <c r="GA84">
        <v>0.25075528700906352</v>
      </c>
      <c r="GB84">
        <v>2683.0954820666002</v>
      </c>
      <c r="GC84">
        <v>0.68595041322314054</v>
      </c>
      <c r="GD84">
        <v>1277.817032372805</v>
      </c>
      <c r="GE84">
        <v>0.25075528700906352</v>
      </c>
      <c r="GF84">
        <v>532.98430683877609</v>
      </c>
      <c r="GG84">
        <v>0.68595041322314054</v>
      </c>
      <c r="GH84">
        <v>0.70167270814000071</v>
      </c>
      <c r="GI84">
        <v>0.25075528700906352</v>
      </c>
      <c r="GJ84">
        <v>0.60731630181958995</v>
      </c>
      <c r="GK84">
        <v>0.68595041322314054</v>
      </c>
      <c r="GL84">
        <v>0.86270950967805271</v>
      </c>
      <c r="GM84">
        <v>0.25075528700906352</v>
      </c>
      <c r="GN84">
        <v>0.79298650196014631</v>
      </c>
      <c r="GO84">
        <v>0.68595041322314054</v>
      </c>
      <c r="GP84">
        <v>0.82483247096026757</v>
      </c>
      <c r="GQ84">
        <v>0.25075528700906352</v>
      </c>
      <c r="GR84">
        <v>0.70781639313879474</v>
      </c>
      <c r="GS84">
        <v>0.68595041322314054</v>
      </c>
      <c r="GT84">
        <v>0.82468776877702255</v>
      </c>
      <c r="GU84">
        <v>0.25075528700906352</v>
      </c>
      <c r="GV84">
        <v>0.69282570727617354</v>
      </c>
      <c r="GW84">
        <v>0.68595041322314054</v>
      </c>
      <c r="GX84">
        <v>0.86586698187173594</v>
      </c>
      <c r="GY84">
        <v>0.25075528700906352</v>
      </c>
      <c r="GZ84">
        <v>0.67759074615370329</v>
      </c>
      <c r="HA84">
        <v>0.68595041322314054</v>
      </c>
      <c r="HB84">
        <v>0.92016848334469836</v>
      </c>
      <c r="HC84">
        <v>0.25075528700906352</v>
      </c>
      <c r="HD84">
        <v>0.74963912312184089</v>
      </c>
      <c r="HE84">
        <v>1438.218115492034</v>
      </c>
      <c r="HF84">
        <v>3718.573104357165</v>
      </c>
      <c r="HI84">
        <v>668.82891753323088</v>
      </c>
      <c r="HJ84">
        <v>2222.4226206861749</v>
      </c>
      <c r="HK84">
        <v>899.11822816746815</v>
      </c>
      <c r="HL84">
        <v>3931.4769638822299</v>
      </c>
    </row>
    <row r="85" spans="173:220" x14ac:dyDescent="0.3">
      <c r="FQ85">
        <v>0.69421487603305787</v>
      </c>
      <c r="FR85">
        <v>440.27317810348143</v>
      </c>
      <c r="FS85">
        <v>0.25377643504531722</v>
      </c>
      <c r="FT85">
        <v>418.82497992736643</v>
      </c>
      <c r="FU85">
        <v>0.69421487603305787</v>
      </c>
      <c r="FV85">
        <v>293.01965436431641</v>
      </c>
      <c r="FW85">
        <v>0.25377643504531722</v>
      </c>
      <c r="FX85">
        <v>285.84222543335738</v>
      </c>
      <c r="FY85">
        <v>0.69421487603305787</v>
      </c>
      <c r="FZ85">
        <v>3985.9676927566779</v>
      </c>
      <c r="GA85">
        <v>0.25377643504531722</v>
      </c>
      <c r="GB85">
        <v>2694.1191208584132</v>
      </c>
      <c r="GC85">
        <v>0.69421487603305787</v>
      </c>
      <c r="GD85">
        <v>1280.658961349689</v>
      </c>
      <c r="GE85">
        <v>0.25377643504531722</v>
      </c>
      <c r="GF85">
        <v>536.15959117261582</v>
      </c>
      <c r="GG85">
        <v>0.69421487603305787</v>
      </c>
      <c r="GH85">
        <v>0.70377263779995702</v>
      </c>
      <c r="GI85">
        <v>0.25377643504531722</v>
      </c>
      <c r="GJ85">
        <v>0.60771298564871301</v>
      </c>
      <c r="GK85">
        <v>0.69421487603305787</v>
      </c>
      <c r="GL85">
        <v>0.86314736297965866</v>
      </c>
      <c r="GM85">
        <v>0.25377643504531722</v>
      </c>
      <c r="GN85">
        <v>0.79317868067233765</v>
      </c>
      <c r="GO85">
        <v>0.69421487603305787</v>
      </c>
      <c r="GP85">
        <v>0.82522828862121977</v>
      </c>
      <c r="GQ85">
        <v>0.25377643504531722</v>
      </c>
      <c r="GR85">
        <v>0.70900681152254053</v>
      </c>
      <c r="GS85">
        <v>0.69421487603305787</v>
      </c>
      <c r="GT85">
        <v>0.82742474159389334</v>
      </c>
      <c r="GU85">
        <v>0.25377643504531722</v>
      </c>
      <c r="GV85">
        <v>0.69473466102674031</v>
      </c>
      <c r="GW85">
        <v>0.69421487603305787</v>
      </c>
      <c r="GX85">
        <v>0.86858691318603209</v>
      </c>
      <c r="GY85">
        <v>0.25377643504531722</v>
      </c>
      <c r="GZ85">
        <v>0.67936830815885607</v>
      </c>
      <c r="HA85">
        <v>0.69421487603305787</v>
      </c>
      <c r="HB85">
        <v>0.92189280771659399</v>
      </c>
      <c r="HC85">
        <v>0.25377643504531722</v>
      </c>
      <c r="HD85">
        <v>0.75087222547705246</v>
      </c>
      <c r="HI85">
        <v>536.15959117261582</v>
      </c>
      <c r="HJ85">
        <v>3738.6963398577218</v>
      </c>
      <c r="HK85">
        <v>1084.441098746134</v>
      </c>
      <c r="HL85">
        <v>2326.1825983553299</v>
      </c>
    </row>
    <row r="86" spans="173:220" x14ac:dyDescent="0.3">
      <c r="FQ86">
        <v>0.7024793388429752</v>
      </c>
      <c r="FR86">
        <v>440.87823054581179</v>
      </c>
      <c r="FS86">
        <v>0.25679758308157102</v>
      </c>
      <c r="FT86">
        <v>419.05757607807539</v>
      </c>
      <c r="FU86">
        <v>0.7024793388429752</v>
      </c>
      <c r="FV86">
        <v>293.43172475737151</v>
      </c>
      <c r="FW86">
        <v>0.25679758308157102</v>
      </c>
      <c r="FX86">
        <v>285.91804463461528</v>
      </c>
      <c r="FY86">
        <v>0.7024793388429752</v>
      </c>
      <c r="FZ86">
        <v>4011.0372940846132</v>
      </c>
      <c r="GA86">
        <v>0.25679758308157102</v>
      </c>
      <c r="GB86">
        <v>2697.1902563420481</v>
      </c>
      <c r="GC86">
        <v>0.7024793388429752</v>
      </c>
      <c r="GD86">
        <v>1295.157266668871</v>
      </c>
      <c r="GE86">
        <v>0.25679758308157102</v>
      </c>
      <c r="GF86">
        <v>539.73241595649017</v>
      </c>
      <c r="GG86">
        <v>0.7024793388429752</v>
      </c>
      <c r="GH86">
        <v>0.70401100111647019</v>
      </c>
      <c r="GI86">
        <v>0.25679758308157102</v>
      </c>
      <c r="GJ86">
        <v>0.6090664311879771</v>
      </c>
      <c r="GK86">
        <v>0.7024793388429752</v>
      </c>
      <c r="GL86">
        <v>0.86382696418635652</v>
      </c>
      <c r="GM86">
        <v>0.25679758308157102</v>
      </c>
      <c r="GN86">
        <v>0.79408550784671672</v>
      </c>
      <c r="GO86">
        <v>0.7024793388429752</v>
      </c>
      <c r="GP86">
        <v>0.82604280668633889</v>
      </c>
      <c r="GQ86">
        <v>0.25679758308157102</v>
      </c>
      <c r="GR86">
        <v>0.7095609148066363</v>
      </c>
      <c r="GS86">
        <v>0.7024793388429752</v>
      </c>
      <c r="GT86">
        <v>0.82964229146414958</v>
      </c>
      <c r="GU86">
        <v>0.25679758308157102</v>
      </c>
      <c r="GV86">
        <v>0.6951904466992288</v>
      </c>
      <c r="GW86">
        <v>0.7024793388429752</v>
      </c>
      <c r="GX86">
        <v>0.87000916575746112</v>
      </c>
      <c r="GY86">
        <v>0.25679758308157102</v>
      </c>
      <c r="GZ86">
        <v>0.68183941178479812</v>
      </c>
      <c r="HA86">
        <v>0.7024793388429752</v>
      </c>
      <c r="HB86">
        <v>0.92243331351188196</v>
      </c>
      <c r="HC86">
        <v>0.25679758308157102</v>
      </c>
      <c r="HD86">
        <v>0.75092401245865148</v>
      </c>
      <c r="HI86">
        <v>1038.3428151751759</v>
      </c>
      <c r="HJ86">
        <v>2044.2419440197079</v>
      </c>
      <c r="HK86">
        <v>1042.197856953135</v>
      </c>
      <c r="HL86">
        <v>3529.9691694074158</v>
      </c>
    </row>
    <row r="87" spans="173:220" x14ac:dyDescent="0.3">
      <c r="FQ87">
        <v>0.71074380165289253</v>
      </c>
      <c r="FR87">
        <v>441.06889180047432</v>
      </c>
      <c r="FS87">
        <v>0.25981873111782477</v>
      </c>
      <c r="FT87">
        <v>419.62236861725302</v>
      </c>
      <c r="FU87">
        <v>0.71074380165289253</v>
      </c>
      <c r="FV87">
        <v>293.49017272592567</v>
      </c>
      <c r="FW87">
        <v>0.25981873111782477</v>
      </c>
      <c r="FX87">
        <v>285.9273896361529</v>
      </c>
      <c r="FY87">
        <v>0.71074380165289253</v>
      </c>
      <c r="FZ87">
        <v>4035.5920742289659</v>
      </c>
      <c r="GA87">
        <v>0.25981873111782477</v>
      </c>
      <c r="GB87">
        <v>2712.8597105407371</v>
      </c>
      <c r="GC87">
        <v>0.71074380165289253</v>
      </c>
      <c r="GD87">
        <v>1303.645408011819</v>
      </c>
      <c r="GE87">
        <v>0.25981873111782477</v>
      </c>
      <c r="GF87">
        <v>540.40281323403997</v>
      </c>
      <c r="GG87">
        <v>0.71074380165289253</v>
      </c>
      <c r="GH87">
        <v>0.70503660932993317</v>
      </c>
      <c r="GI87">
        <v>0.25981873111782477</v>
      </c>
      <c r="GJ87">
        <v>0.60923510814660586</v>
      </c>
      <c r="GK87">
        <v>0.71074380165289253</v>
      </c>
      <c r="GL87">
        <v>0.86665139384828793</v>
      </c>
      <c r="GM87">
        <v>0.25981873111782477</v>
      </c>
      <c r="GN87">
        <v>0.7946672817351057</v>
      </c>
      <c r="GO87">
        <v>0.71074380165289253</v>
      </c>
      <c r="GP87">
        <v>0.82654776488482185</v>
      </c>
      <c r="GQ87">
        <v>0.25981873111782477</v>
      </c>
      <c r="GR87">
        <v>0.71020337857719584</v>
      </c>
      <c r="GS87">
        <v>0.71074380165289253</v>
      </c>
      <c r="GT87">
        <v>0.83702127012380023</v>
      </c>
      <c r="GU87">
        <v>0.25981873111782477</v>
      </c>
      <c r="GV87">
        <v>0.69795723482884187</v>
      </c>
      <c r="GW87">
        <v>0.71074380165289253</v>
      </c>
      <c r="GX87">
        <v>0.87288129085893973</v>
      </c>
      <c r="GY87">
        <v>0.25981873111782477</v>
      </c>
      <c r="GZ87">
        <v>0.68252416156764151</v>
      </c>
      <c r="HA87">
        <v>0.71074380165289253</v>
      </c>
      <c r="HB87">
        <v>0.92334529739237758</v>
      </c>
      <c r="HC87">
        <v>0.25981873111782477</v>
      </c>
      <c r="HD87">
        <v>0.75179667906833358</v>
      </c>
      <c r="HI87">
        <v>1082.7528064791429</v>
      </c>
      <c r="HJ87">
        <v>2632.4492773276461</v>
      </c>
      <c r="HK87">
        <v>302.94922999750952</v>
      </c>
      <c r="HL87">
        <v>2479.2167479348659</v>
      </c>
    </row>
    <row r="88" spans="173:220" x14ac:dyDescent="0.3">
      <c r="FQ88">
        <v>0.71900826446280997</v>
      </c>
      <c r="FR88">
        <v>441.63893894716608</v>
      </c>
      <c r="FS88">
        <v>0.26283987915407853</v>
      </c>
      <c r="FT88">
        <v>419.74702577018672</v>
      </c>
      <c r="FU88">
        <v>0.71900826446280997</v>
      </c>
      <c r="FV88">
        <v>293.70272890789232</v>
      </c>
      <c r="FW88">
        <v>0.26283987915407853</v>
      </c>
      <c r="FX88">
        <v>285.98285947165522</v>
      </c>
      <c r="FY88">
        <v>0.71900826446280997</v>
      </c>
      <c r="FZ88">
        <v>4111.4915617105562</v>
      </c>
      <c r="GA88">
        <v>0.26283987915407853</v>
      </c>
      <c r="GB88">
        <v>2718.1615875074322</v>
      </c>
      <c r="GC88">
        <v>0.71900826446280997</v>
      </c>
      <c r="GD88">
        <v>1304.5435172953751</v>
      </c>
      <c r="GE88">
        <v>0.26283987915407853</v>
      </c>
      <c r="GF88">
        <v>540.55209269816214</v>
      </c>
      <c r="GG88">
        <v>0.71900826446280997</v>
      </c>
      <c r="GH88">
        <v>0.70508289010649283</v>
      </c>
      <c r="GI88">
        <v>0.26283987915407853</v>
      </c>
      <c r="GJ88">
        <v>0.61014710349561874</v>
      </c>
      <c r="GK88">
        <v>0.71900826446280997</v>
      </c>
      <c r="GL88">
        <v>0.86915438321063143</v>
      </c>
      <c r="GM88">
        <v>0.26283987915407853</v>
      </c>
      <c r="GN88">
        <v>0.7946920393361766</v>
      </c>
      <c r="GO88">
        <v>0.71900826446280997</v>
      </c>
      <c r="GP88">
        <v>0.82712290651355724</v>
      </c>
      <c r="GQ88">
        <v>0.26283987915407853</v>
      </c>
      <c r="GR88">
        <v>0.71124637310093219</v>
      </c>
      <c r="GS88">
        <v>0.71900826446280997</v>
      </c>
      <c r="GT88">
        <v>0.85068528758542694</v>
      </c>
      <c r="GU88">
        <v>0.26283987915407853</v>
      </c>
      <c r="GV88">
        <v>0.69882493493282927</v>
      </c>
      <c r="GW88">
        <v>0.71900826446280997</v>
      </c>
      <c r="GX88">
        <v>0.87330688210151586</v>
      </c>
      <c r="GY88">
        <v>0.26283987915407853</v>
      </c>
      <c r="GZ88">
        <v>0.68306947707132404</v>
      </c>
      <c r="HA88">
        <v>0.71900826446280997</v>
      </c>
      <c r="HB88">
        <v>0.92418548389185795</v>
      </c>
      <c r="HC88">
        <v>0.26283987915407853</v>
      </c>
      <c r="HD88">
        <v>0.75193993183095476</v>
      </c>
      <c r="HI88">
        <v>576.22173662295086</v>
      </c>
      <c r="HJ88">
        <v>3991.388142762185</v>
      </c>
      <c r="HK88">
        <v>841.64949983374345</v>
      </c>
      <c r="HL88">
        <v>3381.4516893287878</v>
      </c>
    </row>
    <row r="89" spans="173:220" x14ac:dyDescent="0.3">
      <c r="FQ89">
        <v>0.72727272727272729</v>
      </c>
      <c r="FR89">
        <v>441.74190976204642</v>
      </c>
      <c r="FS89">
        <v>0.26586102719033228</v>
      </c>
      <c r="FT89">
        <v>420.279430741515</v>
      </c>
      <c r="FU89">
        <v>0.72727272727272729</v>
      </c>
      <c r="FV89">
        <v>293.77111338665708</v>
      </c>
      <c r="FW89">
        <v>0.26586102719033228</v>
      </c>
      <c r="FX89">
        <v>286.07284024483351</v>
      </c>
      <c r="FY89">
        <v>0.72727272727272729</v>
      </c>
      <c r="FZ89">
        <v>4127.8924198258019</v>
      </c>
      <c r="GA89">
        <v>0.26586102719033228</v>
      </c>
      <c r="GB89">
        <v>2724.514536180277</v>
      </c>
      <c r="GC89">
        <v>0.72727272727272729</v>
      </c>
      <c r="GD89">
        <v>1307.586825936962</v>
      </c>
      <c r="GE89">
        <v>0.26586102719033228</v>
      </c>
      <c r="GF89">
        <v>547.28992499836443</v>
      </c>
      <c r="GG89">
        <v>0.72727272727272729</v>
      </c>
      <c r="GH89">
        <v>0.70866050570089389</v>
      </c>
      <c r="GI89">
        <v>0.26586102719033228</v>
      </c>
      <c r="GJ89">
        <v>0.61100571122367686</v>
      </c>
      <c r="GK89">
        <v>0.72727272727272729</v>
      </c>
      <c r="GL89">
        <v>0.87066024742256576</v>
      </c>
      <c r="GM89">
        <v>0.26586102719033228</v>
      </c>
      <c r="GN89">
        <v>0.79496753644496099</v>
      </c>
      <c r="GO89">
        <v>0.72727272727272729</v>
      </c>
      <c r="GP89">
        <v>0.82849503660886781</v>
      </c>
      <c r="GQ89">
        <v>0.26586102719033228</v>
      </c>
      <c r="GR89">
        <v>0.71143724936467367</v>
      </c>
      <c r="GS89">
        <v>0.72727272727272729</v>
      </c>
      <c r="GT89">
        <v>0.85173555922375921</v>
      </c>
      <c r="GU89">
        <v>0.26586102719033228</v>
      </c>
      <c r="GV89">
        <v>0.70031607841883214</v>
      </c>
      <c r="GW89">
        <v>0.72727272727272729</v>
      </c>
      <c r="GX89">
        <v>0.87614723474275513</v>
      </c>
      <c r="GY89">
        <v>0.26586102719033228</v>
      </c>
      <c r="GZ89">
        <v>0.68547603779622235</v>
      </c>
      <c r="HA89">
        <v>0.72727272727272729</v>
      </c>
      <c r="HB89">
        <v>0.9248300932670368</v>
      </c>
      <c r="HC89">
        <v>0.26586102719033228</v>
      </c>
      <c r="HD89">
        <v>0.75264184831093084</v>
      </c>
      <c r="HI89">
        <v>964.89582692552403</v>
      </c>
      <c r="HJ89">
        <v>3139.5176862799522</v>
      </c>
      <c r="HK89">
        <v>973.33512700297285</v>
      </c>
      <c r="HL89">
        <v>2493.3327406355402</v>
      </c>
    </row>
    <row r="90" spans="173:220" x14ac:dyDescent="0.3">
      <c r="FQ90">
        <v>0.73553719008264462</v>
      </c>
      <c r="FR90">
        <v>442.581649298424</v>
      </c>
      <c r="FS90">
        <v>0.26888217522658608</v>
      </c>
      <c r="FT90">
        <v>420.36660126487402</v>
      </c>
      <c r="FU90">
        <v>0.73553719008264462</v>
      </c>
      <c r="FV90">
        <v>294.61827090770697</v>
      </c>
      <c r="FW90">
        <v>0.26888217522658608</v>
      </c>
      <c r="FX90">
        <v>286.2445643440762</v>
      </c>
      <c r="FY90">
        <v>0.73553719008264462</v>
      </c>
      <c r="FZ90">
        <v>4148.9677855173231</v>
      </c>
      <c r="GA90">
        <v>0.26888217522658608</v>
      </c>
      <c r="GB90">
        <v>2729.1353869547138</v>
      </c>
      <c r="GC90">
        <v>0.73553719008264462</v>
      </c>
      <c r="GD90">
        <v>1315.7871292156799</v>
      </c>
      <c r="GE90">
        <v>0.26888217522658608</v>
      </c>
      <c r="GF90">
        <v>551.55033902060268</v>
      </c>
      <c r="GG90">
        <v>0.73553719008264462</v>
      </c>
      <c r="GH90">
        <v>0.71208662202770356</v>
      </c>
      <c r="GI90">
        <v>0.26888217522658608</v>
      </c>
      <c r="GJ90">
        <v>0.61101471985341427</v>
      </c>
      <c r="GK90">
        <v>0.73553719008264462</v>
      </c>
      <c r="GL90">
        <v>0.87075714824646255</v>
      </c>
      <c r="GM90">
        <v>0.26888217522658608</v>
      </c>
      <c r="GN90">
        <v>0.79545031530917654</v>
      </c>
      <c r="GO90">
        <v>0.73553719008264462</v>
      </c>
      <c r="GP90">
        <v>0.83165550679538136</v>
      </c>
      <c r="GQ90">
        <v>0.26888217522658608</v>
      </c>
      <c r="GR90">
        <v>0.71227888730617761</v>
      </c>
      <c r="GS90">
        <v>0.73553719008264462</v>
      </c>
      <c r="GT90">
        <v>0.85309419406128151</v>
      </c>
      <c r="GU90">
        <v>0.26888217522658608</v>
      </c>
      <c r="GV90">
        <v>0.70288927773369902</v>
      </c>
      <c r="GW90">
        <v>0.73553719008264462</v>
      </c>
      <c r="GX90">
        <v>0.87617119651273079</v>
      </c>
      <c r="GY90">
        <v>0.26888217522658608</v>
      </c>
      <c r="GZ90">
        <v>0.68574337166721377</v>
      </c>
      <c r="HA90">
        <v>0.73553719008264462</v>
      </c>
      <c r="HB90">
        <v>0.92520924636162916</v>
      </c>
      <c r="HC90">
        <v>0.26888217522658608</v>
      </c>
      <c r="HD90">
        <v>0.75331554872013762</v>
      </c>
      <c r="HI90">
        <v>1171.4294401515101</v>
      </c>
      <c r="HJ90">
        <v>4409.1172533702629</v>
      </c>
      <c r="HK90">
        <v>801.12428992705441</v>
      </c>
      <c r="HL90">
        <v>3196.2116564753892</v>
      </c>
    </row>
    <row r="91" spans="173:220" x14ac:dyDescent="0.3">
      <c r="FQ91">
        <v>0.74380165289256195</v>
      </c>
      <c r="FR91">
        <v>443.155295575482</v>
      </c>
      <c r="FS91">
        <v>0.27190332326283989</v>
      </c>
      <c r="FT91">
        <v>420.8644744374256</v>
      </c>
      <c r="FU91">
        <v>0.74380165289256195</v>
      </c>
      <c r="FV91">
        <v>294.82803150237578</v>
      </c>
      <c r="FW91">
        <v>0.27190332326283989</v>
      </c>
      <c r="FX91">
        <v>286.36790025737628</v>
      </c>
      <c r="FY91">
        <v>0.74380165289256195</v>
      </c>
      <c r="FZ91">
        <v>4160.6852918196446</v>
      </c>
      <c r="GA91">
        <v>0.27190332326283989</v>
      </c>
      <c r="GB91">
        <v>2733.3136168459582</v>
      </c>
      <c r="GC91">
        <v>0.74380165289256195</v>
      </c>
      <c r="GD91">
        <v>1316.0522888974849</v>
      </c>
      <c r="GE91">
        <v>0.27190332326283989</v>
      </c>
      <c r="GF91">
        <v>552.27812540830928</v>
      </c>
      <c r="GG91">
        <v>0.74380165289256195</v>
      </c>
      <c r="GH91">
        <v>0.71339571330921192</v>
      </c>
      <c r="GI91">
        <v>0.27190332326283989</v>
      </c>
      <c r="GJ91">
        <v>0.61241180791023009</v>
      </c>
      <c r="GK91">
        <v>0.74380165289256195</v>
      </c>
      <c r="GL91">
        <v>0.87418811383097439</v>
      </c>
      <c r="GM91">
        <v>0.27190332326283989</v>
      </c>
      <c r="GN91">
        <v>0.795983080818772</v>
      </c>
      <c r="GO91">
        <v>0.74380165289256195</v>
      </c>
      <c r="GP91">
        <v>0.83231625938493714</v>
      </c>
      <c r="GQ91">
        <v>0.27190332326283989</v>
      </c>
      <c r="GR91">
        <v>0.71277924130634207</v>
      </c>
      <c r="GS91">
        <v>0.74380165289256195</v>
      </c>
      <c r="GT91">
        <v>0.85545320687884463</v>
      </c>
      <c r="GU91">
        <v>0.27190332326283989</v>
      </c>
      <c r="GV91">
        <v>0.7033995822660104</v>
      </c>
      <c r="GW91">
        <v>0.74380165289256195</v>
      </c>
      <c r="GX91">
        <v>0.87764825041600392</v>
      </c>
      <c r="GY91">
        <v>0.27190332326283989</v>
      </c>
      <c r="GZ91">
        <v>0.68609529033969696</v>
      </c>
      <c r="HA91">
        <v>0.74380165289256195</v>
      </c>
      <c r="HB91">
        <v>0.92527705416925765</v>
      </c>
      <c r="HC91">
        <v>0.27190332326283989</v>
      </c>
      <c r="HD91">
        <v>0.75378385338709508</v>
      </c>
      <c r="HI91">
        <v>1477.9669025281239</v>
      </c>
      <c r="HJ91">
        <v>2240.751279883435</v>
      </c>
      <c r="HK91">
        <v>1161.2752681388549</v>
      </c>
      <c r="HL91">
        <v>3041.8780408894718</v>
      </c>
    </row>
    <row r="92" spans="173:220" x14ac:dyDescent="0.3">
      <c r="FQ92">
        <v>0.75206611570247939</v>
      </c>
      <c r="FR92">
        <v>445.60852360656861</v>
      </c>
      <c r="FS92">
        <v>0.27492447129909359</v>
      </c>
      <c r="FT92">
        <v>420.91578176442761</v>
      </c>
      <c r="FU92">
        <v>0.75206611570247939</v>
      </c>
      <c r="FV92">
        <v>294.8562985461167</v>
      </c>
      <c r="FW92">
        <v>0.27492447129909359</v>
      </c>
      <c r="FX92">
        <v>286.45509541839829</v>
      </c>
      <c r="FY92">
        <v>0.75206611570247939</v>
      </c>
      <c r="FZ92">
        <v>4176.4753959289592</v>
      </c>
      <c r="GA92">
        <v>0.27492447129909359</v>
      </c>
      <c r="GB92">
        <v>2742.399639714884</v>
      </c>
      <c r="GC92">
        <v>0.75206611570247939</v>
      </c>
      <c r="GD92">
        <v>1317.2084607469169</v>
      </c>
      <c r="GE92">
        <v>0.27492447129909359</v>
      </c>
      <c r="GF92">
        <v>555.61961736125511</v>
      </c>
      <c r="GG92">
        <v>0.75206611570247939</v>
      </c>
      <c r="GH92">
        <v>0.71428877394500123</v>
      </c>
      <c r="GI92">
        <v>0.27492447129909359</v>
      </c>
      <c r="GJ92">
        <v>0.61303284839831274</v>
      </c>
      <c r="GK92">
        <v>0.75206611570247939</v>
      </c>
      <c r="GL92">
        <v>0.87587695798273124</v>
      </c>
      <c r="GM92">
        <v>0.27492447129909359</v>
      </c>
      <c r="GN92">
        <v>0.79651734165913046</v>
      </c>
      <c r="GO92">
        <v>0.75206611570247939</v>
      </c>
      <c r="GP92">
        <v>0.83233289327901505</v>
      </c>
      <c r="GQ92">
        <v>0.27492447129909359</v>
      </c>
      <c r="GR92">
        <v>0.71384198369848484</v>
      </c>
      <c r="GS92">
        <v>0.75206611570247939</v>
      </c>
      <c r="GT92">
        <v>0.85928503260863653</v>
      </c>
      <c r="GU92">
        <v>0.27492447129909359</v>
      </c>
      <c r="GV92">
        <v>0.70726845737080646</v>
      </c>
      <c r="GW92">
        <v>0.75206611570247939</v>
      </c>
      <c r="GX92">
        <v>0.87856757296879362</v>
      </c>
      <c r="GY92">
        <v>0.27492447129909359</v>
      </c>
      <c r="GZ92">
        <v>0.68841245215058555</v>
      </c>
      <c r="HA92">
        <v>0.75206611570247939</v>
      </c>
      <c r="HB92">
        <v>0.92647102504340784</v>
      </c>
      <c r="HC92">
        <v>0.27492447129909359</v>
      </c>
      <c r="HD92">
        <v>0.75416327788795623</v>
      </c>
      <c r="HI92">
        <v>913.581366835484</v>
      </c>
      <c r="HJ92">
        <v>2891.278952726228</v>
      </c>
      <c r="HK92">
        <v>467.40073994903167</v>
      </c>
      <c r="HL92">
        <v>2991.4327882586672</v>
      </c>
    </row>
    <row r="93" spans="173:220" x14ac:dyDescent="0.3">
      <c r="FQ93">
        <v>0.76033057851239672</v>
      </c>
      <c r="FR93">
        <v>448.32988727165599</v>
      </c>
      <c r="FS93">
        <v>0.27794561933534739</v>
      </c>
      <c r="FT93">
        <v>421.84169958243928</v>
      </c>
      <c r="FU93">
        <v>0.76033057851239672</v>
      </c>
      <c r="FV93">
        <v>294.99904269396671</v>
      </c>
      <c r="FW93">
        <v>0.27794561933534739</v>
      </c>
      <c r="FX93">
        <v>286.49467090195691</v>
      </c>
      <c r="FY93">
        <v>0.76033057851239672</v>
      </c>
      <c r="FZ93">
        <v>4178.30434766902</v>
      </c>
      <c r="GA93">
        <v>0.27794561933534739</v>
      </c>
      <c r="GB93">
        <v>2753.0406476009839</v>
      </c>
      <c r="GC93">
        <v>0.76033057851239672</v>
      </c>
      <c r="GD93">
        <v>1322.5478820211731</v>
      </c>
      <c r="GE93">
        <v>0.27794561933534739</v>
      </c>
      <c r="GF93">
        <v>558.53242026543444</v>
      </c>
      <c r="GG93">
        <v>0.76033057851239672</v>
      </c>
      <c r="GH93">
        <v>0.71702002700931544</v>
      </c>
      <c r="GI93">
        <v>0.27794561933534739</v>
      </c>
      <c r="GJ93">
        <v>0.61467140459705338</v>
      </c>
      <c r="GK93">
        <v>0.76033057851239672</v>
      </c>
      <c r="GL93">
        <v>0.87620788944394579</v>
      </c>
      <c r="GM93">
        <v>0.27794561933534739</v>
      </c>
      <c r="GN93">
        <v>0.79738182164563898</v>
      </c>
      <c r="GO93">
        <v>0.76033057851239672</v>
      </c>
      <c r="GP93">
        <v>0.83440758926193614</v>
      </c>
      <c r="GQ93">
        <v>0.27794561933534739</v>
      </c>
      <c r="GR93">
        <v>0.714459882917308</v>
      </c>
      <c r="GS93">
        <v>0.76033057851239672</v>
      </c>
      <c r="GT93">
        <v>0.86438046823269865</v>
      </c>
      <c r="GU93">
        <v>0.27794561933534739</v>
      </c>
      <c r="GV93">
        <v>0.7091119085257297</v>
      </c>
      <c r="GW93">
        <v>0.76033057851239672</v>
      </c>
      <c r="GX93">
        <v>0.88064551989595918</v>
      </c>
      <c r="GY93">
        <v>0.27794561933534739</v>
      </c>
      <c r="GZ93">
        <v>0.68847396847916964</v>
      </c>
      <c r="HA93">
        <v>0.76033057851239672</v>
      </c>
      <c r="HB93">
        <v>0.92794069988095917</v>
      </c>
      <c r="HC93">
        <v>0.27794561933534739</v>
      </c>
      <c r="HD93">
        <v>0.75456143607312298</v>
      </c>
      <c r="HI93">
        <v>1072.2610352197919</v>
      </c>
      <c r="HJ93">
        <v>4527.0307020367136</v>
      </c>
      <c r="HK93">
        <v>1340.3058027406059</v>
      </c>
      <c r="HL93">
        <v>2251.395536928917</v>
      </c>
    </row>
    <row r="94" spans="173:220" x14ac:dyDescent="0.3">
      <c r="FQ94">
        <v>0.76859504132231404</v>
      </c>
      <c r="FR94">
        <v>448.6099624502038</v>
      </c>
      <c r="FS94">
        <v>0.2809667673716012</v>
      </c>
      <c r="FT94">
        <v>422.01468896803431</v>
      </c>
      <c r="FU94">
        <v>0.76859504132231404</v>
      </c>
      <c r="FV94">
        <v>295.22719293817471</v>
      </c>
      <c r="FW94">
        <v>0.2809667673716012</v>
      </c>
      <c r="FX94">
        <v>286.57442488686911</v>
      </c>
      <c r="FY94">
        <v>0.76859504132231404</v>
      </c>
      <c r="FZ94">
        <v>4257.2600654761709</v>
      </c>
      <c r="GA94">
        <v>0.2809667673716012</v>
      </c>
      <c r="GB94">
        <v>2770.7359086313959</v>
      </c>
      <c r="GC94">
        <v>0.76859504132231404</v>
      </c>
      <c r="GD94">
        <v>1325.645944743025</v>
      </c>
      <c r="GE94">
        <v>0.2809667673716012</v>
      </c>
      <c r="GF94">
        <v>563.00659889068857</v>
      </c>
      <c r="GG94">
        <v>0.76859504132231404</v>
      </c>
      <c r="GH94">
        <v>0.71944636017583519</v>
      </c>
      <c r="GI94">
        <v>0.2809667673716012</v>
      </c>
      <c r="GJ94">
        <v>0.61642598236718549</v>
      </c>
      <c r="GK94">
        <v>0.76859504132231404</v>
      </c>
      <c r="GL94">
        <v>0.87636916093881179</v>
      </c>
      <c r="GM94">
        <v>0.2809667673716012</v>
      </c>
      <c r="GN94">
        <v>0.79756465109963359</v>
      </c>
      <c r="GO94">
        <v>0.76859504132231404</v>
      </c>
      <c r="GP94">
        <v>0.83730040117556059</v>
      </c>
      <c r="GQ94">
        <v>0.2809667673716012</v>
      </c>
      <c r="GR94">
        <v>0.71555261111591217</v>
      </c>
      <c r="GS94">
        <v>0.76859504132231404</v>
      </c>
      <c r="GT94">
        <v>0.86689597896364545</v>
      </c>
      <c r="GU94">
        <v>0.2809667673716012</v>
      </c>
      <c r="GV94">
        <v>0.70926612932097244</v>
      </c>
      <c r="GW94">
        <v>0.76859504132231404</v>
      </c>
      <c r="GX94">
        <v>0.88281366976765896</v>
      </c>
      <c r="GY94">
        <v>0.2809667673716012</v>
      </c>
      <c r="GZ94">
        <v>0.69029538556786763</v>
      </c>
      <c r="HA94">
        <v>0.76859504132231404</v>
      </c>
      <c r="HB94">
        <v>0.92936907429130555</v>
      </c>
      <c r="HC94">
        <v>0.2809667673716012</v>
      </c>
      <c r="HD94">
        <v>0.7553688583192818</v>
      </c>
      <c r="HI94">
        <v>1097.6457094238469</v>
      </c>
      <c r="HJ94">
        <v>4870.9488600302229</v>
      </c>
      <c r="HK94">
        <v>1119.3285801886609</v>
      </c>
      <c r="HL94">
        <v>2467.3730047074559</v>
      </c>
    </row>
    <row r="95" spans="173:220" x14ac:dyDescent="0.3">
      <c r="FQ95">
        <v>0.77685950413223137</v>
      </c>
      <c r="FR95">
        <v>449.34824422443648</v>
      </c>
      <c r="FS95">
        <v>0.28398791540785501</v>
      </c>
      <c r="FT95">
        <v>422.034392588755</v>
      </c>
      <c r="FU95">
        <v>0.77685950413223137</v>
      </c>
      <c r="FV95">
        <v>295.6462249922335</v>
      </c>
      <c r="FW95">
        <v>0.28398791540785501</v>
      </c>
      <c r="FX95">
        <v>286.58791396738081</v>
      </c>
      <c r="FY95">
        <v>0.77685950413223137</v>
      </c>
      <c r="FZ95">
        <v>4264.2593142801079</v>
      </c>
      <c r="GA95">
        <v>0.28398791540785501</v>
      </c>
      <c r="GB95">
        <v>2771.6865619785408</v>
      </c>
      <c r="GC95">
        <v>0.77685950413223137</v>
      </c>
      <c r="GD95">
        <v>1326.8056002018291</v>
      </c>
      <c r="GE95">
        <v>0.28398791540785501</v>
      </c>
      <c r="GF95">
        <v>566.94828673631537</v>
      </c>
      <c r="GG95">
        <v>0.77685950413223137</v>
      </c>
      <c r="GH95">
        <v>0.72174685382309767</v>
      </c>
      <c r="GI95">
        <v>0.28398791540785501</v>
      </c>
      <c r="GJ95">
        <v>0.61697560218664749</v>
      </c>
      <c r="GK95">
        <v>0.77685950413223137</v>
      </c>
      <c r="GL95">
        <v>0.87809672318769894</v>
      </c>
      <c r="GM95">
        <v>0.28398791540785501</v>
      </c>
      <c r="GN95">
        <v>0.798069887034488</v>
      </c>
      <c r="GO95">
        <v>0.77685950413223137</v>
      </c>
      <c r="GP95">
        <v>0.83925613625830664</v>
      </c>
      <c r="GQ95">
        <v>0.28398791540785501</v>
      </c>
      <c r="GR95">
        <v>0.71607258794730377</v>
      </c>
      <c r="GS95">
        <v>0.77685950413223137</v>
      </c>
      <c r="GT95">
        <v>0.86862088307897789</v>
      </c>
      <c r="GU95">
        <v>0.28398791540785501</v>
      </c>
      <c r="GV95">
        <v>0.71163081546544826</v>
      </c>
      <c r="GW95">
        <v>0.77685950413223137</v>
      </c>
      <c r="GX95">
        <v>0.89033635231485664</v>
      </c>
      <c r="GY95">
        <v>0.28398791540785501</v>
      </c>
      <c r="GZ95">
        <v>0.69505884015148256</v>
      </c>
      <c r="HA95">
        <v>0.77685950413223137</v>
      </c>
      <c r="HB95">
        <v>0.9308272945162116</v>
      </c>
      <c r="HC95">
        <v>0.28398791540785501</v>
      </c>
      <c r="HD95">
        <v>0.75583023699651808</v>
      </c>
      <c r="HI95">
        <v>456.9459612600096</v>
      </c>
      <c r="HJ95">
        <v>3024.0721919774542</v>
      </c>
      <c r="HK95">
        <v>815.77209617820529</v>
      </c>
      <c r="HL95">
        <v>3297.487010782806</v>
      </c>
    </row>
    <row r="96" spans="173:220" x14ac:dyDescent="0.3">
      <c r="FQ96">
        <v>0.78512396694214881</v>
      </c>
      <c r="FR96">
        <v>449.94620989045228</v>
      </c>
      <c r="FS96">
        <v>0.28700906344410881</v>
      </c>
      <c r="FT96">
        <v>422.77658730664581</v>
      </c>
      <c r="FU96">
        <v>0.78512396694214881</v>
      </c>
      <c r="FV96">
        <v>295.64647589638889</v>
      </c>
      <c r="FW96">
        <v>0.28700906344410881</v>
      </c>
      <c r="FX96">
        <v>286.68127393849608</v>
      </c>
      <c r="FY96">
        <v>0.78512396694214881</v>
      </c>
      <c r="FZ96">
        <v>4302.3690237305091</v>
      </c>
      <c r="GA96">
        <v>0.28700906344410881</v>
      </c>
      <c r="GB96">
        <v>2789.3785397477268</v>
      </c>
      <c r="GC96">
        <v>0.78512396694214881</v>
      </c>
      <c r="GD96">
        <v>1336.435912200403</v>
      </c>
      <c r="GE96">
        <v>0.28700906344410881</v>
      </c>
      <c r="GF96">
        <v>568.29981551802894</v>
      </c>
      <c r="GG96">
        <v>0.78512396694214881</v>
      </c>
      <c r="GH96">
        <v>0.7235830504858638</v>
      </c>
      <c r="GI96">
        <v>0.28700906344410881</v>
      </c>
      <c r="GJ96">
        <v>0.61897324623039407</v>
      </c>
      <c r="GK96">
        <v>0.78512396694214881</v>
      </c>
      <c r="GL96">
        <v>0.87837210033584268</v>
      </c>
      <c r="GM96">
        <v>0.28700906344410881</v>
      </c>
      <c r="GN96">
        <v>0.7984816979160112</v>
      </c>
      <c r="GO96">
        <v>0.78512396694214881</v>
      </c>
      <c r="GP96">
        <v>0.84145001053162849</v>
      </c>
      <c r="GQ96">
        <v>0.28700906344410881</v>
      </c>
      <c r="GR96">
        <v>0.71613455445172258</v>
      </c>
      <c r="GS96">
        <v>0.78512396694214881</v>
      </c>
      <c r="GT96">
        <v>0.86916411208435751</v>
      </c>
      <c r="GU96">
        <v>0.28700906344410881</v>
      </c>
      <c r="GV96">
        <v>0.71312616166007015</v>
      </c>
      <c r="GW96">
        <v>0.78512396694214881</v>
      </c>
      <c r="GX96">
        <v>0.89148214629363154</v>
      </c>
      <c r="GY96">
        <v>0.28700906344410881</v>
      </c>
      <c r="GZ96">
        <v>0.6962843991609351</v>
      </c>
      <c r="HA96">
        <v>0.78512396694214881</v>
      </c>
      <c r="HB96">
        <v>0.93087034273782643</v>
      </c>
      <c r="HC96">
        <v>0.28700906344410881</v>
      </c>
      <c r="HD96">
        <v>0.75619270257754967</v>
      </c>
      <c r="HI96">
        <v>316.03367410039488</v>
      </c>
      <c r="HJ96">
        <v>4561.3068555756727</v>
      </c>
      <c r="HK96">
        <v>1399.190997438363</v>
      </c>
      <c r="HL96">
        <v>4134.1857033922206</v>
      </c>
    </row>
    <row r="97" spans="173:220" x14ac:dyDescent="0.3">
      <c r="FQ97">
        <v>0.79338842975206614</v>
      </c>
      <c r="FR97">
        <v>450.58767753165017</v>
      </c>
      <c r="FS97">
        <v>0.29003021148036262</v>
      </c>
      <c r="FT97">
        <v>423.52047132091889</v>
      </c>
      <c r="FU97">
        <v>0.79338842975206614</v>
      </c>
      <c r="FV97">
        <v>295.8786318967264</v>
      </c>
      <c r="FW97">
        <v>0.29003021148036262</v>
      </c>
      <c r="FX97">
        <v>286.76174188179778</v>
      </c>
      <c r="FY97">
        <v>0.79338842975206614</v>
      </c>
      <c r="FZ97">
        <v>4312.3096074069481</v>
      </c>
      <c r="GA97">
        <v>0.29003021148036262</v>
      </c>
      <c r="GB97">
        <v>2794.216855374882</v>
      </c>
      <c r="GC97">
        <v>0.79338842975206614</v>
      </c>
      <c r="GD97">
        <v>1354.066158881679</v>
      </c>
      <c r="GE97">
        <v>0.29003021148036262</v>
      </c>
      <c r="GF97">
        <v>569.76404112574767</v>
      </c>
      <c r="GG97">
        <v>0.79338842975206614</v>
      </c>
      <c r="GH97">
        <v>0.72784316080113109</v>
      </c>
      <c r="GI97">
        <v>0.29003021148036262</v>
      </c>
      <c r="GJ97">
        <v>0.62031597021834972</v>
      </c>
      <c r="GK97">
        <v>0.79338842975206614</v>
      </c>
      <c r="GL97">
        <v>0.87943415438467354</v>
      </c>
      <c r="GM97">
        <v>0.29003021148036262</v>
      </c>
      <c r="GN97">
        <v>0.79924858781701591</v>
      </c>
      <c r="GO97">
        <v>0.79338842975206614</v>
      </c>
      <c r="GP97">
        <v>0.84283220121427505</v>
      </c>
      <c r="GQ97">
        <v>0.29003021148036262</v>
      </c>
      <c r="GR97">
        <v>0.71705170759187831</v>
      </c>
      <c r="GS97">
        <v>0.79338842975206614</v>
      </c>
      <c r="GT97">
        <v>0.87416589316480142</v>
      </c>
      <c r="GU97">
        <v>0.29003021148036262</v>
      </c>
      <c r="GV97">
        <v>0.71315475368150449</v>
      </c>
      <c r="GW97">
        <v>0.79338842975206614</v>
      </c>
      <c r="GX97">
        <v>0.89396413711153178</v>
      </c>
      <c r="GY97">
        <v>0.29003021148036262</v>
      </c>
      <c r="GZ97">
        <v>0.6979638465461564</v>
      </c>
      <c r="HA97">
        <v>0.79338842975206614</v>
      </c>
      <c r="HB97">
        <v>0.93190774333421</v>
      </c>
      <c r="HC97">
        <v>0.29003021148036262</v>
      </c>
      <c r="HD97">
        <v>0.75649536087942726</v>
      </c>
      <c r="HI97">
        <v>427.55238855600192</v>
      </c>
      <c r="HJ97">
        <v>3365.2356975293242</v>
      </c>
      <c r="HK97">
        <v>599.39938385898768</v>
      </c>
      <c r="HL97">
        <v>4097.8797506023502</v>
      </c>
    </row>
    <row r="98" spans="173:220" x14ac:dyDescent="0.3">
      <c r="FQ98">
        <v>0.80165289256198347</v>
      </c>
      <c r="FR98">
        <v>454.15830167784958</v>
      </c>
      <c r="FS98">
        <v>0.29305135951661632</v>
      </c>
      <c r="FT98">
        <v>423.65800595890732</v>
      </c>
      <c r="FU98">
        <v>0.80165289256198347</v>
      </c>
      <c r="FV98">
        <v>296.00355604669278</v>
      </c>
      <c r="FW98">
        <v>0.29305135951661632</v>
      </c>
      <c r="FX98">
        <v>286.80509472482117</v>
      </c>
      <c r="FY98">
        <v>0.80165289256198347</v>
      </c>
      <c r="FZ98">
        <v>4312.986811198436</v>
      </c>
      <c r="GA98">
        <v>0.29305135951661632</v>
      </c>
      <c r="GB98">
        <v>2796.923069702998</v>
      </c>
      <c r="GC98">
        <v>0.80165289256198347</v>
      </c>
      <c r="GD98">
        <v>1358.986474025779</v>
      </c>
      <c r="GE98">
        <v>0.29305135951661632</v>
      </c>
      <c r="GF98">
        <v>573.75054738810513</v>
      </c>
      <c r="GG98">
        <v>0.80165289256198347</v>
      </c>
      <c r="GH98">
        <v>0.73196077033634221</v>
      </c>
      <c r="GI98">
        <v>0.29305135951661632</v>
      </c>
      <c r="GJ98">
        <v>0.62086534032833329</v>
      </c>
      <c r="GK98">
        <v>0.80165289256198347</v>
      </c>
      <c r="GL98">
        <v>0.88224216956720869</v>
      </c>
      <c r="GM98">
        <v>0.29305135951661632</v>
      </c>
      <c r="GN98">
        <v>0.79995682912084576</v>
      </c>
      <c r="GO98">
        <v>0.80165289256198347</v>
      </c>
      <c r="GP98">
        <v>0.84825568044511945</v>
      </c>
      <c r="GQ98">
        <v>0.29305135951661632</v>
      </c>
      <c r="GR98">
        <v>0.71705788064675635</v>
      </c>
      <c r="GS98">
        <v>0.80165289256198347</v>
      </c>
      <c r="GT98">
        <v>0.87440543421971939</v>
      </c>
      <c r="GU98">
        <v>0.29305135951661632</v>
      </c>
      <c r="GV98">
        <v>0.71368870919032545</v>
      </c>
      <c r="GW98">
        <v>0.80165289256198347</v>
      </c>
      <c r="GX98">
        <v>0.89961402094278164</v>
      </c>
      <c r="GY98">
        <v>0.29305135951661632</v>
      </c>
      <c r="GZ98">
        <v>0.69877724334025726</v>
      </c>
      <c r="HA98">
        <v>0.80165289256198347</v>
      </c>
      <c r="HB98">
        <v>0.93197298207797885</v>
      </c>
      <c r="HC98">
        <v>0.29305135951661632</v>
      </c>
      <c r="HD98">
        <v>0.75695848602160931</v>
      </c>
      <c r="HI98">
        <v>836.05831694657627</v>
      </c>
      <c r="HJ98">
        <v>3096.5167014227118</v>
      </c>
      <c r="HK98">
        <v>745.03592289800804</v>
      </c>
      <c r="HL98">
        <v>2973.4866912593739</v>
      </c>
    </row>
    <row r="99" spans="173:220" x14ac:dyDescent="0.3">
      <c r="FQ99">
        <v>0.80991735537190079</v>
      </c>
      <c r="FR99">
        <v>456.01844551667449</v>
      </c>
      <c r="FS99">
        <v>0.29607250755287012</v>
      </c>
      <c r="FT99">
        <v>423.90283203440958</v>
      </c>
      <c r="FU99">
        <v>0.80991735537190079</v>
      </c>
      <c r="FV99">
        <v>296.02368718394399</v>
      </c>
      <c r="FW99">
        <v>0.29607250755287012</v>
      </c>
      <c r="FX99">
        <v>286.84871870536762</v>
      </c>
      <c r="FY99">
        <v>0.80991735537190079</v>
      </c>
      <c r="FZ99">
        <v>4339.7806157081459</v>
      </c>
      <c r="GA99">
        <v>0.29607250755287012</v>
      </c>
      <c r="GB99">
        <v>2805.7997396632072</v>
      </c>
      <c r="GC99">
        <v>0.80991735537190079</v>
      </c>
      <c r="GD99">
        <v>1372.2307387663011</v>
      </c>
      <c r="GE99">
        <v>0.29607250755287012</v>
      </c>
      <c r="GF99">
        <v>575.65152525243207</v>
      </c>
      <c r="GG99">
        <v>0.80991735537190079</v>
      </c>
      <c r="GH99">
        <v>0.73380220495551252</v>
      </c>
      <c r="GI99">
        <v>0.29607250755287012</v>
      </c>
      <c r="GJ99">
        <v>0.62212349515418197</v>
      </c>
      <c r="GK99">
        <v>0.80991735537190079</v>
      </c>
      <c r="GL99">
        <v>0.88266025486198108</v>
      </c>
      <c r="GM99">
        <v>0.29607250755287012</v>
      </c>
      <c r="GN99">
        <v>0.80003539717509342</v>
      </c>
      <c r="GO99">
        <v>0.80991735537190079</v>
      </c>
      <c r="GP99">
        <v>0.84910639966975443</v>
      </c>
      <c r="GQ99">
        <v>0.29607250755287012</v>
      </c>
      <c r="GR99">
        <v>0.71840357128084908</v>
      </c>
      <c r="GS99">
        <v>0.80991735537190079</v>
      </c>
      <c r="GT99">
        <v>0.87700318650954068</v>
      </c>
      <c r="GU99">
        <v>0.29607250755287012</v>
      </c>
      <c r="GV99">
        <v>0.71438893732678532</v>
      </c>
      <c r="GW99">
        <v>0.80991735537190079</v>
      </c>
      <c r="GX99">
        <v>0.90109629057488283</v>
      </c>
      <c r="GY99">
        <v>0.29607250755287012</v>
      </c>
      <c r="GZ99">
        <v>0.70136531056637652</v>
      </c>
      <c r="HA99">
        <v>0.80991735537190079</v>
      </c>
      <c r="HB99">
        <v>0.93394703234999277</v>
      </c>
      <c r="HC99">
        <v>0.29607250755287012</v>
      </c>
      <c r="HD99">
        <v>0.75784027500913898</v>
      </c>
      <c r="HI99">
        <v>1355.1835949536519</v>
      </c>
      <c r="HJ99">
        <v>2009.9450225683679</v>
      </c>
      <c r="HK99">
        <v>594.1435862840151</v>
      </c>
      <c r="HL99">
        <v>3331.0369526321811</v>
      </c>
    </row>
    <row r="100" spans="173:220" x14ac:dyDescent="0.3">
      <c r="FQ100">
        <v>0.81818181818181823</v>
      </c>
      <c r="FR100">
        <v>456.67389397981287</v>
      </c>
      <c r="FS100">
        <v>0.29909365558912387</v>
      </c>
      <c r="FT100">
        <v>424.08097499966749</v>
      </c>
      <c r="FU100">
        <v>0.81818181818181823</v>
      </c>
      <c r="FV100">
        <v>296.221926249798</v>
      </c>
      <c r="FW100">
        <v>0.29909365558912387</v>
      </c>
      <c r="FX100">
        <v>286.94034162988879</v>
      </c>
      <c r="FY100">
        <v>0.81818181818181823</v>
      </c>
      <c r="FZ100">
        <v>4350.4097696055296</v>
      </c>
      <c r="GA100">
        <v>0.29909365558912387</v>
      </c>
      <c r="GB100">
        <v>2813.6236840741781</v>
      </c>
      <c r="GC100">
        <v>0.81818181818181823</v>
      </c>
      <c r="GD100">
        <v>1380.5462686491071</v>
      </c>
      <c r="GE100">
        <v>0.29909365558912387</v>
      </c>
      <c r="GF100">
        <v>576.22173662295086</v>
      </c>
      <c r="GG100">
        <v>0.81818181818181823</v>
      </c>
      <c r="GH100">
        <v>0.73544576419754049</v>
      </c>
      <c r="GI100">
        <v>0.29909365558912387</v>
      </c>
      <c r="GJ100">
        <v>0.62268607702413126</v>
      </c>
      <c r="GK100">
        <v>0.81818181818181823</v>
      </c>
      <c r="GL100">
        <v>0.88411257980489788</v>
      </c>
      <c r="GM100">
        <v>0.29909365558912387</v>
      </c>
      <c r="GN100">
        <v>0.80026757782404956</v>
      </c>
      <c r="GO100">
        <v>0.81818181818181823</v>
      </c>
      <c r="GP100">
        <v>0.8562499150210342</v>
      </c>
      <c r="GQ100">
        <v>0.29909365558912387</v>
      </c>
      <c r="GR100">
        <v>0.71925670708822009</v>
      </c>
      <c r="GS100">
        <v>0.81818181818181823</v>
      </c>
      <c r="GT100">
        <v>0.87755702833756277</v>
      </c>
      <c r="GU100">
        <v>0.29909365558912387</v>
      </c>
      <c r="GV100">
        <v>0.71630655513770058</v>
      </c>
      <c r="GW100">
        <v>0.81818181818181823</v>
      </c>
      <c r="GX100">
        <v>0.90126230666842422</v>
      </c>
      <c r="GY100">
        <v>0.29909365558912387</v>
      </c>
      <c r="GZ100">
        <v>0.70206117476772723</v>
      </c>
      <c r="HA100">
        <v>0.81818181818181823</v>
      </c>
      <c r="HB100">
        <v>0.93451842764214399</v>
      </c>
      <c r="HC100">
        <v>0.29909365558912387</v>
      </c>
      <c r="HD100">
        <v>0.75814808823212787</v>
      </c>
      <c r="HI100">
        <v>590.03860154080292</v>
      </c>
      <c r="HJ100">
        <v>3427.8679644679351</v>
      </c>
      <c r="HK100">
        <v>340.0984549393936</v>
      </c>
      <c r="HL100">
        <v>2632.9326449020059</v>
      </c>
    </row>
    <row r="101" spans="173:220" x14ac:dyDescent="0.3">
      <c r="FQ101">
        <v>0.82644628099173556</v>
      </c>
      <c r="FR101">
        <v>457.29762761140182</v>
      </c>
      <c r="FS101">
        <v>0.30211480362537763</v>
      </c>
      <c r="FT101">
        <v>424.72167552362549</v>
      </c>
      <c r="FU101">
        <v>0.82644628099173556</v>
      </c>
      <c r="FV101">
        <v>296.24692820641621</v>
      </c>
      <c r="FW101">
        <v>0.30211480362537763</v>
      </c>
      <c r="FX101">
        <v>286.98874611282281</v>
      </c>
      <c r="FY101">
        <v>0.82644628099173556</v>
      </c>
      <c r="FZ101">
        <v>4359.3132392455918</v>
      </c>
      <c r="GA101">
        <v>0.30211480362537763</v>
      </c>
      <c r="GB101">
        <v>2820.6316503974258</v>
      </c>
      <c r="GC101">
        <v>0.82644628099173556</v>
      </c>
      <c r="GD101">
        <v>1384.324537102322</v>
      </c>
      <c r="GE101">
        <v>0.30211480362537763</v>
      </c>
      <c r="GF101">
        <v>577.37554436747882</v>
      </c>
      <c r="GG101">
        <v>0.82644628099173556</v>
      </c>
      <c r="GH101">
        <v>0.74291670030413259</v>
      </c>
      <c r="GI101">
        <v>0.30211480362537763</v>
      </c>
      <c r="GJ101">
        <v>0.62524326398537822</v>
      </c>
      <c r="GK101">
        <v>0.82644628099173556</v>
      </c>
      <c r="GL101">
        <v>0.88505272973525229</v>
      </c>
      <c r="GM101">
        <v>0.30211480362537763</v>
      </c>
      <c r="GN101">
        <v>0.80224434276212842</v>
      </c>
      <c r="GO101">
        <v>0.82644628099173556</v>
      </c>
      <c r="GP101">
        <v>0.85779709458521425</v>
      </c>
      <c r="GQ101">
        <v>0.30211480362537763</v>
      </c>
      <c r="GR101">
        <v>0.72010018588064195</v>
      </c>
      <c r="GS101">
        <v>0.82644628099173556</v>
      </c>
      <c r="GT101">
        <v>0.88140143386691694</v>
      </c>
      <c r="GU101">
        <v>0.30211480362537763</v>
      </c>
      <c r="GV101">
        <v>0.71663954956314979</v>
      </c>
      <c r="GW101">
        <v>0.82644628099173556</v>
      </c>
      <c r="GX101">
        <v>0.90271333444718316</v>
      </c>
      <c r="GY101">
        <v>0.30211480362537763</v>
      </c>
      <c r="GZ101">
        <v>0.70293299815247701</v>
      </c>
      <c r="HA101">
        <v>0.82644628099173556</v>
      </c>
      <c r="HB101">
        <v>0.93534694341556357</v>
      </c>
      <c r="HC101">
        <v>0.30211480362537763</v>
      </c>
      <c r="HD101">
        <v>0.75875690483393743</v>
      </c>
      <c r="HI101">
        <v>847.13068235478227</v>
      </c>
      <c r="HJ101">
        <v>4309.7793039101853</v>
      </c>
      <c r="HK101">
        <v>1049.26403831999</v>
      </c>
      <c r="HL101">
        <v>4107.3880994792844</v>
      </c>
    </row>
    <row r="102" spans="173:220" x14ac:dyDescent="0.3">
      <c r="FQ102">
        <v>0.83471074380165289</v>
      </c>
      <c r="FR102">
        <v>458.24818958148001</v>
      </c>
      <c r="FS102">
        <v>0.30513595166163138</v>
      </c>
      <c r="FT102">
        <v>424.74960408000851</v>
      </c>
      <c r="FU102">
        <v>0.83471074380165289</v>
      </c>
      <c r="FV102">
        <v>296.68010338852503</v>
      </c>
      <c r="FW102">
        <v>0.30513595166163138</v>
      </c>
      <c r="FX102">
        <v>286.99404555531407</v>
      </c>
      <c r="FY102">
        <v>0.83471074380165289</v>
      </c>
      <c r="FZ102">
        <v>4398.7095789565983</v>
      </c>
      <c r="GA102">
        <v>0.30513595166163138</v>
      </c>
      <c r="GB102">
        <v>2828.6087405433559</v>
      </c>
      <c r="GC102">
        <v>0.83471074380165289</v>
      </c>
      <c r="GD102">
        <v>1403.6587964200589</v>
      </c>
      <c r="GE102">
        <v>0.30513595166163138</v>
      </c>
      <c r="GF102">
        <v>581.28401561413625</v>
      </c>
      <c r="GG102">
        <v>0.83471074380165289</v>
      </c>
      <c r="GH102">
        <v>0.74945503937130242</v>
      </c>
      <c r="GI102">
        <v>0.30513595166163138</v>
      </c>
      <c r="GJ102">
        <v>0.62580066906056186</v>
      </c>
      <c r="GK102">
        <v>0.83471074380165289</v>
      </c>
      <c r="GL102">
        <v>0.88663169447043599</v>
      </c>
      <c r="GM102">
        <v>0.30513595166163138</v>
      </c>
      <c r="GN102">
        <v>0.80249665752334942</v>
      </c>
      <c r="GO102">
        <v>0.83471074380165289</v>
      </c>
      <c r="GP102">
        <v>0.85990471424501214</v>
      </c>
      <c r="GQ102">
        <v>0.30513595166163138</v>
      </c>
      <c r="GR102">
        <v>0.72036377492527759</v>
      </c>
      <c r="GS102">
        <v>0.83471074380165289</v>
      </c>
      <c r="GT102">
        <v>0.8904357018266732</v>
      </c>
      <c r="GU102">
        <v>0.30513595166163138</v>
      </c>
      <c r="GV102">
        <v>0.71694743196486399</v>
      </c>
      <c r="GW102">
        <v>0.83471074380165289</v>
      </c>
      <c r="GX102">
        <v>0.90436972583019037</v>
      </c>
      <c r="GY102">
        <v>0.30513595166163138</v>
      </c>
      <c r="GZ102">
        <v>0.70326458616347531</v>
      </c>
      <c r="HA102">
        <v>0.83471074380165289</v>
      </c>
      <c r="HB102">
        <v>0.93644374278829445</v>
      </c>
      <c r="HC102">
        <v>0.30513595166163138</v>
      </c>
      <c r="HD102">
        <v>0.75973677461823819</v>
      </c>
      <c r="HI102">
        <v>598.02451446693021</v>
      </c>
      <c r="HJ102">
        <v>2467.4838138183909</v>
      </c>
      <c r="HK102">
        <v>902.19488853075541</v>
      </c>
      <c r="HL102">
        <v>2303.1731477606122</v>
      </c>
    </row>
    <row r="103" spans="173:220" x14ac:dyDescent="0.3">
      <c r="FQ103">
        <v>0.84297520661157022</v>
      </c>
      <c r="FR103">
        <v>459.85462200002792</v>
      </c>
      <c r="FS103">
        <v>0.30815709969788518</v>
      </c>
      <c r="FT103">
        <v>425.13560968315647</v>
      </c>
      <c r="FU103">
        <v>0.84297520661157022</v>
      </c>
      <c r="FV103">
        <v>296.80914443245041</v>
      </c>
      <c r="FW103">
        <v>0.30815709969788518</v>
      </c>
      <c r="FX103">
        <v>287.04325944904951</v>
      </c>
      <c r="FY103">
        <v>0.84297520661157022</v>
      </c>
      <c r="FZ103">
        <v>4493.2266060725988</v>
      </c>
      <c r="GA103">
        <v>0.30815709969788518</v>
      </c>
      <c r="GB103">
        <v>2838.322250845551</v>
      </c>
      <c r="GC103">
        <v>0.84297520661157022</v>
      </c>
      <c r="GD103">
        <v>1403.895909483831</v>
      </c>
      <c r="GE103">
        <v>0.30815709969788518</v>
      </c>
      <c r="GF103">
        <v>584.58976948871555</v>
      </c>
      <c r="GG103">
        <v>0.84297520661157022</v>
      </c>
      <c r="GH103">
        <v>0.75223186826669497</v>
      </c>
      <c r="GI103">
        <v>0.30815709969788518</v>
      </c>
      <c r="GJ103">
        <v>0.62670196931533728</v>
      </c>
      <c r="GK103">
        <v>0.84297520661157022</v>
      </c>
      <c r="GL103">
        <v>0.88885593701671484</v>
      </c>
      <c r="GM103">
        <v>0.30815709969788518</v>
      </c>
      <c r="GN103">
        <v>0.80291364795363873</v>
      </c>
      <c r="GO103">
        <v>0.84297520661157022</v>
      </c>
      <c r="GP103">
        <v>0.86002032616813417</v>
      </c>
      <c r="GQ103">
        <v>0.30815709969788518</v>
      </c>
      <c r="GR103">
        <v>0.72175940047237019</v>
      </c>
      <c r="GS103">
        <v>0.84297520661157022</v>
      </c>
      <c r="GT103">
        <v>0.89195028950826238</v>
      </c>
      <c r="GU103">
        <v>0.30815709969788518</v>
      </c>
      <c r="GV103">
        <v>0.71811486697090332</v>
      </c>
      <c r="GW103">
        <v>0.84297520661157022</v>
      </c>
      <c r="GX103">
        <v>0.90620839136664944</v>
      </c>
      <c r="GY103">
        <v>0.30815709969788518</v>
      </c>
      <c r="GZ103">
        <v>0.70443006495164706</v>
      </c>
      <c r="HA103">
        <v>0.84297520661157022</v>
      </c>
      <c r="HB103">
        <v>0.93761364484973664</v>
      </c>
      <c r="HC103">
        <v>0.30815709969788518</v>
      </c>
      <c r="HD103">
        <v>0.76077356736182233</v>
      </c>
      <c r="HI103">
        <v>1168.6771968935841</v>
      </c>
      <c r="HJ103">
        <v>2144.4218136633758</v>
      </c>
      <c r="HK103">
        <v>526.5580681328704</v>
      </c>
      <c r="HL103">
        <v>2789.3785397477268</v>
      </c>
    </row>
    <row r="104" spans="173:220" x14ac:dyDescent="0.3">
      <c r="FQ104">
        <v>0.85123966942148765</v>
      </c>
      <c r="FR104">
        <v>463.11111685578658</v>
      </c>
      <c r="FS104">
        <v>0.31117824773413899</v>
      </c>
      <c r="FT104">
        <v>425.39192704707921</v>
      </c>
      <c r="FU104">
        <v>0.85123966942148765</v>
      </c>
      <c r="FV104">
        <v>297.34082255518678</v>
      </c>
      <c r="FW104">
        <v>0.31117824773413899</v>
      </c>
      <c r="FX104">
        <v>287.1978256441858</v>
      </c>
      <c r="FY104">
        <v>0.85123966942148765</v>
      </c>
      <c r="FZ104">
        <v>4500.9321557625108</v>
      </c>
      <c r="GA104">
        <v>0.31117824773413899</v>
      </c>
      <c r="GB104">
        <v>2848.9165643215902</v>
      </c>
      <c r="GC104">
        <v>0.85123966942148765</v>
      </c>
      <c r="GD104">
        <v>1406.8932144172011</v>
      </c>
      <c r="GE104">
        <v>0.31117824773413899</v>
      </c>
      <c r="GF104">
        <v>586.93843388817209</v>
      </c>
      <c r="GG104">
        <v>0.85123966942148765</v>
      </c>
      <c r="GH104">
        <v>0.75428190536062811</v>
      </c>
      <c r="GI104">
        <v>0.31117824773413899</v>
      </c>
      <c r="GJ104">
        <v>0.62969591114682233</v>
      </c>
      <c r="GK104">
        <v>0.85123966942148765</v>
      </c>
      <c r="GL104">
        <v>0.89109008090647124</v>
      </c>
      <c r="GM104">
        <v>0.31117824773413899</v>
      </c>
      <c r="GN104">
        <v>0.80325930961879277</v>
      </c>
      <c r="GO104">
        <v>0.85123966942148765</v>
      </c>
      <c r="GP104">
        <v>0.86091982437252135</v>
      </c>
      <c r="GQ104">
        <v>0.31117824773413899</v>
      </c>
      <c r="GR104">
        <v>0.72221269192622017</v>
      </c>
      <c r="GS104">
        <v>0.85123966942148765</v>
      </c>
      <c r="GT104">
        <v>0.89677055806203398</v>
      </c>
      <c r="GU104">
        <v>0.31117824773413899</v>
      </c>
      <c r="GV104">
        <v>0.72010773406942341</v>
      </c>
      <c r="GW104">
        <v>0.85123966942148765</v>
      </c>
      <c r="GX104">
        <v>0.90862056200821917</v>
      </c>
      <c r="GY104">
        <v>0.31117824773413899</v>
      </c>
      <c r="GZ104">
        <v>0.70492240037881981</v>
      </c>
      <c r="HA104">
        <v>0.85123966942148765</v>
      </c>
      <c r="HB104">
        <v>0.93919754429236402</v>
      </c>
      <c r="HC104">
        <v>0.31117824773413899</v>
      </c>
      <c r="HD104">
        <v>0.76108376716996806</v>
      </c>
      <c r="HI104">
        <v>462.32781348839421</v>
      </c>
      <c r="HJ104">
        <v>3324.6313538754512</v>
      </c>
      <c r="HK104">
        <v>1103.05835450258</v>
      </c>
      <c r="HL104">
        <v>2907.3580386071021</v>
      </c>
    </row>
    <row r="105" spans="173:220" x14ac:dyDescent="0.3">
      <c r="FQ105">
        <v>0.85950413223140498</v>
      </c>
      <c r="FR105">
        <v>464.51024081593471</v>
      </c>
      <c r="FS105">
        <v>0.31419939577039269</v>
      </c>
      <c r="FT105">
        <v>425.56049039848949</v>
      </c>
      <c r="FU105">
        <v>0.85950413223140498</v>
      </c>
      <c r="FV105">
        <v>297.44108110929432</v>
      </c>
      <c r="FW105">
        <v>0.31419939577039269</v>
      </c>
      <c r="FX105">
        <v>287.24413861120291</v>
      </c>
      <c r="FY105">
        <v>0.85950413223140498</v>
      </c>
      <c r="FZ105">
        <v>4588.9170367828992</v>
      </c>
      <c r="GA105">
        <v>0.31419939577039269</v>
      </c>
      <c r="GB105">
        <v>2855.587170748473</v>
      </c>
      <c r="GC105">
        <v>0.85950413223140498</v>
      </c>
      <c r="GD105">
        <v>1413.172395788022</v>
      </c>
      <c r="GE105">
        <v>0.31419939577039269</v>
      </c>
      <c r="GF105">
        <v>588.59523952306631</v>
      </c>
      <c r="GG105">
        <v>0.85950413223140498</v>
      </c>
      <c r="GH105">
        <v>0.75975331846867955</v>
      </c>
      <c r="GI105">
        <v>0.31419939577039269</v>
      </c>
      <c r="GJ105">
        <v>0.63022147350721691</v>
      </c>
      <c r="GK105">
        <v>0.85950413223140498</v>
      </c>
      <c r="GL105">
        <v>0.89299685749003477</v>
      </c>
      <c r="GM105">
        <v>0.31419939577039269</v>
      </c>
      <c r="GN105">
        <v>0.80367275205716526</v>
      </c>
      <c r="GO105">
        <v>0.85950413223140498</v>
      </c>
      <c r="GP105">
        <v>0.8666441069626174</v>
      </c>
      <c r="GQ105">
        <v>0.31419939577039269</v>
      </c>
      <c r="GR105">
        <v>0.72253298654557296</v>
      </c>
      <c r="GS105">
        <v>0.85950413223140498</v>
      </c>
      <c r="GT105">
        <v>0.90197596370403921</v>
      </c>
      <c r="GU105">
        <v>0.31419939577039269</v>
      </c>
      <c r="GV105">
        <v>0.72016300217390905</v>
      </c>
      <c r="GW105">
        <v>0.85950413223140498</v>
      </c>
      <c r="GX105">
        <v>0.91247702367173222</v>
      </c>
      <c r="GY105">
        <v>0.31419939577039269</v>
      </c>
      <c r="GZ105">
        <v>0.70565504905049004</v>
      </c>
      <c r="HA105">
        <v>0.85950413223140498</v>
      </c>
      <c r="HB105">
        <v>0.93976695955022482</v>
      </c>
      <c r="HC105">
        <v>0.31419939577039269</v>
      </c>
      <c r="HD105">
        <v>0.76145625127334637</v>
      </c>
      <c r="HI105">
        <v>696.77542875741051</v>
      </c>
      <c r="HJ105">
        <v>3271.965612358676</v>
      </c>
      <c r="HK105">
        <v>968.70859193346837</v>
      </c>
      <c r="HL105">
        <v>3816.2869278333819</v>
      </c>
    </row>
    <row r="106" spans="173:220" x14ac:dyDescent="0.3">
      <c r="FQ106">
        <v>0.86776859504132231</v>
      </c>
      <c r="FR106">
        <v>465.77595055710822</v>
      </c>
      <c r="FS106">
        <v>0.31722054380664649</v>
      </c>
      <c r="FT106">
        <v>426.257582968365</v>
      </c>
      <c r="FU106">
        <v>0.86776859504132231</v>
      </c>
      <c r="FV106">
        <v>297.92375506624097</v>
      </c>
      <c r="FW106">
        <v>0.31722054380664649</v>
      </c>
      <c r="FX106">
        <v>287.29403190057968</v>
      </c>
      <c r="FY106">
        <v>0.86776859504132231</v>
      </c>
      <c r="FZ106">
        <v>4594.5598944577014</v>
      </c>
      <c r="GA106">
        <v>0.31722054380664649</v>
      </c>
      <c r="GB106">
        <v>2871.547892208388</v>
      </c>
      <c r="GC106">
        <v>0.86776859504132231</v>
      </c>
      <c r="GD106">
        <v>1416.577729466989</v>
      </c>
      <c r="GE106">
        <v>0.31722054380664649</v>
      </c>
      <c r="GF106">
        <v>590.03860154080292</v>
      </c>
      <c r="GG106">
        <v>0.86776859504132231</v>
      </c>
      <c r="GH106">
        <v>0.76402022919360157</v>
      </c>
      <c r="GI106">
        <v>0.31722054380664649</v>
      </c>
      <c r="GJ106">
        <v>0.63142586208664753</v>
      </c>
      <c r="GK106">
        <v>0.86776859504132231</v>
      </c>
      <c r="GL106">
        <v>0.89361292067835341</v>
      </c>
      <c r="GM106">
        <v>0.31722054380664649</v>
      </c>
      <c r="GN106">
        <v>0.8048204890627807</v>
      </c>
      <c r="GO106">
        <v>0.86776859504132231</v>
      </c>
      <c r="GP106">
        <v>0.86723206068701442</v>
      </c>
      <c r="GQ106">
        <v>0.31722054380664649</v>
      </c>
      <c r="GR106">
        <v>0.72351673192686594</v>
      </c>
      <c r="GS106">
        <v>0.86776859504132231</v>
      </c>
      <c r="GT106">
        <v>0.90317936586022318</v>
      </c>
      <c r="GU106">
        <v>0.31722054380664649</v>
      </c>
      <c r="GV106">
        <v>0.72063255859516451</v>
      </c>
      <c r="GW106">
        <v>0.86776859504132231</v>
      </c>
      <c r="GX106">
        <v>0.91305232909812317</v>
      </c>
      <c r="GY106">
        <v>0.31722054380664649</v>
      </c>
      <c r="GZ106">
        <v>0.70733301607249077</v>
      </c>
      <c r="HA106">
        <v>0.86776859504132231</v>
      </c>
      <c r="HB106">
        <v>0.94002885192097918</v>
      </c>
      <c r="HC106">
        <v>0.31722054380664649</v>
      </c>
      <c r="HD106">
        <v>0.76247433642268636</v>
      </c>
      <c r="HI106">
        <v>1378.2294780991019</v>
      </c>
      <c r="HJ106">
        <v>3849.2694624235978</v>
      </c>
      <c r="HK106">
        <v>736.06768581246274</v>
      </c>
      <c r="HL106">
        <v>2145.67133721663</v>
      </c>
    </row>
    <row r="107" spans="173:220" x14ac:dyDescent="0.3">
      <c r="FQ107">
        <v>0.87603305785123964</v>
      </c>
      <c r="FR107">
        <v>467.90642290884028</v>
      </c>
      <c r="FS107">
        <v>0.3202416918429003</v>
      </c>
      <c r="FT107">
        <v>426.48643204369</v>
      </c>
      <c r="FU107">
        <v>0.87603305785123964</v>
      </c>
      <c r="FV107">
        <v>298.25857629308928</v>
      </c>
      <c r="FW107">
        <v>0.3202416918429003</v>
      </c>
      <c r="FX107">
        <v>287.37436648065869</v>
      </c>
      <c r="FY107">
        <v>0.87603305785123964</v>
      </c>
      <c r="FZ107">
        <v>4615.2470220835476</v>
      </c>
      <c r="GA107">
        <v>0.3202416918429003</v>
      </c>
      <c r="GB107">
        <v>2878.0641233489009</v>
      </c>
      <c r="GC107">
        <v>0.87603305785123964</v>
      </c>
      <c r="GD107">
        <v>1425.5349156944339</v>
      </c>
      <c r="GE107">
        <v>0.3202416918429003</v>
      </c>
      <c r="GF107">
        <v>594.1435862840151</v>
      </c>
      <c r="GG107">
        <v>0.87603305785123964</v>
      </c>
      <c r="GH107">
        <v>0.77244675848515754</v>
      </c>
      <c r="GI107">
        <v>0.3202416918429003</v>
      </c>
      <c r="GJ107">
        <v>0.6324914494117202</v>
      </c>
      <c r="GK107">
        <v>0.87603305785123964</v>
      </c>
      <c r="GL107">
        <v>0.89473786027893421</v>
      </c>
      <c r="GM107">
        <v>0.3202416918429003</v>
      </c>
      <c r="GN107">
        <v>0.80506443147029616</v>
      </c>
      <c r="GO107">
        <v>0.87603305785123964</v>
      </c>
      <c r="GP107">
        <v>0.86782117971414896</v>
      </c>
      <c r="GQ107">
        <v>0.3202416918429003</v>
      </c>
      <c r="GR107">
        <v>0.72468303310649496</v>
      </c>
      <c r="GS107">
        <v>0.87603305785123964</v>
      </c>
      <c r="GT107">
        <v>0.9042096691906758</v>
      </c>
      <c r="GU107">
        <v>0.3202416918429003</v>
      </c>
      <c r="GV107">
        <v>0.72133589207864712</v>
      </c>
      <c r="GW107">
        <v>0.87603305785123964</v>
      </c>
      <c r="GX107">
        <v>0.91965478828807201</v>
      </c>
      <c r="GY107">
        <v>0.3202416918429003</v>
      </c>
      <c r="GZ107">
        <v>0.70776849736172076</v>
      </c>
      <c r="HA107">
        <v>0.87603305785123964</v>
      </c>
      <c r="HB107">
        <v>0.94103721673707685</v>
      </c>
      <c r="HC107">
        <v>0.3202416918429003</v>
      </c>
      <c r="HD107">
        <v>0.76293794910995016</v>
      </c>
      <c r="HI107">
        <v>603.39095639371396</v>
      </c>
      <c r="HJ107">
        <v>2291.8853120773801</v>
      </c>
      <c r="HK107">
        <v>386.38139212852678</v>
      </c>
      <c r="HL107">
        <v>4975.8937320962395</v>
      </c>
    </row>
    <row r="108" spans="173:220" x14ac:dyDescent="0.3">
      <c r="FQ108">
        <v>0.88429752066115708</v>
      </c>
      <c r="FR108">
        <v>469.07375462228691</v>
      </c>
      <c r="FS108">
        <v>0.32326283987915411</v>
      </c>
      <c r="FT108">
        <v>426.59630643882087</v>
      </c>
      <c r="FU108">
        <v>0.88429752066115708</v>
      </c>
      <c r="FV108">
        <v>298.85437903361731</v>
      </c>
      <c r="FW108">
        <v>0.32326283987915411</v>
      </c>
      <c r="FX108">
        <v>287.461545703929</v>
      </c>
      <c r="FY108">
        <v>0.88429752066115708</v>
      </c>
      <c r="FZ108">
        <v>4618.0054234464169</v>
      </c>
      <c r="GA108">
        <v>0.32326283987915411</v>
      </c>
      <c r="GB108">
        <v>2891.278952726228</v>
      </c>
      <c r="GC108">
        <v>0.88429752066115708</v>
      </c>
      <c r="GD108">
        <v>1426.6337525685531</v>
      </c>
      <c r="GE108">
        <v>0.32326283987915411</v>
      </c>
      <c r="GF108">
        <v>598.02451446693021</v>
      </c>
      <c r="GG108">
        <v>0.88429752066115708</v>
      </c>
      <c r="GH108">
        <v>0.77329808042814041</v>
      </c>
      <c r="GI108">
        <v>0.32326283987915411</v>
      </c>
      <c r="GJ108">
        <v>0.63279093460744584</v>
      </c>
      <c r="GK108">
        <v>0.88429752066115708</v>
      </c>
      <c r="GL108">
        <v>0.89808890734261959</v>
      </c>
      <c r="GM108">
        <v>0.32326283987915411</v>
      </c>
      <c r="GN108">
        <v>0.80590705058093526</v>
      </c>
      <c r="GO108">
        <v>0.88429752066115708</v>
      </c>
      <c r="GP108">
        <v>0.87017987511079586</v>
      </c>
      <c r="GQ108">
        <v>0.32326283987915411</v>
      </c>
      <c r="GR108">
        <v>0.72492830210180104</v>
      </c>
      <c r="GS108">
        <v>0.88429752066115708</v>
      </c>
      <c r="GT108">
        <v>0.90629202492594596</v>
      </c>
      <c r="GU108">
        <v>0.32326283987915411</v>
      </c>
      <c r="GV108">
        <v>0.72148729824908719</v>
      </c>
      <c r="GW108">
        <v>0.88429752066115708</v>
      </c>
      <c r="GX108">
        <v>0.92019682739511577</v>
      </c>
      <c r="GY108">
        <v>0.32326283987915411</v>
      </c>
      <c r="GZ108">
        <v>0.7078869448285835</v>
      </c>
      <c r="HA108">
        <v>0.88429752066115708</v>
      </c>
      <c r="HB108">
        <v>0.94160277563415196</v>
      </c>
      <c r="HC108">
        <v>0.32326283987915411</v>
      </c>
      <c r="HD108">
        <v>0.76319962247865569</v>
      </c>
      <c r="HI108">
        <v>720.74620366693352</v>
      </c>
      <c r="HJ108">
        <v>3114.7963816152478</v>
      </c>
      <c r="HK108">
        <v>469.1778674819476</v>
      </c>
      <c r="HL108">
        <v>3253.7226338168239</v>
      </c>
    </row>
    <row r="109" spans="173:220" x14ac:dyDescent="0.3">
      <c r="FQ109">
        <v>0.8925619834710744</v>
      </c>
      <c r="FR109">
        <v>469.85950745540111</v>
      </c>
      <c r="FS109">
        <v>0.32628398791540791</v>
      </c>
      <c r="FT109">
        <v>427.11795306341662</v>
      </c>
      <c r="FU109">
        <v>0.8925619834710744</v>
      </c>
      <c r="FV109">
        <v>299.00485636149023</v>
      </c>
      <c r="FW109">
        <v>0.32628398791540791</v>
      </c>
      <c r="FX109">
        <v>287.46645601629342</v>
      </c>
      <c r="FY109">
        <v>0.8925619834710744</v>
      </c>
      <c r="FZ109">
        <v>4652.4576927725238</v>
      </c>
      <c r="GA109">
        <v>0.32628398791540791</v>
      </c>
      <c r="GB109">
        <v>2898.101622896409</v>
      </c>
      <c r="GC109">
        <v>0.8925619834710744</v>
      </c>
      <c r="GD109">
        <v>1434.311362270726</v>
      </c>
      <c r="GE109">
        <v>0.32628398791540791</v>
      </c>
      <c r="GF109">
        <v>599.39938385898768</v>
      </c>
      <c r="GG109">
        <v>0.8925619834710744</v>
      </c>
      <c r="GH109">
        <v>0.77998932279625433</v>
      </c>
      <c r="GI109">
        <v>0.32628398791540791</v>
      </c>
      <c r="GJ109">
        <v>0.63312316974422034</v>
      </c>
      <c r="GK109">
        <v>0.8925619834710744</v>
      </c>
      <c r="GL109">
        <v>0.90377733384072778</v>
      </c>
      <c r="GM109">
        <v>0.32628398791540791</v>
      </c>
      <c r="GN109">
        <v>0.80597315623721877</v>
      </c>
      <c r="GO109">
        <v>0.8925619834710744</v>
      </c>
      <c r="GP109">
        <v>0.87192118271815566</v>
      </c>
      <c r="GQ109">
        <v>0.32628398791540791</v>
      </c>
      <c r="GR109">
        <v>0.72525412987363325</v>
      </c>
      <c r="GS109">
        <v>0.8925619834710744</v>
      </c>
      <c r="GT109">
        <v>0.90917743203233481</v>
      </c>
      <c r="GU109">
        <v>0.32628398791540791</v>
      </c>
      <c r="GV109">
        <v>0.72268256965746291</v>
      </c>
      <c r="GW109">
        <v>0.8925619834710744</v>
      </c>
      <c r="GX109">
        <v>0.9213041607672976</v>
      </c>
      <c r="GY109">
        <v>0.32628398791540791</v>
      </c>
      <c r="GZ109">
        <v>0.7095129647968299</v>
      </c>
      <c r="HA109">
        <v>0.8925619834710744</v>
      </c>
      <c r="HB109">
        <v>0.94175297805228675</v>
      </c>
      <c r="HC109">
        <v>0.32628398791540791</v>
      </c>
      <c r="HD109">
        <v>0.76472504902796135</v>
      </c>
      <c r="HI109">
        <v>719.41146523408065</v>
      </c>
      <c r="HJ109">
        <v>3497.9121428335402</v>
      </c>
      <c r="HK109">
        <v>498.75181721501241</v>
      </c>
      <c r="HL109">
        <v>2674.482313309567</v>
      </c>
    </row>
    <row r="110" spans="173:220" x14ac:dyDescent="0.3">
      <c r="FQ110">
        <v>0.90082644628099173</v>
      </c>
      <c r="FR110">
        <v>470.01840616237558</v>
      </c>
      <c r="FS110">
        <v>0.32930513595166161</v>
      </c>
      <c r="FT110">
        <v>427.22184954970271</v>
      </c>
      <c r="FU110">
        <v>0.90082644628099173</v>
      </c>
      <c r="FV110">
        <v>299.07388175430111</v>
      </c>
      <c r="FW110">
        <v>0.32930513595166161</v>
      </c>
      <c r="FX110">
        <v>287.52974585261381</v>
      </c>
      <c r="FY110">
        <v>0.90082644628099173</v>
      </c>
      <c r="FZ110">
        <v>4675.274719834546</v>
      </c>
      <c r="GA110">
        <v>0.32930513595166161</v>
      </c>
      <c r="GB110">
        <v>2907.3580386071021</v>
      </c>
      <c r="GC110">
        <v>0.90082644628099173</v>
      </c>
      <c r="GD110">
        <v>1438.218115492034</v>
      </c>
      <c r="GE110">
        <v>0.32930513595166161</v>
      </c>
      <c r="GF110">
        <v>603.39095639371396</v>
      </c>
      <c r="GG110">
        <v>0.90082644628099173</v>
      </c>
      <c r="GH110">
        <v>0.78233303490919615</v>
      </c>
      <c r="GI110">
        <v>0.32930513595166161</v>
      </c>
      <c r="GJ110">
        <v>0.63407655146262787</v>
      </c>
      <c r="GK110">
        <v>0.90082644628099173</v>
      </c>
      <c r="GL110">
        <v>0.90551854846114843</v>
      </c>
      <c r="GM110">
        <v>0.32930513595166161</v>
      </c>
      <c r="GN110">
        <v>0.80640784447146618</v>
      </c>
      <c r="GO110">
        <v>0.90082644628099173</v>
      </c>
      <c r="GP110">
        <v>0.87309527248431662</v>
      </c>
      <c r="GQ110">
        <v>0.32930513595166161</v>
      </c>
      <c r="GR110">
        <v>0.72595372211657794</v>
      </c>
      <c r="GS110">
        <v>0.90082644628099173</v>
      </c>
      <c r="GT110">
        <v>0.90949433406137259</v>
      </c>
      <c r="GU110">
        <v>0.32930513595166161</v>
      </c>
      <c r="GV110">
        <v>0.72348000354414543</v>
      </c>
      <c r="GW110">
        <v>0.90082644628099173</v>
      </c>
      <c r="GX110">
        <v>0.92276086983462624</v>
      </c>
      <c r="GY110">
        <v>0.32930513595166161</v>
      </c>
      <c r="GZ110">
        <v>0.710777780426184</v>
      </c>
      <c r="HA110">
        <v>0.90082644628099173</v>
      </c>
      <c r="HB110">
        <v>0.94254728386761244</v>
      </c>
      <c r="HC110">
        <v>0.32930513595166161</v>
      </c>
      <c r="HD110">
        <v>0.76514726724376625</v>
      </c>
      <c r="HI110">
        <v>1430.5547156754119</v>
      </c>
      <c r="HJ110">
        <v>2796.923069702998</v>
      </c>
      <c r="HK110">
        <v>451.86047491645638</v>
      </c>
      <c r="HL110">
        <v>2459.4817680450719</v>
      </c>
    </row>
    <row r="111" spans="173:220" x14ac:dyDescent="0.3">
      <c r="FQ111">
        <v>0.90909090909090906</v>
      </c>
      <c r="FR111">
        <v>475.00830246052197</v>
      </c>
      <c r="FS111">
        <v>0.33232628398791542</v>
      </c>
      <c r="FT111">
        <v>427.79119452254139</v>
      </c>
      <c r="FU111">
        <v>0.90909090909090906</v>
      </c>
      <c r="FV111">
        <v>299.35639070411088</v>
      </c>
      <c r="FW111">
        <v>0.33232628398791542</v>
      </c>
      <c r="FX111">
        <v>287.65417659233231</v>
      </c>
      <c r="FY111">
        <v>0.90909090909090906</v>
      </c>
      <c r="FZ111">
        <v>4702.2301842719844</v>
      </c>
      <c r="GA111">
        <v>0.33232628398791542</v>
      </c>
      <c r="GB111">
        <v>2909.8359720359081</v>
      </c>
      <c r="GC111">
        <v>0.90909090909090906</v>
      </c>
      <c r="GD111">
        <v>1440.710131756108</v>
      </c>
      <c r="GE111">
        <v>0.33232628398791542</v>
      </c>
      <c r="GF111">
        <v>608.51112644013438</v>
      </c>
      <c r="GG111">
        <v>0.90909090909090906</v>
      </c>
      <c r="GH111">
        <v>0.79007107826674572</v>
      </c>
      <c r="GI111">
        <v>0.33232628398791542</v>
      </c>
      <c r="GJ111">
        <v>0.63533991957217995</v>
      </c>
      <c r="GK111">
        <v>0.90909090909090906</v>
      </c>
      <c r="GL111">
        <v>0.9059458071668296</v>
      </c>
      <c r="GM111">
        <v>0.33232628398791542</v>
      </c>
      <c r="GN111">
        <v>0.80694492207148427</v>
      </c>
      <c r="GO111">
        <v>0.90909090909090906</v>
      </c>
      <c r="GP111">
        <v>0.87379678608802092</v>
      </c>
      <c r="GQ111">
        <v>0.33232628398791542</v>
      </c>
      <c r="GR111">
        <v>0.72664321199638726</v>
      </c>
      <c r="GS111">
        <v>0.90909090909090906</v>
      </c>
      <c r="GT111">
        <v>0.91735729494827545</v>
      </c>
      <c r="GU111">
        <v>0.33232628398791542</v>
      </c>
      <c r="GV111">
        <v>0.72500340415597764</v>
      </c>
      <c r="GW111">
        <v>0.90909090909090906</v>
      </c>
      <c r="GX111">
        <v>0.92425594054562199</v>
      </c>
      <c r="GY111">
        <v>0.33232628398791542</v>
      </c>
      <c r="GZ111">
        <v>0.71230697276956956</v>
      </c>
      <c r="HA111">
        <v>0.90909090909090906</v>
      </c>
      <c r="HB111">
        <v>0.94278633336400441</v>
      </c>
      <c r="HC111">
        <v>0.33232628398791542</v>
      </c>
      <c r="HD111">
        <v>0.76551623640178679</v>
      </c>
      <c r="HI111">
        <v>609.91679894622234</v>
      </c>
      <c r="HJ111">
        <v>3316.4638939990919</v>
      </c>
      <c r="HK111">
        <v>1408.8412684195271</v>
      </c>
      <c r="HL111">
        <v>3345.7527629838451</v>
      </c>
    </row>
    <row r="112" spans="173:220" x14ac:dyDescent="0.3">
      <c r="FQ112">
        <v>0.9173553719008265</v>
      </c>
      <c r="FR112">
        <v>481.90054172539391</v>
      </c>
      <c r="FS112">
        <v>0.33534743202416922</v>
      </c>
      <c r="FT112">
        <v>428.28203080928489</v>
      </c>
      <c r="FU112">
        <v>0.9173553719008265</v>
      </c>
      <c r="FV112">
        <v>300.51369144075892</v>
      </c>
      <c r="FW112">
        <v>0.33534743202416922</v>
      </c>
      <c r="FX112">
        <v>287.70773989459178</v>
      </c>
      <c r="FY112">
        <v>0.9173553719008265</v>
      </c>
      <c r="FZ112">
        <v>4734.3608776930996</v>
      </c>
      <c r="GA112">
        <v>0.33534743202416922</v>
      </c>
      <c r="GB112">
        <v>2915.52601975683</v>
      </c>
      <c r="GC112">
        <v>0.9173553719008265</v>
      </c>
      <c r="GD112">
        <v>1451.6235933969581</v>
      </c>
      <c r="GE112">
        <v>0.33534743202416922</v>
      </c>
      <c r="GF112">
        <v>609.91679894622234</v>
      </c>
      <c r="GG112">
        <v>0.9173553719008265</v>
      </c>
      <c r="GH112">
        <v>0.79298242659503004</v>
      </c>
      <c r="GI112">
        <v>0.33534743202416922</v>
      </c>
      <c r="GJ112">
        <v>0.63560287782403802</v>
      </c>
      <c r="GK112">
        <v>0.9173553719008265</v>
      </c>
      <c r="GL112">
        <v>0.90708873832322678</v>
      </c>
      <c r="GM112">
        <v>0.33534743202416922</v>
      </c>
      <c r="GN112">
        <v>0.80703789100765411</v>
      </c>
      <c r="GO112">
        <v>0.9173553719008265</v>
      </c>
      <c r="GP112">
        <v>0.87863473004114989</v>
      </c>
      <c r="GQ112">
        <v>0.33534743202416922</v>
      </c>
      <c r="GR112">
        <v>0.72697852669009144</v>
      </c>
      <c r="GS112">
        <v>0.9173553719008265</v>
      </c>
      <c r="GT112">
        <v>0.92045809376111565</v>
      </c>
      <c r="GU112">
        <v>0.33534743202416922</v>
      </c>
      <c r="GV112">
        <v>0.72506260745405915</v>
      </c>
      <c r="GW112">
        <v>0.9173553719008265</v>
      </c>
      <c r="GX112">
        <v>0.92637668841839116</v>
      </c>
      <c r="GY112">
        <v>0.33534743202416922</v>
      </c>
      <c r="GZ112">
        <v>0.71339563046676968</v>
      </c>
      <c r="HA112">
        <v>0.9173553719008265</v>
      </c>
      <c r="HB112">
        <v>0.94335825047986244</v>
      </c>
      <c r="HC112">
        <v>0.33534743202416922</v>
      </c>
      <c r="HD112">
        <v>0.76592436909718298</v>
      </c>
      <c r="HI112">
        <v>726.46769530342635</v>
      </c>
      <c r="HJ112">
        <v>4232.3146083145093</v>
      </c>
      <c r="HK112">
        <v>1251.20882915582</v>
      </c>
      <c r="HL112">
        <v>3460.363839446954</v>
      </c>
    </row>
    <row r="113" spans="173:220" x14ac:dyDescent="0.3">
      <c r="FQ113">
        <v>0.92561983471074383</v>
      </c>
      <c r="FR113">
        <v>482.70311780898749</v>
      </c>
      <c r="FS113">
        <v>0.33836858006042297</v>
      </c>
      <c r="FT113">
        <v>428.43299493017861</v>
      </c>
      <c r="FU113">
        <v>0.92561983471074383</v>
      </c>
      <c r="FV113">
        <v>300.65894628329841</v>
      </c>
      <c r="FW113">
        <v>0.33836858006042297</v>
      </c>
      <c r="FX113">
        <v>287.74928281128092</v>
      </c>
      <c r="FY113">
        <v>0.92561983471074383</v>
      </c>
      <c r="FZ113">
        <v>4778.0368504880844</v>
      </c>
      <c r="GA113">
        <v>0.33836858006042297</v>
      </c>
      <c r="GB113">
        <v>2925.3270365484359</v>
      </c>
      <c r="GC113">
        <v>0.92561983471074383</v>
      </c>
      <c r="GD113">
        <v>1453.6943084220011</v>
      </c>
      <c r="GE113">
        <v>0.33836858006042297</v>
      </c>
      <c r="GF113">
        <v>613.54000904415113</v>
      </c>
      <c r="GG113">
        <v>0.92561983471074383</v>
      </c>
      <c r="GH113">
        <v>0.79775648811718469</v>
      </c>
      <c r="GI113">
        <v>0.33836858006042297</v>
      </c>
      <c r="GJ113">
        <v>0.63840331156057539</v>
      </c>
      <c r="GK113">
        <v>0.92561983471074383</v>
      </c>
      <c r="GL113">
        <v>0.90832170337099882</v>
      </c>
      <c r="GM113">
        <v>0.33836858006042297</v>
      </c>
      <c r="GN113">
        <v>0.80736821321725238</v>
      </c>
      <c r="GO113">
        <v>0.92561983471074383</v>
      </c>
      <c r="GP113">
        <v>0.87940671253111935</v>
      </c>
      <c r="GQ113">
        <v>0.33836858006042297</v>
      </c>
      <c r="GR113">
        <v>0.7271676099957175</v>
      </c>
      <c r="GS113">
        <v>0.92561983471074383</v>
      </c>
      <c r="GT113">
        <v>0.92058897470937884</v>
      </c>
      <c r="GU113">
        <v>0.33836858006042297</v>
      </c>
      <c r="GV113">
        <v>0.72617644107132506</v>
      </c>
      <c r="GW113">
        <v>0.92561983471074383</v>
      </c>
      <c r="GX113">
        <v>0.92765074833758798</v>
      </c>
      <c r="GY113">
        <v>0.33836858006042297</v>
      </c>
      <c r="GZ113">
        <v>0.71346973063846164</v>
      </c>
      <c r="HA113">
        <v>0.92561983471074383</v>
      </c>
      <c r="HB113">
        <v>0.94439056201713056</v>
      </c>
      <c r="HC113">
        <v>0.33836858006042297</v>
      </c>
      <c r="HD113">
        <v>0.76658105485481187</v>
      </c>
      <c r="HI113">
        <v>957.06160811266204</v>
      </c>
      <c r="HJ113">
        <v>2189.372121129089</v>
      </c>
      <c r="HK113">
        <v>512.45749891888499</v>
      </c>
      <c r="HL113">
        <v>2559.785520070714</v>
      </c>
    </row>
    <row r="114" spans="173:220" x14ac:dyDescent="0.3">
      <c r="FQ114">
        <v>0.93388429752066116</v>
      </c>
      <c r="FR114">
        <v>483.22504797874399</v>
      </c>
      <c r="FS114">
        <v>0.34138972809667673</v>
      </c>
      <c r="FT114">
        <v>428.60103488340297</v>
      </c>
      <c r="FU114">
        <v>0.93388429752066116</v>
      </c>
      <c r="FV114">
        <v>301.12369623880511</v>
      </c>
      <c r="FW114">
        <v>0.34138972809667673</v>
      </c>
      <c r="FX114">
        <v>287.79870325052701</v>
      </c>
      <c r="FY114">
        <v>0.93388429752066116</v>
      </c>
      <c r="FZ114">
        <v>4811.745787712287</v>
      </c>
      <c r="GA114">
        <v>0.34138972809667673</v>
      </c>
      <c r="GB114">
        <v>2946.5193009348682</v>
      </c>
      <c r="GC114">
        <v>0.93388429752066116</v>
      </c>
      <c r="GD114">
        <v>1454.83498234847</v>
      </c>
      <c r="GE114">
        <v>0.34138972809667673</v>
      </c>
      <c r="GF114">
        <v>616.36507070137463</v>
      </c>
      <c r="GG114">
        <v>0.93388429752066116</v>
      </c>
      <c r="GH114">
        <v>0.80283406970450666</v>
      </c>
      <c r="GI114">
        <v>0.34138972809667673</v>
      </c>
      <c r="GJ114">
        <v>0.63938330757877837</v>
      </c>
      <c r="GK114">
        <v>0.93388429752066116</v>
      </c>
      <c r="GL114">
        <v>0.90951364321031558</v>
      </c>
      <c r="GM114">
        <v>0.34138972809667673</v>
      </c>
      <c r="GN114">
        <v>0.80805170391826109</v>
      </c>
      <c r="GO114">
        <v>0.93388429752066116</v>
      </c>
      <c r="GP114">
        <v>0.88070540299942357</v>
      </c>
      <c r="GQ114">
        <v>0.34138972809667673</v>
      </c>
      <c r="GR114">
        <v>0.72783121663743389</v>
      </c>
      <c r="GS114">
        <v>0.93388429752066116</v>
      </c>
      <c r="GT114">
        <v>0.92311956089323155</v>
      </c>
      <c r="GU114">
        <v>0.34138972809667673</v>
      </c>
      <c r="GV114">
        <v>0.72699722693597568</v>
      </c>
      <c r="GW114">
        <v>0.93388429752066116</v>
      </c>
      <c r="GX114">
        <v>0.93060835956037358</v>
      </c>
      <c r="GY114">
        <v>0.34138972809667673</v>
      </c>
      <c r="GZ114">
        <v>0.71378786803695882</v>
      </c>
      <c r="HA114">
        <v>0.93388429752066116</v>
      </c>
      <c r="HB114">
        <v>0.94456971418572477</v>
      </c>
      <c r="HC114">
        <v>0.34138972809667673</v>
      </c>
      <c r="HD114">
        <v>0.76702560848047352</v>
      </c>
      <c r="HI114">
        <v>1312.976037108916</v>
      </c>
      <c r="HJ114">
        <v>4005.0130795702589</v>
      </c>
      <c r="HK114">
        <v>994.83343637337964</v>
      </c>
      <c r="HL114">
        <v>3146.6915822939359</v>
      </c>
    </row>
    <row r="115" spans="173:220" x14ac:dyDescent="0.3">
      <c r="FQ115">
        <v>0.94214876033057848</v>
      </c>
      <c r="FR115">
        <v>484.76834502679981</v>
      </c>
      <c r="FS115">
        <v>0.34441087613293048</v>
      </c>
      <c r="FT115">
        <v>430.34641798062643</v>
      </c>
      <c r="FU115">
        <v>0.94214876033057848</v>
      </c>
      <c r="FV115">
        <v>301.43598510231362</v>
      </c>
      <c r="FW115">
        <v>0.34441087613293048</v>
      </c>
      <c r="FX115">
        <v>288.0095091039276</v>
      </c>
      <c r="FY115">
        <v>0.94214876033057848</v>
      </c>
      <c r="FZ115">
        <v>4835.6491750485166</v>
      </c>
      <c r="GA115">
        <v>0.34441087613293048</v>
      </c>
      <c r="GB115">
        <v>2958.827926159463</v>
      </c>
      <c r="GC115">
        <v>0.94214876033057848</v>
      </c>
      <c r="GD115">
        <v>1459.363534615464</v>
      </c>
      <c r="GE115">
        <v>0.34441087613293048</v>
      </c>
      <c r="GF115">
        <v>617.50002578166254</v>
      </c>
      <c r="GG115">
        <v>0.94214876033057848</v>
      </c>
      <c r="GH115">
        <v>0.808469517190753</v>
      </c>
      <c r="GI115">
        <v>0.34441087613293048</v>
      </c>
      <c r="GJ115">
        <v>0.64063305222819733</v>
      </c>
      <c r="GK115">
        <v>0.94214876033057848</v>
      </c>
      <c r="GL115">
        <v>0.9097924384713304</v>
      </c>
      <c r="GM115">
        <v>0.34441087613293048</v>
      </c>
      <c r="GN115">
        <v>0.80859799713222524</v>
      </c>
      <c r="GO115">
        <v>0.94214876033057848</v>
      </c>
      <c r="GP115">
        <v>0.88490292201497178</v>
      </c>
      <c r="GQ115">
        <v>0.34441087613293048</v>
      </c>
      <c r="GR115">
        <v>0.72850725559380813</v>
      </c>
      <c r="GS115">
        <v>0.94214876033057848</v>
      </c>
      <c r="GT115">
        <v>0.92502791907213744</v>
      </c>
      <c r="GU115">
        <v>0.34441087613293048</v>
      </c>
      <c r="GV115">
        <v>0.72817033737851644</v>
      </c>
      <c r="GW115">
        <v>0.94214876033057848</v>
      </c>
      <c r="GX115">
        <v>0.93086769278404724</v>
      </c>
      <c r="GY115">
        <v>0.34441087613293048</v>
      </c>
      <c r="GZ115">
        <v>0.71454084714483734</v>
      </c>
      <c r="HA115">
        <v>0.94214876033057848</v>
      </c>
      <c r="HB115">
        <v>0.94512856011804081</v>
      </c>
      <c r="HC115">
        <v>0.34441087613293048</v>
      </c>
      <c r="HD115">
        <v>0.76800025418775641</v>
      </c>
      <c r="HI115">
        <v>1124.420413302747</v>
      </c>
      <c r="HJ115">
        <v>4960.171892946295</v>
      </c>
      <c r="HK115">
        <v>894.32595495804526</v>
      </c>
      <c r="HL115">
        <v>4202.0029205155051</v>
      </c>
    </row>
    <row r="116" spans="173:220" x14ac:dyDescent="0.3">
      <c r="FQ116">
        <v>0.95041322314049592</v>
      </c>
      <c r="FR116">
        <v>486.22011444109438</v>
      </c>
      <c r="FS116">
        <v>0.34743202416918428</v>
      </c>
      <c r="FT116">
        <v>430.5252130667929</v>
      </c>
      <c r="FU116">
        <v>0.95041322314049592</v>
      </c>
      <c r="FV116">
        <v>301.67586441421889</v>
      </c>
      <c r="FW116">
        <v>0.34743202416918428</v>
      </c>
      <c r="FX116">
        <v>288.03917333461033</v>
      </c>
      <c r="FY116">
        <v>0.95041322314049592</v>
      </c>
      <c r="FZ116">
        <v>4841.7770826055921</v>
      </c>
      <c r="GA116">
        <v>0.34743202416918428</v>
      </c>
      <c r="GB116">
        <v>2964.4761894108842</v>
      </c>
      <c r="GC116">
        <v>0.95041322314049592</v>
      </c>
      <c r="GD116">
        <v>1460.7125851451451</v>
      </c>
      <c r="GE116">
        <v>0.34743202416918428</v>
      </c>
      <c r="GF116">
        <v>622.60818471278344</v>
      </c>
      <c r="GG116">
        <v>0.95041322314049592</v>
      </c>
      <c r="GH116">
        <v>0.81746601291172549</v>
      </c>
      <c r="GI116">
        <v>0.34743202416918428</v>
      </c>
      <c r="GJ116">
        <v>0.64146330690106768</v>
      </c>
      <c r="GK116">
        <v>0.95041322314049592</v>
      </c>
      <c r="GL116">
        <v>0.909963801220393</v>
      </c>
      <c r="GM116">
        <v>0.34743202416918428</v>
      </c>
      <c r="GN116">
        <v>0.80872981904010954</v>
      </c>
      <c r="GO116">
        <v>0.95041322314049592</v>
      </c>
      <c r="GP116">
        <v>0.88689568227291837</v>
      </c>
      <c r="GQ116">
        <v>0.34743202416918428</v>
      </c>
      <c r="GR116">
        <v>0.72956374459425255</v>
      </c>
      <c r="GS116">
        <v>0.95041322314049592</v>
      </c>
      <c r="GT116">
        <v>0.92992776747875816</v>
      </c>
      <c r="GU116">
        <v>0.34743202416918428</v>
      </c>
      <c r="GV116">
        <v>0.72841396046383911</v>
      </c>
      <c r="GW116">
        <v>0.95041322314049592</v>
      </c>
      <c r="GX116">
        <v>0.93310181363286804</v>
      </c>
      <c r="GY116">
        <v>0.34743202416918428</v>
      </c>
      <c r="GZ116">
        <v>0.71705682238335211</v>
      </c>
      <c r="HA116">
        <v>0.95041322314049592</v>
      </c>
      <c r="HB116">
        <v>0.94577644142482264</v>
      </c>
      <c r="HC116">
        <v>0.34743202416918428</v>
      </c>
      <c r="HD116">
        <v>0.76801960329594454</v>
      </c>
      <c r="HI116">
        <v>973.71170796292085</v>
      </c>
      <c r="HJ116">
        <v>3635.7903717331678</v>
      </c>
      <c r="HK116">
        <v>575.65152525243207</v>
      </c>
      <c r="HL116">
        <v>2399.0203936828798</v>
      </c>
    </row>
    <row r="117" spans="173:220" x14ac:dyDescent="0.3">
      <c r="FQ117">
        <v>0.95867768595041325</v>
      </c>
      <c r="FR117">
        <v>489.65038115310551</v>
      </c>
      <c r="FS117">
        <v>0.35045317220543809</v>
      </c>
      <c r="FT117">
        <v>431.43487990260888</v>
      </c>
      <c r="FU117">
        <v>0.95867768595041325</v>
      </c>
      <c r="FV117">
        <v>302.21192360793361</v>
      </c>
      <c r="FW117">
        <v>0.35045317220543809</v>
      </c>
      <c r="FX117">
        <v>288.10282153250819</v>
      </c>
      <c r="FY117">
        <v>0.95867768595041325</v>
      </c>
      <c r="FZ117">
        <v>4890.757585739927</v>
      </c>
      <c r="GA117">
        <v>0.35045317220543809</v>
      </c>
      <c r="GB117">
        <v>2973.4866912593739</v>
      </c>
      <c r="GC117">
        <v>0.95867768595041325</v>
      </c>
      <c r="GD117">
        <v>1464.8674451240281</v>
      </c>
      <c r="GE117">
        <v>0.35045317220543809</v>
      </c>
      <c r="GF117">
        <v>623.1255034237613</v>
      </c>
      <c r="GG117">
        <v>0.95867768595041325</v>
      </c>
      <c r="GH117">
        <v>0.82054696675214434</v>
      </c>
      <c r="GI117">
        <v>0.35045317220543809</v>
      </c>
      <c r="GJ117">
        <v>0.64185918464893321</v>
      </c>
      <c r="GK117">
        <v>0.95867768595041325</v>
      </c>
      <c r="GL117">
        <v>0.91022343444918719</v>
      </c>
      <c r="GM117">
        <v>0.35045317220543809</v>
      </c>
      <c r="GN117">
        <v>0.80892214936243023</v>
      </c>
      <c r="GO117">
        <v>0.95867768595041325</v>
      </c>
      <c r="GP117">
        <v>0.88841820932230409</v>
      </c>
      <c r="GQ117">
        <v>0.35045317220543809</v>
      </c>
      <c r="GR117">
        <v>0.72977960774518391</v>
      </c>
      <c r="GS117">
        <v>0.95867768595041325</v>
      </c>
      <c r="GT117">
        <v>0.93152941732864281</v>
      </c>
      <c r="GU117">
        <v>0.35045317220543809</v>
      </c>
      <c r="GV117">
        <v>0.72907878434805296</v>
      </c>
      <c r="GW117">
        <v>0.95867768595041325</v>
      </c>
      <c r="GX117">
        <v>0.93552260874858262</v>
      </c>
      <c r="GY117">
        <v>0.35045317220543809</v>
      </c>
      <c r="GZ117">
        <v>0.71766223622987368</v>
      </c>
      <c r="HA117">
        <v>0.95867768595041325</v>
      </c>
      <c r="HB117">
        <v>0.94598246425027399</v>
      </c>
      <c r="HC117">
        <v>0.35045317220543809</v>
      </c>
      <c r="HD117">
        <v>0.76856865977678546</v>
      </c>
      <c r="HI117">
        <v>692.77457708626184</v>
      </c>
      <c r="HJ117">
        <v>4840.2231042553794</v>
      </c>
      <c r="HK117">
        <v>1027.942471087398</v>
      </c>
      <c r="HL117">
        <v>4597.9451590572589</v>
      </c>
    </row>
    <row r="118" spans="173:220" x14ac:dyDescent="0.3">
      <c r="FQ118">
        <v>0.96694214876033058</v>
      </c>
      <c r="FR118">
        <v>490.77933297608018</v>
      </c>
      <c r="FS118">
        <v>0.35347432024169179</v>
      </c>
      <c r="FT118">
        <v>431.86265931378642</v>
      </c>
      <c r="FU118">
        <v>0.96694214876033058</v>
      </c>
      <c r="FV118">
        <v>302.3237170373859</v>
      </c>
      <c r="FW118">
        <v>0.35347432024169179</v>
      </c>
      <c r="FX118">
        <v>288.15286122657591</v>
      </c>
      <c r="FY118">
        <v>0.96694214876033058</v>
      </c>
      <c r="FZ118">
        <v>4908.5147002447429</v>
      </c>
      <c r="GA118">
        <v>0.35347432024169179</v>
      </c>
      <c r="GB118">
        <v>2977.4879282495972</v>
      </c>
      <c r="GC118">
        <v>0.96694214876033058</v>
      </c>
      <c r="GD118">
        <v>1467.2205222666009</v>
      </c>
      <c r="GE118">
        <v>0.35347432024169179</v>
      </c>
      <c r="GF118">
        <v>625.48144048993618</v>
      </c>
      <c r="GG118">
        <v>0.96694214876033058</v>
      </c>
      <c r="GH118">
        <v>0.82444026397392878</v>
      </c>
      <c r="GI118">
        <v>0.35347432024169179</v>
      </c>
      <c r="GJ118">
        <v>0.64249264954043961</v>
      </c>
      <c r="GK118">
        <v>0.96694214876033058</v>
      </c>
      <c r="GL118">
        <v>0.91192500975012658</v>
      </c>
      <c r="GM118">
        <v>0.35347432024169179</v>
      </c>
      <c r="GN118">
        <v>0.80915184810508511</v>
      </c>
      <c r="GO118">
        <v>0.96694214876033058</v>
      </c>
      <c r="GP118">
        <v>0.88958680145576263</v>
      </c>
      <c r="GQ118">
        <v>0.35347432024169179</v>
      </c>
      <c r="GR118">
        <v>0.73052775019277749</v>
      </c>
      <c r="GS118">
        <v>0.96694214876033058</v>
      </c>
      <c r="GT118">
        <v>0.93348463919593483</v>
      </c>
      <c r="GU118">
        <v>0.35347432024169179</v>
      </c>
      <c r="GV118">
        <v>0.72968408543049967</v>
      </c>
      <c r="GW118">
        <v>0.96694214876033058</v>
      </c>
      <c r="GX118">
        <v>0.9389302087151592</v>
      </c>
      <c r="GY118">
        <v>0.35347432024169179</v>
      </c>
      <c r="GZ118">
        <v>0.7177940744370952</v>
      </c>
      <c r="HA118">
        <v>0.96694214876033058</v>
      </c>
      <c r="HB118">
        <v>0.94680208549516642</v>
      </c>
      <c r="HC118">
        <v>0.35347432024169179</v>
      </c>
      <c r="HD118">
        <v>0.76935791597747305</v>
      </c>
      <c r="HI118">
        <v>648.45712322620807</v>
      </c>
      <c r="HJ118">
        <v>4771.5080272120304</v>
      </c>
      <c r="HK118">
        <v>754.99714544963854</v>
      </c>
      <c r="HL118">
        <v>4236.2637219721682</v>
      </c>
    </row>
    <row r="119" spans="173:220" x14ac:dyDescent="0.3">
      <c r="FQ119">
        <v>0.97520661157024791</v>
      </c>
      <c r="FR119">
        <v>492.4479539936064</v>
      </c>
      <c r="FS119">
        <v>0.35649546827794559</v>
      </c>
      <c r="FT119">
        <v>431.97059580695412</v>
      </c>
      <c r="FU119">
        <v>0.97520661157024791</v>
      </c>
      <c r="FV119">
        <v>302.81411793162658</v>
      </c>
      <c r="FW119">
        <v>0.35649546827794559</v>
      </c>
      <c r="FX119">
        <v>288.19002101770337</v>
      </c>
      <c r="FY119">
        <v>0.97520661157024791</v>
      </c>
      <c r="FZ119">
        <v>4910.206466736995</v>
      </c>
      <c r="GA119">
        <v>0.35649546827794559</v>
      </c>
      <c r="GB119">
        <v>2984.8245512269091</v>
      </c>
      <c r="GC119">
        <v>0.97520661157024791</v>
      </c>
      <c r="GD119">
        <v>1471.050689542086</v>
      </c>
      <c r="GE119">
        <v>0.35649546827794559</v>
      </c>
      <c r="GF119">
        <v>626.52971477076812</v>
      </c>
      <c r="GG119">
        <v>0.97520661157024791</v>
      </c>
      <c r="GH119">
        <v>0.82469698677461878</v>
      </c>
      <c r="GI119">
        <v>0.35649546827794559</v>
      </c>
      <c r="GJ119">
        <v>0.64629131107906723</v>
      </c>
      <c r="GK119">
        <v>0.97520661157024791</v>
      </c>
      <c r="GL119">
        <v>0.91312019148602241</v>
      </c>
      <c r="GM119">
        <v>0.35649546827794559</v>
      </c>
      <c r="GN119">
        <v>0.80955447582905882</v>
      </c>
      <c r="GO119">
        <v>0.97520661157024791</v>
      </c>
      <c r="GP119">
        <v>0.8910199078653952</v>
      </c>
      <c r="GQ119">
        <v>0.35649546827794559</v>
      </c>
      <c r="GR119">
        <v>0.73159230850535872</v>
      </c>
      <c r="GS119">
        <v>0.97520661157024791</v>
      </c>
      <c r="GT119">
        <v>0.93581723485141921</v>
      </c>
      <c r="GU119">
        <v>0.35649546827794559</v>
      </c>
      <c r="GV119">
        <v>0.73093814689487135</v>
      </c>
      <c r="GW119">
        <v>0.97520661157024791</v>
      </c>
      <c r="GX119">
        <v>0.93933444403660415</v>
      </c>
      <c r="GY119">
        <v>0.35649546827794559</v>
      </c>
      <c r="GZ119">
        <v>0.71895169912653589</v>
      </c>
      <c r="HA119">
        <v>0.97520661157024791</v>
      </c>
      <c r="HB119">
        <v>0.9474141011869216</v>
      </c>
      <c r="HC119">
        <v>0.35649546827794559</v>
      </c>
      <c r="HD119">
        <v>0.76983075025247327</v>
      </c>
      <c r="HI119">
        <v>674.2491416886387</v>
      </c>
      <c r="HJ119">
        <v>2384.0500626484618</v>
      </c>
      <c r="HK119">
        <v>328.00459858047401</v>
      </c>
      <c r="HL119">
        <v>2654.7846173003281</v>
      </c>
    </row>
    <row r="120" spans="173:220" x14ac:dyDescent="0.3">
      <c r="FQ120">
        <v>0.98347107438016534</v>
      </c>
      <c r="FR120">
        <v>496.20695666659083</v>
      </c>
      <c r="FS120">
        <v>0.3595166163141994</v>
      </c>
      <c r="FT120">
        <v>432.16413006938399</v>
      </c>
      <c r="FU120">
        <v>0.98347107438016534</v>
      </c>
      <c r="FV120">
        <v>303.03065423591011</v>
      </c>
      <c r="FW120">
        <v>0.3595166163141994</v>
      </c>
      <c r="FX120">
        <v>288.27487592543281</v>
      </c>
      <c r="FY120">
        <v>0.98347107438016534</v>
      </c>
      <c r="FZ120">
        <v>4944.96732500092</v>
      </c>
      <c r="GA120">
        <v>0.3595166163141994</v>
      </c>
      <c r="GB120">
        <v>2991.4327882586672</v>
      </c>
      <c r="GC120">
        <v>0.98347107438016534</v>
      </c>
      <c r="GD120">
        <v>1479.809375298441</v>
      </c>
      <c r="GE120">
        <v>0.3595166163141994</v>
      </c>
      <c r="GF120">
        <v>631.90444681090526</v>
      </c>
      <c r="GG120">
        <v>0.98347107438016534</v>
      </c>
      <c r="GH120">
        <v>0.82624501452189847</v>
      </c>
      <c r="GI120">
        <v>0.3595166163141994</v>
      </c>
      <c r="GJ120">
        <v>0.6464566062009004</v>
      </c>
      <c r="GK120">
        <v>0.98347107438016534</v>
      </c>
      <c r="GL120">
        <v>0.91372824484058479</v>
      </c>
      <c r="GM120">
        <v>0.3595166163141994</v>
      </c>
      <c r="GN120">
        <v>0.80976646048007705</v>
      </c>
      <c r="GO120">
        <v>0.98347107438016534</v>
      </c>
      <c r="GP120">
        <v>0.89181423876952859</v>
      </c>
      <c r="GQ120">
        <v>0.3595166163141994</v>
      </c>
      <c r="GR120">
        <v>0.73165430163970269</v>
      </c>
      <c r="GS120">
        <v>0.98347107438016534</v>
      </c>
      <c r="GT120">
        <v>0.94160474540905081</v>
      </c>
      <c r="GU120">
        <v>0.3595166163141994</v>
      </c>
      <c r="GV120">
        <v>0.73163251054809408</v>
      </c>
      <c r="GW120">
        <v>0.98347107438016534</v>
      </c>
      <c r="GX120">
        <v>0.94152981924933021</v>
      </c>
      <c r="GY120">
        <v>0.3595166163141994</v>
      </c>
      <c r="GZ120">
        <v>0.71999352737010525</v>
      </c>
      <c r="HA120">
        <v>0.98347107438016534</v>
      </c>
      <c r="HB120">
        <v>0.94830417532849964</v>
      </c>
      <c r="HC120">
        <v>0.3595166163141994</v>
      </c>
      <c r="HD120">
        <v>0.770468091184632</v>
      </c>
      <c r="HI120">
        <v>857.33095370029355</v>
      </c>
      <c r="HJ120">
        <v>2258.175386945265</v>
      </c>
      <c r="HK120">
        <v>820.08193500838001</v>
      </c>
      <c r="HL120">
        <v>2171.6036634343031</v>
      </c>
    </row>
    <row r="121" spans="173:220" x14ac:dyDescent="0.3">
      <c r="FQ121">
        <v>0.99173553719008267</v>
      </c>
      <c r="FR121">
        <v>496.52817120295771</v>
      </c>
      <c r="FS121">
        <v>0.36253776435045321</v>
      </c>
      <c r="FT121">
        <v>432.49852275226448</v>
      </c>
      <c r="FU121">
        <v>0.99173553719008267</v>
      </c>
      <c r="FV121">
        <v>303.18841857703791</v>
      </c>
      <c r="FW121">
        <v>0.36253776435045321</v>
      </c>
      <c r="FX121">
        <v>288.48991142073419</v>
      </c>
      <c r="FY121">
        <v>0.99173553719008267</v>
      </c>
      <c r="FZ121">
        <v>4950.9740899708704</v>
      </c>
      <c r="GA121">
        <v>0.36253776435045321</v>
      </c>
      <c r="GB121">
        <v>3001.7270513170679</v>
      </c>
      <c r="GC121">
        <v>0.99173553719008267</v>
      </c>
      <c r="GD121">
        <v>1490.2004929419361</v>
      </c>
      <c r="GE121">
        <v>0.36253776435045321</v>
      </c>
      <c r="GF121">
        <v>632.74888493453545</v>
      </c>
      <c r="GG121">
        <v>0.99173553719008267</v>
      </c>
      <c r="GH121">
        <v>0.82752078087078262</v>
      </c>
      <c r="GI121">
        <v>0.36253776435045321</v>
      </c>
      <c r="GJ121">
        <v>0.64772277229578312</v>
      </c>
      <c r="GK121">
        <v>0.99173553719008267</v>
      </c>
      <c r="GL121">
        <v>0.91848298050287225</v>
      </c>
      <c r="GM121">
        <v>0.36253776435045321</v>
      </c>
      <c r="GN121">
        <v>0.8110089865729434</v>
      </c>
      <c r="GO121">
        <v>0.99173553719008267</v>
      </c>
      <c r="GP121">
        <v>0.89453678144921267</v>
      </c>
      <c r="GQ121">
        <v>0.36253776435045321</v>
      </c>
      <c r="GR121">
        <v>0.732383676124711</v>
      </c>
      <c r="GS121">
        <v>0.99173553719008267</v>
      </c>
      <c r="GT121">
        <v>0.94563553978653203</v>
      </c>
      <c r="GU121">
        <v>0.36253776435045321</v>
      </c>
      <c r="GV121">
        <v>0.7319672186009154</v>
      </c>
      <c r="GW121">
        <v>0.99173553719008267</v>
      </c>
      <c r="GX121">
        <v>0.94175462602754823</v>
      </c>
      <c r="GY121">
        <v>0.36253776435045321</v>
      </c>
      <c r="GZ121">
        <v>0.72157323858768652</v>
      </c>
      <c r="HA121">
        <v>0.99173553719008267</v>
      </c>
      <c r="HB121">
        <v>0.94859062397255078</v>
      </c>
      <c r="HC121">
        <v>0.36253776435045321</v>
      </c>
      <c r="HD121">
        <v>0.7712453349726458</v>
      </c>
      <c r="HI121">
        <v>1063.3350922728739</v>
      </c>
      <c r="HJ121">
        <v>2964.4761894108842</v>
      </c>
      <c r="HK121">
        <v>1459.893668561017</v>
      </c>
      <c r="HL121">
        <v>3039.9698345230449</v>
      </c>
    </row>
    <row r="122" spans="173:220" x14ac:dyDescent="0.3">
      <c r="FQ122">
        <v>1</v>
      </c>
      <c r="FR122">
        <v>497.04845107202391</v>
      </c>
      <c r="FS122">
        <v>0.36555891238670701</v>
      </c>
      <c r="FT122">
        <v>432.95460215271709</v>
      </c>
      <c r="FU122">
        <v>1</v>
      </c>
      <c r="FV122">
        <v>303.44073049068697</v>
      </c>
      <c r="FW122">
        <v>0.36555891238670701</v>
      </c>
      <c r="FX122">
        <v>288.49014803506009</v>
      </c>
      <c r="FY122">
        <v>1</v>
      </c>
      <c r="FZ122">
        <v>4960.8916703962677</v>
      </c>
      <c r="GA122">
        <v>0.36555891238670701</v>
      </c>
      <c r="GB122">
        <v>3008.3968738697099</v>
      </c>
      <c r="GC122">
        <v>1</v>
      </c>
      <c r="GD122">
        <v>1493.200032708748</v>
      </c>
      <c r="GE122">
        <v>0.36555891238670701</v>
      </c>
      <c r="GF122">
        <v>637.57121294509466</v>
      </c>
      <c r="GG122">
        <v>1</v>
      </c>
      <c r="GH122">
        <v>0.84539052159424788</v>
      </c>
      <c r="GI122">
        <v>0.36555891238670701</v>
      </c>
      <c r="GJ122">
        <v>0.64779999441844272</v>
      </c>
      <c r="GK122">
        <v>1</v>
      </c>
      <c r="GL122">
        <v>0.91968778442935362</v>
      </c>
      <c r="GM122">
        <v>0.36555891238670701</v>
      </c>
      <c r="GN122">
        <v>0.81131138156855742</v>
      </c>
      <c r="GO122">
        <v>1</v>
      </c>
      <c r="GP122">
        <v>0.89513856398288982</v>
      </c>
      <c r="GQ122">
        <v>0.36555891238670701</v>
      </c>
      <c r="GR122">
        <v>0.73294974008728397</v>
      </c>
      <c r="GS122">
        <v>1</v>
      </c>
      <c r="GT122">
        <v>0.94732642674936418</v>
      </c>
      <c r="GU122">
        <v>0.36555891238670701</v>
      </c>
      <c r="GV122">
        <v>0.73324255273420347</v>
      </c>
      <c r="GW122">
        <v>1</v>
      </c>
      <c r="GX122">
        <v>0.94409000409311961</v>
      </c>
      <c r="GY122">
        <v>0.36555891238670701</v>
      </c>
      <c r="GZ122">
        <v>0.72315515809518738</v>
      </c>
      <c r="HA122">
        <v>1</v>
      </c>
      <c r="HB122">
        <v>0.94921339359024637</v>
      </c>
      <c r="HC122">
        <v>0.36555891238670701</v>
      </c>
      <c r="HD122">
        <v>0.77185683739376176</v>
      </c>
      <c r="HI122">
        <v>783.78807287014092</v>
      </c>
      <c r="HJ122">
        <v>4085.7081592492391</v>
      </c>
      <c r="HK122">
        <v>1386.5014194316329</v>
      </c>
      <c r="HL122">
        <v>4863.5544448817755</v>
      </c>
    </row>
    <row r="123" spans="173:220" x14ac:dyDescent="0.3">
      <c r="FS123">
        <v>0.36858006042296071</v>
      </c>
      <c r="FT123">
        <v>433.2266049115928</v>
      </c>
      <c r="FW123">
        <v>0.36858006042296071</v>
      </c>
      <c r="FX123">
        <v>288.62378993650037</v>
      </c>
      <c r="GA123">
        <v>0.36858006042296071</v>
      </c>
      <c r="GB123">
        <v>3018.4333594799518</v>
      </c>
      <c r="GE123">
        <v>0.36858006042296071</v>
      </c>
      <c r="GF123">
        <v>642.78356589947543</v>
      </c>
      <c r="GI123">
        <v>0.36858006042296071</v>
      </c>
      <c r="GJ123">
        <v>0.64881154285583076</v>
      </c>
      <c r="GM123">
        <v>0.36858006042296071</v>
      </c>
      <c r="GN123">
        <v>0.81163997553078004</v>
      </c>
      <c r="GQ123">
        <v>0.36858006042296071</v>
      </c>
      <c r="GR123">
        <v>0.73329599540163359</v>
      </c>
      <c r="GU123">
        <v>0.36858006042296071</v>
      </c>
      <c r="GV123">
        <v>0.73371612735574221</v>
      </c>
      <c r="GY123">
        <v>0.36858006042296071</v>
      </c>
      <c r="GZ123">
        <v>0.72352981190632004</v>
      </c>
      <c r="HC123">
        <v>0.36858006042296071</v>
      </c>
      <c r="HD123">
        <v>0.77190759743232817</v>
      </c>
      <c r="HI123">
        <v>375.77747588491928</v>
      </c>
      <c r="HJ123">
        <v>3399.199210539763</v>
      </c>
      <c r="HK123">
        <v>867.10217362629533</v>
      </c>
      <c r="HL123">
        <v>4366.2645945010754</v>
      </c>
    </row>
    <row r="124" spans="173:220" x14ac:dyDescent="0.3">
      <c r="FS124">
        <v>0.37160120845921452</v>
      </c>
      <c r="FT124">
        <v>433.62430589999218</v>
      </c>
      <c r="FW124">
        <v>0.37160120845921452</v>
      </c>
      <c r="FX124">
        <v>288.67114625205312</v>
      </c>
      <c r="GA124">
        <v>0.37160120845921452</v>
      </c>
      <c r="GB124">
        <v>3022.8216603286228</v>
      </c>
      <c r="GE124">
        <v>0.37160120845921452</v>
      </c>
      <c r="GF124">
        <v>645.22157818689175</v>
      </c>
      <c r="GI124">
        <v>0.37160120845921452</v>
      </c>
      <c r="GJ124">
        <v>0.64889257772812448</v>
      </c>
      <c r="GM124">
        <v>0.37160120845921452</v>
      </c>
      <c r="GN124">
        <v>0.81285243622877978</v>
      </c>
      <c r="GQ124">
        <v>0.37160120845921452</v>
      </c>
      <c r="GR124">
        <v>0.73367908558307027</v>
      </c>
      <c r="GU124">
        <v>0.37160120845921452</v>
      </c>
      <c r="GV124">
        <v>0.73527306103436441</v>
      </c>
      <c r="GY124">
        <v>0.37160120845921452</v>
      </c>
      <c r="GZ124">
        <v>0.7244610232792964</v>
      </c>
      <c r="HC124">
        <v>0.37160120845921452</v>
      </c>
      <c r="HD124">
        <v>0.77265858160104139</v>
      </c>
      <c r="HI124">
        <v>488.11572473594981</v>
      </c>
      <c r="HJ124">
        <v>4519.5529706827838</v>
      </c>
      <c r="HK124">
        <v>984.64872997643101</v>
      </c>
      <c r="HL124">
        <v>2105.9151852874488</v>
      </c>
    </row>
    <row r="125" spans="173:220" x14ac:dyDescent="0.3">
      <c r="FS125">
        <v>0.37462235649546832</v>
      </c>
      <c r="FT125">
        <v>434.44534940100971</v>
      </c>
      <c r="FW125">
        <v>0.37462235649546832</v>
      </c>
      <c r="FX125">
        <v>288.69116745921218</v>
      </c>
      <c r="GA125">
        <v>0.37462235649546832</v>
      </c>
      <c r="GB125">
        <v>3024.0721919774542</v>
      </c>
      <c r="GE125">
        <v>0.37462235649546832</v>
      </c>
      <c r="GF125">
        <v>646.8009595769654</v>
      </c>
      <c r="GI125">
        <v>0.37462235649546832</v>
      </c>
      <c r="GJ125">
        <v>0.65104753672589666</v>
      </c>
      <c r="GM125">
        <v>0.37462235649546832</v>
      </c>
      <c r="GN125">
        <v>0.81293591010349953</v>
      </c>
      <c r="GQ125">
        <v>0.37462235649546832</v>
      </c>
      <c r="GR125">
        <v>0.73451722175802781</v>
      </c>
      <c r="GU125">
        <v>0.37462235649546832</v>
      </c>
      <c r="GV125">
        <v>0.73666148195345094</v>
      </c>
      <c r="GY125">
        <v>0.37462235649546832</v>
      </c>
      <c r="GZ125">
        <v>0.72670085337011503</v>
      </c>
      <c r="HC125">
        <v>0.37462235649546832</v>
      </c>
      <c r="HD125">
        <v>0.7733067189926649</v>
      </c>
      <c r="HI125">
        <v>887.93968167136313</v>
      </c>
      <c r="HJ125">
        <v>4977.0441065072373</v>
      </c>
      <c r="HK125">
        <v>532.98430683877609</v>
      </c>
      <c r="HL125">
        <v>3058.127230014456</v>
      </c>
    </row>
    <row r="126" spans="173:220" x14ac:dyDescent="0.3">
      <c r="FS126">
        <v>0.37764350453172207</v>
      </c>
      <c r="FT126">
        <v>434.65529219023301</v>
      </c>
      <c r="FW126">
        <v>0.37764350453172207</v>
      </c>
      <c r="FX126">
        <v>288.83727111181992</v>
      </c>
      <c r="GA126">
        <v>0.37764350453172207</v>
      </c>
      <c r="GB126">
        <v>3030.7086873052458</v>
      </c>
      <c r="GE126">
        <v>0.37764350453172207</v>
      </c>
      <c r="GF126">
        <v>648.45712322620807</v>
      </c>
      <c r="GI126">
        <v>0.37764350453172207</v>
      </c>
      <c r="GJ126">
        <v>0.65118172662291218</v>
      </c>
      <c r="GM126">
        <v>0.37764350453172207</v>
      </c>
      <c r="GN126">
        <v>0.81366975642731842</v>
      </c>
      <c r="GQ126">
        <v>0.37764350453172207</v>
      </c>
      <c r="GR126">
        <v>0.73589995160237776</v>
      </c>
      <c r="GU126">
        <v>0.37764350453172207</v>
      </c>
      <c r="GV126">
        <v>0.73692833223459286</v>
      </c>
      <c r="GY126">
        <v>0.37764350453172207</v>
      </c>
      <c r="GZ126">
        <v>0.72829048852702294</v>
      </c>
      <c r="HC126">
        <v>0.37764350453172207</v>
      </c>
      <c r="HD126">
        <v>0.77408176820896013</v>
      </c>
      <c r="HI126">
        <v>569.76404112574767</v>
      </c>
      <c r="HJ126">
        <v>3079.970124219652</v>
      </c>
      <c r="HK126">
        <v>1335.5491559638799</v>
      </c>
      <c r="HL126">
        <v>4717.3647698276627</v>
      </c>
    </row>
    <row r="127" spans="173:220" x14ac:dyDescent="0.3">
      <c r="FS127">
        <v>0.38066465256797583</v>
      </c>
      <c r="FT127">
        <v>435.0392469146804</v>
      </c>
      <c r="FW127">
        <v>0.38066465256797583</v>
      </c>
      <c r="FX127">
        <v>288.87840136874621</v>
      </c>
      <c r="GA127">
        <v>0.38066465256797583</v>
      </c>
      <c r="GB127">
        <v>3039.9698345230449</v>
      </c>
      <c r="GE127">
        <v>0.38066465256797583</v>
      </c>
      <c r="GF127">
        <v>649.18546080007081</v>
      </c>
      <c r="GI127">
        <v>0.38066465256797583</v>
      </c>
      <c r="GJ127">
        <v>0.65217642137213527</v>
      </c>
      <c r="GM127">
        <v>0.38066465256797583</v>
      </c>
      <c r="GN127">
        <v>0.8142092382625209</v>
      </c>
      <c r="GQ127">
        <v>0.38066465256797583</v>
      </c>
      <c r="GR127">
        <v>0.73653099729117133</v>
      </c>
      <c r="GU127">
        <v>0.38066465256797583</v>
      </c>
      <c r="GV127">
        <v>0.7383783073414355</v>
      </c>
      <c r="GY127">
        <v>0.38066465256797583</v>
      </c>
      <c r="GZ127">
        <v>0.72835355597907248</v>
      </c>
      <c r="HC127">
        <v>0.38066465256797583</v>
      </c>
      <c r="HD127">
        <v>0.77442724079208414</v>
      </c>
      <c r="HI127">
        <v>1013.86509483878</v>
      </c>
      <c r="HJ127">
        <v>2587.2804913964801</v>
      </c>
      <c r="HK127">
        <v>911.75194407294634</v>
      </c>
      <c r="HL127">
        <v>3873.5438933166611</v>
      </c>
    </row>
    <row r="128" spans="173:220" x14ac:dyDescent="0.3">
      <c r="FS128">
        <v>0.38368580060422958</v>
      </c>
      <c r="FT128">
        <v>435.05101312150322</v>
      </c>
      <c r="FW128">
        <v>0.38368580060422958</v>
      </c>
      <c r="FX128">
        <v>288.95640206246168</v>
      </c>
      <c r="GA128">
        <v>0.38368580060422958</v>
      </c>
      <c r="GB128">
        <v>3041.8780408894718</v>
      </c>
      <c r="GE128">
        <v>0.38368580060422958</v>
      </c>
      <c r="GF128">
        <v>658.54513093283606</v>
      </c>
      <c r="GI128">
        <v>0.38368580060422958</v>
      </c>
      <c r="GJ128">
        <v>0.65262079019941865</v>
      </c>
      <c r="GM128">
        <v>0.38368580060422958</v>
      </c>
      <c r="GN128">
        <v>0.8143443193014166</v>
      </c>
      <c r="GQ128">
        <v>0.38368580060422958</v>
      </c>
      <c r="GR128">
        <v>0.73728221369003011</v>
      </c>
      <c r="GU128">
        <v>0.38368580060422958</v>
      </c>
      <c r="GV128">
        <v>0.74117903880077862</v>
      </c>
      <c r="GY128">
        <v>0.38368580060422958</v>
      </c>
      <c r="GZ128">
        <v>0.7335223372480757</v>
      </c>
      <c r="HC128">
        <v>0.38368580060422958</v>
      </c>
      <c r="HD128">
        <v>0.77459620509246807</v>
      </c>
      <c r="HI128">
        <v>436.21329595773551</v>
      </c>
      <c r="HJ128">
        <v>4421.4745824465554</v>
      </c>
      <c r="HK128">
        <v>420.19107100649109</v>
      </c>
      <c r="HL128">
        <v>3971.8886772471969</v>
      </c>
    </row>
    <row r="129" spans="175:220" x14ac:dyDescent="0.3">
      <c r="FS129">
        <v>0.38670694864048338</v>
      </c>
      <c r="FT129">
        <v>435.31151288894341</v>
      </c>
      <c r="FW129">
        <v>0.38670694864048338</v>
      </c>
      <c r="FX129">
        <v>289.00768671432883</v>
      </c>
      <c r="GA129">
        <v>0.38670694864048338</v>
      </c>
      <c r="GB129">
        <v>3053.2395980138208</v>
      </c>
      <c r="GE129">
        <v>0.38670694864048338</v>
      </c>
      <c r="GF129">
        <v>659.3942285039368</v>
      </c>
      <c r="GI129">
        <v>0.38670694864048338</v>
      </c>
      <c r="GJ129">
        <v>0.65287469746934568</v>
      </c>
      <c r="GM129">
        <v>0.38670694864048338</v>
      </c>
      <c r="GN129">
        <v>0.81475671754218681</v>
      </c>
      <c r="GQ129">
        <v>0.38670694864048338</v>
      </c>
      <c r="GR129">
        <v>0.73736800254754054</v>
      </c>
      <c r="GU129">
        <v>0.38670694864048338</v>
      </c>
      <c r="GV129">
        <v>0.74155724915944454</v>
      </c>
      <c r="GY129">
        <v>0.38670694864048338</v>
      </c>
      <c r="GZ129">
        <v>0.73459728956171311</v>
      </c>
      <c r="HC129">
        <v>0.38670694864048338</v>
      </c>
      <c r="HD129">
        <v>0.77562137411630028</v>
      </c>
      <c r="HI129">
        <v>1213.870757203076</v>
      </c>
      <c r="HJ129">
        <v>3241.5306940836108</v>
      </c>
      <c r="HK129">
        <v>1138.9439763450359</v>
      </c>
      <c r="HL129">
        <v>3614.3386809128278</v>
      </c>
    </row>
    <row r="130" spans="175:220" x14ac:dyDescent="0.3">
      <c r="FS130">
        <v>0.38972809667673708</v>
      </c>
      <c r="FT130">
        <v>435.5194320411548</v>
      </c>
      <c r="FW130">
        <v>0.38972809667673708</v>
      </c>
      <c r="FX130">
        <v>289.03560155856968</v>
      </c>
      <c r="GA130">
        <v>0.38972809667673708</v>
      </c>
      <c r="GB130">
        <v>3058.127230014456</v>
      </c>
      <c r="GE130">
        <v>0.38972809667673708</v>
      </c>
      <c r="GF130">
        <v>662.41031193744834</v>
      </c>
      <c r="GI130">
        <v>0.38972809667673708</v>
      </c>
      <c r="GJ130">
        <v>0.65454266019598262</v>
      </c>
      <c r="GM130">
        <v>0.38972809667673708</v>
      </c>
      <c r="GN130">
        <v>0.81536798549662726</v>
      </c>
      <c r="GQ130">
        <v>0.38972809667673708</v>
      </c>
      <c r="GR130">
        <v>0.73862875825203733</v>
      </c>
      <c r="GU130">
        <v>0.38972809667673708</v>
      </c>
      <c r="GV130">
        <v>0.74319865318183687</v>
      </c>
      <c r="GY130">
        <v>0.38972809667673708</v>
      </c>
      <c r="GZ130">
        <v>0.73576968168155665</v>
      </c>
      <c r="HC130">
        <v>0.38972809667673708</v>
      </c>
      <c r="HD130">
        <v>0.77567210532932696</v>
      </c>
      <c r="HI130">
        <v>890.64743267284507</v>
      </c>
      <c r="HJ130">
        <v>2230.116054462213</v>
      </c>
      <c r="HK130">
        <v>1015.9924472955061</v>
      </c>
      <c r="HL130">
        <v>3741.5573585584239</v>
      </c>
    </row>
    <row r="131" spans="175:220" x14ac:dyDescent="0.3">
      <c r="FS131">
        <v>0.39274924471299089</v>
      </c>
      <c r="FT131">
        <v>435.76323501116542</v>
      </c>
      <c r="FW131">
        <v>0.39274924471299089</v>
      </c>
      <c r="FX131">
        <v>289.13291498493459</v>
      </c>
      <c r="GA131">
        <v>0.39274924471299089</v>
      </c>
      <c r="GB131">
        <v>3062.8827278166168</v>
      </c>
      <c r="GE131">
        <v>0.39274924471299089</v>
      </c>
      <c r="GF131">
        <v>665.1747174796385</v>
      </c>
      <c r="GI131">
        <v>0.39274924471299089</v>
      </c>
      <c r="GJ131">
        <v>0.65480186045689837</v>
      </c>
      <c r="GM131">
        <v>0.39274924471299089</v>
      </c>
      <c r="GN131">
        <v>0.81622820846360677</v>
      </c>
      <c r="GQ131">
        <v>0.39274924471299089</v>
      </c>
      <c r="GR131">
        <v>0.73915357865244991</v>
      </c>
      <c r="GU131">
        <v>0.39274924471299089</v>
      </c>
      <c r="GV131">
        <v>0.74338114916346543</v>
      </c>
      <c r="GY131">
        <v>0.39274924471299089</v>
      </c>
      <c r="GZ131">
        <v>0.73609881147486556</v>
      </c>
      <c r="HC131">
        <v>0.39274924471299089</v>
      </c>
      <c r="HD131">
        <v>0.77721216249841674</v>
      </c>
      <c r="HI131">
        <v>734.33460914835246</v>
      </c>
      <c r="HJ131">
        <v>2300.8535252729412</v>
      </c>
      <c r="HK131">
        <v>799.31486239923765</v>
      </c>
      <c r="HL131">
        <v>3525.8791397219461</v>
      </c>
    </row>
    <row r="132" spans="175:220" x14ac:dyDescent="0.3">
      <c r="FS132">
        <v>0.39577039274924469</v>
      </c>
      <c r="FT132">
        <v>436.62818298997252</v>
      </c>
      <c r="FW132">
        <v>0.39577039274924469</v>
      </c>
      <c r="FX132">
        <v>289.16523016506699</v>
      </c>
      <c r="GA132">
        <v>0.39577039274924469</v>
      </c>
      <c r="GB132">
        <v>3078.5799568712609</v>
      </c>
      <c r="GE132">
        <v>0.39577039274924469</v>
      </c>
      <c r="GF132">
        <v>665.93200053815008</v>
      </c>
      <c r="GI132">
        <v>0.39577039274924469</v>
      </c>
      <c r="GJ132">
        <v>0.65559367643344024</v>
      </c>
      <c r="GM132">
        <v>0.39577039274924469</v>
      </c>
      <c r="GN132">
        <v>0.81637632213907396</v>
      </c>
      <c r="GQ132">
        <v>0.39577039274924469</v>
      </c>
      <c r="GR132">
        <v>0.74021858531537854</v>
      </c>
      <c r="GU132">
        <v>0.39577039274924469</v>
      </c>
      <c r="GV132">
        <v>0.74463262953805198</v>
      </c>
      <c r="GY132">
        <v>0.39577039274924469</v>
      </c>
      <c r="GZ132">
        <v>0.73863207692728994</v>
      </c>
      <c r="HC132">
        <v>0.39577039274924469</v>
      </c>
      <c r="HD132">
        <v>0.77723831114195918</v>
      </c>
      <c r="HI132">
        <v>518.89779731228361</v>
      </c>
      <c r="HJ132">
        <v>2871.547892208388</v>
      </c>
      <c r="HK132">
        <v>625.48144048993618</v>
      </c>
      <c r="HL132">
        <v>2828.6087405433559</v>
      </c>
    </row>
    <row r="133" spans="175:220" x14ac:dyDescent="0.3">
      <c r="FS133">
        <v>0.3987915407854985</v>
      </c>
      <c r="FT133">
        <v>436.91558560049901</v>
      </c>
      <c r="FW133">
        <v>0.3987915407854985</v>
      </c>
      <c r="FX133">
        <v>289.21706991743719</v>
      </c>
      <c r="GA133">
        <v>0.3987915407854985</v>
      </c>
      <c r="GB133">
        <v>3079.970124219652</v>
      </c>
      <c r="GE133">
        <v>0.3987915407854985</v>
      </c>
      <c r="GF133">
        <v>668.82891753323088</v>
      </c>
      <c r="GI133">
        <v>0.3987915407854985</v>
      </c>
      <c r="GJ133">
        <v>0.65628883883021716</v>
      </c>
      <c r="GM133">
        <v>0.3987915407854985</v>
      </c>
      <c r="GN133">
        <v>0.81734384307700136</v>
      </c>
      <c r="GQ133">
        <v>0.3987915407854985</v>
      </c>
      <c r="GR133">
        <v>0.74066155992042249</v>
      </c>
      <c r="GU133">
        <v>0.3987915407854985</v>
      </c>
      <c r="GV133">
        <v>0.74504366576134062</v>
      </c>
      <c r="GY133">
        <v>0.3987915407854985</v>
      </c>
      <c r="GZ133">
        <v>0.73992243260128732</v>
      </c>
      <c r="HC133">
        <v>0.3987915407854985</v>
      </c>
      <c r="HD133">
        <v>0.77770217528347207</v>
      </c>
      <c r="HI133">
        <v>745.63761687732017</v>
      </c>
      <c r="HJ133">
        <v>2120.168989719818</v>
      </c>
      <c r="HK133">
        <v>970.62874952287541</v>
      </c>
      <c r="HL133">
        <v>4206.4269448387859</v>
      </c>
    </row>
    <row r="134" spans="175:220" x14ac:dyDescent="0.3">
      <c r="FS134">
        <v>0.40181268882175231</v>
      </c>
      <c r="FT134">
        <v>437.33846464311068</v>
      </c>
      <c r="FW134">
        <v>0.40181268882175231</v>
      </c>
      <c r="FX134">
        <v>289.27700892175068</v>
      </c>
      <c r="GA134">
        <v>0.40181268882175231</v>
      </c>
      <c r="GB134">
        <v>3080.4022206731138</v>
      </c>
      <c r="GE134">
        <v>0.40181268882175231</v>
      </c>
      <c r="GF134">
        <v>674.2491416886387</v>
      </c>
      <c r="GI134">
        <v>0.40181268882175231</v>
      </c>
      <c r="GJ134">
        <v>0.65743186678368692</v>
      </c>
      <c r="GM134">
        <v>0.40181268882175231</v>
      </c>
      <c r="GN134">
        <v>0.81781771414148852</v>
      </c>
      <c r="GQ134">
        <v>0.40181268882175231</v>
      </c>
      <c r="GR134">
        <v>0.74096272580654099</v>
      </c>
      <c r="GU134">
        <v>0.40181268882175231</v>
      </c>
      <c r="GV134">
        <v>0.74515370927020841</v>
      </c>
      <c r="GY134">
        <v>0.40181268882175231</v>
      </c>
      <c r="GZ134">
        <v>0.74034630624146636</v>
      </c>
      <c r="HC134">
        <v>0.40181268882175231</v>
      </c>
      <c r="HD134">
        <v>0.77888148657217959</v>
      </c>
      <c r="HK134">
        <v>905.09328195009596</v>
      </c>
      <c r="HL134">
        <v>4269.977630883368</v>
      </c>
    </row>
    <row r="135" spans="175:220" x14ac:dyDescent="0.3">
      <c r="FS135">
        <v>0.40483383685800611</v>
      </c>
      <c r="FT135">
        <v>437.73050853088012</v>
      </c>
      <c r="FW135">
        <v>0.40483383685800611</v>
      </c>
      <c r="FX135">
        <v>289.33705993103831</v>
      </c>
      <c r="GA135">
        <v>0.40483383685800611</v>
      </c>
      <c r="GB135">
        <v>3093.8938294653271</v>
      </c>
      <c r="GE135">
        <v>0.40483383685800611</v>
      </c>
      <c r="GF135">
        <v>674.5008913892616</v>
      </c>
      <c r="GI135">
        <v>0.40483383685800611</v>
      </c>
      <c r="GJ135">
        <v>0.6583016866431044</v>
      </c>
      <c r="GM135">
        <v>0.40483383685800611</v>
      </c>
      <c r="GN135">
        <v>0.81832163207145758</v>
      </c>
      <c r="GQ135">
        <v>0.40483383685800611</v>
      </c>
      <c r="GR135">
        <v>0.74205430151181906</v>
      </c>
      <c r="GU135">
        <v>0.40483383685800611</v>
      </c>
      <c r="GV135">
        <v>0.74647573796332622</v>
      </c>
      <c r="GY135">
        <v>0.40483383685800611</v>
      </c>
      <c r="GZ135">
        <v>0.74118011215203361</v>
      </c>
      <c r="HC135">
        <v>0.40483383685800611</v>
      </c>
      <c r="HD135">
        <v>0.77910944634827306</v>
      </c>
      <c r="HK135">
        <v>1321.240701376639</v>
      </c>
      <c r="HL135">
        <v>4169.5340174751818</v>
      </c>
    </row>
    <row r="136" spans="175:220" x14ac:dyDescent="0.3">
      <c r="FS136">
        <v>0.40785498489425981</v>
      </c>
      <c r="FT136">
        <v>438.0369399329183</v>
      </c>
      <c r="FW136">
        <v>0.40785498489425981</v>
      </c>
      <c r="FX136">
        <v>289.37265868774813</v>
      </c>
      <c r="GA136">
        <v>0.40785498489425981</v>
      </c>
      <c r="GB136">
        <v>3096.5167014227118</v>
      </c>
      <c r="GE136">
        <v>0.40785498489425981</v>
      </c>
      <c r="GF136">
        <v>676.15866438313469</v>
      </c>
      <c r="GI136">
        <v>0.40785498489425981</v>
      </c>
      <c r="GJ136">
        <v>0.65915142365844837</v>
      </c>
      <c r="GM136">
        <v>0.40785498489425981</v>
      </c>
      <c r="GN136">
        <v>0.8189319041783818</v>
      </c>
      <c r="GQ136">
        <v>0.40785498489425981</v>
      </c>
      <c r="GR136">
        <v>0.74240877018847606</v>
      </c>
      <c r="GU136">
        <v>0.40785498489425981</v>
      </c>
      <c r="GV136">
        <v>0.74828031618578816</v>
      </c>
      <c r="GY136">
        <v>0.40785498489425981</v>
      </c>
      <c r="GZ136">
        <v>0.74313785579767677</v>
      </c>
      <c r="HC136">
        <v>0.40785498489425981</v>
      </c>
      <c r="HD136">
        <v>0.78002108490717548</v>
      </c>
      <c r="HK136">
        <v>632.74888493453545</v>
      </c>
      <c r="HL136">
        <v>4454.7856126837569</v>
      </c>
    </row>
    <row r="137" spans="175:220" x14ac:dyDescent="0.3">
      <c r="FS137">
        <v>0.41087613293051362</v>
      </c>
      <c r="FT137">
        <v>438.36207173708982</v>
      </c>
      <c r="FW137">
        <v>0.41087613293051362</v>
      </c>
      <c r="FX137">
        <v>289.41154468248908</v>
      </c>
      <c r="GA137">
        <v>0.41087613293051362</v>
      </c>
      <c r="GB137">
        <v>3103.3300846689931</v>
      </c>
      <c r="GE137">
        <v>0.41087613293051362</v>
      </c>
      <c r="GF137">
        <v>686.17598792300953</v>
      </c>
      <c r="GI137">
        <v>0.41087613293051362</v>
      </c>
      <c r="GJ137">
        <v>0.66037518202378143</v>
      </c>
      <c r="GM137">
        <v>0.41087613293051362</v>
      </c>
      <c r="GN137">
        <v>0.81948930532735154</v>
      </c>
      <c r="GQ137">
        <v>0.41087613293051362</v>
      </c>
      <c r="GR137">
        <v>0.74356806794049168</v>
      </c>
      <c r="GU137">
        <v>0.41087613293051362</v>
      </c>
      <c r="GV137">
        <v>0.75021832953705281</v>
      </c>
      <c r="GY137">
        <v>0.41087613293051362</v>
      </c>
      <c r="GZ137">
        <v>0.74660959954765305</v>
      </c>
      <c r="HC137">
        <v>0.41087613293051362</v>
      </c>
      <c r="HD137">
        <v>0.78097888988156527</v>
      </c>
      <c r="HK137">
        <v>658.54513093283606</v>
      </c>
      <c r="HL137">
        <v>4752.592547607569</v>
      </c>
    </row>
    <row r="138" spans="175:220" x14ac:dyDescent="0.3">
      <c r="FS138">
        <v>0.41389728096676742</v>
      </c>
      <c r="FT138">
        <v>438.44680768680217</v>
      </c>
      <c r="FW138">
        <v>0.41389728096676742</v>
      </c>
      <c r="FX138">
        <v>289.50014111499343</v>
      </c>
      <c r="GA138">
        <v>0.41389728096676742</v>
      </c>
      <c r="GB138">
        <v>3114.297461986203</v>
      </c>
      <c r="GE138">
        <v>0.41389728096676742</v>
      </c>
      <c r="GF138">
        <v>692.77457708626184</v>
      </c>
      <c r="GI138">
        <v>0.41389728096676742</v>
      </c>
      <c r="GJ138">
        <v>0.66100676256843782</v>
      </c>
      <c r="GM138">
        <v>0.41389728096676742</v>
      </c>
      <c r="GN138">
        <v>0.82009238060562495</v>
      </c>
      <c r="GQ138">
        <v>0.41389728096676742</v>
      </c>
      <c r="GR138">
        <v>0.7439813570048186</v>
      </c>
      <c r="GU138">
        <v>0.41389728096676742</v>
      </c>
      <c r="GV138">
        <v>0.75337163714887656</v>
      </c>
      <c r="GY138">
        <v>0.41389728096676742</v>
      </c>
      <c r="GZ138">
        <v>0.74679859438332352</v>
      </c>
      <c r="HC138">
        <v>0.41389728096676742</v>
      </c>
      <c r="HD138">
        <v>0.78109857649568293</v>
      </c>
      <c r="HK138">
        <v>1058.2553474703741</v>
      </c>
      <c r="HL138">
        <v>4384.9317578869759</v>
      </c>
    </row>
    <row r="139" spans="175:220" x14ac:dyDescent="0.3">
      <c r="FS139">
        <v>0.41691842900302117</v>
      </c>
      <c r="FT139">
        <v>438.81615377680129</v>
      </c>
      <c r="FW139">
        <v>0.41691842900302117</v>
      </c>
      <c r="FX139">
        <v>289.5339830781852</v>
      </c>
      <c r="GA139">
        <v>0.41691842900302117</v>
      </c>
      <c r="GB139">
        <v>3114.7963816152478</v>
      </c>
      <c r="GE139">
        <v>0.41691842900302117</v>
      </c>
      <c r="GF139">
        <v>692.94504186664994</v>
      </c>
      <c r="GI139">
        <v>0.41691842900302117</v>
      </c>
      <c r="GJ139">
        <v>0.66112738689492034</v>
      </c>
      <c r="GM139">
        <v>0.41691842900302117</v>
      </c>
      <c r="GN139">
        <v>0.82036100217665953</v>
      </c>
      <c r="GQ139">
        <v>0.41691842900302117</v>
      </c>
      <c r="GR139">
        <v>0.74574423844369031</v>
      </c>
      <c r="GU139">
        <v>0.41691842900302117</v>
      </c>
      <c r="GV139">
        <v>0.75351448696245993</v>
      </c>
      <c r="GY139">
        <v>0.41691842900302117</v>
      </c>
      <c r="GZ139">
        <v>0.74787579029559126</v>
      </c>
      <c r="HC139">
        <v>0.41691842900302117</v>
      </c>
      <c r="HD139">
        <v>0.78135821737148625</v>
      </c>
      <c r="HK139">
        <v>1188.461165331636</v>
      </c>
      <c r="HL139">
        <v>2329.3737216892282</v>
      </c>
    </row>
    <row r="140" spans="175:220" x14ac:dyDescent="0.3">
      <c r="FS140">
        <v>0.41993957703927492</v>
      </c>
      <c r="FT140">
        <v>439.06419132763438</v>
      </c>
      <c r="FW140">
        <v>0.41993957703927492</v>
      </c>
      <c r="FX140">
        <v>289.73629518185197</v>
      </c>
      <c r="GA140">
        <v>0.41993957703927492</v>
      </c>
      <c r="GB140">
        <v>3126.873834830641</v>
      </c>
      <c r="GE140">
        <v>0.41993957703927492</v>
      </c>
      <c r="GF140">
        <v>696.77542875741051</v>
      </c>
      <c r="GI140">
        <v>0.41993957703927492</v>
      </c>
      <c r="GJ140">
        <v>0.66347752291062945</v>
      </c>
      <c r="GM140">
        <v>0.41993957703927492</v>
      </c>
      <c r="GN140">
        <v>0.82048888149869026</v>
      </c>
      <c r="GQ140">
        <v>0.41993957703927492</v>
      </c>
      <c r="GR140">
        <v>0.7457533692445284</v>
      </c>
      <c r="GU140">
        <v>0.41993957703927492</v>
      </c>
      <c r="GV140">
        <v>0.75505330735749399</v>
      </c>
      <c r="GY140">
        <v>0.41993957703927492</v>
      </c>
      <c r="GZ140">
        <v>0.74876473190454496</v>
      </c>
      <c r="HC140">
        <v>0.41993957703927492</v>
      </c>
      <c r="HD140">
        <v>0.7824844345107167</v>
      </c>
      <c r="HK140">
        <v>540.40281323403997</v>
      </c>
      <c r="HL140">
        <v>3176.0833282751719</v>
      </c>
    </row>
    <row r="141" spans="175:220" x14ac:dyDescent="0.3">
      <c r="FS141">
        <v>0.42296072507552868</v>
      </c>
      <c r="FT141">
        <v>439.45665631683448</v>
      </c>
      <c r="FW141">
        <v>0.42296072507552868</v>
      </c>
      <c r="FX141">
        <v>289.82353043827737</v>
      </c>
      <c r="GA141">
        <v>0.42296072507552868</v>
      </c>
      <c r="GB141">
        <v>3132.991411849378</v>
      </c>
      <c r="GE141">
        <v>0.42296072507552868</v>
      </c>
      <c r="GF141">
        <v>697.83522600114543</v>
      </c>
      <c r="GI141">
        <v>0.42296072507552868</v>
      </c>
      <c r="GJ141">
        <v>0.66448204321978921</v>
      </c>
      <c r="GM141">
        <v>0.42296072507552868</v>
      </c>
      <c r="GN141">
        <v>0.82145663729328955</v>
      </c>
      <c r="GQ141">
        <v>0.42296072507552868</v>
      </c>
      <c r="GR141">
        <v>0.74673146857281902</v>
      </c>
      <c r="GU141">
        <v>0.42296072507552868</v>
      </c>
      <c r="GV141">
        <v>0.75534482198476971</v>
      </c>
      <c r="GY141">
        <v>0.42296072507552868</v>
      </c>
      <c r="GZ141">
        <v>0.74981670422136426</v>
      </c>
      <c r="HC141">
        <v>0.42296072507552868</v>
      </c>
      <c r="HD141">
        <v>0.78265827157027679</v>
      </c>
      <c r="HK141">
        <v>505.836818781852</v>
      </c>
      <c r="HL141">
        <v>3654.2991540117559</v>
      </c>
    </row>
    <row r="142" spans="175:220" x14ac:dyDescent="0.3">
      <c r="FS142">
        <v>0.42598187311178248</v>
      </c>
      <c r="FT142">
        <v>439.50422395508338</v>
      </c>
      <c r="FW142">
        <v>0.42598187311178248</v>
      </c>
      <c r="FX142">
        <v>289.84737933100809</v>
      </c>
      <c r="GA142">
        <v>0.42598187311178248</v>
      </c>
      <c r="GB142">
        <v>3139.5176862799522</v>
      </c>
      <c r="GE142">
        <v>0.42598187311178248</v>
      </c>
      <c r="GF142">
        <v>702.24433246413651</v>
      </c>
      <c r="GI142">
        <v>0.42598187311178248</v>
      </c>
      <c r="GJ142">
        <v>0.66466356509542113</v>
      </c>
      <c r="GM142">
        <v>0.42598187311178248</v>
      </c>
      <c r="GN142">
        <v>0.82225412355197047</v>
      </c>
      <c r="GQ142">
        <v>0.42598187311178248</v>
      </c>
      <c r="GR142">
        <v>0.74758728734780444</v>
      </c>
      <c r="GU142">
        <v>0.42598187311178248</v>
      </c>
      <c r="GV142">
        <v>0.75588762511547081</v>
      </c>
      <c r="GY142">
        <v>0.42598187311178248</v>
      </c>
      <c r="GZ142">
        <v>0.75070515873372279</v>
      </c>
      <c r="HC142">
        <v>0.42598187311178248</v>
      </c>
      <c r="HD142">
        <v>0.78320965855711844</v>
      </c>
      <c r="HK142">
        <v>1130.3791760319129</v>
      </c>
      <c r="HL142">
        <v>4801.6441535930098</v>
      </c>
    </row>
    <row r="143" spans="175:220" x14ac:dyDescent="0.3">
      <c r="FS143">
        <v>0.42900302114803618</v>
      </c>
      <c r="FT143">
        <v>439.92178580993948</v>
      </c>
      <c r="FW143">
        <v>0.42900302114803618</v>
      </c>
      <c r="FX143">
        <v>289.88900213467429</v>
      </c>
      <c r="GA143">
        <v>0.42900302114803618</v>
      </c>
      <c r="GB143">
        <v>3143.4102948421728</v>
      </c>
      <c r="GE143">
        <v>0.42900302114803618</v>
      </c>
      <c r="GF143">
        <v>705.04323211145129</v>
      </c>
      <c r="GI143">
        <v>0.42900302114803618</v>
      </c>
      <c r="GJ143">
        <v>0.66685225291119732</v>
      </c>
      <c r="GM143">
        <v>0.42900302114803618</v>
      </c>
      <c r="GN143">
        <v>0.82270458158735416</v>
      </c>
      <c r="GQ143">
        <v>0.42900302114803618</v>
      </c>
      <c r="GR143">
        <v>0.7478276319958933</v>
      </c>
      <c r="GU143">
        <v>0.42900302114803618</v>
      </c>
      <c r="GV143">
        <v>0.75664247091750469</v>
      </c>
      <c r="GY143">
        <v>0.42900302114803618</v>
      </c>
      <c r="GZ143">
        <v>0.75249209552873364</v>
      </c>
      <c r="HC143">
        <v>0.42900302114803618</v>
      </c>
      <c r="HD143">
        <v>0.7835781237049394</v>
      </c>
      <c r="HK143">
        <v>321.19623247250729</v>
      </c>
      <c r="HL143">
        <v>3600.0154292759512</v>
      </c>
    </row>
    <row r="144" spans="175:220" x14ac:dyDescent="0.3">
      <c r="FS144">
        <v>0.43202416918428999</v>
      </c>
      <c r="FT144">
        <v>440.39100035889692</v>
      </c>
      <c r="FW144">
        <v>0.43202416918428999</v>
      </c>
      <c r="FX144">
        <v>289.92172654005208</v>
      </c>
      <c r="GA144">
        <v>0.43202416918428999</v>
      </c>
      <c r="GB144">
        <v>3146.6915822939359</v>
      </c>
      <c r="GE144">
        <v>0.43202416918428999</v>
      </c>
      <c r="GF144">
        <v>707.90931813205134</v>
      </c>
      <c r="GI144">
        <v>0.43202416918428999</v>
      </c>
      <c r="GJ144">
        <v>0.66772668622606979</v>
      </c>
      <c r="GM144">
        <v>0.43202416918428999</v>
      </c>
      <c r="GN144">
        <v>0.82318743619994872</v>
      </c>
      <c r="GQ144">
        <v>0.43202416918428999</v>
      </c>
      <c r="GR144">
        <v>0.74894965532939595</v>
      </c>
      <c r="GU144">
        <v>0.43202416918428999</v>
      </c>
      <c r="GV144">
        <v>0.75862013804522399</v>
      </c>
      <c r="GY144">
        <v>0.43202416918428999</v>
      </c>
      <c r="GZ144">
        <v>0.75390793408188017</v>
      </c>
      <c r="HC144">
        <v>0.43202416918428999</v>
      </c>
      <c r="HD144">
        <v>0.78455265552048403</v>
      </c>
      <c r="HK144">
        <v>711.23370881009214</v>
      </c>
      <c r="HL144">
        <v>3819.2668134316768</v>
      </c>
    </row>
    <row r="145" spans="175:220" x14ac:dyDescent="0.3">
      <c r="FS145">
        <v>0.43504531722054379</v>
      </c>
      <c r="FT145">
        <v>441.45737535343329</v>
      </c>
      <c r="FW145">
        <v>0.43504531722054379</v>
      </c>
      <c r="FX145">
        <v>289.98163993720789</v>
      </c>
      <c r="GA145">
        <v>0.43504531722054379</v>
      </c>
      <c r="GB145">
        <v>3155.2021448280411</v>
      </c>
      <c r="GE145">
        <v>0.43504531722054379</v>
      </c>
      <c r="GF145">
        <v>711.23370881009214</v>
      </c>
      <c r="GI145">
        <v>0.43504531722054379</v>
      </c>
      <c r="GJ145">
        <v>0.66947841336195524</v>
      </c>
      <c r="GM145">
        <v>0.43504531722054379</v>
      </c>
      <c r="GN145">
        <v>0.82330060774423131</v>
      </c>
      <c r="GQ145">
        <v>0.43504531722054379</v>
      </c>
      <c r="GR145">
        <v>0.75031831552831862</v>
      </c>
      <c r="GU145">
        <v>0.43504531722054379</v>
      </c>
      <c r="GV145">
        <v>0.7591979176321435</v>
      </c>
      <c r="GY145">
        <v>0.43504531722054379</v>
      </c>
      <c r="GZ145">
        <v>0.75431746950083256</v>
      </c>
      <c r="HC145">
        <v>0.43504531722054379</v>
      </c>
      <c r="HD145">
        <v>0.78466365547746197</v>
      </c>
      <c r="HK145">
        <v>742.44383258630216</v>
      </c>
      <c r="HL145">
        <v>2753.0406476009839</v>
      </c>
    </row>
    <row r="146" spans="175:220" x14ac:dyDescent="0.3">
      <c r="FS146">
        <v>0.4380664652567976</v>
      </c>
      <c r="FT146">
        <v>442.20366486788907</v>
      </c>
      <c r="FW146">
        <v>0.4380664652567976</v>
      </c>
      <c r="FX146">
        <v>290.04303909302689</v>
      </c>
      <c r="GA146">
        <v>0.4380664652567976</v>
      </c>
      <c r="GB146">
        <v>3156.2584628888731</v>
      </c>
      <c r="GE146">
        <v>0.4380664652567976</v>
      </c>
      <c r="GF146">
        <v>717.88686396880337</v>
      </c>
      <c r="GI146">
        <v>0.4380664652567976</v>
      </c>
      <c r="GJ146">
        <v>0.67063065719370873</v>
      </c>
      <c r="GM146">
        <v>0.4380664652567976</v>
      </c>
      <c r="GN146">
        <v>0.82415986230880511</v>
      </c>
      <c r="GQ146">
        <v>0.4380664652567976</v>
      </c>
      <c r="GR146">
        <v>0.75140322154329064</v>
      </c>
      <c r="GU146">
        <v>0.4380664652567976</v>
      </c>
      <c r="GV146">
        <v>0.76015547449348064</v>
      </c>
      <c r="GY146">
        <v>0.4380664652567976</v>
      </c>
      <c r="GZ146">
        <v>0.7561767878215887</v>
      </c>
      <c r="HC146">
        <v>0.4380664652567976</v>
      </c>
      <c r="HD146">
        <v>0.78580297298186175</v>
      </c>
      <c r="HK146">
        <v>622.60818471278344</v>
      </c>
      <c r="HL146">
        <v>4113.9467075226967</v>
      </c>
    </row>
    <row r="147" spans="175:220" x14ac:dyDescent="0.3">
      <c r="FS147">
        <v>0.44108761329305141</v>
      </c>
      <c r="FT147">
        <v>442.25081951091153</v>
      </c>
      <c r="FW147">
        <v>0.44108761329305141</v>
      </c>
      <c r="FX147">
        <v>290.09588271509108</v>
      </c>
      <c r="GA147">
        <v>0.44108761329305141</v>
      </c>
      <c r="GB147">
        <v>3176.0833282751719</v>
      </c>
      <c r="GE147">
        <v>0.44108761329305141</v>
      </c>
      <c r="GF147">
        <v>719.41146523408065</v>
      </c>
      <c r="GI147">
        <v>0.44108761329305141</v>
      </c>
      <c r="GJ147">
        <v>0.67082747327641123</v>
      </c>
      <c r="GM147">
        <v>0.44108761329305141</v>
      </c>
      <c r="GN147">
        <v>0.82436977050881743</v>
      </c>
      <c r="GQ147">
        <v>0.44108761329305141</v>
      </c>
      <c r="GR147">
        <v>0.75154273506480229</v>
      </c>
      <c r="GU147">
        <v>0.44108761329305141</v>
      </c>
      <c r="GV147">
        <v>0.76113801974703765</v>
      </c>
      <c r="GY147">
        <v>0.44108761329305141</v>
      </c>
      <c r="GZ147">
        <v>0.75706060132325637</v>
      </c>
      <c r="HC147">
        <v>0.44108761329305141</v>
      </c>
      <c r="HD147">
        <v>0.78591782661920928</v>
      </c>
      <c r="HK147">
        <v>756.85091463292724</v>
      </c>
      <c r="HL147">
        <v>2095.385835313507</v>
      </c>
    </row>
    <row r="148" spans="175:220" x14ac:dyDescent="0.3">
      <c r="FS148">
        <v>0.44410876132930521</v>
      </c>
      <c r="FT148">
        <v>442.56327970121282</v>
      </c>
      <c r="FW148">
        <v>0.44410876132930521</v>
      </c>
      <c r="FX148">
        <v>290.31627317405139</v>
      </c>
      <c r="GA148">
        <v>0.44410876132930521</v>
      </c>
      <c r="GB148">
        <v>3180.6196960894022</v>
      </c>
      <c r="GE148">
        <v>0.44410876132930521</v>
      </c>
      <c r="GF148">
        <v>720.74620366693352</v>
      </c>
      <c r="GI148">
        <v>0.44410876132930521</v>
      </c>
      <c r="GJ148">
        <v>0.67362752221366029</v>
      </c>
      <c r="GM148">
        <v>0.44410876132930521</v>
      </c>
      <c r="GN148">
        <v>0.82491334974074326</v>
      </c>
      <c r="GQ148">
        <v>0.44410876132930521</v>
      </c>
      <c r="GR148">
        <v>0.75283073608173956</v>
      </c>
      <c r="GU148">
        <v>0.44410876132930521</v>
      </c>
      <c r="GV148">
        <v>0.76313539792591667</v>
      </c>
      <c r="GY148">
        <v>0.44410876132930521</v>
      </c>
      <c r="GZ148">
        <v>0.7580022080146166</v>
      </c>
      <c r="HC148">
        <v>0.44410876132930521</v>
      </c>
      <c r="HD148">
        <v>0.78598354475487398</v>
      </c>
      <c r="HK148">
        <v>475.7328549409533</v>
      </c>
      <c r="HL148">
        <v>3290.1780006679378</v>
      </c>
    </row>
    <row r="149" spans="175:220" x14ac:dyDescent="0.3">
      <c r="FS149">
        <v>0.44712990936555891</v>
      </c>
      <c r="FT149">
        <v>443.18194200140698</v>
      </c>
      <c r="FW149">
        <v>0.44712990936555891</v>
      </c>
      <c r="FX149">
        <v>290.40306143723768</v>
      </c>
      <c r="GA149">
        <v>0.44712990936555891</v>
      </c>
      <c r="GB149">
        <v>3196.2116564753892</v>
      </c>
      <c r="GE149">
        <v>0.44712990936555891</v>
      </c>
      <c r="GF149">
        <v>722.85635415038394</v>
      </c>
      <c r="GI149">
        <v>0.44712990936555891</v>
      </c>
      <c r="GJ149">
        <v>0.67446010186014571</v>
      </c>
      <c r="GM149">
        <v>0.44712990936555891</v>
      </c>
      <c r="GN149">
        <v>0.82601693161529244</v>
      </c>
      <c r="GQ149">
        <v>0.44712990936555891</v>
      </c>
      <c r="GR149">
        <v>0.75301128702971143</v>
      </c>
      <c r="GU149">
        <v>0.44712990936555891</v>
      </c>
      <c r="GV149">
        <v>0.76330884357078832</v>
      </c>
      <c r="GY149">
        <v>0.44712990936555891</v>
      </c>
      <c r="GZ149">
        <v>0.75905631296505272</v>
      </c>
      <c r="HC149">
        <v>0.44712990936555891</v>
      </c>
      <c r="HD149">
        <v>0.78732921077419338</v>
      </c>
      <c r="HK149">
        <v>779.70906277378231</v>
      </c>
      <c r="HL149">
        <v>2580.8658736783491</v>
      </c>
    </row>
    <row r="150" spans="175:220" x14ac:dyDescent="0.3">
      <c r="FS150">
        <v>0.45015105740181272</v>
      </c>
      <c r="FT150">
        <v>443.27915949469042</v>
      </c>
      <c r="FW150">
        <v>0.45015105740181272</v>
      </c>
      <c r="FX150">
        <v>290.43180554015248</v>
      </c>
      <c r="GA150">
        <v>0.45015105740181272</v>
      </c>
      <c r="GB150">
        <v>3206.4409362493971</v>
      </c>
      <c r="GE150">
        <v>0.45015105740181272</v>
      </c>
      <c r="GF150">
        <v>726.34596005734966</v>
      </c>
      <c r="GI150">
        <v>0.45015105740181272</v>
      </c>
      <c r="GJ150">
        <v>0.67494179260210463</v>
      </c>
      <c r="GM150">
        <v>0.45015105740181272</v>
      </c>
      <c r="GN150">
        <v>0.8270971577737074</v>
      </c>
      <c r="GQ150">
        <v>0.45015105740181272</v>
      </c>
      <c r="GR150">
        <v>0.75389303827663445</v>
      </c>
      <c r="GU150">
        <v>0.45015105740181272</v>
      </c>
      <c r="GV150">
        <v>0.76402765856566712</v>
      </c>
      <c r="GY150">
        <v>0.45015105740181272</v>
      </c>
      <c r="GZ150">
        <v>0.75926789621721325</v>
      </c>
      <c r="HC150">
        <v>0.45015105740181272</v>
      </c>
      <c r="HD150">
        <v>0.7875498437801165</v>
      </c>
      <c r="HK150">
        <v>484.30095586927217</v>
      </c>
      <c r="HL150">
        <v>3798.2657363311541</v>
      </c>
    </row>
    <row r="151" spans="175:220" x14ac:dyDescent="0.3">
      <c r="FS151">
        <v>0.45317220543806652</v>
      </c>
      <c r="FT151">
        <v>443.66055742575787</v>
      </c>
      <c r="FW151">
        <v>0.45317220543806652</v>
      </c>
      <c r="FX151">
        <v>290.51937768072719</v>
      </c>
      <c r="GA151">
        <v>0.45317220543806652</v>
      </c>
      <c r="GB151">
        <v>3217.0920698307818</v>
      </c>
      <c r="GE151">
        <v>0.45317220543806652</v>
      </c>
      <c r="GF151">
        <v>726.46769530342635</v>
      </c>
      <c r="GI151">
        <v>0.45317220543806652</v>
      </c>
      <c r="GJ151">
        <v>0.67539027410104857</v>
      </c>
      <c r="GM151">
        <v>0.45317220543806652</v>
      </c>
      <c r="GN151">
        <v>0.82746551871053164</v>
      </c>
      <c r="GQ151">
        <v>0.45317220543806652</v>
      </c>
      <c r="GR151">
        <v>0.75455033317371001</v>
      </c>
      <c r="GU151">
        <v>0.45317220543806652</v>
      </c>
      <c r="GV151">
        <v>0.76456340412363533</v>
      </c>
      <c r="GY151">
        <v>0.45317220543806652</v>
      </c>
      <c r="GZ151">
        <v>0.76019062554654782</v>
      </c>
      <c r="HC151">
        <v>0.45317220543806652</v>
      </c>
      <c r="HD151">
        <v>0.78787616619361911</v>
      </c>
      <c r="HK151">
        <v>1497.185787006144</v>
      </c>
      <c r="HL151">
        <v>3353.0229282620662</v>
      </c>
    </row>
    <row r="152" spans="175:220" x14ac:dyDescent="0.3">
      <c r="FS152">
        <v>0.45619335347432022</v>
      </c>
      <c r="FT152">
        <v>444.05363508283779</v>
      </c>
      <c r="FW152">
        <v>0.45619335347432022</v>
      </c>
      <c r="FX152">
        <v>290.70286356299499</v>
      </c>
      <c r="GA152">
        <v>0.45619335347432022</v>
      </c>
      <c r="GB152">
        <v>3228.7283343541671</v>
      </c>
      <c r="GE152">
        <v>0.45619335347432022</v>
      </c>
      <c r="GF152">
        <v>729.64193002893887</v>
      </c>
      <c r="GI152">
        <v>0.45619335347432022</v>
      </c>
      <c r="GJ152">
        <v>0.67849306416110478</v>
      </c>
      <c r="GM152">
        <v>0.45619335347432022</v>
      </c>
      <c r="GN152">
        <v>0.8281186344496253</v>
      </c>
      <c r="GQ152">
        <v>0.45619335347432022</v>
      </c>
      <c r="GR152">
        <v>0.75502510042124726</v>
      </c>
      <c r="GU152">
        <v>0.45619335347432022</v>
      </c>
      <c r="GV152">
        <v>0.76552421790799507</v>
      </c>
      <c r="GY152">
        <v>0.45619335347432022</v>
      </c>
      <c r="GZ152">
        <v>0.76031299648234363</v>
      </c>
      <c r="HC152">
        <v>0.45619335347432022</v>
      </c>
      <c r="HD152">
        <v>0.78879293337974665</v>
      </c>
      <c r="HK152">
        <v>1121.2688664833081</v>
      </c>
      <c r="HL152">
        <v>3916.9911055488178</v>
      </c>
    </row>
    <row r="153" spans="175:220" x14ac:dyDescent="0.3">
      <c r="FS153">
        <v>0.45921450151057402</v>
      </c>
      <c r="FT153">
        <v>444.38232865178969</v>
      </c>
      <c r="FW153">
        <v>0.45921450151057402</v>
      </c>
      <c r="FX153">
        <v>290.79685817058402</v>
      </c>
      <c r="GA153">
        <v>0.45921450151057402</v>
      </c>
      <c r="GB153">
        <v>3238.2629523563542</v>
      </c>
      <c r="GE153">
        <v>0.45921450151057402</v>
      </c>
      <c r="GF153">
        <v>734.33460914835246</v>
      </c>
      <c r="GI153">
        <v>0.45921450151057402</v>
      </c>
      <c r="GJ153">
        <v>0.67874715111347905</v>
      </c>
      <c r="GM153">
        <v>0.45921450151057402</v>
      </c>
      <c r="GN153">
        <v>0.82827555852026358</v>
      </c>
      <c r="GQ153">
        <v>0.45921450151057402</v>
      </c>
      <c r="GR153">
        <v>0.7563686298506922</v>
      </c>
      <c r="GU153">
        <v>0.45921450151057402</v>
      </c>
      <c r="GV153">
        <v>0.76665428587780893</v>
      </c>
      <c r="GY153">
        <v>0.45921450151057402</v>
      </c>
      <c r="GZ153">
        <v>0.76116884169590371</v>
      </c>
      <c r="HC153">
        <v>0.45921450151057402</v>
      </c>
      <c r="HD153">
        <v>0.78959877980886894</v>
      </c>
      <c r="HK153">
        <v>1291.3361311195069</v>
      </c>
      <c r="HL153">
        <v>2208.7617433056521</v>
      </c>
    </row>
    <row r="154" spans="175:220" x14ac:dyDescent="0.3">
      <c r="FS154">
        <v>0.46223564954682778</v>
      </c>
      <c r="FT154">
        <v>444.7006795381559</v>
      </c>
      <c r="FW154">
        <v>0.46223564954682778</v>
      </c>
      <c r="FX154">
        <v>290.85395726436928</v>
      </c>
      <c r="GA154">
        <v>0.46223564954682778</v>
      </c>
      <c r="GB154">
        <v>3241.5306940836108</v>
      </c>
      <c r="GE154">
        <v>0.46223564954682778</v>
      </c>
      <c r="GF154">
        <v>735.72630951178712</v>
      </c>
      <c r="GI154">
        <v>0.46223564954682778</v>
      </c>
      <c r="GJ154">
        <v>0.680135051288416</v>
      </c>
      <c r="GM154">
        <v>0.46223564954682778</v>
      </c>
      <c r="GN154">
        <v>0.82856667502125259</v>
      </c>
      <c r="GQ154">
        <v>0.46223564954682778</v>
      </c>
      <c r="GR154">
        <v>0.75722252203636553</v>
      </c>
      <c r="GU154">
        <v>0.46223564954682778</v>
      </c>
      <c r="GV154">
        <v>0.76747031497778484</v>
      </c>
      <c r="GY154">
        <v>0.46223564954682778</v>
      </c>
      <c r="GZ154">
        <v>0.76151260644318353</v>
      </c>
      <c r="HC154">
        <v>0.46223564954682778</v>
      </c>
      <c r="HD154">
        <v>0.79035424281145683</v>
      </c>
      <c r="HK154">
        <v>1265.4748958349419</v>
      </c>
      <c r="HL154">
        <v>2729.1353869547138</v>
      </c>
    </row>
    <row r="155" spans="175:220" x14ac:dyDescent="0.3">
      <c r="FS155">
        <v>0.46525679758308158</v>
      </c>
      <c r="FT155">
        <v>444.73777265448808</v>
      </c>
      <c r="FW155">
        <v>0.46525679758308158</v>
      </c>
      <c r="FX155">
        <v>290.85829156356829</v>
      </c>
      <c r="GA155">
        <v>0.46525679758308158</v>
      </c>
      <c r="GB155">
        <v>3253.7226338168239</v>
      </c>
      <c r="GE155">
        <v>0.46525679758308158</v>
      </c>
      <c r="GF155">
        <v>736.06768581246274</v>
      </c>
      <c r="GI155">
        <v>0.46525679758308158</v>
      </c>
      <c r="GJ155">
        <v>0.68063733094861834</v>
      </c>
      <c r="GM155">
        <v>0.46525679758308158</v>
      </c>
      <c r="GN155">
        <v>0.82907741659785861</v>
      </c>
      <c r="GQ155">
        <v>0.46525679758308158</v>
      </c>
      <c r="GR155">
        <v>0.75786121364162207</v>
      </c>
      <c r="GU155">
        <v>0.46525679758308158</v>
      </c>
      <c r="GV155">
        <v>0.77200541722048621</v>
      </c>
      <c r="GY155">
        <v>0.46525679758308158</v>
      </c>
      <c r="GZ155">
        <v>0.76239947858110879</v>
      </c>
      <c r="HC155">
        <v>0.46525679758308158</v>
      </c>
      <c r="HD155">
        <v>0.79082077912859838</v>
      </c>
      <c r="HK155">
        <v>707.90931813205134</v>
      </c>
      <c r="HL155">
        <v>3156.2584628888731</v>
      </c>
    </row>
    <row r="156" spans="175:220" x14ac:dyDescent="0.3">
      <c r="FS156">
        <v>0.46827794561933528</v>
      </c>
      <c r="FT156">
        <v>444.9795875598183</v>
      </c>
      <c r="FW156">
        <v>0.46827794561933528</v>
      </c>
      <c r="FX156">
        <v>291.0947413010872</v>
      </c>
      <c r="GA156">
        <v>0.46827794561933528</v>
      </c>
      <c r="GB156">
        <v>3271.965612358676</v>
      </c>
      <c r="GE156">
        <v>0.46827794561933528</v>
      </c>
      <c r="GF156">
        <v>742.44383258630216</v>
      </c>
      <c r="GI156">
        <v>0.46827794561933528</v>
      </c>
      <c r="GJ156">
        <v>0.68090284100868415</v>
      </c>
      <c r="GM156">
        <v>0.46827794561933528</v>
      </c>
      <c r="GN156">
        <v>0.82912951265502788</v>
      </c>
      <c r="GQ156">
        <v>0.46827794561933528</v>
      </c>
      <c r="GR156">
        <v>0.76014445653161977</v>
      </c>
      <c r="GU156">
        <v>0.46827794561933528</v>
      </c>
      <c r="GV156">
        <v>0.77297451153458496</v>
      </c>
      <c r="GY156">
        <v>0.46827794561933528</v>
      </c>
      <c r="GZ156">
        <v>0.76404169441938707</v>
      </c>
      <c r="HC156">
        <v>0.46827794561933528</v>
      </c>
      <c r="HD156">
        <v>0.79094687525413776</v>
      </c>
      <c r="HK156">
        <v>1484.6243814641221</v>
      </c>
      <c r="HL156">
        <v>3217.0920698307818</v>
      </c>
    </row>
    <row r="157" spans="175:220" x14ac:dyDescent="0.3">
      <c r="FS157">
        <v>0.47129909365558909</v>
      </c>
      <c r="FT157">
        <v>445.23255435499982</v>
      </c>
      <c r="FW157">
        <v>0.47129909365558909</v>
      </c>
      <c r="FX157">
        <v>291.16999617907328</v>
      </c>
      <c r="GA157">
        <v>0.47129909365558909</v>
      </c>
      <c r="GB157">
        <v>3281.0679180314919</v>
      </c>
      <c r="GE157">
        <v>0.47129909365558909</v>
      </c>
      <c r="GF157">
        <v>743.46094839347859</v>
      </c>
      <c r="GI157">
        <v>0.47129909365558909</v>
      </c>
      <c r="GJ157">
        <v>0.68161790672482647</v>
      </c>
      <c r="GM157">
        <v>0.47129909365558909</v>
      </c>
      <c r="GN157">
        <v>0.82994411683249414</v>
      </c>
      <c r="GQ157">
        <v>0.47129909365558909</v>
      </c>
      <c r="GR157">
        <v>0.76032901097688188</v>
      </c>
      <c r="GU157">
        <v>0.47129909365558909</v>
      </c>
      <c r="GV157">
        <v>0.7735089549851204</v>
      </c>
      <c r="GY157">
        <v>0.47129909365558909</v>
      </c>
      <c r="GZ157">
        <v>0.76467646970441105</v>
      </c>
      <c r="HC157">
        <v>0.47129909365558909</v>
      </c>
      <c r="HD157">
        <v>0.7919351667229676</v>
      </c>
      <c r="HK157">
        <v>617.50002578166254</v>
      </c>
      <c r="HL157">
        <v>4496.2536475938896</v>
      </c>
    </row>
    <row r="158" spans="175:220" x14ac:dyDescent="0.3">
      <c r="FS158">
        <v>0.47432024169184289</v>
      </c>
      <c r="FT158">
        <v>445.28563509849062</v>
      </c>
      <c r="FW158">
        <v>0.47432024169184289</v>
      </c>
      <c r="FX158">
        <v>291.18775685432843</v>
      </c>
      <c r="GA158">
        <v>0.47432024169184289</v>
      </c>
      <c r="GB158">
        <v>3290.1780006679378</v>
      </c>
      <c r="GE158">
        <v>0.47432024169184289</v>
      </c>
      <c r="GF158">
        <v>745.03592289800804</v>
      </c>
      <c r="GI158">
        <v>0.47432024169184289</v>
      </c>
      <c r="GJ158">
        <v>0.68203879601871942</v>
      </c>
      <c r="GM158">
        <v>0.47432024169184289</v>
      </c>
      <c r="GN158">
        <v>0.83053900234450051</v>
      </c>
      <c r="GQ158">
        <v>0.47432024169184289</v>
      </c>
      <c r="GR158">
        <v>0.76120212689057287</v>
      </c>
      <c r="GU158">
        <v>0.47432024169184289</v>
      </c>
      <c r="GV158">
        <v>0.77464444230297602</v>
      </c>
      <c r="GY158">
        <v>0.47432024169184289</v>
      </c>
      <c r="GZ158">
        <v>0.76654364937244757</v>
      </c>
      <c r="HC158">
        <v>0.47432024169184289</v>
      </c>
      <c r="HD158">
        <v>0.79239542573218003</v>
      </c>
      <c r="HK158">
        <v>446.0033245334352</v>
      </c>
      <c r="HL158">
        <v>2335.0753592331339</v>
      </c>
    </row>
    <row r="159" spans="175:220" x14ac:dyDescent="0.3">
      <c r="FS159">
        <v>0.4773413897280967</v>
      </c>
      <c r="FT159">
        <v>445.95513514543183</v>
      </c>
      <c r="FW159">
        <v>0.4773413897280967</v>
      </c>
      <c r="FX159">
        <v>291.28817636796202</v>
      </c>
      <c r="GA159">
        <v>0.4773413897280967</v>
      </c>
      <c r="GB159">
        <v>3297.487010782806</v>
      </c>
      <c r="GE159">
        <v>0.4773413897280967</v>
      </c>
      <c r="GF159">
        <v>745.63761687732017</v>
      </c>
      <c r="GI159">
        <v>0.4773413897280967</v>
      </c>
      <c r="GJ159">
        <v>0.68246722561199602</v>
      </c>
      <c r="GM159">
        <v>0.4773413897280967</v>
      </c>
      <c r="GN159">
        <v>0.8310880721811732</v>
      </c>
      <c r="GQ159">
        <v>0.4773413897280967</v>
      </c>
      <c r="GR159">
        <v>0.76189461776818523</v>
      </c>
      <c r="GU159">
        <v>0.4773413897280967</v>
      </c>
      <c r="GV159">
        <v>0.77537168555775327</v>
      </c>
      <c r="GY159">
        <v>0.4773413897280967</v>
      </c>
      <c r="GZ159">
        <v>0.76761364635198936</v>
      </c>
      <c r="HC159">
        <v>0.4773413897280967</v>
      </c>
      <c r="HD159">
        <v>0.79366809217741063</v>
      </c>
      <c r="HK159">
        <v>796.50212897008078</v>
      </c>
      <c r="HL159">
        <v>2074.152719983641</v>
      </c>
    </row>
    <row r="160" spans="175:220" x14ac:dyDescent="0.3">
      <c r="FS160">
        <v>0.48036253776435051</v>
      </c>
      <c r="FT160">
        <v>446.10456995129238</v>
      </c>
      <c r="FW160">
        <v>0.48036253776435051</v>
      </c>
      <c r="FX160">
        <v>291.37111658465608</v>
      </c>
      <c r="GA160">
        <v>0.48036253776435051</v>
      </c>
      <c r="GB160">
        <v>3303.8020977301112</v>
      </c>
      <c r="GE160">
        <v>0.48036253776435051</v>
      </c>
      <c r="GF160">
        <v>750.24935332394148</v>
      </c>
      <c r="GI160">
        <v>0.48036253776435051</v>
      </c>
      <c r="GJ160">
        <v>0.68383819990859462</v>
      </c>
      <c r="GM160">
        <v>0.48036253776435051</v>
      </c>
      <c r="GN160">
        <v>0.83137419989891559</v>
      </c>
      <c r="GQ160">
        <v>0.48036253776435051</v>
      </c>
      <c r="GR160">
        <v>0.76313131540902901</v>
      </c>
      <c r="GU160">
        <v>0.48036253776435051</v>
      </c>
      <c r="GV160">
        <v>0.77729309649776179</v>
      </c>
      <c r="GY160">
        <v>0.48036253776435051</v>
      </c>
      <c r="GZ160">
        <v>0.76861429853478547</v>
      </c>
      <c r="HC160">
        <v>0.48036253776435051</v>
      </c>
      <c r="HD160">
        <v>0.7939744566804865</v>
      </c>
      <c r="HK160">
        <v>1101.886053225254</v>
      </c>
      <c r="HL160">
        <v>4546.8963063093861</v>
      </c>
    </row>
    <row r="161" spans="175:220" x14ac:dyDescent="0.3">
      <c r="FS161">
        <v>0.48338368580060431</v>
      </c>
      <c r="FT161">
        <v>446.36953358737941</v>
      </c>
      <c r="FW161">
        <v>0.48338368580060431</v>
      </c>
      <c r="FX161">
        <v>291.39163663205409</v>
      </c>
      <c r="GA161">
        <v>0.48338368580060431</v>
      </c>
      <c r="GB161">
        <v>3316.4638939990919</v>
      </c>
      <c r="GE161">
        <v>0.48338368580060431</v>
      </c>
      <c r="GF161">
        <v>752.45039440498363</v>
      </c>
      <c r="GI161">
        <v>0.48338368580060431</v>
      </c>
      <c r="GJ161">
        <v>0.68516420359575647</v>
      </c>
      <c r="GM161">
        <v>0.48338368580060431</v>
      </c>
      <c r="GN161">
        <v>0.83178138976735649</v>
      </c>
      <c r="GQ161">
        <v>0.48338368580060431</v>
      </c>
      <c r="GR161">
        <v>0.76366523446865087</v>
      </c>
      <c r="GU161">
        <v>0.48338368580060431</v>
      </c>
      <c r="GV161">
        <v>0.77772376897025841</v>
      </c>
      <c r="GY161">
        <v>0.48338368580060431</v>
      </c>
      <c r="GZ161">
        <v>0.76913708383613366</v>
      </c>
      <c r="HC161">
        <v>0.48338368580060431</v>
      </c>
      <c r="HD161">
        <v>0.79570191109045518</v>
      </c>
      <c r="HK161">
        <v>931.21055785901979</v>
      </c>
      <c r="HL161">
        <v>4880.5118739549735</v>
      </c>
    </row>
    <row r="162" spans="175:220" x14ac:dyDescent="0.3">
      <c r="FS162">
        <v>0.48640483383685801</v>
      </c>
      <c r="FT162">
        <v>446.45935299612711</v>
      </c>
      <c r="FW162">
        <v>0.48640483383685801</v>
      </c>
      <c r="FX162">
        <v>291.45441891788579</v>
      </c>
      <c r="GA162">
        <v>0.48640483383685801</v>
      </c>
      <c r="GB162">
        <v>3316.5739454530558</v>
      </c>
      <c r="GE162">
        <v>0.48640483383685801</v>
      </c>
      <c r="GF162">
        <v>754.99714544963854</v>
      </c>
      <c r="GI162">
        <v>0.48640483383685801</v>
      </c>
      <c r="GJ162">
        <v>0.68530771357005682</v>
      </c>
      <c r="GM162">
        <v>0.48640483383685801</v>
      </c>
      <c r="GN162">
        <v>0.83198105976318337</v>
      </c>
      <c r="GQ162">
        <v>0.48640483383685801</v>
      </c>
      <c r="GR162">
        <v>0.76380626951895525</v>
      </c>
      <c r="GU162">
        <v>0.48640483383685801</v>
      </c>
      <c r="GV162">
        <v>0.77898522179589957</v>
      </c>
      <c r="GY162">
        <v>0.48640483383685801</v>
      </c>
      <c r="GZ162">
        <v>0.77051445177106292</v>
      </c>
      <c r="HC162">
        <v>0.48640483383685801</v>
      </c>
      <c r="HD162">
        <v>0.79675116038335747</v>
      </c>
      <c r="HK162">
        <v>1392.707347050828</v>
      </c>
      <c r="HL162">
        <v>2794.216855374882</v>
      </c>
    </row>
    <row r="163" spans="175:220" x14ac:dyDescent="0.3">
      <c r="FS163">
        <v>0.48942598187311182</v>
      </c>
      <c r="FT163">
        <v>446.6667550602474</v>
      </c>
      <c r="FW163">
        <v>0.48942598187311182</v>
      </c>
      <c r="FX163">
        <v>291.51531063004091</v>
      </c>
      <c r="GA163">
        <v>0.48942598187311182</v>
      </c>
      <c r="GB163">
        <v>3324.6313538754512</v>
      </c>
      <c r="GE163">
        <v>0.48942598187311182</v>
      </c>
      <c r="GF163">
        <v>756.85091463292724</v>
      </c>
      <c r="GI163">
        <v>0.48942598187311182</v>
      </c>
      <c r="GJ163">
        <v>0.68568991860484296</v>
      </c>
      <c r="GM163">
        <v>0.48942598187311182</v>
      </c>
      <c r="GN163">
        <v>0.83262621772047574</v>
      </c>
      <c r="GQ163">
        <v>0.48942598187311182</v>
      </c>
      <c r="GR163">
        <v>0.76419596822507474</v>
      </c>
      <c r="GU163">
        <v>0.48942598187311182</v>
      </c>
      <c r="GV163">
        <v>0.77943919901687408</v>
      </c>
      <c r="GY163">
        <v>0.48942598187311182</v>
      </c>
      <c r="GZ163">
        <v>0.77194852549162274</v>
      </c>
      <c r="HC163">
        <v>0.48942598187311182</v>
      </c>
      <c r="HD163">
        <v>0.79790908513815695</v>
      </c>
      <c r="HK163">
        <v>584.58976948871555</v>
      </c>
      <c r="HL163">
        <v>3008.3968738697099</v>
      </c>
    </row>
    <row r="164" spans="175:220" x14ac:dyDescent="0.3">
      <c r="FS164">
        <v>0.49244712990936562</v>
      </c>
      <c r="FT164">
        <v>446.93238115942557</v>
      </c>
      <c r="FW164">
        <v>0.49244712990936562</v>
      </c>
      <c r="FX164">
        <v>291.64096816480179</v>
      </c>
      <c r="GA164">
        <v>0.49244712990936562</v>
      </c>
      <c r="GB164">
        <v>3331.0369526321811</v>
      </c>
      <c r="GE164">
        <v>0.49244712990936562</v>
      </c>
      <c r="GF164">
        <v>759.86308015841973</v>
      </c>
      <c r="GI164">
        <v>0.49244712990936562</v>
      </c>
      <c r="GJ164">
        <v>0.68694111396728263</v>
      </c>
      <c r="GM164">
        <v>0.49244712990936562</v>
      </c>
      <c r="GN164">
        <v>0.83269324423055202</v>
      </c>
      <c r="GQ164">
        <v>0.49244712990936562</v>
      </c>
      <c r="GR164">
        <v>0.76571567817319697</v>
      </c>
      <c r="GU164">
        <v>0.49244712990936562</v>
      </c>
      <c r="GV164">
        <v>0.78094709735735135</v>
      </c>
      <c r="GY164">
        <v>0.49244712990936562</v>
      </c>
      <c r="GZ164">
        <v>0.77277920875012229</v>
      </c>
      <c r="HC164">
        <v>0.49244712990936562</v>
      </c>
      <c r="HD164">
        <v>0.79796670041889639</v>
      </c>
      <c r="HK164">
        <v>1288.8254495376279</v>
      </c>
      <c r="HL164">
        <v>2909.8359720359081</v>
      </c>
    </row>
    <row r="165" spans="175:220" x14ac:dyDescent="0.3">
      <c r="FS165">
        <v>0.49546827794561932</v>
      </c>
      <c r="FT165">
        <v>447.39106080066188</v>
      </c>
      <c r="FW165">
        <v>0.49546827794561932</v>
      </c>
      <c r="FX165">
        <v>291.72670960740498</v>
      </c>
      <c r="GA165">
        <v>0.49546827794561932</v>
      </c>
      <c r="GB165">
        <v>3345.7527629838451</v>
      </c>
      <c r="GE165">
        <v>0.49546827794561932</v>
      </c>
      <c r="GF165">
        <v>762.10450879218024</v>
      </c>
      <c r="GI165">
        <v>0.49546827794561932</v>
      </c>
      <c r="GJ165">
        <v>0.68879643124317225</v>
      </c>
      <c r="GM165">
        <v>0.49546827794561932</v>
      </c>
      <c r="GN165">
        <v>0.83309454790749493</v>
      </c>
      <c r="GQ165">
        <v>0.49546827794561932</v>
      </c>
      <c r="GR165">
        <v>0.76598737387005977</v>
      </c>
      <c r="GU165">
        <v>0.49546827794561932</v>
      </c>
      <c r="GV165">
        <v>0.78211754284614921</v>
      </c>
      <c r="GY165">
        <v>0.49546827794561932</v>
      </c>
      <c r="GZ165">
        <v>0.77339638913824782</v>
      </c>
      <c r="HC165">
        <v>0.49546827794561932</v>
      </c>
      <c r="HD165">
        <v>0.79876663471468401</v>
      </c>
      <c r="HK165">
        <v>1344.9389442916331</v>
      </c>
      <c r="HL165">
        <v>2624.9808349607952</v>
      </c>
    </row>
    <row r="166" spans="175:220" x14ac:dyDescent="0.3">
      <c r="FS166">
        <v>0.49848942598187312</v>
      </c>
      <c r="FT166">
        <v>447.54030598177388</v>
      </c>
      <c r="FW166">
        <v>0.49848942598187312</v>
      </c>
      <c r="FX166">
        <v>291.77791215029208</v>
      </c>
      <c r="GA166">
        <v>0.49848942598187312</v>
      </c>
      <c r="GB166">
        <v>3353.0229282620662</v>
      </c>
      <c r="GE166">
        <v>0.49848942598187312</v>
      </c>
      <c r="GF166">
        <v>764.25516764549627</v>
      </c>
      <c r="GI166">
        <v>0.49848942598187312</v>
      </c>
      <c r="GJ166">
        <v>0.68973675364363274</v>
      </c>
      <c r="GM166">
        <v>0.49848942598187312</v>
      </c>
      <c r="GN166">
        <v>0.83332791270721951</v>
      </c>
      <c r="GQ166">
        <v>0.49848942598187312</v>
      </c>
      <c r="GR166">
        <v>0.76739162273474992</v>
      </c>
      <c r="GU166">
        <v>0.49848942598187312</v>
      </c>
      <c r="GV166">
        <v>0.78214068296554839</v>
      </c>
      <c r="GY166">
        <v>0.49848942598187312</v>
      </c>
      <c r="GZ166">
        <v>0.77510445886868551</v>
      </c>
      <c r="HC166">
        <v>0.49848942598187312</v>
      </c>
      <c r="HD166">
        <v>0.80021750238793443</v>
      </c>
      <c r="HK166">
        <v>392.40097664156929</v>
      </c>
      <c r="HL166">
        <v>4011.1948933267809</v>
      </c>
    </row>
    <row r="167" spans="175:220" x14ac:dyDescent="0.3">
      <c r="FS167">
        <v>0.50151057401812693</v>
      </c>
      <c r="FT167">
        <v>447.66652733176318</v>
      </c>
      <c r="FW167">
        <v>0.50151057401812693</v>
      </c>
      <c r="FX167">
        <v>291.88236231519022</v>
      </c>
      <c r="GA167">
        <v>0.50151057401812693</v>
      </c>
      <c r="GB167">
        <v>3365.2356975293242</v>
      </c>
      <c r="GE167">
        <v>0.50151057401812693</v>
      </c>
      <c r="GF167">
        <v>767.04317894877761</v>
      </c>
      <c r="GI167">
        <v>0.50151057401812693</v>
      </c>
      <c r="GJ167">
        <v>0.69059167617926687</v>
      </c>
      <c r="GM167">
        <v>0.50151057401812693</v>
      </c>
      <c r="GN167">
        <v>0.83375896093715196</v>
      </c>
      <c r="GQ167">
        <v>0.50151057401812693</v>
      </c>
      <c r="GR167">
        <v>0.76820933393569857</v>
      </c>
      <c r="GU167">
        <v>0.50151057401812693</v>
      </c>
      <c r="GV167">
        <v>0.78429500144831443</v>
      </c>
      <c r="GY167">
        <v>0.50151057401812693</v>
      </c>
      <c r="GZ167">
        <v>0.77669678797225317</v>
      </c>
      <c r="HC167">
        <v>0.50151057401812693</v>
      </c>
      <c r="HD167">
        <v>0.80043775793391347</v>
      </c>
      <c r="HK167">
        <v>552.27812540830928</v>
      </c>
      <c r="HL167">
        <v>3900.724847004843</v>
      </c>
    </row>
    <row r="168" spans="175:220" x14ac:dyDescent="0.3">
      <c r="FS168">
        <v>0.50453172205438068</v>
      </c>
      <c r="FT168">
        <v>448.38383905285372</v>
      </c>
      <c r="FW168">
        <v>0.50453172205438068</v>
      </c>
      <c r="FX168">
        <v>291.89345100548042</v>
      </c>
      <c r="GA168">
        <v>0.50453172205438068</v>
      </c>
      <c r="GB168">
        <v>3368.976964654717</v>
      </c>
      <c r="GE168">
        <v>0.50453172205438068</v>
      </c>
      <c r="GF168">
        <v>769.41760071309363</v>
      </c>
      <c r="GI168">
        <v>0.50453172205438068</v>
      </c>
      <c r="GJ168">
        <v>0.69067636448073411</v>
      </c>
      <c r="GM168">
        <v>0.50453172205438068</v>
      </c>
      <c r="GN168">
        <v>0.83456035093342695</v>
      </c>
      <c r="GQ168">
        <v>0.50453172205438068</v>
      </c>
      <c r="GR168">
        <v>0.76855071339164382</v>
      </c>
      <c r="GU168">
        <v>0.50453172205438068</v>
      </c>
      <c r="GV168">
        <v>0.78481607296017009</v>
      </c>
      <c r="GY168">
        <v>0.50453172205438068</v>
      </c>
      <c r="GZ168">
        <v>0.77688522111602742</v>
      </c>
      <c r="HC168">
        <v>0.50453172205438068</v>
      </c>
      <c r="HD168">
        <v>0.80152552323904658</v>
      </c>
      <c r="HK168">
        <v>645.22157818689175</v>
      </c>
      <c r="HL168">
        <v>4691.4627483280929</v>
      </c>
    </row>
    <row r="169" spans="175:220" x14ac:dyDescent="0.3">
      <c r="FS169">
        <v>0.50755287009063443</v>
      </c>
      <c r="FT169">
        <v>448.54643817315139</v>
      </c>
      <c r="FW169">
        <v>0.50755287009063443</v>
      </c>
      <c r="FX169">
        <v>291.95270085004222</v>
      </c>
      <c r="GA169">
        <v>0.50755287009063443</v>
      </c>
      <c r="GB169">
        <v>3373.492752583611</v>
      </c>
      <c r="GE169">
        <v>0.50755287009063443</v>
      </c>
      <c r="GF169">
        <v>778.49825461222599</v>
      </c>
      <c r="GI169">
        <v>0.50755287009063443</v>
      </c>
      <c r="GJ169">
        <v>0.69246490393881788</v>
      </c>
      <c r="GM169">
        <v>0.50755287009063443</v>
      </c>
      <c r="GN169">
        <v>0.83486121021715576</v>
      </c>
      <c r="GQ169">
        <v>0.50755287009063443</v>
      </c>
      <c r="GR169">
        <v>0.76855920924087651</v>
      </c>
      <c r="GU169">
        <v>0.50755287009063443</v>
      </c>
      <c r="GV169">
        <v>0.78577082010540711</v>
      </c>
      <c r="GY169">
        <v>0.50755287009063443</v>
      </c>
      <c r="GZ169">
        <v>0.7782156958096228</v>
      </c>
      <c r="HC169">
        <v>0.50755287009063443</v>
      </c>
      <c r="HD169">
        <v>0.80296052077100266</v>
      </c>
      <c r="HK169">
        <v>665.1747174796385</v>
      </c>
      <c r="HL169">
        <v>2977.4879282495972</v>
      </c>
    </row>
    <row r="170" spans="175:220" x14ac:dyDescent="0.3">
      <c r="FS170">
        <v>0.51057401812688818</v>
      </c>
      <c r="FT170">
        <v>448.91350940466748</v>
      </c>
      <c r="FW170">
        <v>0.51057401812688818</v>
      </c>
      <c r="FX170">
        <v>292.10264065623181</v>
      </c>
      <c r="GA170">
        <v>0.51057401812688818</v>
      </c>
      <c r="GB170">
        <v>3381.4516893287878</v>
      </c>
      <c r="GE170">
        <v>0.51057401812688818</v>
      </c>
      <c r="GF170">
        <v>779.70906277378231</v>
      </c>
      <c r="GI170">
        <v>0.51057401812688818</v>
      </c>
      <c r="GJ170">
        <v>0.69341085571641059</v>
      </c>
      <c r="GM170">
        <v>0.51057401812688818</v>
      </c>
      <c r="GN170">
        <v>0.83507664628254363</v>
      </c>
      <c r="GQ170">
        <v>0.51057401812688818</v>
      </c>
      <c r="GR170">
        <v>0.76910325941663826</v>
      </c>
      <c r="GU170">
        <v>0.51057401812688818</v>
      </c>
      <c r="GV170">
        <v>0.78618847410283077</v>
      </c>
      <c r="GY170">
        <v>0.51057401812688818</v>
      </c>
      <c r="GZ170">
        <v>0.77903631578516253</v>
      </c>
      <c r="HC170">
        <v>0.51057401812688818</v>
      </c>
      <c r="HD170">
        <v>0.80442557636948564</v>
      </c>
      <c r="HK170">
        <v>1240.754443539701</v>
      </c>
      <c r="HL170">
        <v>4145.8876742950724</v>
      </c>
    </row>
    <row r="171" spans="175:220" x14ac:dyDescent="0.3">
      <c r="FS171">
        <v>0.51359516616314205</v>
      </c>
      <c r="FT171">
        <v>449.21167163386917</v>
      </c>
      <c r="FW171">
        <v>0.51359516616314205</v>
      </c>
      <c r="FX171">
        <v>292.17948200593798</v>
      </c>
      <c r="GA171">
        <v>0.51359516616314205</v>
      </c>
      <c r="GB171">
        <v>3399.199210539763</v>
      </c>
      <c r="GE171">
        <v>0.51359516616314205</v>
      </c>
      <c r="GF171">
        <v>782.52545153384744</v>
      </c>
      <c r="GI171">
        <v>0.51359516616314205</v>
      </c>
      <c r="GJ171">
        <v>0.69421435296672418</v>
      </c>
      <c r="GM171">
        <v>0.51359516616314205</v>
      </c>
      <c r="GN171">
        <v>0.83545935226139856</v>
      </c>
      <c r="GQ171">
        <v>0.51359516616314205</v>
      </c>
      <c r="GR171">
        <v>0.77051591065109826</v>
      </c>
      <c r="GU171">
        <v>0.51359516616314205</v>
      </c>
      <c r="GV171">
        <v>0.78762834087714861</v>
      </c>
      <c r="GY171">
        <v>0.51359516616314205</v>
      </c>
      <c r="GZ171">
        <v>0.77932412113972904</v>
      </c>
      <c r="HC171">
        <v>0.51359516616314205</v>
      </c>
      <c r="HD171">
        <v>0.80533410294323726</v>
      </c>
      <c r="HK171">
        <v>1233.3481731655511</v>
      </c>
      <c r="HL171">
        <v>3938.333618433051</v>
      </c>
    </row>
    <row r="172" spans="175:220" x14ac:dyDescent="0.3">
      <c r="FS172">
        <v>0.5166163141993958</v>
      </c>
      <c r="FT172">
        <v>449.93729923615552</v>
      </c>
      <c r="FW172">
        <v>0.5166163141993958</v>
      </c>
      <c r="FX172">
        <v>292.25654337283697</v>
      </c>
      <c r="GA172">
        <v>0.5166163141993958</v>
      </c>
      <c r="GB172">
        <v>3405.599188785769</v>
      </c>
      <c r="GE172">
        <v>0.5166163141993958</v>
      </c>
      <c r="GF172">
        <v>783.78807287014092</v>
      </c>
      <c r="GI172">
        <v>0.5166163141993958</v>
      </c>
      <c r="GJ172">
        <v>0.69435682099576868</v>
      </c>
      <c r="GM172">
        <v>0.5166163141993958</v>
      </c>
      <c r="GN172">
        <v>0.83559756217851455</v>
      </c>
      <c r="GQ172">
        <v>0.5166163141993958</v>
      </c>
      <c r="GR172">
        <v>0.77172100171849511</v>
      </c>
      <c r="GU172">
        <v>0.5166163141993958</v>
      </c>
      <c r="GV172">
        <v>0.78997810642959787</v>
      </c>
      <c r="GY172">
        <v>0.5166163141993958</v>
      </c>
      <c r="GZ172">
        <v>0.77973202202620073</v>
      </c>
      <c r="HC172">
        <v>0.5166163141993958</v>
      </c>
      <c r="HD172">
        <v>0.80543696820053579</v>
      </c>
      <c r="HK172">
        <v>841.0457733940583</v>
      </c>
      <c r="HL172">
        <v>4663.4079501279521</v>
      </c>
    </row>
    <row r="173" spans="175:220" x14ac:dyDescent="0.3">
      <c r="FS173">
        <v>0.51963746223564955</v>
      </c>
      <c r="FT173">
        <v>450.15107478413017</v>
      </c>
      <c r="FW173">
        <v>0.51963746223564955</v>
      </c>
      <c r="FX173">
        <v>292.33357871820652</v>
      </c>
      <c r="GA173">
        <v>0.51963746223564955</v>
      </c>
      <c r="GB173">
        <v>3419.4736921177732</v>
      </c>
      <c r="GE173">
        <v>0.51963746223564955</v>
      </c>
      <c r="GF173">
        <v>786.24428223266159</v>
      </c>
      <c r="GI173">
        <v>0.51963746223564955</v>
      </c>
      <c r="GJ173">
        <v>0.69548477594891389</v>
      </c>
      <c r="GM173">
        <v>0.51963746223564955</v>
      </c>
      <c r="GN173">
        <v>0.83637419105503319</v>
      </c>
      <c r="GQ173">
        <v>0.51963746223564955</v>
      </c>
      <c r="GR173">
        <v>0.77318370461555463</v>
      </c>
      <c r="GU173">
        <v>0.51963746223564955</v>
      </c>
      <c r="GV173">
        <v>0.79010474650867335</v>
      </c>
      <c r="GY173">
        <v>0.51963746223564955</v>
      </c>
      <c r="GZ173">
        <v>0.78111549604159491</v>
      </c>
      <c r="HC173">
        <v>0.51963746223564955</v>
      </c>
      <c r="HD173">
        <v>0.80614931346625474</v>
      </c>
      <c r="HK173">
        <v>767.04317894877761</v>
      </c>
      <c r="HL173">
        <v>2855.587170748473</v>
      </c>
    </row>
    <row r="174" spans="175:220" x14ac:dyDescent="0.3">
      <c r="FS174">
        <v>0.5226586102719033</v>
      </c>
      <c r="FT174">
        <v>450.50121985827792</v>
      </c>
      <c r="FW174">
        <v>0.5226586102719033</v>
      </c>
      <c r="FX174">
        <v>292.35181896150368</v>
      </c>
      <c r="GA174">
        <v>0.5226586102719033</v>
      </c>
      <c r="GB174">
        <v>3427.8679644679351</v>
      </c>
      <c r="GE174">
        <v>0.5226586102719033</v>
      </c>
      <c r="GF174">
        <v>787.44679610310823</v>
      </c>
      <c r="GI174">
        <v>0.5226586102719033</v>
      </c>
      <c r="GJ174">
        <v>0.69577303607536722</v>
      </c>
      <c r="GM174">
        <v>0.5226586102719033</v>
      </c>
      <c r="GN174">
        <v>0.83679039835224389</v>
      </c>
      <c r="GQ174">
        <v>0.5226586102719033</v>
      </c>
      <c r="GR174">
        <v>0.77487125790098743</v>
      </c>
      <c r="GU174">
        <v>0.5226586102719033</v>
      </c>
      <c r="GV174">
        <v>0.79048509808235856</v>
      </c>
      <c r="GY174">
        <v>0.5226586102719033</v>
      </c>
      <c r="GZ174">
        <v>0.78128033370390182</v>
      </c>
      <c r="HC174">
        <v>0.5226586102719033</v>
      </c>
      <c r="HD174">
        <v>0.80692367373397589</v>
      </c>
      <c r="HK174">
        <v>828.3142548484592</v>
      </c>
      <c r="HL174">
        <v>4043.992285696097</v>
      </c>
    </row>
    <row r="175" spans="175:220" x14ac:dyDescent="0.3">
      <c r="FS175">
        <v>0.52567975830815705</v>
      </c>
      <c r="FT175">
        <v>450.94084648528258</v>
      </c>
      <c r="FW175">
        <v>0.52567975830815705</v>
      </c>
      <c r="FX175">
        <v>292.38398157110453</v>
      </c>
      <c r="GA175">
        <v>0.52567975830815705</v>
      </c>
      <c r="GB175">
        <v>3436.5153302454551</v>
      </c>
      <c r="GE175">
        <v>0.52567975830815705</v>
      </c>
      <c r="GF175">
        <v>792.86217315303668</v>
      </c>
      <c r="GI175">
        <v>0.52567975830815705</v>
      </c>
      <c r="GJ175">
        <v>0.69623418879768417</v>
      </c>
      <c r="GM175">
        <v>0.52567975830815705</v>
      </c>
      <c r="GN175">
        <v>0.83699168918631983</v>
      </c>
      <c r="GQ175">
        <v>0.52567975830815705</v>
      </c>
      <c r="GR175">
        <v>0.77505503140556309</v>
      </c>
      <c r="GU175">
        <v>0.52567975830815705</v>
      </c>
      <c r="GV175">
        <v>0.79117187597646632</v>
      </c>
      <c r="GY175">
        <v>0.52567975830815705</v>
      </c>
      <c r="GZ175">
        <v>0.78268260547139967</v>
      </c>
      <c r="HC175">
        <v>0.52567975830815705</v>
      </c>
      <c r="HD175">
        <v>0.80697152099167602</v>
      </c>
      <c r="HK175">
        <v>352.46538038875087</v>
      </c>
      <c r="HL175">
        <v>3093.8938294653271</v>
      </c>
    </row>
    <row r="176" spans="175:220" x14ac:dyDescent="0.3">
      <c r="FS176">
        <v>0.52870090634441091</v>
      </c>
      <c r="FT176">
        <v>451.11686041368552</v>
      </c>
      <c r="FW176">
        <v>0.52870090634441091</v>
      </c>
      <c r="FX176">
        <v>292.43808314467469</v>
      </c>
      <c r="GA176">
        <v>0.52870090634441091</v>
      </c>
      <c r="GB176">
        <v>3440.0100955242892</v>
      </c>
      <c r="GE176">
        <v>0.52870090634441091</v>
      </c>
      <c r="GF176">
        <v>796.50212897008078</v>
      </c>
      <c r="GI176">
        <v>0.52870090634441091</v>
      </c>
      <c r="GJ176">
        <v>0.69706108725208349</v>
      </c>
      <c r="GM176">
        <v>0.52870090634441091</v>
      </c>
      <c r="GN176">
        <v>0.8380289722419727</v>
      </c>
      <c r="GQ176">
        <v>0.52870090634441091</v>
      </c>
      <c r="GR176">
        <v>0.775732205685845</v>
      </c>
      <c r="GU176">
        <v>0.52870090634441091</v>
      </c>
      <c r="GV176">
        <v>0.79178452445963887</v>
      </c>
      <c r="GY176">
        <v>0.52870090634441091</v>
      </c>
      <c r="GZ176">
        <v>0.7827759631177218</v>
      </c>
      <c r="HC176">
        <v>0.52870090634441091</v>
      </c>
      <c r="HD176">
        <v>0.80799343485830288</v>
      </c>
      <c r="HK176">
        <v>419.45825195615021</v>
      </c>
      <c r="HL176">
        <v>2365.348117495867</v>
      </c>
    </row>
    <row r="177" spans="175:220" x14ac:dyDescent="0.3">
      <c r="FS177">
        <v>0.53172205438066467</v>
      </c>
      <c r="FT177">
        <v>451.48775062653851</v>
      </c>
      <c r="FW177">
        <v>0.53172205438066467</v>
      </c>
      <c r="FX177">
        <v>292.48759349753823</v>
      </c>
      <c r="GA177">
        <v>0.53172205438066467</v>
      </c>
      <c r="GB177">
        <v>3454.1609641972718</v>
      </c>
      <c r="GE177">
        <v>0.53172205438066467</v>
      </c>
      <c r="GF177">
        <v>796.50855284554268</v>
      </c>
      <c r="GI177">
        <v>0.53172205438066467</v>
      </c>
      <c r="GJ177">
        <v>0.69940567196737535</v>
      </c>
      <c r="GM177">
        <v>0.53172205438066467</v>
      </c>
      <c r="GN177">
        <v>0.83825251138000045</v>
      </c>
      <c r="GQ177">
        <v>0.53172205438066467</v>
      </c>
      <c r="GR177">
        <v>0.77671790558042386</v>
      </c>
      <c r="GU177">
        <v>0.53172205438066467</v>
      </c>
      <c r="GV177">
        <v>0.79319508767913405</v>
      </c>
      <c r="GY177">
        <v>0.53172205438066467</v>
      </c>
      <c r="GZ177">
        <v>0.7841985020116683</v>
      </c>
      <c r="HC177">
        <v>0.53172205438066467</v>
      </c>
      <c r="HD177">
        <v>0.80966546312975962</v>
      </c>
      <c r="HK177">
        <v>496.7649004882162</v>
      </c>
      <c r="HL177">
        <v>4897.460721034211</v>
      </c>
    </row>
    <row r="178" spans="175:220" x14ac:dyDescent="0.3">
      <c r="FS178">
        <v>0.53474320241691842</v>
      </c>
      <c r="FT178">
        <v>451.81145161288703</v>
      </c>
      <c r="FW178">
        <v>0.53474320241691842</v>
      </c>
      <c r="FX178">
        <v>292.58079762469532</v>
      </c>
      <c r="GA178">
        <v>0.53474320241691842</v>
      </c>
      <c r="GB178">
        <v>3458.207296458289</v>
      </c>
      <c r="GE178">
        <v>0.53474320241691842</v>
      </c>
      <c r="GF178">
        <v>799.31486239923765</v>
      </c>
      <c r="GI178">
        <v>0.53474320241691842</v>
      </c>
      <c r="GJ178">
        <v>0.70041444070059</v>
      </c>
      <c r="GM178">
        <v>0.53474320241691842</v>
      </c>
      <c r="GN178">
        <v>0.83864170021626738</v>
      </c>
      <c r="GQ178">
        <v>0.53474320241691842</v>
      </c>
      <c r="GR178">
        <v>0.77742207938678209</v>
      </c>
      <c r="GU178">
        <v>0.53474320241691842</v>
      </c>
      <c r="GV178">
        <v>0.79350947176196851</v>
      </c>
      <c r="GY178">
        <v>0.53474320241691842</v>
      </c>
      <c r="GZ178">
        <v>0.78467071206658667</v>
      </c>
      <c r="HC178">
        <v>0.53474320241691842</v>
      </c>
      <c r="HD178">
        <v>0.81045874015027997</v>
      </c>
    </row>
    <row r="179" spans="175:220" x14ac:dyDescent="0.3">
      <c r="FS179">
        <v>0.53776435045317217</v>
      </c>
      <c r="FT179">
        <v>451.86786247073968</v>
      </c>
      <c r="FW179">
        <v>0.53776435045317217</v>
      </c>
      <c r="FX179">
        <v>292.61684009552931</v>
      </c>
      <c r="GA179">
        <v>0.53776435045317217</v>
      </c>
      <c r="GB179">
        <v>3460.363839446954</v>
      </c>
      <c r="GE179">
        <v>0.53776435045317217</v>
      </c>
      <c r="GF179">
        <v>801.12428992705441</v>
      </c>
      <c r="GI179">
        <v>0.53776435045317217</v>
      </c>
      <c r="GJ179">
        <v>0.70121594867776116</v>
      </c>
      <c r="GM179">
        <v>0.53776435045317217</v>
      </c>
      <c r="GN179">
        <v>0.83926546324438678</v>
      </c>
      <c r="GQ179">
        <v>0.53776435045317217</v>
      </c>
      <c r="GR179">
        <v>0.77755263393975105</v>
      </c>
      <c r="GU179">
        <v>0.53776435045317217</v>
      </c>
      <c r="GV179">
        <v>0.79437935974924645</v>
      </c>
      <c r="GY179">
        <v>0.53776435045317217</v>
      </c>
      <c r="GZ179">
        <v>0.78503494476913882</v>
      </c>
      <c r="HC179">
        <v>0.53776435045317217</v>
      </c>
      <c r="HD179">
        <v>0.81110089249857298</v>
      </c>
    </row>
    <row r="180" spans="175:220" x14ac:dyDescent="0.3">
      <c r="FS180">
        <v>0.54078549848942603</v>
      </c>
      <c r="FT180">
        <v>452.34015732564882</v>
      </c>
      <c r="FW180">
        <v>0.54078549848942603</v>
      </c>
      <c r="FX180">
        <v>292.64872900054638</v>
      </c>
      <c r="GA180">
        <v>0.54078549848942603</v>
      </c>
      <c r="GB180">
        <v>3497.9121428335402</v>
      </c>
      <c r="GE180">
        <v>0.54078549848942603</v>
      </c>
      <c r="GF180">
        <v>815.77209617820529</v>
      </c>
      <c r="GI180">
        <v>0.54078549848942603</v>
      </c>
      <c r="GJ180">
        <v>0.70183647543332739</v>
      </c>
      <c r="GM180">
        <v>0.54078549848942603</v>
      </c>
      <c r="GN180">
        <v>0.83999590691185</v>
      </c>
      <c r="GQ180">
        <v>0.54078549848942603</v>
      </c>
      <c r="GR180">
        <v>0.77802992126054782</v>
      </c>
      <c r="GU180">
        <v>0.54078549848942603</v>
      </c>
      <c r="GV180">
        <v>0.79585418957697895</v>
      </c>
      <c r="GY180">
        <v>0.54078549848942603</v>
      </c>
      <c r="GZ180">
        <v>0.78605168250205804</v>
      </c>
      <c r="HC180">
        <v>0.54078549848942603</v>
      </c>
      <c r="HD180">
        <v>0.81176103619006568</v>
      </c>
    </row>
    <row r="181" spans="175:220" x14ac:dyDescent="0.3">
      <c r="FS181">
        <v>0.54380664652567978</v>
      </c>
      <c r="FT181">
        <v>452.54370788356232</v>
      </c>
      <c r="FW181">
        <v>0.54380664652567978</v>
      </c>
      <c r="FX181">
        <v>292.70255829948218</v>
      </c>
      <c r="GA181">
        <v>0.54380664652567978</v>
      </c>
      <c r="GB181">
        <v>3514.7013689886189</v>
      </c>
      <c r="GE181">
        <v>0.54380664652567978</v>
      </c>
      <c r="GF181">
        <v>817.33800223752814</v>
      </c>
      <c r="GI181">
        <v>0.54380664652567978</v>
      </c>
      <c r="GJ181">
        <v>0.70582987172504652</v>
      </c>
      <c r="GM181">
        <v>0.54380664652567978</v>
      </c>
      <c r="GN181">
        <v>0.84100172630511794</v>
      </c>
      <c r="GQ181">
        <v>0.54380664652567978</v>
      </c>
      <c r="GR181">
        <v>0.77891317702318397</v>
      </c>
      <c r="GU181">
        <v>0.54380664652567978</v>
      </c>
      <c r="GV181">
        <v>0.79669195142997384</v>
      </c>
      <c r="GY181">
        <v>0.54380664652567978</v>
      </c>
      <c r="GZ181">
        <v>0.78802247196836051</v>
      </c>
      <c r="HC181">
        <v>0.54380664652567978</v>
      </c>
      <c r="HD181">
        <v>0.81330602449083045</v>
      </c>
    </row>
    <row r="182" spans="175:220" x14ac:dyDescent="0.3">
      <c r="FS182">
        <v>0.54682779456193353</v>
      </c>
      <c r="FT182">
        <v>452.59835882759381</v>
      </c>
      <c r="FW182">
        <v>0.54682779456193353</v>
      </c>
      <c r="FX182">
        <v>292.71593371609367</v>
      </c>
      <c r="GA182">
        <v>0.54682779456193353</v>
      </c>
      <c r="GB182">
        <v>3525.8791397219461</v>
      </c>
      <c r="GE182">
        <v>0.54682779456193353</v>
      </c>
      <c r="GF182">
        <v>820.08193500838001</v>
      </c>
      <c r="GI182">
        <v>0.54682779456193353</v>
      </c>
      <c r="GJ182">
        <v>0.70665647882428273</v>
      </c>
      <c r="GM182">
        <v>0.54682779456193353</v>
      </c>
      <c r="GN182">
        <v>0.84118452336787086</v>
      </c>
      <c r="GQ182">
        <v>0.54682779456193353</v>
      </c>
      <c r="GR182">
        <v>0.77988237067874966</v>
      </c>
      <c r="GU182">
        <v>0.54682779456193353</v>
      </c>
      <c r="GV182">
        <v>0.79675299161579116</v>
      </c>
      <c r="GY182">
        <v>0.54682779456193353</v>
      </c>
      <c r="GZ182">
        <v>0.78950721023963344</v>
      </c>
      <c r="HC182">
        <v>0.54682779456193353</v>
      </c>
      <c r="HD182">
        <v>0.8133959038739641</v>
      </c>
    </row>
    <row r="183" spans="175:220" x14ac:dyDescent="0.3">
      <c r="FS183">
        <v>0.54984894259818728</v>
      </c>
      <c r="FT183">
        <v>452.78999567489649</v>
      </c>
      <c r="FW183">
        <v>0.54984894259818728</v>
      </c>
      <c r="FX183">
        <v>292.79281268319312</v>
      </c>
      <c r="GA183">
        <v>0.54984894259818728</v>
      </c>
      <c r="GB183">
        <v>3529.9691694074158</v>
      </c>
      <c r="GE183">
        <v>0.54984894259818728</v>
      </c>
      <c r="GF183">
        <v>827.11127531487443</v>
      </c>
      <c r="GI183">
        <v>0.54984894259818728</v>
      </c>
      <c r="GJ183">
        <v>0.70767431712851492</v>
      </c>
      <c r="GM183">
        <v>0.54984894259818728</v>
      </c>
      <c r="GN183">
        <v>0.84152074197312221</v>
      </c>
      <c r="GQ183">
        <v>0.54984894259818728</v>
      </c>
      <c r="GR183">
        <v>0.78081298036575342</v>
      </c>
      <c r="GU183">
        <v>0.54984894259818728</v>
      </c>
      <c r="GV183">
        <v>0.79768815972876972</v>
      </c>
      <c r="GY183">
        <v>0.54984894259818728</v>
      </c>
      <c r="GZ183">
        <v>0.79010742760184138</v>
      </c>
      <c r="HC183">
        <v>0.54984894259818728</v>
      </c>
      <c r="HD183">
        <v>0.81388625685745963</v>
      </c>
    </row>
    <row r="184" spans="175:220" x14ac:dyDescent="0.3">
      <c r="FS184">
        <v>0.55287009063444104</v>
      </c>
      <c r="FT184">
        <v>453.13008205640062</v>
      </c>
      <c r="FW184">
        <v>0.55287009063444104</v>
      </c>
      <c r="FX184">
        <v>292.93789326274612</v>
      </c>
      <c r="GA184">
        <v>0.55287009063444104</v>
      </c>
      <c r="GB184">
        <v>3532.720065619244</v>
      </c>
      <c r="GE184">
        <v>0.55287009063444104</v>
      </c>
      <c r="GF184">
        <v>828.3142548484592</v>
      </c>
      <c r="GI184">
        <v>0.55287009063444104</v>
      </c>
      <c r="GJ184">
        <v>0.70820396100065786</v>
      </c>
      <c r="GM184">
        <v>0.55287009063444104</v>
      </c>
      <c r="GN184">
        <v>0.8421334524264773</v>
      </c>
      <c r="GQ184">
        <v>0.55287009063444104</v>
      </c>
      <c r="GR184">
        <v>0.78149735203968163</v>
      </c>
      <c r="GU184">
        <v>0.55287009063444104</v>
      </c>
      <c r="GV184">
        <v>0.79906922208262687</v>
      </c>
      <c r="GY184">
        <v>0.55287009063444104</v>
      </c>
      <c r="GZ184">
        <v>0.79080486815462048</v>
      </c>
      <c r="HC184">
        <v>0.55287009063444104</v>
      </c>
      <c r="HD184">
        <v>0.81430190652222101</v>
      </c>
    </row>
    <row r="185" spans="175:220" x14ac:dyDescent="0.3">
      <c r="FS185">
        <v>0.5558912386706949</v>
      </c>
      <c r="FT185">
        <v>453.53226755635671</v>
      </c>
      <c r="FW185">
        <v>0.5558912386706949</v>
      </c>
      <c r="FX185">
        <v>293.02046503648199</v>
      </c>
      <c r="GA185">
        <v>0.5558912386706949</v>
      </c>
      <c r="GB185">
        <v>3540.032699498654</v>
      </c>
      <c r="GE185">
        <v>0.5558912386706949</v>
      </c>
      <c r="GF185">
        <v>830.47621839296403</v>
      </c>
      <c r="GI185">
        <v>0.5558912386706949</v>
      </c>
      <c r="GJ185">
        <v>0.70919328969059581</v>
      </c>
      <c r="GM185">
        <v>0.5558912386706949</v>
      </c>
      <c r="GN185">
        <v>0.84248789306897287</v>
      </c>
      <c r="GQ185">
        <v>0.5558912386706949</v>
      </c>
      <c r="GR185">
        <v>0.78251229069101513</v>
      </c>
      <c r="GU185">
        <v>0.5558912386706949</v>
      </c>
      <c r="GV185">
        <v>0.79935960308300591</v>
      </c>
      <c r="GY185">
        <v>0.5558912386706949</v>
      </c>
      <c r="GZ185">
        <v>0.79147488389772458</v>
      </c>
      <c r="HC185">
        <v>0.5558912386706949</v>
      </c>
      <c r="HD185">
        <v>0.81469550995180606</v>
      </c>
    </row>
    <row r="186" spans="175:220" x14ac:dyDescent="0.3">
      <c r="FS186">
        <v>0.55891238670694865</v>
      </c>
      <c r="FT186">
        <v>453.69556514867611</v>
      </c>
      <c r="FW186">
        <v>0.55891238670694865</v>
      </c>
      <c r="FX186">
        <v>293.07172190121298</v>
      </c>
      <c r="GA186">
        <v>0.55891238670694865</v>
      </c>
      <c r="GB186">
        <v>3569.5788322650392</v>
      </c>
      <c r="GE186">
        <v>0.55891238670694865</v>
      </c>
      <c r="GF186">
        <v>836.05831694657627</v>
      </c>
      <c r="GI186">
        <v>0.55891238670694865</v>
      </c>
      <c r="GJ186">
        <v>0.71036211785535175</v>
      </c>
      <c r="GM186">
        <v>0.55891238670694865</v>
      </c>
      <c r="GN186">
        <v>0.84317013345425051</v>
      </c>
      <c r="GQ186">
        <v>0.55891238670694865</v>
      </c>
      <c r="GR186">
        <v>0.78261338651447732</v>
      </c>
      <c r="GU186">
        <v>0.55891238670694865</v>
      </c>
      <c r="GV186">
        <v>0.79960575021110292</v>
      </c>
      <c r="GY186">
        <v>0.55891238670694865</v>
      </c>
      <c r="GZ186">
        <v>0.79165459508171088</v>
      </c>
      <c r="HC186">
        <v>0.55891238670694865</v>
      </c>
      <c r="HD186">
        <v>0.81556760917656168</v>
      </c>
    </row>
    <row r="187" spans="175:220" x14ac:dyDescent="0.3">
      <c r="FS187">
        <v>0.5619335347432024</v>
      </c>
      <c r="FT187">
        <v>454.34901017036418</v>
      </c>
      <c r="FW187">
        <v>0.5619335347432024</v>
      </c>
      <c r="FX187">
        <v>293.16763585205513</v>
      </c>
      <c r="GA187">
        <v>0.5619335347432024</v>
      </c>
      <c r="GB187">
        <v>3574.8374387542531</v>
      </c>
      <c r="GE187">
        <v>0.5619335347432024</v>
      </c>
      <c r="GF187">
        <v>838.66486664302386</v>
      </c>
      <c r="GI187">
        <v>0.5619335347432024</v>
      </c>
      <c r="GJ187">
        <v>0.71243521629747009</v>
      </c>
      <c r="GM187">
        <v>0.5619335347432024</v>
      </c>
      <c r="GN187">
        <v>0.84358399303407117</v>
      </c>
      <c r="GQ187">
        <v>0.5619335347432024</v>
      </c>
      <c r="GR187">
        <v>0.78487341300348734</v>
      </c>
      <c r="GU187">
        <v>0.5619335347432024</v>
      </c>
      <c r="GV187">
        <v>0.80185390571094883</v>
      </c>
      <c r="GY187">
        <v>0.5619335347432024</v>
      </c>
      <c r="GZ187">
        <v>0.79321783229987997</v>
      </c>
      <c r="HC187">
        <v>0.5619335347432024</v>
      </c>
      <c r="HD187">
        <v>0.81629374292707935</v>
      </c>
    </row>
    <row r="188" spans="175:220" x14ac:dyDescent="0.3">
      <c r="FS188">
        <v>0.56495468277945615</v>
      </c>
      <c r="FT188">
        <v>454.45240456343072</v>
      </c>
      <c r="FW188">
        <v>0.56495468277945615</v>
      </c>
      <c r="FX188">
        <v>293.18796474276331</v>
      </c>
      <c r="GA188">
        <v>0.56495468277945615</v>
      </c>
      <c r="GB188">
        <v>3577.6494919732422</v>
      </c>
      <c r="GE188">
        <v>0.56495468277945615</v>
      </c>
      <c r="GF188">
        <v>841.0457733940583</v>
      </c>
      <c r="GI188">
        <v>0.56495468277945615</v>
      </c>
      <c r="GJ188">
        <v>0.71432108492113533</v>
      </c>
      <c r="GM188">
        <v>0.56495468277945615</v>
      </c>
      <c r="GN188">
        <v>0.8439427943173331</v>
      </c>
      <c r="GQ188">
        <v>0.56495468277945615</v>
      </c>
      <c r="GR188">
        <v>0.78534143681291835</v>
      </c>
      <c r="GU188">
        <v>0.56495468277945615</v>
      </c>
      <c r="GV188">
        <v>0.805766255847298</v>
      </c>
      <c r="GY188">
        <v>0.56495468277945615</v>
      </c>
      <c r="GZ188">
        <v>0.79323378079405482</v>
      </c>
      <c r="HC188">
        <v>0.56495468277945615</v>
      </c>
      <c r="HD188">
        <v>0.81651476830528258</v>
      </c>
    </row>
    <row r="189" spans="175:220" x14ac:dyDescent="0.3">
      <c r="FS189">
        <v>0.56797583081571001</v>
      </c>
      <c r="FT189">
        <v>454.92783447346631</v>
      </c>
      <c r="FW189">
        <v>0.56797583081571001</v>
      </c>
      <c r="FX189">
        <v>293.29167303340517</v>
      </c>
      <c r="GA189">
        <v>0.56797583081571001</v>
      </c>
      <c r="GB189">
        <v>3588.7479973588529</v>
      </c>
      <c r="GE189">
        <v>0.56797583081571001</v>
      </c>
      <c r="GF189">
        <v>841.64949983374345</v>
      </c>
      <c r="GI189">
        <v>0.56797583081571001</v>
      </c>
      <c r="GJ189">
        <v>0.7149155642590479</v>
      </c>
      <c r="GM189">
        <v>0.56797583081571001</v>
      </c>
      <c r="GN189">
        <v>0.84408844357037216</v>
      </c>
      <c r="GQ189">
        <v>0.56797583081571001</v>
      </c>
      <c r="GR189">
        <v>0.78569621543407564</v>
      </c>
      <c r="GU189">
        <v>0.56797583081571001</v>
      </c>
      <c r="GV189">
        <v>0.80658857838568565</v>
      </c>
      <c r="GY189">
        <v>0.56797583081571001</v>
      </c>
      <c r="GZ189">
        <v>0.79507665345952816</v>
      </c>
      <c r="HC189">
        <v>0.56797583081571001</v>
      </c>
      <c r="HD189">
        <v>0.81672090674089448</v>
      </c>
    </row>
    <row r="190" spans="175:220" x14ac:dyDescent="0.3">
      <c r="FS190">
        <v>0.57099697885196377</v>
      </c>
      <c r="FT190">
        <v>454.92868702196341</v>
      </c>
      <c r="FW190">
        <v>0.57099697885196377</v>
      </c>
      <c r="FX190">
        <v>293.34526293924159</v>
      </c>
      <c r="GA190">
        <v>0.57099697885196377</v>
      </c>
      <c r="GB190">
        <v>3598.295411482984</v>
      </c>
      <c r="GE190">
        <v>0.57099697885196377</v>
      </c>
      <c r="GF190">
        <v>847.13068235478227</v>
      </c>
      <c r="GI190">
        <v>0.57099697885196377</v>
      </c>
      <c r="GJ190">
        <v>0.71592959156803893</v>
      </c>
      <c r="GM190">
        <v>0.57099697885196377</v>
      </c>
      <c r="GN190">
        <v>0.8446366487144541</v>
      </c>
      <c r="GQ190">
        <v>0.57099697885196377</v>
      </c>
      <c r="GR190">
        <v>0.78672351056528422</v>
      </c>
      <c r="GU190">
        <v>0.57099697885196377</v>
      </c>
      <c r="GV190">
        <v>0.80868410348138342</v>
      </c>
      <c r="GY190">
        <v>0.57099697885196377</v>
      </c>
      <c r="GZ190">
        <v>0.79508712988869323</v>
      </c>
      <c r="HC190">
        <v>0.57099697885196377</v>
      </c>
      <c r="HD190">
        <v>0.81861782756414359</v>
      </c>
    </row>
    <row r="191" spans="175:220" x14ac:dyDescent="0.3">
      <c r="FS191">
        <v>0.57401812688821752</v>
      </c>
      <c r="FT191">
        <v>455.29035022854163</v>
      </c>
      <c r="FW191">
        <v>0.57401812688821752</v>
      </c>
      <c r="FX191">
        <v>293.35841274543537</v>
      </c>
      <c r="GA191">
        <v>0.57401812688821752</v>
      </c>
      <c r="GB191">
        <v>3600.0154292759512</v>
      </c>
      <c r="GE191">
        <v>0.57401812688821752</v>
      </c>
      <c r="GF191">
        <v>853.35442767123982</v>
      </c>
      <c r="GI191">
        <v>0.57401812688821752</v>
      </c>
      <c r="GJ191">
        <v>0.71649655924093003</v>
      </c>
      <c r="GM191">
        <v>0.57401812688821752</v>
      </c>
      <c r="GN191">
        <v>0.84479553896066673</v>
      </c>
      <c r="GQ191">
        <v>0.57401812688821752</v>
      </c>
      <c r="GR191">
        <v>0.7874468451395461</v>
      </c>
      <c r="GU191">
        <v>0.57401812688821752</v>
      </c>
      <c r="GV191">
        <v>0.80964582902399973</v>
      </c>
      <c r="GY191">
        <v>0.57401812688821752</v>
      </c>
      <c r="GZ191">
        <v>0.79683548019542239</v>
      </c>
      <c r="HC191">
        <v>0.57401812688821752</v>
      </c>
      <c r="HD191">
        <v>0.81960948785830268</v>
      </c>
    </row>
    <row r="192" spans="175:220" x14ac:dyDescent="0.3">
      <c r="FS192">
        <v>0.57703927492447127</v>
      </c>
      <c r="FT192">
        <v>455.35018109001402</v>
      </c>
      <c r="FW192">
        <v>0.57703927492447127</v>
      </c>
      <c r="FX192">
        <v>293.52077715964941</v>
      </c>
      <c r="GA192">
        <v>0.57703927492447127</v>
      </c>
      <c r="GB192">
        <v>3614.3386809128278</v>
      </c>
      <c r="GE192">
        <v>0.57703927492447127</v>
      </c>
      <c r="GF192">
        <v>857.33095370029355</v>
      </c>
      <c r="GI192">
        <v>0.57703927492447127</v>
      </c>
      <c r="GJ192">
        <v>0.71771086338682766</v>
      </c>
      <c r="GM192">
        <v>0.57703927492447127</v>
      </c>
      <c r="GN192">
        <v>0.84555989900543382</v>
      </c>
      <c r="GQ192">
        <v>0.57703927492447127</v>
      </c>
      <c r="GR192">
        <v>0.78773558832684387</v>
      </c>
      <c r="GU192">
        <v>0.57703927492447127</v>
      </c>
      <c r="GV192">
        <v>0.81043112666589256</v>
      </c>
      <c r="GY192">
        <v>0.57703927492447127</v>
      </c>
      <c r="GZ192">
        <v>0.79723460044925554</v>
      </c>
      <c r="HC192">
        <v>0.57703927492447127</v>
      </c>
      <c r="HD192">
        <v>0.82010741976686308</v>
      </c>
    </row>
    <row r="193" spans="175:212" x14ac:dyDescent="0.3">
      <c r="FS193">
        <v>0.58006042296072513</v>
      </c>
      <c r="FT193">
        <v>455.6211208056564</v>
      </c>
      <c r="FW193">
        <v>0.58006042296072513</v>
      </c>
      <c r="FX193">
        <v>293.59147476942599</v>
      </c>
      <c r="GA193">
        <v>0.58006042296072513</v>
      </c>
      <c r="GB193">
        <v>3614.6825239701971</v>
      </c>
      <c r="GE193">
        <v>0.58006042296072513</v>
      </c>
      <c r="GF193">
        <v>861.98322112454161</v>
      </c>
      <c r="GI193">
        <v>0.58006042296072513</v>
      </c>
      <c r="GJ193">
        <v>0.71895768341017419</v>
      </c>
      <c r="GM193">
        <v>0.58006042296072513</v>
      </c>
      <c r="GN193">
        <v>0.8456920991708452</v>
      </c>
      <c r="GQ193">
        <v>0.58006042296072513</v>
      </c>
      <c r="GR193">
        <v>0.78844179094206712</v>
      </c>
      <c r="GU193">
        <v>0.58006042296072513</v>
      </c>
      <c r="GV193">
        <v>0.81080597612916672</v>
      </c>
      <c r="GY193">
        <v>0.58006042296072513</v>
      </c>
      <c r="GZ193">
        <v>0.79793126014084637</v>
      </c>
      <c r="HC193">
        <v>0.58006042296072513</v>
      </c>
      <c r="HD193">
        <v>0.82069268404072249</v>
      </c>
    </row>
    <row r="194" spans="175:212" x14ac:dyDescent="0.3">
      <c r="FS194">
        <v>0.58308157099697888</v>
      </c>
      <c r="FT194">
        <v>455.90951488806371</v>
      </c>
      <c r="FW194">
        <v>0.58308157099697888</v>
      </c>
      <c r="FX194">
        <v>293.72116595198372</v>
      </c>
      <c r="GA194">
        <v>0.58308157099697888</v>
      </c>
      <c r="GB194">
        <v>3622.1218135104641</v>
      </c>
      <c r="GE194">
        <v>0.58308157099697888</v>
      </c>
      <c r="GF194">
        <v>867.10217362629533</v>
      </c>
      <c r="GI194">
        <v>0.58308157099697888</v>
      </c>
      <c r="GJ194">
        <v>0.7194128491740428</v>
      </c>
      <c r="GM194">
        <v>0.58308157099697888</v>
      </c>
      <c r="GN194">
        <v>0.8458840167558298</v>
      </c>
      <c r="GQ194">
        <v>0.58308157099697888</v>
      </c>
      <c r="GR194">
        <v>0.78878088559630621</v>
      </c>
      <c r="GU194">
        <v>0.58308157099697888</v>
      </c>
      <c r="GV194">
        <v>0.81235260883404048</v>
      </c>
      <c r="GY194">
        <v>0.58308157099697888</v>
      </c>
      <c r="GZ194">
        <v>0.80011279353511977</v>
      </c>
      <c r="HC194">
        <v>0.58308157099697888</v>
      </c>
      <c r="HD194">
        <v>0.82116389744075635</v>
      </c>
    </row>
    <row r="195" spans="175:212" x14ac:dyDescent="0.3">
      <c r="FS195">
        <v>0.58610271903323263</v>
      </c>
      <c r="FT195">
        <v>456.47313427496931</v>
      </c>
      <c r="FW195">
        <v>0.58610271903323263</v>
      </c>
      <c r="FX195">
        <v>293.77442526587788</v>
      </c>
      <c r="GA195">
        <v>0.58610271903323263</v>
      </c>
      <c r="GB195">
        <v>3626.1873604246471</v>
      </c>
      <c r="GE195">
        <v>0.58610271903323263</v>
      </c>
      <c r="GF195">
        <v>867.75388844891245</v>
      </c>
      <c r="GI195">
        <v>0.58610271903323263</v>
      </c>
      <c r="GJ195">
        <v>0.7214007806199999</v>
      </c>
      <c r="GM195">
        <v>0.58610271903323263</v>
      </c>
      <c r="GN195">
        <v>0.84662792447960822</v>
      </c>
      <c r="GQ195">
        <v>0.58610271903323263</v>
      </c>
      <c r="GR195">
        <v>0.78927575227954849</v>
      </c>
      <c r="GU195">
        <v>0.58610271903323263</v>
      </c>
      <c r="GV195">
        <v>0.81270248304542969</v>
      </c>
      <c r="GY195">
        <v>0.58610271903323263</v>
      </c>
      <c r="GZ195">
        <v>0.80103529769621362</v>
      </c>
      <c r="HC195">
        <v>0.58610271903323263</v>
      </c>
      <c r="HD195">
        <v>0.82149992334063815</v>
      </c>
    </row>
    <row r="196" spans="175:212" x14ac:dyDescent="0.3">
      <c r="FS196">
        <v>0.58912386706948638</v>
      </c>
      <c r="FT196">
        <v>457.0254121424249</v>
      </c>
      <c r="FW196">
        <v>0.58912386706948638</v>
      </c>
      <c r="FX196">
        <v>293.87394988039421</v>
      </c>
      <c r="GA196">
        <v>0.58912386706948638</v>
      </c>
      <c r="GB196">
        <v>3635.7903717331678</v>
      </c>
      <c r="GE196">
        <v>0.58912386706948638</v>
      </c>
      <c r="GF196">
        <v>871.91060596327191</v>
      </c>
      <c r="GI196">
        <v>0.58912386706948638</v>
      </c>
      <c r="GJ196">
        <v>0.72175803751061196</v>
      </c>
      <c r="GM196">
        <v>0.58912386706948638</v>
      </c>
      <c r="GN196">
        <v>0.84675692259449886</v>
      </c>
      <c r="GQ196">
        <v>0.58912386706948638</v>
      </c>
      <c r="GR196">
        <v>0.78991267127186005</v>
      </c>
      <c r="GU196">
        <v>0.58912386706948638</v>
      </c>
      <c r="GV196">
        <v>0.81357724650878527</v>
      </c>
      <c r="GY196">
        <v>0.58912386706948638</v>
      </c>
      <c r="GZ196">
        <v>0.80249984122673257</v>
      </c>
      <c r="HC196">
        <v>0.58912386706948638</v>
      </c>
      <c r="HD196">
        <v>0.82198290055444356</v>
      </c>
    </row>
    <row r="197" spans="175:212" x14ac:dyDescent="0.3">
      <c r="FS197">
        <v>0.59214501510574014</v>
      </c>
      <c r="FT197">
        <v>457.50010504522243</v>
      </c>
      <c r="FW197">
        <v>0.59214501510574014</v>
      </c>
      <c r="FX197">
        <v>293.91631955898299</v>
      </c>
      <c r="GA197">
        <v>0.59214501510574014</v>
      </c>
      <c r="GB197">
        <v>3654.2991540117559</v>
      </c>
      <c r="GE197">
        <v>0.59214501510574014</v>
      </c>
      <c r="GF197">
        <v>872.20860390269002</v>
      </c>
      <c r="GI197">
        <v>0.59214501510574014</v>
      </c>
      <c r="GJ197">
        <v>0.72292958414076181</v>
      </c>
      <c r="GM197">
        <v>0.59214501510574014</v>
      </c>
      <c r="GN197">
        <v>0.84694890831375902</v>
      </c>
      <c r="GQ197">
        <v>0.59214501510574014</v>
      </c>
      <c r="GR197">
        <v>0.79125806705382451</v>
      </c>
      <c r="GU197">
        <v>0.59214501510574014</v>
      </c>
      <c r="GV197">
        <v>0.81432419021673885</v>
      </c>
      <c r="GY197">
        <v>0.59214501510574014</v>
      </c>
      <c r="GZ197">
        <v>0.80330306739747737</v>
      </c>
      <c r="HC197">
        <v>0.59214501510574014</v>
      </c>
      <c r="HD197">
        <v>0.82313234257378598</v>
      </c>
    </row>
    <row r="198" spans="175:212" x14ac:dyDescent="0.3">
      <c r="FS198">
        <v>0.595166163141994</v>
      </c>
      <c r="FT198">
        <v>457.55176317752841</v>
      </c>
      <c r="FW198">
        <v>0.595166163141994</v>
      </c>
      <c r="FX198">
        <v>293.95869623720858</v>
      </c>
      <c r="GA198">
        <v>0.595166163141994</v>
      </c>
      <c r="GB198">
        <v>3659.8997462232151</v>
      </c>
      <c r="GE198">
        <v>0.595166163141994</v>
      </c>
      <c r="GF198">
        <v>879.44979149559902</v>
      </c>
      <c r="GI198">
        <v>0.595166163141994</v>
      </c>
      <c r="GJ198">
        <v>0.72423354055683009</v>
      </c>
      <c r="GM198">
        <v>0.595166163141994</v>
      </c>
      <c r="GN198">
        <v>0.84788070276619121</v>
      </c>
      <c r="GQ198">
        <v>0.595166163141994</v>
      </c>
      <c r="GR198">
        <v>0.79169888674157285</v>
      </c>
      <c r="GU198">
        <v>0.595166163141994</v>
      </c>
      <c r="GV198">
        <v>0.81470356451565196</v>
      </c>
      <c r="GY198">
        <v>0.595166163141994</v>
      </c>
      <c r="GZ198">
        <v>0.80465579647248608</v>
      </c>
      <c r="HC198">
        <v>0.595166163141994</v>
      </c>
      <c r="HD198">
        <v>0.82314396755788255</v>
      </c>
    </row>
    <row r="199" spans="175:212" x14ac:dyDescent="0.3">
      <c r="FS199">
        <v>0.59818731117824775</v>
      </c>
      <c r="FT199">
        <v>457.75253904977728</v>
      </c>
      <c r="FW199">
        <v>0.59818731117824775</v>
      </c>
      <c r="FX199">
        <v>294.03714776148541</v>
      </c>
      <c r="GA199">
        <v>0.59818731117824775</v>
      </c>
      <c r="GB199">
        <v>3665.962676103748</v>
      </c>
      <c r="GE199">
        <v>0.59818731117824775</v>
      </c>
      <c r="GF199">
        <v>887.93968167136313</v>
      </c>
      <c r="GI199">
        <v>0.59818731117824775</v>
      </c>
      <c r="GJ199">
        <v>0.72451810009948991</v>
      </c>
      <c r="GM199">
        <v>0.59818731117824775</v>
      </c>
      <c r="GN199">
        <v>0.84867643558564687</v>
      </c>
      <c r="GQ199">
        <v>0.59818731117824775</v>
      </c>
      <c r="GR199">
        <v>0.79262313392092976</v>
      </c>
      <c r="GU199">
        <v>0.59818731117824775</v>
      </c>
      <c r="GV199">
        <v>0.81570197341765005</v>
      </c>
      <c r="GY199">
        <v>0.59818731117824775</v>
      </c>
      <c r="GZ199">
        <v>0.80624329641824011</v>
      </c>
      <c r="HC199">
        <v>0.59818731117824775</v>
      </c>
      <c r="HD199">
        <v>0.8244892781239832</v>
      </c>
    </row>
    <row r="200" spans="175:212" x14ac:dyDescent="0.3">
      <c r="FS200">
        <v>0.6012084592145015</v>
      </c>
      <c r="FT200">
        <v>458.12324088409849</v>
      </c>
      <c r="FW200">
        <v>0.6012084592145015</v>
      </c>
      <c r="FX200">
        <v>294.03845578439808</v>
      </c>
      <c r="GA200">
        <v>0.6012084592145015</v>
      </c>
      <c r="GB200">
        <v>3678.498952336176</v>
      </c>
      <c r="GE200">
        <v>0.6012084592145015</v>
      </c>
      <c r="GF200">
        <v>890.64743267284507</v>
      </c>
      <c r="GI200">
        <v>0.6012084592145015</v>
      </c>
      <c r="GJ200">
        <v>0.72586769499630921</v>
      </c>
      <c r="GM200">
        <v>0.6012084592145015</v>
      </c>
      <c r="GN200">
        <v>0.84944141528808825</v>
      </c>
      <c r="GQ200">
        <v>0.6012084592145015</v>
      </c>
      <c r="GR200">
        <v>0.79273176532360956</v>
      </c>
      <c r="GU200">
        <v>0.6012084592145015</v>
      </c>
      <c r="GV200">
        <v>0.81598978294657187</v>
      </c>
      <c r="GY200">
        <v>0.6012084592145015</v>
      </c>
      <c r="GZ200">
        <v>0.80679928762479902</v>
      </c>
      <c r="HC200">
        <v>0.6012084592145015</v>
      </c>
      <c r="HD200">
        <v>0.8248687813684582</v>
      </c>
    </row>
    <row r="201" spans="175:212" x14ac:dyDescent="0.3">
      <c r="FS201">
        <v>0.60422960725075525</v>
      </c>
      <c r="FT201">
        <v>458.45895174935521</v>
      </c>
      <c r="FW201">
        <v>0.60422960725075525</v>
      </c>
      <c r="FX201">
        <v>294.08681681013599</v>
      </c>
      <c r="GA201">
        <v>0.60422960725075525</v>
      </c>
      <c r="GB201">
        <v>3697.4097324261611</v>
      </c>
      <c r="GE201">
        <v>0.60422960725075525</v>
      </c>
      <c r="GF201">
        <v>894.05451334329746</v>
      </c>
      <c r="GI201">
        <v>0.60422960725075525</v>
      </c>
      <c r="GJ201">
        <v>0.72735970589055043</v>
      </c>
      <c r="GM201">
        <v>0.60422960725075525</v>
      </c>
      <c r="GN201">
        <v>0.84976327591880707</v>
      </c>
      <c r="GQ201">
        <v>0.60422960725075525</v>
      </c>
      <c r="GR201">
        <v>0.79413529775336089</v>
      </c>
      <c r="GU201">
        <v>0.60422960725075525</v>
      </c>
      <c r="GV201">
        <v>0.81792317665380199</v>
      </c>
      <c r="GY201">
        <v>0.60422960725075525</v>
      </c>
      <c r="GZ201">
        <v>0.80707786068978304</v>
      </c>
      <c r="HC201">
        <v>0.60422960725075525</v>
      </c>
      <c r="HD201">
        <v>0.82564215240347139</v>
      </c>
    </row>
    <row r="202" spans="175:212" x14ac:dyDescent="0.3">
      <c r="FS202">
        <v>0.60725075528700911</v>
      </c>
      <c r="FT202">
        <v>458.73678122799868</v>
      </c>
      <c r="FW202">
        <v>0.60725075528700911</v>
      </c>
      <c r="FX202">
        <v>294.19910288287878</v>
      </c>
      <c r="GA202">
        <v>0.60725075528700911</v>
      </c>
      <c r="GB202">
        <v>3716.2500186053762</v>
      </c>
      <c r="GE202">
        <v>0.60725075528700911</v>
      </c>
      <c r="GF202">
        <v>894.32595495804526</v>
      </c>
      <c r="GI202">
        <v>0.60725075528700911</v>
      </c>
      <c r="GJ202">
        <v>0.7274956709884961</v>
      </c>
      <c r="GM202">
        <v>0.60725075528700911</v>
      </c>
      <c r="GN202">
        <v>0.84986557304838206</v>
      </c>
      <c r="GQ202">
        <v>0.60725075528700911</v>
      </c>
      <c r="GR202">
        <v>0.79458396422090494</v>
      </c>
      <c r="GU202">
        <v>0.60725075528700911</v>
      </c>
      <c r="GV202">
        <v>0.81907508566211518</v>
      </c>
      <c r="GY202">
        <v>0.60725075528700911</v>
      </c>
      <c r="GZ202">
        <v>0.80980202949654845</v>
      </c>
      <c r="HC202">
        <v>0.60725075528700911</v>
      </c>
      <c r="HD202">
        <v>0.8257511402651535</v>
      </c>
    </row>
    <row r="203" spans="175:212" x14ac:dyDescent="0.3">
      <c r="FS203">
        <v>0.61027190332326287</v>
      </c>
      <c r="FT203">
        <v>459.44140219608551</v>
      </c>
      <c r="FW203">
        <v>0.61027190332326287</v>
      </c>
      <c r="FX203">
        <v>294.20900123487849</v>
      </c>
      <c r="GA203">
        <v>0.61027190332326287</v>
      </c>
      <c r="GB203">
        <v>3738.6963398577218</v>
      </c>
      <c r="GE203">
        <v>0.61027190332326287</v>
      </c>
      <c r="GF203">
        <v>899.11822816746815</v>
      </c>
      <c r="GI203">
        <v>0.61027190332326287</v>
      </c>
      <c r="GJ203">
        <v>0.72750514869797911</v>
      </c>
      <c r="GM203">
        <v>0.61027190332326287</v>
      </c>
      <c r="GN203">
        <v>0.85127616793263261</v>
      </c>
      <c r="GQ203">
        <v>0.61027190332326287</v>
      </c>
      <c r="GR203">
        <v>0.79544785415059938</v>
      </c>
      <c r="GU203">
        <v>0.61027190332326287</v>
      </c>
      <c r="GV203">
        <v>0.81913049078891054</v>
      </c>
      <c r="GY203">
        <v>0.61027190332326287</v>
      </c>
      <c r="GZ203">
        <v>0.81041804039000476</v>
      </c>
      <c r="HC203">
        <v>0.61027190332326287</v>
      </c>
      <c r="HD203">
        <v>0.8266604829802835</v>
      </c>
    </row>
    <row r="204" spans="175:212" x14ac:dyDescent="0.3">
      <c r="FS204">
        <v>0.61329305135951662</v>
      </c>
      <c r="FT204">
        <v>459.58310194585232</v>
      </c>
      <c r="FW204">
        <v>0.61329305135951662</v>
      </c>
      <c r="FX204">
        <v>294.29590293787561</v>
      </c>
      <c r="GA204">
        <v>0.61329305135951662</v>
      </c>
      <c r="GB204">
        <v>3741.5573585584239</v>
      </c>
      <c r="GE204">
        <v>0.61329305135951662</v>
      </c>
      <c r="GF204">
        <v>902.19488853075541</v>
      </c>
      <c r="GI204">
        <v>0.61329305135951662</v>
      </c>
      <c r="GJ204">
        <v>0.72933169069200399</v>
      </c>
      <c r="GM204">
        <v>0.61329305135951662</v>
      </c>
      <c r="GN204">
        <v>0.85147028009742309</v>
      </c>
      <c r="GQ204">
        <v>0.61329305135951662</v>
      </c>
      <c r="GR204">
        <v>0.79581573982230258</v>
      </c>
      <c r="GU204">
        <v>0.61329305135951662</v>
      </c>
      <c r="GV204">
        <v>0.82093886702417418</v>
      </c>
      <c r="GY204">
        <v>0.61329305135951662</v>
      </c>
      <c r="GZ204">
        <v>0.81071102681942087</v>
      </c>
      <c r="HC204">
        <v>0.61329305135951662</v>
      </c>
      <c r="HD204">
        <v>0.82709568681823109</v>
      </c>
    </row>
    <row r="205" spans="175:212" x14ac:dyDescent="0.3">
      <c r="FS205">
        <v>0.61631419939577037</v>
      </c>
      <c r="FT205">
        <v>459.83914250291099</v>
      </c>
      <c r="FW205">
        <v>0.61631419939577037</v>
      </c>
      <c r="FX205">
        <v>294.30444982725169</v>
      </c>
      <c r="GA205">
        <v>0.61631419939577037</v>
      </c>
      <c r="GB205">
        <v>3742.291748310171</v>
      </c>
      <c r="GE205">
        <v>0.61631419939577037</v>
      </c>
      <c r="GF205">
        <v>905.05150523572115</v>
      </c>
      <c r="GI205">
        <v>0.61631419939577037</v>
      </c>
      <c r="GJ205">
        <v>0.72953224693698626</v>
      </c>
      <c r="GM205">
        <v>0.61631419939577037</v>
      </c>
      <c r="GN205">
        <v>0.85319790913623783</v>
      </c>
      <c r="GQ205">
        <v>0.61631419939577037</v>
      </c>
      <c r="GR205">
        <v>0.79660392262610091</v>
      </c>
      <c r="GU205">
        <v>0.61631419939577037</v>
      </c>
      <c r="GV205">
        <v>0.82143857449363211</v>
      </c>
      <c r="GY205">
        <v>0.61631419939577037</v>
      </c>
      <c r="GZ205">
        <v>0.8127164669238599</v>
      </c>
      <c r="HC205">
        <v>0.61631419939577037</v>
      </c>
      <c r="HD205">
        <v>0.827365073608614</v>
      </c>
    </row>
    <row r="206" spans="175:212" x14ac:dyDescent="0.3">
      <c r="FS206">
        <v>0.61933534743202412</v>
      </c>
      <c r="FT206">
        <v>460.36691114435882</v>
      </c>
      <c r="FW206">
        <v>0.61933534743202412</v>
      </c>
      <c r="FX206">
        <v>294.39893365580332</v>
      </c>
      <c r="GA206">
        <v>0.61933534743202412</v>
      </c>
      <c r="GB206">
        <v>3755.3803760384062</v>
      </c>
      <c r="GE206">
        <v>0.61933534743202412</v>
      </c>
      <c r="GF206">
        <v>905.09328195009596</v>
      </c>
      <c r="GI206">
        <v>0.61933534743202412</v>
      </c>
      <c r="GJ206">
        <v>0.73062595374899719</v>
      </c>
      <c r="GM206">
        <v>0.61933534743202412</v>
      </c>
      <c r="GN206">
        <v>0.85328561505428535</v>
      </c>
      <c r="GQ206">
        <v>0.61933534743202412</v>
      </c>
      <c r="GR206">
        <v>0.797267225013916</v>
      </c>
      <c r="GU206">
        <v>0.61933534743202412</v>
      </c>
      <c r="GV206">
        <v>0.82182422915058417</v>
      </c>
      <c r="GY206">
        <v>0.61933534743202412</v>
      </c>
      <c r="GZ206">
        <v>0.81418861587884139</v>
      </c>
      <c r="HC206">
        <v>0.61933534743202412</v>
      </c>
      <c r="HD206">
        <v>0.82763510707964205</v>
      </c>
    </row>
    <row r="207" spans="175:212" x14ac:dyDescent="0.3">
      <c r="FS207">
        <v>0.62235649546827798</v>
      </c>
      <c r="FT207">
        <v>460.65639862794268</v>
      </c>
      <c r="FW207">
        <v>0.62235649546827798</v>
      </c>
      <c r="FX207">
        <v>294.41163530930902</v>
      </c>
      <c r="GA207">
        <v>0.62235649546827798</v>
      </c>
      <c r="GB207">
        <v>3762.2850958509948</v>
      </c>
      <c r="GE207">
        <v>0.62235649546827798</v>
      </c>
      <c r="GF207">
        <v>909.42099471551683</v>
      </c>
      <c r="GI207">
        <v>0.62235649546827798</v>
      </c>
      <c r="GJ207">
        <v>0.73161100443828075</v>
      </c>
      <c r="GM207">
        <v>0.62235649546827798</v>
      </c>
      <c r="GN207">
        <v>0.8542706001302639</v>
      </c>
      <c r="GQ207">
        <v>0.62235649546827798</v>
      </c>
      <c r="GR207">
        <v>0.79777006365874237</v>
      </c>
      <c r="GU207">
        <v>0.62235649546827798</v>
      </c>
      <c r="GV207">
        <v>0.82346993806099344</v>
      </c>
      <c r="GY207">
        <v>0.62235649546827798</v>
      </c>
      <c r="GZ207">
        <v>0.81490383063507299</v>
      </c>
      <c r="HC207">
        <v>0.62235649546827798</v>
      </c>
      <c r="HD207">
        <v>0.82764700721867968</v>
      </c>
    </row>
    <row r="208" spans="175:212" x14ac:dyDescent="0.3">
      <c r="FS208">
        <v>0.62537764350453173</v>
      </c>
      <c r="FT208">
        <v>460.79603853286329</v>
      </c>
      <c r="FW208">
        <v>0.62537764350453173</v>
      </c>
      <c r="FX208">
        <v>294.45350027556498</v>
      </c>
      <c r="GA208">
        <v>0.62537764350453173</v>
      </c>
      <c r="GB208">
        <v>3782.8824133567869</v>
      </c>
      <c r="GE208">
        <v>0.62537764350453173</v>
      </c>
      <c r="GF208">
        <v>911.75194407294634</v>
      </c>
      <c r="GI208">
        <v>0.62537764350453173</v>
      </c>
      <c r="GJ208">
        <v>0.73270323675142379</v>
      </c>
      <c r="GM208">
        <v>0.62537764350453173</v>
      </c>
      <c r="GN208">
        <v>0.85442979718078083</v>
      </c>
      <c r="GQ208">
        <v>0.62537764350453173</v>
      </c>
      <c r="GR208">
        <v>0.79872490739762492</v>
      </c>
      <c r="GU208">
        <v>0.62537764350453173</v>
      </c>
      <c r="GV208">
        <v>0.82491477807385671</v>
      </c>
      <c r="GY208">
        <v>0.62537764350453173</v>
      </c>
      <c r="GZ208">
        <v>0.8154770952282242</v>
      </c>
      <c r="HC208">
        <v>0.62537764350453173</v>
      </c>
      <c r="HD208">
        <v>0.82903512844766714</v>
      </c>
    </row>
    <row r="209" spans="175:212" x14ac:dyDescent="0.3">
      <c r="FS209">
        <v>0.62839879154078548</v>
      </c>
      <c r="FT209">
        <v>461.05430749174019</v>
      </c>
      <c r="FW209">
        <v>0.62839879154078548</v>
      </c>
      <c r="FX209">
        <v>294.4925725634904</v>
      </c>
      <c r="GA209">
        <v>0.62839879154078548</v>
      </c>
      <c r="GB209">
        <v>3798.2657363311541</v>
      </c>
      <c r="GE209">
        <v>0.62839879154078548</v>
      </c>
      <c r="GF209">
        <v>913.581366835484</v>
      </c>
      <c r="GI209">
        <v>0.62839879154078548</v>
      </c>
      <c r="GJ209">
        <v>0.73440856087348816</v>
      </c>
      <c r="GM209">
        <v>0.62839879154078548</v>
      </c>
      <c r="GN209">
        <v>0.85496059166930749</v>
      </c>
      <c r="GQ209">
        <v>0.62839879154078548</v>
      </c>
      <c r="GR209">
        <v>0.80038054007492176</v>
      </c>
      <c r="GU209">
        <v>0.62839879154078548</v>
      </c>
      <c r="GV209">
        <v>0.82574155888382184</v>
      </c>
      <c r="GY209">
        <v>0.62839879154078548</v>
      </c>
      <c r="GZ209">
        <v>0.81685616315936571</v>
      </c>
      <c r="HC209">
        <v>0.62839879154078548</v>
      </c>
      <c r="HD209">
        <v>0.83158419655345861</v>
      </c>
    </row>
    <row r="210" spans="175:212" x14ac:dyDescent="0.3">
      <c r="FS210">
        <v>0.63141993957703924</v>
      </c>
      <c r="FT210">
        <v>461.27845510186779</v>
      </c>
      <c r="FW210">
        <v>0.63141993957703924</v>
      </c>
      <c r="FX210">
        <v>294.58322353033469</v>
      </c>
      <c r="GA210">
        <v>0.63141993957703924</v>
      </c>
      <c r="GB210">
        <v>3808.0493928152732</v>
      </c>
      <c r="GE210">
        <v>0.63141993957703924</v>
      </c>
      <c r="GF210">
        <v>916.06358348158994</v>
      </c>
      <c r="GI210">
        <v>0.63141993957703924</v>
      </c>
      <c r="GJ210">
        <v>0.73577113245885883</v>
      </c>
      <c r="GM210">
        <v>0.63141993957703924</v>
      </c>
      <c r="GN210">
        <v>0.85560250656408687</v>
      </c>
      <c r="GQ210">
        <v>0.63141993957703924</v>
      </c>
      <c r="GR210">
        <v>0.80069381169830778</v>
      </c>
      <c r="GU210">
        <v>0.63141993957703924</v>
      </c>
      <c r="GV210">
        <v>0.82779112913679354</v>
      </c>
      <c r="GY210">
        <v>0.63141993957703924</v>
      </c>
      <c r="GZ210">
        <v>0.81761591317268811</v>
      </c>
      <c r="HC210">
        <v>0.63141993957703924</v>
      </c>
      <c r="HD210">
        <v>0.8321824999167774</v>
      </c>
    </row>
    <row r="211" spans="175:212" x14ac:dyDescent="0.3">
      <c r="FS211">
        <v>0.6344410876132931</v>
      </c>
      <c r="FT211">
        <v>461.51844104298442</v>
      </c>
      <c r="FW211">
        <v>0.6344410876132931</v>
      </c>
      <c r="FX211">
        <v>294.6946035725245</v>
      </c>
      <c r="GA211">
        <v>0.6344410876132931</v>
      </c>
      <c r="GB211">
        <v>3816.2869278333819</v>
      </c>
      <c r="GE211">
        <v>0.6344410876132931</v>
      </c>
      <c r="GF211">
        <v>927.99894736538101</v>
      </c>
      <c r="GI211">
        <v>0.6344410876132931</v>
      </c>
      <c r="GJ211">
        <v>0.7360224427459281</v>
      </c>
      <c r="GM211">
        <v>0.6344410876132931</v>
      </c>
      <c r="GN211">
        <v>0.85581432790436507</v>
      </c>
      <c r="GQ211">
        <v>0.6344410876132931</v>
      </c>
      <c r="GR211">
        <v>0.80185512429819839</v>
      </c>
      <c r="GU211">
        <v>0.6344410876132931</v>
      </c>
      <c r="GV211">
        <v>0.82919153280507074</v>
      </c>
      <c r="GY211">
        <v>0.6344410876132931</v>
      </c>
      <c r="GZ211">
        <v>0.81890368092697052</v>
      </c>
      <c r="HC211">
        <v>0.6344410876132931</v>
      </c>
      <c r="HD211">
        <v>0.83293054387366905</v>
      </c>
    </row>
    <row r="212" spans="175:212" x14ac:dyDescent="0.3">
      <c r="FS212">
        <v>0.63746223564954685</v>
      </c>
      <c r="FT212">
        <v>461.63465466592157</v>
      </c>
      <c r="FW212">
        <v>0.63746223564954685</v>
      </c>
      <c r="FX212">
        <v>294.72443078156272</v>
      </c>
      <c r="GA212">
        <v>0.63746223564954685</v>
      </c>
      <c r="GB212">
        <v>3819.2668134316768</v>
      </c>
      <c r="GE212">
        <v>0.63746223564954685</v>
      </c>
      <c r="GF212">
        <v>931.21055785901979</v>
      </c>
      <c r="GI212">
        <v>0.63746223564954685</v>
      </c>
      <c r="GJ212">
        <v>0.73725607308819285</v>
      </c>
      <c r="GM212">
        <v>0.63746223564954685</v>
      </c>
      <c r="GN212">
        <v>0.8561282865390647</v>
      </c>
      <c r="GQ212">
        <v>0.63746223564954685</v>
      </c>
      <c r="GR212">
        <v>0.80295816985097057</v>
      </c>
      <c r="GU212">
        <v>0.63746223564954685</v>
      </c>
      <c r="GV212">
        <v>0.83019950674110332</v>
      </c>
      <c r="GY212">
        <v>0.63746223564954685</v>
      </c>
      <c r="GZ212">
        <v>0.81980403618195863</v>
      </c>
      <c r="HC212">
        <v>0.63746223564954685</v>
      </c>
      <c r="HD212">
        <v>0.83342486633720447</v>
      </c>
    </row>
    <row r="213" spans="175:212" x14ac:dyDescent="0.3">
      <c r="FS213">
        <v>0.6404833836858006</v>
      </c>
      <c r="FT213">
        <v>461.65615244941279</v>
      </c>
      <c r="FW213">
        <v>0.6404833836858006</v>
      </c>
      <c r="FX213">
        <v>294.92204589323069</v>
      </c>
      <c r="GA213">
        <v>0.6404833836858006</v>
      </c>
      <c r="GB213">
        <v>3828.611837533173</v>
      </c>
      <c r="GE213">
        <v>0.6404833836858006</v>
      </c>
      <c r="GF213">
        <v>942.98083881707078</v>
      </c>
      <c r="GI213">
        <v>0.6404833836858006</v>
      </c>
      <c r="GJ213">
        <v>0.73746482059834184</v>
      </c>
      <c r="GM213">
        <v>0.6404833836858006</v>
      </c>
      <c r="GN213">
        <v>0.85627394430196702</v>
      </c>
      <c r="GQ213">
        <v>0.6404833836858006</v>
      </c>
      <c r="GR213">
        <v>0.80371522956426822</v>
      </c>
      <c r="GU213">
        <v>0.6404833836858006</v>
      </c>
      <c r="GV213">
        <v>0.8307642660096316</v>
      </c>
      <c r="GY213">
        <v>0.6404833836858006</v>
      </c>
      <c r="GZ213">
        <v>0.82047298539055935</v>
      </c>
      <c r="HC213">
        <v>0.6404833836858006</v>
      </c>
      <c r="HD213">
        <v>0.83350341626021363</v>
      </c>
    </row>
    <row r="214" spans="175:212" x14ac:dyDescent="0.3">
      <c r="FS214">
        <v>0.64350453172205435</v>
      </c>
      <c r="FT214">
        <v>462.03586369200798</v>
      </c>
      <c r="FW214">
        <v>0.64350453172205435</v>
      </c>
      <c r="FX214">
        <v>294.98313813689708</v>
      </c>
      <c r="GA214">
        <v>0.64350453172205435</v>
      </c>
      <c r="GB214">
        <v>3836.0134177842051</v>
      </c>
      <c r="GE214">
        <v>0.64350453172205435</v>
      </c>
      <c r="GF214">
        <v>952.67903674035483</v>
      </c>
      <c r="GI214">
        <v>0.64350453172205435</v>
      </c>
      <c r="GJ214">
        <v>0.73854140150911007</v>
      </c>
      <c r="GM214">
        <v>0.64350453172205435</v>
      </c>
      <c r="GN214">
        <v>0.85689259860861289</v>
      </c>
      <c r="GQ214">
        <v>0.64350453172205435</v>
      </c>
      <c r="GR214">
        <v>0.80372734036760085</v>
      </c>
      <c r="GU214">
        <v>0.64350453172205435</v>
      </c>
      <c r="GV214">
        <v>0.83173421059814212</v>
      </c>
      <c r="GY214">
        <v>0.64350453172205435</v>
      </c>
      <c r="GZ214">
        <v>0.82122985886939137</v>
      </c>
      <c r="HC214">
        <v>0.64350453172205435</v>
      </c>
      <c r="HD214">
        <v>0.83384423857118517</v>
      </c>
    </row>
    <row r="215" spans="175:212" x14ac:dyDescent="0.3">
      <c r="FS215">
        <v>0.6465256797583081</v>
      </c>
      <c r="FT215">
        <v>462.70429090728192</v>
      </c>
      <c r="FW215">
        <v>0.6465256797583081</v>
      </c>
      <c r="FX215">
        <v>295.0965464724693</v>
      </c>
      <c r="GA215">
        <v>0.6465256797583081</v>
      </c>
      <c r="GB215">
        <v>3844.1616697035438</v>
      </c>
      <c r="GE215">
        <v>0.6465256797583081</v>
      </c>
      <c r="GF215">
        <v>957.06160811266204</v>
      </c>
      <c r="GI215">
        <v>0.6465256797583081</v>
      </c>
      <c r="GJ215">
        <v>0.73893832819538874</v>
      </c>
      <c r="GM215">
        <v>0.6465256797583081</v>
      </c>
      <c r="GN215">
        <v>0.85731524848219487</v>
      </c>
      <c r="GQ215">
        <v>0.6465256797583081</v>
      </c>
      <c r="GR215">
        <v>0.80466143702612114</v>
      </c>
      <c r="GU215">
        <v>0.6465256797583081</v>
      </c>
      <c r="GV215">
        <v>0.83186581045580454</v>
      </c>
      <c r="GY215">
        <v>0.6465256797583081</v>
      </c>
      <c r="GZ215">
        <v>0.8217848724278437</v>
      </c>
      <c r="HC215">
        <v>0.6465256797583081</v>
      </c>
      <c r="HD215">
        <v>0.8360542520587132</v>
      </c>
    </row>
    <row r="216" spans="175:212" x14ac:dyDescent="0.3">
      <c r="FS216">
        <v>0.64954682779456197</v>
      </c>
      <c r="FT216">
        <v>462.76552952268628</v>
      </c>
      <c r="FW216">
        <v>0.64954682779456197</v>
      </c>
      <c r="FX216">
        <v>295.12277992724859</v>
      </c>
      <c r="GA216">
        <v>0.64954682779456197</v>
      </c>
      <c r="GB216">
        <v>3849.2694624235978</v>
      </c>
      <c r="GE216">
        <v>0.64954682779456197</v>
      </c>
      <c r="GF216">
        <v>957.69158256323158</v>
      </c>
      <c r="GI216">
        <v>0.64954682779456197</v>
      </c>
      <c r="GJ216">
        <v>0.73966943799973051</v>
      </c>
      <c r="GM216">
        <v>0.64954682779456197</v>
      </c>
      <c r="GN216">
        <v>0.85734500335676933</v>
      </c>
      <c r="GQ216">
        <v>0.64954682779456197</v>
      </c>
      <c r="GR216">
        <v>0.8057786989452852</v>
      </c>
      <c r="GU216">
        <v>0.64954682779456197</v>
      </c>
      <c r="GV216">
        <v>0.83232193797700171</v>
      </c>
      <c r="GY216">
        <v>0.64954682779456197</v>
      </c>
      <c r="GZ216">
        <v>0.8233966236661252</v>
      </c>
      <c r="HC216">
        <v>0.64954682779456197</v>
      </c>
      <c r="HD216">
        <v>0.83621676021211799</v>
      </c>
    </row>
    <row r="217" spans="175:212" x14ac:dyDescent="0.3">
      <c r="FS217">
        <v>0.65256797583081572</v>
      </c>
      <c r="FT217">
        <v>463.49916080769822</v>
      </c>
      <c r="FW217">
        <v>0.65256797583081572</v>
      </c>
      <c r="FX217">
        <v>295.25952046807822</v>
      </c>
      <c r="GA217">
        <v>0.65256797583081572</v>
      </c>
      <c r="GB217">
        <v>3869.926538190442</v>
      </c>
      <c r="GE217">
        <v>0.65256797583081572</v>
      </c>
      <c r="GF217">
        <v>964.89582692552403</v>
      </c>
      <c r="GI217">
        <v>0.65256797583081572</v>
      </c>
      <c r="GJ217">
        <v>0.74086081222995381</v>
      </c>
      <c r="GM217">
        <v>0.65256797583081572</v>
      </c>
      <c r="GN217">
        <v>0.85781213582827698</v>
      </c>
      <c r="GQ217">
        <v>0.65256797583081572</v>
      </c>
      <c r="GR217">
        <v>0.80594625892825189</v>
      </c>
      <c r="GU217">
        <v>0.65256797583081572</v>
      </c>
      <c r="GV217">
        <v>0.83304431282846747</v>
      </c>
      <c r="GY217">
        <v>0.65256797583081572</v>
      </c>
      <c r="GZ217">
        <v>0.82392161313726575</v>
      </c>
      <c r="HC217">
        <v>0.65256797583081572</v>
      </c>
      <c r="HD217">
        <v>0.83813040236830683</v>
      </c>
    </row>
    <row r="218" spans="175:212" x14ac:dyDescent="0.3">
      <c r="FS218">
        <v>0.65558912386706947</v>
      </c>
      <c r="FT218">
        <v>463.5521844770484</v>
      </c>
      <c r="FW218">
        <v>0.65558912386706947</v>
      </c>
      <c r="FX218">
        <v>295.31427627243352</v>
      </c>
      <c r="GA218">
        <v>0.65558912386706947</v>
      </c>
      <c r="GB218">
        <v>3873.5438933166611</v>
      </c>
      <c r="GE218">
        <v>0.65558912386706947</v>
      </c>
      <c r="GF218">
        <v>967.34254318297076</v>
      </c>
      <c r="GI218">
        <v>0.65558912386706947</v>
      </c>
      <c r="GJ218">
        <v>0.74133724630603193</v>
      </c>
      <c r="GM218">
        <v>0.65558912386706947</v>
      </c>
      <c r="GN218">
        <v>0.8580648942853627</v>
      </c>
      <c r="GQ218">
        <v>0.65558912386706947</v>
      </c>
      <c r="GR218">
        <v>0.80659128655779011</v>
      </c>
      <c r="GU218">
        <v>0.65558912386706947</v>
      </c>
      <c r="GV218">
        <v>0.83380008926887161</v>
      </c>
      <c r="GY218">
        <v>0.65558912386706947</v>
      </c>
      <c r="GZ218">
        <v>0.8246836317309969</v>
      </c>
      <c r="HC218">
        <v>0.65558912386706947</v>
      </c>
      <c r="HD218">
        <v>0.8385004615508842</v>
      </c>
    </row>
    <row r="219" spans="175:212" x14ac:dyDescent="0.3">
      <c r="FS219">
        <v>0.65861027190332322</v>
      </c>
      <c r="FT219">
        <v>463.68188564884821</v>
      </c>
      <c r="FW219">
        <v>0.65861027190332322</v>
      </c>
      <c r="FX219">
        <v>295.3913503102026</v>
      </c>
      <c r="GA219">
        <v>0.65861027190332322</v>
      </c>
      <c r="GB219">
        <v>3879.922616987305</v>
      </c>
      <c r="GE219">
        <v>0.65861027190332322</v>
      </c>
      <c r="GF219">
        <v>968.70859193346837</v>
      </c>
      <c r="GI219">
        <v>0.65861027190332322</v>
      </c>
      <c r="GJ219">
        <v>0.74259114564889395</v>
      </c>
      <c r="GM219">
        <v>0.65861027190332322</v>
      </c>
      <c r="GN219">
        <v>0.8586511313333115</v>
      </c>
      <c r="GQ219">
        <v>0.65861027190332322</v>
      </c>
      <c r="GR219">
        <v>0.80812275357703034</v>
      </c>
      <c r="GU219">
        <v>0.65861027190332322</v>
      </c>
      <c r="GV219">
        <v>0.83487459588311708</v>
      </c>
      <c r="GY219">
        <v>0.65861027190332322</v>
      </c>
      <c r="GZ219">
        <v>0.82470417662472917</v>
      </c>
      <c r="HC219">
        <v>0.65861027190332322</v>
      </c>
      <c r="HD219">
        <v>0.83957416553041908</v>
      </c>
    </row>
    <row r="220" spans="175:212" x14ac:dyDescent="0.3">
      <c r="FS220">
        <v>0.66163141993957708</v>
      </c>
      <c r="FT220">
        <v>464.07535160538441</v>
      </c>
      <c r="FW220">
        <v>0.66163141993957708</v>
      </c>
      <c r="FX220">
        <v>295.40043502171972</v>
      </c>
      <c r="GA220">
        <v>0.66163141993957708</v>
      </c>
      <c r="GB220">
        <v>3899.2251228320879</v>
      </c>
      <c r="GE220">
        <v>0.66163141993957708</v>
      </c>
      <c r="GF220">
        <v>970.62874952287541</v>
      </c>
      <c r="GI220">
        <v>0.66163141993957708</v>
      </c>
      <c r="GJ220">
        <v>0.74335069828199707</v>
      </c>
      <c r="GM220">
        <v>0.66163141993957708</v>
      </c>
      <c r="GN220">
        <v>0.85934144333748852</v>
      </c>
      <c r="GQ220">
        <v>0.66163141993957708</v>
      </c>
      <c r="GR220">
        <v>0.80835503856092217</v>
      </c>
      <c r="GU220">
        <v>0.66163141993957708</v>
      </c>
      <c r="GV220">
        <v>0.83568727778992546</v>
      </c>
      <c r="GY220">
        <v>0.66163141993957708</v>
      </c>
      <c r="GZ220">
        <v>0.82792503369078241</v>
      </c>
      <c r="HC220">
        <v>0.66163141993957708</v>
      </c>
      <c r="HD220">
        <v>0.84066144820980893</v>
      </c>
    </row>
    <row r="221" spans="175:212" x14ac:dyDescent="0.3">
      <c r="FS221">
        <v>0.66465256797583083</v>
      </c>
      <c r="FT221">
        <v>464.49900387609142</v>
      </c>
      <c r="FW221">
        <v>0.66465256797583083</v>
      </c>
      <c r="FX221">
        <v>295.45679695414572</v>
      </c>
      <c r="GA221">
        <v>0.66465256797583083</v>
      </c>
      <c r="GB221">
        <v>3900.724847004843</v>
      </c>
      <c r="GE221">
        <v>0.66465256797583083</v>
      </c>
      <c r="GF221">
        <v>973.33512700297285</v>
      </c>
      <c r="GI221">
        <v>0.66465256797583083</v>
      </c>
      <c r="GJ221">
        <v>0.7441371210625175</v>
      </c>
      <c r="GM221">
        <v>0.66465256797583083</v>
      </c>
      <c r="GN221">
        <v>0.85984698967211259</v>
      </c>
      <c r="GQ221">
        <v>0.66465256797583083</v>
      </c>
      <c r="GR221">
        <v>0.80875189841000983</v>
      </c>
      <c r="GU221">
        <v>0.66465256797583083</v>
      </c>
      <c r="GV221">
        <v>0.83586447772254446</v>
      </c>
      <c r="GY221">
        <v>0.66465256797583083</v>
      </c>
      <c r="GZ221">
        <v>0.82836613973778495</v>
      </c>
      <c r="HC221">
        <v>0.66465256797583083</v>
      </c>
      <c r="HD221">
        <v>0.84128892074134931</v>
      </c>
    </row>
    <row r="222" spans="175:212" x14ac:dyDescent="0.3">
      <c r="FS222">
        <v>0.66767371601208458</v>
      </c>
      <c r="FT222">
        <v>464.93911345142089</v>
      </c>
      <c r="FW222">
        <v>0.66767371601208458</v>
      </c>
      <c r="FX222">
        <v>295.47959935586681</v>
      </c>
      <c r="GA222">
        <v>0.66767371601208458</v>
      </c>
      <c r="GB222">
        <v>3916.9911055488178</v>
      </c>
      <c r="GE222">
        <v>0.66767371601208458</v>
      </c>
      <c r="GF222">
        <v>973.71170796292085</v>
      </c>
      <c r="GI222">
        <v>0.66767371601208458</v>
      </c>
      <c r="GJ222">
        <v>0.74572373801432779</v>
      </c>
      <c r="GM222">
        <v>0.66767371601208458</v>
      </c>
      <c r="GN222">
        <v>0.8599410143276075</v>
      </c>
      <c r="GQ222">
        <v>0.66767371601208458</v>
      </c>
      <c r="GR222">
        <v>0.80971557596323263</v>
      </c>
      <c r="GU222">
        <v>0.66767371601208458</v>
      </c>
      <c r="GV222">
        <v>0.8384746840278483</v>
      </c>
      <c r="GY222">
        <v>0.66767371601208458</v>
      </c>
      <c r="GZ222">
        <v>0.82908309366845168</v>
      </c>
      <c r="HC222">
        <v>0.66767371601208458</v>
      </c>
      <c r="HD222">
        <v>0.8434232271668114</v>
      </c>
    </row>
    <row r="223" spans="175:212" x14ac:dyDescent="0.3">
      <c r="FS223">
        <v>0.67069486404833834</v>
      </c>
      <c r="FT223">
        <v>464.98803161875179</v>
      </c>
      <c r="FW223">
        <v>0.67069486404833834</v>
      </c>
      <c r="FX223">
        <v>295.7527561230624</v>
      </c>
      <c r="GA223">
        <v>0.67069486404833834</v>
      </c>
      <c r="GB223">
        <v>3922.4585616753252</v>
      </c>
      <c r="GE223">
        <v>0.67069486404833834</v>
      </c>
      <c r="GF223">
        <v>984.64872997643101</v>
      </c>
      <c r="GI223">
        <v>0.67069486404833834</v>
      </c>
      <c r="GJ223">
        <v>0.74610663806741073</v>
      </c>
      <c r="GM223">
        <v>0.67069486404833834</v>
      </c>
      <c r="GN223">
        <v>0.859950700936426</v>
      </c>
      <c r="GQ223">
        <v>0.67069486404833834</v>
      </c>
      <c r="GR223">
        <v>0.80984133256634339</v>
      </c>
      <c r="GU223">
        <v>0.67069486404833834</v>
      </c>
      <c r="GV223">
        <v>0.83921824325071848</v>
      </c>
      <c r="GY223">
        <v>0.67069486404833834</v>
      </c>
      <c r="GZ223">
        <v>0.83054697699016877</v>
      </c>
      <c r="HC223">
        <v>0.67069486404833834</v>
      </c>
      <c r="HD223">
        <v>0.84391548508741121</v>
      </c>
    </row>
    <row r="224" spans="175:212" x14ac:dyDescent="0.3">
      <c r="FS224">
        <v>0.6737160120845922</v>
      </c>
      <c r="FT224">
        <v>465.59839336260472</v>
      </c>
      <c r="FW224">
        <v>0.6737160120845922</v>
      </c>
      <c r="FX224">
        <v>295.75361742240449</v>
      </c>
      <c r="GA224">
        <v>0.6737160120845922</v>
      </c>
      <c r="GB224">
        <v>3930.850673891649</v>
      </c>
      <c r="GE224">
        <v>0.6737160120845922</v>
      </c>
      <c r="GF224">
        <v>987.85461202038402</v>
      </c>
      <c r="GI224">
        <v>0.6737160120845922</v>
      </c>
      <c r="GJ224">
        <v>0.74680847215686996</v>
      </c>
      <c r="GM224">
        <v>0.6737160120845922</v>
      </c>
      <c r="GN224">
        <v>0.86128056681660881</v>
      </c>
      <c r="GQ224">
        <v>0.6737160120845922</v>
      </c>
      <c r="GR224">
        <v>0.81035177894932509</v>
      </c>
      <c r="GU224">
        <v>0.6737160120845922</v>
      </c>
      <c r="GV224">
        <v>0.83960162010381867</v>
      </c>
      <c r="GY224">
        <v>0.6737160120845922</v>
      </c>
      <c r="GZ224">
        <v>0.83270096410761096</v>
      </c>
      <c r="HC224">
        <v>0.6737160120845922</v>
      </c>
      <c r="HD224">
        <v>0.84459817305422169</v>
      </c>
    </row>
    <row r="225" spans="175:212" x14ac:dyDescent="0.3">
      <c r="FS225">
        <v>0.67673716012084595</v>
      </c>
      <c r="FT225">
        <v>465.64675748207031</v>
      </c>
      <c r="FW225">
        <v>0.67673716012084595</v>
      </c>
      <c r="FX225">
        <v>295.90127051589582</v>
      </c>
      <c r="GA225">
        <v>0.67673716012084595</v>
      </c>
      <c r="GB225">
        <v>3931.4769638822299</v>
      </c>
      <c r="GE225">
        <v>0.67673716012084595</v>
      </c>
      <c r="GF225">
        <v>991.52080837900644</v>
      </c>
      <c r="GI225">
        <v>0.67673716012084595</v>
      </c>
      <c r="GJ225">
        <v>0.74695954798255715</v>
      </c>
      <c r="GM225">
        <v>0.67673716012084595</v>
      </c>
      <c r="GN225">
        <v>0.86165836468073986</v>
      </c>
      <c r="GQ225">
        <v>0.67673716012084595</v>
      </c>
      <c r="GR225">
        <v>0.81162266219312718</v>
      </c>
      <c r="GU225">
        <v>0.67673716012084595</v>
      </c>
      <c r="GV225">
        <v>0.84078963844675203</v>
      </c>
      <c r="GY225">
        <v>0.67673716012084595</v>
      </c>
      <c r="GZ225">
        <v>0.83374651666459365</v>
      </c>
      <c r="HC225">
        <v>0.67673716012084595</v>
      </c>
      <c r="HD225">
        <v>0.84466616127205141</v>
      </c>
    </row>
    <row r="226" spans="175:212" x14ac:dyDescent="0.3">
      <c r="FS226">
        <v>0.6797583081570997</v>
      </c>
      <c r="FT226">
        <v>466.0350615415864</v>
      </c>
      <c r="FW226">
        <v>0.6797583081570997</v>
      </c>
      <c r="FX226">
        <v>296.07918818438623</v>
      </c>
      <c r="GA226">
        <v>0.6797583081570997</v>
      </c>
      <c r="GB226">
        <v>3938.333618433051</v>
      </c>
      <c r="GE226">
        <v>0.6797583081570997</v>
      </c>
      <c r="GF226">
        <v>993.79608221399837</v>
      </c>
      <c r="GI226">
        <v>0.6797583081570997</v>
      </c>
      <c r="GJ226">
        <v>0.74777880906644389</v>
      </c>
      <c r="GM226">
        <v>0.6797583081570997</v>
      </c>
      <c r="GN226">
        <v>0.86357834037541681</v>
      </c>
      <c r="GQ226">
        <v>0.6797583081570997</v>
      </c>
      <c r="GR226">
        <v>0.81328210304017179</v>
      </c>
      <c r="GU226">
        <v>0.6797583081570997</v>
      </c>
      <c r="GV226">
        <v>0.84080375596298551</v>
      </c>
      <c r="GY226">
        <v>0.6797583081570997</v>
      </c>
      <c r="GZ226">
        <v>0.83391461391217692</v>
      </c>
      <c r="HC226">
        <v>0.6797583081570997</v>
      </c>
      <c r="HD226">
        <v>0.84573461073080303</v>
      </c>
    </row>
    <row r="227" spans="175:212" x14ac:dyDescent="0.3">
      <c r="FS227">
        <v>0.68277945619335345</v>
      </c>
      <c r="FT227">
        <v>466.14816466838238</v>
      </c>
      <c r="FW227">
        <v>0.68277945619335345</v>
      </c>
      <c r="FX227">
        <v>296.15539343744001</v>
      </c>
      <c r="GA227">
        <v>0.68277945619335345</v>
      </c>
      <c r="GB227">
        <v>3959.4110726562189</v>
      </c>
      <c r="GE227">
        <v>0.68277945619335345</v>
      </c>
      <c r="GF227">
        <v>994.83343637337964</v>
      </c>
      <c r="GI227">
        <v>0.68277945619335345</v>
      </c>
      <c r="GJ227">
        <v>0.75001682697098482</v>
      </c>
      <c r="GM227">
        <v>0.68277945619335345</v>
      </c>
      <c r="GN227">
        <v>0.86420075016979192</v>
      </c>
      <c r="GQ227">
        <v>0.68277945619335345</v>
      </c>
      <c r="GR227">
        <v>0.81360080789470457</v>
      </c>
      <c r="GU227">
        <v>0.68277945619335345</v>
      </c>
      <c r="GV227">
        <v>0.84227990008894205</v>
      </c>
      <c r="GY227">
        <v>0.68277945619335345</v>
      </c>
      <c r="GZ227">
        <v>0.83503120721440593</v>
      </c>
      <c r="HC227">
        <v>0.68277945619335345</v>
      </c>
      <c r="HD227">
        <v>0.84594977214868106</v>
      </c>
    </row>
    <row r="228" spans="175:212" x14ac:dyDescent="0.3">
      <c r="FS228">
        <v>0.6858006042296072</v>
      </c>
      <c r="FT228">
        <v>466.46780995281631</v>
      </c>
      <c r="FW228">
        <v>0.6858006042296072</v>
      </c>
      <c r="FX228">
        <v>296.29391665122512</v>
      </c>
      <c r="GA228">
        <v>0.6858006042296072</v>
      </c>
      <c r="GB228">
        <v>3971.8886772471969</v>
      </c>
      <c r="GE228">
        <v>0.6858006042296072</v>
      </c>
      <c r="GF228">
        <v>997.26313839175043</v>
      </c>
      <c r="GI228">
        <v>0.6858006042296072</v>
      </c>
      <c r="GJ228">
        <v>0.7503205813715339</v>
      </c>
      <c r="GM228">
        <v>0.6858006042296072</v>
      </c>
      <c r="GN228">
        <v>0.86441555247577717</v>
      </c>
      <c r="GQ228">
        <v>0.6858006042296072</v>
      </c>
      <c r="GR228">
        <v>0.81451109937249189</v>
      </c>
      <c r="GU228">
        <v>0.6858006042296072</v>
      </c>
      <c r="GV228">
        <v>0.84241975540375802</v>
      </c>
      <c r="GY228">
        <v>0.6858006042296072</v>
      </c>
      <c r="GZ228">
        <v>0.83565521533139819</v>
      </c>
      <c r="HC228">
        <v>0.6858006042296072</v>
      </c>
      <c r="HD228">
        <v>0.84651502889383468</v>
      </c>
    </row>
    <row r="229" spans="175:212" x14ac:dyDescent="0.3">
      <c r="FS229">
        <v>0.68882175226586106</v>
      </c>
      <c r="FT229">
        <v>466.78041421533072</v>
      </c>
      <c r="FW229">
        <v>0.68882175226586106</v>
      </c>
      <c r="FX229">
        <v>296.39680845237962</v>
      </c>
      <c r="GA229">
        <v>0.68882175226586106</v>
      </c>
      <c r="GB229">
        <v>3974.686253531494</v>
      </c>
      <c r="GE229">
        <v>0.68882175226586106</v>
      </c>
      <c r="GF229">
        <v>1002.139181562782</v>
      </c>
      <c r="GI229">
        <v>0.68882175226586106</v>
      </c>
      <c r="GJ229">
        <v>0.75104106424901695</v>
      </c>
      <c r="GM229">
        <v>0.68882175226586106</v>
      </c>
      <c r="GN229">
        <v>0.86491825636773745</v>
      </c>
      <c r="GQ229">
        <v>0.68882175226586106</v>
      </c>
      <c r="GR229">
        <v>0.81569800050068586</v>
      </c>
      <c r="GU229">
        <v>0.68882175226586106</v>
      </c>
      <c r="GV229">
        <v>0.84359880543513621</v>
      </c>
      <c r="GY229">
        <v>0.68882175226586106</v>
      </c>
      <c r="GZ229">
        <v>0.83589720822802882</v>
      </c>
      <c r="HC229">
        <v>0.68882175226586106</v>
      </c>
      <c r="HD229">
        <v>0.84674202625063277</v>
      </c>
    </row>
    <row r="230" spans="175:212" x14ac:dyDescent="0.3">
      <c r="FS230">
        <v>0.69184290030211482</v>
      </c>
      <c r="FT230">
        <v>466.85344449608289</v>
      </c>
      <c r="FW230">
        <v>0.69184290030211482</v>
      </c>
      <c r="FX230">
        <v>296.43106025066811</v>
      </c>
      <c r="GA230">
        <v>0.69184290030211482</v>
      </c>
      <c r="GB230">
        <v>3991.388142762185</v>
      </c>
      <c r="GE230">
        <v>0.69184290030211482</v>
      </c>
      <c r="GF230">
        <v>1004.95873018104</v>
      </c>
      <c r="GI230">
        <v>0.69184290030211482</v>
      </c>
      <c r="GJ230">
        <v>0.75202757430549161</v>
      </c>
      <c r="GM230">
        <v>0.69184290030211482</v>
      </c>
      <c r="GN230">
        <v>0.86510721718699313</v>
      </c>
      <c r="GQ230">
        <v>0.69184290030211482</v>
      </c>
      <c r="GR230">
        <v>0.81611045759508771</v>
      </c>
      <c r="GU230">
        <v>0.69184290030211482</v>
      </c>
      <c r="GV230">
        <v>0.8436107120242694</v>
      </c>
      <c r="GY230">
        <v>0.69184290030211482</v>
      </c>
      <c r="GZ230">
        <v>0.83731349503312746</v>
      </c>
      <c r="HC230">
        <v>0.69184290030211482</v>
      </c>
      <c r="HD230">
        <v>0.84821997381306713</v>
      </c>
    </row>
    <row r="231" spans="175:212" x14ac:dyDescent="0.3">
      <c r="FS231">
        <v>0.69486404833836857</v>
      </c>
      <c r="FT231">
        <v>467.31249426258432</v>
      </c>
      <c r="FW231">
        <v>0.69486404833836857</v>
      </c>
      <c r="FX231">
        <v>296.52240390200848</v>
      </c>
      <c r="GA231">
        <v>0.69486404833836857</v>
      </c>
      <c r="GB231">
        <v>3997.3959354411859</v>
      </c>
      <c r="GE231">
        <v>0.69486404833836857</v>
      </c>
      <c r="GF231">
        <v>1008.827607153711</v>
      </c>
      <c r="GI231">
        <v>0.69486404833836857</v>
      </c>
      <c r="GJ231">
        <v>0.75327108981667701</v>
      </c>
      <c r="GM231">
        <v>0.69486404833836857</v>
      </c>
      <c r="GN231">
        <v>0.86537867156130166</v>
      </c>
      <c r="GQ231">
        <v>0.69486404833836857</v>
      </c>
      <c r="GR231">
        <v>0.81695267036439656</v>
      </c>
      <c r="GU231">
        <v>0.69486404833836857</v>
      </c>
      <c r="GV231">
        <v>0.84558507939837591</v>
      </c>
      <c r="GY231">
        <v>0.69486404833836857</v>
      </c>
      <c r="GZ231">
        <v>0.83769876996160175</v>
      </c>
      <c r="HC231">
        <v>0.69486404833836857</v>
      </c>
      <c r="HD231">
        <v>0.8484689094718818</v>
      </c>
    </row>
    <row r="232" spans="175:212" x14ac:dyDescent="0.3">
      <c r="FS232">
        <v>0.69788519637462232</v>
      </c>
      <c r="FT232">
        <v>467.59725865618532</v>
      </c>
      <c r="FW232">
        <v>0.69788519637462232</v>
      </c>
      <c r="FX232">
        <v>296.59102087314272</v>
      </c>
      <c r="GA232">
        <v>0.69788519637462232</v>
      </c>
      <c r="GB232">
        <v>4005.0130795702589</v>
      </c>
      <c r="GE232">
        <v>0.69788519637462232</v>
      </c>
      <c r="GF232">
        <v>1013.429226631598</v>
      </c>
      <c r="GI232">
        <v>0.69788519637462232</v>
      </c>
      <c r="GJ232">
        <v>0.75505454431174845</v>
      </c>
      <c r="GM232">
        <v>0.69788519637462232</v>
      </c>
      <c r="GN232">
        <v>0.86594524229317049</v>
      </c>
      <c r="GQ232">
        <v>0.69788519637462232</v>
      </c>
      <c r="GR232">
        <v>0.81717441653139522</v>
      </c>
      <c r="GU232">
        <v>0.69788519637462232</v>
      </c>
      <c r="GV232">
        <v>0.84663653854657139</v>
      </c>
      <c r="GY232">
        <v>0.69788519637462232</v>
      </c>
      <c r="GZ232">
        <v>0.83814513061903928</v>
      </c>
      <c r="HC232">
        <v>0.69788519637462232</v>
      </c>
      <c r="HD232">
        <v>0.84869851141340424</v>
      </c>
    </row>
    <row r="233" spans="175:212" x14ac:dyDescent="0.3">
      <c r="FS233">
        <v>0.70090634441087618</v>
      </c>
      <c r="FT233">
        <v>468.04288507354602</v>
      </c>
      <c r="FW233">
        <v>0.70090634441087618</v>
      </c>
      <c r="FX233">
        <v>296.64158546845442</v>
      </c>
      <c r="GA233">
        <v>0.70090634441087618</v>
      </c>
      <c r="GB233">
        <v>4005.086734735974</v>
      </c>
      <c r="GE233">
        <v>0.70090634441087618</v>
      </c>
      <c r="GF233">
        <v>1013.86509483878</v>
      </c>
      <c r="GI233">
        <v>0.70090634441087618</v>
      </c>
      <c r="GJ233">
        <v>0.75552698677470587</v>
      </c>
      <c r="GM233">
        <v>0.70090634441087618</v>
      </c>
      <c r="GN233">
        <v>0.8672646795531308</v>
      </c>
      <c r="GQ233">
        <v>0.70090634441087618</v>
      </c>
      <c r="GR233">
        <v>0.81858995068130214</v>
      </c>
      <c r="GU233">
        <v>0.70090634441087618</v>
      </c>
      <c r="GV233">
        <v>0.84677833714639683</v>
      </c>
      <c r="GY233">
        <v>0.70090634441087618</v>
      </c>
      <c r="GZ233">
        <v>0.83990772662413182</v>
      </c>
      <c r="HC233">
        <v>0.70090634441087618</v>
      </c>
      <c r="HD233">
        <v>0.84999113311532248</v>
      </c>
    </row>
    <row r="234" spans="175:212" x14ac:dyDescent="0.3">
      <c r="FS234">
        <v>0.70392749244712993</v>
      </c>
      <c r="FT234">
        <v>468.31527897336912</v>
      </c>
      <c r="FW234">
        <v>0.70392749244712993</v>
      </c>
      <c r="FX234">
        <v>296.72569936750199</v>
      </c>
      <c r="GA234">
        <v>0.70392749244712993</v>
      </c>
      <c r="GB234">
        <v>4011.1948933267809</v>
      </c>
      <c r="GE234">
        <v>0.70392749244712993</v>
      </c>
      <c r="GF234">
        <v>1015.9924472955061</v>
      </c>
      <c r="GI234">
        <v>0.70392749244712993</v>
      </c>
      <c r="GJ234">
        <v>0.75705201355847396</v>
      </c>
      <c r="GM234">
        <v>0.70392749244712993</v>
      </c>
      <c r="GN234">
        <v>0.86743363456792089</v>
      </c>
      <c r="GQ234">
        <v>0.70392749244712993</v>
      </c>
      <c r="GR234">
        <v>0.81873109964110802</v>
      </c>
      <c r="GU234">
        <v>0.70392749244712993</v>
      </c>
      <c r="GV234">
        <v>0.84799180893422532</v>
      </c>
      <c r="GY234">
        <v>0.70392749244712993</v>
      </c>
      <c r="GZ234">
        <v>0.84054867208132944</v>
      </c>
      <c r="HC234">
        <v>0.70392749244712993</v>
      </c>
      <c r="HD234">
        <v>0.85045556650117649</v>
      </c>
    </row>
    <row r="235" spans="175:212" x14ac:dyDescent="0.3">
      <c r="FS235">
        <v>0.70694864048338368</v>
      </c>
      <c r="FT235">
        <v>468.46873769576371</v>
      </c>
      <c r="FW235">
        <v>0.70694864048338368</v>
      </c>
      <c r="FX235">
        <v>296.76644270125092</v>
      </c>
      <c r="GA235">
        <v>0.70694864048338368</v>
      </c>
      <c r="GB235">
        <v>4020.0570555647082</v>
      </c>
      <c r="GE235">
        <v>0.70694864048338368</v>
      </c>
      <c r="GF235">
        <v>1021.9229607726249</v>
      </c>
      <c r="GI235">
        <v>0.70694864048338368</v>
      </c>
      <c r="GJ235">
        <v>0.75738191946954581</v>
      </c>
      <c r="GM235">
        <v>0.70694864048338368</v>
      </c>
      <c r="GN235">
        <v>0.86784292973677091</v>
      </c>
      <c r="GQ235">
        <v>0.70694864048338368</v>
      </c>
      <c r="GR235">
        <v>0.82035620223460359</v>
      </c>
      <c r="GU235">
        <v>0.70694864048338368</v>
      </c>
      <c r="GV235">
        <v>0.8500148514540169</v>
      </c>
      <c r="GY235">
        <v>0.70694864048338368</v>
      </c>
      <c r="GZ235">
        <v>0.8421781140655128</v>
      </c>
      <c r="HC235">
        <v>0.70694864048338368</v>
      </c>
      <c r="HD235">
        <v>0.85073777772898596</v>
      </c>
    </row>
    <row r="236" spans="175:212" x14ac:dyDescent="0.3">
      <c r="FS236">
        <v>0.70996978851963743</v>
      </c>
      <c r="FT236">
        <v>469.28136643361449</v>
      </c>
      <c r="FW236">
        <v>0.70996978851963743</v>
      </c>
      <c r="FX236">
        <v>296.84442105491229</v>
      </c>
      <c r="GA236">
        <v>0.70996978851963743</v>
      </c>
      <c r="GB236">
        <v>4034.5099202175652</v>
      </c>
      <c r="GE236">
        <v>0.70996978851963743</v>
      </c>
      <c r="GF236">
        <v>1023.255776400223</v>
      </c>
      <c r="GI236">
        <v>0.70996978851963743</v>
      </c>
      <c r="GJ236">
        <v>0.75775658151363179</v>
      </c>
      <c r="GM236">
        <v>0.70996978851963743</v>
      </c>
      <c r="GN236">
        <v>0.86799029050371157</v>
      </c>
      <c r="GQ236">
        <v>0.70996978851963743</v>
      </c>
      <c r="GR236">
        <v>0.82105042085503466</v>
      </c>
      <c r="GU236">
        <v>0.70996978851963743</v>
      </c>
      <c r="GV236">
        <v>0.85079754970189214</v>
      </c>
      <c r="GY236">
        <v>0.70996978851963743</v>
      </c>
      <c r="GZ236">
        <v>0.84245000290403294</v>
      </c>
      <c r="HC236">
        <v>0.70996978851963743</v>
      </c>
      <c r="HD236">
        <v>0.85236966320617036</v>
      </c>
    </row>
    <row r="237" spans="175:212" x14ac:dyDescent="0.3">
      <c r="FS237">
        <v>0.71299093655589119</v>
      </c>
      <c r="FT237">
        <v>469.36687649589618</v>
      </c>
      <c r="FW237">
        <v>0.71299093655589119</v>
      </c>
      <c r="FX237">
        <v>296.93085094084972</v>
      </c>
      <c r="GA237">
        <v>0.71299093655589119</v>
      </c>
      <c r="GB237">
        <v>4043.992285696097</v>
      </c>
      <c r="GE237">
        <v>0.71299093655589119</v>
      </c>
      <c r="GF237">
        <v>1027.942471087398</v>
      </c>
      <c r="GI237">
        <v>0.71299093655589119</v>
      </c>
      <c r="GJ237">
        <v>0.75910812757519608</v>
      </c>
      <c r="GM237">
        <v>0.71299093655589119</v>
      </c>
      <c r="GN237">
        <v>0.86872711672175662</v>
      </c>
      <c r="GQ237">
        <v>0.71299093655589119</v>
      </c>
      <c r="GR237">
        <v>0.82240726543545395</v>
      </c>
      <c r="GU237">
        <v>0.71299093655589119</v>
      </c>
      <c r="GV237">
        <v>0.85212045994825525</v>
      </c>
      <c r="GY237">
        <v>0.71299093655589119</v>
      </c>
      <c r="GZ237">
        <v>0.84285092982672338</v>
      </c>
      <c r="HC237">
        <v>0.71299093655589119</v>
      </c>
      <c r="HD237">
        <v>0.85279975550171971</v>
      </c>
    </row>
    <row r="238" spans="175:212" x14ac:dyDescent="0.3">
      <c r="FS238">
        <v>0.71601208459214505</v>
      </c>
      <c r="FT238">
        <v>469.99997809741262</v>
      </c>
      <c r="FW238">
        <v>0.71601208459214505</v>
      </c>
      <c r="FX238">
        <v>296.96174028874651</v>
      </c>
      <c r="GA238">
        <v>0.71601208459214505</v>
      </c>
      <c r="GB238">
        <v>4049.1428201733061</v>
      </c>
      <c r="GE238">
        <v>0.71601208459214505</v>
      </c>
      <c r="GF238">
        <v>1038.3428151751759</v>
      </c>
      <c r="GI238">
        <v>0.71601208459214505</v>
      </c>
      <c r="GJ238">
        <v>0.76060486291714047</v>
      </c>
      <c r="GM238">
        <v>0.71601208459214505</v>
      </c>
      <c r="GN238">
        <v>0.86888061419470874</v>
      </c>
      <c r="GQ238">
        <v>0.71601208459214505</v>
      </c>
      <c r="GR238">
        <v>0.82242985871577923</v>
      </c>
      <c r="GU238">
        <v>0.71601208459214505</v>
      </c>
      <c r="GV238">
        <v>0.85382399293688471</v>
      </c>
      <c r="GY238">
        <v>0.71601208459214505</v>
      </c>
      <c r="GZ238">
        <v>0.84410473631884342</v>
      </c>
      <c r="HC238">
        <v>0.71601208459214505</v>
      </c>
      <c r="HD238">
        <v>0.85342877691340457</v>
      </c>
    </row>
    <row r="239" spans="175:212" x14ac:dyDescent="0.3">
      <c r="FS239">
        <v>0.7190332326283988</v>
      </c>
      <c r="FT239">
        <v>470.16063967103389</v>
      </c>
      <c r="FW239">
        <v>0.7190332326283988</v>
      </c>
      <c r="FX239">
        <v>297.00854242204952</v>
      </c>
      <c r="GA239">
        <v>0.7190332326283988</v>
      </c>
      <c r="GB239">
        <v>4057.0009606294129</v>
      </c>
      <c r="GE239">
        <v>0.7190332326283988</v>
      </c>
      <c r="GF239">
        <v>1042.197856953135</v>
      </c>
      <c r="GI239">
        <v>0.7190332326283988</v>
      </c>
      <c r="GJ239">
        <v>0.7610685373551318</v>
      </c>
      <c r="GM239">
        <v>0.7190332326283988</v>
      </c>
      <c r="GN239">
        <v>0.86955170138282833</v>
      </c>
      <c r="GQ239">
        <v>0.7190332326283988</v>
      </c>
      <c r="GR239">
        <v>0.82308742333188833</v>
      </c>
      <c r="GU239">
        <v>0.7190332326283988</v>
      </c>
      <c r="GV239">
        <v>0.85464642262307278</v>
      </c>
      <c r="GY239">
        <v>0.7190332326283988</v>
      </c>
      <c r="GZ239">
        <v>0.8450648797390854</v>
      </c>
      <c r="HC239">
        <v>0.7190332326283988</v>
      </c>
      <c r="HD239">
        <v>0.85418478241122142</v>
      </c>
    </row>
    <row r="240" spans="175:212" x14ac:dyDescent="0.3">
      <c r="FS240">
        <v>0.72205438066465255</v>
      </c>
      <c r="FT240">
        <v>470.69455993894758</v>
      </c>
      <c r="FW240">
        <v>0.72205438066465255</v>
      </c>
      <c r="FX240">
        <v>297.11132498527792</v>
      </c>
      <c r="GA240">
        <v>0.72205438066465255</v>
      </c>
      <c r="GB240">
        <v>4057.762868975783</v>
      </c>
      <c r="GE240">
        <v>0.72205438066465255</v>
      </c>
      <c r="GF240">
        <v>1049.26403831999</v>
      </c>
      <c r="GI240">
        <v>0.72205438066465255</v>
      </c>
      <c r="GJ240">
        <v>0.76216380472809409</v>
      </c>
      <c r="GM240">
        <v>0.72205438066465255</v>
      </c>
      <c r="GN240">
        <v>0.86992612603920927</v>
      </c>
      <c r="GQ240">
        <v>0.72205438066465255</v>
      </c>
      <c r="GR240">
        <v>0.82762136743715642</v>
      </c>
      <c r="GU240">
        <v>0.72205438066465255</v>
      </c>
      <c r="GV240">
        <v>0.85579162662884722</v>
      </c>
      <c r="GY240">
        <v>0.72205438066465255</v>
      </c>
      <c r="GZ240">
        <v>0.84550014375057758</v>
      </c>
      <c r="HC240">
        <v>0.72205438066465255</v>
      </c>
      <c r="HD240">
        <v>0.8548740360431456</v>
      </c>
    </row>
    <row r="241" spans="175:212" x14ac:dyDescent="0.3">
      <c r="FS241">
        <v>0.7250755287009063</v>
      </c>
      <c r="FT241">
        <v>471.00807968200712</v>
      </c>
      <c r="FW241">
        <v>0.7250755287009063</v>
      </c>
      <c r="FX241">
        <v>297.16229893575201</v>
      </c>
      <c r="GA241">
        <v>0.7250755287009063</v>
      </c>
      <c r="GB241">
        <v>4065.738705868403</v>
      </c>
      <c r="GE241">
        <v>0.7250755287009063</v>
      </c>
      <c r="GF241">
        <v>1054.642460606296</v>
      </c>
      <c r="GI241">
        <v>0.7250755287009063</v>
      </c>
      <c r="GJ241">
        <v>0.76288636451674885</v>
      </c>
      <c r="GM241">
        <v>0.7250755287009063</v>
      </c>
      <c r="GN241">
        <v>0.86993299455045048</v>
      </c>
      <c r="GQ241">
        <v>0.7250755287009063</v>
      </c>
      <c r="GR241">
        <v>0.82764312576135912</v>
      </c>
      <c r="GU241">
        <v>0.7250755287009063</v>
      </c>
      <c r="GV241">
        <v>0.85762117743546784</v>
      </c>
      <c r="GY241">
        <v>0.7250755287009063</v>
      </c>
      <c r="GZ241">
        <v>0.84739386864584942</v>
      </c>
      <c r="HC241">
        <v>0.7250755287009063</v>
      </c>
      <c r="HD241">
        <v>0.85507146628490938</v>
      </c>
    </row>
    <row r="242" spans="175:212" x14ac:dyDescent="0.3">
      <c r="FS242">
        <v>0.72809667673716016</v>
      </c>
      <c r="FT242">
        <v>471.17119579389941</v>
      </c>
      <c r="FW242">
        <v>0.72809667673716016</v>
      </c>
      <c r="FX242">
        <v>297.25742877665891</v>
      </c>
      <c r="GA242">
        <v>0.72809667673716016</v>
      </c>
      <c r="GB242">
        <v>4074.3852917683948</v>
      </c>
      <c r="GE242">
        <v>0.72809667673716016</v>
      </c>
      <c r="GF242">
        <v>1058.2553474703741</v>
      </c>
      <c r="GI242">
        <v>0.72809667673716016</v>
      </c>
      <c r="GJ242">
        <v>0.76343214807911464</v>
      </c>
      <c r="GM242">
        <v>0.72809667673716016</v>
      </c>
      <c r="GN242">
        <v>0.87119020759975074</v>
      </c>
      <c r="GQ242">
        <v>0.72809667673716016</v>
      </c>
      <c r="GR242">
        <v>0.82889791869106344</v>
      </c>
      <c r="GU242">
        <v>0.72809667673716016</v>
      </c>
      <c r="GV242">
        <v>0.85879559815050732</v>
      </c>
      <c r="GY242">
        <v>0.72809667673716016</v>
      </c>
      <c r="GZ242">
        <v>0.84812627637945481</v>
      </c>
      <c r="HC242">
        <v>0.72809667673716016</v>
      </c>
      <c r="HD242">
        <v>0.85746248526157709</v>
      </c>
    </row>
    <row r="243" spans="175:212" x14ac:dyDescent="0.3">
      <c r="FS243">
        <v>0.73111782477341392</v>
      </c>
      <c r="FT243">
        <v>471.2402862097353</v>
      </c>
      <c r="FW243">
        <v>0.73111782477341392</v>
      </c>
      <c r="FX243">
        <v>297.26564864077739</v>
      </c>
      <c r="GA243">
        <v>0.73111782477341392</v>
      </c>
      <c r="GB243">
        <v>4085.7081592492391</v>
      </c>
      <c r="GE243">
        <v>0.73111782477341392</v>
      </c>
      <c r="GF243">
        <v>1063.3350922728739</v>
      </c>
      <c r="GI243">
        <v>0.73111782477341392</v>
      </c>
      <c r="GJ243">
        <v>0.76510693100767679</v>
      </c>
      <c r="GM243">
        <v>0.73111782477341392</v>
      </c>
      <c r="GN243">
        <v>0.87146494503349325</v>
      </c>
      <c r="GQ243">
        <v>0.73111782477341392</v>
      </c>
      <c r="GR243">
        <v>0.82993015266854908</v>
      </c>
      <c r="GU243">
        <v>0.73111782477341392</v>
      </c>
      <c r="GV243">
        <v>0.85883842804405774</v>
      </c>
      <c r="GY243">
        <v>0.73111782477341392</v>
      </c>
      <c r="GZ243">
        <v>0.84857566223178993</v>
      </c>
      <c r="HC243">
        <v>0.73111782477341392</v>
      </c>
      <c r="HD243">
        <v>0.85761076420051208</v>
      </c>
    </row>
    <row r="244" spans="175:212" x14ac:dyDescent="0.3">
      <c r="FS244">
        <v>0.73413897280966767</v>
      </c>
      <c r="FT244">
        <v>471.5481733107485</v>
      </c>
      <c r="FW244">
        <v>0.73413897280966767</v>
      </c>
      <c r="FX244">
        <v>297.3821645648199</v>
      </c>
      <c r="GA244">
        <v>0.73413897280966767</v>
      </c>
      <c r="GB244">
        <v>4088.0459899288371</v>
      </c>
      <c r="GE244">
        <v>0.73413897280966767</v>
      </c>
      <c r="GF244">
        <v>1063.7010080151611</v>
      </c>
      <c r="GI244">
        <v>0.73413897280966767</v>
      </c>
      <c r="GJ244">
        <v>0.76577903187918661</v>
      </c>
      <c r="GM244">
        <v>0.73413897280966767</v>
      </c>
      <c r="GN244">
        <v>0.87209970377632196</v>
      </c>
      <c r="GQ244">
        <v>0.73413897280966767</v>
      </c>
      <c r="GR244">
        <v>0.83031722358672289</v>
      </c>
      <c r="GU244">
        <v>0.73413897280966767</v>
      </c>
      <c r="GV244">
        <v>0.86073704607842783</v>
      </c>
      <c r="GY244">
        <v>0.73413897280966767</v>
      </c>
      <c r="GZ244">
        <v>0.85069379531554157</v>
      </c>
      <c r="HC244">
        <v>0.73413897280966767</v>
      </c>
      <c r="HD244">
        <v>0.85874404315817188</v>
      </c>
    </row>
    <row r="245" spans="175:212" x14ac:dyDescent="0.3">
      <c r="FS245">
        <v>0.73716012084592142</v>
      </c>
      <c r="FT245">
        <v>472.04760142880963</v>
      </c>
      <c r="FW245">
        <v>0.73716012084592142</v>
      </c>
      <c r="FX245">
        <v>297.50986404165178</v>
      </c>
      <c r="GA245">
        <v>0.73716012084592142</v>
      </c>
      <c r="GB245">
        <v>4097.8797506023502</v>
      </c>
      <c r="GE245">
        <v>0.73716012084592142</v>
      </c>
      <c r="GF245">
        <v>1067.248236821704</v>
      </c>
      <c r="GI245">
        <v>0.73716012084592142</v>
      </c>
      <c r="GJ245">
        <v>0.76684145484304689</v>
      </c>
      <c r="GM245">
        <v>0.73716012084592142</v>
      </c>
      <c r="GN245">
        <v>0.8721635771384133</v>
      </c>
      <c r="GQ245">
        <v>0.73716012084592142</v>
      </c>
      <c r="GR245">
        <v>0.830641274391128</v>
      </c>
      <c r="GU245">
        <v>0.73716012084592142</v>
      </c>
      <c r="GV245">
        <v>0.86156830444367793</v>
      </c>
      <c r="GY245">
        <v>0.73716012084592142</v>
      </c>
      <c r="GZ245">
        <v>0.85182543645389797</v>
      </c>
      <c r="HC245">
        <v>0.73716012084592142</v>
      </c>
      <c r="HD245">
        <v>0.85956332474362918</v>
      </c>
    </row>
    <row r="246" spans="175:212" x14ac:dyDescent="0.3">
      <c r="FS246">
        <v>0.74018126888217528</v>
      </c>
      <c r="FT246">
        <v>472.08142989139287</v>
      </c>
      <c r="FW246">
        <v>0.74018126888217528</v>
      </c>
      <c r="FX246">
        <v>297.53775902573028</v>
      </c>
      <c r="GA246">
        <v>0.74018126888217528</v>
      </c>
      <c r="GB246">
        <v>4107.3880994792844</v>
      </c>
      <c r="GE246">
        <v>0.74018126888217528</v>
      </c>
      <c r="GF246">
        <v>1068.7287212292019</v>
      </c>
      <c r="GI246">
        <v>0.74018126888217528</v>
      </c>
      <c r="GJ246">
        <v>0.76712869997619859</v>
      </c>
      <c r="GM246">
        <v>0.74018126888217528</v>
      </c>
      <c r="GN246">
        <v>0.87271501495964299</v>
      </c>
      <c r="GQ246">
        <v>0.74018126888217528</v>
      </c>
      <c r="GR246">
        <v>0.83291909585788848</v>
      </c>
      <c r="GU246">
        <v>0.74018126888217528</v>
      </c>
      <c r="GV246">
        <v>0.86197557438012473</v>
      </c>
      <c r="GY246">
        <v>0.74018126888217528</v>
      </c>
      <c r="GZ246">
        <v>0.85213051485345304</v>
      </c>
      <c r="HC246">
        <v>0.74018126888217528</v>
      </c>
      <c r="HD246">
        <v>0.85962075765314072</v>
      </c>
    </row>
    <row r="247" spans="175:212" x14ac:dyDescent="0.3">
      <c r="FS247">
        <v>0.74320241691842903</v>
      </c>
      <c r="FT247">
        <v>472.56171446220679</v>
      </c>
      <c r="FW247">
        <v>0.74320241691842903</v>
      </c>
      <c r="FX247">
        <v>297.67445400574542</v>
      </c>
      <c r="GA247">
        <v>0.74320241691842903</v>
      </c>
      <c r="GB247">
        <v>4113.9467075226967</v>
      </c>
      <c r="GE247">
        <v>0.74320241691842903</v>
      </c>
      <c r="GF247">
        <v>1072.2610352197919</v>
      </c>
      <c r="GI247">
        <v>0.74320241691842903</v>
      </c>
      <c r="GJ247">
        <v>0.76810469656328073</v>
      </c>
      <c r="GM247">
        <v>0.74320241691842903</v>
      </c>
      <c r="GN247">
        <v>0.87315007589326499</v>
      </c>
      <c r="GQ247">
        <v>0.74320241691842903</v>
      </c>
      <c r="GR247">
        <v>0.83389385279256734</v>
      </c>
      <c r="GU247">
        <v>0.74320241691842903</v>
      </c>
      <c r="GV247">
        <v>0.8628960897448319</v>
      </c>
      <c r="GY247">
        <v>0.74320241691842903</v>
      </c>
      <c r="GZ247">
        <v>0.85415877192935752</v>
      </c>
      <c r="HC247">
        <v>0.74320241691842903</v>
      </c>
      <c r="HD247">
        <v>0.86082014714183686</v>
      </c>
    </row>
    <row r="248" spans="175:212" x14ac:dyDescent="0.3">
      <c r="FS248">
        <v>0.74622356495468278</v>
      </c>
      <c r="FT248">
        <v>472.91982147028739</v>
      </c>
      <c r="FW248">
        <v>0.74622356495468278</v>
      </c>
      <c r="FX248">
        <v>297.72318290796289</v>
      </c>
      <c r="GA248">
        <v>0.74622356495468278</v>
      </c>
      <c r="GB248">
        <v>4134.1857033922206</v>
      </c>
      <c r="GE248">
        <v>0.74622356495468278</v>
      </c>
      <c r="GF248">
        <v>1078.9526693895129</v>
      </c>
      <c r="GI248">
        <v>0.74622356495468278</v>
      </c>
      <c r="GJ248">
        <v>0.76881997885350484</v>
      </c>
      <c r="GM248">
        <v>0.74622356495468278</v>
      </c>
      <c r="GN248">
        <v>0.87328200410514123</v>
      </c>
      <c r="GQ248">
        <v>0.74622356495468278</v>
      </c>
      <c r="GR248">
        <v>0.83423260012054279</v>
      </c>
      <c r="GU248">
        <v>0.74622356495468278</v>
      </c>
      <c r="GV248">
        <v>0.86298422160526589</v>
      </c>
      <c r="GY248">
        <v>0.74622356495468278</v>
      </c>
      <c r="GZ248">
        <v>0.85470876726071188</v>
      </c>
      <c r="HC248">
        <v>0.74622356495468278</v>
      </c>
      <c r="HD248">
        <v>0.86118537047212973</v>
      </c>
    </row>
    <row r="249" spans="175:212" x14ac:dyDescent="0.3">
      <c r="FS249">
        <v>0.74924471299093653</v>
      </c>
      <c r="FT249">
        <v>473.15845150072909</v>
      </c>
      <c r="FW249">
        <v>0.74924471299093653</v>
      </c>
      <c r="FX249">
        <v>297.80554358585198</v>
      </c>
      <c r="GA249">
        <v>0.74924471299093653</v>
      </c>
      <c r="GB249">
        <v>4139.0756485346556</v>
      </c>
      <c r="GE249">
        <v>0.74924471299093653</v>
      </c>
      <c r="GF249">
        <v>1082.7528064791429</v>
      </c>
      <c r="GI249">
        <v>0.74924471299093653</v>
      </c>
      <c r="GJ249">
        <v>0.76941093255691317</v>
      </c>
      <c r="GM249">
        <v>0.74924471299093653</v>
      </c>
      <c r="GN249">
        <v>0.87395435003720934</v>
      </c>
      <c r="GQ249">
        <v>0.74924471299093653</v>
      </c>
      <c r="GR249">
        <v>0.83584643029673678</v>
      </c>
      <c r="GU249">
        <v>0.74924471299093653</v>
      </c>
      <c r="GV249">
        <v>0.86526029469898758</v>
      </c>
      <c r="GY249">
        <v>0.74924471299093653</v>
      </c>
      <c r="GZ249">
        <v>0.85489997782990779</v>
      </c>
      <c r="HC249">
        <v>0.74924471299093653</v>
      </c>
      <c r="HD249">
        <v>0.86151145535263529</v>
      </c>
    </row>
    <row r="250" spans="175:212" x14ac:dyDescent="0.3">
      <c r="FS250">
        <v>0.75226586102719029</v>
      </c>
      <c r="FT250">
        <v>473.19805688608352</v>
      </c>
      <c r="FW250">
        <v>0.75226586102719029</v>
      </c>
      <c r="FX250">
        <v>297.85319805015251</v>
      </c>
      <c r="GA250">
        <v>0.75226586102719029</v>
      </c>
      <c r="GB250">
        <v>4145.8876742950724</v>
      </c>
      <c r="GE250">
        <v>0.75226586102719029</v>
      </c>
      <c r="GF250">
        <v>1084.441098746134</v>
      </c>
      <c r="GI250">
        <v>0.75226586102719029</v>
      </c>
      <c r="GJ250">
        <v>0.7699090154945063</v>
      </c>
      <c r="GM250">
        <v>0.75226586102719029</v>
      </c>
      <c r="GN250">
        <v>0.87479119032297725</v>
      </c>
      <c r="GQ250">
        <v>0.75226586102719029</v>
      </c>
      <c r="GR250">
        <v>0.83693828439279683</v>
      </c>
      <c r="GU250">
        <v>0.75226586102719029</v>
      </c>
      <c r="GV250">
        <v>0.86556495422937774</v>
      </c>
      <c r="GY250">
        <v>0.75226586102719029</v>
      </c>
      <c r="GZ250">
        <v>0.85625491868893433</v>
      </c>
      <c r="HC250">
        <v>0.75226586102719029</v>
      </c>
      <c r="HD250">
        <v>0.86183987245927951</v>
      </c>
    </row>
    <row r="251" spans="175:212" x14ac:dyDescent="0.3">
      <c r="FS251">
        <v>0.75528700906344415</v>
      </c>
      <c r="FT251">
        <v>473.44843576617592</v>
      </c>
      <c r="FW251">
        <v>0.75528700906344415</v>
      </c>
      <c r="FX251">
        <v>297.8875144199107</v>
      </c>
      <c r="GA251">
        <v>0.75528700906344415</v>
      </c>
      <c r="GB251">
        <v>4156.765910241249</v>
      </c>
      <c r="GE251">
        <v>0.75528700906344415</v>
      </c>
      <c r="GF251">
        <v>1089.357485633039</v>
      </c>
      <c r="GI251">
        <v>0.75528700906344415</v>
      </c>
      <c r="GJ251">
        <v>0.77020977777055133</v>
      </c>
      <c r="GM251">
        <v>0.75528700906344415</v>
      </c>
      <c r="GN251">
        <v>0.87501928658570394</v>
      </c>
      <c r="GQ251">
        <v>0.75528700906344415</v>
      </c>
      <c r="GR251">
        <v>0.83759877301321695</v>
      </c>
      <c r="GU251">
        <v>0.75528700906344415</v>
      </c>
      <c r="GV251">
        <v>0.8672773086401192</v>
      </c>
      <c r="GY251">
        <v>0.75528700906344415</v>
      </c>
      <c r="GZ251">
        <v>0.8565995350543445</v>
      </c>
      <c r="HC251">
        <v>0.75528700906344415</v>
      </c>
      <c r="HD251">
        <v>0.8624057748393652</v>
      </c>
    </row>
    <row r="252" spans="175:212" x14ac:dyDescent="0.3">
      <c r="FS252">
        <v>0.7583081570996979</v>
      </c>
      <c r="FT252">
        <v>473.64641200206188</v>
      </c>
      <c r="FW252">
        <v>0.7583081570996979</v>
      </c>
      <c r="FX252">
        <v>298.00657621930731</v>
      </c>
      <c r="GA252">
        <v>0.7583081570996979</v>
      </c>
      <c r="GB252">
        <v>4169.5340174751818</v>
      </c>
      <c r="GE252">
        <v>0.7583081570996979</v>
      </c>
      <c r="GF252">
        <v>1094.4390403641489</v>
      </c>
      <c r="GI252">
        <v>0.7583081570996979</v>
      </c>
      <c r="GJ252">
        <v>0.77233185551227512</v>
      </c>
      <c r="GM252">
        <v>0.7583081570996979</v>
      </c>
      <c r="GN252">
        <v>0.8755358751158604</v>
      </c>
      <c r="GQ252">
        <v>0.7583081570996979</v>
      </c>
      <c r="GR252">
        <v>0.83783393931989381</v>
      </c>
      <c r="GU252">
        <v>0.7583081570996979</v>
      </c>
      <c r="GV252">
        <v>0.8674102586305763</v>
      </c>
      <c r="GY252">
        <v>0.7583081570996979</v>
      </c>
      <c r="GZ252">
        <v>0.85891548550679819</v>
      </c>
      <c r="HC252">
        <v>0.7583081570996979</v>
      </c>
      <c r="HD252">
        <v>0.86283259702528459</v>
      </c>
    </row>
    <row r="253" spans="175:212" x14ac:dyDescent="0.3">
      <c r="FS253">
        <v>0.76132930513595165</v>
      </c>
      <c r="FT253">
        <v>473.90662414256428</v>
      </c>
      <c r="FW253">
        <v>0.76132930513595165</v>
      </c>
      <c r="FX253">
        <v>298.09945318388873</v>
      </c>
      <c r="GA253">
        <v>0.76132930513595165</v>
      </c>
      <c r="GB253">
        <v>4185.1408442010761</v>
      </c>
      <c r="GE253">
        <v>0.76132930513595165</v>
      </c>
      <c r="GF253">
        <v>1097.6457094238469</v>
      </c>
      <c r="GI253">
        <v>0.76132930513595165</v>
      </c>
      <c r="GJ253">
        <v>0.77478046316297711</v>
      </c>
      <c r="GM253">
        <v>0.76132930513595165</v>
      </c>
      <c r="GN253">
        <v>0.87694624151041434</v>
      </c>
      <c r="GQ253">
        <v>0.76132930513595165</v>
      </c>
      <c r="GR253">
        <v>0.83911731257357425</v>
      </c>
      <c r="GU253">
        <v>0.76132930513595165</v>
      </c>
      <c r="GV253">
        <v>0.86975389173799678</v>
      </c>
      <c r="GY253">
        <v>0.76132930513595165</v>
      </c>
      <c r="GZ253">
        <v>0.85965881104218</v>
      </c>
      <c r="HC253">
        <v>0.76132930513595165</v>
      </c>
      <c r="HD253">
        <v>0.86340796042385493</v>
      </c>
    </row>
    <row r="254" spans="175:212" x14ac:dyDescent="0.3">
      <c r="FS254">
        <v>0.7643504531722054</v>
      </c>
      <c r="FT254">
        <v>474.24485525133321</v>
      </c>
      <c r="FW254">
        <v>0.7643504531722054</v>
      </c>
      <c r="FX254">
        <v>298.14187340424388</v>
      </c>
      <c r="GA254">
        <v>0.7643504531722054</v>
      </c>
      <c r="GB254">
        <v>4197.3915099250116</v>
      </c>
      <c r="GE254">
        <v>0.7643504531722054</v>
      </c>
      <c r="GF254">
        <v>1101.886053225254</v>
      </c>
      <c r="GI254">
        <v>0.7643504531722054</v>
      </c>
      <c r="GJ254">
        <v>0.77635796129595636</v>
      </c>
      <c r="GM254">
        <v>0.7643504531722054</v>
      </c>
      <c r="GN254">
        <v>0.87729268074792599</v>
      </c>
      <c r="GQ254">
        <v>0.7643504531722054</v>
      </c>
      <c r="GR254">
        <v>0.83939645576571098</v>
      </c>
      <c r="GU254">
        <v>0.7643504531722054</v>
      </c>
      <c r="GV254">
        <v>0.87086888713116595</v>
      </c>
      <c r="GY254">
        <v>0.7643504531722054</v>
      </c>
      <c r="GZ254">
        <v>0.86105257081464526</v>
      </c>
      <c r="HC254">
        <v>0.7643504531722054</v>
      </c>
      <c r="HD254">
        <v>0.86442279804682642</v>
      </c>
    </row>
    <row r="255" spans="175:212" x14ac:dyDescent="0.3">
      <c r="FS255">
        <v>0.76737160120845926</v>
      </c>
      <c r="FT255">
        <v>474.26592389735379</v>
      </c>
      <c r="FW255">
        <v>0.76737160120845926</v>
      </c>
      <c r="FX255">
        <v>298.19978711048122</v>
      </c>
      <c r="GA255">
        <v>0.76737160120845926</v>
      </c>
      <c r="GB255">
        <v>4202.0029205155051</v>
      </c>
      <c r="GE255">
        <v>0.76737160120845926</v>
      </c>
      <c r="GF255">
        <v>1103.05835450258</v>
      </c>
      <c r="GI255">
        <v>0.76737160120845926</v>
      </c>
      <c r="GJ255">
        <v>0.77698761169122899</v>
      </c>
      <c r="GM255">
        <v>0.76737160120845926</v>
      </c>
      <c r="GN255">
        <v>0.8778184034728318</v>
      </c>
      <c r="GQ255">
        <v>0.76737160120845926</v>
      </c>
      <c r="GR255">
        <v>0.84004468262901966</v>
      </c>
      <c r="GU255">
        <v>0.76737160120845926</v>
      </c>
      <c r="GV255">
        <v>0.87133373730410091</v>
      </c>
      <c r="GY255">
        <v>0.76737160120845926</v>
      </c>
      <c r="GZ255">
        <v>0.861327116039456</v>
      </c>
      <c r="HC255">
        <v>0.76737160120845926</v>
      </c>
      <c r="HD255">
        <v>0.86800097518779884</v>
      </c>
    </row>
    <row r="256" spans="175:212" x14ac:dyDescent="0.3">
      <c r="FS256">
        <v>0.77039274924471302</v>
      </c>
      <c r="FT256">
        <v>474.5368232349216</v>
      </c>
      <c r="FW256">
        <v>0.77039274924471302</v>
      </c>
      <c r="FX256">
        <v>298.22740055602338</v>
      </c>
      <c r="GA256">
        <v>0.77039274924471302</v>
      </c>
      <c r="GB256">
        <v>4206.4269448387859</v>
      </c>
      <c r="GE256">
        <v>0.77039274924471302</v>
      </c>
      <c r="GF256">
        <v>1112.256411872577</v>
      </c>
      <c r="GI256">
        <v>0.77039274924471302</v>
      </c>
      <c r="GJ256">
        <v>0.77816099608216527</v>
      </c>
      <c r="GM256">
        <v>0.77039274924471302</v>
      </c>
      <c r="GN256">
        <v>0.87875380752054733</v>
      </c>
      <c r="GQ256">
        <v>0.77039274924471302</v>
      </c>
      <c r="GR256">
        <v>0.84112798582155146</v>
      </c>
      <c r="GU256">
        <v>0.77039274924471302</v>
      </c>
      <c r="GV256">
        <v>0.87149860951888725</v>
      </c>
      <c r="GY256">
        <v>0.77039274924471302</v>
      </c>
      <c r="GZ256">
        <v>0.8623433728026878</v>
      </c>
      <c r="HC256">
        <v>0.77039274924471302</v>
      </c>
      <c r="HD256">
        <v>0.87173238246950024</v>
      </c>
    </row>
    <row r="257" spans="175:212" x14ac:dyDescent="0.3">
      <c r="FS257">
        <v>0.77341389728096677</v>
      </c>
      <c r="FT257">
        <v>475.2505996689697</v>
      </c>
      <c r="FW257">
        <v>0.77341389728096677</v>
      </c>
      <c r="FX257">
        <v>298.361901534205</v>
      </c>
      <c r="GA257">
        <v>0.77341389728096677</v>
      </c>
      <c r="GB257">
        <v>4209.3250018096278</v>
      </c>
      <c r="GE257">
        <v>0.77341389728096677</v>
      </c>
      <c r="GF257">
        <v>1119.3285801886609</v>
      </c>
      <c r="GI257">
        <v>0.77341389728096677</v>
      </c>
      <c r="GJ257">
        <v>0.77876449733269659</v>
      </c>
      <c r="GM257">
        <v>0.77341389728096677</v>
      </c>
      <c r="GN257">
        <v>0.87993521447698952</v>
      </c>
      <c r="GQ257">
        <v>0.77341389728096677</v>
      </c>
      <c r="GR257">
        <v>0.84155513333587673</v>
      </c>
      <c r="GU257">
        <v>0.77341389728096677</v>
      </c>
      <c r="GV257">
        <v>0.87224897311235838</v>
      </c>
      <c r="GY257">
        <v>0.77341389728096677</v>
      </c>
      <c r="GZ257">
        <v>0.86339090491641213</v>
      </c>
      <c r="HC257">
        <v>0.77341389728096677</v>
      </c>
      <c r="HD257">
        <v>0.87178339562398866</v>
      </c>
    </row>
    <row r="258" spans="175:212" x14ac:dyDescent="0.3">
      <c r="FS258">
        <v>0.77643504531722052</v>
      </c>
      <c r="FT258">
        <v>475.25687509544002</v>
      </c>
      <c r="FW258">
        <v>0.77643504531722052</v>
      </c>
      <c r="FX258">
        <v>298.38532055517862</v>
      </c>
      <c r="GA258">
        <v>0.77643504531722052</v>
      </c>
      <c r="GB258">
        <v>4210.6480852472496</v>
      </c>
      <c r="GE258">
        <v>0.77643504531722052</v>
      </c>
      <c r="GF258">
        <v>1121.2688664833081</v>
      </c>
      <c r="GI258">
        <v>0.77643504531722052</v>
      </c>
      <c r="GJ258">
        <v>0.7795878271247525</v>
      </c>
      <c r="GM258">
        <v>0.77643504531722052</v>
      </c>
      <c r="GN258">
        <v>0.88024126509260203</v>
      </c>
      <c r="GQ258">
        <v>0.77643504531722052</v>
      </c>
      <c r="GR258">
        <v>0.84245310604343104</v>
      </c>
      <c r="GU258">
        <v>0.77643504531722052</v>
      </c>
      <c r="GV258">
        <v>0.87361300598074987</v>
      </c>
      <c r="GY258">
        <v>0.77643504531722052</v>
      </c>
      <c r="GZ258">
        <v>0.86351040450579264</v>
      </c>
      <c r="HC258">
        <v>0.77643504531722052</v>
      </c>
      <c r="HD258">
        <v>0.87296881080188304</v>
      </c>
    </row>
    <row r="259" spans="175:212" x14ac:dyDescent="0.3">
      <c r="FS259">
        <v>0.77945619335347427</v>
      </c>
      <c r="FT259">
        <v>475.70403953216862</v>
      </c>
      <c r="FW259">
        <v>0.77945619335347427</v>
      </c>
      <c r="FX259">
        <v>298.42925698142562</v>
      </c>
      <c r="GA259">
        <v>0.77945619335347427</v>
      </c>
      <c r="GB259">
        <v>4221.2709021404407</v>
      </c>
      <c r="GE259">
        <v>0.77945619335347427</v>
      </c>
      <c r="GF259">
        <v>1124.420413302747</v>
      </c>
      <c r="GI259">
        <v>0.77945619335347427</v>
      </c>
      <c r="GJ259">
        <v>0.78049194768801278</v>
      </c>
      <c r="GM259">
        <v>0.77945619335347427</v>
      </c>
      <c r="GN259">
        <v>0.88026119213688014</v>
      </c>
      <c r="GQ259">
        <v>0.77945619335347427</v>
      </c>
      <c r="GR259">
        <v>0.84309340204455552</v>
      </c>
      <c r="GU259">
        <v>0.77945619335347427</v>
      </c>
      <c r="GV259">
        <v>0.87547641300642853</v>
      </c>
      <c r="GY259">
        <v>0.77945619335347427</v>
      </c>
      <c r="GZ259">
        <v>0.86613708449688209</v>
      </c>
      <c r="HC259">
        <v>0.77945619335347427</v>
      </c>
      <c r="HD259">
        <v>0.87301231132403756</v>
      </c>
    </row>
    <row r="260" spans="175:212" x14ac:dyDescent="0.3">
      <c r="FS260">
        <v>0.78247734138972813</v>
      </c>
      <c r="FT260">
        <v>475.76912119383542</v>
      </c>
      <c r="FW260">
        <v>0.78247734138972813</v>
      </c>
      <c r="FX260">
        <v>298.52736800353841</v>
      </c>
      <c r="GA260">
        <v>0.78247734138972813</v>
      </c>
      <c r="GB260">
        <v>4232.3146083145093</v>
      </c>
      <c r="GE260">
        <v>0.78247734138972813</v>
      </c>
      <c r="GF260">
        <v>1130.3791760319129</v>
      </c>
      <c r="GI260">
        <v>0.78247734138972813</v>
      </c>
      <c r="GJ260">
        <v>0.78126642868830598</v>
      </c>
      <c r="GM260">
        <v>0.78247734138972813</v>
      </c>
      <c r="GN260">
        <v>0.88054273177881015</v>
      </c>
      <c r="GQ260">
        <v>0.78247734138972813</v>
      </c>
      <c r="GR260">
        <v>0.84374913368125926</v>
      </c>
      <c r="GU260">
        <v>0.78247734138972813</v>
      </c>
      <c r="GV260">
        <v>0.87580331074440299</v>
      </c>
      <c r="GY260">
        <v>0.78247734138972813</v>
      </c>
      <c r="GZ260">
        <v>0.86690094542003715</v>
      </c>
      <c r="HC260">
        <v>0.78247734138972813</v>
      </c>
      <c r="HD260">
        <v>0.8747194993501255</v>
      </c>
    </row>
    <row r="261" spans="175:212" x14ac:dyDescent="0.3">
      <c r="FS261">
        <v>0.78549848942598188</v>
      </c>
      <c r="FT261">
        <v>476.17953089196959</v>
      </c>
      <c r="FW261">
        <v>0.78549848942598188</v>
      </c>
      <c r="FX261">
        <v>298.59936087809479</v>
      </c>
      <c r="GA261">
        <v>0.78549848942598188</v>
      </c>
      <c r="GB261">
        <v>4236.2637219721682</v>
      </c>
      <c r="GE261">
        <v>0.78549848942598188</v>
      </c>
      <c r="GF261">
        <v>1138.9439763450359</v>
      </c>
      <c r="GI261">
        <v>0.78549848942598188</v>
      </c>
      <c r="GJ261">
        <v>0.7814981646791771</v>
      </c>
      <c r="GM261">
        <v>0.78549848942598188</v>
      </c>
      <c r="GN261">
        <v>0.88095032139632745</v>
      </c>
      <c r="GQ261">
        <v>0.78549848942598188</v>
      </c>
      <c r="GR261">
        <v>0.8438229692172371</v>
      </c>
      <c r="GU261">
        <v>0.78549848942598188</v>
      </c>
      <c r="GV261">
        <v>0.87779909110300935</v>
      </c>
      <c r="GY261">
        <v>0.78549848942598188</v>
      </c>
      <c r="GZ261">
        <v>0.8675492684641708</v>
      </c>
      <c r="HC261">
        <v>0.78549848942598188</v>
      </c>
      <c r="HD261">
        <v>0.87484007590587376</v>
      </c>
    </row>
    <row r="262" spans="175:212" x14ac:dyDescent="0.3">
      <c r="FS262">
        <v>0.78851963746223563</v>
      </c>
      <c r="FT262">
        <v>476.27458675497491</v>
      </c>
      <c r="FW262">
        <v>0.78851963746223563</v>
      </c>
      <c r="FX262">
        <v>298.65830284822681</v>
      </c>
      <c r="GA262">
        <v>0.78851963746223563</v>
      </c>
      <c r="GB262">
        <v>4238.795622881742</v>
      </c>
      <c r="GE262">
        <v>0.78851963746223563</v>
      </c>
      <c r="GF262">
        <v>1145.6968651424461</v>
      </c>
      <c r="GI262">
        <v>0.78851963746223563</v>
      </c>
      <c r="GJ262">
        <v>0.78308144178843109</v>
      </c>
      <c r="GM262">
        <v>0.78851963746223563</v>
      </c>
      <c r="GN262">
        <v>0.88192448484517927</v>
      </c>
      <c r="GQ262">
        <v>0.78851963746223563</v>
      </c>
      <c r="GR262">
        <v>0.84434745407203238</v>
      </c>
      <c r="GU262">
        <v>0.78851963746223563</v>
      </c>
      <c r="GV262">
        <v>0.87988209105192317</v>
      </c>
      <c r="GY262">
        <v>0.78851963746223563</v>
      </c>
      <c r="GZ262">
        <v>0.86897755073004124</v>
      </c>
      <c r="HC262">
        <v>0.78851963746223563</v>
      </c>
      <c r="HD262">
        <v>0.87582854691237366</v>
      </c>
    </row>
    <row r="263" spans="175:212" x14ac:dyDescent="0.3">
      <c r="FS263">
        <v>0.79154078549848939</v>
      </c>
      <c r="FT263">
        <v>476.7900781576256</v>
      </c>
      <c r="FW263">
        <v>0.79154078549848939</v>
      </c>
      <c r="FX263">
        <v>298.72073075703543</v>
      </c>
      <c r="GA263">
        <v>0.79154078549848939</v>
      </c>
      <c r="GB263">
        <v>4249.6334748563349</v>
      </c>
      <c r="GE263">
        <v>0.79154078549848939</v>
      </c>
      <c r="GF263">
        <v>1150.143753512928</v>
      </c>
      <c r="GI263">
        <v>0.79154078549848939</v>
      </c>
      <c r="GJ263">
        <v>0.78365896926547363</v>
      </c>
      <c r="GM263">
        <v>0.79154078549848939</v>
      </c>
      <c r="GN263">
        <v>0.88196948765787553</v>
      </c>
      <c r="GQ263">
        <v>0.79154078549848939</v>
      </c>
      <c r="GR263">
        <v>0.84505169850319362</v>
      </c>
      <c r="GU263">
        <v>0.79154078549848939</v>
      </c>
      <c r="GV263">
        <v>0.88227584036394835</v>
      </c>
      <c r="GY263">
        <v>0.79154078549848939</v>
      </c>
      <c r="GZ263">
        <v>0.87055227590073048</v>
      </c>
      <c r="HC263">
        <v>0.79154078549848939</v>
      </c>
      <c r="HD263">
        <v>0.87615367665590727</v>
      </c>
    </row>
    <row r="264" spans="175:212" x14ac:dyDescent="0.3">
      <c r="FS264">
        <v>0.79456193353474325</v>
      </c>
      <c r="FT264">
        <v>476.97770877061282</v>
      </c>
      <c r="FW264">
        <v>0.79456193353474325</v>
      </c>
      <c r="FX264">
        <v>298.7950151256282</v>
      </c>
      <c r="GA264">
        <v>0.79456193353474325</v>
      </c>
      <c r="GB264">
        <v>4255.1398485510472</v>
      </c>
      <c r="GE264">
        <v>0.79456193353474325</v>
      </c>
      <c r="GF264">
        <v>1152.0911325165939</v>
      </c>
      <c r="GI264">
        <v>0.79456193353474325</v>
      </c>
      <c r="GJ264">
        <v>0.78478410168230117</v>
      </c>
      <c r="GM264">
        <v>0.79456193353474325</v>
      </c>
      <c r="GN264">
        <v>0.88289956680675874</v>
      </c>
      <c r="GQ264">
        <v>0.79456193353474325</v>
      </c>
      <c r="GR264">
        <v>0.84543599918385659</v>
      </c>
      <c r="GU264">
        <v>0.79456193353474325</v>
      </c>
      <c r="GV264">
        <v>0.8834220512221207</v>
      </c>
      <c r="GY264">
        <v>0.79456193353474325</v>
      </c>
      <c r="GZ264">
        <v>0.87108251244163293</v>
      </c>
      <c r="HC264">
        <v>0.79456193353474325</v>
      </c>
      <c r="HD264">
        <v>0.87654641139303591</v>
      </c>
    </row>
    <row r="265" spans="175:212" x14ac:dyDescent="0.3">
      <c r="FS265">
        <v>0.797583081570997</v>
      </c>
      <c r="FT265">
        <v>477.03852732286128</v>
      </c>
      <c r="FW265">
        <v>0.797583081570997</v>
      </c>
      <c r="FX265">
        <v>298.84800964397601</v>
      </c>
      <c r="GA265">
        <v>0.797583081570997</v>
      </c>
      <c r="GB265">
        <v>4269.977630883368</v>
      </c>
      <c r="GE265">
        <v>0.797583081570997</v>
      </c>
      <c r="GF265">
        <v>1159.0431504363009</v>
      </c>
      <c r="GI265">
        <v>0.797583081570997</v>
      </c>
      <c r="GJ265">
        <v>0.78555085842354844</v>
      </c>
      <c r="GM265">
        <v>0.797583081570997</v>
      </c>
      <c r="GN265">
        <v>0.88365072367917796</v>
      </c>
      <c r="GQ265">
        <v>0.797583081570997</v>
      </c>
      <c r="GR265">
        <v>0.84660617725749709</v>
      </c>
      <c r="GU265">
        <v>0.797583081570997</v>
      </c>
      <c r="GV265">
        <v>0.8836094116215305</v>
      </c>
      <c r="GY265">
        <v>0.797583081570997</v>
      </c>
      <c r="GZ265">
        <v>0.87258344860149417</v>
      </c>
      <c r="HC265">
        <v>0.797583081570997</v>
      </c>
      <c r="HD265">
        <v>0.8767528344266583</v>
      </c>
    </row>
    <row r="266" spans="175:212" x14ac:dyDescent="0.3">
      <c r="FS266">
        <v>0.80060422960725075</v>
      </c>
      <c r="FT266">
        <v>477.57057904404212</v>
      </c>
      <c r="FW266">
        <v>0.80060422960725075</v>
      </c>
      <c r="FX266">
        <v>299.0939722672025</v>
      </c>
      <c r="GA266">
        <v>0.80060422960725075</v>
      </c>
      <c r="GB266">
        <v>4275.300864904254</v>
      </c>
      <c r="GE266">
        <v>0.80060422960725075</v>
      </c>
      <c r="GF266">
        <v>1161.2752681388549</v>
      </c>
      <c r="GI266">
        <v>0.80060422960725075</v>
      </c>
      <c r="GJ266">
        <v>0.78567742167242005</v>
      </c>
      <c r="GM266">
        <v>0.80060422960725075</v>
      </c>
      <c r="GN266">
        <v>0.88367291379037816</v>
      </c>
      <c r="GQ266">
        <v>0.80060422960725075</v>
      </c>
      <c r="GR266">
        <v>0.84674349484704803</v>
      </c>
      <c r="GU266">
        <v>0.80060422960725075</v>
      </c>
      <c r="GV266">
        <v>0.8841634753152201</v>
      </c>
      <c r="GY266">
        <v>0.80060422960725075</v>
      </c>
      <c r="GZ266">
        <v>0.87387854903978812</v>
      </c>
      <c r="HC266">
        <v>0.80060422960725075</v>
      </c>
      <c r="HD266">
        <v>0.87711287410855188</v>
      </c>
    </row>
    <row r="267" spans="175:212" x14ac:dyDescent="0.3">
      <c r="FS267">
        <v>0.8036253776435045</v>
      </c>
      <c r="FT267">
        <v>477.63238139967228</v>
      </c>
      <c r="FW267">
        <v>0.8036253776435045</v>
      </c>
      <c r="FX267">
        <v>299.11446852822502</v>
      </c>
      <c r="GA267">
        <v>0.8036253776435045</v>
      </c>
      <c r="GB267">
        <v>4287.7263781485071</v>
      </c>
      <c r="GE267">
        <v>0.8036253776435045</v>
      </c>
      <c r="GF267">
        <v>1165.1772642822559</v>
      </c>
      <c r="GI267">
        <v>0.8036253776435045</v>
      </c>
      <c r="GJ267">
        <v>0.7866456227613865</v>
      </c>
      <c r="GM267">
        <v>0.8036253776435045</v>
      </c>
      <c r="GN267">
        <v>0.8846519286123975</v>
      </c>
      <c r="GQ267">
        <v>0.8036253776435045</v>
      </c>
      <c r="GR267">
        <v>0.84684512857594063</v>
      </c>
      <c r="GU267">
        <v>0.8036253776435045</v>
      </c>
      <c r="GV267">
        <v>0.88556585186473902</v>
      </c>
      <c r="GY267">
        <v>0.8036253776435045</v>
      </c>
      <c r="GZ267">
        <v>0.87483229341580027</v>
      </c>
      <c r="HC267">
        <v>0.8036253776435045</v>
      </c>
      <c r="HD267">
        <v>0.87797708088547688</v>
      </c>
    </row>
    <row r="268" spans="175:212" x14ac:dyDescent="0.3">
      <c r="FS268">
        <v>0.80664652567975825</v>
      </c>
      <c r="FT268">
        <v>477.64703419578598</v>
      </c>
      <c r="FW268">
        <v>0.80664652567975825</v>
      </c>
      <c r="FX268">
        <v>299.19389081911851</v>
      </c>
      <c r="GA268">
        <v>0.80664652567975825</v>
      </c>
      <c r="GB268">
        <v>4288.4784288729388</v>
      </c>
      <c r="GE268">
        <v>0.80664652567975825</v>
      </c>
      <c r="GF268">
        <v>1168.6771968935841</v>
      </c>
      <c r="GI268">
        <v>0.80664652567975825</v>
      </c>
      <c r="GJ268">
        <v>0.78827015791507393</v>
      </c>
      <c r="GM268">
        <v>0.80664652567975825</v>
      </c>
      <c r="GN268">
        <v>0.8847424993071954</v>
      </c>
      <c r="GQ268">
        <v>0.80664652567975825</v>
      </c>
      <c r="GR268">
        <v>0.8480432265501372</v>
      </c>
      <c r="GU268">
        <v>0.80664652567975825</v>
      </c>
      <c r="GV268">
        <v>0.88596618410040762</v>
      </c>
      <c r="GY268">
        <v>0.80664652567975825</v>
      </c>
      <c r="GZ268">
        <v>0.87675901944318824</v>
      </c>
      <c r="HC268">
        <v>0.80664652567975825</v>
      </c>
      <c r="HD268">
        <v>0.87846016929553217</v>
      </c>
    </row>
    <row r="269" spans="175:212" x14ac:dyDescent="0.3">
      <c r="FS269">
        <v>0.80966767371601212</v>
      </c>
      <c r="FT269">
        <v>478.03222972869071</v>
      </c>
      <c r="FW269">
        <v>0.80966767371601212</v>
      </c>
      <c r="FX269">
        <v>299.26513628791832</v>
      </c>
      <c r="GA269">
        <v>0.80966767371601212</v>
      </c>
      <c r="GB269">
        <v>4294.9672370021763</v>
      </c>
      <c r="GE269">
        <v>0.80966767371601212</v>
      </c>
      <c r="GF269">
        <v>1171.4294401515101</v>
      </c>
      <c r="GI269">
        <v>0.80966767371601212</v>
      </c>
      <c r="GJ269">
        <v>0.78961660723938432</v>
      </c>
      <c r="GM269">
        <v>0.80966767371601212</v>
      </c>
      <c r="GN269">
        <v>0.88564636499910832</v>
      </c>
      <c r="GQ269">
        <v>0.80966767371601212</v>
      </c>
      <c r="GR269">
        <v>0.84953088511873776</v>
      </c>
      <c r="GU269">
        <v>0.80966767371601212</v>
      </c>
      <c r="GV269">
        <v>0.88666969325379208</v>
      </c>
      <c r="GY269">
        <v>0.80966767371601212</v>
      </c>
      <c r="GZ269">
        <v>0.87912580174066557</v>
      </c>
      <c r="HC269">
        <v>0.80966767371601212</v>
      </c>
      <c r="HD269">
        <v>0.87919229188546488</v>
      </c>
    </row>
    <row r="270" spans="175:212" x14ac:dyDescent="0.3">
      <c r="FS270">
        <v>0.81268882175226587</v>
      </c>
      <c r="FT270">
        <v>478.2728581788985</v>
      </c>
      <c r="FW270">
        <v>0.81268882175226587</v>
      </c>
      <c r="FX270">
        <v>299.30281372453362</v>
      </c>
      <c r="GA270">
        <v>0.81268882175226587</v>
      </c>
      <c r="GB270">
        <v>4309.7793039101853</v>
      </c>
      <c r="GE270">
        <v>0.81268882175226587</v>
      </c>
      <c r="GF270">
        <v>1172.0821141990141</v>
      </c>
      <c r="GI270">
        <v>0.81268882175226587</v>
      </c>
      <c r="GJ270">
        <v>0.79088584187529598</v>
      </c>
      <c r="GM270">
        <v>0.81268882175226587</v>
      </c>
      <c r="GN270">
        <v>0.88607890427514602</v>
      </c>
      <c r="GQ270">
        <v>0.81268882175226587</v>
      </c>
      <c r="GR270">
        <v>0.85003720298562591</v>
      </c>
      <c r="GU270">
        <v>0.81268882175226587</v>
      </c>
      <c r="GV270">
        <v>0.88753478572667932</v>
      </c>
      <c r="GY270">
        <v>0.81268882175226587</v>
      </c>
      <c r="GZ270">
        <v>0.88126010672993771</v>
      </c>
      <c r="HC270">
        <v>0.81268882175226587</v>
      </c>
      <c r="HD270">
        <v>0.88024600978807999</v>
      </c>
    </row>
    <row r="271" spans="175:212" x14ac:dyDescent="0.3">
      <c r="FS271">
        <v>0.81570996978851962</v>
      </c>
      <c r="FT271">
        <v>478.4021881569368</v>
      </c>
      <c r="FW271">
        <v>0.81570996978851962</v>
      </c>
      <c r="FX271">
        <v>299.41574165862539</v>
      </c>
      <c r="GA271">
        <v>0.81570996978851962</v>
      </c>
      <c r="GB271">
        <v>4327.6913002017254</v>
      </c>
      <c r="GE271">
        <v>0.81570996978851962</v>
      </c>
      <c r="GF271">
        <v>1181.9359841452101</v>
      </c>
      <c r="GI271">
        <v>0.81570996978851962</v>
      </c>
      <c r="GJ271">
        <v>0.79187131171445091</v>
      </c>
      <c r="GM271">
        <v>0.81570996978851962</v>
      </c>
      <c r="GN271">
        <v>0.88652951362971777</v>
      </c>
      <c r="GQ271">
        <v>0.81570996978851962</v>
      </c>
      <c r="GR271">
        <v>0.85017726156809981</v>
      </c>
      <c r="GU271">
        <v>0.81570996978851962</v>
      </c>
      <c r="GV271">
        <v>0.88839690560828632</v>
      </c>
      <c r="GY271">
        <v>0.81570996978851962</v>
      </c>
      <c r="GZ271">
        <v>0.88226718535121007</v>
      </c>
      <c r="HC271">
        <v>0.81570996978851962</v>
      </c>
      <c r="HD271">
        <v>0.88090476327062239</v>
      </c>
    </row>
    <row r="272" spans="175:212" x14ac:dyDescent="0.3">
      <c r="FS272">
        <v>0.81873111782477337</v>
      </c>
      <c r="FT272">
        <v>478.50874474728681</v>
      </c>
      <c r="FW272">
        <v>0.81873111782477337</v>
      </c>
      <c r="FX272">
        <v>299.43432431276051</v>
      </c>
      <c r="GA272">
        <v>0.81873111782477337</v>
      </c>
      <c r="GB272">
        <v>4344.1781891148576</v>
      </c>
      <c r="GE272">
        <v>0.81873111782477337</v>
      </c>
      <c r="GF272">
        <v>1188.461165331636</v>
      </c>
      <c r="GI272">
        <v>0.81873111782477337</v>
      </c>
      <c r="GJ272">
        <v>0.79191619859986573</v>
      </c>
      <c r="GM272">
        <v>0.81873111782477337</v>
      </c>
      <c r="GN272">
        <v>0.88705992823712754</v>
      </c>
      <c r="GQ272">
        <v>0.81873111782477337</v>
      </c>
      <c r="GR272">
        <v>0.85125838016952016</v>
      </c>
      <c r="GU272">
        <v>0.81873111782477337</v>
      </c>
      <c r="GV272">
        <v>0.88862225111250692</v>
      </c>
      <c r="GY272">
        <v>0.81873111782477337</v>
      </c>
      <c r="GZ272">
        <v>0.88301149057207451</v>
      </c>
      <c r="HC272">
        <v>0.81873111782477337</v>
      </c>
      <c r="HD272">
        <v>0.88194901937199321</v>
      </c>
    </row>
    <row r="273" spans="175:212" x14ac:dyDescent="0.3">
      <c r="FS273">
        <v>0.82175226586102723</v>
      </c>
      <c r="FT273">
        <v>479.17266557211849</v>
      </c>
      <c r="FW273">
        <v>0.82175226586102723</v>
      </c>
      <c r="FX273">
        <v>299.54707274575122</v>
      </c>
      <c r="GA273">
        <v>0.82175226586102723</v>
      </c>
      <c r="GB273">
        <v>4360.0740089428709</v>
      </c>
      <c r="GE273">
        <v>0.82175226586102723</v>
      </c>
      <c r="GF273">
        <v>1196.501615209263</v>
      </c>
      <c r="GI273">
        <v>0.82175226586102723</v>
      </c>
      <c r="GJ273">
        <v>0.79395557837618025</v>
      </c>
      <c r="GM273">
        <v>0.82175226586102723</v>
      </c>
      <c r="GN273">
        <v>0.88762862716453828</v>
      </c>
      <c r="GQ273">
        <v>0.82175226586102723</v>
      </c>
      <c r="GR273">
        <v>0.8520223793409154</v>
      </c>
      <c r="GU273">
        <v>0.82175226586102723</v>
      </c>
      <c r="GV273">
        <v>0.88964821217964329</v>
      </c>
      <c r="GY273">
        <v>0.82175226586102723</v>
      </c>
      <c r="GZ273">
        <v>0.88370400936745375</v>
      </c>
      <c r="HC273">
        <v>0.82175226586102723</v>
      </c>
      <c r="HD273">
        <v>0.88196065469268226</v>
      </c>
    </row>
    <row r="274" spans="175:212" x14ac:dyDescent="0.3">
      <c r="FS274">
        <v>0.82477341389728098</v>
      </c>
      <c r="FT274">
        <v>479.30085725383333</v>
      </c>
      <c r="FW274">
        <v>0.82477341389728098</v>
      </c>
      <c r="FX274">
        <v>299.60274545395691</v>
      </c>
      <c r="GA274">
        <v>0.82477341389728098</v>
      </c>
      <c r="GB274">
        <v>4366.2645945010754</v>
      </c>
      <c r="GE274">
        <v>0.82477341389728098</v>
      </c>
      <c r="GF274">
        <v>1198.0715033697629</v>
      </c>
      <c r="GI274">
        <v>0.82477341389728098</v>
      </c>
      <c r="GJ274">
        <v>0.79494506131218612</v>
      </c>
      <c r="GM274">
        <v>0.82477341389728098</v>
      </c>
      <c r="GN274">
        <v>0.88783101298528166</v>
      </c>
      <c r="GQ274">
        <v>0.82477341389728098</v>
      </c>
      <c r="GR274">
        <v>0.85234680607022073</v>
      </c>
      <c r="GU274">
        <v>0.82477341389728098</v>
      </c>
      <c r="GV274">
        <v>0.89149470791637597</v>
      </c>
      <c r="GY274">
        <v>0.82477341389728098</v>
      </c>
      <c r="GZ274">
        <v>0.88375526872486465</v>
      </c>
      <c r="HC274">
        <v>0.82477341389728098</v>
      </c>
      <c r="HD274">
        <v>0.88269525139839644</v>
      </c>
    </row>
    <row r="275" spans="175:212" x14ac:dyDescent="0.3">
      <c r="FS275">
        <v>0.82779456193353473</v>
      </c>
      <c r="FT275">
        <v>479.67549510759011</v>
      </c>
      <c r="FW275">
        <v>0.82779456193353473</v>
      </c>
      <c r="FX275">
        <v>299.64549794645012</v>
      </c>
      <c r="GA275">
        <v>0.82779456193353473</v>
      </c>
      <c r="GB275">
        <v>4384.9317578869759</v>
      </c>
      <c r="GE275">
        <v>0.82779456193353473</v>
      </c>
      <c r="GF275">
        <v>1200.8676998024521</v>
      </c>
      <c r="GI275">
        <v>0.82779456193353473</v>
      </c>
      <c r="GJ275">
        <v>0.79539364723718187</v>
      </c>
      <c r="GM275">
        <v>0.82779456193353473</v>
      </c>
      <c r="GN275">
        <v>0.88794376181445789</v>
      </c>
      <c r="GQ275">
        <v>0.82779456193353473</v>
      </c>
      <c r="GR275">
        <v>0.85306996185023265</v>
      </c>
      <c r="GU275">
        <v>0.82779456193353473</v>
      </c>
      <c r="GV275">
        <v>0.89222605691587953</v>
      </c>
      <c r="GY275">
        <v>0.82779456193353473</v>
      </c>
      <c r="GZ275">
        <v>0.88535625904330995</v>
      </c>
      <c r="HC275">
        <v>0.82779456193353473</v>
      </c>
      <c r="HD275">
        <v>0.88391465527018975</v>
      </c>
    </row>
    <row r="276" spans="175:212" x14ac:dyDescent="0.3">
      <c r="FS276">
        <v>0.83081570996978849</v>
      </c>
      <c r="FT276">
        <v>480.03923755151578</v>
      </c>
      <c r="FW276">
        <v>0.83081570996978849</v>
      </c>
      <c r="FX276">
        <v>299.66765086965052</v>
      </c>
      <c r="GA276">
        <v>0.83081570996978849</v>
      </c>
      <c r="GB276">
        <v>4386.3843412594697</v>
      </c>
      <c r="GE276">
        <v>0.83081570996978849</v>
      </c>
      <c r="GF276">
        <v>1208.258783111841</v>
      </c>
      <c r="GI276">
        <v>0.83081570996978849</v>
      </c>
      <c r="GJ276">
        <v>0.79558193832275581</v>
      </c>
      <c r="GM276">
        <v>0.83081570996978849</v>
      </c>
      <c r="GN276">
        <v>0.88827011498770236</v>
      </c>
      <c r="GQ276">
        <v>0.83081570996978849</v>
      </c>
      <c r="GR276">
        <v>0.85332918343711517</v>
      </c>
      <c r="GU276">
        <v>0.83081570996978849</v>
      </c>
      <c r="GV276">
        <v>0.89269125711870101</v>
      </c>
      <c r="GY276">
        <v>0.83081570996978849</v>
      </c>
      <c r="GZ276">
        <v>0.8856990818856223</v>
      </c>
      <c r="HC276">
        <v>0.83081570996978849</v>
      </c>
      <c r="HD276">
        <v>0.88406322530786496</v>
      </c>
    </row>
    <row r="277" spans="175:212" x14ac:dyDescent="0.3">
      <c r="FS277">
        <v>0.83383685800604235</v>
      </c>
      <c r="FT277">
        <v>480.17559540567402</v>
      </c>
      <c r="FW277">
        <v>0.83383685800604235</v>
      </c>
      <c r="FX277">
        <v>299.7228785247982</v>
      </c>
      <c r="GA277">
        <v>0.83383685800604235</v>
      </c>
      <c r="GB277">
        <v>4401.3673327341394</v>
      </c>
      <c r="GE277">
        <v>0.83383685800604235</v>
      </c>
      <c r="GF277">
        <v>1213.074960151908</v>
      </c>
      <c r="GI277">
        <v>0.83383685800604235</v>
      </c>
      <c r="GJ277">
        <v>0.79716137287470679</v>
      </c>
      <c r="GM277">
        <v>0.83383685800604235</v>
      </c>
      <c r="GN277">
        <v>0.88920676692502054</v>
      </c>
      <c r="GQ277">
        <v>0.83383685800604235</v>
      </c>
      <c r="GR277">
        <v>0.8539235906834084</v>
      </c>
      <c r="GU277">
        <v>0.83383685800604235</v>
      </c>
      <c r="GV277">
        <v>0.89324387575792019</v>
      </c>
      <c r="GY277">
        <v>0.83383685800604235</v>
      </c>
      <c r="GZ277">
        <v>0.88691992246766671</v>
      </c>
      <c r="HC277">
        <v>0.83383685800604235</v>
      </c>
      <c r="HD277">
        <v>0.88476586759096276</v>
      </c>
    </row>
    <row r="278" spans="175:212" x14ac:dyDescent="0.3">
      <c r="FS278">
        <v>0.8368580060422961</v>
      </c>
      <c r="FT278">
        <v>480.66288017202999</v>
      </c>
      <c r="FW278">
        <v>0.8368580060422961</v>
      </c>
      <c r="FX278">
        <v>299.76485480667537</v>
      </c>
      <c r="GA278">
        <v>0.8368580060422961</v>
      </c>
      <c r="GB278">
        <v>4409.1172533702629</v>
      </c>
      <c r="GE278">
        <v>0.8368580060422961</v>
      </c>
      <c r="GF278">
        <v>1213.870757203076</v>
      </c>
      <c r="GI278">
        <v>0.8368580060422961</v>
      </c>
      <c r="GJ278">
        <v>0.79727800113740732</v>
      </c>
      <c r="GM278">
        <v>0.8368580060422961</v>
      </c>
      <c r="GN278">
        <v>0.88979702862715515</v>
      </c>
      <c r="GQ278">
        <v>0.8368580060422961</v>
      </c>
      <c r="GR278">
        <v>0.85394407417224594</v>
      </c>
      <c r="GU278">
        <v>0.8368580060422961</v>
      </c>
      <c r="GV278">
        <v>0.89451683325113285</v>
      </c>
      <c r="GY278">
        <v>0.8368580060422961</v>
      </c>
      <c r="GZ278">
        <v>0.8872536842044505</v>
      </c>
      <c r="HC278">
        <v>0.8368580060422961</v>
      </c>
      <c r="HD278">
        <v>0.88601854488599774</v>
      </c>
    </row>
    <row r="279" spans="175:212" x14ac:dyDescent="0.3">
      <c r="FS279">
        <v>0.83987915407854985</v>
      </c>
      <c r="FT279">
        <v>480.70069631365112</v>
      </c>
      <c r="FW279">
        <v>0.83987915407854985</v>
      </c>
      <c r="FX279">
        <v>299.7873441540284</v>
      </c>
      <c r="GA279">
        <v>0.83987915407854985</v>
      </c>
      <c r="GB279">
        <v>4416.5759146917608</v>
      </c>
      <c r="GE279">
        <v>0.83987915407854985</v>
      </c>
      <c r="GF279">
        <v>1233.3481731655511</v>
      </c>
      <c r="GI279">
        <v>0.83987915407854985</v>
      </c>
      <c r="GJ279">
        <v>0.79851522620269444</v>
      </c>
      <c r="GM279">
        <v>0.83987915407854985</v>
      </c>
      <c r="GN279">
        <v>0.89040369200934966</v>
      </c>
      <c r="GQ279">
        <v>0.83987915407854985</v>
      </c>
      <c r="GR279">
        <v>0.85533523709832571</v>
      </c>
      <c r="GU279">
        <v>0.83987915407854985</v>
      </c>
      <c r="GV279">
        <v>0.89543618798897184</v>
      </c>
      <c r="GY279">
        <v>0.83987915407854985</v>
      </c>
      <c r="GZ279">
        <v>0.88836284460988046</v>
      </c>
      <c r="HC279">
        <v>0.83987915407854985</v>
      </c>
      <c r="HD279">
        <v>0.88630069828316693</v>
      </c>
    </row>
    <row r="280" spans="175:212" x14ac:dyDescent="0.3">
      <c r="FS280">
        <v>0.8429003021148036</v>
      </c>
      <c r="FT280">
        <v>480.8593833638887</v>
      </c>
      <c r="FW280">
        <v>0.8429003021148036</v>
      </c>
      <c r="FX280">
        <v>299.87127790382192</v>
      </c>
      <c r="GA280">
        <v>0.8429003021148036</v>
      </c>
      <c r="GB280">
        <v>4421.4745824465554</v>
      </c>
      <c r="GE280">
        <v>0.8429003021148036</v>
      </c>
      <c r="GF280">
        <v>1240.754443539701</v>
      </c>
      <c r="GI280">
        <v>0.8429003021148036</v>
      </c>
      <c r="GJ280">
        <v>0.80000303188199862</v>
      </c>
      <c r="GM280">
        <v>0.8429003021148036</v>
      </c>
      <c r="GN280">
        <v>0.89044215763638812</v>
      </c>
      <c r="GQ280">
        <v>0.8429003021148036</v>
      </c>
      <c r="GR280">
        <v>0.85565473229479061</v>
      </c>
      <c r="GU280">
        <v>0.8429003021148036</v>
      </c>
      <c r="GV280">
        <v>0.89557618547671969</v>
      </c>
      <c r="GY280">
        <v>0.8429003021148036</v>
      </c>
      <c r="GZ280">
        <v>0.8888330792509469</v>
      </c>
      <c r="HC280">
        <v>0.8429003021148036</v>
      </c>
      <c r="HD280">
        <v>0.88716602629779873</v>
      </c>
    </row>
    <row r="281" spans="175:212" x14ac:dyDescent="0.3">
      <c r="FS281">
        <v>0.84592145015105735</v>
      </c>
      <c r="FT281">
        <v>481.08629473362521</v>
      </c>
      <c r="FW281">
        <v>0.84592145015105735</v>
      </c>
      <c r="FX281">
        <v>299.93149010539901</v>
      </c>
      <c r="GA281">
        <v>0.84592145015105735</v>
      </c>
      <c r="GB281">
        <v>4426.9571764584534</v>
      </c>
      <c r="GE281">
        <v>0.84592145015105735</v>
      </c>
      <c r="GF281">
        <v>1247.611980786854</v>
      </c>
      <c r="GI281">
        <v>0.84592145015105735</v>
      </c>
      <c r="GJ281">
        <v>0.80001336778214949</v>
      </c>
      <c r="GM281">
        <v>0.84592145015105735</v>
      </c>
      <c r="GN281">
        <v>0.89165327318346799</v>
      </c>
      <c r="GQ281">
        <v>0.84592145015105735</v>
      </c>
      <c r="GR281">
        <v>0.85715476824208425</v>
      </c>
      <c r="GU281">
        <v>0.84592145015105735</v>
      </c>
      <c r="GV281">
        <v>0.89739684282601928</v>
      </c>
      <c r="GY281">
        <v>0.84592145015105735</v>
      </c>
      <c r="GZ281">
        <v>0.88962825354935415</v>
      </c>
      <c r="HC281">
        <v>0.84592145015105735</v>
      </c>
      <c r="HD281">
        <v>0.88730899611661962</v>
      </c>
    </row>
    <row r="282" spans="175:212" x14ac:dyDescent="0.3">
      <c r="FS282">
        <v>0.84894259818731121</v>
      </c>
      <c r="FT282">
        <v>481.20953679965248</v>
      </c>
      <c r="FW282">
        <v>0.84894259818731121</v>
      </c>
      <c r="FX282">
        <v>299.93780472774051</v>
      </c>
      <c r="GA282">
        <v>0.84894259818731121</v>
      </c>
      <c r="GB282">
        <v>4430.8092664561082</v>
      </c>
      <c r="GE282">
        <v>0.84894259818731121</v>
      </c>
      <c r="GF282">
        <v>1248.24885800572</v>
      </c>
      <c r="GI282">
        <v>0.84894259818731121</v>
      </c>
      <c r="GJ282">
        <v>0.80100728423070444</v>
      </c>
      <c r="GM282">
        <v>0.84894259818731121</v>
      </c>
      <c r="GN282">
        <v>0.89246459550357859</v>
      </c>
      <c r="GQ282">
        <v>0.84894259818731121</v>
      </c>
      <c r="GR282">
        <v>0.85724571686464035</v>
      </c>
      <c r="GU282">
        <v>0.84894259818731121</v>
      </c>
      <c r="GV282">
        <v>0.89799739620082197</v>
      </c>
      <c r="GY282">
        <v>0.84894259818731121</v>
      </c>
      <c r="GZ282">
        <v>0.89053633856674697</v>
      </c>
      <c r="HC282">
        <v>0.84894259818731121</v>
      </c>
      <c r="HD282">
        <v>0.88982625258756964</v>
      </c>
    </row>
    <row r="283" spans="175:212" x14ac:dyDescent="0.3">
      <c r="FS283">
        <v>0.85196374622356497</v>
      </c>
      <c r="FT283">
        <v>481.60666593606391</v>
      </c>
      <c r="FW283">
        <v>0.85196374622356497</v>
      </c>
      <c r="FX283">
        <v>300.0078082063647</v>
      </c>
      <c r="GA283">
        <v>0.85196374622356497</v>
      </c>
      <c r="GB283">
        <v>4447.3091464378576</v>
      </c>
      <c r="GE283">
        <v>0.85196374622356497</v>
      </c>
      <c r="GF283">
        <v>1251.20882915582</v>
      </c>
      <c r="GI283">
        <v>0.85196374622356497</v>
      </c>
      <c r="GJ283">
        <v>0.80163704591439622</v>
      </c>
      <c r="GM283">
        <v>0.85196374622356497</v>
      </c>
      <c r="GN283">
        <v>0.89252791928627417</v>
      </c>
      <c r="GQ283">
        <v>0.85196374622356497</v>
      </c>
      <c r="GR283">
        <v>0.85851318459351977</v>
      </c>
      <c r="GU283">
        <v>0.85196374622356497</v>
      </c>
      <c r="GV283">
        <v>0.89842309754468697</v>
      </c>
      <c r="GY283">
        <v>0.85196374622356497</v>
      </c>
      <c r="GZ283">
        <v>0.89253960974429258</v>
      </c>
      <c r="HC283">
        <v>0.85196374622356497</v>
      </c>
      <c r="HD283">
        <v>0.89008953196016005</v>
      </c>
    </row>
    <row r="284" spans="175:212" x14ac:dyDescent="0.3">
      <c r="FS284">
        <v>0.85498489425981872</v>
      </c>
      <c r="FT284">
        <v>482.56187344336507</v>
      </c>
      <c r="FW284">
        <v>0.85498489425981872</v>
      </c>
      <c r="FX284">
        <v>300.06229352443171</v>
      </c>
      <c r="GA284">
        <v>0.85498489425981872</v>
      </c>
      <c r="GB284">
        <v>4454.7856126837569</v>
      </c>
      <c r="GE284">
        <v>0.85498489425981872</v>
      </c>
      <c r="GF284">
        <v>1254.520050129621</v>
      </c>
      <c r="GI284">
        <v>0.85498489425981872</v>
      </c>
      <c r="GJ284">
        <v>0.80345145521916772</v>
      </c>
      <c r="GM284">
        <v>0.85498489425981872</v>
      </c>
      <c r="GN284">
        <v>0.89350937839757105</v>
      </c>
      <c r="GQ284">
        <v>0.85498489425981872</v>
      </c>
      <c r="GR284">
        <v>0.85950833349314082</v>
      </c>
      <c r="GU284">
        <v>0.85498489425981872</v>
      </c>
      <c r="GV284">
        <v>0.89903230764928388</v>
      </c>
      <c r="GY284">
        <v>0.85498489425981872</v>
      </c>
      <c r="GZ284">
        <v>0.89266383214527267</v>
      </c>
      <c r="HC284">
        <v>0.85498489425981872</v>
      </c>
      <c r="HD284">
        <v>0.89098289754106885</v>
      </c>
    </row>
    <row r="285" spans="175:212" x14ac:dyDescent="0.3">
      <c r="FS285">
        <v>0.85800604229607247</v>
      </c>
      <c r="FT285">
        <v>482.69256594913821</v>
      </c>
      <c r="FW285">
        <v>0.85800604229607247</v>
      </c>
      <c r="FX285">
        <v>300.1523997676826</v>
      </c>
      <c r="GA285">
        <v>0.85800604229607247</v>
      </c>
      <c r="GB285">
        <v>4457.1334767294848</v>
      </c>
      <c r="GE285">
        <v>0.85800604229607247</v>
      </c>
      <c r="GF285">
        <v>1257.8624160393749</v>
      </c>
      <c r="GI285">
        <v>0.85800604229607247</v>
      </c>
      <c r="GJ285">
        <v>0.80427864642538904</v>
      </c>
      <c r="GM285">
        <v>0.85800604229607247</v>
      </c>
      <c r="GN285">
        <v>0.89407088519873923</v>
      </c>
      <c r="GQ285">
        <v>0.85800604229607247</v>
      </c>
      <c r="GR285">
        <v>0.86157135672296503</v>
      </c>
      <c r="GU285">
        <v>0.85800604229607247</v>
      </c>
      <c r="GV285">
        <v>0.90081833410109524</v>
      </c>
      <c r="GY285">
        <v>0.85800604229607247</v>
      </c>
      <c r="GZ285">
        <v>0.89476507502728442</v>
      </c>
      <c r="HC285">
        <v>0.85800604229607247</v>
      </c>
      <c r="HD285">
        <v>0.89104757235076371</v>
      </c>
    </row>
    <row r="286" spans="175:212" x14ac:dyDescent="0.3">
      <c r="FS286">
        <v>0.86102719033232633</v>
      </c>
      <c r="FT286">
        <v>483.32577035619931</v>
      </c>
      <c r="FW286">
        <v>0.86102719033232633</v>
      </c>
      <c r="FX286">
        <v>300.2046878698165</v>
      </c>
      <c r="GA286">
        <v>0.86102719033232633</v>
      </c>
      <c r="GB286">
        <v>4460.0938097453654</v>
      </c>
      <c r="GE286">
        <v>0.86102719033232633</v>
      </c>
      <c r="GF286">
        <v>1265.4748958349419</v>
      </c>
      <c r="GI286">
        <v>0.86102719033232633</v>
      </c>
      <c r="GJ286">
        <v>0.80494190504008123</v>
      </c>
      <c r="GM286">
        <v>0.86102719033232633</v>
      </c>
      <c r="GN286">
        <v>0.89463431050002429</v>
      </c>
      <c r="GQ286">
        <v>0.86102719033232633</v>
      </c>
      <c r="GR286">
        <v>0.86246221729004535</v>
      </c>
      <c r="GU286">
        <v>0.86102719033232633</v>
      </c>
      <c r="GV286">
        <v>0.90170101409155035</v>
      </c>
      <c r="GY286">
        <v>0.86102719033232633</v>
      </c>
      <c r="GZ286">
        <v>0.89580243712589769</v>
      </c>
      <c r="HC286">
        <v>0.86102719033232633</v>
      </c>
      <c r="HD286">
        <v>0.89149778288650328</v>
      </c>
    </row>
    <row r="287" spans="175:212" x14ac:dyDescent="0.3">
      <c r="FS287">
        <v>0.86404833836858008</v>
      </c>
      <c r="FT287">
        <v>483.68461653505449</v>
      </c>
      <c r="FW287">
        <v>0.86404833836858008</v>
      </c>
      <c r="FX287">
        <v>300.21453173830622</v>
      </c>
      <c r="GA287">
        <v>0.86404833836858008</v>
      </c>
      <c r="GB287">
        <v>4470.3297031075399</v>
      </c>
      <c r="GE287">
        <v>0.86404833836858008</v>
      </c>
      <c r="GF287">
        <v>1284.2384330569739</v>
      </c>
      <c r="GI287">
        <v>0.86404833836858008</v>
      </c>
      <c r="GJ287">
        <v>0.80618557273218383</v>
      </c>
      <c r="GM287">
        <v>0.86404833836858008</v>
      </c>
      <c r="GN287">
        <v>0.89526216647130774</v>
      </c>
      <c r="GQ287">
        <v>0.86404833836858008</v>
      </c>
      <c r="GR287">
        <v>0.86254242744660892</v>
      </c>
      <c r="GU287">
        <v>0.86404833836858008</v>
      </c>
      <c r="GV287">
        <v>0.90310453635735755</v>
      </c>
      <c r="GY287">
        <v>0.86404833836858008</v>
      </c>
      <c r="GZ287">
        <v>0.89637034890799594</v>
      </c>
      <c r="HC287">
        <v>0.86404833836858008</v>
      </c>
      <c r="HD287">
        <v>0.89222474215350656</v>
      </c>
    </row>
    <row r="288" spans="175:212" x14ac:dyDescent="0.3">
      <c r="FS288">
        <v>0.86706948640483383</v>
      </c>
      <c r="FT288">
        <v>484.38725404217303</v>
      </c>
      <c r="FW288">
        <v>0.86706948640483383</v>
      </c>
      <c r="FX288">
        <v>300.26904480454101</v>
      </c>
      <c r="GA288">
        <v>0.86706948640483383</v>
      </c>
      <c r="GB288">
        <v>4480.4690512725447</v>
      </c>
      <c r="GE288">
        <v>0.86706948640483383</v>
      </c>
      <c r="GF288">
        <v>1288.8254495376279</v>
      </c>
      <c r="GI288">
        <v>0.86706948640483383</v>
      </c>
      <c r="GJ288">
        <v>0.80627215737664415</v>
      </c>
      <c r="GM288">
        <v>0.86706948640483383</v>
      </c>
      <c r="GN288">
        <v>0.8954303811508364</v>
      </c>
      <c r="GQ288">
        <v>0.86706948640483383</v>
      </c>
      <c r="GR288">
        <v>0.86288734141805323</v>
      </c>
      <c r="GU288">
        <v>0.86706948640483383</v>
      </c>
      <c r="GV288">
        <v>0.90507379203373395</v>
      </c>
      <c r="GY288">
        <v>0.86706948640483383</v>
      </c>
      <c r="GZ288">
        <v>0.89680711823838877</v>
      </c>
      <c r="HC288">
        <v>0.86706948640483383</v>
      </c>
      <c r="HD288">
        <v>0.89266625061633653</v>
      </c>
    </row>
    <row r="289" spans="175:212" x14ac:dyDescent="0.3">
      <c r="FS289">
        <v>0.87009063444108758</v>
      </c>
      <c r="FT289">
        <v>484.76637427851898</v>
      </c>
      <c r="FW289">
        <v>0.87009063444108758</v>
      </c>
      <c r="FX289">
        <v>300.30755034113588</v>
      </c>
      <c r="GA289">
        <v>0.87009063444108758</v>
      </c>
      <c r="GB289">
        <v>4496.2536475938896</v>
      </c>
      <c r="GE289">
        <v>0.87009063444108758</v>
      </c>
      <c r="GF289">
        <v>1291.098246882884</v>
      </c>
      <c r="GI289">
        <v>0.87009063444108758</v>
      </c>
      <c r="GJ289">
        <v>0.80676290862506295</v>
      </c>
      <c r="GM289">
        <v>0.87009063444108758</v>
      </c>
      <c r="GN289">
        <v>0.8956370966717202</v>
      </c>
      <c r="GQ289">
        <v>0.87009063444108758</v>
      </c>
      <c r="GR289">
        <v>0.86396653166047843</v>
      </c>
      <c r="GU289">
        <v>0.87009063444108758</v>
      </c>
      <c r="GV289">
        <v>0.90612659938329598</v>
      </c>
      <c r="GY289">
        <v>0.87009063444108758</v>
      </c>
      <c r="GZ289">
        <v>0.89779245414729836</v>
      </c>
      <c r="HC289">
        <v>0.87009063444108758</v>
      </c>
      <c r="HD289">
        <v>0.89398048141139963</v>
      </c>
    </row>
    <row r="290" spans="175:212" x14ac:dyDescent="0.3">
      <c r="FS290">
        <v>0.87311178247734134</v>
      </c>
      <c r="FT290">
        <v>485.01668456103528</v>
      </c>
      <c r="FW290">
        <v>0.87311178247734134</v>
      </c>
      <c r="FX290">
        <v>300.38090084950733</v>
      </c>
      <c r="GA290">
        <v>0.87311178247734134</v>
      </c>
      <c r="GB290">
        <v>4519.5529706827838</v>
      </c>
      <c r="GE290">
        <v>0.87311178247734134</v>
      </c>
      <c r="GF290">
        <v>1291.3361311195069</v>
      </c>
      <c r="GI290">
        <v>0.87311178247734134</v>
      </c>
      <c r="GJ290">
        <v>0.80704473186184766</v>
      </c>
      <c r="GM290">
        <v>0.87311178247734134</v>
      </c>
      <c r="GN290">
        <v>0.89634983306591276</v>
      </c>
      <c r="GQ290">
        <v>0.87311178247734134</v>
      </c>
      <c r="GR290">
        <v>0.86442980124901814</v>
      </c>
      <c r="GU290">
        <v>0.87311178247734134</v>
      </c>
      <c r="GV290">
        <v>0.90614984729905801</v>
      </c>
      <c r="GY290">
        <v>0.87311178247734134</v>
      </c>
      <c r="GZ290">
        <v>0.89816961471360601</v>
      </c>
      <c r="HC290">
        <v>0.87311178247734134</v>
      </c>
      <c r="HD290">
        <v>0.89489962857232763</v>
      </c>
    </row>
    <row r="291" spans="175:212" x14ac:dyDescent="0.3">
      <c r="FS291">
        <v>0.8761329305135952</v>
      </c>
      <c r="FT291">
        <v>485.16046001791102</v>
      </c>
      <c r="FW291">
        <v>0.8761329305135952</v>
      </c>
      <c r="FX291">
        <v>300.40871856638972</v>
      </c>
      <c r="GA291">
        <v>0.8761329305135952</v>
      </c>
      <c r="GB291">
        <v>4520.1571961858281</v>
      </c>
      <c r="GE291">
        <v>0.8761329305135952</v>
      </c>
      <c r="GF291">
        <v>1301.092690119161</v>
      </c>
      <c r="GI291">
        <v>0.8761329305135952</v>
      </c>
      <c r="GJ291">
        <v>0.80894441844712739</v>
      </c>
      <c r="GM291">
        <v>0.8761329305135952</v>
      </c>
      <c r="GN291">
        <v>0.89676874779993065</v>
      </c>
      <c r="GQ291">
        <v>0.8761329305135952</v>
      </c>
      <c r="GR291">
        <v>0.8652385775493403</v>
      </c>
      <c r="GU291">
        <v>0.8761329305135952</v>
      </c>
      <c r="GV291">
        <v>0.90797628115042961</v>
      </c>
      <c r="GY291">
        <v>0.8761329305135952</v>
      </c>
      <c r="GZ291">
        <v>0.89968030874839255</v>
      </c>
      <c r="HC291">
        <v>0.8761329305135952</v>
      </c>
      <c r="HD291">
        <v>0.89553576533059098</v>
      </c>
    </row>
    <row r="292" spans="175:212" x14ac:dyDescent="0.3">
      <c r="FS292">
        <v>0.87915407854984895</v>
      </c>
      <c r="FT292">
        <v>485.83099875433481</v>
      </c>
      <c r="FW292">
        <v>0.87915407854984895</v>
      </c>
      <c r="FX292">
        <v>300.42337862737298</v>
      </c>
      <c r="GA292">
        <v>0.87915407854984895</v>
      </c>
      <c r="GB292">
        <v>4527.0307020367136</v>
      </c>
      <c r="GE292">
        <v>0.87915407854984895</v>
      </c>
      <c r="GF292">
        <v>1310.7399075267499</v>
      </c>
      <c r="GI292">
        <v>0.87915407854984895</v>
      </c>
      <c r="GJ292">
        <v>0.81112549056057248</v>
      </c>
      <c r="GM292">
        <v>0.87915407854984895</v>
      </c>
      <c r="GN292">
        <v>0.8969903906138067</v>
      </c>
      <c r="GQ292">
        <v>0.87915407854984895</v>
      </c>
      <c r="GR292">
        <v>0.86545961528306026</v>
      </c>
      <c r="GU292">
        <v>0.87915407854984895</v>
      </c>
      <c r="GV292">
        <v>0.91095374924579819</v>
      </c>
      <c r="GY292">
        <v>0.87915407854984895</v>
      </c>
      <c r="GZ292">
        <v>0.89988132263293807</v>
      </c>
      <c r="HC292">
        <v>0.87915407854984895</v>
      </c>
      <c r="HD292">
        <v>0.89725800027849323</v>
      </c>
    </row>
    <row r="293" spans="175:212" x14ac:dyDescent="0.3">
      <c r="FS293">
        <v>0.8821752265861027</v>
      </c>
      <c r="FT293">
        <v>486.13468432271952</v>
      </c>
      <c r="FW293">
        <v>0.8821752265861027</v>
      </c>
      <c r="FX293">
        <v>300.55163828134079</v>
      </c>
      <c r="GA293">
        <v>0.8821752265861027</v>
      </c>
      <c r="GB293">
        <v>4546.3400131625676</v>
      </c>
      <c r="GE293">
        <v>0.8821752265861027</v>
      </c>
      <c r="GF293">
        <v>1312.976037108916</v>
      </c>
      <c r="GI293">
        <v>0.8821752265861027</v>
      </c>
      <c r="GJ293">
        <v>0.81123409585128792</v>
      </c>
      <c r="GM293">
        <v>0.8821752265861027</v>
      </c>
      <c r="GN293">
        <v>0.89779092507108649</v>
      </c>
      <c r="GQ293">
        <v>0.8821752265861027</v>
      </c>
      <c r="GR293">
        <v>0.86717051370355458</v>
      </c>
      <c r="GU293">
        <v>0.8821752265861027</v>
      </c>
      <c r="GV293">
        <v>0.91231315782489841</v>
      </c>
      <c r="GY293">
        <v>0.8821752265861027</v>
      </c>
      <c r="GZ293">
        <v>0.90314778571770582</v>
      </c>
      <c r="HC293">
        <v>0.8821752265861027</v>
      </c>
      <c r="HD293">
        <v>0.89760306054474037</v>
      </c>
    </row>
    <row r="294" spans="175:212" x14ac:dyDescent="0.3">
      <c r="FS294">
        <v>0.88519637462235645</v>
      </c>
      <c r="FT294">
        <v>486.26829222438528</v>
      </c>
      <c r="FW294">
        <v>0.88519637462235645</v>
      </c>
      <c r="FX294">
        <v>300.68514981092608</v>
      </c>
      <c r="GA294">
        <v>0.88519637462235645</v>
      </c>
      <c r="GB294">
        <v>4546.8963063093861</v>
      </c>
      <c r="GE294">
        <v>0.88519637462235645</v>
      </c>
      <c r="GF294">
        <v>1321.240701376639</v>
      </c>
      <c r="GI294">
        <v>0.88519637462235645</v>
      </c>
      <c r="GJ294">
        <v>0.81178186136053099</v>
      </c>
      <c r="GM294">
        <v>0.88519637462235645</v>
      </c>
      <c r="GN294">
        <v>0.8978543870316863</v>
      </c>
      <c r="GQ294">
        <v>0.88519637462235645</v>
      </c>
      <c r="GR294">
        <v>0.86905993778571888</v>
      </c>
      <c r="GU294">
        <v>0.88519637462235645</v>
      </c>
      <c r="GV294">
        <v>0.91270881469497323</v>
      </c>
      <c r="GY294">
        <v>0.88519637462235645</v>
      </c>
      <c r="GZ294">
        <v>0.90470641516383243</v>
      </c>
      <c r="HC294">
        <v>0.88519637462235645</v>
      </c>
      <c r="HD294">
        <v>0.89865127924430055</v>
      </c>
    </row>
    <row r="295" spans="175:212" x14ac:dyDescent="0.3">
      <c r="FS295">
        <v>0.88821752265861031</v>
      </c>
      <c r="FT295">
        <v>487.12618566355241</v>
      </c>
      <c r="FW295">
        <v>0.88821752265861031</v>
      </c>
      <c r="FX295">
        <v>300.765199722962</v>
      </c>
      <c r="GA295">
        <v>0.88821752265861031</v>
      </c>
      <c r="GB295">
        <v>4561.3068555756727</v>
      </c>
      <c r="GE295">
        <v>0.88821752265861031</v>
      </c>
      <c r="GF295">
        <v>1329.3637888743431</v>
      </c>
      <c r="GI295">
        <v>0.88821752265861031</v>
      </c>
      <c r="GJ295">
        <v>0.81220379476867344</v>
      </c>
      <c r="GM295">
        <v>0.88821752265861031</v>
      </c>
      <c r="GN295">
        <v>0.89830741684930293</v>
      </c>
      <c r="GQ295">
        <v>0.88821752265861031</v>
      </c>
      <c r="GR295">
        <v>0.86979048836696771</v>
      </c>
      <c r="GU295">
        <v>0.88821752265861031</v>
      </c>
      <c r="GV295">
        <v>0.9129861528748624</v>
      </c>
      <c r="GY295">
        <v>0.88821752265861031</v>
      </c>
      <c r="GZ295">
        <v>0.90524644675998844</v>
      </c>
      <c r="HC295">
        <v>0.88821752265861031</v>
      </c>
      <c r="HD295">
        <v>0.89999420520434037</v>
      </c>
    </row>
    <row r="296" spans="175:212" x14ac:dyDescent="0.3">
      <c r="FS296">
        <v>0.89123867069486407</v>
      </c>
      <c r="FT296">
        <v>487.17966109798391</v>
      </c>
      <c r="FW296">
        <v>0.89123867069486407</v>
      </c>
      <c r="FX296">
        <v>300.81680857469678</v>
      </c>
      <c r="GA296">
        <v>0.89123867069486407</v>
      </c>
      <c r="GB296">
        <v>4565.5636648609761</v>
      </c>
      <c r="GE296">
        <v>0.89123867069486407</v>
      </c>
      <c r="GF296">
        <v>1334.2338684319161</v>
      </c>
      <c r="GI296">
        <v>0.89123867069486407</v>
      </c>
      <c r="GJ296">
        <v>0.81356697199494876</v>
      </c>
      <c r="GM296">
        <v>0.89123867069486407</v>
      </c>
      <c r="GN296">
        <v>0.89928503359134659</v>
      </c>
      <c r="GQ296">
        <v>0.89123867069486407</v>
      </c>
      <c r="GR296">
        <v>0.86997247932558508</v>
      </c>
      <c r="GU296">
        <v>0.89123867069486407</v>
      </c>
      <c r="GV296">
        <v>0.91471953172383602</v>
      </c>
      <c r="GY296">
        <v>0.89123867069486407</v>
      </c>
      <c r="GZ296">
        <v>0.90658219113518479</v>
      </c>
      <c r="HC296">
        <v>0.89123867069486407</v>
      </c>
      <c r="HD296">
        <v>0.9001919053297861</v>
      </c>
    </row>
    <row r="297" spans="175:212" x14ac:dyDescent="0.3">
      <c r="FS297">
        <v>0.89425981873111782</v>
      </c>
      <c r="FT297">
        <v>487.89129213392681</v>
      </c>
      <c r="FW297">
        <v>0.89425981873111782</v>
      </c>
      <c r="FX297">
        <v>300.90464721076791</v>
      </c>
      <c r="GA297">
        <v>0.89425981873111782</v>
      </c>
      <c r="GB297">
        <v>4578.1609320619227</v>
      </c>
      <c r="GE297">
        <v>0.89425981873111782</v>
      </c>
      <c r="GF297">
        <v>1335.5491559638799</v>
      </c>
      <c r="GI297">
        <v>0.89425981873111782</v>
      </c>
      <c r="GJ297">
        <v>0.81397021659295099</v>
      </c>
      <c r="GM297">
        <v>0.89425981873111782</v>
      </c>
      <c r="GN297">
        <v>0.89945003376295918</v>
      </c>
      <c r="GQ297">
        <v>0.89425981873111782</v>
      </c>
      <c r="GR297">
        <v>0.87116818314804867</v>
      </c>
      <c r="GU297">
        <v>0.89425981873111782</v>
      </c>
      <c r="GV297">
        <v>0.91493872698298695</v>
      </c>
      <c r="GY297">
        <v>0.89425981873111782</v>
      </c>
      <c r="GZ297">
        <v>0.90714491258545638</v>
      </c>
      <c r="HC297">
        <v>0.89425981873111782</v>
      </c>
      <c r="HD297">
        <v>0.90083008266929365</v>
      </c>
    </row>
    <row r="298" spans="175:212" x14ac:dyDescent="0.3">
      <c r="FS298">
        <v>0.89728096676737157</v>
      </c>
      <c r="FT298">
        <v>487.98498989794803</v>
      </c>
      <c r="FW298">
        <v>0.89728096676737157</v>
      </c>
      <c r="FX298">
        <v>300.98565766607618</v>
      </c>
      <c r="GA298">
        <v>0.89728096676737157</v>
      </c>
      <c r="GB298">
        <v>4578.7454571058825</v>
      </c>
      <c r="GE298">
        <v>0.89728096676737157</v>
      </c>
      <c r="GF298">
        <v>1340.3058027406059</v>
      </c>
      <c r="GI298">
        <v>0.89728096676737157</v>
      </c>
      <c r="GJ298">
        <v>0.81445363048546859</v>
      </c>
      <c r="GM298">
        <v>0.89728096676737157</v>
      </c>
      <c r="GN298">
        <v>0.89964829845634398</v>
      </c>
      <c r="GQ298">
        <v>0.89728096676737157</v>
      </c>
      <c r="GR298">
        <v>0.87185167437081545</v>
      </c>
      <c r="GU298">
        <v>0.89728096676737157</v>
      </c>
      <c r="GV298">
        <v>0.91589229597654298</v>
      </c>
      <c r="GY298">
        <v>0.89728096676737157</v>
      </c>
      <c r="GZ298">
        <v>0.90861090587542559</v>
      </c>
      <c r="HC298">
        <v>0.89728096676737157</v>
      </c>
      <c r="HD298">
        <v>0.90093223058488903</v>
      </c>
    </row>
    <row r="299" spans="175:212" x14ac:dyDescent="0.3">
      <c r="FS299">
        <v>0.90030211480362543</v>
      </c>
      <c r="FT299">
        <v>488.11673836043877</v>
      </c>
      <c r="FW299">
        <v>0.90030211480362543</v>
      </c>
      <c r="FX299">
        <v>301.0445088917985</v>
      </c>
      <c r="GA299">
        <v>0.90030211480362543</v>
      </c>
      <c r="GB299">
        <v>4597.9451590572589</v>
      </c>
      <c r="GE299">
        <v>0.90030211480362543</v>
      </c>
      <c r="GF299">
        <v>1344.9389442916331</v>
      </c>
      <c r="GI299">
        <v>0.90030211480362543</v>
      </c>
      <c r="GJ299">
        <v>0.81556924566002609</v>
      </c>
      <c r="GM299">
        <v>0.90030211480362543</v>
      </c>
      <c r="GN299">
        <v>0.89993986395104608</v>
      </c>
      <c r="GQ299">
        <v>0.90030211480362543</v>
      </c>
      <c r="GR299">
        <v>0.87423082045847345</v>
      </c>
      <c r="GU299">
        <v>0.90030211480362543</v>
      </c>
      <c r="GV299">
        <v>0.91654734877555244</v>
      </c>
      <c r="GY299">
        <v>0.90030211480362543</v>
      </c>
      <c r="GZ299">
        <v>0.90946447863731883</v>
      </c>
      <c r="HC299">
        <v>0.90030211480362543</v>
      </c>
      <c r="HD299">
        <v>0.9017784540574294</v>
      </c>
    </row>
    <row r="300" spans="175:212" x14ac:dyDescent="0.3">
      <c r="FS300">
        <v>0.90332326283987918</v>
      </c>
      <c r="FT300">
        <v>488.71153756415652</v>
      </c>
      <c r="FW300">
        <v>0.90332326283987918</v>
      </c>
      <c r="FX300">
        <v>301.06168260674241</v>
      </c>
      <c r="GA300">
        <v>0.90332326283987918</v>
      </c>
      <c r="GB300">
        <v>4605.6211540685063</v>
      </c>
      <c r="GE300">
        <v>0.90332326283987918</v>
      </c>
      <c r="GF300">
        <v>1355.1835949536519</v>
      </c>
      <c r="GI300">
        <v>0.90332326283987918</v>
      </c>
      <c r="GJ300">
        <v>0.81607302055131803</v>
      </c>
      <c r="GM300">
        <v>0.90332326283987918</v>
      </c>
      <c r="GN300">
        <v>0.90048624758508156</v>
      </c>
      <c r="GQ300">
        <v>0.90332326283987918</v>
      </c>
      <c r="GR300">
        <v>0.875794102129831</v>
      </c>
      <c r="GU300">
        <v>0.90332326283987918</v>
      </c>
      <c r="GV300">
        <v>0.91701747048592763</v>
      </c>
      <c r="GY300">
        <v>0.90332326283987918</v>
      </c>
      <c r="GZ300">
        <v>0.91062554120242878</v>
      </c>
      <c r="HC300">
        <v>0.90332326283987918</v>
      </c>
      <c r="HD300">
        <v>0.9033320958877632</v>
      </c>
    </row>
    <row r="301" spans="175:212" x14ac:dyDescent="0.3">
      <c r="FS301">
        <v>0.90634441087613293</v>
      </c>
      <c r="FT301">
        <v>489.0192029646505</v>
      </c>
      <c r="FW301">
        <v>0.90634441087613293</v>
      </c>
      <c r="FX301">
        <v>301.18950860992823</v>
      </c>
      <c r="GA301">
        <v>0.90634441087613293</v>
      </c>
      <c r="GB301">
        <v>4646.6535165245023</v>
      </c>
      <c r="GE301">
        <v>0.90634441087613293</v>
      </c>
      <c r="GF301">
        <v>1356.4623282553241</v>
      </c>
      <c r="GI301">
        <v>0.90634441087613293</v>
      </c>
      <c r="GJ301">
        <v>0.81678937708954913</v>
      </c>
      <c r="GM301">
        <v>0.90634441087613293</v>
      </c>
      <c r="GN301">
        <v>0.90089037513476578</v>
      </c>
      <c r="GQ301">
        <v>0.90634441087613293</v>
      </c>
      <c r="GR301">
        <v>0.87596659861382287</v>
      </c>
      <c r="GU301">
        <v>0.90634441087613293</v>
      </c>
      <c r="GV301">
        <v>0.91723389915978115</v>
      </c>
      <c r="GY301">
        <v>0.90634441087613293</v>
      </c>
      <c r="GZ301">
        <v>0.9112664234728336</v>
      </c>
      <c r="HC301">
        <v>0.90634441087613293</v>
      </c>
      <c r="HD301">
        <v>0.90455680492183599</v>
      </c>
    </row>
    <row r="302" spans="175:212" x14ac:dyDescent="0.3">
      <c r="FS302">
        <v>0.90936555891238668</v>
      </c>
      <c r="FT302">
        <v>489.25493488583339</v>
      </c>
      <c r="FW302">
        <v>0.90936555891238668</v>
      </c>
      <c r="FX302">
        <v>301.19605329831143</v>
      </c>
      <c r="GA302">
        <v>0.90936555891238668</v>
      </c>
      <c r="GB302">
        <v>4663.4079501279521</v>
      </c>
      <c r="GE302">
        <v>0.90936555891238668</v>
      </c>
      <c r="GF302">
        <v>1363.5481735925921</v>
      </c>
      <c r="GI302">
        <v>0.90936555891238668</v>
      </c>
      <c r="GJ302">
        <v>0.81750884150488257</v>
      </c>
      <c r="GM302">
        <v>0.90936555891238668</v>
      </c>
      <c r="GN302">
        <v>0.90121674796503515</v>
      </c>
      <c r="GQ302">
        <v>0.90936555891238668</v>
      </c>
      <c r="GR302">
        <v>0.877019551656681</v>
      </c>
      <c r="GU302">
        <v>0.90936555891238668</v>
      </c>
      <c r="GV302">
        <v>0.91887845455532602</v>
      </c>
      <c r="GY302">
        <v>0.90936555891238668</v>
      </c>
      <c r="GZ302">
        <v>0.912361249688876</v>
      </c>
      <c r="HC302">
        <v>0.90936555891238668</v>
      </c>
      <c r="HD302">
        <v>0.90671712143463223</v>
      </c>
    </row>
    <row r="303" spans="175:212" x14ac:dyDescent="0.3">
      <c r="FS303">
        <v>0.91238670694864044</v>
      </c>
      <c r="FT303">
        <v>490.01243370397151</v>
      </c>
      <c r="FW303">
        <v>0.91238670694864044</v>
      </c>
      <c r="FX303">
        <v>301.33949283584002</v>
      </c>
      <c r="GA303">
        <v>0.91238670694864044</v>
      </c>
      <c r="GB303">
        <v>4680.8931842474076</v>
      </c>
      <c r="GE303">
        <v>0.91238670694864044</v>
      </c>
      <c r="GF303">
        <v>1365.887774483243</v>
      </c>
      <c r="GI303">
        <v>0.91238670694864044</v>
      </c>
      <c r="GJ303">
        <v>0.81912007300419187</v>
      </c>
      <c r="GM303">
        <v>0.91238670694864044</v>
      </c>
      <c r="GN303">
        <v>0.90204314089458559</v>
      </c>
      <c r="GQ303">
        <v>0.91238670694864044</v>
      </c>
      <c r="GR303">
        <v>0.87745434311938442</v>
      </c>
      <c r="GU303">
        <v>0.91238670694864044</v>
      </c>
      <c r="GV303">
        <v>0.92010590052830243</v>
      </c>
      <c r="GY303">
        <v>0.91238670694864044</v>
      </c>
      <c r="GZ303">
        <v>0.9146440184834046</v>
      </c>
      <c r="HC303">
        <v>0.91238670694864044</v>
      </c>
      <c r="HD303">
        <v>0.90817424502603539</v>
      </c>
    </row>
    <row r="304" spans="175:212" x14ac:dyDescent="0.3">
      <c r="FS304">
        <v>0.9154078549848943</v>
      </c>
      <c r="FT304">
        <v>490.1890320073868</v>
      </c>
      <c r="FW304">
        <v>0.9154078549848943</v>
      </c>
      <c r="FX304">
        <v>301.38087032688179</v>
      </c>
      <c r="GA304">
        <v>0.9154078549848943</v>
      </c>
      <c r="GB304">
        <v>4691.4627483280929</v>
      </c>
      <c r="GE304">
        <v>0.9154078549848943</v>
      </c>
      <c r="GF304">
        <v>1366.330640150393</v>
      </c>
      <c r="GI304">
        <v>0.9154078549848943</v>
      </c>
      <c r="GJ304">
        <v>0.82053297189799901</v>
      </c>
      <c r="GM304">
        <v>0.9154078549848943</v>
      </c>
      <c r="GN304">
        <v>0.90325435541669241</v>
      </c>
      <c r="GQ304">
        <v>0.9154078549848943</v>
      </c>
      <c r="GR304">
        <v>0.87798253345230803</v>
      </c>
      <c r="GU304">
        <v>0.9154078549848943</v>
      </c>
      <c r="GV304">
        <v>0.92161534968492365</v>
      </c>
      <c r="GY304">
        <v>0.9154078549848943</v>
      </c>
      <c r="GZ304">
        <v>0.91491710640769763</v>
      </c>
      <c r="HC304">
        <v>0.9154078549848943</v>
      </c>
      <c r="HD304">
        <v>0.90909352798229781</v>
      </c>
    </row>
    <row r="305" spans="175:212" x14ac:dyDescent="0.3">
      <c r="FS305">
        <v>0.91842900302114805</v>
      </c>
      <c r="FT305">
        <v>490.69874956874708</v>
      </c>
      <c r="FW305">
        <v>0.91842900302114805</v>
      </c>
      <c r="FX305">
        <v>301.51160188372779</v>
      </c>
      <c r="GA305">
        <v>0.91842900302114805</v>
      </c>
      <c r="GB305">
        <v>4703.4062642109129</v>
      </c>
      <c r="GE305">
        <v>0.91842900302114805</v>
      </c>
      <c r="GF305">
        <v>1369.5644733863919</v>
      </c>
      <c r="GI305">
        <v>0.91842900302114805</v>
      </c>
      <c r="GJ305">
        <v>0.82197568980958613</v>
      </c>
      <c r="GM305">
        <v>0.91842900302114805</v>
      </c>
      <c r="GN305">
        <v>0.90349958721677659</v>
      </c>
      <c r="GQ305">
        <v>0.91842900302114805</v>
      </c>
      <c r="GR305">
        <v>0.87853286346304049</v>
      </c>
      <c r="GU305">
        <v>0.91842900302114805</v>
      </c>
      <c r="GV305">
        <v>0.92257230012645197</v>
      </c>
      <c r="GY305">
        <v>0.91842900302114805</v>
      </c>
      <c r="GZ305">
        <v>0.9160128549615616</v>
      </c>
      <c r="HC305">
        <v>0.91842900302114805</v>
      </c>
      <c r="HD305">
        <v>0.90969846308197555</v>
      </c>
    </row>
    <row r="306" spans="175:212" x14ac:dyDescent="0.3">
      <c r="FS306">
        <v>0.9214501510574018</v>
      </c>
      <c r="FT306">
        <v>490.8569959440714</v>
      </c>
      <c r="FW306">
        <v>0.9214501510574018</v>
      </c>
      <c r="FX306">
        <v>301.52842523362972</v>
      </c>
      <c r="GA306">
        <v>0.9214501510574018</v>
      </c>
      <c r="GB306">
        <v>4717.3647698276627</v>
      </c>
      <c r="GE306">
        <v>0.9214501510574018</v>
      </c>
      <c r="GF306">
        <v>1378.2294780991019</v>
      </c>
      <c r="GI306">
        <v>0.9214501510574018</v>
      </c>
      <c r="GJ306">
        <v>0.82214173561740289</v>
      </c>
      <c r="GM306">
        <v>0.9214501510574018</v>
      </c>
      <c r="GN306">
        <v>0.9041437920706612</v>
      </c>
      <c r="GQ306">
        <v>0.9214501510574018</v>
      </c>
      <c r="GR306">
        <v>0.87877855253299497</v>
      </c>
      <c r="GU306">
        <v>0.9214501510574018</v>
      </c>
      <c r="GV306">
        <v>0.92414910408658801</v>
      </c>
      <c r="GY306">
        <v>0.9214501510574018</v>
      </c>
      <c r="GZ306">
        <v>0.91657840644928446</v>
      </c>
      <c r="HC306">
        <v>0.9214501510574018</v>
      </c>
      <c r="HD306">
        <v>0.91111731666871765</v>
      </c>
    </row>
    <row r="307" spans="175:212" x14ac:dyDescent="0.3">
      <c r="FS307">
        <v>0.92447129909365555</v>
      </c>
      <c r="FT307">
        <v>491.52576964558722</v>
      </c>
      <c r="FW307">
        <v>0.92447129909365555</v>
      </c>
      <c r="FX307">
        <v>301.71149684949353</v>
      </c>
      <c r="GA307">
        <v>0.92447129909365555</v>
      </c>
      <c r="GB307">
        <v>4717.402847573444</v>
      </c>
      <c r="GE307">
        <v>0.92447129909365555</v>
      </c>
      <c r="GF307">
        <v>1381.1199823667009</v>
      </c>
      <c r="GI307">
        <v>0.92447129909365555</v>
      </c>
      <c r="GJ307">
        <v>0.82326763475338571</v>
      </c>
      <c r="GM307">
        <v>0.92447129909365555</v>
      </c>
      <c r="GN307">
        <v>0.90439887132010621</v>
      </c>
      <c r="GQ307">
        <v>0.92447129909365555</v>
      </c>
      <c r="GR307">
        <v>0.8806025504532341</v>
      </c>
      <c r="GU307">
        <v>0.92447129909365555</v>
      </c>
      <c r="GV307">
        <v>0.92476687236466182</v>
      </c>
      <c r="GY307">
        <v>0.92447129909365555</v>
      </c>
      <c r="GZ307">
        <v>0.91757839473524039</v>
      </c>
      <c r="HC307">
        <v>0.92447129909365555</v>
      </c>
      <c r="HD307">
        <v>0.91239291855358096</v>
      </c>
    </row>
    <row r="308" spans="175:212" x14ac:dyDescent="0.3">
      <c r="FS308">
        <v>0.92749244712990941</v>
      </c>
      <c r="FT308">
        <v>491.98663905865942</v>
      </c>
      <c r="FW308">
        <v>0.92749244712990941</v>
      </c>
      <c r="FX308">
        <v>301.73916247513432</v>
      </c>
      <c r="GA308">
        <v>0.92749244712990941</v>
      </c>
      <c r="GB308">
        <v>4722.718648960963</v>
      </c>
      <c r="GE308">
        <v>0.92749244712990941</v>
      </c>
      <c r="GF308">
        <v>1386.5014194316329</v>
      </c>
      <c r="GI308">
        <v>0.92749244712990941</v>
      </c>
      <c r="GJ308">
        <v>0.82609188761215302</v>
      </c>
      <c r="GM308">
        <v>0.92749244712990941</v>
      </c>
      <c r="GN308">
        <v>0.90518542095035082</v>
      </c>
      <c r="GQ308">
        <v>0.92749244712990941</v>
      </c>
      <c r="GR308">
        <v>0.88095672097944311</v>
      </c>
      <c r="GU308">
        <v>0.92749244712990941</v>
      </c>
      <c r="GV308">
        <v>0.92620649591539517</v>
      </c>
      <c r="GY308">
        <v>0.92749244712990941</v>
      </c>
      <c r="GZ308">
        <v>0.91832686865985724</v>
      </c>
      <c r="HC308">
        <v>0.92749244712990941</v>
      </c>
      <c r="HD308">
        <v>0.91342312077524102</v>
      </c>
    </row>
    <row r="309" spans="175:212" x14ac:dyDescent="0.3">
      <c r="FS309">
        <v>0.93051359516616317</v>
      </c>
      <c r="FT309">
        <v>492.11049124077442</v>
      </c>
      <c r="FW309">
        <v>0.93051359516616317</v>
      </c>
      <c r="FX309">
        <v>301.80150832071809</v>
      </c>
      <c r="GA309">
        <v>0.93051359516616317</v>
      </c>
      <c r="GB309">
        <v>4744.0477080877627</v>
      </c>
      <c r="GE309">
        <v>0.93051359516616317</v>
      </c>
      <c r="GF309">
        <v>1389.747100071894</v>
      </c>
      <c r="GI309">
        <v>0.93051359516616317</v>
      </c>
      <c r="GJ309">
        <v>0.82733420888886222</v>
      </c>
      <c r="GM309">
        <v>0.93051359516616317</v>
      </c>
      <c r="GN309">
        <v>0.9061544433733868</v>
      </c>
      <c r="GQ309">
        <v>0.93051359516616317</v>
      </c>
      <c r="GR309">
        <v>0.88228440491314108</v>
      </c>
      <c r="GU309">
        <v>0.93051359516616317</v>
      </c>
      <c r="GV309">
        <v>0.92632801559076539</v>
      </c>
      <c r="GY309">
        <v>0.93051359516616317</v>
      </c>
      <c r="GZ309">
        <v>0.91877713121378524</v>
      </c>
      <c r="HC309">
        <v>0.93051359516616317</v>
      </c>
      <c r="HD309">
        <v>0.91489355759480595</v>
      </c>
    </row>
    <row r="310" spans="175:212" x14ac:dyDescent="0.3">
      <c r="FS310">
        <v>0.93353474320241692</v>
      </c>
      <c r="FT310">
        <v>492.19991502314213</v>
      </c>
      <c r="FW310">
        <v>0.93353474320241692</v>
      </c>
      <c r="FX310">
        <v>301.92047232114459</v>
      </c>
      <c r="GA310">
        <v>0.93353474320241692</v>
      </c>
      <c r="GB310">
        <v>4750.1949283779759</v>
      </c>
      <c r="GE310">
        <v>0.93353474320241692</v>
      </c>
      <c r="GF310">
        <v>1392.707347050828</v>
      </c>
      <c r="GI310">
        <v>0.93353474320241692</v>
      </c>
      <c r="GJ310">
        <v>0.82881188512319648</v>
      </c>
      <c r="GM310">
        <v>0.93353474320241692</v>
      </c>
      <c r="GN310">
        <v>0.90644683607716836</v>
      </c>
      <c r="GQ310">
        <v>0.93353474320241692</v>
      </c>
      <c r="GR310">
        <v>0.88317688710635633</v>
      </c>
      <c r="GU310">
        <v>0.93353474320241692</v>
      </c>
      <c r="GV310">
        <v>0.92730628498191481</v>
      </c>
      <c r="GY310">
        <v>0.93353474320241692</v>
      </c>
      <c r="GZ310">
        <v>0.9219119278582486</v>
      </c>
      <c r="HC310">
        <v>0.93353474320241692</v>
      </c>
      <c r="HD310">
        <v>0.91536120368661478</v>
      </c>
    </row>
    <row r="311" spans="175:212" x14ac:dyDescent="0.3">
      <c r="FS311">
        <v>0.93655589123867067</v>
      </c>
      <c r="FT311">
        <v>492.54933378366809</v>
      </c>
      <c r="FW311">
        <v>0.93655589123867067</v>
      </c>
      <c r="FX311">
        <v>301.98339640025603</v>
      </c>
      <c r="GA311">
        <v>0.93655589123867067</v>
      </c>
      <c r="GB311">
        <v>4752.592547607569</v>
      </c>
      <c r="GE311">
        <v>0.93655589123867067</v>
      </c>
      <c r="GF311">
        <v>1392.940294092044</v>
      </c>
      <c r="GI311">
        <v>0.93655589123867067</v>
      </c>
      <c r="GJ311">
        <v>0.82915280552807658</v>
      </c>
      <c r="GM311">
        <v>0.93655589123867067</v>
      </c>
      <c r="GN311">
        <v>0.90714135990347999</v>
      </c>
      <c r="GQ311">
        <v>0.93655589123867067</v>
      </c>
      <c r="GR311">
        <v>0.88348349743000487</v>
      </c>
      <c r="GU311">
        <v>0.93655589123867067</v>
      </c>
      <c r="GV311">
        <v>0.92829518182242876</v>
      </c>
      <c r="GY311">
        <v>0.93655589123867067</v>
      </c>
      <c r="GZ311">
        <v>0.92331590634593241</v>
      </c>
      <c r="HC311">
        <v>0.93655589123867067</v>
      </c>
      <c r="HD311">
        <v>0.91617857903657096</v>
      </c>
    </row>
    <row r="312" spans="175:212" x14ac:dyDescent="0.3">
      <c r="FS312">
        <v>0.93957703927492442</v>
      </c>
      <c r="FT312">
        <v>493.26493186376371</v>
      </c>
      <c r="FW312">
        <v>0.93957703927492442</v>
      </c>
      <c r="FX312">
        <v>302.02663772244688</v>
      </c>
      <c r="GA312">
        <v>0.93957703927492442</v>
      </c>
      <c r="GB312">
        <v>4771.5080272120304</v>
      </c>
      <c r="GE312">
        <v>0.93957703927492442</v>
      </c>
      <c r="GF312">
        <v>1399.190997438363</v>
      </c>
      <c r="GI312">
        <v>0.93957703927492442</v>
      </c>
      <c r="GJ312">
        <v>0.83056759157044824</v>
      </c>
      <c r="GM312">
        <v>0.93957703927492442</v>
      </c>
      <c r="GN312">
        <v>0.90806186965366342</v>
      </c>
      <c r="GQ312">
        <v>0.93957703927492442</v>
      </c>
      <c r="GR312">
        <v>0.88411835333973909</v>
      </c>
      <c r="GU312">
        <v>0.93957703927492442</v>
      </c>
      <c r="GV312">
        <v>0.92864542439848119</v>
      </c>
      <c r="GY312">
        <v>0.93957703927492442</v>
      </c>
      <c r="GZ312">
        <v>0.92517300229426602</v>
      </c>
      <c r="HC312">
        <v>0.93957703927492442</v>
      </c>
      <c r="HD312">
        <v>0.91647193534408877</v>
      </c>
    </row>
    <row r="313" spans="175:212" x14ac:dyDescent="0.3">
      <c r="FS313">
        <v>0.94259818731117828</v>
      </c>
      <c r="FT313">
        <v>493.33876218079308</v>
      </c>
      <c r="FW313">
        <v>0.94259818731117828</v>
      </c>
      <c r="FX313">
        <v>302.03170565492809</v>
      </c>
      <c r="GA313">
        <v>0.94259818731117828</v>
      </c>
      <c r="GB313">
        <v>4771.9287158677535</v>
      </c>
      <c r="GE313">
        <v>0.94259818731117828</v>
      </c>
      <c r="GF313">
        <v>1408.8412684195271</v>
      </c>
      <c r="GI313">
        <v>0.94259818731117828</v>
      </c>
      <c r="GJ313">
        <v>0.83081053022764495</v>
      </c>
      <c r="GM313">
        <v>0.94259818731117828</v>
      </c>
      <c r="GN313">
        <v>0.90840886186051395</v>
      </c>
      <c r="GQ313">
        <v>0.94259818731117828</v>
      </c>
      <c r="GR313">
        <v>0.88578650016222715</v>
      </c>
      <c r="GU313">
        <v>0.94259818731117828</v>
      </c>
      <c r="GV313">
        <v>0.92976739063724279</v>
      </c>
      <c r="GY313">
        <v>0.94259818731117828</v>
      </c>
      <c r="GZ313">
        <v>0.92605259150748942</v>
      </c>
      <c r="HC313">
        <v>0.94259818731117828</v>
      </c>
      <c r="HD313">
        <v>0.91694154404467199</v>
      </c>
    </row>
    <row r="314" spans="175:212" x14ac:dyDescent="0.3">
      <c r="FS314">
        <v>0.94561933534743203</v>
      </c>
      <c r="FT314">
        <v>493.6505069514705</v>
      </c>
      <c r="FW314">
        <v>0.94561933534743203</v>
      </c>
      <c r="FX314">
        <v>302.25310494939202</v>
      </c>
      <c r="GA314">
        <v>0.94561933534743203</v>
      </c>
      <c r="GB314">
        <v>4801.6441535930098</v>
      </c>
      <c r="GE314">
        <v>0.94561933534743203</v>
      </c>
      <c r="GF314">
        <v>1410.7019134577531</v>
      </c>
      <c r="GI314">
        <v>0.94561933534743203</v>
      </c>
      <c r="GJ314">
        <v>0.83181781857102344</v>
      </c>
      <c r="GM314">
        <v>0.94561933534743203</v>
      </c>
      <c r="GN314">
        <v>0.90904881630632162</v>
      </c>
      <c r="GQ314">
        <v>0.94561933534743203</v>
      </c>
      <c r="GR314">
        <v>0.88655831637241456</v>
      </c>
      <c r="GU314">
        <v>0.94561933534743203</v>
      </c>
      <c r="GV314">
        <v>0.93086413287358161</v>
      </c>
      <c r="GY314">
        <v>0.94561933534743203</v>
      </c>
      <c r="GZ314">
        <v>0.9270267883025668</v>
      </c>
      <c r="HC314">
        <v>0.94561933534743203</v>
      </c>
      <c r="HD314">
        <v>0.91797600742200958</v>
      </c>
    </row>
    <row r="315" spans="175:212" x14ac:dyDescent="0.3">
      <c r="FS315">
        <v>0.94864048338368578</v>
      </c>
      <c r="FT315">
        <v>493.69916950269271</v>
      </c>
      <c r="FW315">
        <v>0.94864048338368578</v>
      </c>
      <c r="FX315">
        <v>302.31151453656582</v>
      </c>
      <c r="GA315">
        <v>0.94864048338368578</v>
      </c>
      <c r="GB315">
        <v>4817.7756322021942</v>
      </c>
      <c r="GE315">
        <v>0.94864048338368578</v>
      </c>
      <c r="GF315">
        <v>1413.2793064047571</v>
      </c>
      <c r="GI315">
        <v>0.94864048338368578</v>
      </c>
      <c r="GJ315">
        <v>0.83365869038210338</v>
      </c>
      <c r="GM315">
        <v>0.94864048338368578</v>
      </c>
      <c r="GN315">
        <v>0.91081923968305323</v>
      </c>
      <c r="GQ315">
        <v>0.94864048338368578</v>
      </c>
      <c r="GR315">
        <v>0.88703879757948501</v>
      </c>
      <c r="GU315">
        <v>0.94864048338368578</v>
      </c>
      <c r="GV315">
        <v>0.9312546673056904</v>
      </c>
      <c r="GY315">
        <v>0.94864048338368578</v>
      </c>
      <c r="GZ315">
        <v>0.9281927647860454</v>
      </c>
      <c r="HC315">
        <v>0.94864048338368578</v>
      </c>
      <c r="HD315">
        <v>0.91990953503470119</v>
      </c>
    </row>
    <row r="316" spans="175:212" x14ac:dyDescent="0.3">
      <c r="FS316">
        <v>0.95166163141993954</v>
      </c>
      <c r="FT316">
        <v>494.32176284511212</v>
      </c>
      <c r="FW316">
        <v>0.95166163141993954</v>
      </c>
      <c r="FX316">
        <v>302.41379943413313</v>
      </c>
      <c r="GA316">
        <v>0.95166163141993954</v>
      </c>
      <c r="GB316">
        <v>4820.2222616725549</v>
      </c>
      <c r="GE316">
        <v>0.95166163141993954</v>
      </c>
      <c r="GF316">
        <v>1420.202265011503</v>
      </c>
      <c r="GI316">
        <v>0.95166163141993954</v>
      </c>
      <c r="GJ316">
        <v>0.83368429858171855</v>
      </c>
      <c r="GM316">
        <v>0.95166163141993954</v>
      </c>
      <c r="GN316">
        <v>0.91165194427052298</v>
      </c>
      <c r="GQ316">
        <v>0.95166163141993954</v>
      </c>
      <c r="GR316">
        <v>0.88758360341887221</v>
      </c>
      <c r="GU316">
        <v>0.95166163141993954</v>
      </c>
      <c r="GV316">
        <v>0.93539625696262818</v>
      </c>
      <c r="GY316">
        <v>0.95166163141993954</v>
      </c>
      <c r="GZ316">
        <v>0.92941148689502717</v>
      </c>
      <c r="HC316">
        <v>0.95166163141993954</v>
      </c>
      <c r="HD316">
        <v>0.9208580431192992</v>
      </c>
    </row>
    <row r="317" spans="175:212" x14ac:dyDescent="0.3">
      <c r="FS317">
        <v>0.9546827794561934</v>
      </c>
      <c r="FT317">
        <v>494.41939922892129</v>
      </c>
      <c r="FW317">
        <v>0.9546827794561934</v>
      </c>
      <c r="FX317">
        <v>302.46234319554628</v>
      </c>
      <c r="GA317">
        <v>0.9546827794561934</v>
      </c>
      <c r="GB317">
        <v>4824.7091835220554</v>
      </c>
      <c r="GE317">
        <v>0.9546827794561934</v>
      </c>
      <c r="GF317">
        <v>1430.5547156754119</v>
      </c>
      <c r="GI317">
        <v>0.9546827794561934</v>
      </c>
      <c r="GJ317">
        <v>0.83575785563700455</v>
      </c>
      <c r="GM317">
        <v>0.9546827794561934</v>
      </c>
      <c r="GN317">
        <v>0.91208331827229561</v>
      </c>
      <c r="GQ317">
        <v>0.9546827794561934</v>
      </c>
      <c r="GR317">
        <v>0.88816910029748708</v>
      </c>
      <c r="GU317">
        <v>0.9546827794561934</v>
      </c>
      <c r="GV317">
        <v>0.93701642366075522</v>
      </c>
      <c r="GY317">
        <v>0.9546827794561934</v>
      </c>
      <c r="GZ317">
        <v>0.92963432549622604</v>
      </c>
      <c r="HC317">
        <v>0.9546827794561934</v>
      </c>
      <c r="HD317">
        <v>0.92096489384279523</v>
      </c>
    </row>
    <row r="318" spans="175:212" x14ac:dyDescent="0.3">
      <c r="FS318">
        <v>0.95770392749244715</v>
      </c>
      <c r="FT318">
        <v>494.59582151515781</v>
      </c>
      <c r="FW318">
        <v>0.95770392749244715</v>
      </c>
      <c r="FX318">
        <v>302.55844167903001</v>
      </c>
      <c r="GA318">
        <v>0.95770392749244715</v>
      </c>
      <c r="GB318">
        <v>4840.2231042553794</v>
      </c>
      <c r="GE318">
        <v>0.95770392749244715</v>
      </c>
      <c r="GF318">
        <v>1431.58017366385</v>
      </c>
      <c r="GI318">
        <v>0.95770392749244715</v>
      </c>
      <c r="GJ318">
        <v>0.83675082369802178</v>
      </c>
      <c r="GM318">
        <v>0.95770392749244715</v>
      </c>
      <c r="GN318">
        <v>0.91239537534181836</v>
      </c>
      <c r="GQ318">
        <v>0.95770392749244715</v>
      </c>
      <c r="GR318">
        <v>0.88980877723089014</v>
      </c>
      <c r="GU318">
        <v>0.95770392749244715</v>
      </c>
      <c r="GV318">
        <v>0.93745032846649945</v>
      </c>
      <c r="GY318">
        <v>0.95770392749244715</v>
      </c>
      <c r="GZ318">
        <v>0.93368997634502615</v>
      </c>
      <c r="HC318">
        <v>0.95770392749244715</v>
      </c>
      <c r="HD318">
        <v>0.92320578602576497</v>
      </c>
    </row>
    <row r="319" spans="175:212" x14ac:dyDescent="0.3">
      <c r="FS319">
        <v>0.9607250755287009</v>
      </c>
      <c r="FT319">
        <v>494.69080006337362</v>
      </c>
      <c r="FW319">
        <v>0.9607250755287009</v>
      </c>
      <c r="FX319">
        <v>302.70148210429079</v>
      </c>
      <c r="GA319">
        <v>0.9607250755287009</v>
      </c>
      <c r="GB319">
        <v>4863.5544448817755</v>
      </c>
      <c r="GE319">
        <v>0.9607250755287009</v>
      </c>
      <c r="GF319">
        <v>1438.2660417190521</v>
      </c>
      <c r="GI319">
        <v>0.9607250755287009</v>
      </c>
      <c r="GJ319">
        <v>0.83745770230567129</v>
      </c>
      <c r="GM319">
        <v>0.9607250755287009</v>
      </c>
      <c r="GN319">
        <v>0.91356073205750843</v>
      </c>
      <c r="GQ319">
        <v>0.9607250755287009</v>
      </c>
      <c r="GR319">
        <v>0.89057722228533964</v>
      </c>
      <c r="GU319">
        <v>0.9607250755287009</v>
      </c>
      <c r="GV319">
        <v>0.93775092770931057</v>
      </c>
      <c r="GY319">
        <v>0.9607250755287009</v>
      </c>
      <c r="GZ319">
        <v>0.93391700559323576</v>
      </c>
      <c r="HC319">
        <v>0.9607250755287009</v>
      </c>
      <c r="HD319">
        <v>0.92367980192079879</v>
      </c>
    </row>
    <row r="320" spans="175:212" x14ac:dyDescent="0.3">
      <c r="FS320">
        <v>0.96374622356495465</v>
      </c>
      <c r="FT320">
        <v>495.4081364199327</v>
      </c>
      <c r="FW320">
        <v>0.96374622356495465</v>
      </c>
      <c r="FX320">
        <v>302.72298850746063</v>
      </c>
      <c r="GA320">
        <v>0.96374622356495465</v>
      </c>
      <c r="GB320">
        <v>4866.2286470012423</v>
      </c>
      <c r="GE320">
        <v>0.96374622356495465</v>
      </c>
      <c r="GF320">
        <v>1444.1201009951351</v>
      </c>
      <c r="GI320">
        <v>0.96374622356495465</v>
      </c>
      <c r="GJ320">
        <v>0.83835767920041437</v>
      </c>
      <c r="GM320">
        <v>0.96374622356495465</v>
      </c>
      <c r="GN320">
        <v>0.91380547569404502</v>
      </c>
      <c r="GQ320">
        <v>0.96374622356495465</v>
      </c>
      <c r="GR320">
        <v>0.89122428242083762</v>
      </c>
      <c r="GU320">
        <v>0.96374622356495465</v>
      </c>
      <c r="GV320">
        <v>0.93797176364628443</v>
      </c>
      <c r="GY320">
        <v>0.96374622356495465</v>
      </c>
      <c r="GZ320">
        <v>0.93492713044013842</v>
      </c>
      <c r="HC320">
        <v>0.96374622356495465</v>
      </c>
      <c r="HD320">
        <v>0.92716767150927881</v>
      </c>
    </row>
    <row r="321" spans="175:212" x14ac:dyDescent="0.3">
      <c r="FS321">
        <v>0.96676737160120851</v>
      </c>
      <c r="FT321">
        <v>495.7034372343154</v>
      </c>
      <c r="FW321">
        <v>0.96676737160120851</v>
      </c>
      <c r="FX321">
        <v>302.76544411312699</v>
      </c>
      <c r="GA321">
        <v>0.96676737160120851</v>
      </c>
      <c r="GB321">
        <v>4870.9488600302229</v>
      </c>
      <c r="GE321">
        <v>0.96676737160120851</v>
      </c>
      <c r="GF321">
        <v>1445.7112446176379</v>
      </c>
      <c r="GI321">
        <v>0.96676737160120851</v>
      </c>
      <c r="GJ321">
        <v>0.83836061279561758</v>
      </c>
      <c r="GM321">
        <v>0.96676737160120851</v>
      </c>
      <c r="GN321">
        <v>0.9143951864056632</v>
      </c>
      <c r="GQ321">
        <v>0.96676737160120851</v>
      </c>
      <c r="GR321">
        <v>0.89232565797476771</v>
      </c>
      <c r="GU321">
        <v>0.96676737160120851</v>
      </c>
      <c r="GV321">
        <v>0.9392069407816942</v>
      </c>
      <c r="GY321">
        <v>0.96676737160120851</v>
      </c>
      <c r="GZ321">
        <v>0.93630625807207801</v>
      </c>
      <c r="HC321">
        <v>0.96676737160120851</v>
      </c>
      <c r="HD321">
        <v>0.92892456048779137</v>
      </c>
    </row>
    <row r="322" spans="175:212" x14ac:dyDescent="0.3">
      <c r="FS322">
        <v>0.96978851963746227</v>
      </c>
      <c r="FT322">
        <v>496.15819219220049</v>
      </c>
      <c r="FW322">
        <v>0.96978851963746227</v>
      </c>
      <c r="FX322">
        <v>302.87839858588683</v>
      </c>
      <c r="GA322">
        <v>0.96978851963746227</v>
      </c>
      <c r="GB322">
        <v>4875.263783849653</v>
      </c>
      <c r="GE322">
        <v>0.96978851963746227</v>
      </c>
      <c r="GF322">
        <v>1448.8852440251931</v>
      </c>
      <c r="GI322">
        <v>0.96978851963746227</v>
      </c>
      <c r="GJ322">
        <v>0.83991927769978392</v>
      </c>
      <c r="GM322">
        <v>0.96978851963746227</v>
      </c>
      <c r="GN322">
        <v>0.91499101495914559</v>
      </c>
      <c r="GQ322">
        <v>0.96978851963746227</v>
      </c>
      <c r="GR322">
        <v>0.89256408906932494</v>
      </c>
      <c r="GU322">
        <v>0.96978851963746227</v>
      </c>
      <c r="GV322">
        <v>0.93957472719739277</v>
      </c>
      <c r="GY322">
        <v>0.96978851963746227</v>
      </c>
      <c r="GZ322">
        <v>0.93644954479765963</v>
      </c>
      <c r="HC322">
        <v>0.96978851963746227</v>
      </c>
      <c r="HD322">
        <v>0.92920665661479984</v>
      </c>
    </row>
    <row r="323" spans="175:212" x14ac:dyDescent="0.3">
      <c r="FS323">
        <v>0.97280966767371602</v>
      </c>
      <c r="FT323">
        <v>496.94467234512109</v>
      </c>
      <c r="FW323">
        <v>0.97280966767371602</v>
      </c>
      <c r="FX323">
        <v>302.93909238626321</v>
      </c>
      <c r="GA323">
        <v>0.97280966767371602</v>
      </c>
      <c r="GB323">
        <v>4880.5118739549735</v>
      </c>
      <c r="GE323">
        <v>0.97280966767371602</v>
      </c>
      <c r="GF323">
        <v>1459.893668561017</v>
      </c>
      <c r="GI323">
        <v>0.97280966767371602</v>
      </c>
      <c r="GJ323">
        <v>0.84084380850069951</v>
      </c>
      <c r="GM323">
        <v>0.97280966767371602</v>
      </c>
      <c r="GN323">
        <v>0.91515395079097495</v>
      </c>
      <c r="GQ323">
        <v>0.97280966767371602</v>
      </c>
      <c r="GR323">
        <v>0.89269937464112448</v>
      </c>
      <c r="GU323">
        <v>0.97280966767371602</v>
      </c>
      <c r="GV323">
        <v>0.93988603941687077</v>
      </c>
      <c r="GY323">
        <v>0.97280966767371602</v>
      </c>
      <c r="GZ323">
        <v>0.93754087660916996</v>
      </c>
      <c r="HC323">
        <v>0.97280966767371602</v>
      </c>
      <c r="HD323">
        <v>0.93112301126049157</v>
      </c>
    </row>
    <row r="324" spans="175:212" x14ac:dyDescent="0.3">
      <c r="FS324">
        <v>0.97583081570996977</v>
      </c>
      <c r="FT324">
        <v>497.1546164151805</v>
      </c>
      <c r="FW324">
        <v>0.97583081570996977</v>
      </c>
      <c r="FX324">
        <v>303.02637558420361</v>
      </c>
      <c r="GA324">
        <v>0.97583081570996977</v>
      </c>
      <c r="GB324">
        <v>4887.5967029197154</v>
      </c>
      <c r="GE324">
        <v>0.97583081570996977</v>
      </c>
      <c r="GF324">
        <v>1471.103642271848</v>
      </c>
      <c r="GI324">
        <v>0.97583081570996977</v>
      </c>
      <c r="GJ324">
        <v>0.84127850672797089</v>
      </c>
      <c r="GM324">
        <v>0.97583081570996977</v>
      </c>
      <c r="GN324">
        <v>0.91587032339978602</v>
      </c>
      <c r="GQ324">
        <v>0.97583081570996977</v>
      </c>
      <c r="GR324">
        <v>0.8934280885636271</v>
      </c>
      <c r="GU324">
        <v>0.97583081570996977</v>
      </c>
      <c r="GV324">
        <v>0.94202757811259885</v>
      </c>
      <c r="GY324">
        <v>0.97583081570996977</v>
      </c>
      <c r="GZ324">
        <v>0.93984866586918481</v>
      </c>
      <c r="HC324">
        <v>0.97583081570996977</v>
      </c>
      <c r="HD324">
        <v>0.93361722029957905</v>
      </c>
    </row>
    <row r="325" spans="175:212" x14ac:dyDescent="0.3">
      <c r="FS325">
        <v>0.97885196374622352</v>
      </c>
      <c r="FT325">
        <v>497.61814371543659</v>
      </c>
      <c r="FW325">
        <v>0.97885196374622352</v>
      </c>
      <c r="FX325">
        <v>303.1225051543633</v>
      </c>
      <c r="GA325">
        <v>0.97885196374622352</v>
      </c>
      <c r="GB325">
        <v>4897.460721034211</v>
      </c>
      <c r="GE325">
        <v>0.97885196374622352</v>
      </c>
      <c r="GF325">
        <v>1472.987916922285</v>
      </c>
      <c r="GI325">
        <v>0.97885196374622352</v>
      </c>
      <c r="GJ325">
        <v>0.84177458188315246</v>
      </c>
      <c r="GM325">
        <v>0.97885196374622352</v>
      </c>
      <c r="GN325">
        <v>0.91631624526540423</v>
      </c>
      <c r="GQ325">
        <v>0.97885196374622352</v>
      </c>
      <c r="GR325">
        <v>0.89565996627452482</v>
      </c>
      <c r="GU325">
        <v>0.97885196374622352</v>
      </c>
      <c r="GV325">
        <v>0.94235384700842983</v>
      </c>
      <c r="GY325">
        <v>0.97885196374622352</v>
      </c>
      <c r="GZ325">
        <v>0.94029235389824017</v>
      </c>
      <c r="HC325">
        <v>0.97885196374622352</v>
      </c>
      <c r="HD325">
        <v>0.93592170602119518</v>
      </c>
    </row>
    <row r="326" spans="175:212" x14ac:dyDescent="0.3">
      <c r="FS326">
        <v>0.98187311178247738</v>
      </c>
      <c r="FT326">
        <v>497.64319826440419</v>
      </c>
      <c r="FW326">
        <v>0.98187311178247738</v>
      </c>
      <c r="FX326">
        <v>303.14175910756359</v>
      </c>
      <c r="GA326">
        <v>0.98187311178247738</v>
      </c>
      <c r="GB326">
        <v>4928.0234379088861</v>
      </c>
      <c r="GE326">
        <v>0.98187311178247738</v>
      </c>
      <c r="GF326">
        <v>1477.9669025281239</v>
      </c>
      <c r="GI326">
        <v>0.98187311178247738</v>
      </c>
      <c r="GJ326">
        <v>0.84333633037629396</v>
      </c>
      <c r="GM326">
        <v>0.98187311178247738</v>
      </c>
      <c r="GN326">
        <v>0.91716015300666942</v>
      </c>
      <c r="GQ326">
        <v>0.98187311178247738</v>
      </c>
      <c r="GR326">
        <v>0.8971704475963842</v>
      </c>
      <c r="GU326">
        <v>0.98187311178247738</v>
      </c>
      <c r="GV326">
        <v>0.94334541040545883</v>
      </c>
      <c r="GY326">
        <v>0.98187311178247738</v>
      </c>
      <c r="GZ326">
        <v>0.94279028613222882</v>
      </c>
      <c r="HC326">
        <v>0.98187311178247738</v>
      </c>
      <c r="HD326">
        <v>0.93710653725421122</v>
      </c>
    </row>
    <row r="327" spans="175:212" x14ac:dyDescent="0.3">
      <c r="FS327">
        <v>0.98489425981873113</v>
      </c>
      <c r="FT327">
        <v>498.56123702240001</v>
      </c>
      <c r="FW327">
        <v>0.98489425981873113</v>
      </c>
      <c r="FX327">
        <v>303.25206744733339</v>
      </c>
      <c r="GA327">
        <v>0.98489425981873113</v>
      </c>
      <c r="GB327">
        <v>4960.171892946295</v>
      </c>
      <c r="GE327">
        <v>0.98489425981873113</v>
      </c>
      <c r="GF327">
        <v>1483.107052397032</v>
      </c>
      <c r="GI327">
        <v>0.98489425981873113</v>
      </c>
      <c r="GJ327">
        <v>0.84400992758193039</v>
      </c>
      <c r="GM327">
        <v>0.98489425981873113</v>
      </c>
      <c r="GN327">
        <v>0.91735975643023804</v>
      </c>
      <c r="GQ327">
        <v>0.98489425981873113</v>
      </c>
      <c r="GR327">
        <v>0.89735481408571816</v>
      </c>
      <c r="GU327">
        <v>0.98489425981873113</v>
      </c>
      <c r="GV327">
        <v>0.94336897624802984</v>
      </c>
      <c r="GY327">
        <v>0.98489425981873113</v>
      </c>
      <c r="GZ327">
        <v>0.9435165264483294</v>
      </c>
      <c r="HC327">
        <v>0.98489425981873113</v>
      </c>
      <c r="HD327">
        <v>0.93711495148153323</v>
      </c>
    </row>
    <row r="328" spans="175:212" x14ac:dyDescent="0.3">
      <c r="FS328">
        <v>0.98791540785498488</v>
      </c>
      <c r="FT328">
        <v>498.73187817156003</v>
      </c>
      <c r="FW328">
        <v>0.98791540785498488</v>
      </c>
      <c r="FX328">
        <v>303.26963835668562</v>
      </c>
      <c r="GA328">
        <v>0.98791540785498488</v>
      </c>
      <c r="GB328">
        <v>4975.8937320962395</v>
      </c>
      <c r="GE328">
        <v>0.98791540785498488</v>
      </c>
      <c r="GF328">
        <v>1484.6243814641221</v>
      </c>
      <c r="GI328">
        <v>0.98791540785498488</v>
      </c>
      <c r="GJ328">
        <v>0.84480581050373449</v>
      </c>
      <c r="GM328">
        <v>0.98791540785498488</v>
      </c>
      <c r="GN328">
        <v>0.91741053413391438</v>
      </c>
      <c r="GQ328">
        <v>0.98791540785498488</v>
      </c>
      <c r="GR328">
        <v>0.89811688953820246</v>
      </c>
      <c r="GU328">
        <v>0.98791540785498488</v>
      </c>
      <c r="GV328">
        <v>0.94475722929219264</v>
      </c>
      <c r="GY328">
        <v>0.98791540785498488</v>
      </c>
      <c r="GZ328">
        <v>0.9445971550633816</v>
      </c>
      <c r="HC328">
        <v>0.98791540785498488</v>
      </c>
      <c r="HD328">
        <v>0.93761288158879685</v>
      </c>
    </row>
    <row r="329" spans="175:212" x14ac:dyDescent="0.3">
      <c r="FS329">
        <v>0.99093655589123864</v>
      </c>
      <c r="FT329">
        <v>499.10272106541453</v>
      </c>
      <c r="FW329">
        <v>0.99093655589123864</v>
      </c>
      <c r="FX329">
        <v>303.33081551707892</v>
      </c>
      <c r="GA329">
        <v>0.99093655589123864</v>
      </c>
      <c r="GB329">
        <v>4977.0441065072373</v>
      </c>
      <c r="GE329">
        <v>0.99093655589123864</v>
      </c>
      <c r="GF329">
        <v>1485.3353842265569</v>
      </c>
      <c r="GI329">
        <v>0.99093655589123864</v>
      </c>
      <c r="GJ329">
        <v>0.8449659051310846</v>
      </c>
      <c r="GM329">
        <v>0.99093655589123864</v>
      </c>
      <c r="GN329">
        <v>0.91789057884559</v>
      </c>
      <c r="GQ329">
        <v>0.99093655589123864</v>
      </c>
      <c r="GR329">
        <v>0.89845312148391954</v>
      </c>
      <c r="GU329">
        <v>0.99093655589123864</v>
      </c>
      <c r="GV329">
        <v>0.94628951006092321</v>
      </c>
      <c r="GY329">
        <v>0.99093655589123864</v>
      </c>
      <c r="GZ329">
        <v>0.94736709966209043</v>
      </c>
      <c r="HC329">
        <v>0.99093655589123864</v>
      </c>
      <c r="HD329">
        <v>0.93840956328161562</v>
      </c>
    </row>
    <row r="330" spans="175:212" x14ac:dyDescent="0.3">
      <c r="FS330">
        <v>0.9939577039274925</v>
      </c>
      <c r="FT330">
        <v>499.35042660431009</v>
      </c>
      <c r="FW330">
        <v>0.9939577039274925</v>
      </c>
      <c r="FX330">
        <v>303.40361910903118</v>
      </c>
      <c r="GA330">
        <v>0.9939577039274925</v>
      </c>
      <c r="GB330">
        <v>4983.5011692621592</v>
      </c>
      <c r="GE330">
        <v>0.9939577039274925</v>
      </c>
      <c r="GF330">
        <v>1489.610249973807</v>
      </c>
      <c r="GI330">
        <v>0.9939577039274925</v>
      </c>
      <c r="GJ330">
        <v>0.84656253659817193</v>
      </c>
      <c r="GM330">
        <v>0.9939577039274925</v>
      </c>
      <c r="GN330">
        <v>0.91825767484402743</v>
      </c>
      <c r="GQ330">
        <v>0.9939577039274925</v>
      </c>
      <c r="GR330">
        <v>0.89860237499233164</v>
      </c>
      <c r="GU330">
        <v>0.9939577039274925</v>
      </c>
      <c r="GV330">
        <v>0.94700615319347203</v>
      </c>
      <c r="GY330">
        <v>0.9939577039274925</v>
      </c>
      <c r="GZ330">
        <v>0.94798505613637996</v>
      </c>
      <c r="HC330">
        <v>0.9939577039274925</v>
      </c>
      <c r="HD330">
        <v>0.94248194068561797</v>
      </c>
    </row>
    <row r="331" spans="175:212" x14ac:dyDescent="0.3">
      <c r="FS331">
        <v>0.99697885196374625</v>
      </c>
      <c r="FT331">
        <v>499.532816399556</v>
      </c>
      <c r="FW331">
        <v>0.99697885196374625</v>
      </c>
      <c r="FX331">
        <v>303.46999463700263</v>
      </c>
      <c r="GA331">
        <v>0.99697885196374625</v>
      </c>
      <c r="GB331">
        <v>4986.5635957990344</v>
      </c>
      <c r="GE331">
        <v>0.99697885196374625</v>
      </c>
      <c r="GF331">
        <v>1497.185787006144</v>
      </c>
      <c r="GI331">
        <v>0.99697885196374625</v>
      </c>
      <c r="GJ331">
        <v>0.84708559149077045</v>
      </c>
      <c r="GM331">
        <v>0.99697885196374625</v>
      </c>
      <c r="GN331">
        <v>0.91861946622438495</v>
      </c>
      <c r="GQ331">
        <v>0.99697885196374625</v>
      </c>
      <c r="GR331">
        <v>0.89885770095765483</v>
      </c>
      <c r="GU331">
        <v>0.99697885196374625</v>
      </c>
      <c r="GV331">
        <v>0.94783195381624119</v>
      </c>
      <c r="GY331">
        <v>0.99697885196374625</v>
      </c>
      <c r="GZ331">
        <v>0.94915723295008403</v>
      </c>
      <c r="HC331">
        <v>0.99697885196374625</v>
      </c>
      <c r="HD331">
        <v>0.94762753898565155</v>
      </c>
    </row>
    <row r="332" spans="175:212" x14ac:dyDescent="0.3">
      <c r="FS332">
        <v>1</v>
      </c>
      <c r="FT332">
        <v>499.94094978061048</v>
      </c>
      <c r="FW332">
        <v>1</v>
      </c>
      <c r="FX332">
        <v>303.54038715320229</v>
      </c>
      <c r="GA332">
        <v>1</v>
      </c>
      <c r="GB332">
        <v>4991.2342408864988</v>
      </c>
      <c r="GE332">
        <v>1</v>
      </c>
      <c r="GF332">
        <v>1497.9965048542119</v>
      </c>
      <c r="GI332">
        <v>1</v>
      </c>
      <c r="GJ332">
        <v>0.84879477320250918</v>
      </c>
      <c r="GM332">
        <v>1</v>
      </c>
      <c r="GN332">
        <v>0.91950081711863141</v>
      </c>
      <c r="GQ332">
        <v>1</v>
      </c>
      <c r="GR332">
        <v>0.89919418056265343</v>
      </c>
      <c r="GU332">
        <v>1</v>
      </c>
      <c r="GV332">
        <v>0.94833930818838885</v>
      </c>
      <c r="GY332">
        <v>1</v>
      </c>
      <c r="GZ332">
        <v>0.94996519072068342</v>
      </c>
      <c r="HC332">
        <v>1</v>
      </c>
      <c r="HD332">
        <v>0.94940937119279323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84</vt:i4>
      </vt:variant>
    </vt:vector>
  </HeadingPairs>
  <TitlesOfParts>
    <vt:vector size="84" baseType="lpstr">
      <vt:lpstr>LEEME</vt:lpstr>
      <vt:lpstr>Tablero</vt:lpstr>
      <vt:lpstr>Indice</vt:lpstr>
      <vt:lpstr>Punto_profesor</vt:lpstr>
      <vt:lpstr>G01_resumen_casos</vt:lpstr>
      <vt:lpstr>G02_que_se_movio</vt:lpstr>
      <vt:lpstr>G03_rangos_KALINA</vt:lpstr>
      <vt:lpstr>G04_datos_profesor</vt:lpstr>
      <vt:lpstr>G05_bloqueos</vt:lpstr>
      <vt:lpstr>M01_00_condiciones</vt:lpstr>
      <vt:lpstr>M01_01_conteo</vt:lpstr>
      <vt:lpstr>M01_02_comparacion</vt:lpstr>
      <vt:lpstr>M02-N1_00_condiciones</vt:lpstr>
      <vt:lpstr>M02-N1_01_conteo</vt:lpstr>
      <vt:lpstr>M02-N1_02_resumen</vt:lpstr>
      <vt:lpstr>M02-N2_00_condiciones</vt:lpstr>
      <vt:lpstr>M02-N2_01_conteo</vt:lpstr>
      <vt:lpstr>M02-N2_02_resumen</vt:lpstr>
      <vt:lpstr>M02R_00_condiciones</vt:lpstr>
      <vt:lpstr>M02R_01_conteo</vt:lpstr>
      <vt:lpstr>M02R_02_resumen</vt:lpstr>
      <vt:lpstr>M02S_00_condiciones</vt:lpstr>
      <vt:lpstr>M02S_01_conteo</vt:lpstr>
      <vt:lpstr>M02S_02_resumen</vt:lpstr>
      <vt:lpstr>M03_00_condiciones</vt:lpstr>
      <vt:lpstr>M03_01_conteo</vt:lpstr>
      <vt:lpstr>M03_02_ranking_delta</vt:lpstr>
      <vt:lpstr>M04_00_condiciones</vt:lpstr>
      <vt:lpstr>M04_01_conteo</vt:lpstr>
      <vt:lpstr>M04_02_separacion</vt:lpstr>
      <vt:lpstr>M04_03_prcc</vt:lpstr>
      <vt:lpstr>M04_04_rangos_presion</vt:lpstr>
      <vt:lpstr>M04_05_ventana_palta</vt:lpstr>
      <vt:lpstr>M04_06_ventana_tf</vt:lpstr>
      <vt:lpstr>M04_07_ventana_ts</vt:lpstr>
      <vt:lpstr>M04b_00_condiciones</vt:lpstr>
      <vt:lpstr>M04b_01_conteo</vt:lpstr>
      <vt:lpstr>M04c_00_condiciones</vt:lpstr>
      <vt:lpstr>M04c_01_conteo</vt:lpstr>
      <vt:lpstr>M04c_02_techo</vt:lpstr>
      <vt:lpstr>M04c_03_techo_palta</vt:lpstr>
      <vt:lpstr>M05_00_condiciones</vt:lpstr>
      <vt:lpstr>M05_01_conteo</vt:lpstr>
      <vt:lpstr>M05_02_resumen</vt:lpstr>
      <vt:lpstr>M05_03_rangos</vt:lpstr>
      <vt:lpstr>M05c_00_condiciones</vt:lpstr>
      <vt:lpstr>M05c_01_conteo</vt:lpstr>
      <vt:lpstr>M05c_02_frontera</vt:lpstr>
      <vt:lpstr>M06_00_condiciones</vt:lpstr>
      <vt:lpstr>M06_01_conteo</vt:lpstr>
      <vt:lpstr>M06_02_comparacion</vt:lpstr>
      <vt:lpstr>M06_03_subenfriamiento</vt:lpstr>
      <vt:lpstr>M07_00_condiciones</vt:lpstr>
      <vt:lpstr>M07_01_conteo</vt:lpstr>
      <vt:lpstr>M07_02_optimos</vt:lpstr>
      <vt:lpstr>M09_00_condiciones</vt:lpstr>
      <vt:lpstr>M09_01_conteo</vt:lpstr>
      <vt:lpstr>M09_02_escalera</vt:lpstr>
      <vt:lpstr>M09_03_motor_real</vt:lpstr>
      <vt:lpstr>M10_00_condiciones</vt:lpstr>
      <vt:lpstr>M10_01_conteo</vt:lpstr>
      <vt:lpstr>M10_02_catalogo</vt:lpstr>
      <vt:lpstr>M10_03_ofat</vt:lpstr>
      <vt:lpstr>M10b_00_condiciones</vt:lpstr>
      <vt:lpstr>M10b_01_conteo</vt:lpstr>
      <vt:lpstr>M10b_02_xb_bajo</vt:lpstr>
      <vt:lpstr>G_graficos</vt:lpstr>
      <vt:lpstr>M02_graficos</vt:lpstr>
      <vt:lpstr>M02R_graficos</vt:lpstr>
      <vt:lpstr>M02S_graficos</vt:lpstr>
      <vt:lpstr>M03_graficos</vt:lpstr>
      <vt:lpstr>M04_graficos</vt:lpstr>
      <vt:lpstr>M04c_graficos</vt:lpstr>
      <vt:lpstr>M05_graficos</vt:lpstr>
      <vt:lpstr>M06_M07_M09_graficos</vt:lpstr>
      <vt:lpstr>M10_graficos</vt:lpstr>
      <vt:lpstr>X_M08_anecdotico</vt:lpstr>
      <vt:lpstr>Datos</vt:lpstr>
      <vt:lpstr>Condiciones</vt:lpstr>
      <vt:lpstr>Bloques</vt:lpstr>
      <vt:lpstr>Aux_tablero</vt:lpstr>
      <vt:lpstr>Aux_puntos</vt:lpstr>
      <vt:lpstr>Figuras_matplotlib_ref</vt:lpstr>
      <vt:lpstr>Aux_graficos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2026-10-12T03:58:37Z</dcterms:created>
  <dcterms:modified xsi:type="dcterms:W3CDTF">2026-10-12T04:18:17Z</dcterms:modified>
</cp:coreProperties>
</file>